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slicers/slicer1.xml" ContentType="application/vnd.ms-excel.slicer+xml"/>
  <Override PartName="/xl/drawings/drawing8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Questa_cartella_di_lavoro" hidePivotFieldList="1"/>
  <mc:AlternateContent xmlns:mc="http://schemas.openxmlformats.org/markup-compatibility/2006">
    <mc:Choice Requires="x15">
      <x15ac:absPath xmlns:x15ac="http://schemas.microsoft.com/office/spreadsheetml/2010/11/ac" url="E:\--- fantacalcio tot uff\26-27\"/>
    </mc:Choice>
  </mc:AlternateContent>
  <xr:revisionPtr revIDLastSave="0" documentId="13_ncr:1_{A04FA7FA-5D89-4A39-AA3E-0011206BE51D}" xr6:coauthVersionLast="47" xr6:coauthVersionMax="47" xr10:uidLastSave="{00000000-0000-0000-0000-000000000000}"/>
  <bookViews>
    <workbookView xWindow="-108" yWindow="-108" windowWidth="23256" windowHeight="12456" tabRatio="917" activeTab="4" xr2:uid="{00000000-000D-0000-FFFF-FFFF00000000}"/>
  </bookViews>
  <sheets>
    <sheet name="PAGINA PRINCIPALE" sheetId="23" r:id="rId1"/>
    <sheet name="CL. FLega" sheetId="2" r:id="rId2"/>
    <sheet name="ROSE SQUADRE" sheetId="22" r:id="rId3"/>
    <sheet name="INSER DATA CALENDARIO" sheetId="17" r:id="rId4"/>
    <sheet name="Base dati fantasquadre" sheetId="13" r:id="rId5"/>
    <sheet name="TAB GIOC GG X GG" sheetId="21" r:id="rId6"/>
    <sheet name="Class Giocatori" sheetId="24" r:id="rId7"/>
    <sheet name="REGOLA 72" sheetId="25" r:id="rId8"/>
    <sheet name="INSER DATA" sheetId="6" r:id="rId9"/>
    <sheet name="Pivot Gioc" sheetId="15" r:id="rId10"/>
    <sheet name="AOSTICAZZI DATA" sheetId="26" r:id="rId11"/>
    <sheet name="funzioni implementate" sheetId="31" r:id="rId12"/>
    <sheet name="classifica" sheetId="32" r:id="rId13"/>
    <sheet name="statistiche" sheetId="33" r:id="rId14"/>
  </sheets>
  <functionGroups builtInGroupCount="19"/>
  <definedNames>
    <definedName name="AGOSTO23">'ROSE SQUADRE'!$A$2:$G$27</definedName>
    <definedName name="amm">#REF!</definedName>
    <definedName name="ATL._IMPROVVISATO">"Immagine 16"</definedName>
    <definedName name="cercagiocatori">OFFSET('Class Giocatori'!C1,,,COUNTIF('Class Giocatori'!C1:C533,"?*"))</definedName>
    <definedName name="DIFF">'CL. FLega'!$M$6:$M$11</definedName>
    <definedName name="esp">#REF!</definedName>
    <definedName name="FANTAPT">'CL. FLega'!$O$6:$O$11</definedName>
    <definedName name="fantasquadre">'ROSE SQUADRE'!$B$2:$K$2</definedName>
    <definedName name="FiltroDati_GG">#N/A</definedName>
    <definedName name="ftPunti">#REF!</definedName>
    <definedName name="G" localSheetId="3">'INSER DATA CALENDARIO'!$D$6:$D$110</definedName>
    <definedName name="G">'CL. FLega'!$G$6:$G$11</definedName>
    <definedName name="Gagliardetti">'ROSE SQUADRE'!$B$28:$K$28</definedName>
    <definedName name="Gagliardetto1">INDEX(Gagliardetti,MATCH('CL. FLega'!$F$6,fantasquadre,0))</definedName>
    <definedName name="Gagliardetto10">INDEX(Gagliardetti,MATCH('CL. FLega'!$F$15,fantasquadre,0))</definedName>
    <definedName name="Gagliardetto11">"Immagine 6"</definedName>
    <definedName name="Gagliardetto2">INDEX(Gagliardetti,MATCH('CL. FLega'!$F$7,fantasquadre,0))</definedName>
    <definedName name="Gagliardetto3">INDEX(Gagliardetti,MATCH('CL. FLega'!$F$8,fantasquadre,0))</definedName>
    <definedName name="Gagliardetto4">INDEX(Gagliardetti,MATCH('CL. FLega'!$F$9,fantasquadre,0))</definedName>
    <definedName name="Gagliardetto5">INDEX(Gagliardetti,MATCH('CL. FLega'!$F$10,fantasquadre,0))</definedName>
    <definedName name="Gagliardetto6">INDEX(Gagliardetti,MATCH('CL. FLega'!$F$11,fantasquadre,0))</definedName>
    <definedName name="Gagliardetto7">INDEX(Gagliardetti,MATCH('CL. FLega'!$F$12,fantasquadre,0))</definedName>
    <definedName name="Gagliardetto8">INDEX(Gagliardetti,MATCH('CL. FLega'!$F$13,fantasquadre,0))</definedName>
    <definedName name="Gagliardetto9">INDEX(Gagliardetti,MATCH('CL. FLega'!$F$14,fantasquadre,0))</definedName>
    <definedName name="GF">'CL. FLega'!$K$6:$K$14</definedName>
    <definedName name="Gol_a_PT">#REF!</definedName>
    <definedName name="gol_s">#REF!</definedName>
    <definedName name="GS">'CL. FLega'!$L$6:$L$14</definedName>
    <definedName name="INSER_DATA">Tabella1[]</definedName>
    <definedName name="N">'CL. FLega'!$I$6:$I$14</definedName>
    <definedName name="P">'CL. FLega'!$J$6:$J$14</definedName>
    <definedName name="PT" localSheetId="1">'CL. FLega'!$N$6:$N$14</definedName>
    <definedName name="pt">#REF!</definedName>
    <definedName name="PT1_">'INSER DATA CALENDARIO'!$F$6:$F$157</definedName>
    <definedName name="PT2_">'INSER DATA CALENDARIO'!$I$6:$I$157</definedName>
    <definedName name="rig_sb">#REF!</definedName>
    <definedName name="RIS_C">'INSER DATA CALENDARIO'!$G$6:$G$157</definedName>
    <definedName name="RIS_F">'INSER DATA CALENDARIO'!$H$6:$H$157</definedName>
    <definedName name="SQ_C">'INSER DATA CALENDARIO'!$E$6:$E$157</definedName>
    <definedName name="SQ_F">'INSER DATA CALENDARIO'!$J$6:$J$157</definedName>
    <definedName name="SQUADRA">'CL. FLega'!$F$6:$F$11</definedName>
    <definedName name="V">'CL. FLega'!$H$6:$H$11</definedName>
  </definedNames>
  <calcPr calcId="191029"/>
  <pivotCaches>
    <pivotCache cacheId="0" r:id="rId15"/>
  </pivotCaches>
  <extLst>
    <ext xmlns:x14="http://schemas.microsoft.com/office/spreadsheetml/2009/9/main" uri="{BBE1A952-AA13-448e-AADC-164F8A28A991}">
      <x14:slicerCaches>
        <x14:slicerCache r:id="rId1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2" i="13" l="1"/>
  <c r="I13" i="13"/>
  <c r="I14" i="13"/>
  <c r="I15" i="13"/>
  <c r="I16" i="13"/>
  <c r="I17" i="13"/>
  <c r="I18" i="13"/>
  <c r="I19" i="13"/>
  <c r="I20" i="13"/>
  <c r="I21" i="13"/>
  <c r="G12" i="13"/>
  <c r="G13" i="13"/>
  <c r="G14" i="13"/>
  <c r="G15" i="13"/>
  <c r="G16" i="13"/>
  <c r="G17" i="13"/>
  <c r="G18" i="13"/>
  <c r="G19" i="13"/>
  <c r="G20" i="13"/>
  <c r="G21" i="13"/>
  <c r="I10" i="13"/>
  <c r="I11" i="13"/>
  <c r="G10" i="13"/>
  <c r="G11" i="13"/>
  <c r="I8" i="13"/>
  <c r="G8" i="13"/>
  <c r="I6" i="13"/>
  <c r="I7" i="13"/>
  <c r="G7" i="13"/>
  <c r="G6" i="13"/>
  <c r="BF2" i="13" l="1"/>
  <c r="BF3" i="13"/>
  <c r="BF4" i="13"/>
  <c r="BF5" i="13"/>
  <c r="BF6" i="13"/>
  <c r="BF7" i="13"/>
  <c r="BF8" i="13"/>
  <c r="BF9" i="13"/>
  <c r="BF10" i="13"/>
  <c r="BF11" i="13"/>
  <c r="R591" i="6"/>
  <c r="R592" i="6"/>
  <c r="R593" i="6"/>
  <c r="R594" i="6"/>
  <c r="R595" i="6"/>
  <c r="R596" i="6"/>
  <c r="R597" i="6"/>
  <c r="R598" i="6"/>
  <c r="R599" i="6"/>
  <c r="R600" i="6"/>
  <c r="R601" i="6"/>
  <c r="R602" i="6"/>
  <c r="R603" i="6"/>
  <c r="R604" i="6"/>
  <c r="R605" i="6"/>
  <c r="R606" i="6"/>
  <c r="R607" i="6"/>
  <c r="R608" i="6"/>
  <c r="R609" i="6"/>
  <c r="R610" i="6"/>
  <c r="R611" i="6"/>
  <c r="R612" i="6"/>
  <c r="R613" i="6"/>
  <c r="R614" i="6"/>
  <c r="R615" i="6"/>
  <c r="R616" i="6"/>
  <c r="R617" i="6"/>
  <c r="R618" i="6"/>
  <c r="R619" i="6"/>
  <c r="R620" i="6"/>
  <c r="R621" i="6"/>
  <c r="R622" i="6"/>
  <c r="R623" i="6"/>
  <c r="R624" i="6"/>
  <c r="R625" i="6"/>
  <c r="R626" i="6"/>
  <c r="R627" i="6"/>
  <c r="R628" i="6"/>
  <c r="R629" i="6"/>
  <c r="R630" i="6"/>
  <c r="R631" i="6"/>
  <c r="R632" i="6"/>
  <c r="R633" i="6"/>
  <c r="R634" i="6"/>
  <c r="R635" i="6"/>
  <c r="R636" i="6"/>
  <c r="R637" i="6"/>
  <c r="R638" i="6"/>
  <c r="R639" i="6"/>
  <c r="R640" i="6"/>
  <c r="R641" i="6"/>
  <c r="R642" i="6"/>
  <c r="R643" i="6"/>
  <c r="R644" i="6"/>
  <c r="R645" i="6"/>
  <c r="R646" i="6"/>
  <c r="R647" i="6"/>
  <c r="R648" i="6"/>
  <c r="R649" i="6"/>
  <c r="R650" i="6"/>
  <c r="R651" i="6"/>
  <c r="R652" i="6"/>
  <c r="R653" i="6"/>
  <c r="R654" i="6"/>
  <c r="R655" i="6"/>
  <c r="R656" i="6"/>
  <c r="R657" i="6"/>
  <c r="R658" i="6"/>
  <c r="R659" i="6"/>
  <c r="R660" i="6"/>
  <c r="R661" i="6"/>
  <c r="R662" i="6"/>
  <c r="R663" i="6"/>
  <c r="R664" i="6"/>
  <c r="R665" i="6"/>
  <c r="R666" i="6"/>
  <c r="R667" i="6"/>
  <c r="R668" i="6"/>
  <c r="R669" i="6"/>
  <c r="R670" i="6"/>
  <c r="R671" i="6"/>
  <c r="R672" i="6"/>
  <c r="R673" i="6"/>
  <c r="R674" i="6"/>
  <c r="R675" i="6"/>
  <c r="R676" i="6"/>
  <c r="R677" i="6"/>
  <c r="R678" i="6"/>
  <c r="R679" i="6"/>
  <c r="R680" i="6"/>
  <c r="R681" i="6"/>
  <c r="R682" i="6"/>
  <c r="R683" i="6"/>
  <c r="R684" i="6"/>
  <c r="R685" i="6"/>
  <c r="R686" i="6"/>
  <c r="R687" i="6"/>
  <c r="R688" i="6"/>
  <c r="R689" i="6"/>
  <c r="R690" i="6"/>
  <c r="R691" i="6"/>
  <c r="R692" i="6"/>
  <c r="R693" i="6"/>
  <c r="R694" i="6"/>
  <c r="R695" i="6"/>
  <c r="R696" i="6"/>
  <c r="R697" i="6"/>
  <c r="R698" i="6"/>
  <c r="R699" i="6"/>
  <c r="R700" i="6"/>
  <c r="R701" i="6"/>
  <c r="R702" i="6"/>
  <c r="R703" i="6"/>
  <c r="R704" i="6"/>
  <c r="R705" i="6"/>
  <c r="R706" i="6"/>
  <c r="R707" i="6"/>
  <c r="R708" i="6"/>
  <c r="R709" i="6"/>
  <c r="R710" i="6"/>
  <c r="R711" i="6"/>
  <c r="R712" i="6"/>
  <c r="R713" i="6"/>
  <c r="R714" i="6"/>
  <c r="R715" i="6"/>
  <c r="R716" i="6"/>
  <c r="R717" i="6"/>
  <c r="R718" i="6"/>
  <c r="R719" i="6"/>
  <c r="R720" i="6"/>
  <c r="R721" i="6"/>
  <c r="R722" i="6"/>
  <c r="R723" i="6"/>
  <c r="R724" i="6"/>
  <c r="R725" i="6"/>
  <c r="R726" i="6"/>
  <c r="R727" i="6"/>
  <c r="R728" i="6"/>
  <c r="R729" i="6"/>
  <c r="R730" i="6"/>
  <c r="R731" i="6"/>
  <c r="R732" i="6"/>
  <c r="R733" i="6"/>
  <c r="R734" i="6"/>
  <c r="R735" i="6"/>
  <c r="R736" i="6"/>
  <c r="R737" i="6"/>
  <c r="R738" i="6"/>
  <c r="R739" i="6"/>
  <c r="R740" i="6"/>
  <c r="R741" i="6"/>
  <c r="R742" i="6"/>
  <c r="R743" i="6"/>
  <c r="R744" i="6"/>
  <c r="R745" i="6"/>
  <c r="R746" i="6"/>
  <c r="R747" i="6"/>
  <c r="R748" i="6"/>
  <c r="R749" i="6"/>
  <c r="R750" i="6"/>
  <c r="R751" i="6"/>
  <c r="R752" i="6"/>
  <c r="R753" i="6"/>
  <c r="R754" i="6"/>
  <c r="R755" i="6"/>
  <c r="R756" i="6"/>
  <c r="R757" i="6"/>
  <c r="R758" i="6"/>
  <c r="R759" i="6"/>
  <c r="R760" i="6"/>
  <c r="R761" i="6"/>
  <c r="R762" i="6"/>
  <c r="R763" i="6"/>
  <c r="R764" i="6"/>
  <c r="R765" i="6"/>
  <c r="R766" i="6"/>
  <c r="R767" i="6"/>
  <c r="R768" i="6"/>
  <c r="R769" i="6"/>
  <c r="R770" i="6"/>
  <c r="R771" i="6"/>
  <c r="R772" i="6"/>
  <c r="R773" i="6"/>
  <c r="R774" i="6"/>
  <c r="R775" i="6"/>
  <c r="R776" i="6"/>
  <c r="R777" i="6"/>
  <c r="R778" i="6"/>
  <c r="R779" i="6"/>
  <c r="R780" i="6"/>
  <c r="R781" i="6"/>
  <c r="R782" i="6"/>
  <c r="R783" i="6"/>
  <c r="R784" i="6"/>
  <c r="R785" i="6"/>
  <c r="R786" i="6"/>
  <c r="R787" i="6"/>
  <c r="R788" i="6"/>
  <c r="R789" i="6"/>
  <c r="R790" i="6"/>
  <c r="R791" i="6"/>
  <c r="R792" i="6"/>
  <c r="R793" i="6"/>
  <c r="R794" i="6"/>
  <c r="R795" i="6"/>
  <c r="R796" i="6"/>
  <c r="R797" i="6"/>
  <c r="R798" i="6"/>
  <c r="R799" i="6"/>
  <c r="R800" i="6"/>
  <c r="R801" i="6"/>
  <c r="R802" i="6"/>
  <c r="R803" i="6"/>
  <c r="R804" i="6"/>
  <c r="R805" i="6"/>
  <c r="R806" i="6"/>
  <c r="R807" i="6"/>
  <c r="R808" i="6"/>
  <c r="R809" i="6"/>
  <c r="R810" i="6"/>
  <c r="R811" i="6"/>
  <c r="R812" i="6"/>
  <c r="R813" i="6"/>
  <c r="R814" i="6"/>
  <c r="R815" i="6"/>
  <c r="R816" i="6"/>
  <c r="R817" i="6"/>
  <c r="R818" i="6"/>
  <c r="R819" i="6"/>
  <c r="R820" i="6"/>
  <c r="R821" i="6"/>
  <c r="R822" i="6"/>
  <c r="R823" i="6"/>
  <c r="R824" i="6"/>
  <c r="R825" i="6"/>
  <c r="R826" i="6"/>
  <c r="R827" i="6"/>
  <c r="R828" i="6"/>
  <c r="R829" i="6"/>
  <c r="R830" i="6"/>
  <c r="R831" i="6"/>
  <c r="R832" i="6"/>
  <c r="R833" i="6"/>
  <c r="R834" i="6"/>
  <c r="R835" i="6"/>
  <c r="R836" i="6"/>
  <c r="R837" i="6"/>
  <c r="R838" i="6"/>
  <c r="R839" i="6"/>
  <c r="R840" i="6"/>
  <c r="R841" i="6"/>
  <c r="R842" i="6"/>
  <c r="R843" i="6"/>
  <c r="R844" i="6"/>
  <c r="R845" i="6"/>
  <c r="R846" i="6"/>
  <c r="R847" i="6"/>
  <c r="R848" i="6"/>
  <c r="R849" i="6"/>
  <c r="R850" i="6"/>
  <c r="R851" i="6"/>
  <c r="R852" i="6"/>
  <c r="R853" i="6"/>
  <c r="R854" i="6"/>
  <c r="R855" i="6"/>
  <c r="R856" i="6"/>
  <c r="R857" i="6"/>
  <c r="R858" i="6"/>
  <c r="R859" i="6"/>
  <c r="R860" i="6"/>
  <c r="R861" i="6"/>
  <c r="R862" i="6"/>
  <c r="R863" i="6"/>
  <c r="R864" i="6"/>
  <c r="R865" i="6"/>
  <c r="R866" i="6"/>
  <c r="R867" i="6"/>
  <c r="R868" i="6"/>
  <c r="R869" i="6"/>
  <c r="R870" i="6"/>
  <c r="R871" i="6"/>
  <c r="R872" i="6"/>
  <c r="R873" i="6"/>
  <c r="R874" i="6"/>
  <c r="R875" i="6"/>
  <c r="R876" i="6"/>
  <c r="R877" i="6"/>
  <c r="R878" i="6"/>
  <c r="R879" i="6"/>
  <c r="R880" i="6"/>
  <c r="R881" i="6"/>
  <c r="R882" i="6"/>
  <c r="R883" i="6"/>
  <c r="R884" i="6"/>
  <c r="R885" i="6"/>
  <c r="R886" i="6"/>
  <c r="R887" i="6"/>
  <c r="R888" i="6"/>
  <c r="R889" i="6"/>
  <c r="R901" i="6"/>
  <c r="R939" i="6"/>
  <c r="R892" i="6"/>
  <c r="R940" i="6"/>
  <c r="R894" i="6"/>
  <c r="R984" i="6"/>
  <c r="R1001" i="6"/>
  <c r="R1028" i="6"/>
  <c r="R1113" i="6"/>
  <c r="R1137" i="6"/>
  <c r="R1087" i="6"/>
  <c r="R1093" i="6"/>
  <c r="R902" i="6"/>
  <c r="AB902" i="6" s="1"/>
  <c r="R903" i="6"/>
  <c r="R904" i="6"/>
  <c r="R913" i="6"/>
  <c r="R906" i="6"/>
  <c r="R907" i="6"/>
  <c r="R908" i="6"/>
  <c r="R909" i="6"/>
  <c r="R1027" i="6"/>
  <c r="R911" i="6"/>
  <c r="R1038" i="6"/>
  <c r="R1058" i="6"/>
  <c r="R914" i="6"/>
  <c r="R890" i="6"/>
  <c r="R916" i="6"/>
  <c r="R917" i="6"/>
  <c r="R947" i="6"/>
  <c r="R925" i="6"/>
  <c r="R920" i="6"/>
  <c r="R1039" i="6"/>
  <c r="R973" i="6"/>
  <c r="R923" i="6"/>
  <c r="AB923" i="6" s="1"/>
  <c r="R924" i="6"/>
  <c r="R1055" i="6"/>
  <c r="R1105" i="6"/>
  <c r="R1116" i="6"/>
  <c r="R897" i="6"/>
  <c r="R929" i="6"/>
  <c r="R930" i="6"/>
  <c r="R931" i="6"/>
  <c r="R932" i="6"/>
  <c r="R927" i="6"/>
  <c r="R934" i="6"/>
  <c r="R935" i="6"/>
  <c r="R936" i="6"/>
  <c r="R1042" i="6"/>
  <c r="R938" i="6"/>
  <c r="R1126" i="6"/>
  <c r="R1157" i="6"/>
  <c r="R941" i="6"/>
  <c r="R942" i="6"/>
  <c r="R895" i="6"/>
  <c r="R944" i="6"/>
  <c r="R945" i="6"/>
  <c r="R946" i="6"/>
  <c r="R957" i="6"/>
  <c r="R948" i="6"/>
  <c r="R949" i="6"/>
  <c r="R975" i="6"/>
  <c r="R1057" i="6"/>
  <c r="R952" i="6"/>
  <c r="R953" i="6"/>
  <c r="R1164" i="6"/>
  <c r="R955" i="6"/>
  <c r="R1123" i="6"/>
  <c r="R918" i="6"/>
  <c r="R933" i="6"/>
  <c r="R959" i="6"/>
  <c r="R960" i="6"/>
  <c r="R961" i="6"/>
  <c r="R998" i="6"/>
  <c r="R1060" i="6"/>
  <c r="R1040" i="6"/>
  <c r="R1103" i="6"/>
  <c r="R966" i="6"/>
  <c r="R1024" i="6"/>
  <c r="R1012" i="6"/>
  <c r="R1089" i="6"/>
  <c r="R1145" i="6"/>
  <c r="R891" i="6"/>
  <c r="R971" i="6"/>
  <c r="R915" i="6"/>
  <c r="R972" i="6"/>
  <c r="R950" i="6"/>
  <c r="R976" i="6"/>
  <c r="R977" i="6"/>
  <c r="AB977" i="6" s="1"/>
  <c r="R1022" i="6"/>
  <c r="R1030" i="6"/>
  <c r="R980" i="6"/>
  <c r="R1031" i="6"/>
  <c r="R1005" i="6"/>
  <c r="R1026" i="6"/>
  <c r="R1098" i="6"/>
  <c r="R926" i="6"/>
  <c r="R986" i="6"/>
  <c r="R968" i="6"/>
  <c r="R899" i="6"/>
  <c r="R989" i="6"/>
  <c r="R990" i="6"/>
  <c r="R991" i="6"/>
  <c r="R992" i="6"/>
  <c r="R993" i="6"/>
  <c r="R994" i="6"/>
  <c r="R995" i="6"/>
  <c r="R996" i="6"/>
  <c r="R1120" i="6"/>
  <c r="R1104" i="6"/>
  <c r="R999" i="6"/>
  <c r="AB999" i="6" s="1"/>
  <c r="R910" i="6"/>
  <c r="AB910" i="6" s="1"/>
  <c r="R921" i="6"/>
  <c r="AB921" i="6" s="1"/>
  <c r="R974" i="6"/>
  <c r="AB974" i="6" s="1"/>
  <c r="R1003" i="6"/>
  <c r="AB1003" i="6" s="1"/>
  <c r="R1004" i="6"/>
  <c r="R1014" i="6"/>
  <c r="AB1014" i="6" s="1"/>
  <c r="R1006" i="6"/>
  <c r="AB1006" i="6" s="1"/>
  <c r="R1007" i="6"/>
  <c r="AB1007" i="6" s="1"/>
  <c r="R1008" i="6"/>
  <c r="AB1008" i="6" s="1"/>
  <c r="R1009" i="6"/>
  <c r="AB1009" i="6" s="1"/>
  <c r="R1010" i="6"/>
  <c r="AB1010" i="6" s="1"/>
  <c r="R1011" i="6"/>
  <c r="AB1011" i="6" s="1"/>
  <c r="R1109" i="6"/>
  <c r="AB1109" i="6" s="1"/>
  <c r="R1013" i="6"/>
  <c r="AB1013" i="6" s="1"/>
  <c r="R962" i="6"/>
  <c r="AB962" i="6" s="1"/>
  <c r="R951" i="6"/>
  <c r="AB951" i="6" s="1"/>
  <c r="R1016" i="6"/>
  <c r="AB1016" i="6" s="1"/>
  <c r="R928" i="6"/>
  <c r="AB928" i="6" s="1"/>
  <c r="R1018" i="6"/>
  <c r="AB1018" i="6" s="1"/>
  <c r="R1059" i="6"/>
  <c r="AB1059" i="6" s="1"/>
  <c r="R1020" i="6"/>
  <c r="AB1020" i="6" s="1"/>
  <c r="R1021" i="6"/>
  <c r="AB1021" i="6" s="1"/>
  <c r="R1043" i="6"/>
  <c r="AB1043" i="6" s="1"/>
  <c r="R1023" i="6"/>
  <c r="AB1023" i="6" s="1"/>
  <c r="R1099" i="6"/>
  <c r="AB1099" i="6" s="1"/>
  <c r="R1115" i="6"/>
  <c r="AB1115" i="6" s="1"/>
  <c r="R1130" i="6"/>
  <c r="AB1130" i="6" s="1"/>
  <c r="R896" i="6"/>
  <c r="AB896" i="6" s="1"/>
  <c r="R937" i="6"/>
  <c r="AB937" i="6" s="1"/>
  <c r="R956" i="6"/>
  <c r="AB956" i="6" s="1"/>
  <c r="R979" i="6"/>
  <c r="AB979" i="6" s="1"/>
  <c r="R981" i="6"/>
  <c r="AB981" i="6" s="1"/>
  <c r="R964" i="6"/>
  <c r="AB964" i="6" s="1"/>
  <c r="R922" i="6"/>
  <c r="AB922" i="6" s="1"/>
  <c r="R1041" i="6"/>
  <c r="AB1041" i="6" s="1"/>
  <c r="R1025" i="6"/>
  <c r="AB1025" i="6" s="1"/>
  <c r="R1036" i="6"/>
  <c r="AB1036" i="6" s="1"/>
  <c r="R1101" i="6"/>
  <c r="AB1101" i="6" s="1"/>
  <c r="R1119" i="6"/>
  <c r="AB1119" i="6" s="1"/>
  <c r="R1150" i="6"/>
  <c r="AB1150" i="6" s="1"/>
  <c r="R1088" i="6"/>
  <c r="AB1088" i="6" s="1"/>
  <c r="R1100" i="6"/>
  <c r="AB1100" i="6" s="1"/>
  <c r="R898" i="6"/>
  <c r="AB898" i="6" s="1"/>
  <c r="R978" i="6"/>
  <c r="AB978" i="6" s="1"/>
  <c r="R970" i="6"/>
  <c r="AB970" i="6" s="1"/>
  <c r="R1045" i="6"/>
  <c r="R983" i="6"/>
  <c r="AB983" i="6" s="1"/>
  <c r="R1047" i="6"/>
  <c r="AB1047" i="6" s="1"/>
  <c r="R1046" i="6"/>
  <c r="AB1046" i="6" s="1"/>
  <c r="R1049" i="6"/>
  <c r="AB1049" i="6" s="1"/>
  <c r="R1050" i="6"/>
  <c r="AB1050" i="6" s="1"/>
  <c r="R1048" i="6"/>
  <c r="AB1048" i="6" s="1"/>
  <c r="R1052" i="6"/>
  <c r="AB1052" i="6" s="1"/>
  <c r="R1029" i="6"/>
  <c r="AB1029" i="6" s="1"/>
  <c r="R1054" i="6"/>
  <c r="R1134" i="6"/>
  <c r="AB1134" i="6" s="1"/>
  <c r="R1108" i="6"/>
  <c r="AB1108" i="6" s="1"/>
  <c r="R893" i="6"/>
  <c r="AB893" i="6" s="1"/>
  <c r="R1032" i="6"/>
  <c r="AB1032" i="6" s="1"/>
  <c r="R954" i="6"/>
  <c r="AB954" i="6" s="1"/>
  <c r="R963" i="6"/>
  <c r="AB963" i="6" s="1"/>
  <c r="R1061" i="6"/>
  <c r="AB1061" i="6" s="1"/>
  <c r="R1062" i="6"/>
  <c r="AB1062" i="6" s="1"/>
  <c r="R1063" i="6"/>
  <c r="AB1063" i="6" s="1"/>
  <c r="R1064" i="6"/>
  <c r="AB1064" i="6" s="1"/>
  <c r="R1065" i="6"/>
  <c r="AB1065" i="6" s="1"/>
  <c r="R1066" i="6"/>
  <c r="AB1066" i="6" s="1"/>
  <c r="R1067" i="6"/>
  <c r="AB1067" i="6" s="1"/>
  <c r="R1068" i="6"/>
  <c r="AB1068" i="6" s="1"/>
  <c r="R1069" i="6"/>
  <c r="AB1069" i="6" s="1"/>
  <c r="R1070" i="6"/>
  <c r="AB1070" i="6" s="1"/>
  <c r="R1071" i="6"/>
  <c r="AB1071" i="6" s="1"/>
  <c r="R1072" i="6"/>
  <c r="R1073" i="6"/>
  <c r="AB1073" i="6" s="1"/>
  <c r="R1074" i="6"/>
  <c r="AB1074" i="6" s="1"/>
  <c r="R1075" i="6"/>
  <c r="AB1075" i="6" s="1"/>
  <c r="R1076" i="6"/>
  <c r="AB1076" i="6" s="1"/>
  <c r="R1077" i="6"/>
  <c r="AB1077" i="6" s="1"/>
  <c r="R1078" i="6"/>
  <c r="AB1078" i="6" s="1"/>
  <c r="R1079" i="6"/>
  <c r="AB1079" i="6" s="1"/>
  <c r="R1080" i="6"/>
  <c r="AB1080" i="6" s="1"/>
  <c r="R1081" i="6"/>
  <c r="AB1081" i="6" s="1"/>
  <c r="R1082" i="6"/>
  <c r="AB1082" i="6" s="1"/>
  <c r="R1143" i="6"/>
  <c r="AB1143" i="6" s="1"/>
  <c r="R1084" i="6"/>
  <c r="AB1084" i="6" s="1"/>
  <c r="R1085" i="6"/>
  <c r="AB1085" i="6" s="1"/>
  <c r="R1086" i="6"/>
  <c r="AB1086" i="6" s="1"/>
  <c r="R900" i="6"/>
  <c r="AB900" i="6" s="1"/>
  <c r="R1034" i="6"/>
  <c r="AB1034" i="6" s="1"/>
  <c r="R969" i="6"/>
  <c r="AB969" i="6" s="1"/>
  <c r="R985" i="6"/>
  <c r="AB985" i="6" s="1"/>
  <c r="R1091" i="6"/>
  <c r="AB1091" i="6" s="1"/>
  <c r="R1092" i="6"/>
  <c r="AB1092" i="6" s="1"/>
  <c r="R1033" i="6"/>
  <c r="AB1033" i="6" s="1"/>
  <c r="R1044" i="6"/>
  <c r="AB1044" i="6" s="1"/>
  <c r="R1083" i="6"/>
  <c r="AB1083" i="6" s="1"/>
  <c r="R1096" i="6"/>
  <c r="AB1096" i="6" s="1"/>
  <c r="R1051" i="6"/>
  <c r="AB1051" i="6" s="1"/>
  <c r="R1146" i="6"/>
  <c r="AB1146" i="6" s="1"/>
  <c r="R1117" i="6"/>
  <c r="AB1117" i="6" s="1"/>
  <c r="R1111" i="6"/>
  <c r="AB1111" i="6" s="1"/>
  <c r="R912" i="6"/>
  <c r="AB912" i="6" s="1"/>
  <c r="R1102" i="6"/>
  <c r="AB1102" i="6" s="1"/>
  <c r="R965" i="6"/>
  <c r="AB965" i="6" s="1"/>
  <c r="R982" i="6"/>
  <c r="AB982" i="6" s="1"/>
  <c r="R987" i="6"/>
  <c r="AB987" i="6" s="1"/>
  <c r="R1106" i="6"/>
  <c r="AB1106" i="6" s="1"/>
  <c r="R1107" i="6"/>
  <c r="AB1107" i="6" s="1"/>
  <c r="R1056" i="6"/>
  <c r="AB1056" i="6" s="1"/>
  <c r="R1090" i="6"/>
  <c r="AB1090" i="6" s="1"/>
  <c r="R1110" i="6"/>
  <c r="AB1110" i="6" s="1"/>
  <c r="R1162" i="6"/>
  <c r="AB1162" i="6" s="1"/>
  <c r="R1112" i="6"/>
  <c r="AB1112" i="6" s="1"/>
  <c r="R1165" i="6"/>
  <c r="AB1165" i="6" s="1"/>
  <c r="R1114" i="6"/>
  <c r="AB1114" i="6" s="1"/>
  <c r="R1122" i="6"/>
  <c r="AB1122" i="6" s="1"/>
  <c r="R919" i="6"/>
  <c r="AB919" i="6" s="1"/>
  <c r="R967" i="6"/>
  <c r="AB967" i="6" s="1"/>
  <c r="R1118" i="6"/>
  <c r="AB1118" i="6" s="1"/>
  <c r="R1015" i="6"/>
  <c r="AB1015" i="6" s="1"/>
  <c r="R997" i="6"/>
  <c r="AB997" i="6" s="1"/>
  <c r="R1019" i="6"/>
  <c r="AB1019" i="6" s="1"/>
  <c r="R1035" i="6"/>
  <c r="AB1035" i="6" s="1"/>
  <c r="R1053" i="6"/>
  <c r="AB1053" i="6" s="1"/>
  <c r="R1124" i="6"/>
  <c r="AB1124" i="6" s="1"/>
  <c r="R1125" i="6"/>
  <c r="AB1125" i="6" s="1"/>
  <c r="R1097" i="6"/>
  <c r="AB1097" i="6" s="1"/>
  <c r="R1151" i="6"/>
  <c r="AB1151" i="6" s="1"/>
  <c r="R1128" i="6"/>
  <c r="AB1128" i="6" s="1"/>
  <c r="R1129" i="6"/>
  <c r="AB1129" i="6" s="1"/>
  <c r="R1144" i="6"/>
  <c r="AB1144" i="6" s="1"/>
  <c r="R1131" i="6"/>
  <c r="AB1131" i="6" s="1"/>
  <c r="R1132" i="6"/>
  <c r="AB1132" i="6" s="1"/>
  <c r="R1133" i="6"/>
  <c r="AB1133" i="6" s="1"/>
  <c r="R958" i="6"/>
  <c r="AB958" i="6" s="1"/>
  <c r="R1135" i="6"/>
  <c r="AB1135" i="6" s="1"/>
  <c r="R1136" i="6"/>
  <c r="AB1136" i="6" s="1"/>
  <c r="R1094" i="6"/>
  <c r="AB1094" i="6" s="1"/>
  <c r="R1138" i="6"/>
  <c r="AB1138" i="6" s="1"/>
  <c r="R1139" i="6"/>
  <c r="AB1139" i="6" s="1"/>
  <c r="R1140" i="6"/>
  <c r="AB1140" i="6" s="1"/>
  <c r="R1141" i="6"/>
  <c r="AB1141" i="6" s="1"/>
  <c r="R1170" i="6"/>
  <c r="AB1170" i="6" s="1"/>
  <c r="R1169" i="6"/>
  <c r="AB1169" i="6" s="1"/>
  <c r="R1148" i="6"/>
  <c r="AB1148" i="6" s="1"/>
  <c r="R1154" i="6"/>
  <c r="AB1154" i="6" s="1"/>
  <c r="R943" i="6"/>
  <c r="AB943" i="6" s="1"/>
  <c r="R1147" i="6"/>
  <c r="AB1147" i="6" s="1"/>
  <c r="R1002" i="6"/>
  <c r="AB1002" i="6" s="1"/>
  <c r="R1149" i="6"/>
  <c r="AB1149" i="6" s="1"/>
  <c r="R988" i="6"/>
  <c r="AB988" i="6" s="1"/>
  <c r="R1000" i="6"/>
  <c r="AB1000" i="6" s="1"/>
  <c r="R1152" i="6"/>
  <c r="AB1152" i="6" s="1"/>
  <c r="R1153" i="6"/>
  <c r="AB1153" i="6" s="1"/>
  <c r="R1127" i="6"/>
  <c r="AB1127" i="6" s="1"/>
  <c r="R1155" i="6"/>
  <c r="AB1155" i="6" s="1"/>
  <c r="R1156" i="6"/>
  <c r="AB1156" i="6" s="1"/>
  <c r="R1121" i="6"/>
  <c r="AB1121" i="6" s="1"/>
  <c r="R1158" i="6"/>
  <c r="AB1158" i="6" s="1"/>
  <c r="R1159" i="6"/>
  <c r="AB1159" i="6" s="1"/>
  <c r="R1160" i="6"/>
  <c r="AB1160" i="6" s="1"/>
  <c r="R1161" i="6"/>
  <c r="AB1161" i="6" s="1"/>
  <c r="R905" i="6"/>
  <c r="AB905" i="6" s="1"/>
  <c r="R1163" i="6"/>
  <c r="AB1163" i="6" s="1"/>
  <c r="R1037" i="6"/>
  <c r="AB1037" i="6" s="1"/>
  <c r="R1017" i="6"/>
  <c r="AB1017" i="6" s="1"/>
  <c r="R1166" i="6"/>
  <c r="AB1166" i="6" s="1"/>
  <c r="R1167" i="6"/>
  <c r="AB1167" i="6" s="1"/>
  <c r="R1168" i="6"/>
  <c r="AB1168" i="6" s="1"/>
  <c r="R1095" i="6"/>
  <c r="AB1095" i="6" s="1"/>
  <c r="R1142" i="6"/>
  <c r="AB1142" i="6" s="1"/>
  <c r="R1171" i="6"/>
  <c r="AB1171" i="6" s="1"/>
  <c r="R1172" i="6"/>
  <c r="AB1172" i="6" s="1"/>
  <c r="R1173" i="6"/>
  <c r="AB1173" i="6" s="1"/>
  <c r="R1174" i="6"/>
  <c r="AB1174" i="6" s="1"/>
  <c r="R1175" i="6"/>
  <c r="AB1175" i="6" s="1"/>
  <c r="AB944" i="6"/>
  <c r="R1176" i="6"/>
  <c r="AB1176" i="6" s="1"/>
  <c r="C999" i="6"/>
  <c r="C910" i="6"/>
  <c r="C921" i="6"/>
  <c r="C974" i="6"/>
  <c r="C1003" i="6"/>
  <c r="C1084" i="6"/>
  <c r="C1014" i="6"/>
  <c r="C1006" i="6"/>
  <c r="C1007" i="6"/>
  <c r="C1008" i="6"/>
  <c r="C1009" i="6"/>
  <c r="C1010" i="6"/>
  <c r="C1011" i="6"/>
  <c r="C1109" i="6"/>
  <c r="C1013" i="6"/>
  <c r="C962" i="6"/>
  <c r="C951" i="6"/>
  <c r="C1016" i="6"/>
  <c r="C928" i="6"/>
  <c r="C1018" i="6"/>
  <c r="C1059" i="6"/>
  <c r="C1020" i="6"/>
  <c r="C1021" i="6"/>
  <c r="C1043" i="6"/>
  <c r="C1023" i="6"/>
  <c r="C1099" i="6"/>
  <c r="C1115" i="6"/>
  <c r="C1130" i="6"/>
  <c r="C896" i="6"/>
  <c r="C937" i="6"/>
  <c r="C956" i="6"/>
  <c r="C979" i="6"/>
  <c r="C981" i="6"/>
  <c r="C964" i="6"/>
  <c r="C922" i="6"/>
  <c r="C1041" i="6"/>
  <c r="C1025" i="6"/>
  <c r="C1036" i="6"/>
  <c r="C1101" i="6"/>
  <c r="C1119" i="6"/>
  <c r="C1150" i="6"/>
  <c r="C1088" i="6"/>
  <c r="C1100" i="6"/>
  <c r="C898" i="6"/>
  <c r="C978" i="6"/>
  <c r="C970" i="6"/>
  <c r="C944" i="6"/>
  <c r="C983" i="6"/>
  <c r="C1047" i="6"/>
  <c r="C1046" i="6"/>
  <c r="C1049" i="6"/>
  <c r="C1050" i="6"/>
  <c r="C1048" i="6"/>
  <c r="C1052" i="6"/>
  <c r="C1029" i="6"/>
  <c r="C1114" i="6"/>
  <c r="C1134" i="6"/>
  <c r="C1108" i="6"/>
  <c r="C893" i="6"/>
  <c r="C1032" i="6"/>
  <c r="C954" i="6"/>
  <c r="C963" i="6"/>
  <c r="C1061" i="6"/>
  <c r="C1062" i="6"/>
  <c r="C1063" i="6"/>
  <c r="C1064" i="6"/>
  <c r="C1065" i="6"/>
  <c r="C1066" i="6"/>
  <c r="C1067" i="6"/>
  <c r="C1068" i="6"/>
  <c r="C1069" i="6"/>
  <c r="C1070" i="6"/>
  <c r="C1071" i="6"/>
  <c r="C902" i="6"/>
  <c r="C1073" i="6"/>
  <c r="C1074" i="6"/>
  <c r="C1075" i="6"/>
  <c r="C1076" i="6"/>
  <c r="C1077" i="6"/>
  <c r="C1078" i="6"/>
  <c r="C1079" i="6"/>
  <c r="C1080" i="6"/>
  <c r="C1081" i="6"/>
  <c r="C1082" i="6"/>
  <c r="C1143" i="6"/>
  <c r="C1128" i="6"/>
  <c r="C1085" i="6"/>
  <c r="C1086" i="6"/>
  <c r="C900" i="6"/>
  <c r="C1034" i="6"/>
  <c r="C969" i="6"/>
  <c r="C985" i="6"/>
  <c r="C1091" i="6"/>
  <c r="C1092" i="6"/>
  <c r="C1033" i="6"/>
  <c r="C1044" i="6"/>
  <c r="C1083" i="6"/>
  <c r="C1096" i="6"/>
  <c r="C1051" i="6"/>
  <c r="C1146" i="6"/>
  <c r="C1117" i="6"/>
  <c r="C1111" i="6"/>
  <c r="C912" i="6"/>
  <c r="C1102" i="6"/>
  <c r="C965" i="6"/>
  <c r="C982" i="6"/>
  <c r="C987" i="6"/>
  <c r="C1106" i="6"/>
  <c r="C1107" i="6"/>
  <c r="C1056" i="6"/>
  <c r="C1090" i="6"/>
  <c r="C1110" i="6"/>
  <c r="C1162" i="6"/>
  <c r="C1112" i="6"/>
  <c r="C1165" i="6"/>
  <c r="C1129" i="6"/>
  <c r="C1122" i="6"/>
  <c r="C919" i="6"/>
  <c r="C967" i="6"/>
  <c r="C1118" i="6"/>
  <c r="C1015" i="6"/>
  <c r="C997" i="6"/>
  <c r="C1019" i="6"/>
  <c r="C1035" i="6"/>
  <c r="C1053" i="6"/>
  <c r="C1124" i="6"/>
  <c r="C1125" i="6"/>
  <c r="C1097" i="6"/>
  <c r="C1151" i="6"/>
  <c r="C1131" i="6"/>
  <c r="C1175" i="6"/>
  <c r="C1144" i="6"/>
  <c r="C923" i="6"/>
  <c r="C1132" i="6"/>
  <c r="C1133" i="6"/>
  <c r="C958" i="6"/>
  <c r="C1135" i="6"/>
  <c r="C1136" i="6"/>
  <c r="C1094" i="6"/>
  <c r="C1138" i="6"/>
  <c r="C1139" i="6"/>
  <c r="C1140" i="6"/>
  <c r="C1141" i="6"/>
  <c r="C1170" i="6"/>
  <c r="C1169" i="6"/>
  <c r="C1148" i="6"/>
  <c r="C1154" i="6"/>
  <c r="C943" i="6"/>
  <c r="C1147" i="6"/>
  <c r="C1002" i="6"/>
  <c r="C1149" i="6"/>
  <c r="C988" i="6"/>
  <c r="C1000" i="6"/>
  <c r="C1152" i="6"/>
  <c r="C1153" i="6"/>
  <c r="C1127" i="6"/>
  <c r="C1155" i="6"/>
  <c r="C1156" i="6"/>
  <c r="C1121" i="6"/>
  <c r="C1158" i="6"/>
  <c r="C1159" i="6"/>
  <c r="C1160" i="6"/>
  <c r="C1161" i="6"/>
  <c r="C905" i="6"/>
  <c r="C1163" i="6"/>
  <c r="C1037" i="6"/>
  <c r="C1017" i="6"/>
  <c r="C1166" i="6"/>
  <c r="C1167" i="6"/>
  <c r="C1168" i="6"/>
  <c r="C1095" i="6"/>
  <c r="C1142" i="6"/>
  <c r="C1171" i="6"/>
  <c r="C1172" i="6"/>
  <c r="C1173" i="6"/>
  <c r="C1174" i="6"/>
  <c r="C1176" i="6"/>
  <c r="C977" i="6"/>
  <c r="S999" i="6"/>
  <c r="S910" i="6"/>
  <c r="S921" i="6"/>
  <c r="S974" i="6"/>
  <c r="S1003" i="6"/>
  <c r="S1084" i="6"/>
  <c r="S1014" i="6"/>
  <c r="S1006" i="6"/>
  <c r="S1007" i="6"/>
  <c r="S1008" i="6"/>
  <c r="S1009" i="6"/>
  <c r="S1010" i="6"/>
  <c r="S1011" i="6"/>
  <c r="S1109" i="6"/>
  <c r="S1013" i="6"/>
  <c r="S962" i="6"/>
  <c r="S951" i="6"/>
  <c r="S1016" i="6"/>
  <c r="S928" i="6"/>
  <c r="S1018" i="6"/>
  <c r="S1059" i="6"/>
  <c r="S1020" i="6"/>
  <c r="S1021" i="6"/>
  <c r="S1043" i="6"/>
  <c r="S1023" i="6"/>
  <c r="S1099" i="6"/>
  <c r="S1115" i="6"/>
  <c r="S1130" i="6"/>
  <c r="S896" i="6"/>
  <c r="S937" i="6"/>
  <c r="S956" i="6"/>
  <c r="S979" i="6"/>
  <c r="S981" i="6"/>
  <c r="S964" i="6"/>
  <c r="S922" i="6"/>
  <c r="S1041" i="6"/>
  <c r="S1025" i="6"/>
  <c r="S1036" i="6"/>
  <c r="S1101" i="6"/>
  <c r="S1119" i="6"/>
  <c r="S1150" i="6"/>
  <c r="S1088" i="6"/>
  <c r="S1100" i="6"/>
  <c r="S898" i="6"/>
  <c r="S978" i="6"/>
  <c r="S970" i="6"/>
  <c r="S944" i="6"/>
  <c r="S983" i="6"/>
  <c r="S1047" i="6"/>
  <c r="S1046" i="6"/>
  <c r="S1049" i="6"/>
  <c r="S1050" i="6"/>
  <c r="S1048" i="6"/>
  <c r="S1052" i="6"/>
  <c r="S1029" i="6"/>
  <c r="S1114" i="6"/>
  <c r="S1134" i="6"/>
  <c r="S1108" i="6"/>
  <c r="S893" i="6"/>
  <c r="S1032" i="6"/>
  <c r="S954" i="6"/>
  <c r="S963" i="6"/>
  <c r="S1061" i="6"/>
  <c r="S1062" i="6"/>
  <c r="S1063" i="6"/>
  <c r="S1064" i="6"/>
  <c r="S1065" i="6"/>
  <c r="S1066" i="6"/>
  <c r="S1067" i="6"/>
  <c r="S1068" i="6"/>
  <c r="S1069" i="6"/>
  <c r="S1070" i="6"/>
  <c r="S1071" i="6"/>
  <c r="S902" i="6"/>
  <c r="S1073" i="6"/>
  <c r="S1074" i="6"/>
  <c r="S1075" i="6"/>
  <c r="S1076" i="6"/>
  <c r="S1077" i="6"/>
  <c r="S1078" i="6"/>
  <c r="S1079" i="6"/>
  <c r="S1080" i="6"/>
  <c r="S1081" i="6"/>
  <c r="S1082" i="6"/>
  <c r="S1143" i="6"/>
  <c r="S1128" i="6"/>
  <c r="S1085" i="6"/>
  <c r="S1086" i="6"/>
  <c r="S900" i="6"/>
  <c r="S1034" i="6"/>
  <c r="S969" i="6"/>
  <c r="S985" i="6"/>
  <c r="S1091" i="6"/>
  <c r="S1092" i="6"/>
  <c r="S1033" i="6"/>
  <c r="S1044" i="6"/>
  <c r="S1083" i="6"/>
  <c r="S1096" i="6"/>
  <c r="S1051" i="6"/>
  <c r="S1146" i="6"/>
  <c r="S1117" i="6"/>
  <c r="S1111" i="6"/>
  <c r="S912" i="6"/>
  <c r="S1102" i="6"/>
  <c r="S965" i="6"/>
  <c r="S982" i="6"/>
  <c r="S987" i="6"/>
  <c r="S1106" i="6"/>
  <c r="S1107" i="6"/>
  <c r="S1056" i="6"/>
  <c r="S1090" i="6"/>
  <c r="S1110" i="6"/>
  <c r="S1162" i="6"/>
  <c r="S1112" i="6"/>
  <c r="S1165" i="6"/>
  <c r="S1129" i="6"/>
  <c r="S1122" i="6"/>
  <c r="S919" i="6"/>
  <c r="S967" i="6"/>
  <c r="S1118" i="6"/>
  <c r="S1015" i="6"/>
  <c r="S997" i="6"/>
  <c r="S1019" i="6"/>
  <c r="S1035" i="6"/>
  <c r="S1053" i="6"/>
  <c r="S1124" i="6"/>
  <c r="S1125" i="6"/>
  <c r="S1097" i="6"/>
  <c r="S1151" i="6"/>
  <c r="S1131" i="6"/>
  <c r="S1175" i="6"/>
  <c r="S1144" i="6"/>
  <c r="S923" i="6"/>
  <c r="S1132" i="6"/>
  <c r="S1133" i="6"/>
  <c r="S958" i="6"/>
  <c r="S1135" i="6"/>
  <c r="S1136" i="6"/>
  <c r="S1094" i="6"/>
  <c r="S1138" i="6"/>
  <c r="S1139" i="6"/>
  <c r="S1140" i="6"/>
  <c r="S1141" i="6"/>
  <c r="S1170" i="6"/>
  <c r="S1169" i="6"/>
  <c r="S1148" i="6"/>
  <c r="S1154" i="6"/>
  <c r="S943" i="6"/>
  <c r="S1147" i="6"/>
  <c r="S1002" i="6"/>
  <c r="S1149" i="6"/>
  <c r="S988" i="6"/>
  <c r="S1000" i="6"/>
  <c r="S1152" i="6"/>
  <c r="S1153" i="6"/>
  <c r="S1127" i="6"/>
  <c r="S1155" i="6"/>
  <c r="S1156" i="6"/>
  <c r="S1121" i="6"/>
  <c r="S1158" i="6"/>
  <c r="S1159" i="6"/>
  <c r="S1160" i="6"/>
  <c r="S1161" i="6"/>
  <c r="S905" i="6"/>
  <c r="S1163" i="6"/>
  <c r="S1037" i="6"/>
  <c r="S1017" i="6"/>
  <c r="S1166" i="6"/>
  <c r="S1167" i="6"/>
  <c r="S1168" i="6"/>
  <c r="S1095" i="6"/>
  <c r="S1142" i="6"/>
  <c r="S1171" i="6"/>
  <c r="S1172" i="6"/>
  <c r="S1173" i="6"/>
  <c r="S1174" i="6"/>
  <c r="S1176" i="6"/>
  <c r="S977" i="6"/>
  <c r="U999" i="6"/>
  <c r="U921" i="6"/>
  <c r="U974" i="6"/>
  <c r="U1003" i="6"/>
  <c r="U1084" i="6"/>
  <c r="U1014" i="6"/>
  <c r="U1006" i="6"/>
  <c r="U1007" i="6"/>
  <c r="U1008" i="6"/>
  <c r="U1009" i="6"/>
  <c r="U1010" i="6"/>
  <c r="U1011" i="6"/>
  <c r="U1013" i="6"/>
  <c r="U1016" i="6"/>
  <c r="U1018" i="6"/>
  <c r="U1023" i="6"/>
  <c r="U979" i="6"/>
  <c r="U1036" i="6"/>
  <c r="U1101" i="6"/>
  <c r="U983" i="6"/>
  <c r="U1047" i="6"/>
  <c r="U1049" i="6"/>
  <c r="U1050" i="6"/>
  <c r="U1048" i="6"/>
  <c r="U1052" i="6"/>
  <c r="U1108" i="6"/>
  <c r="U893" i="6"/>
  <c r="U954" i="6"/>
  <c r="U963" i="6"/>
  <c r="U1061" i="6"/>
  <c r="U1062" i="6"/>
  <c r="U1063" i="6"/>
  <c r="U1064" i="6"/>
  <c r="U1065" i="6"/>
  <c r="U1066" i="6"/>
  <c r="U1067" i="6"/>
  <c r="U1068" i="6"/>
  <c r="U1069" i="6"/>
  <c r="U1070" i="6"/>
  <c r="U1071" i="6"/>
  <c r="U1073" i="6"/>
  <c r="U1074" i="6"/>
  <c r="U1075" i="6"/>
  <c r="U1076" i="6"/>
  <c r="U1077" i="6"/>
  <c r="U1078" i="6"/>
  <c r="U1080" i="6"/>
  <c r="U1081" i="6"/>
  <c r="U1082" i="6"/>
  <c r="U1143" i="6"/>
  <c r="U1128" i="6"/>
  <c r="U1085" i="6"/>
  <c r="U1086" i="6"/>
  <c r="U900" i="6"/>
  <c r="U1091" i="6"/>
  <c r="U1092" i="6"/>
  <c r="U1044" i="6"/>
  <c r="U1096" i="6"/>
  <c r="U1051" i="6"/>
  <c r="U1117" i="6"/>
  <c r="U1111" i="6"/>
  <c r="U912" i="6"/>
  <c r="U1102" i="6"/>
  <c r="U965" i="6"/>
  <c r="U982" i="6"/>
  <c r="U987" i="6"/>
  <c r="U1106" i="6"/>
  <c r="U1107" i="6"/>
  <c r="U1110" i="6"/>
  <c r="U1162" i="6"/>
  <c r="U1112" i="6"/>
  <c r="U1165" i="6"/>
  <c r="U1122" i="6"/>
  <c r="U1118" i="6"/>
  <c r="U1035" i="6"/>
  <c r="U1125" i="6"/>
  <c r="U1097" i="6"/>
  <c r="U1144" i="6"/>
  <c r="U923" i="6"/>
  <c r="U1132" i="6"/>
  <c r="U1133" i="6"/>
  <c r="U958" i="6"/>
  <c r="U1135" i="6"/>
  <c r="U1136" i="6"/>
  <c r="U1094" i="6"/>
  <c r="U1138" i="6"/>
  <c r="U1139" i="6"/>
  <c r="U1140" i="6"/>
  <c r="U1141" i="6"/>
  <c r="U1154" i="6"/>
  <c r="U943" i="6"/>
  <c r="U1147" i="6"/>
  <c r="U1002" i="6"/>
  <c r="U1149" i="6"/>
  <c r="U1000" i="6"/>
  <c r="U1152" i="6"/>
  <c r="U1153" i="6"/>
  <c r="U1155" i="6"/>
  <c r="U1156" i="6"/>
  <c r="U1121" i="6"/>
  <c r="U1158" i="6"/>
  <c r="U1159" i="6"/>
  <c r="U1160" i="6"/>
  <c r="U1163" i="6"/>
  <c r="U1037" i="6"/>
  <c r="U1166" i="6"/>
  <c r="U1167" i="6"/>
  <c r="U1168" i="6"/>
  <c r="U1095" i="6"/>
  <c r="U1142" i="6"/>
  <c r="U1171" i="6"/>
  <c r="U1172" i="6"/>
  <c r="U1173" i="6"/>
  <c r="U1174" i="6"/>
  <c r="U1176" i="6"/>
  <c r="X999" i="6"/>
  <c r="X1003" i="6"/>
  <c r="X1084" i="6"/>
  <c r="X1014" i="6"/>
  <c r="X1006" i="6"/>
  <c r="X1007" i="6"/>
  <c r="X1008" i="6"/>
  <c r="X1009" i="6"/>
  <c r="X1010" i="6"/>
  <c r="X1011" i="6"/>
  <c r="X1109" i="6"/>
  <c r="X1013" i="6"/>
  <c r="X1016" i="6"/>
  <c r="X1018" i="6"/>
  <c r="X1023" i="6"/>
  <c r="X979" i="6"/>
  <c r="X981" i="6"/>
  <c r="X1036" i="6"/>
  <c r="X898" i="6"/>
  <c r="X978" i="6"/>
  <c r="X1047" i="6"/>
  <c r="X1049" i="6"/>
  <c r="X1050" i="6"/>
  <c r="X1048" i="6"/>
  <c r="X1052" i="6"/>
  <c r="X1029" i="6"/>
  <c r="X1108" i="6"/>
  <c r="X893" i="6"/>
  <c r="X1061" i="6"/>
  <c r="X1062" i="6"/>
  <c r="X1064" i="6"/>
  <c r="X1065" i="6"/>
  <c r="X1066" i="6"/>
  <c r="X1067" i="6"/>
  <c r="X1068" i="6"/>
  <c r="X1069" i="6"/>
  <c r="X1070" i="6"/>
  <c r="X1071" i="6"/>
  <c r="X902" i="6"/>
  <c r="X1073" i="6"/>
  <c r="X1074" i="6"/>
  <c r="X1075" i="6"/>
  <c r="X1076" i="6"/>
  <c r="X1077" i="6"/>
  <c r="X1078" i="6"/>
  <c r="X1080" i="6"/>
  <c r="X1081" i="6"/>
  <c r="X1082" i="6"/>
  <c r="X1143" i="6"/>
  <c r="X1128" i="6"/>
  <c r="X1085" i="6"/>
  <c r="X1086" i="6"/>
  <c r="X1091" i="6"/>
  <c r="X1092" i="6"/>
  <c r="X1033" i="6"/>
  <c r="X1096" i="6"/>
  <c r="X1117" i="6"/>
  <c r="X1111" i="6"/>
  <c r="X912" i="6"/>
  <c r="X1102" i="6"/>
  <c r="X1106" i="6"/>
  <c r="X1107" i="6"/>
  <c r="X1110" i="6"/>
  <c r="X1162" i="6"/>
  <c r="X1112" i="6"/>
  <c r="X1165" i="6"/>
  <c r="X1118" i="6"/>
  <c r="X1015" i="6"/>
  <c r="X1019" i="6"/>
  <c r="X1124" i="6"/>
  <c r="X1125" i="6"/>
  <c r="X1151" i="6"/>
  <c r="X1175" i="6"/>
  <c r="X1144" i="6"/>
  <c r="X1132" i="6"/>
  <c r="X1133" i="6"/>
  <c r="X1135" i="6"/>
  <c r="X1136" i="6"/>
  <c r="X1094" i="6"/>
  <c r="X1138" i="6"/>
  <c r="X1139" i="6"/>
  <c r="X1140" i="6"/>
  <c r="X1141" i="6"/>
  <c r="X1170" i="6"/>
  <c r="X943" i="6"/>
  <c r="X1147" i="6"/>
  <c r="X1002" i="6"/>
  <c r="X1149" i="6"/>
  <c r="X1000" i="6"/>
  <c r="X1152" i="6"/>
  <c r="X1153" i="6"/>
  <c r="X1127" i="6"/>
  <c r="X1155" i="6"/>
  <c r="X1156" i="6"/>
  <c r="X1121" i="6"/>
  <c r="X1158" i="6"/>
  <c r="X1159" i="6"/>
  <c r="X1160" i="6"/>
  <c r="X1161" i="6"/>
  <c r="X1163" i="6"/>
  <c r="X1037" i="6"/>
  <c r="X1017" i="6"/>
  <c r="X1166" i="6"/>
  <c r="X1167" i="6"/>
  <c r="X1168" i="6"/>
  <c r="X1095" i="6"/>
  <c r="X1171" i="6"/>
  <c r="X1172" i="6"/>
  <c r="X1173" i="6"/>
  <c r="Z999" i="6"/>
  <c r="Z1003" i="6"/>
  <c r="Z1084" i="6"/>
  <c r="Z1014" i="6"/>
  <c r="Z1006" i="6"/>
  <c r="Z1007" i="6"/>
  <c r="Z1008" i="6"/>
  <c r="Z1009" i="6"/>
  <c r="Z1010" i="6"/>
  <c r="Z1011" i="6"/>
  <c r="Z1109" i="6"/>
  <c r="Z1013" i="6"/>
  <c r="Z1016" i="6"/>
  <c r="Z1018" i="6"/>
  <c r="Z1023" i="6"/>
  <c r="Z979" i="6"/>
  <c r="Z981" i="6"/>
  <c r="Z1036" i="6"/>
  <c r="Z898" i="6"/>
  <c r="Z978" i="6"/>
  <c r="Z1047" i="6"/>
  <c r="Z1049" i="6"/>
  <c r="Z1050" i="6"/>
  <c r="Z1048" i="6"/>
  <c r="Z1052" i="6"/>
  <c r="Z1029" i="6"/>
  <c r="Z1108" i="6"/>
  <c r="Z893" i="6"/>
  <c r="Z1061" i="6"/>
  <c r="Z1062" i="6"/>
  <c r="Z1064" i="6"/>
  <c r="Z1065" i="6"/>
  <c r="Z1066" i="6"/>
  <c r="Z1067" i="6"/>
  <c r="Z1068" i="6"/>
  <c r="Z1069" i="6"/>
  <c r="Z1070" i="6"/>
  <c r="Z1071" i="6"/>
  <c r="Z902" i="6"/>
  <c r="Z1073" i="6"/>
  <c r="Z1074" i="6"/>
  <c r="Z1075" i="6"/>
  <c r="Z1076" i="6"/>
  <c r="Z1077" i="6"/>
  <c r="Z1078" i="6"/>
  <c r="Z1080" i="6"/>
  <c r="Z1081" i="6"/>
  <c r="Z1082" i="6"/>
  <c r="Z1143" i="6"/>
  <c r="Z1128" i="6"/>
  <c r="Z1085" i="6"/>
  <c r="Z1086" i="6"/>
  <c r="Z1091" i="6"/>
  <c r="Z1092" i="6"/>
  <c r="Z1033" i="6"/>
  <c r="Z1096" i="6"/>
  <c r="Z1051" i="6"/>
  <c r="Z1117" i="6"/>
  <c r="Z1111" i="6"/>
  <c r="Z912" i="6"/>
  <c r="Z1102" i="6"/>
  <c r="Z1106" i="6"/>
  <c r="Z1107" i="6"/>
  <c r="Z1110" i="6"/>
  <c r="Z1162" i="6"/>
  <c r="Z1112" i="6"/>
  <c r="Z1165" i="6"/>
  <c r="Z1118" i="6"/>
  <c r="Z1015" i="6"/>
  <c r="Z1124" i="6"/>
  <c r="Z1125" i="6"/>
  <c r="Z1151" i="6"/>
  <c r="Z1175" i="6"/>
  <c r="Z1144" i="6"/>
  <c r="Z1132" i="6"/>
  <c r="Z1133" i="6"/>
  <c r="Z1135" i="6"/>
  <c r="Z1136" i="6"/>
  <c r="Z1094" i="6"/>
  <c r="Z1138" i="6"/>
  <c r="Z1139" i="6"/>
  <c r="Z1140" i="6"/>
  <c r="Z1141" i="6"/>
  <c r="Z1170" i="6"/>
  <c r="Z943" i="6"/>
  <c r="Z1147" i="6"/>
  <c r="Z1002" i="6"/>
  <c r="Z1149" i="6"/>
  <c r="Z1000" i="6"/>
  <c r="Z1152" i="6"/>
  <c r="Z1153" i="6"/>
  <c r="Z1127" i="6"/>
  <c r="Z1155" i="6"/>
  <c r="Z1156" i="6"/>
  <c r="Z1121" i="6"/>
  <c r="Z1158" i="6"/>
  <c r="Z1159" i="6"/>
  <c r="Z1160" i="6"/>
  <c r="Z1161" i="6"/>
  <c r="Z1163" i="6"/>
  <c r="Z1037" i="6"/>
  <c r="Z1017" i="6"/>
  <c r="Z1166" i="6"/>
  <c r="Z1167" i="6"/>
  <c r="Z1168" i="6"/>
  <c r="Z1095" i="6"/>
  <c r="Z1171" i="6"/>
  <c r="Z1172" i="6"/>
  <c r="Z1173" i="6"/>
  <c r="Z1174" i="6"/>
  <c r="AA999" i="6"/>
  <c r="AA910" i="6"/>
  <c r="AA921" i="6"/>
  <c r="AA974" i="6"/>
  <c r="AA1003" i="6"/>
  <c r="AA1084" i="6"/>
  <c r="AA1014" i="6"/>
  <c r="AA1006" i="6"/>
  <c r="AA1007" i="6"/>
  <c r="AA1008" i="6"/>
  <c r="AA1009" i="6"/>
  <c r="AA1010" i="6"/>
  <c r="AA1011" i="6"/>
  <c r="AA1109" i="6"/>
  <c r="AA1013" i="6"/>
  <c r="AA962" i="6"/>
  <c r="AA951" i="6"/>
  <c r="AA1016" i="6"/>
  <c r="AA928" i="6"/>
  <c r="AA1018" i="6"/>
  <c r="AA1059" i="6"/>
  <c r="AA1020" i="6"/>
  <c r="AA1021" i="6"/>
  <c r="AA1043" i="6"/>
  <c r="AA1023" i="6"/>
  <c r="AA1099" i="6"/>
  <c r="AA1115" i="6"/>
  <c r="AA1130" i="6"/>
  <c r="AA896" i="6"/>
  <c r="AA937" i="6"/>
  <c r="AA956" i="6"/>
  <c r="AA979" i="6"/>
  <c r="AA981" i="6"/>
  <c r="AA964" i="6"/>
  <c r="AA922" i="6"/>
  <c r="AA1041" i="6"/>
  <c r="AA1025" i="6"/>
  <c r="AA1036" i="6"/>
  <c r="AA1101" i="6"/>
  <c r="AA1119" i="6"/>
  <c r="AA1150" i="6"/>
  <c r="AA1088" i="6"/>
  <c r="AA1100" i="6"/>
  <c r="AA898" i="6"/>
  <c r="AA978" i="6"/>
  <c r="AA970" i="6"/>
  <c r="AA944" i="6"/>
  <c r="AA983" i="6"/>
  <c r="AA1047" i="6"/>
  <c r="AA1046" i="6"/>
  <c r="AA1049" i="6"/>
  <c r="AA1050" i="6"/>
  <c r="AA1048" i="6"/>
  <c r="AA1052" i="6"/>
  <c r="AA1029" i="6"/>
  <c r="AA1114" i="6"/>
  <c r="AA1134" i="6"/>
  <c r="AA1108" i="6"/>
  <c r="AA893" i="6"/>
  <c r="AA1032" i="6"/>
  <c r="AA954" i="6"/>
  <c r="AA963" i="6"/>
  <c r="AA1061" i="6"/>
  <c r="AA1062" i="6"/>
  <c r="AA1063" i="6"/>
  <c r="AA1064" i="6"/>
  <c r="AA1065" i="6"/>
  <c r="AA1066" i="6"/>
  <c r="AA1067" i="6"/>
  <c r="AA1068" i="6"/>
  <c r="AA1069" i="6"/>
  <c r="AA1070" i="6"/>
  <c r="AA1071" i="6"/>
  <c r="AA902" i="6"/>
  <c r="AA1073" i="6"/>
  <c r="AA1074" i="6"/>
  <c r="AA1075" i="6"/>
  <c r="AA1076" i="6"/>
  <c r="AA1077" i="6"/>
  <c r="AA1078" i="6"/>
  <c r="AA1079" i="6"/>
  <c r="AA1080" i="6"/>
  <c r="AA1081" i="6"/>
  <c r="AA1082" i="6"/>
  <c r="AA1143" i="6"/>
  <c r="AA1128" i="6"/>
  <c r="AA1085" i="6"/>
  <c r="AA1086" i="6"/>
  <c r="AA900" i="6"/>
  <c r="AA1034" i="6"/>
  <c r="AA969" i="6"/>
  <c r="AA985" i="6"/>
  <c r="AA1091" i="6"/>
  <c r="AA1092" i="6"/>
  <c r="AA1033" i="6"/>
  <c r="AA1044" i="6"/>
  <c r="AA1083" i="6"/>
  <c r="AA1096" i="6"/>
  <c r="AA1051" i="6"/>
  <c r="AA1146" i="6"/>
  <c r="AA1117" i="6"/>
  <c r="AA1111" i="6"/>
  <c r="AA912" i="6"/>
  <c r="AA1102" i="6"/>
  <c r="AA965" i="6"/>
  <c r="AA982" i="6"/>
  <c r="AA987" i="6"/>
  <c r="AA1106" i="6"/>
  <c r="AA1107" i="6"/>
  <c r="AA1056" i="6"/>
  <c r="AA1090" i="6"/>
  <c r="AA1110" i="6"/>
  <c r="AA1162" i="6"/>
  <c r="AA1112" i="6"/>
  <c r="AA1165" i="6"/>
  <c r="AA1129" i="6"/>
  <c r="AA1122" i="6"/>
  <c r="AA919" i="6"/>
  <c r="AA967" i="6"/>
  <c r="AA1118" i="6"/>
  <c r="AA1015" i="6"/>
  <c r="AA997" i="6"/>
  <c r="AA1019" i="6"/>
  <c r="AA1035" i="6"/>
  <c r="AA1053" i="6"/>
  <c r="AA1124" i="6"/>
  <c r="AA1125" i="6"/>
  <c r="AA1097" i="6"/>
  <c r="AA1151" i="6"/>
  <c r="AA1131" i="6"/>
  <c r="AA1175" i="6"/>
  <c r="AA1144" i="6"/>
  <c r="AA923" i="6"/>
  <c r="AA1132" i="6"/>
  <c r="AA1133" i="6"/>
  <c r="AA958" i="6"/>
  <c r="AA1135" i="6"/>
  <c r="AA1136" i="6"/>
  <c r="AA1094" i="6"/>
  <c r="AA1138" i="6"/>
  <c r="AA1139" i="6"/>
  <c r="AA1140" i="6"/>
  <c r="AA1141" i="6"/>
  <c r="AA1170" i="6"/>
  <c r="AA1169" i="6"/>
  <c r="AA1148" i="6"/>
  <c r="AA1154" i="6"/>
  <c r="AA943" i="6"/>
  <c r="AA1147" i="6"/>
  <c r="AA1002" i="6"/>
  <c r="AA1149" i="6"/>
  <c r="AA988" i="6"/>
  <c r="AA1000" i="6"/>
  <c r="AA1152" i="6"/>
  <c r="AA1153" i="6"/>
  <c r="AA1127" i="6"/>
  <c r="AA1155" i="6"/>
  <c r="AA1156" i="6"/>
  <c r="AA1121" i="6"/>
  <c r="AA1158" i="6"/>
  <c r="AA1159" i="6"/>
  <c r="AA1160" i="6"/>
  <c r="AA1161" i="6"/>
  <c r="AA905" i="6"/>
  <c r="AA1163" i="6"/>
  <c r="AA1037" i="6"/>
  <c r="AA1017" i="6"/>
  <c r="AA1166" i="6"/>
  <c r="AA1167" i="6"/>
  <c r="AA1168" i="6"/>
  <c r="AA1095" i="6"/>
  <c r="AA1142" i="6"/>
  <c r="AA1171" i="6"/>
  <c r="AA1172" i="6"/>
  <c r="AA1173" i="6"/>
  <c r="AA1174" i="6"/>
  <c r="AA1176" i="6"/>
  <c r="AA977" i="6"/>
  <c r="AC999" i="6"/>
  <c r="Q999" i="6" s="1"/>
  <c r="V999" i="6" s="1"/>
  <c r="AC910" i="6"/>
  <c r="Q910" i="6" s="1"/>
  <c r="V910" i="6" s="1"/>
  <c r="Z910" i="6" s="1"/>
  <c r="AC921" i="6"/>
  <c r="Q921" i="6" s="1"/>
  <c r="V921" i="6" s="1"/>
  <c r="Z921" i="6" s="1"/>
  <c r="AC974" i="6"/>
  <c r="Q974" i="6" s="1"/>
  <c r="V974" i="6" s="1"/>
  <c r="X974" i="6" s="1"/>
  <c r="AC1003" i="6"/>
  <c r="Q1003" i="6" s="1"/>
  <c r="V1003" i="6" s="1"/>
  <c r="AC1084" i="6"/>
  <c r="Q1084" i="6" s="1"/>
  <c r="V1084" i="6" s="1"/>
  <c r="AC1014" i="6"/>
  <c r="Q1014" i="6" s="1"/>
  <c r="V1014" i="6" s="1"/>
  <c r="AC1006" i="6"/>
  <c r="Q1006" i="6" s="1"/>
  <c r="V1006" i="6" s="1"/>
  <c r="AC1007" i="6"/>
  <c r="Q1007" i="6" s="1"/>
  <c r="V1007" i="6" s="1"/>
  <c r="AC1008" i="6"/>
  <c r="Q1008" i="6" s="1"/>
  <c r="V1008" i="6" s="1"/>
  <c r="AC1009" i="6"/>
  <c r="Q1009" i="6" s="1"/>
  <c r="V1009" i="6" s="1"/>
  <c r="AC1010" i="6"/>
  <c r="Q1010" i="6" s="1"/>
  <c r="V1010" i="6" s="1"/>
  <c r="AC1011" i="6"/>
  <c r="Q1011" i="6" s="1"/>
  <c r="V1011" i="6" s="1"/>
  <c r="AC1109" i="6"/>
  <c r="Q1109" i="6" s="1"/>
  <c r="V1109" i="6" s="1"/>
  <c r="U1109" i="6" s="1"/>
  <c r="AC1013" i="6"/>
  <c r="Q1013" i="6" s="1"/>
  <c r="V1013" i="6" s="1"/>
  <c r="AC962" i="6"/>
  <c r="Q962" i="6" s="1"/>
  <c r="V962" i="6" s="1"/>
  <c r="U962" i="6" s="1"/>
  <c r="AC951" i="6"/>
  <c r="Q951" i="6" s="1"/>
  <c r="V951" i="6" s="1"/>
  <c r="U951" i="6" s="1"/>
  <c r="AC1016" i="6"/>
  <c r="Q1016" i="6" s="1"/>
  <c r="V1016" i="6" s="1"/>
  <c r="AC928" i="6"/>
  <c r="Q928" i="6" s="1"/>
  <c r="V928" i="6" s="1"/>
  <c r="U928" i="6" s="1"/>
  <c r="AC1018" i="6"/>
  <c r="Q1018" i="6" s="1"/>
  <c r="V1018" i="6" s="1"/>
  <c r="AC1059" i="6"/>
  <c r="Q1059" i="6" s="1"/>
  <c r="V1059" i="6" s="1"/>
  <c r="U1059" i="6" s="1"/>
  <c r="AC1020" i="6"/>
  <c r="Q1020" i="6" s="1"/>
  <c r="V1020" i="6" s="1"/>
  <c r="X1020" i="6" s="1"/>
  <c r="AC1021" i="6"/>
  <c r="Q1021" i="6" s="1"/>
  <c r="V1021" i="6" s="1"/>
  <c r="U1021" i="6" s="1"/>
  <c r="AC1043" i="6"/>
  <c r="Q1043" i="6" s="1"/>
  <c r="V1043" i="6" s="1"/>
  <c r="X1043" i="6" s="1"/>
  <c r="AC1023" i="6"/>
  <c r="Q1023" i="6" s="1"/>
  <c r="V1023" i="6" s="1"/>
  <c r="AC1099" i="6"/>
  <c r="Q1099" i="6" s="1"/>
  <c r="V1099" i="6" s="1"/>
  <c r="Z1099" i="6" s="1"/>
  <c r="AC1115" i="6"/>
  <c r="Q1115" i="6" s="1"/>
  <c r="V1115" i="6" s="1"/>
  <c r="X1115" i="6" s="1"/>
  <c r="AC1130" i="6"/>
  <c r="Q1130" i="6" s="1"/>
  <c r="V1130" i="6" s="1"/>
  <c r="Z1130" i="6" s="1"/>
  <c r="AC896" i="6"/>
  <c r="Q896" i="6" s="1"/>
  <c r="V896" i="6" s="1"/>
  <c r="U896" i="6" s="1"/>
  <c r="AC937" i="6"/>
  <c r="Q937" i="6" s="1"/>
  <c r="V937" i="6" s="1"/>
  <c r="Z937" i="6" s="1"/>
  <c r="AC956" i="6"/>
  <c r="Q956" i="6" s="1"/>
  <c r="V956" i="6" s="1"/>
  <c r="U956" i="6" s="1"/>
  <c r="AC979" i="6"/>
  <c r="Q979" i="6" s="1"/>
  <c r="V979" i="6" s="1"/>
  <c r="AC981" i="6"/>
  <c r="Q981" i="6" s="1"/>
  <c r="V981" i="6" s="1"/>
  <c r="U981" i="6" s="1"/>
  <c r="AC964" i="6"/>
  <c r="Q964" i="6" s="1"/>
  <c r="V964" i="6" s="1"/>
  <c r="U964" i="6" s="1"/>
  <c r="AC922" i="6"/>
  <c r="Q922" i="6" s="1"/>
  <c r="V922" i="6" s="1"/>
  <c r="Z922" i="6" s="1"/>
  <c r="AC1041" i="6"/>
  <c r="Q1041" i="6" s="1"/>
  <c r="V1041" i="6" s="1"/>
  <c r="X1041" i="6" s="1"/>
  <c r="AC1025" i="6"/>
  <c r="Q1025" i="6" s="1"/>
  <c r="V1025" i="6" s="1"/>
  <c r="X1025" i="6" s="1"/>
  <c r="AC1036" i="6"/>
  <c r="Q1036" i="6" s="1"/>
  <c r="V1036" i="6" s="1"/>
  <c r="AC1101" i="6"/>
  <c r="Q1101" i="6" s="1"/>
  <c r="V1101" i="6" s="1"/>
  <c r="X1101" i="6" s="1"/>
  <c r="AC1119" i="6"/>
  <c r="Q1119" i="6" s="1"/>
  <c r="V1119" i="6" s="1"/>
  <c r="Z1119" i="6" s="1"/>
  <c r="AC1150" i="6"/>
  <c r="Q1150" i="6" s="1"/>
  <c r="V1150" i="6" s="1"/>
  <c r="U1150" i="6" s="1"/>
  <c r="AC1088" i="6"/>
  <c r="Q1088" i="6" s="1"/>
  <c r="V1088" i="6" s="1"/>
  <c r="U1088" i="6" s="1"/>
  <c r="AC1100" i="6"/>
  <c r="Q1100" i="6" s="1"/>
  <c r="V1100" i="6" s="1"/>
  <c r="X1100" i="6" s="1"/>
  <c r="AC898" i="6"/>
  <c r="Q898" i="6" s="1"/>
  <c r="V898" i="6" s="1"/>
  <c r="U898" i="6" s="1"/>
  <c r="AC978" i="6"/>
  <c r="Q978" i="6" s="1"/>
  <c r="V978" i="6" s="1"/>
  <c r="U978" i="6" s="1"/>
  <c r="AC970" i="6"/>
  <c r="Q970" i="6" s="1"/>
  <c r="V970" i="6" s="1"/>
  <c r="U970" i="6" s="1"/>
  <c r="AC944" i="6"/>
  <c r="Q944" i="6" s="1"/>
  <c r="V944" i="6" s="1"/>
  <c r="U944" i="6" s="1"/>
  <c r="AC983" i="6"/>
  <c r="Q983" i="6" s="1"/>
  <c r="V983" i="6" s="1"/>
  <c r="X983" i="6" s="1"/>
  <c r="AC1047" i="6"/>
  <c r="Q1047" i="6" s="1"/>
  <c r="V1047" i="6" s="1"/>
  <c r="AC1046" i="6"/>
  <c r="Q1046" i="6" s="1"/>
  <c r="V1046" i="6" s="1"/>
  <c r="Z1046" i="6" s="1"/>
  <c r="AC1049" i="6"/>
  <c r="Q1049" i="6" s="1"/>
  <c r="V1049" i="6" s="1"/>
  <c r="AC1050" i="6"/>
  <c r="Q1050" i="6" s="1"/>
  <c r="V1050" i="6" s="1"/>
  <c r="AC1048" i="6"/>
  <c r="Q1048" i="6" s="1"/>
  <c r="V1048" i="6" s="1"/>
  <c r="AC1052" i="6"/>
  <c r="Q1052" i="6" s="1"/>
  <c r="V1052" i="6" s="1"/>
  <c r="AC1029" i="6"/>
  <c r="Q1029" i="6" s="1"/>
  <c r="V1029" i="6" s="1"/>
  <c r="U1029" i="6" s="1"/>
  <c r="AC1114" i="6"/>
  <c r="Q1114" i="6" s="1"/>
  <c r="V1114" i="6" s="1"/>
  <c r="U1114" i="6" s="1"/>
  <c r="AC1134" i="6"/>
  <c r="Q1134" i="6" s="1"/>
  <c r="V1134" i="6" s="1"/>
  <c r="Z1134" i="6" s="1"/>
  <c r="AC1108" i="6"/>
  <c r="Q1108" i="6" s="1"/>
  <c r="V1108" i="6" s="1"/>
  <c r="AC893" i="6"/>
  <c r="Q893" i="6" s="1"/>
  <c r="V893" i="6" s="1"/>
  <c r="AC1032" i="6"/>
  <c r="Q1032" i="6" s="1"/>
  <c r="V1032" i="6" s="1"/>
  <c r="U1032" i="6" s="1"/>
  <c r="AC954" i="6"/>
  <c r="Q954" i="6" s="1"/>
  <c r="V954" i="6" s="1"/>
  <c r="X954" i="6" s="1"/>
  <c r="AC963" i="6"/>
  <c r="Q963" i="6" s="1"/>
  <c r="V963" i="6" s="1"/>
  <c r="X963" i="6" s="1"/>
  <c r="AC1061" i="6"/>
  <c r="Q1061" i="6" s="1"/>
  <c r="V1061" i="6" s="1"/>
  <c r="AC1062" i="6"/>
  <c r="Q1062" i="6" s="1"/>
  <c r="V1062" i="6" s="1"/>
  <c r="AC1063" i="6"/>
  <c r="Q1063" i="6" s="1"/>
  <c r="V1063" i="6" s="1"/>
  <c r="Z1063" i="6" s="1"/>
  <c r="AC1064" i="6"/>
  <c r="Q1064" i="6" s="1"/>
  <c r="V1064" i="6" s="1"/>
  <c r="AC1065" i="6"/>
  <c r="Q1065" i="6" s="1"/>
  <c r="V1065" i="6" s="1"/>
  <c r="AC1066" i="6"/>
  <c r="Q1066" i="6" s="1"/>
  <c r="V1066" i="6" s="1"/>
  <c r="AC1067" i="6"/>
  <c r="Q1067" i="6" s="1"/>
  <c r="V1067" i="6" s="1"/>
  <c r="AC1068" i="6"/>
  <c r="Q1068" i="6" s="1"/>
  <c r="V1068" i="6" s="1"/>
  <c r="AC1069" i="6"/>
  <c r="Q1069" i="6" s="1"/>
  <c r="V1069" i="6" s="1"/>
  <c r="AC1070" i="6"/>
  <c r="Q1070" i="6" s="1"/>
  <c r="V1070" i="6" s="1"/>
  <c r="AC1071" i="6"/>
  <c r="Q1071" i="6" s="1"/>
  <c r="V1071" i="6" s="1"/>
  <c r="AC902" i="6"/>
  <c r="Q902" i="6" s="1"/>
  <c r="V902" i="6" s="1"/>
  <c r="U902" i="6" s="1"/>
  <c r="AC1073" i="6"/>
  <c r="Q1073" i="6" s="1"/>
  <c r="V1073" i="6" s="1"/>
  <c r="AC1074" i="6"/>
  <c r="Q1074" i="6" s="1"/>
  <c r="V1074" i="6" s="1"/>
  <c r="AC1075" i="6"/>
  <c r="Q1075" i="6" s="1"/>
  <c r="V1075" i="6" s="1"/>
  <c r="AC1076" i="6"/>
  <c r="Q1076" i="6" s="1"/>
  <c r="V1076" i="6" s="1"/>
  <c r="AC1077" i="6"/>
  <c r="Q1077" i="6" s="1"/>
  <c r="V1077" i="6" s="1"/>
  <c r="AC1078" i="6"/>
  <c r="Q1078" i="6" s="1"/>
  <c r="V1078" i="6" s="1"/>
  <c r="AC1079" i="6"/>
  <c r="Q1079" i="6" s="1"/>
  <c r="V1079" i="6" s="1"/>
  <c r="X1079" i="6" s="1"/>
  <c r="AC1080" i="6"/>
  <c r="Q1080" i="6" s="1"/>
  <c r="V1080" i="6" s="1"/>
  <c r="AC1081" i="6"/>
  <c r="Q1081" i="6" s="1"/>
  <c r="V1081" i="6" s="1"/>
  <c r="AC1082" i="6"/>
  <c r="Q1082" i="6" s="1"/>
  <c r="V1082" i="6" s="1"/>
  <c r="AC1143" i="6"/>
  <c r="Q1143" i="6" s="1"/>
  <c r="V1143" i="6" s="1"/>
  <c r="AC1128" i="6"/>
  <c r="Q1128" i="6" s="1"/>
  <c r="V1128" i="6" s="1"/>
  <c r="AC1085" i="6"/>
  <c r="Q1085" i="6" s="1"/>
  <c r="V1085" i="6" s="1"/>
  <c r="AC1086" i="6"/>
  <c r="Q1086" i="6" s="1"/>
  <c r="V1086" i="6" s="1"/>
  <c r="AC900" i="6"/>
  <c r="Q900" i="6" s="1"/>
  <c r="V900" i="6" s="1"/>
  <c r="Z900" i="6" s="1"/>
  <c r="AC1034" i="6"/>
  <c r="Q1034" i="6" s="1"/>
  <c r="V1034" i="6" s="1"/>
  <c r="X1034" i="6" s="1"/>
  <c r="AC969" i="6"/>
  <c r="Q969" i="6" s="1"/>
  <c r="V969" i="6" s="1"/>
  <c r="U969" i="6" s="1"/>
  <c r="AC985" i="6"/>
  <c r="Q985" i="6" s="1"/>
  <c r="V985" i="6" s="1"/>
  <c r="Z985" i="6" s="1"/>
  <c r="AC1091" i="6"/>
  <c r="Q1091" i="6" s="1"/>
  <c r="V1091" i="6" s="1"/>
  <c r="AC1092" i="6"/>
  <c r="Q1092" i="6" s="1"/>
  <c r="V1092" i="6" s="1"/>
  <c r="AC1033" i="6"/>
  <c r="Q1033" i="6" s="1"/>
  <c r="V1033" i="6" s="1"/>
  <c r="U1033" i="6" s="1"/>
  <c r="AC1044" i="6"/>
  <c r="Q1044" i="6" s="1"/>
  <c r="V1044" i="6" s="1"/>
  <c r="X1044" i="6" s="1"/>
  <c r="AC1083" i="6"/>
  <c r="Q1083" i="6" s="1"/>
  <c r="V1083" i="6" s="1"/>
  <c r="U1083" i="6" s="1"/>
  <c r="AC1096" i="6"/>
  <c r="Q1096" i="6" s="1"/>
  <c r="V1096" i="6" s="1"/>
  <c r="AC1051" i="6"/>
  <c r="Q1051" i="6" s="1"/>
  <c r="V1051" i="6" s="1"/>
  <c r="X1051" i="6" s="1"/>
  <c r="AC1146" i="6"/>
  <c r="Q1146" i="6" s="1"/>
  <c r="V1146" i="6" s="1"/>
  <c r="X1146" i="6" s="1"/>
  <c r="AC1117" i="6"/>
  <c r="Q1117" i="6" s="1"/>
  <c r="V1117" i="6" s="1"/>
  <c r="AC1111" i="6"/>
  <c r="Q1111" i="6" s="1"/>
  <c r="V1111" i="6" s="1"/>
  <c r="AC912" i="6"/>
  <c r="Q912" i="6" s="1"/>
  <c r="V912" i="6" s="1"/>
  <c r="AC1102" i="6"/>
  <c r="Q1102" i="6" s="1"/>
  <c r="V1102" i="6" s="1"/>
  <c r="AC965" i="6"/>
  <c r="Q965" i="6" s="1"/>
  <c r="V965" i="6" s="1"/>
  <c r="Z965" i="6" s="1"/>
  <c r="AC982" i="6"/>
  <c r="Q982" i="6" s="1"/>
  <c r="V982" i="6" s="1"/>
  <c r="X982" i="6" s="1"/>
  <c r="AC987" i="6"/>
  <c r="Q987" i="6" s="1"/>
  <c r="V987" i="6" s="1"/>
  <c r="Z987" i="6" s="1"/>
  <c r="AC1106" i="6"/>
  <c r="Q1106" i="6" s="1"/>
  <c r="V1106" i="6" s="1"/>
  <c r="AC1107" i="6"/>
  <c r="Q1107" i="6" s="1"/>
  <c r="V1107" i="6" s="1"/>
  <c r="AC1056" i="6"/>
  <c r="Q1056" i="6" s="1"/>
  <c r="V1056" i="6" s="1"/>
  <c r="U1056" i="6" s="1"/>
  <c r="AC1090" i="6"/>
  <c r="Q1090" i="6" s="1"/>
  <c r="V1090" i="6" s="1"/>
  <c r="Z1090" i="6" s="1"/>
  <c r="AC1110" i="6"/>
  <c r="Q1110" i="6" s="1"/>
  <c r="V1110" i="6" s="1"/>
  <c r="AC1162" i="6"/>
  <c r="Q1162" i="6" s="1"/>
  <c r="V1162" i="6" s="1"/>
  <c r="AC1112" i="6"/>
  <c r="Q1112" i="6" s="1"/>
  <c r="V1112" i="6" s="1"/>
  <c r="AC1165" i="6"/>
  <c r="Q1165" i="6" s="1"/>
  <c r="V1165" i="6" s="1"/>
  <c r="AC1129" i="6"/>
  <c r="Q1129" i="6" s="1"/>
  <c r="V1129" i="6" s="1"/>
  <c r="Z1129" i="6" s="1"/>
  <c r="AC1122" i="6"/>
  <c r="Q1122" i="6" s="1"/>
  <c r="V1122" i="6" s="1"/>
  <c r="Z1122" i="6" s="1"/>
  <c r="AC919" i="6"/>
  <c r="Q919" i="6" s="1"/>
  <c r="V919" i="6" s="1"/>
  <c r="Z919" i="6" s="1"/>
  <c r="AC967" i="6"/>
  <c r="Q967" i="6" s="1"/>
  <c r="V967" i="6" s="1"/>
  <c r="U967" i="6" s="1"/>
  <c r="AC1118" i="6"/>
  <c r="Q1118" i="6" s="1"/>
  <c r="V1118" i="6" s="1"/>
  <c r="AC1015" i="6"/>
  <c r="Q1015" i="6" s="1"/>
  <c r="V1015" i="6" s="1"/>
  <c r="U1015" i="6" s="1"/>
  <c r="AC997" i="6"/>
  <c r="Q997" i="6" s="1"/>
  <c r="V997" i="6" s="1"/>
  <c r="Z997" i="6" s="1"/>
  <c r="AC1019" i="6"/>
  <c r="Q1019" i="6" s="1"/>
  <c r="V1019" i="6" s="1"/>
  <c r="U1019" i="6" s="1"/>
  <c r="AC1035" i="6"/>
  <c r="Q1035" i="6" s="1"/>
  <c r="V1035" i="6" s="1"/>
  <c r="X1035" i="6" s="1"/>
  <c r="AC1053" i="6"/>
  <c r="Q1053" i="6" s="1"/>
  <c r="V1053" i="6" s="1"/>
  <c r="X1053" i="6" s="1"/>
  <c r="AC1124" i="6"/>
  <c r="Q1124" i="6" s="1"/>
  <c r="V1124" i="6" s="1"/>
  <c r="U1124" i="6" s="1"/>
  <c r="AC1125" i="6"/>
  <c r="Q1125" i="6" s="1"/>
  <c r="V1125" i="6" s="1"/>
  <c r="AC1097" i="6"/>
  <c r="Q1097" i="6" s="1"/>
  <c r="V1097" i="6" s="1"/>
  <c r="X1097" i="6" s="1"/>
  <c r="AC1151" i="6"/>
  <c r="Q1151" i="6" s="1"/>
  <c r="V1151" i="6" s="1"/>
  <c r="U1151" i="6" s="1"/>
  <c r="AC1131" i="6"/>
  <c r="Q1131" i="6" s="1"/>
  <c r="V1131" i="6" s="1"/>
  <c r="U1131" i="6" s="1"/>
  <c r="AC1175" i="6"/>
  <c r="Q1175" i="6" s="1"/>
  <c r="V1175" i="6" s="1"/>
  <c r="U1175" i="6" s="1"/>
  <c r="AC1144" i="6"/>
  <c r="Q1144" i="6" s="1"/>
  <c r="V1144" i="6" s="1"/>
  <c r="AC923" i="6"/>
  <c r="Q923" i="6" s="1"/>
  <c r="V923" i="6" s="1"/>
  <c r="X923" i="6" s="1"/>
  <c r="AC1132" i="6"/>
  <c r="Q1132" i="6" s="1"/>
  <c r="V1132" i="6" s="1"/>
  <c r="AC1133" i="6"/>
  <c r="Q1133" i="6" s="1"/>
  <c r="V1133" i="6" s="1"/>
  <c r="AC958" i="6"/>
  <c r="Q958" i="6" s="1"/>
  <c r="V958" i="6" s="1"/>
  <c r="Z958" i="6" s="1"/>
  <c r="AC1135" i="6"/>
  <c r="Q1135" i="6" s="1"/>
  <c r="V1135" i="6" s="1"/>
  <c r="AC1136" i="6"/>
  <c r="Q1136" i="6" s="1"/>
  <c r="V1136" i="6" s="1"/>
  <c r="AC1094" i="6"/>
  <c r="Q1094" i="6" s="1"/>
  <c r="V1094" i="6" s="1"/>
  <c r="AC1138" i="6"/>
  <c r="Q1138" i="6" s="1"/>
  <c r="V1138" i="6" s="1"/>
  <c r="AC1139" i="6"/>
  <c r="Q1139" i="6" s="1"/>
  <c r="V1139" i="6" s="1"/>
  <c r="AC1140" i="6"/>
  <c r="Q1140" i="6" s="1"/>
  <c r="V1140" i="6" s="1"/>
  <c r="AC1141" i="6"/>
  <c r="Q1141" i="6" s="1"/>
  <c r="V1141" i="6" s="1"/>
  <c r="AC1170" i="6"/>
  <c r="Q1170" i="6" s="1"/>
  <c r="V1170" i="6" s="1"/>
  <c r="U1170" i="6" s="1"/>
  <c r="AC1169" i="6"/>
  <c r="Q1169" i="6" s="1"/>
  <c r="V1169" i="6" s="1"/>
  <c r="U1169" i="6" s="1"/>
  <c r="AC1148" i="6"/>
  <c r="Q1148" i="6" s="1"/>
  <c r="V1148" i="6" s="1"/>
  <c r="U1148" i="6" s="1"/>
  <c r="AC1154" i="6"/>
  <c r="Q1154" i="6" s="1"/>
  <c r="V1154" i="6" s="1"/>
  <c r="X1154" i="6" s="1"/>
  <c r="AC943" i="6"/>
  <c r="Q943" i="6" s="1"/>
  <c r="V943" i="6" s="1"/>
  <c r="AC1147" i="6"/>
  <c r="Q1147" i="6" s="1"/>
  <c r="V1147" i="6" s="1"/>
  <c r="AC1002" i="6"/>
  <c r="Q1002" i="6" s="1"/>
  <c r="V1002" i="6" s="1"/>
  <c r="AC1149" i="6"/>
  <c r="Q1149" i="6" s="1"/>
  <c r="V1149" i="6" s="1"/>
  <c r="AC988" i="6"/>
  <c r="Q988" i="6" s="1"/>
  <c r="V988" i="6" s="1"/>
  <c r="U988" i="6" s="1"/>
  <c r="AC1000" i="6"/>
  <c r="Q1000" i="6" s="1"/>
  <c r="V1000" i="6" s="1"/>
  <c r="AC1152" i="6"/>
  <c r="Q1152" i="6" s="1"/>
  <c r="V1152" i="6" s="1"/>
  <c r="AC1153" i="6"/>
  <c r="Q1153" i="6" s="1"/>
  <c r="V1153" i="6" s="1"/>
  <c r="AC1127" i="6"/>
  <c r="Q1127" i="6" s="1"/>
  <c r="V1127" i="6" s="1"/>
  <c r="U1127" i="6" s="1"/>
  <c r="AC1155" i="6"/>
  <c r="Q1155" i="6" s="1"/>
  <c r="V1155" i="6" s="1"/>
  <c r="AC1156" i="6"/>
  <c r="Q1156" i="6" s="1"/>
  <c r="V1156" i="6" s="1"/>
  <c r="AC1121" i="6"/>
  <c r="Q1121" i="6" s="1"/>
  <c r="V1121" i="6" s="1"/>
  <c r="AC1158" i="6"/>
  <c r="Q1158" i="6" s="1"/>
  <c r="V1158" i="6" s="1"/>
  <c r="AC1159" i="6"/>
  <c r="Q1159" i="6" s="1"/>
  <c r="V1159" i="6" s="1"/>
  <c r="AC1160" i="6"/>
  <c r="Q1160" i="6" s="1"/>
  <c r="V1160" i="6" s="1"/>
  <c r="AC1161" i="6"/>
  <c r="Q1161" i="6" s="1"/>
  <c r="V1161" i="6" s="1"/>
  <c r="U1161" i="6" s="1"/>
  <c r="AC905" i="6"/>
  <c r="Q905" i="6" s="1"/>
  <c r="V905" i="6" s="1"/>
  <c r="U905" i="6" s="1"/>
  <c r="AC1163" i="6"/>
  <c r="Q1163" i="6" s="1"/>
  <c r="V1163" i="6" s="1"/>
  <c r="AC1037" i="6"/>
  <c r="Q1037" i="6" s="1"/>
  <c r="V1037" i="6" s="1"/>
  <c r="AC1017" i="6"/>
  <c r="Q1017" i="6" s="1"/>
  <c r="V1017" i="6" s="1"/>
  <c r="U1017" i="6" s="1"/>
  <c r="AC1166" i="6"/>
  <c r="Q1166" i="6" s="1"/>
  <c r="V1166" i="6" s="1"/>
  <c r="AC1167" i="6"/>
  <c r="Q1167" i="6" s="1"/>
  <c r="V1167" i="6" s="1"/>
  <c r="AC1168" i="6"/>
  <c r="Q1168" i="6" s="1"/>
  <c r="V1168" i="6" s="1"/>
  <c r="AC1095" i="6"/>
  <c r="Q1095" i="6" s="1"/>
  <c r="V1095" i="6" s="1"/>
  <c r="AC1142" i="6"/>
  <c r="Q1142" i="6" s="1"/>
  <c r="V1142" i="6" s="1"/>
  <c r="X1142" i="6" s="1"/>
  <c r="AC1171" i="6"/>
  <c r="Q1171" i="6" s="1"/>
  <c r="V1171" i="6" s="1"/>
  <c r="AC1172" i="6"/>
  <c r="Q1172" i="6" s="1"/>
  <c r="V1172" i="6" s="1"/>
  <c r="AC1173" i="6"/>
  <c r="Q1173" i="6" s="1"/>
  <c r="V1173" i="6" s="1"/>
  <c r="AC1174" i="6"/>
  <c r="Q1174" i="6" s="1"/>
  <c r="V1174" i="6" s="1"/>
  <c r="X1174" i="6" s="1"/>
  <c r="AC1176" i="6"/>
  <c r="Q1176" i="6" s="1"/>
  <c r="V1176" i="6" s="1"/>
  <c r="X1176" i="6" s="1"/>
  <c r="AC977" i="6"/>
  <c r="Q977" i="6" s="1"/>
  <c r="V977" i="6" s="1"/>
  <c r="U977" i="6" s="1"/>
  <c r="U937" i="6" l="1"/>
  <c r="U997" i="6"/>
  <c r="X910" i="6"/>
  <c r="X937" i="6"/>
  <c r="Z963" i="6"/>
  <c r="X997" i="6"/>
  <c r="Z928" i="6"/>
  <c r="X928" i="6"/>
  <c r="X965" i="6"/>
  <c r="Z988" i="6"/>
  <c r="Z970" i="6"/>
  <c r="Z1043" i="6"/>
  <c r="X988" i="6"/>
  <c r="X970" i="6"/>
  <c r="U1043" i="6"/>
  <c r="U910" i="6"/>
  <c r="Z896" i="6"/>
  <c r="X896" i="6"/>
  <c r="Z974" i="6"/>
  <c r="X1130" i="6"/>
  <c r="X921" i="6"/>
  <c r="Z1154" i="6"/>
  <c r="Z1044" i="6"/>
  <c r="Z1150" i="6"/>
  <c r="X1150" i="6"/>
  <c r="Z1097" i="6"/>
  <c r="Z983" i="6"/>
  <c r="X1046" i="6"/>
  <c r="Z1148" i="6"/>
  <c r="U1046" i="6"/>
  <c r="U1130" i="6"/>
  <c r="X1148" i="6"/>
  <c r="Z954" i="6"/>
  <c r="Z1059" i="6"/>
  <c r="Z951" i="6"/>
  <c r="X1059" i="6"/>
  <c r="X951" i="6"/>
  <c r="Z1101" i="6"/>
  <c r="Z1142" i="6"/>
  <c r="X1119" i="6"/>
  <c r="Z1019" i="6"/>
  <c r="X956" i="6"/>
  <c r="U1119" i="6"/>
  <c r="X919" i="6"/>
  <c r="Z956" i="6"/>
  <c r="U919" i="6"/>
  <c r="U1020" i="6"/>
  <c r="Z1053" i="6"/>
  <c r="U1134" i="6"/>
  <c r="X958" i="6"/>
  <c r="X1134" i="6"/>
  <c r="X1021" i="6"/>
  <c r="U1053" i="6"/>
  <c r="Z1020" i="6"/>
  <c r="Z982" i="6"/>
  <c r="X962" i="6"/>
  <c r="Z969" i="6"/>
  <c r="Z1079" i="6"/>
  <c r="U1079" i="6"/>
  <c r="Z1146" i="6"/>
  <c r="Z962" i="6"/>
  <c r="X969" i="6"/>
  <c r="U1146" i="6"/>
  <c r="Z1021" i="6"/>
  <c r="U1115" i="6"/>
  <c r="Z1035" i="6"/>
  <c r="X922" i="6"/>
  <c r="X1099" i="6"/>
  <c r="X1122" i="6"/>
  <c r="Z967" i="6"/>
  <c r="X900" i="6"/>
  <c r="U1025" i="6"/>
  <c r="U1099" i="6"/>
  <c r="Z1025" i="6"/>
  <c r="Z1115" i="6"/>
  <c r="X967" i="6"/>
  <c r="U922" i="6"/>
  <c r="X964" i="6"/>
  <c r="Z1056" i="6"/>
  <c r="X1088" i="6"/>
  <c r="U1100" i="6"/>
  <c r="Z1034" i="6"/>
  <c r="Z1100" i="6"/>
  <c r="X1056" i="6"/>
  <c r="X985" i="6"/>
  <c r="U1041" i="6"/>
  <c r="Z1041" i="6"/>
  <c r="X1032" i="6"/>
  <c r="X905" i="6"/>
  <c r="U985" i="6"/>
  <c r="Z1032" i="6"/>
  <c r="Z1088" i="6"/>
  <c r="Z964" i="6"/>
  <c r="U1034" i="6"/>
  <c r="Z905" i="6"/>
  <c r="Z1169" i="6"/>
  <c r="X1083" i="6"/>
  <c r="X1063" i="6"/>
  <c r="U1090" i="6"/>
  <c r="Z1083" i="6"/>
  <c r="X1090" i="6"/>
  <c r="X987" i="6"/>
  <c r="X1169" i="6"/>
  <c r="Z977" i="6"/>
  <c r="X1114" i="6"/>
  <c r="X944" i="6"/>
  <c r="Z1114" i="6"/>
  <c r="X977" i="6"/>
  <c r="Z944" i="6"/>
  <c r="X1129" i="6"/>
  <c r="X1131" i="6"/>
  <c r="Z1131" i="6"/>
  <c r="Z923" i="6"/>
  <c r="U1129" i="6"/>
  <c r="Z1176" i="6"/>
  <c r="E536" i="21"/>
  <c r="E537" i="21"/>
  <c r="E538" i="21"/>
  <c r="E539" i="21"/>
  <c r="E540" i="21"/>
  <c r="E541" i="21"/>
  <c r="E542" i="21"/>
  <c r="E543" i="21"/>
  <c r="E544" i="21"/>
  <c r="E545" i="21"/>
  <c r="E546" i="21"/>
  <c r="E547" i="21"/>
  <c r="E548" i="21"/>
  <c r="E549" i="21"/>
  <c r="E550" i="21"/>
  <c r="E551" i="21"/>
  <c r="I536" i="21"/>
  <c r="I537" i="21"/>
  <c r="I538" i="21"/>
  <c r="I539" i="21"/>
  <c r="I540" i="21"/>
  <c r="I541" i="21"/>
  <c r="I542" i="21"/>
  <c r="I543" i="21"/>
  <c r="I544" i="21"/>
  <c r="I545" i="21"/>
  <c r="I546" i="21"/>
  <c r="I547" i="21"/>
  <c r="I548" i="21"/>
  <c r="I549" i="21"/>
  <c r="I550" i="21"/>
  <c r="I551" i="21"/>
  <c r="O536" i="21"/>
  <c r="O537" i="21"/>
  <c r="O538" i="21"/>
  <c r="O539" i="21"/>
  <c r="O540" i="21"/>
  <c r="O541" i="21"/>
  <c r="O542" i="21"/>
  <c r="O543" i="21"/>
  <c r="O544" i="21"/>
  <c r="O545" i="21"/>
  <c r="O546" i="21"/>
  <c r="O547" i="21"/>
  <c r="O548" i="21"/>
  <c r="O549" i="21"/>
  <c r="O550" i="21"/>
  <c r="O551" i="21"/>
  <c r="P536" i="21"/>
  <c r="P537" i="21"/>
  <c r="P538" i="21"/>
  <c r="P539" i="21"/>
  <c r="P540" i="21"/>
  <c r="P541" i="21"/>
  <c r="P542" i="21"/>
  <c r="P543" i="21"/>
  <c r="P544" i="21"/>
  <c r="P545" i="21"/>
  <c r="P546" i="21"/>
  <c r="P547" i="21"/>
  <c r="P548" i="21"/>
  <c r="P549" i="21"/>
  <c r="P550" i="21"/>
  <c r="P551" i="21"/>
  <c r="Q536" i="21"/>
  <c r="Q537" i="21"/>
  <c r="Q538" i="21"/>
  <c r="Q539" i="21"/>
  <c r="Q540" i="21"/>
  <c r="Q541" i="21"/>
  <c r="Q542" i="21"/>
  <c r="Q543" i="21"/>
  <c r="Q544" i="21"/>
  <c r="Q545" i="21"/>
  <c r="Q546" i="21"/>
  <c r="Q547" i="21"/>
  <c r="Q548" i="21"/>
  <c r="Q549" i="21"/>
  <c r="Q550" i="21"/>
  <c r="Q551" i="21"/>
  <c r="R536" i="21"/>
  <c r="R537" i="21"/>
  <c r="R538" i="21"/>
  <c r="R539" i="21"/>
  <c r="R540" i="21"/>
  <c r="R541" i="21"/>
  <c r="R542" i="21"/>
  <c r="R543" i="21"/>
  <c r="R544" i="21"/>
  <c r="R545" i="21"/>
  <c r="R546" i="21"/>
  <c r="R547" i="21"/>
  <c r="R548" i="21"/>
  <c r="R549" i="21"/>
  <c r="R550" i="21"/>
  <c r="R551" i="21"/>
  <c r="S536" i="21"/>
  <c r="S537" i="21"/>
  <c r="S538" i="21"/>
  <c r="S539" i="21"/>
  <c r="S540" i="21"/>
  <c r="S541" i="21"/>
  <c r="S542" i="21"/>
  <c r="S543" i="21"/>
  <c r="S544" i="21"/>
  <c r="S545" i="21"/>
  <c r="S546" i="21"/>
  <c r="S547" i="21"/>
  <c r="S548" i="21"/>
  <c r="S549" i="21"/>
  <c r="S550" i="21"/>
  <c r="S551" i="21"/>
  <c r="T536" i="21"/>
  <c r="T537" i="21"/>
  <c r="T538" i="21"/>
  <c r="T539" i="21"/>
  <c r="T540" i="21"/>
  <c r="T541" i="21"/>
  <c r="T542" i="21"/>
  <c r="T543" i="21"/>
  <c r="T544" i="21"/>
  <c r="T545" i="21"/>
  <c r="T546" i="21"/>
  <c r="T547" i="21"/>
  <c r="T548" i="21"/>
  <c r="T549" i="21"/>
  <c r="T550" i="21"/>
  <c r="T551" i="21"/>
  <c r="U536" i="21"/>
  <c r="U537" i="21"/>
  <c r="U538" i="21"/>
  <c r="U539" i="21"/>
  <c r="U540" i="21"/>
  <c r="U541" i="21"/>
  <c r="U542" i="21"/>
  <c r="U543" i="21"/>
  <c r="U544" i="21"/>
  <c r="U545" i="21"/>
  <c r="U546" i="21"/>
  <c r="U547" i="21"/>
  <c r="U548" i="21"/>
  <c r="U549" i="21"/>
  <c r="U550" i="21"/>
  <c r="U551" i="21"/>
  <c r="V536" i="21"/>
  <c r="V537" i="21"/>
  <c r="V538" i="21"/>
  <c r="V539" i="21"/>
  <c r="V540" i="21"/>
  <c r="V541" i="21"/>
  <c r="V542" i="21"/>
  <c r="V543" i="21"/>
  <c r="V544" i="21"/>
  <c r="V545" i="21"/>
  <c r="V546" i="21"/>
  <c r="V547" i="21"/>
  <c r="V548" i="21"/>
  <c r="V549" i="21"/>
  <c r="V550" i="21"/>
  <c r="V551" i="21"/>
  <c r="W536" i="21"/>
  <c r="W537" i="21"/>
  <c r="W538" i="21"/>
  <c r="W539" i="21"/>
  <c r="W540" i="21"/>
  <c r="W541" i="21"/>
  <c r="W542" i="21"/>
  <c r="W543" i="21"/>
  <c r="W544" i="21"/>
  <c r="W545" i="21"/>
  <c r="W546" i="21"/>
  <c r="W547" i="21"/>
  <c r="W548" i="21"/>
  <c r="W549" i="21"/>
  <c r="W550" i="21"/>
  <c r="W551" i="21"/>
  <c r="X536" i="21"/>
  <c r="X537" i="21"/>
  <c r="X538" i="21"/>
  <c r="X539" i="21"/>
  <c r="X540" i="21"/>
  <c r="X541" i="21"/>
  <c r="X542" i="21"/>
  <c r="X543" i="21"/>
  <c r="X544" i="21"/>
  <c r="X545" i="21"/>
  <c r="X546" i="21"/>
  <c r="X547" i="21"/>
  <c r="X548" i="21"/>
  <c r="X549" i="21"/>
  <c r="X550" i="21"/>
  <c r="X551" i="21"/>
  <c r="Y542" i="21"/>
  <c r="Y543" i="21"/>
  <c r="Y544" i="21"/>
  <c r="Y545" i="21"/>
  <c r="Y546" i="21"/>
  <c r="Y547" i="21"/>
  <c r="Y548" i="21"/>
  <c r="Y549" i="21"/>
  <c r="Y550" i="21"/>
  <c r="Y551" i="21"/>
  <c r="AE536" i="21"/>
  <c r="AE537" i="21"/>
  <c r="AE538" i="21"/>
  <c r="AE539" i="21"/>
  <c r="AE540" i="21"/>
  <c r="AE541" i="21"/>
  <c r="AE542" i="21"/>
  <c r="AE543" i="21"/>
  <c r="AE544" i="21"/>
  <c r="AE545" i="21"/>
  <c r="AE546" i="21"/>
  <c r="AE547" i="21"/>
  <c r="AE548" i="21"/>
  <c r="AE549" i="21"/>
  <c r="AE550" i="21"/>
  <c r="AE551" i="21"/>
  <c r="AF536" i="21"/>
  <c r="AF537" i="21"/>
  <c r="AF538" i="21"/>
  <c r="AF539" i="21"/>
  <c r="AF540" i="21"/>
  <c r="AF541" i="21"/>
  <c r="AF542" i="21"/>
  <c r="AF543" i="21"/>
  <c r="AF544" i="21"/>
  <c r="AF545" i="21"/>
  <c r="AF546" i="21"/>
  <c r="AF547" i="21"/>
  <c r="AF548" i="21"/>
  <c r="AF549" i="21"/>
  <c r="AF550" i="21"/>
  <c r="AF551" i="21"/>
  <c r="AG536" i="21"/>
  <c r="AG537" i="21"/>
  <c r="AG538" i="21"/>
  <c r="AG539" i="21"/>
  <c r="AG540" i="21"/>
  <c r="AG541" i="21"/>
  <c r="AG542" i="21"/>
  <c r="AG543" i="21"/>
  <c r="AG544" i="21"/>
  <c r="AG545" i="21"/>
  <c r="AG546" i="21"/>
  <c r="AG547" i="21"/>
  <c r="AG548" i="21"/>
  <c r="AG549" i="21"/>
  <c r="AG550" i="21"/>
  <c r="AG551" i="21"/>
  <c r="AH536" i="21"/>
  <c r="AH537" i="21"/>
  <c r="AH538" i="21"/>
  <c r="AH539" i="21"/>
  <c r="AH540" i="21"/>
  <c r="AH541" i="21"/>
  <c r="AH542" i="21"/>
  <c r="AH543" i="21"/>
  <c r="AH544" i="21"/>
  <c r="AH545" i="21"/>
  <c r="AH546" i="21"/>
  <c r="AH547" i="21"/>
  <c r="AH548" i="21"/>
  <c r="AH549" i="21"/>
  <c r="AH550" i="21"/>
  <c r="AH551" i="21"/>
  <c r="AI536" i="21"/>
  <c r="AI537" i="21"/>
  <c r="AI538" i="21"/>
  <c r="AI539" i="21"/>
  <c r="AI540" i="21"/>
  <c r="AI541" i="21"/>
  <c r="AI542" i="21"/>
  <c r="AI543" i="21"/>
  <c r="AI544" i="21"/>
  <c r="AI545" i="21"/>
  <c r="AI546" i="21"/>
  <c r="AI547" i="21"/>
  <c r="AI548" i="21"/>
  <c r="AI549" i="21"/>
  <c r="AI550" i="21"/>
  <c r="AI551" i="21"/>
  <c r="AJ536" i="21"/>
  <c r="AJ537" i="21"/>
  <c r="AJ538" i="21"/>
  <c r="AJ539" i="21"/>
  <c r="AJ540" i="21"/>
  <c r="AJ541" i="21"/>
  <c r="AJ542" i="21"/>
  <c r="AJ543" i="21"/>
  <c r="AJ544" i="21"/>
  <c r="AJ545" i="21"/>
  <c r="AJ546" i="21"/>
  <c r="AJ547" i="21"/>
  <c r="AJ548" i="21"/>
  <c r="AJ549" i="21"/>
  <c r="AJ550" i="21"/>
  <c r="AJ551" i="21"/>
  <c r="AK536" i="21"/>
  <c r="AK537" i="21"/>
  <c r="AK538" i="21"/>
  <c r="AK539" i="21"/>
  <c r="AK540" i="21"/>
  <c r="AK541" i="21"/>
  <c r="AK542" i="21"/>
  <c r="AK543" i="21"/>
  <c r="AK544" i="21"/>
  <c r="AK545" i="21"/>
  <c r="AK546" i="21"/>
  <c r="AK547" i="21"/>
  <c r="AK548" i="21"/>
  <c r="AK549" i="21"/>
  <c r="AK550" i="21"/>
  <c r="AK551" i="21"/>
  <c r="AL536" i="21"/>
  <c r="AL537" i="21"/>
  <c r="AL538" i="21"/>
  <c r="AL539" i="21"/>
  <c r="AL540" i="21"/>
  <c r="AL541" i="21"/>
  <c r="AL542" i="21"/>
  <c r="AL543" i="21"/>
  <c r="AL544" i="21"/>
  <c r="AL545" i="21"/>
  <c r="AL546" i="21"/>
  <c r="AL547" i="21"/>
  <c r="AL548" i="21"/>
  <c r="AL549" i="21"/>
  <c r="AL550" i="21"/>
  <c r="AL551" i="21"/>
  <c r="AM536" i="21"/>
  <c r="AM537" i="21"/>
  <c r="AM538" i="21"/>
  <c r="AM539" i="21"/>
  <c r="AM540" i="21"/>
  <c r="AM541" i="21"/>
  <c r="AM542" i="21"/>
  <c r="AM543" i="21"/>
  <c r="AM544" i="21"/>
  <c r="AM545" i="21"/>
  <c r="AM546" i="21"/>
  <c r="AM547" i="21"/>
  <c r="AM548" i="21"/>
  <c r="AM549" i="21"/>
  <c r="AM550" i="21"/>
  <c r="AM551" i="21"/>
  <c r="AN536" i="21"/>
  <c r="AN537" i="21"/>
  <c r="AN538" i="21"/>
  <c r="AN539" i="21"/>
  <c r="AN540" i="21"/>
  <c r="AN541" i="21"/>
  <c r="AN542" i="21"/>
  <c r="AN543" i="21"/>
  <c r="AN544" i="21"/>
  <c r="AN545" i="21"/>
  <c r="AN546" i="21"/>
  <c r="AN547" i="21"/>
  <c r="AN548" i="21"/>
  <c r="AN549" i="21"/>
  <c r="AN550" i="21"/>
  <c r="AN551" i="21"/>
  <c r="AO536" i="21"/>
  <c r="AO537" i="21"/>
  <c r="AO538" i="21"/>
  <c r="AO539" i="21"/>
  <c r="AO540" i="21"/>
  <c r="AO541" i="21"/>
  <c r="AO542" i="21"/>
  <c r="AO543" i="21"/>
  <c r="AO544" i="21"/>
  <c r="AO545" i="21"/>
  <c r="AO546" i="21"/>
  <c r="AO547" i="21"/>
  <c r="AO548" i="21"/>
  <c r="AO549" i="21"/>
  <c r="AO550" i="21"/>
  <c r="AO551" i="21"/>
  <c r="AP536" i="21"/>
  <c r="AP537" i="21"/>
  <c r="AP538" i="21"/>
  <c r="AP539" i="21"/>
  <c r="AP540" i="21"/>
  <c r="AP541" i="21"/>
  <c r="AP542" i="21"/>
  <c r="AP543" i="21"/>
  <c r="AP544" i="21"/>
  <c r="AP545" i="21"/>
  <c r="AP546" i="21"/>
  <c r="AP547" i="21"/>
  <c r="AP548" i="21"/>
  <c r="AP549" i="21"/>
  <c r="AP550" i="21"/>
  <c r="AP551" i="21"/>
  <c r="AQ536" i="21"/>
  <c r="AQ537" i="21"/>
  <c r="AQ538" i="21"/>
  <c r="AQ539" i="21"/>
  <c r="AQ540" i="21"/>
  <c r="AQ541" i="21"/>
  <c r="AQ542" i="21"/>
  <c r="AQ543" i="21"/>
  <c r="AQ544" i="21"/>
  <c r="AQ545" i="21"/>
  <c r="AQ546" i="21"/>
  <c r="AQ547" i="21"/>
  <c r="AQ548" i="21"/>
  <c r="AQ549" i="21"/>
  <c r="AQ550" i="21"/>
  <c r="AQ551" i="21"/>
  <c r="AR536" i="21"/>
  <c r="AR537" i="21"/>
  <c r="AR538" i="21"/>
  <c r="AR539" i="21"/>
  <c r="AR540" i="21"/>
  <c r="AR541" i="21"/>
  <c r="AR542" i="21"/>
  <c r="AR543" i="21"/>
  <c r="AR544" i="21"/>
  <c r="AR545" i="21"/>
  <c r="AR546" i="21"/>
  <c r="AR547" i="21"/>
  <c r="AR548" i="21"/>
  <c r="AR549" i="21"/>
  <c r="AR550" i="21"/>
  <c r="AR551" i="21"/>
  <c r="AS536" i="21"/>
  <c r="AS537" i="21"/>
  <c r="AS538" i="21"/>
  <c r="AS539" i="21"/>
  <c r="AS540" i="21"/>
  <c r="AS541" i="21"/>
  <c r="AS542" i="21"/>
  <c r="AS543" i="21"/>
  <c r="AS544" i="21"/>
  <c r="AS545" i="21"/>
  <c r="AS546" i="21"/>
  <c r="AS547" i="21"/>
  <c r="AS548" i="21"/>
  <c r="AS549" i="21"/>
  <c r="AS550" i="21"/>
  <c r="AS551" i="21"/>
  <c r="AT536" i="21"/>
  <c r="AT537" i="21"/>
  <c r="AT538" i="21"/>
  <c r="AT539" i="21"/>
  <c r="AT540" i="21"/>
  <c r="AT541" i="21"/>
  <c r="AT542" i="21"/>
  <c r="AT543" i="21"/>
  <c r="AT544" i="21"/>
  <c r="AT545" i="21"/>
  <c r="AT546" i="21"/>
  <c r="AT547" i="21"/>
  <c r="AT548" i="21"/>
  <c r="AT549" i="21"/>
  <c r="AT550" i="21"/>
  <c r="AT551" i="21"/>
  <c r="AU536" i="21"/>
  <c r="AU537" i="21"/>
  <c r="AU538" i="21"/>
  <c r="AU539" i="21"/>
  <c r="AU540" i="21"/>
  <c r="AU541" i="21"/>
  <c r="AU542" i="21"/>
  <c r="AU543" i="21"/>
  <c r="AU544" i="21"/>
  <c r="AU545" i="21"/>
  <c r="AU546" i="21"/>
  <c r="AU547" i="21"/>
  <c r="AU548" i="21"/>
  <c r="AU549" i="21"/>
  <c r="AU550" i="21"/>
  <c r="AU551" i="21"/>
  <c r="AV536" i="21"/>
  <c r="AV537" i="21"/>
  <c r="AV538" i="21"/>
  <c r="AV539" i="21"/>
  <c r="AV540" i="21"/>
  <c r="AV541" i="21"/>
  <c r="AV542" i="21"/>
  <c r="AV543" i="21"/>
  <c r="AV544" i="21"/>
  <c r="AV545" i="21"/>
  <c r="AV546" i="21"/>
  <c r="AV547" i="21"/>
  <c r="AV548" i="21"/>
  <c r="AV549" i="21"/>
  <c r="AV550" i="21"/>
  <c r="AV551" i="21"/>
  <c r="AW536" i="21"/>
  <c r="AW537" i="21"/>
  <c r="AW538" i="21"/>
  <c r="AW539" i="21"/>
  <c r="AW540" i="21"/>
  <c r="AW541" i="21"/>
  <c r="AW542" i="21"/>
  <c r="AW543" i="21"/>
  <c r="AW544" i="21"/>
  <c r="AW545" i="21"/>
  <c r="AW546" i="21"/>
  <c r="AW547" i="21"/>
  <c r="AW548" i="21"/>
  <c r="AW549" i="21"/>
  <c r="AW550" i="21"/>
  <c r="AW551" i="21"/>
  <c r="AX536" i="21"/>
  <c r="AX537" i="21"/>
  <c r="AX538" i="21"/>
  <c r="AX539" i="21"/>
  <c r="AX540" i="21"/>
  <c r="AX541" i="21"/>
  <c r="AX542" i="21"/>
  <c r="AX543" i="21"/>
  <c r="AX544" i="21"/>
  <c r="AX545" i="21"/>
  <c r="AX546" i="21"/>
  <c r="AX547" i="21"/>
  <c r="AX548" i="21"/>
  <c r="AX549" i="21"/>
  <c r="AX550" i="21"/>
  <c r="AX551" i="21"/>
  <c r="AY536" i="21"/>
  <c r="AY537" i="21"/>
  <c r="AY538" i="21"/>
  <c r="AY539" i="21"/>
  <c r="AY540" i="21"/>
  <c r="AY541" i="21"/>
  <c r="AY542" i="21"/>
  <c r="AY543" i="21"/>
  <c r="AY544" i="21"/>
  <c r="AY545" i="21"/>
  <c r="AY546" i="21"/>
  <c r="AY547" i="21"/>
  <c r="AY548" i="21"/>
  <c r="AY549" i="21"/>
  <c r="AY550" i="21"/>
  <c r="AY551" i="21"/>
  <c r="AZ536" i="21"/>
  <c r="AZ537" i="21"/>
  <c r="AZ538" i="21"/>
  <c r="AZ539" i="21"/>
  <c r="AZ540" i="21"/>
  <c r="AZ541" i="21"/>
  <c r="AZ542" i="21"/>
  <c r="AZ543" i="21"/>
  <c r="AZ544" i="21"/>
  <c r="AZ545" i="21"/>
  <c r="AZ546" i="21"/>
  <c r="AZ547" i="21"/>
  <c r="AZ548" i="21"/>
  <c r="AZ549" i="21"/>
  <c r="AZ550" i="21"/>
  <c r="AZ551" i="21"/>
  <c r="BA536" i="21"/>
  <c r="BA537" i="21"/>
  <c r="BA538" i="21"/>
  <c r="BA539" i="21"/>
  <c r="BA540" i="21"/>
  <c r="BA541" i="21"/>
  <c r="BA542" i="21"/>
  <c r="BA543" i="21"/>
  <c r="BA544" i="21"/>
  <c r="BA545" i="21"/>
  <c r="BA546" i="21"/>
  <c r="BA547" i="21"/>
  <c r="BA548" i="21"/>
  <c r="BA549" i="21"/>
  <c r="BA550" i="21"/>
  <c r="BA551" i="21"/>
  <c r="BB536" i="21"/>
  <c r="BB537" i="21"/>
  <c r="BB538" i="21"/>
  <c r="BB539" i="21"/>
  <c r="BB540" i="21"/>
  <c r="BB541" i="21"/>
  <c r="BB542" i="21"/>
  <c r="BB543" i="21"/>
  <c r="BB544" i="21"/>
  <c r="BB545" i="21"/>
  <c r="BB546" i="21"/>
  <c r="BB547" i="21"/>
  <c r="BB548" i="21"/>
  <c r="BB549" i="21"/>
  <c r="BB550" i="21"/>
  <c r="BB551" i="21"/>
  <c r="BC536" i="21"/>
  <c r="BC537" i="21"/>
  <c r="BC538" i="21"/>
  <c r="BC539" i="21"/>
  <c r="BC540" i="21"/>
  <c r="BC541" i="21"/>
  <c r="BC542" i="21"/>
  <c r="BC543" i="21"/>
  <c r="BC544" i="21"/>
  <c r="BC545" i="21"/>
  <c r="BC546" i="21"/>
  <c r="BC547" i="21"/>
  <c r="BC548" i="21"/>
  <c r="BC549" i="21"/>
  <c r="BC550" i="21"/>
  <c r="BC551" i="21"/>
  <c r="BD536" i="21"/>
  <c r="BD537" i="21"/>
  <c r="BD538" i="21"/>
  <c r="BD539" i="21"/>
  <c r="BD540" i="21"/>
  <c r="BD541" i="21"/>
  <c r="BD542" i="21"/>
  <c r="BD543" i="21"/>
  <c r="BD544" i="21"/>
  <c r="BD545" i="21"/>
  <c r="BD546" i="21"/>
  <c r="BD547" i="21"/>
  <c r="BD548" i="21"/>
  <c r="BD549" i="21"/>
  <c r="BD550" i="21"/>
  <c r="BD551" i="21"/>
  <c r="BE536" i="21"/>
  <c r="BE537" i="21"/>
  <c r="BE538" i="21"/>
  <c r="BE539" i="21"/>
  <c r="BE540" i="21"/>
  <c r="BE541" i="21"/>
  <c r="BE542" i="21"/>
  <c r="BE543" i="21"/>
  <c r="BE544" i="21"/>
  <c r="BE545" i="21"/>
  <c r="BE546" i="21"/>
  <c r="BE547" i="21"/>
  <c r="BE548" i="21"/>
  <c r="BE549" i="21"/>
  <c r="BE550" i="21"/>
  <c r="BE551" i="21"/>
  <c r="BF536" i="21"/>
  <c r="BF537" i="21"/>
  <c r="BF538" i="21"/>
  <c r="BF539" i="21"/>
  <c r="BF540" i="21"/>
  <c r="BF541" i="21"/>
  <c r="BF542" i="21"/>
  <c r="BF543" i="21"/>
  <c r="BF544" i="21"/>
  <c r="BF545" i="21"/>
  <c r="BF546" i="21"/>
  <c r="BF547" i="21"/>
  <c r="BF548" i="21"/>
  <c r="BF549" i="21"/>
  <c r="BF550" i="21"/>
  <c r="BF551" i="21"/>
  <c r="BG536" i="21"/>
  <c r="BG537" i="21"/>
  <c r="BG538" i="21"/>
  <c r="BG539" i="21"/>
  <c r="BG540" i="21"/>
  <c r="BG541" i="21"/>
  <c r="BG542" i="21"/>
  <c r="BG543" i="21"/>
  <c r="BG544" i="21"/>
  <c r="BG545" i="21"/>
  <c r="BG546" i="21"/>
  <c r="BG547" i="21"/>
  <c r="BG548" i="21"/>
  <c r="BG549" i="21"/>
  <c r="BG550" i="21"/>
  <c r="BG551" i="21"/>
  <c r="BH536" i="21"/>
  <c r="BH537" i="21"/>
  <c r="BH538" i="21"/>
  <c r="BH539" i="21"/>
  <c r="BH540" i="21"/>
  <c r="BH541" i="21"/>
  <c r="BH542" i="21"/>
  <c r="BH543" i="21"/>
  <c r="BH544" i="21"/>
  <c r="BH545" i="21"/>
  <c r="BH546" i="21"/>
  <c r="BH547" i="21"/>
  <c r="BH548" i="21"/>
  <c r="BH549" i="21"/>
  <c r="BH550" i="21"/>
  <c r="BH551" i="21"/>
  <c r="BI536" i="21"/>
  <c r="BI537" i="21"/>
  <c r="BI538" i="21"/>
  <c r="BI539" i="21"/>
  <c r="BI540" i="21"/>
  <c r="BI541" i="21"/>
  <c r="BI542" i="21"/>
  <c r="BI543" i="21"/>
  <c r="BI544" i="21"/>
  <c r="BI545" i="21"/>
  <c r="BI546" i="21"/>
  <c r="BI547" i="21"/>
  <c r="BI548" i="21"/>
  <c r="BI549" i="21"/>
  <c r="BI550" i="21"/>
  <c r="BI551" i="21"/>
  <c r="BJ536" i="21"/>
  <c r="BJ537" i="21"/>
  <c r="BJ538" i="21"/>
  <c r="BJ539" i="21"/>
  <c r="BJ540" i="21"/>
  <c r="BJ541" i="21"/>
  <c r="BJ542" i="21"/>
  <c r="BJ543" i="21"/>
  <c r="BJ544" i="21"/>
  <c r="BJ545" i="21"/>
  <c r="BJ546" i="21"/>
  <c r="BJ547" i="21"/>
  <c r="BJ548" i="21"/>
  <c r="BJ549" i="21"/>
  <c r="BJ550" i="21"/>
  <c r="BJ551" i="21"/>
  <c r="BK536" i="21"/>
  <c r="BK537" i="21"/>
  <c r="BK538" i="21"/>
  <c r="BK539" i="21"/>
  <c r="BK540" i="21"/>
  <c r="BK541" i="21"/>
  <c r="BK542" i="21"/>
  <c r="BK543" i="21"/>
  <c r="BK544" i="21"/>
  <c r="BK545" i="21"/>
  <c r="BK546" i="21"/>
  <c r="BK547" i="21"/>
  <c r="BK548" i="21"/>
  <c r="BK549" i="21"/>
  <c r="BK550" i="21"/>
  <c r="BK551" i="21"/>
  <c r="C1001" i="6"/>
  <c r="C1028" i="6"/>
  <c r="C1113" i="6"/>
  <c r="C1137" i="6"/>
  <c r="C1087" i="6"/>
  <c r="C1093" i="6"/>
  <c r="C894" i="6"/>
  <c r="C903" i="6"/>
  <c r="C904" i="6"/>
  <c r="C913" i="6"/>
  <c r="C906" i="6"/>
  <c r="C907" i="6"/>
  <c r="C908" i="6"/>
  <c r="C909" i="6"/>
  <c r="C1027" i="6"/>
  <c r="C911" i="6"/>
  <c r="C1038" i="6"/>
  <c r="C1058" i="6"/>
  <c r="C914" i="6"/>
  <c r="C890" i="6"/>
  <c r="C916" i="6"/>
  <c r="C917" i="6"/>
  <c r="C947" i="6"/>
  <c r="C925" i="6"/>
  <c r="C920" i="6"/>
  <c r="C1039" i="6"/>
  <c r="C973" i="6"/>
  <c r="C1045" i="6"/>
  <c r="C1054" i="6"/>
  <c r="C1055" i="6"/>
  <c r="C1105" i="6"/>
  <c r="C1116" i="6"/>
  <c r="C897" i="6"/>
  <c r="C929" i="6"/>
  <c r="C930" i="6"/>
  <c r="C931" i="6"/>
  <c r="C932" i="6"/>
  <c r="C927" i="6"/>
  <c r="C934" i="6"/>
  <c r="C935" i="6"/>
  <c r="C936" i="6"/>
  <c r="C1042" i="6"/>
  <c r="C938" i="6"/>
  <c r="C1126" i="6"/>
  <c r="C1157" i="6"/>
  <c r="C941" i="6"/>
  <c r="C942" i="6"/>
  <c r="C895" i="6"/>
  <c r="C924" i="6"/>
  <c r="C945" i="6"/>
  <c r="C946" i="6"/>
  <c r="C957" i="6"/>
  <c r="C948" i="6"/>
  <c r="C949" i="6"/>
  <c r="C975" i="6"/>
  <c r="C1057" i="6"/>
  <c r="C952" i="6"/>
  <c r="C953" i="6"/>
  <c r="C1164" i="6"/>
  <c r="C955" i="6"/>
  <c r="C1123" i="6"/>
  <c r="C918" i="6"/>
  <c r="C933" i="6"/>
  <c r="C959" i="6"/>
  <c r="C960" i="6"/>
  <c r="C961" i="6"/>
  <c r="C998" i="6"/>
  <c r="C1060" i="6"/>
  <c r="C1040" i="6"/>
  <c r="C1103" i="6"/>
  <c r="C966" i="6"/>
  <c r="C1024" i="6"/>
  <c r="C1012" i="6"/>
  <c r="C1089" i="6"/>
  <c r="C1145" i="6"/>
  <c r="C891" i="6"/>
  <c r="C971" i="6"/>
  <c r="C915" i="6"/>
  <c r="C972" i="6"/>
  <c r="C950" i="6"/>
  <c r="C976" i="6"/>
  <c r="C1072" i="6"/>
  <c r="C1022" i="6"/>
  <c r="C1030" i="6"/>
  <c r="C980" i="6"/>
  <c r="C1031" i="6"/>
  <c r="C1005" i="6"/>
  <c r="C1026" i="6"/>
  <c r="C1098" i="6"/>
  <c r="C926" i="6"/>
  <c r="C986" i="6"/>
  <c r="C968" i="6"/>
  <c r="C899" i="6"/>
  <c r="C989" i="6"/>
  <c r="C990" i="6"/>
  <c r="C991" i="6"/>
  <c r="C992" i="6"/>
  <c r="C993" i="6"/>
  <c r="C994" i="6"/>
  <c r="C995" i="6"/>
  <c r="C996" i="6"/>
  <c r="C1120" i="6"/>
  <c r="C1104" i="6"/>
  <c r="AB1001" i="6"/>
  <c r="AB1028" i="6"/>
  <c r="AB1113" i="6"/>
  <c r="AB1137" i="6"/>
  <c r="AB1087" i="6"/>
  <c r="AB1093" i="6"/>
  <c r="AB894" i="6"/>
  <c r="AB903" i="6"/>
  <c r="AB904" i="6"/>
  <c r="AB913" i="6"/>
  <c r="AB906" i="6"/>
  <c r="AB907" i="6"/>
  <c r="AB908" i="6"/>
  <c r="AB909" i="6"/>
  <c r="AB1027" i="6"/>
  <c r="AB911" i="6"/>
  <c r="AB1038" i="6"/>
  <c r="AB1058" i="6"/>
  <c r="AB914" i="6"/>
  <c r="AB890" i="6"/>
  <c r="AB916" i="6"/>
  <c r="AB917" i="6"/>
  <c r="AB947" i="6"/>
  <c r="AB925" i="6"/>
  <c r="AB920" i="6"/>
  <c r="AB1039" i="6"/>
  <c r="AB973" i="6"/>
  <c r="AB1045" i="6"/>
  <c r="AB1054" i="6"/>
  <c r="AB1055" i="6"/>
  <c r="AB1105" i="6"/>
  <c r="AB1116" i="6"/>
  <c r="AB897" i="6"/>
  <c r="AB929" i="6"/>
  <c r="AB930" i="6"/>
  <c r="AB931" i="6"/>
  <c r="AB932" i="6"/>
  <c r="AB927" i="6"/>
  <c r="AB934" i="6"/>
  <c r="AB935" i="6"/>
  <c r="AB936" i="6"/>
  <c r="AB1042" i="6"/>
  <c r="AB938" i="6"/>
  <c r="AB1126" i="6"/>
  <c r="AB1157" i="6"/>
  <c r="AB941" i="6"/>
  <c r="AB942" i="6"/>
  <c r="AB895" i="6"/>
  <c r="AB924" i="6"/>
  <c r="AB945" i="6"/>
  <c r="AB946" i="6"/>
  <c r="AB957" i="6"/>
  <c r="AB948" i="6"/>
  <c r="AB949" i="6"/>
  <c r="AB975" i="6"/>
  <c r="AB1057" i="6"/>
  <c r="AB952" i="6"/>
  <c r="AB953" i="6"/>
  <c r="AB1164" i="6"/>
  <c r="AB955" i="6"/>
  <c r="AB1123" i="6"/>
  <c r="AB918" i="6"/>
  <c r="AB933" i="6"/>
  <c r="AB959" i="6"/>
  <c r="AB960" i="6"/>
  <c r="AB961" i="6"/>
  <c r="AB998" i="6"/>
  <c r="AB1060" i="6"/>
  <c r="AB1040" i="6"/>
  <c r="AB1103" i="6"/>
  <c r="AB966" i="6"/>
  <c r="AB1024" i="6"/>
  <c r="AB1012" i="6"/>
  <c r="AB1089" i="6"/>
  <c r="AB1145" i="6"/>
  <c r="AB891" i="6"/>
  <c r="AB971" i="6"/>
  <c r="AB915" i="6"/>
  <c r="AB972" i="6"/>
  <c r="AB950" i="6"/>
  <c r="AB976" i="6"/>
  <c r="AB1072" i="6"/>
  <c r="AB1022" i="6"/>
  <c r="AB1030" i="6"/>
  <c r="AB980" i="6"/>
  <c r="AB1031" i="6"/>
  <c r="AB1005" i="6"/>
  <c r="AB1026" i="6"/>
  <c r="AB1098" i="6"/>
  <c r="AB926" i="6"/>
  <c r="AB986" i="6"/>
  <c r="AB968" i="6"/>
  <c r="AB899" i="6"/>
  <c r="AB989" i="6"/>
  <c r="AB990" i="6"/>
  <c r="AB991" i="6"/>
  <c r="AB992" i="6"/>
  <c r="AB993" i="6"/>
  <c r="AB994" i="6"/>
  <c r="AB995" i="6"/>
  <c r="AB996" i="6"/>
  <c r="AB1120" i="6"/>
  <c r="AB1104" i="6"/>
  <c r="S1001" i="6"/>
  <c r="S1028" i="6"/>
  <c r="S1113" i="6"/>
  <c r="S1137" i="6"/>
  <c r="S1087" i="6"/>
  <c r="S1093" i="6"/>
  <c r="S894" i="6"/>
  <c r="S903" i="6"/>
  <c r="S904" i="6"/>
  <c r="S913" i="6"/>
  <c r="S906" i="6"/>
  <c r="S907" i="6"/>
  <c r="S908" i="6"/>
  <c r="S909" i="6"/>
  <c r="S1027" i="6"/>
  <c r="S911" i="6"/>
  <c r="S1038" i="6"/>
  <c r="S1058" i="6"/>
  <c r="S914" i="6"/>
  <c r="S890" i="6"/>
  <c r="S916" i="6"/>
  <c r="S917" i="6"/>
  <c r="S947" i="6"/>
  <c r="S925" i="6"/>
  <c r="S920" i="6"/>
  <c r="S1039" i="6"/>
  <c r="S973" i="6"/>
  <c r="S1045" i="6"/>
  <c r="S1054" i="6"/>
  <c r="S1055" i="6"/>
  <c r="S1105" i="6"/>
  <c r="S1116" i="6"/>
  <c r="S897" i="6"/>
  <c r="S929" i="6"/>
  <c r="S930" i="6"/>
  <c r="S931" i="6"/>
  <c r="S932" i="6"/>
  <c r="S927" i="6"/>
  <c r="S934" i="6"/>
  <c r="S935" i="6"/>
  <c r="S936" i="6"/>
  <c r="S1042" i="6"/>
  <c r="S938" i="6"/>
  <c r="S1126" i="6"/>
  <c r="S1157" i="6"/>
  <c r="S941" i="6"/>
  <c r="S942" i="6"/>
  <c r="S895" i="6"/>
  <c r="S924" i="6"/>
  <c r="S945" i="6"/>
  <c r="S946" i="6"/>
  <c r="S957" i="6"/>
  <c r="S948" i="6"/>
  <c r="S949" i="6"/>
  <c r="S975" i="6"/>
  <c r="S1057" i="6"/>
  <c r="S952" i="6"/>
  <c r="S953" i="6"/>
  <c r="S1164" i="6"/>
  <c r="S955" i="6"/>
  <c r="S1123" i="6"/>
  <c r="S918" i="6"/>
  <c r="S933" i="6"/>
  <c r="S959" i="6"/>
  <c r="S960" i="6"/>
  <c r="S961" i="6"/>
  <c r="S998" i="6"/>
  <c r="S1060" i="6"/>
  <c r="S1040" i="6"/>
  <c r="S1103" i="6"/>
  <c r="S966" i="6"/>
  <c r="S1024" i="6"/>
  <c r="S1012" i="6"/>
  <c r="S1089" i="6"/>
  <c r="S1145" i="6"/>
  <c r="S891" i="6"/>
  <c r="S971" i="6"/>
  <c r="S915" i="6"/>
  <c r="S972" i="6"/>
  <c r="S950" i="6"/>
  <c r="S976" i="6"/>
  <c r="S1072" i="6"/>
  <c r="S1022" i="6"/>
  <c r="S1030" i="6"/>
  <c r="S980" i="6"/>
  <c r="S1031" i="6"/>
  <c r="S1005" i="6"/>
  <c r="S1026" i="6"/>
  <c r="S1098" i="6"/>
  <c r="S926" i="6"/>
  <c r="S986" i="6"/>
  <c r="S968" i="6"/>
  <c r="S899" i="6"/>
  <c r="S989" i="6"/>
  <c r="S990" i="6"/>
  <c r="S991" i="6"/>
  <c r="S992" i="6"/>
  <c r="S993" i="6"/>
  <c r="S994" i="6"/>
  <c r="S995" i="6"/>
  <c r="S996" i="6"/>
  <c r="S1120" i="6"/>
  <c r="S1104" i="6"/>
  <c r="U1137" i="6"/>
  <c r="U1093" i="6"/>
  <c r="U894" i="6"/>
  <c r="U903" i="6"/>
  <c r="U904" i="6"/>
  <c r="U906" i="6"/>
  <c r="U907" i="6"/>
  <c r="U908" i="6"/>
  <c r="U909" i="6"/>
  <c r="U911" i="6"/>
  <c r="U1038" i="6"/>
  <c r="U914" i="6"/>
  <c r="U916" i="6"/>
  <c r="U917" i="6"/>
  <c r="U947" i="6"/>
  <c r="U925" i="6"/>
  <c r="U920" i="6"/>
  <c r="U1116" i="6"/>
  <c r="U897" i="6"/>
  <c r="U929" i="6"/>
  <c r="U930" i="6"/>
  <c r="U931" i="6"/>
  <c r="U932" i="6"/>
  <c r="U927" i="6"/>
  <c r="U934" i="6"/>
  <c r="U935" i="6"/>
  <c r="U936" i="6"/>
  <c r="U938" i="6"/>
  <c r="U941" i="6"/>
  <c r="U942" i="6"/>
  <c r="U946" i="6"/>
  <c r="U948" i="6"/>
  <c r="U949" i="6"/>
  <c r="U975" i="6"/>
  <c r="U952" i="6"/>
  <c r="U953" i="6"/>
  <c r="U955" i="6"/>
  <c r="U918" i="6"/>
  <c r="U959" i="6"/>
  <c r="U960" i="6"/>
  <c r="U961" i="6"/>
  <c r="U966" i="6"/>
  <c r="U1089" i="6"/>
  <c r="U1145" i="6"/>
  <c r="U915" i="6"/>
  <c r="U972" i="6"/>
  <c r="U1072" i="6"/>
  <c r="U1030" i="6"/>
  <c r="U980" i="6"/>
  <c r="U1005" i="6"/>
  <c r="U986" i="6"/>
  <c r="U968" i="6"/>
  <c r="U989" i="6"/>
  <c r="U990" i="6"/>
  <c r="U991" i="6"/>
  <c r="U992" i="6"/>
  <c r="U993" i="6"/>
  <c r="U994" i="6"/>
  <c r="U995" i="6"/>
  <c r="U996" i="6"/>
  <c r="U1104" i="6"/>
  <c r="X1028" i="6"/>
  <c r="X1137" i="6"/>
  <c r="X1087" i="6"/>
  <c r="X1093" i="6"/>
  <c r="X903" i="6"/>
  <c r="X904" i="6"/>
  <c r="X906" i="6"/>
  <c r="X907" i="6"/>
  <c r="X908" i="6"/>
  <c r="X909" i="6"/>
  <c r="X1027" i="6"/>
  <c r="X911" i="6"/>
  <c r="X914" i="6"/>
  <c r="X890" i="6"/>
  <c r="X916" i="6"/>
  <c r="X917" i="6"/>
  <c r="X920" i="6"/>
  <c r="X1116" i="6"/>
  <c r="X929" i="6"/>
  <c r="X930" i="6"/>
  <c r="X931" i="6"/>
  <c r="X932" i="6"/>
  <c r="X927" i="6"/>
  <c r="X934" i="6"/>
  <c r="X935" i="6"/>
  <c r="X936" i="6"/>
  <c r="X938" i="6"/>
  <c r="X941" i="6"/>
  <c r="X942" i="6"/>
  <c r="X946" i="6"/>
  <c r="X957" i="6"/>
  <c r="X948" i="6"/>
  <c r="X949" i="6"/>
  <c r="X975" i="6"/>
  <c r="X1057" i="6"/>
  <c r="X952" i="6"/>
  <c r="X953" i="6"/>
  <c r="X1164" i="6"/>
  <c r="X955" i="6"/>
  <c r="X1123" i="6"/>
  <c r="X918" i="6"/>
  <c r="X959" i="6"/>
  <c r="X960" i="6"/>
  <c r="X961" i="6"/>
  <c r="X966" i="6"/>
  <c r="X1012" i="6"/>
  <c r="X1089" i="6"/>
  <c r="X971" i="6"/>
  <c r="X915" i="6"/>
  <c r="X972" i="6"/>
  <c r="X950" i="6"/>
  <c r="X1022" i="6"/>
  <c r="X1030" i="6"/>
  <c r="X1026" i="6"/>
  <c r="X1098" i="6"/>
  <c r="X986" i="6"/>
  <c r="X899" i="6"/>
  <c r="X989" i="6"/>
  <c r="X990" i="6"/>
  <c r="X991" i="6"/>
  <c r="X992" i="6"/>
  <c r="X993" i="6"/>
  <c r="X994" i="6"/>
  <c r="X995" i="6"/>
  <c r="X996" i="6"/>
  <c r="Z1028" i="6"/>
  <c r="Z1137" i="6"/>
  <c r="Z1087" i="6"/>
  <c r="Z1093" i="6"/>
  <c r="Z903" i="6"/>
  <c r="Z904" i="6"/>
  <c r="Z906" i="6"/>
  <c r="Z907" i="6"/>
  <c r="Z908" i="6"/>
  <c r="Z909" i="6"/>
  <c r="Z1027" i="6"/>
  <c r="Z911" i="6"/>
  <c r="Z914" i="6"/>
  <c r="Z890" i="6"/>
  <c r="Z916" i="6"/>
  <c r="Z917" i="6"/>
  <c r="Z920" i="6"/>
  <c r="Z1116" i="6"/>
  <c r="Z929" i="6"/>
  <c r="Z930" i="6"/>
  <c r="Z931" i="6"/>
  <c r="Z932" i="6"/>
  <c r="Z927" i="6"/>
  <c r="Z934" i="6"/>
  <c r="Z935" i="6"/>
  <c r="Z936" i="6"/>
  <c r="Z938" i="6"/>
  <c r="Z941" i="6"/>
  <c r="Z942" i="6"/>
  <c r="Z946" i="6"/>
  <c r="Z957" i="6"/>
  <c r="Z948" i="6"/>
  <c r="Z949" i="6"/>
  <c r="Z975" i="6"/>
  <c r="Z1057" i="6"/>
  <c r="Z952" i="6"/>
  <c r="Z953" i="6"/>
  <c r="Z1164" i="6"/>
  <c r="Z955" i="6"/>
  <c r="Z1123" i="6"/>
  <c r="Z918" i="6"/>
  <c r="Z959" i="6"/>
  <c r="Z960" i="6"/>
  <c r="Z961" i="6"/>
  <c r="Z966" i="6"/>
  <c r="Z1024" i="6"/>
  <c r="Z1012" i="6"/>
  <c r="Z1089" i="6"/>
  <c r="Z971" i="6"/>
  <c r="Z950" i="6"/>
  <c r="Z1022" i="6"/>
  <c r="Z1030" i="6"/>
  <c r="Z1026" i="6"/>
  <c r="Z1098" i="6"/>
  <c r="Z986" i="6"/>
  <c r="Z899" i="6"/>
  <c r="Z989" i="6"/>
  <c r="Z990" i="6"/>
  <c r="Z991" i="6"/>
  <c r="Z992" i="6"/>
  <c r="Z993" i="6"/>
  <c r="Z994" i="6"/>
  <c r="Z995" i="6"/>
  <c r="Z996" i="6"/>
  <c r="AA1001" i="6"/>
  <c r="AA1028" i="6"/>
  <c r="AA1113" i="6"/>
  <c r="AA1137" i="6"/>
  <c r="AA1087" i="6"/>
  <c r="AA1093" i="6"/>
  <c r="AA894" i="6"/>
  <c r="AA903" i="6"/>
  <c r="AA904" i="6"/>
  <c r="AA913" i="6"/>
  <c r="AA906" i="6"/>
  <c r="AA907" i="6"/>
  <c r="AA908" i="6"/>
  <c r="AA909" i="6"/>
  <c r="AA1027" i="6"/>
  <c r="AA911" i="6"/>
  <c r="AA1038" i="6"/>
  <c r="AA1058" i="6"/>
  <c r="AA914" i="6"/>
  <c r="AA890" i="6"/>
  <c r="AA916" i="6"/>
  <c r="AA917" i="6"/>
  <c r="AA947" i="6"/>
  <c r="AA925" i="6"/>
  <c r="AA920" i="6"/>
  <c r="AA1039" i="6"/>
  <c r="AA973" i="6"/>
  <c r="AA1045" i="6"/>
  <c r="AA1054" i="6"/>
  <c r="AA1055" i="6"/>
  <c r="AA1105" i="6"/>
  <c r="AA1116" i="6"/>
  <c r="AA897" i="6"/>
  <c r="AA929" i="6"/>
  <c r="AA930" i="6"/>
  <c r="AA931" i="6"/>
  <c r="AA932" i="6"/>
  <c r="AA927" i="6"/>
  <c r="AA934" i="6"/>
  <c r="AA935" i="6"/>
  <c r="AA936" i="6"/>
  <c r="AA1042" i="6"/>
  <c r="AA938" i="6"/>
  <c r="AA1126" i="6"/>
  <c r="AA1157" i="6"/>
  <c r="AA941" i="6"/>
  <c r="AA942" i="6"/>
  <c r="AA895" i="6"/>
  <c r="AA924" i="6"/>
  <c r="AA945" i="6"/>
  <c r="AA946" i="6"/>
  <c r="AA957" i="6"/>
  <c r="AA948" i="6"/>
  <c r="AA949" i="6"/>
  <c r="AA975" i="6"/>
  <c r="AA1057" i="6"/>
  <c r="AA952" i="6"/>
  <c r="AA953" i="6"/>
  <c r="AA1164" i="6"/>
  <c r="AA955" i="6"/>
  <c r="AA1123" i="6"/>
  <c r="AA918" i="6"/>
  <c r="AA933" i="6"/>
  <c r="AA959" i="6"/>
  <c r="AA960" i="6"/>
  <c r="AA961" i="6"/>
  <c r="AA998" i="6"/>
  <c r="AA1060" i="6"/>
  <c r="AA1040" i="6"/>
  <c r="AA1103" i="6"/>
  <c r="AA966" i="6"/>
  <c r="AA1024" i="6"/>
  <c r="AA1012" i="6"/>
  <c r="AA1089" i="6"/>
  <c r="AA1145" i="6"/>
  <c r="AA891" i="6"/>
  <c r="AA971" i="6"/>
  <c r="AA915" i="6"/>
  <c r="AA972" i="6"/>
  <c r="AA950" i="6"/>
  <c r="AA976" i="6"/>
  <c r="AA1072" i="6"/>
  <c r="AA1022" i="6"/>
  <c r="AA1030" i="6"/>
  <c r="AA980" i="6"/>
  <c r="AA1031" i="6"/>
  <c r="AA1005" i="6"/>
  <c r="AA1026" i="6"/>
  <c r="AA1098" i="6"/>
  <c r="AA926" i="6"/>
  <c r="AA986" i="6"/>
  <c r="AA968" i="6"/>
  <c r="AA899" i="6"/>
  <c r="AA989" i="6"/>
  <c r="AA990" i="6"/>
  <c r="AA991" i="6"/>
  <c r="AA992" i="6"/>
  <c r="AA993" i="6"/>
  <c r="AA994" i="6"/>
  <c r="AA995" i="6"/>
  <c r="AA996" i="6"/>
  <c r="AA1120" i="6"/>
  <c r="AA1104" i="6"/>
  <c r="AC1001" i="6"/>
  <c r="Q1001" i="6" s="1"/>
  <c r="V1001" i="6" s="1"/>
  <c r="X1001" i="6" s="1"/>
  <c r="AC1028" i="6"/>
  <c r="Q1028" i="6" s="1"/>
  <c r="V1028" i="6" s="1"/>
  <c r="U1028" i="6" s="1"/>
  <c r="AC1113" i="6"/>
  <c r="Q1113" i="6" s="1"/>
  <c r="V1113" i="6" s="1"/>
  <c r="X1113" i="6" s="1"/>
  <c r="AC1137" i="6"/>
  <c r="Q1137" i="6" s="1"/>
  <c r="V1137" i="6" s="1"/>
  <c r="AC1087" i="6"/>
  <c r="Q1087" i="6" s="1"/>
  <c r="V1087" i="6" s="1"/>
  <c r="U1087" i="6" s="1"/>
  <c r="AC1093" i="6"/>
  <c r="Q1093" i="6" s="1"/>
  <c r="V1093" i="6" s="1"/>
  <c r="AC894" i="6"/>
  <c r="Q894" i="6" s="1"/>
  <c r="V894" i="6" s="1"/>
  <c r="Z894" i="6" s="1"/>
  <c r="AC903" i="6"/>
  <c r="Q903" i="6" s="1"/>
  <c r="V903" i="6" s="1"/>
  <c r="AC904" i="6"/>
  <c r="Q904" i="6" s="1"/>
  <c r="V904" i="6" s="1"/>
  <c r="AC913" i="6"/>
  <c r="Q913" i="6" s="1"/>
  <c r="V913" i="6" s="1"/>
  <c r="U913" i="6" s="1"/>
  <c r="AC906" i="6"/>
  <c r="Q906" i="6" s="1"/>
  <c r="V906" i="6" s="1"/>
  <c r="AC907" i="6"/>
  <c r="Q907" i="6" s="1"/>
  <c r="V907" i="6" s="1"/>
  <c r="AC908" i="6"/>
  <c r="Q908" i="6" s="1"/>
  <c r="V908" i="6" s="1"/>
  <c r="AC909" i="6"/>
  <c r="Q909" i="6" s="1"/>
  <c r="V909" i="6" s="1"/>
  <c r="AC1027" i="6"/>
  <c r="Q1027" i="6" s="1"/>
  <c r="V1027" i="6" s="1"/>
  <c r="U1027" i="6" s="1"/>
  <c r="AC911" i="6"/>
  <c r="Q911" i="6" s="1"/>
  <c r="V911" i="6" s="1"/>
  <c r="AC1038" i="6"/>
  <c r="Q1038" i="6" s="1"/>
  <c r="V1038" i="6" s="1"/>
  <c r="X1038" i="6" s="1"/>
  <c r="AC1058" i="6"/>
  <c r="Q1058" i="6" s="1"/>
  <c r="V1058" i="6" s="1"/>
  <c r="X1058" i="6" s="1"/>
  <c r="AC914" i="6"/>
  <c r="Q914" i="6" s="1"/>
  <c r="V914" i="6" s="1"/>
  <c r="AC890" i="6"/>
  <c r="Q890" i="6" s="1"/>
  <c r="V890" i="6" s="1"/>
  <c r="U890" i="6" s="1"/>
  <c r="AC916" i="6"/>
  <c r="Q916" i="6" s="1"/>
  <c r="V916" i="6" s="1"/>
  <c r="AC917" i="6"/>
  <c r="Q917" i="6" s="1"/>
  <c r="V917" i="6" s="1"/>
  <c r="AC947" i="6"/>
  <c r="Q947" i="6" s="1"/>
  <c r="V947" i="6" s="1"/>
  <c r="X947" i="6" s="1"/>
  <c r="AC925" i="6"/>
  <c r="Q925" i="6" s="1"/>
  <c r="V925" i="6" s="1"/>
  <c r="X925" i="6" s="1"/>
  <c r="AC920" i="6"/>
  <c r="Q920" i="6" s="1"/>
  <c r="V920" i="6" s="1"/>
  <c r="AC1039" i="6"/>
  <c r="Q1039" i="6" s="1"/>
  <c r="V1039" i="6" s="1"/>
  <c r="U1039" i="6" s="1"/>
  <c r="AC973" i="6"/>
  <c r="Q973" i="6" s="1"/>
  <c r="V973" i="6" s="1"/>
  <c r="U973" i="6" s="1"/>
  <c r="AC1045" i="6"/>
  <c r="Q1045" i="6" s="1"/>
  <c r="V1045" i="6" s="1"/>
  <c r="Z1045" i="6" s="1"/>
  <c r="AC1054" i="6"/>
  <c r="Q1054" i="6" s="1"/>
  <c r="V1054" i="6" s="1"/>
  <c r="Z1054" i="6" s="1"/>
  <c r="AC1055" i="6"/>
  <c r="Q1055" i="6" s="1"/>
  <c r="V1055" i="6" s="1"/>
  <c r="U1055" i="6" s="1"/>
  <c r="AC1105" i="6"/>
  <c r="Q1105" i="6" s="1"/>
  <c r="V1105" i="6" s="1"/>
  <c r="X1105" i="6" s="1"/>
  <c r="AC1116" i="6"/>
  <c r="Q1116" i="6" s="1"/>
  <c r="V1116" i="6" s="1"/>
  <c r="AC897" i="6"/>
  <c r="Q897" i="6" s="1"/>
  <c r="V897" i="6" s="1"/>
  <c r="Z897" i="6" s="1"/>
  <c r="AC929" i="6"/>
  <c r="Q929" i="6" s="1"/>
  <c r="V929" i="6" s="1"/>
  <c r="AC930" i="6"/>
  <c r="Q930" i="6" s="1"/>
  <c r="V930" i="6" s="1"/>
  <c r="AC931" i="6"/>
  <c r="Q931" i="6" s="1"/>
  <c r="V931" i="6" s="1"/>
  <c r="AC932" i="6"/>
  <c r="Q932" i="6" s="1"/>
  <c r="V932" i="6" s="1"/>
  <c r="AC927" i="6"/>
  <c r="Q927" i="6" s="1"/>
  <c r="V927" i="6" s="1"/>
  <c r="AC934" i="6"/>
  <c r="Q934" i="6" s="1"/>
  <c r="V934" i="6" s="1"/>
  <c r="AC935" i="6"/>
  <c r="Q935" i="6" s="1"/>
  <c r="V935" i="6" s="1"/>
  <c r="AC936" i="6"/>
  <c r="Q936" i="6" s="1"/>
  <c r="V936" i="6" s="1"/>
  <c r="AC1042" i="6"/>
  <c r="Q1042" i="6" s="1"/>
  <c r="V1042" i="6" s="1"/>
  <c r="U1042" i="6" s="1"/>
  <c r="AC938" i="6"/>
  <c r="Q938" i="6" s="1"/>
  <c r="V938" i="6" s="1"/>
  <c r="AC1126" i="6"/>
  <c r="Q1126" i="6" s="1"/>
  <c r="V1126" i="6" s="1"/>
  <c r="U1126" i="6" s="1"/>
  <c r="AC1157" i="6"/>
  <c r="Q1157" i="6" s="1"/>
  <c r="V1157" i="6" s="1"/>
  <c r="U1157" i="6" s="1"/>
  <c r="AC941" i="6"/>
  <c r="Q941" i="6" s="1"/>
  <c r="V941" i="6" s="1"/>
  <c r="AC942" i="6"/>
  <c r="Q942" i="6" s="1"/>
  <c r="V942" i="6" s="1"/>
  <c r="AC895" i="6"/>
  <c r="Q895" i="6" s="1"/>
  <c r="V895" i="6" s="1"/>
  <c r="U895" i="6" s="1"/>
  <c r="AC924" i="6"/>
  <c r="Q924" i="6" s="1"/>
  <c r="V924" i="6" s="1"/>
  <c r="U924" i="6" s="1"/>
  <c r="AC945" i="6"/>
  <c r="Q945" i="6" s="1"/>
  <c r="V945" i="6" s="1"/>
  <c r="U945" i="6" s="1"/>
  <c r="AC946" i="6"/>
  <c r="Q946" i="6" s="1"/>
  <c r="V946" i="6" s="1"/>
  <c r="AC957" i="6"/>
  <c r="Q957" i="6" s="1"/>
  <c r="V957" i="6" s="1"/>
  <c r="U957" i="6" s="1"/>
  <c r="AC948" i="6"/>
  <c r="Q948" i="6" s="1"/>
  <c r="V948" i="6" s="1"/>
  <c r="AC949" i="6"/>
  <c r="Q949" i="6" s="1"/>
  <c r="V949" i="6" s="1"/>
  <c r="AC975" i="6"/>
  <c r="Q975" i="6" s="1"/>
  <c r="V975" i="6" s="1"/>
  <c r="AC1057" i="6"/>
  <c r="Q1057" i="6" s="1"/>
  <c r="V1057" i="6" s="1"/>
  <c r="U1057" i="6" s="1"/>
  <c r="AC952" i="6"/>
  <c r="Q952" i="6" s="1"/>
  <c r="V952" i="6" s="1"/>
  <c r="AC953" i="6"/>
  <c r="Q953" i="6" s="1"/>
  <c r="V953" i="6" s="1"/>
  <c r="AC1164" i="6"/>
  <c r="Q1164" i="6" s="1"/>
  <c r="V1164" i="6" s="1"/>
  <c r="U1164" i="6" s="1"/>
  <c r="AC955" i="6"/>
  <c r="Q955" i="6" s="1"/>
  <c r="V955" i="6" s="1"/>
  <c r="AC1123" i="6"/>
  <c r="Q1123" i="6" s="1"/>
  <c r="V1123" i="6" s="1"/>
  <c r="U1123" i="6" s="1"/>
  <c r="AC918" i="6"/>
  <c r="Q918" i="6" s="1"/>
  <c r="V918" i="6" s="1"/>
  <c r="AC933" i="6"/>
  <c r="Q933" i="6" s="1"/>
  <c r="V933" i="6" s="1"/>
  <c r="U933" i="6" s="1"/>
  <c r="AC959" i="6"/>
  <c r="Q959" i="6" s="1"/>
  <c r="V959" i="6" s="1"/>
  <c r="AC960" i="6"/>
  <c r="Q960" i="6" s="1"/>
  <c r="V960" i="6" s="1"/>
  <c r="AC961" i="6"/>
  <c r="Q961" i="6" s="1"/>
  <c r="V961" i="6" s="1"/>
  <c r="AC998" i="6"/>
  <c r="Q998" i="6" s="1"/>
  <c r="V998" i="6" s="1"/>
  <c r="U998" i="6" s="1"/>
  <c r="AC1060" i="6"/>
  <c r="Q1060" i="6" s="1"/>
  <c r="V1060" i="6" s="1"/>
  <c r="Z1060" i="6" s="1"/>
  <c r="AC1040" i="6"/>
  <c r="Q1040" i="6" s="1"/>
  <c r="V1040" i="6" s="1"/>
  <c r="U1040" i="6" s="1"/>
  <c r="AC1103" i="6"/>
  <c r="Q1103" i="6" s="1"/>
  <c r="V1103" i="6" s="1"/>
  <c r="U1103" i="6" s="1"/>
  <c r="AC966" i="6"/>
  <c r="Q966" i="6" s="1"/>
  <c r="V966" i="6" s="1"/>
  <c r="AC1024" i="6"/>
  <c r="Q1024" i="6" s="1"/>
  <c r="V1024" i="6" s="1"/>
  <c r="X1024" i="6" s="1"/>
  <c r="AC1012" i="6"/>
  <c r="Q1012" i="6" s="1"/>
  <c r="V1012" i="6" s="1"/>
  <c r="U1012" i="6" s="1"/>
  <c r="AC1089" i="6"/>
  <c r="Q1089" i="6" s="1"/>
  <c r="V1089" i="6" s="1"/>
  <c r="AC1145" i="6"/>
  <c r="Q1145" i="6" s="1"/>
  <c r="V1145" i="6" s="1"/>
  <c r="X1145" i="6" s="1"/>
  <c r="AC891" i="6"/>
  <c r="Q891" i="6" s="1"/>
  <c r="V891" i="6" s="1"/>
  <c r="X891" i="6" s="1"/>
  <c r="AC971" i="6"/>
  <c r="Q971" i="6" s="1"/>
  <c r="V971" i="6" s="1"/>
  <c r="U971" i="6" s="1"/>
  <c r="AC915" i="6"/>
  <c r="Q915" i="6" s="1"/>
  <c r="V915" i="6" s="1"/>
  <c r="Z915" i="6" s="1"/>
  <c r="AC972" i="6"/>
  <c r="Q972" i="6" s="1"/>
  <c r="V972" i="6" s="1"/>
  <c r="Z972" i="6" s="1"/>
  <c r="AC950" i="6"/>
  <c r="Q950" i="6" s="1"/>
  <c r="V950" i="6" s="1"/>
  <c r="U950" i="6" s="1"/>
  <c r="AC976" i="6"/>
  <c r="Q976" i="6" s="1"/>
  <c r="V976" i="6" s="1"/>
  <c r="X976" i="6" s="1"/>
  <c r="AC1072" i="6"/>
  <c r="Q1072" i="6" s="1"/>
  <c r="V1072" i="6" s="1"/>
  <c r="X1072" i="6" s="1"/>
  <c r="AC1022" i="6"/>
  <c r="Q1022" i="6" s="1"/>
  <c r="V1022" i="6" s="1"/>
  <c r="U1022" i="6" s="1"/>
  <c r="AC1030" i="6"/>
  <c r="Q1030" i="6" s="1"/>
  <c r="V1030" i="6" s="1"/>
  <c r="AC980" i="6"/>
  <c r="Q980" i="6" s="1"/>
  <c r="V980" i="6" s="1"/>
  <c r="Z980" i="6" s="1"/>
  <c r="AC1031" i="6"/>
  <c r="Q1031" i="6" s="1"/>
  <c r="V1031" i="6" s="1"/>
  <c r="U1031" i="6" s="1"/>
  <c r="AC1005" i="6"/>
  <c r="Q1005" i="6" s="1"/>
  <c r="V1005" i="6" s="1"/>
  <c r="Z1005" i="6" s="1"/>
  <c r="AC1026" i="6"/>
  <c r="Q1026" i="6" s="1"/>
  <c r="V1026" i="6" s="1"/>
  <c r="U1026" i="6" s="1"/>
  <c r="AC1098" i="6"/>
  <c r="Q1098" i="6" s="1"/>
  <c r="V1098" i="6" s="1"/>
  <c r="U1098" i="6" s="1"/>
  <c r="AC926" i="6"/>
  <c r="Q926" i="6" s="1"/>
  <c r="V926" i="6" s="1"/>
  <c r="U926" i="6" s="1"/>
  <c r="AC986" i="6"/>
  <c r="Q986" i="6" s="1"/>
  <c r="V986" i="6" s="1"/>
  <c r="AC968" i="6"/>
  <c r="Q968" i="6" s="1"/>
  <c r="V968" i="6" s="1"/>
  <c r="X968" i="6" s="1"/>
  <c r="AC899" i="6"/>
  <c r="Q899" i="6" s="1"/>
  <c r="V899" i="6" s="1"/>
  <c r="U899" i="6" s="1"/>
  <c r="AC989" i="6"/>
  <c r="Q989" i="6" s="1"/>
  <c r="V989" i="6" s="1"/>
  <c r="AC990" i="6"/>
  <c r="Q990" i="6" s="1"/>
  <c r="V990" i="6" s="1"/>
  <c r="AC991" i="6"/>
  <c r="Q991" i="6" s="1"/>
  <c r="V991" i="6" s="1"/>
  <c r="AC992" i="6"/>
  <c r="Q992" i="6" s="1"/>
  <c r="V992" i="6" s="1"/>
  <c r="AC993" i="6"/>
  <c r="Q993" i="6" s="1"/>
  <c r="V993" i="6" s="1"/>
  <c r="AC994" i="6"/>
  <c r="Q994" i="6" s="1"/>
  <c r="V994" i="6" s="1"/>
  <c r="AC995" i="6"/>
  <c r="Q995" i="6" s="1"/>
  <c r="V995" i="6" s="1"/>
  <c r="AC996" i="6"/>
  <c r="Q996" i="6" s="1"/>
  <c r="V996" i="6" s="1"/>
  <c r="AC1120" i="6"/>
  <c r="Q1120" i="6" s="1"/>
  <c r="V1120" i="6" s="1"/>
  <c r="U1120" i="6" s="1"/>
  <c r="AC1104" i="6"/>
  <c r="Q1104" i="6" s="1"/>
  <c r="V1104" i="6" s="1"/>
  <c r="Z1104" i="6" s="1"/>
  <c r="AN552" i="21"/>
  <c r="AS552" i="21"/>
  <c r="AE552" i="21"/>
  <c r="AP552" i="21"/>
  <c r="BC552" i="21"/>
  <c r="N541" i="21"/>
  <c r="AJ552" i="21"/>
  <c r="AA552" i="21"/>
  <c r="N548" i="21"/>
  <c r="AV552" i="21"/>
  <c r="AX552" i="21"/>
  <c r="AH552" i="21"/>
  <c r="N536" i="21"/>
  <c r="N537" i="21"/>
  <c r="BA552" i="21"/>
  <c r="AO552" i="21"/>
  <c r="AB552" i="21"/>
  <c r="BH552" i="21"/>
  <c r="AW552" i="21"/>
  <c r="AI552" i="21"/>
  <c r="Z552" i="21"/>
  <c r="N550" i="21"/>
  <c r="N540" i="21"/>
  <c r="AC552" i="21"/>
  <c r="AG552" i="21"/>
  <c r="BD552" i="21"/>
  <c r="BE552" i="21"/>
  <c r="AL552" i="21"/>
  <c r="N551" i="21"/>
  <c r="N545" i="21"/>
  <c r="AF552" i="21"/>
  <c r="BB552" i="21"/>
  <c r="AY552" i="21"/>
  <c r="BG552" i="21"/>
  <c r="N542" i="21"/>
  <c r="AR552" i="21"/>
  <c r="N539" i="21"/>
  <c r="N544" i="21"/>
  <c r="AU552" i="21"/>
  <c r="AM552" i="21"/>
  <c r="AK552" i="21"/>
  <c r="BK552" i="21"/>
  <c r="N547" i="21"/>
  <c r="N546" i="21"/>
  <c r="BF552" i="21"/>
  <c r="N549" i="21"/>
  <c r="AZ552" i="21"/>
  <c r="AT552" i="21"/>
  <c r="BI552" i="21"/>
  <c r="BJ552" i="21"/>
  <c r="AD552" i="21"/>
  <c r="N543" i="21"/>
  <c r="N538" i="21"/>
  <c r="AQ552" i="21"/>
  <c r="U1113" i="6" l="1"/>
  <c r="Z1120" i="6"/>
  <c r="Z1042" i="6"/>
  <c r="X1120" i="6"/>
  <c r="Z1103" i="6"/>
  <c r="X1042" i="6"/>
  <c r="U1060" i="6"/>
  <c r="Z1113" i="6"/>
  <c r="X1103" i="6"/>
  <c r="X1060" i="6"/>
  <c r="X897" i="6"/>
  <c r="U891" i="6"/>
  <c r="Z1039" i="6"/>
  <c r="X1039" i="6"/>
  <c r="Z1145" i="6"/>
  <c r="U1001" i="6"/>
  <c r="Z1001" i="6"/>
  <c r="Z891" i="6"/>
  <c r="Z1126" i="6"/>
  <c r="X1126" i="6"/>
  <c r="Z1038" i="6"/>
  <c r="X1157" i="6"/>
  <c r="Z925" i="6"/>
  <c r="X933" i="6"/>
  <c r="Z1157" i="6"/>
  <c r="Z933" i="6"/>
  <c r="Z947" i="6"/>
  <c r="X1104" i="6"/>
  <c r="X980" i="6"/>
  <c r="Z976" i="6"/>
  <c r="U976" i="6"/>
  <c r="Z1055" i="6"/>
  <c r="X1055" i="6"/>
  <c r="Z998" i="6"/>
  <c r="X1005" i="6"/>
  <c r="X998" i="6"/>
  <c r="Z895" i="6"/>
  <c r="X895" i="6"/>
  <c r="Z1040" i="6"/>
  <c r="X973" i="6"/>
  <c r="U1024" i="6"/>
  <c r="Z973" i="6"/>
  <c r="Z968" i="6"/>
  <c r="X945" i="6"/>
  <c r="X913" i="6"/>
  <c r="X1040" i="6"/>
  <c r="Z1058" i="6"/>
  <c r="Z913" i="6"/>
  <c r="U1058" i="6"/>
  <c r="X926" i="6"/>
  <c r="U1105" i="6"/>
  <c r="Z1105" i="6"/>
  <c r="X1031" i="6"/>
  <c r="Z945" i="6"/>
  <c r="Z926" i="6"/>
  <c r="Z1031" i="6"/>
  <c r="X894" i="6"/>
  <c r="Z1072" i="6"/>
  <c r="U1054" i="6"/>
  <c r="X1054" i="6"/>
  <c r="X924" i="6"/>
  <c r="Z924" i="6"/>
  <c r="U1045" i="6"/>
  <c r="X1045" i="6"/>
  <c r="Y538" i="21"/>
  <c r="Y541" i="21"/>
  <c r="Y537" i="21"/>
  <c r="Y540" i="21"/>
  <c r="Y539" i="21"/>
  <c r="AD2" i="13" l="1"/>
  <c r="AD3" i="13"/>
  <c r="AD4" i="13"/>
  <c r="AD5" i="13"/>
  <c r="AD6" i="13"/>
  <c r="AD7" i="13"/>
  <c r="AD8" i="13"/>
  <c r="AD9" i="13"/>
  <c r="AD10" i="13"/>
  <c r="AD11" i="13"/>
  <c r="AD12" i="13"/>
  <c r="AD13" i="13"/>
  <c r="AD14" i="13"/>
  <c r="AD15" i="13"/>
  <c r="AD16" i="13"/>
  <c r="AD17" i="13"/>
  <c r="AD18" i="13"/>
  <c r="AD19" i="13"/>
  <c r="AD20" i="13"/>
  <c r="AD21" i="13"/>
  <c r="AD22" i="13"/>
  <c r="AD23" i="13"/>
  <c r="AD24" i="13"/>
  <c r="AD25" i="13"/>
  <c r="AD26" i="13"/>
  <c r="AD27" i="13"/>
  <c r="AD28" i="13"/>
  <c r="AD29" i="13"/>
  <c r="AD30" i="13"/>
  <c r="AD31" i="13"/>
  <c r="AD32" i="13"/>
  <c r="AD33" i="13"/>
  <c r="AD34" i="13"/>
  <c r="AD35" i="13"/>
  <c r="AD36" i="13"/>
  <c r="AD37" i="13"/>
  <c r="AD38" i="13"/>
  <c r="AD39" i="13"/>
  <c r="AD40" i="13"/>
  <c r="AD41" i="13"/>
  <c r="AD42" i="13"/>
  <c r="AD43" i="13"/>
  <c r="AD44" i="13"/>
  <c r="AD45" i="13"/>
  <c r="AD46" i="13"/>
  <c r="AD47" i="13"/>
  <c r="AD48" i="13"/>
  <c r="AD49" i="13"/>
  <c r="AD50" i="13"/>
  <c r="AD51" i="13"/>
  <c r="AD52" i="13"/>
  <c r="AD53" i="13"/>
  <c r="AD54" i="13"/>
  <c r="AD55" i="13"/>
  <c r="AD56" i="13"/>
  <c r="AD57" i="13"/>
  <c r="AD58" i="13"/>
  <c r="AD59" i="13"/>
  <c r="AD60" i="13"/>
  <c r="AD61" i="13"/>
  <c r="AD62" i="13"/>
  <c r="AD63" i="13"/>
  <c r="AD64" i="13"/>
  <c r="AD65" i="13"/>
  <c r="AD66" i="13"/>
  <c r="AD67" i="13"/>
  <c r="AD68" i="13"/>
  <c r="AD69" i="13"/>
  <c r="AD70" i="13"/>
  <c r="AD71" i="13"/>
  <c r="AD72" i="13"/>
  <c r="AD73" i="13"/>
  <c r="AD74" i="13"/>
  <c r="AD75" i="13"/>
  <c r="AD76" i="13"/>
  <c r="AD77" i="13"/>
  <c r="AD78" i="13"/>
  <c r="AD79" i="13"/>
  <c r="AD80" i="13"/>
  <c r="AD81" i="13"/>
  <c r="AD82" i="13"/>
  <c r="AD83" i="13"/>
  <c r="AD84" i="13"/>
  <c r="AD85" i="13"/>
  <c r="AD86" i="13"/>
  <c r="AD87" i="13"/>
  <c r="AD88" i="13"/>
  <c r="AD89" i="13"/>
  <c r="AD90" i="13"/>
  <c r="AD91" i="13"/>
  <c r="AD92" i="13"/>
  <c r="AD93" i="13"/>
  <c r="AD94" i="13"/>
  <c r="AD95" i="13"/>
  <c r="AD96" i="13"/>
  <c r="AD97" i="13"/>
  <c r="AD98" i="13"/>
  <c r="AD99" i="13"/>
  <c r="AD100" i="13"/>
  <c r="AD101" i="13"/>
  <c r="AD102" i="13"/>
  <c r="AD103" i="13"/>
  <c r="AD104" i="13"/>
  <c r="AD105" i="13"/>
  <c r="AD106" i="13"/>
  <c r="AD107" i="13"/>
  <c r="AD108" i="13"/>
  <c r="AD109" i="13"/>
  <c r="AD110" i="13"/>
  <c r="AD111" i="13"/>
  <c r="AD112" i="13"/>
  <c r="AD113" i="13"/>
  <c r="AD114" i="13"/>
  <c r="AD115" i="13"/>
  <c r="AD116" i="13"/>
  <c r="AD117" i="13"/>
  <c r="AD118" i="13"/>
  <c r="AD119" i="13"/>
  <c r="AD120" i="13"/>
  <c r="AD121" i="13"/>
  <c r="AD122" i="13"/>
  <c r="AD123" i="13"/>
  <c r="AD124" i="13"/>
  <c r="AD125" i="13"/>
  <c r="AD126" i="13"/>
  <c r="AD127" i="13"/>
  <c r="AD128" i="13"/>
  <c r="AD129" i="13"/>
  <c r="AD130" i="13"/>
  <c r="AD131" i="13"/>
  <c r="AD132" i="13"/>
  <c r="AD133" i="13"/>
  <c r="AD134" i="13"/>
  <c r="AD135" i="13"/>
  <c r="AD136" i="13"/>
  <c r="AD137" i="13"/>
  <c r="AD138" i="13"/>
  <c r="AD139" i="13"/>
  <c r="AD140" i="13"/>
  <c r="AD141" i="13"/>
  <c r="AD142" i="13"/>
  <c r="AD143" i="13"/>
  <c r="AD144" i="13"/>
  <c r="AD145" i="13"/>
  <c r="AD146" i="13"/>
  <c r="AD147" i="13"/>
  <c r="AD148" i="13"/>
  <c r="AD149" i="13"/>
  <c r="AD150" i="13"/>
  <c r="AD151" i="13"/>
  <c r="AD152" i="13"/>
  <c r="AD153" i="13"/>
  <c r="AD154" i="13"/>
  <c r="AD155" i="13"/>
  <c r="AD156" i="13"/>
  <c r="AD157" i="13"/>
  <c r="AD158" i="13"/>
  <c r="AD159" i="13"/>
  <c r="AD160" i="13"/>
  <c r="AD161" i="13"/>
  <c r="AD162" i="13"/>
  <c r="AD163" i="13"/>
  <c r="AD164" i="13"/>
  <c r="AD165" i="13"/>
  <c r="AD166" i="13"/>
  <c r="AD167" i="13"/>
  <c r="AD168" i="13"/>
  <c r="AD169" i="13"/>
  <c r="AD170" i="13"/>
  <c r="AD171" i="13"/>
  <c r="AD172" i="13"/>
  <c r="AD173" i="13"/>
  <c r="AD174" i="13"/>
  <c r="AD175" i="13"/>
  <c r="AD176" i="13"/>
  <c r="AD177" i="13"/>
  <c r="AD178" i="13"/>
  <c r="AD179" i="13"/>
  <c r="AD180" i="13"/>
  <c r="AD181" i="13"/>
  <c r="AD182" i="13"/>
  <c r="AD183" i="13"/>
  <c r="AD184" i="13"/>
  <c r="AD185" i="13"/>
  <c r="AD186" i="13"/>
  <c r="AD187" i="13"/>
  <c r="AD188" i="13"/>
  <c r="AD189" i="13"/>
  <c r="AD190" i="13"/>
  <c r="AD191" i="13"/>
  <c r="AD192" i="13"/>
  <c r="AD193" i="13"/>
  <c r="AD194" i="13"/>
  <c r="AD195" i="13"/>
  <c r="AD196" i="13"/>
  <c r="AD197" i="13"/>
  <c r="AD198" i="13"/>
  <c r="AD199" i="13"/>
  <c r="AD200" i="13"/>
  <c r="AD201" i="13"/>
  <c r="AD202" i="13"/>
  <c r="AD203" i="13"/>
  <c r="AD204" i="13"/>
  <c r="AD205" i="13"/>
  <c r="AD206" i="13"/>
  <c r="AD207" i="13"/>
  <c r="AD208" i="13"/>
  <c r="AD209" i="13"/>
  <c r="AD210" i="13"/>
  <c r="AD211" i="13"/>
  <c r="AC2" i="13"/>
  <c r="AC3" i="13"/>
  <c r="AC4" i="13"/>
  <c r="AC5" i="13"/>
  <c r="AC6" i="13"/>
  <c r="AC7" i="13"/>
  <c r="AC8" i="13"/>
  <c r="AC9" i="13"/>
  <c r="AC10" i="13"/>
  <c r="AC11" i="13"/>
  <c r="AC12" i="13"/>
  <c r="AC13" i="13"/>
  <c r="AC14" i="13"/>
  <c r="AC15" i="13"/>
  <c r="AC16" i="13"/>
  <c r="AC17" i="13"/>
  <c r="AC18" i="13"/>
  <c r="AC19" i="13"/>
  <c r="AC20" i="13"/>
  <c r="AC21" i="13"/>
  <c r="AC22" i="13"/>
  <c r="AC23" i="13"/>
  <c r="AC24" i="13"/>
  <c r="AC25" i="13"/>
  <c r="AC26" i="13"/>
  <c r="AC27" i="13"/>
  <c r="AC28" i="13"/>
  <c r="AC29" i="13"/>
  <c r="AC30" i="13"/>
  <c r="AC31" i="13"/>
  <c r="AC32" i="13"/>
  <c r="AC33" i="13"/>
  <c r="AC34" i="13"/>
  <c r="AC35" i="13"/>
  <c r="AC36" i="13"/>
  <c r="AC37" i="13"/>
  <c r="AC38" i="13"/>
  <c r="AC39" i="13"/>
  <c r="AC40" i="13"/>
  <c r="AC41" i="13"/>
  <c r="AC42" i="13"/>
  <c r="AC43" i="13"/>
  <c r="AC44" i="13"/>
  <c r="AC45" i="13"/>
  <c r="AC46" i="13"/>
  <c r="AC47" i="13"/>
  <c r="AC48" i="13"/>
  <c r="AC49" i="13"/>
  <c r="AC50" i="13"/>
  <c r="AC51" i="13"/>
  <c r="AC52" i="13"/>
  <c r="AC53" i="13"/>
  <c r="AC54" i="13"/>
  <c r="AC55" i="13"/>
  <c r="AC56" i="13"/>
  <c r="AC57" i="13"/>
  <c r="AC58" i="13"/>
  <c r="AC59" i="13"/>
  <c r="AC60" i="13"/>
  <c r="AC61" i="13"/>
  <c r="AC62" i="13"/>
  <c r="AC63" i="13"/>
  <c r="AC64" i="13"/>
  <c r="AC65" i="13"/>
  <c r="AC66" i="13"/>
  <c r="AC67" i="13"/>
  <c r="AC68" i="13"/>
  <c r="AC69" i="13"/>
  <c r="AC70" i="13"/>
  <c r="AC71" i="13"/>
  <c r="AC72" i="13"/>
  <c r="AC73" i="13"/>
  <c r="AC74" i="13"/>
  <c r="AC75" i="13"/>
  <c r="AC76" i="13"/>
  <c r="AC77" i="13"/>
  <c r="AC78" i="13"/>
  <c r="AC79" i="13"/>
  <c r="AC80" i="13"/>
  <c r="AC81" i="13"/>
  <c r="AC82" i="13"/>
  <c r="AC83" i="13"/>
  <c r="AC84" i="13"/>
  <c r="AC85" i="13"/>
  <c r="AC86" i="13"/>
  <c r="AC87" i="13"/>
  <c r="AC88" i="13"/>
  <c r="AC89" i="13"/>
  <c r="AC90" i="13"/>
  <c r="AC91" i="13"/>
  <c r="AC92" i="13"/>
  <c r="AC93" i="13"/>
  <c r="AC94" i="13"/>
  <c r="AC95" i="13"/>
  <c r="AC96" i="13"/>
  <c r="AC97" i="13"/>
  <c r="AC98" i="13"/>
  <c r="AC99" i="13"/>
  <c r="AC100" i="13"/>
  <c r="AC101" i="13"/>
  <c r="AC102" i="13"/>
  <c r="AC103" i="13"/>
  <c r="AC104" i="13"/>
  <c r="AC105" i="13"/>
  <c r="AC106" i="13"/>
  <c r="AC107" i="13"/>
  <c r="AC108" i="13"/>
  <c r="AC109" i="13"/>
  <c r="AC110" i="13"/>
  <c r="AC111" i="13"/>
  <c r="AC112" i="13"/>
  <c r="AC113" i="13"/>
  <c r="AC114" i="13"/>
  <c r="AC115" i="13"/>
  <c r="AC116" i="13"/>
  <c r="AC117" i="13"/>
  <c r="AC118" i="13"/>
  <c r="AC119" i="13"/>
  <c r="AC120" i="13"/>
  <c r="AC121" i="13"/>
  <c r="AC122" i="13"/>
  <c r="AC123" i="13"/>
  <c r="AC124" i="13"/>
  <c r="AC125" i="13"/>
  <c r="AC126" i="13"/>
  <c r="AC127" i="13"/>
  <c r="AC128" i="13"/>
  <c r="AC129" i="13"/>
  <c r="AC130" i="13"/>
  <c r="AC131" i="13"/>
  <c r="AC132" i="13"/>
  <c r="AC133" i="13"/>
  <c r="AC134" i="13"/>
  <c r="AC135" i="13"/>
  <c r="AC136" i="13"/>
  <c r="AC137" i="13"/>
  <c r="AC138" i="13"/>
  <c r="AC139" i="13"/>
  <c r="AC140" i="13"/>
  <c r="AC141" i="13"/>
  <c r="AC142" i="13"/>
  <c r="AC143" i="13"/>
  <c r="AC144" i="13"/>
  <c r="AC145" i="13"/>
  <c r="AC146" i="13"/>
  <c r="AC147" i="13"/>
  <c r="AC148" i="13"/>
  <c r="AC149" i="13"/>
  <c r="AC150" i="13"/>
  <c r="AC151" i="13"/>
  <c r="AC152" i="13"/>
  <c r="AC153" i="13"/>
  <c r="AC154" i="13"/>
  <c r="AC155" i="13"/>
  <c r="AC156" i="13"/>
  <c r="AC157" i="13"/>
  <c r="AC158" i="13"/>
  <c r="AC159" i="13"/>
  <c r="AC160" i="13"/>
  <c r="AC161" i="13"/>
  <c r="AC162" i="13"/>
  <c r="AC163" i="13"/>
  <c r="AC164" i="13"/>
  <c r="AC165" i="13"/>
  <c r="AC166" i="13"/>
  <c r="AC167" i="13"/>
  <c r="AC168" i="13"/>
  <c r="AC169" i="13"/>
  <c r="AC170" i="13"/>
  <c r="AC171" i="13"/>
  <c r="AC172" i="13"/>
  <c r="AC173" i="13"/>
  <c r="AC174" i="13"/>
  <c r="AC175" i="13"/>
  <c r="AC176" i="13"/>
  <c r="AC177" i="13"/>
  <c r="AC178" i="13"/>
  <c r="AC179" i="13"/>
  <c r="AC180" i="13"/>
  <c r="AC181" i="13"/>
  <c r="AC182" i="13"/>
  <c r="AC183" i="13"/>
  <c r="AC184" i="13"/>
  <c r="AC185" i="13"/>
  <c r="AC186" i="13"/>
  <c r="AC187" i="13"/>
  <c r="AC188" i="13"/>
  <c r="AC189" i="13"/>
  <c r="AC190" i="13"/>
  <c r="AC191" i="13"/>
  <c r="AC192" i="13"/>
  <c r="AC193" i="13"/>
  <c r="AC194" i="13"/>
  <c r="AC195" i="13"/>
  <c r="AC196" i="13"/>
  <c r="AC197" i="13"/>
  <c r="AC198" i="13"/>
  <c r="AC199" i="13"/>
  <c r="AC200" i="13"/>
  <c r="AC201" i="13"/>
  <c r="AC202" i="13"/>
  <c r="AC203" i="13"/>
  <c r="AC204" i="13"/>
  <c r="AC205" i="13"/>
  <c r="AC206" i="13"/>
  <c r="AC207" i="13"/>
  <c r="AC208" i="13"/>
  <c r="AC209" i="13"/>
  <c r="AC210" i="13"/>
  <c r="AC211" i="13"/>
  <c r="T37" i="25"/>
  <c r="W4" i="25"/>
  <c r="S14" i="25"/>
  <c r="S8" i="25"/>
  <c r="T8" i="25"/>
  <c r="AJ19" i="13"/>
  <c r="AJ20" i="13"/>
  <c r="AJ21" i="13"/>
  <c r="AJ22" i="13"/>
  <c r="AJ23" i="13"/>
  <c r="AJ24" i="13"/>
  <c r="AJ25" i="13"/>
  <c r="AJ26" i="13"/>
  <c r="AJ27" i="13"/>
  <c r="AJ18" i="13"/>
  <c r="R8" i="6"/>
  <c r="R9" i="6"/>
  <c r="R10" i="6"/>
  <c r="R11" i="6"/>
  <c r="R12" i="6"/>
  <c r="R13" i="6"/>
  <c r="R14" i="6"/>
  <c r="R15" i="6"/>
  <c r="R16" i="6"/>
  <c r="R17" i="6"/>
  <c r="R18" i="6"/>
  <c r="R19" i="6"/>
  <c r="R20" i="6"/>
  <c r="R21" i="6"/>
  <c r="R22" i="6"/>
  <c r="R23" i="6"/>
  <c r="R24" i="6"/>
  <c r="R25" i="6"/>
  <c r="R26" i="6"/>
  <c r="R27" i="6"/>
  <c r="R28" i="6"/>
  <c r="R29" i="6"/>
  <c r="R30" i="6"/>
  <c r="R31" i="6"/>
  <c r="R32" i="6"/>
  <c r="R33" i="6"/>
  <c r="R34" i="6"/>
  <c r="R35" i="6"/>
  <c r="R36" i="6"/>
  <c r="R37" i="6"/>
  <c r="R38" i="6"/>
  <c r="R39" i="6"/>
  <c r="R40" i="6"/>
  <c r="R41" i="6"/>
  <c r="R42" i="6"/>
  <c r="R43" i="6"/>
  <c r="R44" i="6"/>
  <c r="R45" i="6"/>
  <c r="R46" i="6"/>
  <c r="R47" i="6"/>
  <c r="R48" i="6"/>
  <c r="R49" i="6"/>
  <c r="R50" i="6"/>
  <c r="R51" i="6"/>
  <c r="R52" i="6"/>
  <c r="R53" i="6"/>
  <c r="R54" i="6"/>
  <c r="R55" i="6"/>
  <c r="R56" i="6"/>
  <c r="R57" i="6"/>
  <c r="R58" i="6"/>
  <c r="R59" i="6"/>
  <c r="R60" i="6"/>
  <c r="R61" i="6"/>
  <c r="R62" i="6"/>
  <c r="R63" i="6"/>
  <c r="R64" i="6"/>
  <c r="R65" i="6"/>
  <c r="R66" i="6"/>
  <c r="R67" i="6"/>
  <c r="R68" i="6"/>
  <c r="R69" i="6"/>
  <c r="R70" i="6"/>
  <c r="R71" i="6"/>
  <c r="R72" i="6"/>
  <c r="R73" i="6"/>
  <c r="R74" i="6"/>
  <c r="R75" i="6"/>
  <c r="R76" i="6"/>
  <c r="R77" i="6"/>
  <c r="R78" i="6"/>
  <c r="R79" i="6"/>
  <c r="R80" i="6"/>
  <c r="R81" i="6"/>
  <c r="R82" i="6"/>
  <c r="R83" i="6"/>
  <c r="R84" i="6"/>
  <c r="R85" i="6"/>
  <c r="R86" i="6"/>
  <c r="R87" i="6"/>
  <c r="R88" i="6"/>
  <c r="R89" i="6"/>
  <c r="R90" i="6"/>
  <c r="R91" i="6"/>
  <c r="R92" i="6"/>
  <c r="R93" i="6"/>
  <c r="R94" i="6"/>
  <c r="R95" i="6"/>
  <c r="R96" i="6"/>
  <c r="R97" i="6"/>
  <c r="R98" i="6"/>
  <c r="R99" i="6"/>
  <c r="R100" i="6"/>
  <c r="R101" i="6"/>
  <c r="R102" i="6"/>
  <c r="R103" i="6"/>
  <c r="R104" i="6"/>
  <c r="R105" i="6"/>
  <c r="R106" i="6"/>
  <c r="R107" i="6"/>
  <c r="R108" i="6"/>
  <c r="R109" i="6"/>
  <c r="R110" i="6"/>
  <c r="R111" i="6"/>
  <c r="R112" i="6"/>
  <c r="R113" i="6"/>
  <c r="R114" i="6"/>
  <c r="R115" i="6"/>
  <c r="R116" i="6"/>
  <c r="R117" i="6"/>
  <c r="R118" i="6"/>
  <c r="R119" i="6"/>
  <c r="R120" i="6"/>
  <c r="R121" i="6"/>
  <c r="R122" i="6"/>
  <c r="R123" i="6"/>
  <c r="R124" i="6"/>
  <c r="R125" i="6"/>
  <c r="R126" i="6"/>
  <c r="R127" i="6"/>
  <c r="R128" i="6"/>
  <c r="R129" i="6"/>
  <c r="R130" i="6"/>
  <c r="R131" i="6"/>
  <c r="R132" i="6"/>
  <c r="R133" i="6"/>
  <c r="R134" i="6"/>
  <c r="R135" i="6"/>
  <c r="R136" i="6"/>
  <c r="R137" i="6"/>
  <c r="R138" i="6"/>
  <c r="R139" i="6"/>
  <c r="R140" i="6"/>
  <c r="R141" i="6"/>
  <c r="R142" i="6"/>
  <c r="R143" i="6"/>
  <c r="R144" i="6"/>
  <c r="R145" i="6"/>
  <c r="R146" i="6"/>
  <c r="R147" i="6"/>
  <c r="R148" i="6"/>
  <c r="R149" i="6"/>
  <c r="R150" i="6"/>
  <c r="R151" i="6"/>
  <c r="R152" i="6"/>
  <c r="R153" i="6"/>
  <c r="R154" i="6"/>
  <c r="R155" i="6"/>
  <c r="R156" i="6"/>
  <c r="R157" i="6"/>
  <c r="R158" i="6"/>
  <c r="R159" i="6"/>
  <c r="R160" i="6"/>
  <c r="R161" i="6"/>
  <c r="R162" i="6"/>
  <c r="R163" i="6"/>
  <c r="R164" i="6"/>
  <c r="R165" i="6"/>
  <c r="R166" i="6"/>
  <c r="R167" i="6"/>
  <c r="R168" i="6"/>
  <c r="R169" i="6"/>
  <c r="R170" i="6"/>
  <c r="R171" i="6"/>
  <c r="R172" i="6"/>
  <c r="R173" i="6"/>
  <c r="R174" i="6"/>
  <c r="R175" i="6"/>
  <c r="R176" i="6"/>
  <c r="R177" i="6"/>
  <c r="R178" i="6"/>
  <c r="R179" i="6"/>
  <c r="R180" i="6"/>
  <c r="R181" i="6"/>
  <c r="R182" i="6"/>
  <c r="R183" i="6"/>
  <c r="R184" i="6"/>
  <c r="R185" i="6"/>
  <c r="R186" i="6"/>
  <c r="R187" i="6"/>
  <c r="R188" i="6"/>
  <c r="R189" i="6"/>
  <c r="R190" i="6"/>
  <c r="R191" i="6"/>
  <c r="R192" i="6"/>
  <c r="R193" i="6"/>
  <c r="R194" i="6"/>
  <c r="R195" i="6"/>
  <c r="R196" i="6"/>
  <c r="R197" i="6"/>
  <c r="R198" i="6"/>
  <c r="R199" i="6"/>
  <c r="R200" i="6"/>
  <c r="R201" i="6"/>
  <c r="R202" i="6"/>
  <c r="R203" i="6"/>
  <c r="R204" i="6"/>
  <c r="R205" i="6"/>
  <c r="R206" i="6"/>
  <c r="R207" i="6"/>
  <c r="R208" i="6"/>
  <c r="R209" i="6"/>
  <c r="R210" i="6"/>
  <c r="R211" i="6"/>
  <c r="R212" i="6"/>
  <c r="R213" i="6"/>
  <c r="R214" i="6"/>
  <c r="R215" i="6"/>
  <c r="R216" i="6"/>
  <c r="R217" i="6"/>
  <c r="R218" i="6"/>
  <c r="R219" i="6"/>
  <c r="R220" i="6"/>
  <c r="R221" i="6"/>
  <c r="R222" i="6"/>
  <c r="R223" i="6"/>
  <c r="R224" i="6"/>
  <c r="R225" i="6"/>
  <c r="R226" i="6"/>
  <c r="R227" i="6"/>
  <c r="R228" i="6"/>
  <c r="R229" i="6"/>
  <c r="R230" i="6"/>
  <c r="R231" i="6"/>
  <c r="R232" i="6"/>
  <c r="R233" i="6"/>
  <c r="R234" i="6"/>
  <c r="R235" i="6"/>
  <c r="R236" i="6"/>
  <c r="R237" i="6"/>
  <c r="R238" i="6"/>
  <c r="R239" i="6"/>
  <c r="R240" i="6"/>
  <c r="R241" i="6"/>
  <c r="R242" i="6"/>
  <c r="R243" i="6"/>
  <c r="R244" i="6"/>
  <c r="R245" i="6"/>
  <c r="R246" i="6"/>
  <c r="R247" i="6"/>
  <c r="R248" i="6"/>
  <c r="R249" i="6"/>
  <c r="R250" i="6"/>
  <c r="R251" i="6"/>
  <c r="R252" i="6"/>
  <c r="R253" i="6"/>
  <c r="R254" i="6"/>
  <c r="R255" i="6"/>
  <c r="R256" i="6"/>
  <c r="R257" i="6"/>
  <c r="R258" i="6"/>
  <c r="R259" i="6"/>
  <c r="R260" i="6"/>
  <c r="R261" i="6"/>
  <c r="R262" i="6"/>
  <c r="R263" i="6"/>
  <c r="R264" i="6"/>
  <c r="R265" i="6"/>
  <c r="R266" i="6"/>
  <c r="R267" i="6"/>
  <c r="R268" i="6"/>
  <c r="R269" i="6"/>
  <c r="R270" i="6"/>
  <c r="R271" i="6"/>
  <c r="R272" i="6"/>
  <c r="R273" i="6"/>
  <c r="R274" i="6"/>
  <c r="R275" i="6"/>
  <c r="R276" i="6"/>
  <c r="R277" i="6"/>
  <c r="R278" i="6"/>
  <c r="R279" i="6"/>
  <c r="R280" i="6"/>
  <c r="R281" i="6"/>
  <c r="R282" i="6"/>
  <c r="R283" i="6"/>
  <c r="R284" i="6"/>
  <c r="R285" i="6"/>
  <c r="R286" i="6"/>
  <c r="R287" i="6"/>
  <c r="R288" i="6"/>
  <c r="R289" i="6"/>
  <c r="R290" i="6"/>
  <c r="R291" i="6"/>
  <c r="R292" i="6"/>
  <c r="R293" i="6"/>
  <c r="R294" i="6"/>
  <c r="R295" i="6"/>
  <c r="R296" i="6"/>
  <c r="R297" i="6"/>
  <c r="R298" i="6"/>
  <c r="R299" i="6"/>
  <c r="R300" i="6"/>
  <c r="R301" i="6"/>
  <c r="R302" i="6"/>
  <c r="R303" i="6"/>
  <c r="R304" i="6"/>
  <c r="R305" i="6"/>
  <c r="R306" i="6"/>
  <c r="R307" i="6"/>
  <c r="R308" i="6"/>
  <c r="R309" i="6"/>
  <c r="R310" i="6"/>
  <c r="R311" i="6"/>
  <c r="R312" i="6"/>
  <c r="R313" i="6"/>
  <c r="R314" i="6"/>
  <c r="R315" i="6"/>
  <c r="R316" i="6"/>
  <c r="R317" i="6"/>
  <c r="R318" i="6"/>
  <c r="R319" i="6"/>
  <c r="R320" i="6"/>
  <c r="R321" i="6"/>
  <c r="R322" i="6"/>
  <c r="R323" i="6"/>
  <c r="R324" i="6"/>
  <c r="R325" i="6"/>
  <c r="R326" i="6"/>
  <c r="R327" i="6"/>
  <c r="R328" i="6"/>
  <c r="R329" i="6"/>
  <c r="R330" i="6"/>
  <c r="R331" i="6"/>
  <c r="R332" i="6"/>
  <c r="R333" i="6"/>
  <c r="R334" i="6"/>
  <c r="R335" i="6"/>
  <c r="R336" i="6"/>
  <c r="R337" i="6"/>
  <c r="R338" i="6"/>
  <c r="R339" i="6"/>
  <c r="R340" i="6"/>
  <c r="R341" i="6"/>
  <c r="R342" i="6"/>
  <c r="R343" i="6"/>
  <c r="R344" i="6"/>
  <c r="R345" i="6"/>
  <c r="R346" i="6"/>
  <c r="R347" i="6"/>
  <c r="R348" i="6"/>
  <c r="R349" i="6"/>
  <c r="R350" i="6"/>
  <c r="R351" i="6"/>
  <c r="R352" i="6"/>
  <c r="R353" i="6"/>
  <c r="R354" i="6"/>
  <c r="R355" i="6"/>
  <c r="R356" i="6"/>
  <c r="R357" i="6"/>
  <c r="R358" i="6"/>
  <c r="R359" i="6"/>
  <c r="R360" i="6"/>
  <c r="R361" i="6"/>
  <c r="R362" i="6"/>
  <c r="R363" i="6"/>
  <c r="R364" i="6"/>
  <c r="R365" i="6"/>
  <c r="R366" i="6"/>
  <c r="R367" i="6"/>
  <c r="R368" i="6"/>
  <c r="R369" i="6"/>
  <c r="R370" i="6"/>
  <c r="R371" i="6"/>
  <c r="R372" i="6"/>
  <c r="R373" i="6"/>
  <c r="R374" i="6"/>
  <c r="R375" i="6"/>
  <c r="R376" i="6"/>
  <c r="R377" i="6"/>
  <c r="R378" i="6"/>
  <c r="R379" i="6"/>
  <c r="R380" i="6"/>
  <c r="R381" i="6"/>
  <c r="R382" i="6"/>
  <c r="R383" i="6"/>
  <c r="R384" i="6"/>
  <c r="R385" i="6"/>
  <c r="R386" i="6"/>
  <c r="R387" i="6"/>
  <c r="R388" i="6"/>
  <c r="R389" i="6"/>
  <c r="R390" i="6"/>
  <c r="R391" i="6"/>
  <c r="R392" i="6"/>
  <c r="R393" i="6"/>
  <c r="R394" i="6"/>
  <c r="R395" i="6"/>
  <c r="R396" i="6"/>
  <c r="R397" i="6"/>
  <c r="R398" i="6"/>
  <c r="R399" i="6"/>
  <c r="R400" i="6"/>
  <c r="R401" i="6"/>
  <c r="R402" i="6"/>
  <c r="R403" i="6"/>
  <c r="R404" i="6"/>
  <c r="R405" i="6"/>
  <c r="R406" i="6"/>
  <c r="R407" i="6"/>
  <c r="R408" i="6"/>
  <c r="R409" i="6"/>
  <c r="R410" i="6"/>
  <c r="R411" i="6"/>
  <c r="R412" i="6"/>
  <c r="R413" i="6"/>
  <c r="R414" i="6"/>
  <c r="R415" i="6"/>
  <c r="R416" i="6"/>
  <c r="R417" i="6"/>
  <c r="R418" i="6"/>
  <c r="R419" i="6"/>
  <c r="R420" i="6"/>
  <c r="R421" i="6"/>
  <c r="R422" i="6"/>
  <c r="R423" i="6"/>
  <c r="R424" i="6"/>
  <c r="R425" i="6"/>
  <c r="R426" i="6"/>
  <c r="R427" i="6"/>
  <c r="R428" i="6"/>
  <c r="R429" i="6"/>
  <c r="R430" i="6"/>
  <c r="R431" i="6"/>
  <c r="R432" i="6"/>
  <c r="R433" i="6"/>
  <c r="R434" i="6"/>
  <c r="R435" i="6"/>
  <c r="R436" i="6"/>
  <c r="R437" i="6"/>
  <c r="R438" i="6"/>
  <c r="R439" i="6"/>
  <c r="R440" i="6"/>
  <c r="R441" i="6"/>
  <c r="R442" i="6"/>
  <c r="R443" i="6"/>
  <c r="R444" i="6"/>
  <c r="R445" i="6"/>
  <c r="R446" i="6"/>
  <c r="R447" i="6"/>
  <c r="R448" i="6"/>
  <c r="R449" i="6"/>
  <c r="R450" i="6"/>
  <c r="R451" i="6"/>
  <c r="R452" i="6"/>
  <c r="R453" i="6"/>
  <c r="R454" i="6"/>
  <c r="R455" i="6"/>
  <c r="R456" i="6"/>
  <c r="R457" i="6"/>
  <c r="R458" i="6"/>
  <c r="R459" i="6"/>
  <c r="R460" i="6"/>
  <c r="R461" i="6"/>
  <c r="R462" i="6"/>
  <c r="R463" i="6"/>
  <c r="R464" i="6"/>
  <c r="R465" i="6"/>
  <c r="R466" i="6"/>
  <c r="R467" i="6"/>
  <c r="R468" i="6"/>
  <c r="R469" i="6"/>
  <c r="R470" i="6"/>
  <c r="R471" i="6"/>
  <c r="R472" i="6"/>
  <c r="R473" i="6"/>
  <c r="R474" i="6"/>
  <c r="R475" i="6"/>
  <c r="R476" i="6"/>
  <c r="R477" i="6"/>
  <c r="R478" i="6"/>
  <c r="R479" i="6"/>
  <c r="R480" i="6"/>
  <c r="R481" i="6"/>
  <c r="R482" i="6"/>
  <c r="R483" i="6"/>
  <c r="R484" i="6"/>
  <c r="R485" i="6"/>
  <c r="R486" i="6"/>
  <c r="R487" i="6"/>
  <c r="R488" i="6"/>
  <c r="R489" i="6"/>
  <c r="R490" i="6"/>
  <c r="R491" i="6"/>
  <c r="R492" i="6"/>
  <c r="R493" i="6"/>
  <c r="R494" i="6"/>
  <c r="R495" i="6"/>
  <c r="R496" i="6"/>
  <c r="R497" i="6"/>
  <c r="R498" i="6"/>
  <c r="R499" i="6"/>
  <c r="R500" i="6"/>
  <c r="R501" i="6"/>
  <c r="R502" i="6"/>
  <c r="R503" i="6"/>
  <c r="R504" i="6"/>
  <c r="R505" i="6"/>
  <c r="R506" i="6"/>
  <c r="R507" i="6"/>
  <c r="R508" i="6"/>
  <c r="R509" i="6"/>
  <c r="R510" i="6"/>
  <c r="R511" i="6"/>
  <c r="R512" i="6"/>
  <c r="R513" i="6"/>
  <c r="R514" i="6"/>
  <c r="R515" i="6"/>
  <c r="R516" i="6"/>
  <c r="R517" i="6"/>
  <c r="R518" i="6"/>
  <c r="R519" i="6"/>
  <c r="R520" i="6"/>
  <c r="R521" i="6"/>
  <c r="R522" i="6"/>
  <c r="R523" i="6"/>
  <c r="R524" i="6"/>
  <c r="R525" i="6"/>
  <c r="R526" i="6"/>
  <c r="R527" i="6"/>
  <c r="R528" i="6"/>
  <c r="R529" i="6"/>
  <c r="R530" i="6"/>
  <c r="R531" i="6"/>
  <c r="AB531" i="6" s="1"/>
  <c r="R532" i="6"/>
  <c r="AB532" i="6" s="1"/>
  <c r="R533" i="6"/>
  <c r="R534" i="6"/>
  <c r="AB534" i="6" s="1"/>
  <c r="R535" i="6"/>
  <c r="AB535" i="6" s="1"/>
  <c r="R536" i="6"/>
  <c r="AB536" i="6" s="1"/>
  <c r="R537" i="6"/>
  <c r="R538" i="6"/>
  <c r="R539" i="6"/>
  <c r="AB539" i="6" s="1"/>
  <c r="R540" i="6"/>
  <c r="AB540" i="6" s="1"/>
  <c r="R541" i="6"/>
  <c r="AB541" i="6" s="1"/>
  <c r="R542" i="6"/>
  <c r="AB542" i="6" s="1"/>
  <c r="R543" i="6"/>
  <c r="AB543" i="6" s="1"/>
  <c r="R544" i="6"/>
  <c r="AB544" i="6" s="1"/>
  <c r="R545" i="6"/>
  <c r="AB545" i="6" s="1"/>
  <c r="R546" i="6"/>
  <c r="AB546" i="6" s="1"/>
  <c r="R547" i="6"/>
  <c r="AB547" i="6" s="1"/>
  <c r="R548" i="6"/>
  <c r="AB548" i="6" s="1"/>
  <c r="R549" i="6"/>
  <c r="R550" i="6"/>
  <c r="AB550" i="6" s="1"/>
  <c r="R551" i="6"/>
  <c r="AB551" i="6" s="1"/>
  <c r="R552" i="6"/>
  <c r="AB552" i="6" s="1"/>
  <c r="R553" i="6"/>
  <c r="R554" i="6"/>
  <c r="R555" i="6"/>
  <c r="AB555" i="6" s="1"/>
  <c r="R556" i="6"/>
  <c r="AB556" i="6" s="1"/>
  <c r="R557" i="6"/>
  <c r="AB557" i="6" s="1"/>
  <c r="R558" i="6"/>
  <c r="AB558" i="6" s="1"/>
  <c r="R559" i="6"/>
  <c r="AB559" i="6" s="1"/>
  <c r="R560" i="6"/>
  <c r="AB560" i="6" s="1"/>
  <c r="R561" i="6"/>
  <c r="AB561" i="6" s="1"/>
  <c r="R562" i="6"/>
  <c r="AB562" i="6" s="1"/>
  <c r="R563" i="6"/>
  <c r="AB563" i="6" s="1"/>
  <c r="R564" i="6"/>
  <c r="AB564" i="6" s="1"/>
  <c r="R565" i="6"/>
  <c r="R566" i="6"/>
  <c r="AB566" i="6" s="1"/>
  <c r="R567" i="6"/>
  <c r="AB567" i="6" s="1"/>
  <c r="R568" i="6"/>
  <c r="AB568" i="6" s="1"/>
  <c r="R569" i="6"/>
  <c r="R570" i="6"/>
  <c r="R571" i="6"/>
  <c r="AB571" i="6" s="1"/>
  <c r="R572" i="6"/>
  <c r="AB572" i="6" s="1"/>
  <c r="R573" i="6"/>
  <c r="AB573" i="6" s="1"/>
  <c r="R574" i="6"/>
  <c r="AB574" i="6" s="1"/>
  <c r="R575" i="6"/>
  <c r="AB575" i="6" s="1"/>
  <c r="R576" i="6"/>
  <c r="AB576" i="6" s="1"/>
  <c r="R577" i="6"/>
  <c r="AB577" i="6" s="1"/>
  <c r="R578" i="6"/>
  <c r="AB578" i="6" s="1"/>
  <c r="R579" i="6"/>
  <c r="AB579" i="6" s="1"/>
  <c r="R580" i="6"/>
  <c r="AB580" i="6" s="1"/>
  <c r="R581" i="6"/>
  <c r="R582" i="6"/>
  <c r="AB582" i="6" s="1"/>
  <c r="R583" i="6"/>
  <c r="AB583" i="6" s="1"/>
  <c r="R584" i="6"/>
  <c r="AB584" i="6" s="1"/>
  <c r="R585" i="6"/>
  <c r="R586" i="6"/>
  <c r="R587" i="6"/>
  <c r="AB587" i="6" s="1"/>
  <c r="R588" i="6"/>
  <c r="AB588" i="6" s="1"/>
  <c r="R589" i="6"/>
  <c r="AB589" i="6" s="1"/>
  <c r="R590" i="6"/>
  <c r="AB590" i="6" s="1"/>
  <c r="AB591" i="6"/>
  <c r="AB592" i="6"/>
  <c r="AB594" i="6"/>
  <c r="AB595" i="6"/>
  <c r="AB755" i="6"/>
  <c r="AB598" i="6"/>
  <c r="AB599" i="6"/>
  <c r="AB673" i="6"/>
  <c r="AB708" i="6"/>
  <c r="AB604" i="6"/>
  <c r="AB597" i="6"/>
  <c r="AB737" i="6"/>
  <c r="AB606" i="6"/>
  <c r="AB609" i="6"/>
  <c r="AB632" i="6"/>
  <c r="AB608" i="6"/>
  <c r="AB612" i="6"/>
  <c r="AB613" i="6"/>
  <c r="AB614" i="6"/>
  <c r="AB629" i="6"/>
  <c r="AB758" i="6"/>
  <c r="AB618" i="6"/>
  <c r="AB676" i="6"/>
  <c r="AB623" i="6"/>
  <c r="AB624" i="6"/>
  <c r="AB625" i="6"/>
  <c r="AB626" i="6"/>
  <c r="AB627" i="6"/>
  <c r="AB628" i="6"/>
  <c r="AB630" i="6"/>
  <c r="AB631" i="6"/>
  <c r="AB862" i="6"/>
  <c r="AB633" i="6"/>
  <c r="AB634" i="6"/>
  <c r="AB622" i="6"/>
  <c r="AB819" i="6"/>
  <c r="AB638" i="6"/>
  <c r="AB639" i="6"/>
  <c r="AB656" i="6"/>
  <c r="AB846" i="6"/>
  <c r="AB645" i="6"/>
  <c r="AB647" i="6"/>
  <c r="AB648" i="6"/>
  <c r="AB635" i="6"/>
  <c r="AB650" i="6"/>
  <c r="AB651" i="6"/>
  <c r="AB652" i="6"/>
  <c r="AB654" i="6"/>
  <c r="AB655" i="6"/>
  <c r="AB836" i="6"/>
  <c r="AB657" i="6"/>
  <c r="AB658" i="6"/>
  <c r="AB659" i="6"/>
  <c r="AB661" i="6"/>
  <c r="AB662" i="6"/>
  <c r="AB744" i="6"/>
  <c r="AB667" i="6"/>
  <c r="AB834" i="6"/>
  <c r="AB809" i="6"/>
  <c r="AB671" i="6"/>
  <c r="AB672" i="6"/>
  <c r="AB601" i="6"/>
  <c r="AB674" i="6"/>
  <c r="AB675" i="6"/>
  <c r="AB677" i="6"/>
  <c r="AB678" i="6"/>
  <c r="AB679" i="6"/>
  <c r="AB681" i="6"/>
  <c r="AB835" i="6"/>
  <c r="AB683" i="6"/>
  <c r="AB684" i="6"/>
  <c r="AB880" i="6"/>
  <c r="AB686" i="6"/>
  <c r="AB776" i="6"/>
  <c r="AB619" i="6"/>
  <c r="AB690" i="6"/>
  <c r="AB691" i="6"/>
  <c r="AB754" i="6"/>
  <c r="AB696" i="6"/>
  <c r="AB611" i="6"/>
  <c r="AB621" i="6"/>
  <c r="AB702" i="6"/>
  <c r="AB703" i="6"/>
  <c r="AB706" i="6"/>
  <c r="AB856" i="6"/>
  <c r="AB709" i="6"/>
  <c r="AB711" i="6"/>
  <c r="AB712" i="6"/>
  <c r="AB874" i="6"/>
  <c r="AB689" i="6"/>
  <c r="AB719" i="6"/>
  <c r="AB721" i="6"/>
  <c r="AB722" i="6"/>
  <c r="AB723" i="6"/>
  <c r="AB716" i="6"/>
  <c r="AB725" i="6"/>
  <c r="AB727" i="6"/>
  <c r="AB730" i="6"/>
  <c r="AB848" i="6"/>
  <c r="AB735" i="6"/>
  <c r="AB739" i="6"/>
  <c r="AB726" i="6"/>
  <c r="AB743" i="6"/>
  <c r="AB641" i="6"/>
  <c r="AB747" i="6"/>
  <c r="AB749" i="6"/>
  <c r="AB750" i="6"/>
  <c r="AB751" i="6"/>
  <c r="AB752" i="6"/>
  <c r="AB753" i="6"/>
  <c r="AB825" i="6"/>
  <c r="AB682" i="6"/>
  <c r="AB759" i="6"/>
  <c r="AB760" i="6"/>
  <c r="AB812" i="6"/>
  <c r="AB763" i="6"/>
  <c r="AB765" i="6"/>
  <c r="AB766" i="6"/>
  <c r="AB767" i="6"/>
  <c r="AB768" i="6"/>
  <c r="AB636" i="6"/>
  <c r="AB771" i="6"/>
  <c r="AB707" i="6"/>
  <c r="AB773" i="6"/>
  <c r="AB774" i="6"/>
  <c r="AB745" i="6"/>
  <c r="AB777" i="6"/>
  <c r="AB778" i="6"/>
  <c r="AB779" i="6"/>
  <c r="AB780" i="6"/>
  <c r="AB781" i="6"/>
  <c r="AB782" i="6"/>
  <c r="AB786" i="6"/>
  <c r="AB787" i="6"/>
  <c r="AB788" i="6"/>
  <c r="AB789" i="6"/>
  <c r="AB790" i="6"/>
  <c r="AB791" i="6"/>
  <c r="AB792" i="6"/>
  <c r="AB795" i="6"/>
  <c r="AB796" i="6"/>
  <c r="AB797" i="6"/>
  <c r="AB855" i="6"/>
  <c r="AB799" i="6"/>
  <c r="AB803" i="6"/>
  <c r="AB805" i="6"/>
  <c r="AB643" i="6"/>
  <c r="AB807" i="6"/>
  <c r="AB808" i="6"/>
  <c r="AB644" i="6"/>
  <c r="AB811" i="6"/>
  <c r="AB718" i="6"/>
  <c r="AB814" i="6"/>
  <c r="AB798" i="6"/>
  <c r="AB817" i="6"/>
  <c r="AB818" i="6"/>
  <c r="AB713" i="6"/>
  <c r="AB821" i="6"/>
  <c r="AB720" i="6"/>
  <c r="AB824" i="6"/>
  <c r="AB827" i="6"/>
  <c r="AB828" i="6"/>
  <c r="AB829" i="6"/>
  <c r="AB823" i="6"/>
  <c r="AB831" i="6"/>
  <c r="AB688" i="6"/>
  <c r="AB837" i="6"/>
  <c r="AB839" i="6"/>
  <c r="AB610" i="6"/>
  <c r="AB844" i="6"/>
  <c r="AB772" i="6"/>
  <c r="AB847" i="6"/>
  <c r="AB642" i="6"/>
  <c r="AB849" i="6"/>
  <c r="AB851" i="6"/>
  <c r="AB853" i="6"/>
  <c r="AB865" i="6"/>
  <c r="AB887" i="6"/>
  <c r="AB860" i="6"/>
  <c r="AB861" i="6"/>
  <c r="AB804" i="6"/>
  <c r="AB863" i="6"/>
  <c r="AB864" i="6"/>
  <c r="AB866" i="6"/>
  <c r="AB867" i="6"/>
  <c r="AB871" i="6"/>
  <c r="AB872" i="6"/>
  <c r="AB873" i="6"/>
  <c r="AB875" i="6"/>
  <c r="AB876" i="6"/>
  <c r="AB877" i="6"/>
  <c r="AB878" i="6"/>
  <c r="AB879" i="6"/>
  <c r="AB668" i="6"/>
  <c r="AB881" i="6"/>
  <c r="AB883" i="6"/>
  <c r="AB884" i="6"/>
  <c r="AB885" i="6"/>
  <c r="AB886" i="6"/>
  <c r="AB704" i="6"/>
  <c r="Z2" i="6"/>
  <c r="Z3" i="6"/>
  <c r="Z4" i="6"/>
  <c r="Z5" i="6"/>
  <c r="Z6" i="6"/>
  <c r="Z7" i="6"/>
  <c r="Z8" i="6"/>
  <c r="Z9" i="6"/>
  <c r="Z10" i="6"/>
  <c r="Z11" i="6"/>
  <c r="Z12" i="6"/>
  <c r="Z13" i="6"/>
  <c r="Z14" i="6"/>
  <c r="Z15" i="6"/>
  <c r="Z16" i="6"/>
  <c r="Z17" i="6"/>
  <c r="Z18" i="6"/>
  <c r="Z19" i="6"/>
  <c r="Z20" i="6"/>
  <c r="Z21" i="6"/>
  <c r="Z22" i="6"/>
  <c r="Z23" i="6"/>
  <c r="Z24" i="6"/>
  <c r="Z25" i="6"/>
  <c r="Z26" i="6"/>
  <c r="Z27" i="6"/>
  <c r="Z28" i="6"/>
  <c r="Z29" i="6"/>
  <c r="Z30" i="6"/>
  <c r="Z31" i="6"/>
  <c r="Z32" i="6"/>
  <c r="Z33" i="6"/>
  <c r="Z34" i="6"/>
  <c r="Z35" i="6"/>
  <c r="Z36" i="6"/>
  <c r="Z37" i="6"/>
  <c r="Z38" i="6"/>
  <c r="Z39" i="6"/>
  <c r="Z40" i="6"/>
  <c r="Z41" i="6"/>
  <c r="Z42" i="6"/>
  <c r="Z43" i="6"/>
  <c r="Z44" i="6"/>
  <c r="Z45" i="6"/>
  <c r="Z46" i="6"/>
  <c r="Z47" i="6"/>
  <c r="Z48" i="6"/>
  <c r="Z49" i="6"/>
  <c r="Z50" i="6"/>
  <c r="Z51" i="6"/>
  <c r="Z52" i="6"/>
  <c r="Z53" i="6"/>
  <c r="Z54" i="6"/>
  <c r="Z55" i="6"/>
  <c r="Z56" i="6"/>
  <c r="Z57" i="6"/>
  <c r="Z58" i="6"/>
  <c r="Z59" i="6"/>
  <c r="Z60" i="6"/>
  <c r="Z61" i="6"/>
  <c r="Z62" i="6"/>
  <c r="Z63" i="6"/>
  <c r="Z64" i="6"/>
  <c r="Z65" i="6"/>
  <c r="Z66" i="6"/>
  <c r="Z67" i="6"/>
  <c r="Z68" i="6"/>
  <c r="Z69" i="6"/>
  <c r="Z70" i="6"/>
  <c r="Z71" i="6"/>
  <c r="Z72" i="6"/>
  <c r="Z73" i="6"/>
  <c r="Z74" i="6"/>
  <c r="Z75" i="6"/>
  <c r="Z76" i="6"/>
  <c r="Z77" i="6"/>
  <c r="Z78" i="6"/>
  <c r="Z79" i="6"/>
  <c r="Z80" i="6"/>
  <c r="Z81" i="6"/>
  <c r="Z82" i="6"/>
  <c r="Z83" i="6"/>
  <c r="Z84" i="6"/>
  <c r="Z85" i="6"/>
  <c r="Z86" i="6"/>
  <c r="Z87" i="6"/>
  <c r="Z88" i="6"/>
  <c r="Z89" i="6"/>
  <c r="Z90" i="6"/>
  <c r="Z91" i="6"/>
  <c r="Z92" i="6"/>
  <c r="Z93" i="6"/>
  <c r="Z94" i="6"/>
  <c r="Z95" i="6"/>
  <c r="Z96" i="6"/>
  <c r="Z97" i="6"/>
  <c r="Z98" i="6"/>
  <c r="Z99" i="6"/>
  <c r="Z100" i="6"/>
  <c r="Z101" i="6"/>
  <c r="Z102" i="6"/>
  <c r="Z103" i="6"/>
  <c r="Z104" i="6"/>
  <c r="Z105" i="6"/>
  <c r="Z106" i="6"/>
  <c r="Z107" i="6"/>
  <c r="Z108" i="6"/>
  <c r="Z109" i="6"/>
  <c r="Z110" i="6"/>
  <c r="Z111" i="6"/>
  <c r="Z112" i="6"/>
  <c r="Z113" i="6"/>
  <c r="Z114" i="6"/>
  <c r="Z115" i="6"/>
  <c r="Z116" i="6"/>
  <c r="Z117" i="6"/>
  <c r="Z118" i="6"/>
  <c r="Z119" i="6"/>
  <c r="Z120" i="6"/>
  <c r="Z121" i="6"/>
  <c r="Z122" i="6"/>
  <c r="Z123" i="6"/>
  <c r="Z124" i="6"/>
  <c r="Z125" i="6"/>
  <c r="Z126" i="6"/>
  <c r="Z127" i="6"/>
  <c r="Z128" i="6"/>
  <c r="Z129" i="6"/>
  <c r="Z130" i="6"/>
  <c r="Z131" i="6"/>
  <c r="Z132" i="6"/>
  <c r="Z133" i="6"/>
  <c r="Z134" i="6"/>
  <c r="Z135" i="6"/>
  <c r="Z136" i="6"/>
  <c r="Z137" i="6"/>
  <c r="Z138" i="6"/>
  <c r="Z139" i="6"/>
  <c r="Z140" i="6"/>
  <c r="Z141" i="6"/>
  <c r="Z142" i="6"/>
  <c r="Z143" i="6"/>
  <c r="Z144" i="6"/>
  <c r="Z145" i="6"/>
  <c r="Z146" i="6"/>
  <c r="Z147" i="6"/>
  <c r="Z148" i="6"/>
  <c r="Z149" i="6"/>
  <c r="Z150" i="6"/>
  <c r="Z151" i="6"/>
  <c r="Z152" i="6"/>
  <c r="Z153" i="6"/>
  <c r="Z154" i="6"/>
  <c r="Z155" i="6"/>
  <c r="Z156" i="6"/>
  <c r="Z157" i="6"/>
  <c r="Z158" i="6"/>
  <c r="Z159" i="6"/>
  <c r="Z160" i="6"/>
  <c r="Z161" i="6"/>
  <c r="Z162" i="6"/>
  <c r="Z163" i="6"/>
  <c r="Z164" i="6"/>
  <c r="Z165" i="6"/>
  <c r="Z166" i="6"/>
  <c r="Z167" i="6"/>
  <c r="Z168" i="6"/>
  <c r="Z169" i="6"/>
  <c r="Z170" i="6"/>
  <c r="Z171" i="6"/>
  <c r="Z172" i="6"/>
  <c r="Z173" i="6"/>
  <c r="Z174" i="6"/>
  <c r="Z175" i="6"/>
  <c r="Z176" i="6"/>
  <c r="Z177" i="6"/>
  <c r="Z178" i="6"/>
  <c r="Z179" i="6"/>
  <c r="Z180" i="6"/>
  <c r="Z181" i="6"/>
  <c r="Z182" i="6"/>
  <c r="Z183" i="6"/>
  <c r="Z184" i="6"/>
  <c r="Z185" i="6"/>
  <c r="Z186" i="6"/>
  <c r="Z187" i="6"/>
  <c r="Z188" i="6"/>
  <c r="Z189" i="6"/>
  <c r="Z190" i="6"/>
  <c r="Z191" i="6"/>
  <c r="Z192" i="6"/>
  <c r="Z193" i="6"/>
  <c r="Z194" i="6"/>
  <c r="Z195" i="6"/>
  <c r="Z196" i="6"/>
  <c r="Z197" i="6"/>
  <c r="Z198" i="6"/>
  <c r="Z199" i="6"/>
  <c r="Z200" i="6"/>
  <c r="Z201" i="6"/>
  <c r="Z202" i="6"/>
  <c r="Z203" i="6"/>
  <c r="Z204" i="6"/>
  <c r="Z205" i="6"/>
  <c r="Z206" i="6"/>
  <c r="Z207" i="6"/>
  <c r="Z208" i="6"/>
  <c r="Z209" i="6"/>
  <c r="Z210" i="6"/>
  <c r="Z211" i="6"/>
  <c r="Z212" i="6"/>
  <c r="Z213" i="6"/>
  <c r="Z214" i="6"/>
  <c r="Z215" i="6"/>
  <c r="Z216" i="6"/>
  <c r="Z217" i="6"/>
  <c r="Z218" i="6"/>
  <c r="Z219" i="6"/>
  <c r="Z220" i="6"/>
  <c r="Z221" i="6"/>
  <c r="Z222" i="6"/>
  <c r="Z223" i="6"/>
  <c r="Z224" i="6"/>
  <c r="Z225" i="6"/>
  <c r="Z226" i="6"/>
  <c r="Z227" i="6"/>
  <c r="Z228" i="6"/>
  <c r="Z229" i="6"/>
  <c r="Z230" i="6"/>
  <c r="Z231" i="6"/>
  <c r="Z232" i="6"/>
  <c r="Z233" i="6"/>
  <c r="Z234" i="6"/>
  <c r="Z235" i="6"/>
  <c r="Z236" i="6"/>
  <c r="Z237" i="6"/>
  <c r="Z238" i="6"/>
  <c r="Z239" i="6"/>
  <c r="Z240" i="6"/>
  <c r="Z241" i="6"/>
  <c r="Z242" i="6"/>
  <c r="Z243" i="6"/>
  <c r="Z244" i="6"/>
  <c r="Z245" i="6"/>
  <c r="Z246" i="6"/>
  <c r="Z247" i="6"/>
  <c r="Z248" i="6"/>
  <c r="Z249" i="6"/>
  <c r="Z250" i="6"/>
  <c r="Z251" i="6"/>
  <c r="Z252" i="6"/>
  <c r="Z253" i="6"/>
  <c r="Z254" i="6"/>
  <c r="Z255" i="6"/>
  <c r="Z256" i="6"/>
  <c r="Z257" i="6"/>
  <c r="Z258" i="6"/>
  <c r="Z259" i="6"/>
  <c r="Z260" i="6"/>
  <c r="Z261" i="6"/>
  <c r="Z262" i="6"/>
  <c r="Z263" i="6"/>
  <c r="Z264" i="6"/>
  <c r="Z265" i="6"/>
  <c r="Z266" i="6"/>
  <c r="Z267" i="6"/>
  <c r="Z268" i="6"/>
  <c r="Z269" i="6"/>
  <c r="Z270" i="6"/>
  <c r="Z271" i="6"/>
  <c r="Z272" i="6"/>
  <c r="Z273" i="6"/>
  <c r="Z274" i="6"/>
  <c r="Z275" i="6"/>
  <c r="Z276" i="6"/>
  <c r="Z277" i="6"/>
  <c r="Z278" i="6"/>
  <c r="Z279" i="6"/>
  <c r="Z280" i="6"/>
  <c r="Z281" i="6"/>
  <c r="Z282" i="6"/>
  <c r="Z283" i="6"/>
  <c r="Z284" i="6"/>
  <c r="Z285" i="6"/>
  <c r="Z286" i="6"/>
  <c r="Z287" i="6"/>
  <c r="Z288" i="6"/>
  <c r="Z289" i="6"/>
  <c r="Z290" i="6"/>
  <c r="Z291" i="6"/>
  <c r="Z292" i="6"/>
  <c r="Z293" i="6"/>
  <c r="Z294" i="6"/>
  <c r="Z295" i="6"/>
  <c r="Z296" i="6"/>
  <c r="Z297" i="6"/>
  <c r="Z298" i="6"/>
  <c r="Z299" i="6"/>
  <c r="Z300" i="6"/>
  <c r="Z301" i="6"/>
  <c r="Z302" i="6"/>
  <c r="Z303" i="6"/>
  <c r="Z304" i="6"/>
  <c r="Z305" i="6"/>
  <c r="Z306" i="6"/>
  <c r="Z307" i="6"/>
  <c r="Z308" i="6"/>
  <c r="Z309" i="6"/>
  <c r="Z310" i="6"/>
  <c r="Z311" i="6"/>
  <c r="Z312" i="6"/>
  <c r="Z313" i="6"/>
  <c r="Z314" i="6"/>
  <c r="Z315" i="6"/>
  <c r="Z316" i="6"/>
  <c r="Z317" i="6"/>
  <c r="Z318" i="6"/>
  <c r="Z319" i="6"/>
  <c r="Z320" i="6"/>
  <c r="Z321" i="6"/>
  <c r="Z322" i="6"/>
  <c r="Z323" i="6"/>
  <c r="Z324" i="6"/>
  <c r="Z325" i="6"/>
  <c r="Z326" i="6"/>
  <c r="Z327" i="6"/>
  <c r="Z328" i="6"/>
  <c r="Z329" i="6"/>
  <c r="Z330" i="6"/>
  <c r="Z331" i="6"/>
  <c r="Z332" i="6"/>
  <c r="Z333" i="6"/>
  <c r="Z334" i="6"/>
  <c r="Z335" i="6"/>
  <c r="Z336" i="6"/>
  <c r="Z337" i="6"/>
  <c r="Z338" i="6"/>
  <c r="Z339" i="6"/>
  <c r="Z340" i="6"/>
  <c r="Z341" i="6"/>
  <c r="Z342" i="6"/>
  <c r="Z343" i="6"/>
  <c r="Z344" i="6"/>
  <c r="Z345" i="6"/>
  <c r="Z346" i="6"/>
  <c r="Z347" i="6"/>
  <c r="Z348" i="6"/>
  <c r="Z349" i="6"/>
  <c r="Z350" i="6"/>
  <c r="Z351" i="6"/>
  <c r="Z352" i="6"/>
  <c r="Z353" i="6"/>
  <c r="Z354" i="6"/>
  <c r="Z355" i="6"/>
  <c r="Z356" i="6"/>
  <c r="Z357" i="6"/>
  <c r="Z358" i="6"/>
  <c r="Z359" i="6"/>
  <c r="Z360" i="6"/>
  <c r="Z361" i="6"/>
  <c r="Z362" i="6"/>
  <c r="Z363" i="6"/>
  <c r="Z364" i="6"/>
  <c r="Z365" i="6"/>
  <c r="Z366" i="6"/>
  <c r="Z367" i="6"/>
  <c r="Z368" i="6"/>
  <c r="Z369" i="6"/>
  <c r="Z370" i="6"/>
  <c r="Z371" i="6"/>
  <c r="Z372" i="6"/>
  <c r="Z373" i="6"/>
  <c r="Z374" i="6"/>
  <c r="Z375" i="6"/>
  <c r="Z376" i="6"/>
  <c r="Z377" i="6"/>
  <c r="Z378" i="6"/>
  <c r="Z379" i="6"/>
  <c r="Z380" i="6"/>
  <c r="Z381" i="6"/>
  <c r="Z382" i="6"/>
  <c r="Z383" i="6"/>
  <c r="Z384" i="6"/>
  <c r="Z385" i="6"/>
  <c r="Z386" i="6"/>
  <c r="Z387" i="6"/>
  <c r="Z388" i="6"/>
  <c r="Z389" i="6"/>
  <c r="Z390" i="6"/>
  <c r="Z391" i="6"/>
  <c r="Z392" i="6"/>
  <c r="Z393" i="6"/>
  <c r="Z394" i="6"/>
  <c r="Z395" i="6"/>
  <c r="Z396" i="6"/>
  <c r="Z397" i="6"/>
  <c r="Z398" i="6"/>
  <c r="Z399" i="6"/>
  <c r="Z400" i="6"/>
  <c r="Z401" i="6"/>
  <c r="Z402" i="6"/>
  <c r="Z403" i="6"/>
  <c r="Z404" i="6"/>
  <c r="Z405" i="6"/>
  <c r="Z406" i="6"/>
  <c r="Z407" i="6"/>
  <c r="Z408" i="6"/>
  <c r="Z409" i="6"/>
  <c r="Z410" i="6"/>
  <c r="Z411" i="6"/>
  <c r="Z412" i="6"/>
  <c r="Z413" i="6"/>
  <c r="Z414" i="6"/>
  <c r="Z415" i="6"/>
  <c r="Z416" i="6"/>
  <c r="Z417" i="6"/>
  <c r="Z418" i="6"/>
  <c r="Z419" i="6"/>
  <c r="Z420" i="6"/>
  <c r="Z421" i="6"/>
  <c r="Z422" i="6"/>
  <c r="Z423" i="6"/>
  <c r="Z424" i="6"/>
  <c r="Z425" i="6"/>
  <c r="Z426" i="6"/>
  <c r="Z427" i="6"/>
  <c r="Z428" i="6"/>
  <c r="Z429" i="6"/>
  <c r="Z430" i="6"/>
  <c r="Z431" i="6"/>
  <c r="Z432" i="6"/>
  <c r="Z433" i="6"/>
  <c r="Z434" i="6"/>
  <c r="Z435" i="6"/>
  <c r="Z436" i="6"/>
  <c r="Z437" i="6"/>
  <c r="Z438" i="6"/>
  <c r="Z439" i="6"/>
  <c r="Z440" i="6"/>
  <c r="Z441" i="6"/>
  <c r="Z442" i="6"/>
  <c r="Z443" i="6"/>
  <c r="Z444" i="6"/>
  <c r="Z445" i="6"/>
  <c r="Z446" i="6"/>
  <c r="Z447" i="6"/>
  <c r="Z448" i="6"/>
  <c r="Z449" i="6"/>
  <c r="Z450" i="6"/>
  <c r="Z451" i="6"/>
  <c r="Z452" i="6"/>
  <c r="Z453" i="6"/>
  <c r="Z454" i="6"/>
  <c r="Z455" i="6"/>
  <c r="Z456" i="6"/>
  <c r="Z457" i="6"/>
  <c r="Z458" i="6"/>
  <c r="Z459" i="6"/>
  <c r="Z460" i="6"/>
  <c r="Z461" i="6"/>
  <c r="Z462" i="6"/>
  <c r="Z463" i="6"/>
  <c r="Z464" i="6"/>
  <c r="Z465" i="6"/>
  <c r="Z466" i="6"/>
  <c r="Z467" i="6"/>
  <c r="Z468" i="6"/>
  <c r="Z469" i="6"/>
  <c r="Z470" i="6"/>
  <c r="Z471" i="6"/>
  <c r="Z472" i="6"/>
  <c r="Z473" i="6"/>
  <c r="Z474" i="6"/>
  <c r="Z475" i="6"/>
  <c r="Z476" i="6"/>
  <c r="Z477" i="6"/>
  <c r="Z478" i="6"/>
  <c r="Z479" i="6"/>
  <c r="Z480" i="6"/>
  <c r="Z481" i="6"/>
  <c r="Z482" i="6"/>
  <c r="Z483" i="6"/>
  <c r="Z484" i="6"/>
  <c r="Z485" i="6"/>
  <c r="Z486" i="6"/>
  <c r="Z487" i="6"/>
  <c r="Z488" i="6"/>
  <c r="Z489" i="6"/>
  <c r="Z490" i="6"/>
  <c r="Z491" i="6"/>
  <c r="Z492" i="6"/>
  <c r="Z493" i="6"/>
  <c r="Z494" i="6"/>
  <c r="Z495" i="6"/>
  <c r="Z496" i="6"/>
  <c r="Z497" i="6"/>
  <c r="Z498" i="6"/>
  <c r="Z499" i="6"/>
  <c r="Z500" i="6"/>
  <c r="Z501" i="6"/>
  <c r="Z502" i="6"/>
  <c r="Z503" i="6"/>
  <c r="Z504" i="6"/>
  <c r="Z505" i="6"/>
  <c r="Z506" i="6"/>
  <c r="Z507" i="6"/>
  <c r="Z508" i="6"/>
  <c r="Z509" i="6"/>
  <c r="Z510" i="6"/>
  <c r="Z511" i="6"/>
  <c r="Z512" i="6"/>
  <c r="Z513" i="6"/>
  <c r="Z514" i="6"/>
  <c r="Z515" i="6"/>
  <c r="Z516" i="6"/>
  <c r="Z517" i="6"/>
  <c r="Z518" i="6"/>
  <c r="Z519" i="6"/>
  <c r="Z520" i="6"/>
  <c r="Z521" i="6"/>
  <c r="Z522" i="6"/>
  <c r="Z523" i="6"/>
  <c r="Z524" i="6"/>
  <c r="Z525" i="6"/>
  <c r="Z526" i="6"/>
  <c r="Z527" i="6"/>
  <c r="Z528" i="6"/>
  <c r="Z529" i="6"/>
  <c r="Z530" i="6"/>
  <c r="Z531" i="6"/>
  <c r="Z532" i="6"/>
  <c r="Z533" i="6"/>
  <c r="Z534" i="6"/>
  <c r="Z535" i="6"/>
  <c r="Z536" i="6"/>
  <c r="Z537" i="6"/>
  <c r="Z538" i="6"/>
  <c r="Z539" i="6"/>
  <c r="Z540" i="6"/>
  <c r="Z541" i="6"/>
  <c r="Z542" i="6"/>
  <c r="Z543" i="6"/>
  <c r="Z544" i="6"/>
  <c r="Z545" i="6"/>
  <c r="Z546" i="6"/>
  <c r="Z547" i="6"/>
  <c r="Z548" i="6"/>
  <c r="Z549" i="6"/>
  <c r="Z550" i="6"/>
  <c r="Z551" i="6"/>
  <c r="Z552" i="6"/>
  <c r="Z553" i="6"/>
  <c r="Z554" i="6"/>
  <c r="Z555" i="6"/>
  <c r="Z556" i="6"/>
  <c r="Z557" i="6"/>
  <c r="Z558" i="6"/>
  <c r="Z559" i="6"/>
  <c r="Z560" i="6"/>
  <c r="Z561" i="6"/>
  <c r="Z562" i="6"/>
  <c r="Z563" i="6"/>
  <c r="Z564" i="6"/>
  <c r="Z565" i="6"/>
  <c r="Z566" i="6"/>
  <c r="Z567" i="6"/>
  <c r="Z568" i="6"/>
  <c r="Z569" i="6"/>
  <c r="Z570" i="6"/>
  <c r="Z571" i="6"/>
  <c r="Z572" i="6"/>
  <c r="Z573" i="6"/>
  <c r="Z574" i="6"/>
  <c r="Z575" i="6"/>
  <c r="Z576" i="6"/>
  <c r="Z577" i="6"/>
  <c r="Z578" i="6"/>
  <c r="Z579" i="6"/>
  <c r="Z580" i="6"/>
  <c r="Z581" i="6"/>
  <c r="Z582" i="6"/>
  <c r="Z583" i="6"/>
  <c r="Z584" i="6"/>
  <c r="Z585" i="6"/>
  <c r="Z586" i="6"/>
  <c r="Z587" i="6"/>
  <c r="Z588" i="6"/>
  <c r="Z589" i="6"/>
  <c r="Z617" i="6"/>
  <c r="Z593" i="6"/>
  <c r="Z740" i="6"/>
  <c r="Z736" i="6"/>
  <c r="Z717" i="6"/>
  <c r="Z707" i="6"/>
  <c r="Z792" i="6"/>
  <c r="Z723" i="6"/>
  <c r="Z845" i="6"/>
  <c r="Z870" i="6"/>
  <c r="Z814" i="6"/>
  <c r="Z618" i="6"/>
  <c r="Z698" i="6"/>
  <c r="Z757" i="6"/>
  <c r="Z877" i="6"/>
  <c r="Z680" i="6"/>
  <c r="Z843" i="6"/>
  <c r="Z660" i="6"/>
  <c r="Z783" i="6"/>
  <c r="Z692" i="6"/>
  <c r="Z728" i="6"/>
  <c r="Z620" i="6"/>
  <c r="Z681" i="6"/>
  <c r="Z652" i="6"/>
  <c r="Z690" i="6"/>
  <c r="Z771" i="6"/>
  <c r="Z811" i="6"/>
  <c r="Z599" i="6"/>
  <c r="Z882" i="6"/>
  <c r="Z788" i="6"/>
  <c r="Z703" i="6"/>
  <c r="Z626" i="6"/>
  <c r="Z840" i="6"/>
  <c r="Z729" i="6"/>
  <c r="Z768" i="6"/>
  <c r="Z653" i="6"/>
  <c r="Z803" i="6"/>
  <c r="Z852" i="6"/>
  <c r="Z600" i="6"/>
  <c r="Z799" i="6"/>
  <c r="Z749" i="6"/>
  <c r="Z651" i="6"/>
  <c r="Z623" i="6"/>
  <c r="Z787" i="6"/>
  <c r="Z851" i="6"/>
  <c r="Z776" i="6"/>
  <c r="Z609" i="6"/>
  <c r="Z675" i="6"/>
  <c r="Z869" i="6"/>
  <c r="Z881" i="6"/>
  <c r="Z860" i="6"/>
  <c r="Z601" i="6"/>
  <c r="Z829" i="6"/>
  <c r="Z674" i="6"/>
  <c r="Z844" i="6"/>
  <c r="Z781" i="6"/>
  <c r="Z706" i="6"/>
  <c r="Z832" i="6"/>
  <c r="Z639" i="6"/>
  <c r="Z712" i="6"/>
  <c r="Z767" i="6"/>
  <c r="Z859" i="6"/>
  <c r="Z647" i="6"/>
  <c r="Z649" i="6"/>
  <c r="Z795" i="6"/>
  <c r="Z710" i="6"/>
  <c r="Z701" i="6"/>
  <c r="Z763" i="6"/>
  <c r="Z821" i="6"/>
  <c r="Z631" i="6"/>
  <c r="Z793" i="6"/>
  <c r="Z875" i="6"/>
  <c r="Z863" i="6"/>
  <c r="Z604" i="6"/>
  <c r="Z677" i="6"/>
  <c r="Z772" i="6"/>
  <c r="Z794" i="6"/>
  <c r="Z805" i="6"/>
  <c r="Z645" i="6"/>
  <c r="Z873" i="6"/>
  <c r="Z731" i="6"/>
  <c r="Z688" i="6"/>
  <c r="Z725" i="6"/>
  <c r="Z812" i="6"/>
  <c r="Z802" i="6"/>
  <c r="Z887" i="6"/>
  <c r="Z854" i="6"/>
  <c r="Z658" i="6"/>
  <c r="Z779" i="6"/>
  <c r="Z866" i="6"/>
  <c r="Z751" i="6"/>
  <c r="Z662" i="6"/>
  <c r="Z835" i="6"/>
  <c r="Z602" i="6"/>
  <c r="Z598" i="6"/>
  <c r="Z655" i="6"/>
  <c r="Z606" i="6"/>
  <c r="Z638" i="6"/>
  <c r="Z752" i="6"/>
  <c r="Z689" i="6"/>
  <c r="Z820" i="6"/>
  <c r="Z663" i="6"/>
  <c r="Z684" i="6"/>
  <c r="Z696" i="6"/>
  <c r="Z686" i="6"/>
  <c r="Z628" i="6"/>
  <c r="Z785" i="6"/>
  <c r="Z607" i="6"/>
  <c r="Z670" i="6"/>
  <c r="Z732" i="6"/>
  <c r="Z762" i="6"/>
  <c r="Z716" i="6"/>
  <c r="Z694" i="6"/>
  <c r="Z654" i="6"/>
  <c r="Z627" i="6"/>
  <c r="Z839" i="6"/>
  <c r="Z858" i="6"/>
  <c r="Z721" i="6"/>
  <c r="Z735" i="6"/>
  <c r="Z711" i="6"/>
  <c r="Z778" i="6"/>
  <c r="Z777" i="6"/>
  <c r="Z879" i="6"/>
  <c r="Z826" i="6"/>
  <c r="Z691" i="6"/>
  <c r="Z878" i="6"/>
  <c r="Z709" i="6"/>
  <c r="Z798" i="6"/>
  <c r="Z737" i="6"/>
  <c r="Z808" i="6"/>
  <c r="Z880" i="6"/>
  <c r="Z846" i="6"/>
  <c r="Z807" i="6"/>
  <c r="Z612" i="6"/>
  <c r="Z850" i="6"/>
  <c r="Z789" i="6"/>
  <c r="Z876" i="6"/>
  <c r="Z726" i="6"/>
  <c r="Z678" i="6"/>
  <c r="Z637" i="6"/>
  <c r="Z842" i="6"/>
  <c r="Z773" i="6"/>
  <c r="Z683" i="6"/>
  <c r="Z871" i="6"/>
  <c r="Z766" i="6"/>
  <c r="Z754" i="6"/>
  <c r="Z650" i="6"/>
  <c r="Z753" i="6"/>
  <c r="Z831" i="6"/>
  <c r="Z704" i="6"/>
  <c r="Z625" i="6"/>
  <c r="Z727" i="6"/>
  <c r="Z872" i="6"/>
  <c r="Z865" i="6"/>
  <c r="Z666" i="6"/>
  <c r="Z750" i="6"/>
  <c r="Z671" i="6"/>
  <c r="Z828" i="6"/>
  <c r="Z824" i="6"/>
  <c r="Z708" i="6"/>
  <c r="Z764" i="6"/>
  <c r="Z780" i="6"/>
  <c r="Z853" i="6"/>
  <c r="Z747" i="6"/>
  <c r="Z633" i="6"/>
  <c r="Z861" i="6"/>
  <c r="Z797" i="6"/>
  <c r="Z885" i="6"/>
  <c r="Z592" i="6"/>
  <c r="Z800" i="6"/>
  <c r="Z614" i="6"/>
  <c r="Z661" i="6"/>
  <c r="Z700" i="6"/>
  <c r="Z867" i="6"/>
  <c r="Z615" i="6"/>
  <c r="Z682" i="6"/>
  <c r="Z760" i="6"/>
  <c r="Z693" i="6"/>
  <c r="Z640" i="6"/>
  <c r="Z759" i="6"/>
  <c r="Z634" i="6"/>
  <c r="Z849" i="6"/>
  <c r="Z667" i="6"/>
  <c r="Z782" i="6"/>
  <c r="Z648" i="6"/>
  <c r="Z833" i="6"/>
  <c r="Z884" i="6"/>
  <c r="Z775" i="6"/>
  <c r="Z889" i="6"/>
  <c r="Z892" i="6"/>
  <c r="Z1004" i="6"/>
  <c r="Z984" i="6"/>
  <c r="X2" i="6"/>
  <c r="X3" i="6"/>
  <c r="X4" i="6"/>
  <c r="X5" i="6"/>
  <c r="X6" i="6"/>
  <c r="X7" i="6"/>
  <c r="X8" i="6"/>
  <c r="X9" i="6"/>
  <c r="X10" i="6"/>
  <c r="X11" i="6"/>
  <c r="X12" i="6"/>
  <c r="X13" i="6"/>
  <c r="X14" i="6"/>
  <c r="X15" i="6"/>
  <c r="X16" i="6"/>
  <c r="X17" i="6"/>
  <c r="X18" i="6"/>
  <c r="X19" i="6"/>
  <c r="X20" i="6"/>
  <c r="X21" i="6"/>
  <c r="X22" i="6"/>
  <c r="X23" i="6"/>
  <c r="X24" i="6"/>
  <c r="X25" i="6"/>
  <c r="X26" i="6"/>
  <c r="X27" i="6"/>
  <c r="X28" i="6"/>
  <c r="X29" i="6"/>
  <c r="X30" i="6"/>
  <c r="X31" i="6"/>
  <c r="X32" i="6"/>
  <c r="X33" i="6"/>
  <c r="X34" i="6"/>
  <c r="X35" i="6"/>
  <c r="X36" i="6"/>
  <c r="X37" i="6"/>
  <c r="X38" i="6"/>
  <c r="X39" i="6"/>
  <c r="X40" i="6"/>
  <c r="X41" i="6"/>
  <c r="X42" i="6"/>
  <c r="X43" i="6"/>
  <c r="X44" i="6"/>
  <c r="X45" i="6"/>
  <c r="X46" i="6"/>
  <c r="X47" i="6"/>
  <c r="X48" i="6"/>
  <c r="X49" i="6"/>
  <c r="X50" i="6"/>
  <c r="X51" i="6"/>
  <c r="X52" i="6"/>
  <c r="X53" i="6"/>
  <c r="X54" i="6"/>
  <c r="X55" i="6"/>
  <c r="X56" i="6"/>
  <c r="X57" i="6"/>
  <c r="X58" i="6"/>
  <c r="X59" i="6"/>
  <c r="X60" i="6"/>
  <c r="X61" i="6"/>
  <c r="X62" i="6"/>
  <c r="X63" i="6"/>
  <c r="X64" i="6"/>
  <c r="X65" i="6"/>
  <c r="X66" i="6"/>
  <c r="X67" i="6"/>
  <c r="X68" i="6"/>
  <c r="X69" i="6"/>
  <c r="X70" i="6"/>
  <c r="X71" i="6"/>
  <c r="X72" i="6"/>
  <c r="X73" i="6"/>
  <c r="X74" i="6"/>
  <c r="X75" i="6"/>
  <c r="X76" i="6"/>
  <c r="X77" i="6"/>
  <c r="X78" i="6"/>
  <c r="X79" i="6"/>
  <c r="X80" i="6"/>
  <c r="X81" i="6"/>
  <c r="X82" i="6"/>
  <c r="X83" i="6"/>
  <c r="X84" i="6"/>
  <c r="X85" i="6"/>
  <c r="X86" i="6"/>
  <c r="X87" i="6"/>
  <c r="X88" i="6"/>
  <c r="X89" i="6"/>
  <c r="X90" i="6"/>
  <c r="X91" i="6"/>
  <c r="X92" i="6"/>
  <c r="X93" i="6"/>
  <c r="X94" i="6"/>
  <c r="X95" i="6"/>
  <c r="X96" i="6"/>
  <c r="X97" i="6"/>
  <c r="X98" i="6"/>
  <c r="X99" i="6"/>
  <c r="X100" i="6"/>
  <c r="X101" i="6"/>
  <c r="X102" i="6"/>
  <c r="X103" i="6"/>
  <c r="X104" i="6"/>
  <c r="X105" i="6"/>
  <c r="X106" i="6"/>
  <c r="X107" i="6"/>
  <c r="X108" i="6"/>
  <c r="X109" i="6"/>
  <c r="X110" i="6"/>
  <c r="X111" i="6"/>
  <c r="X112" i="6"/>
  <c r="X113" i="6"/>
  <c r="X114" i="6"/>
  <c r="X115" i="6"/>
  <c r="X116" i="6"/>
  <c r="X117" i="6"/>
  <c r="X118" i="6"/>
  <c r="X119" i="6"/>
  <c r="X120" i="6"/>
  <c r="X121" i="6"/>
  <c r="X122" i="6"/>
  <c r="X123" i="6"/>
  <c r="X124" i="6"/>
  <c r="X125" i="6"/>
  <c r="X126" i="6"/>
  <c r="X127" i="6"/>
  <c r="X128" i="6"/>
  <c r="X129" i="6"/>
  <c r="X130" i="6"/>
  <c r="X131" i="6"/>
  <c r="X132" i="6"/>
  <c r="X133" i="6"/>
  <c r="X134" i="6"/>
  <c r="X135" i="6"/>
  <c r="X136" i="6"/>
  <c r="X137" i="6"/>
  <c r="X138" i="6"/>
  <c r="X139" i="6"/>
  <c r="X140" i="6"/>
  <c r="X141" i="6"/>
  <c r="X142" i="6"/>
  <c r="X143" i="6"/>
  <c r="X144" i="6"/>
  <c r="X145" i="6"/>
  <c r="X146" i="6"/>
  <c r="X147" i="6"/>
  <c r="X148" i="6"/>
  <c r="X149" i="6"/>
  <c r="X150" i="6"/>
  <c r="X151" i="6"/>
  <c r="X152" i="6"/>
  <c r="X153" i="6"/>
  <c r="X154" i="6"/>
  <c r="X155" i="6"/>
  <c r="X156" i="6"/>
  <c r="X157" i="6"/>
  <c r="X158" i="6"/>
  <c r="X159" i="6"/>
  <c r="X160" i="6"/>
  <c r="X161" i="6"/>
  <c r="X162" i="6"/>
  <c r="X163" i="6"/>
  <c r="X164" i="6"/>
  <c r="X165" i="6"/>
  <c r="X166" i="6"/>
  <c r="X167" i="6"/>
  <c r="X168" i="6"/>
  <c r="X169" i="6"/>
  <c r="X170" i="6"/>
  <c r="X171" i="6"/>
  <c r="X172" i="6"/>
  <c r="X173" i="6"/>
  <c r="X174" i="6"/>
  <c r="X175" i="6"/>
  <c r="X176" i="6"/>
  <c r="X177" i="6"/>
  <c r="X178" i="6"/>
  <c r="X179" i="6"/>
  <c r="X180" i="6"/>
  <c r="X181" i="6"/>
  <c r="X182" i="6"/>
  <c r="X183" i="6"/>
  <c r="X184" i="6"/>
  <c r="X185" i="6"/>
  <c r="X186" i="6"/>
  <c r="X187" i="6"/>
  <c r="X188" i="6"/>
  <c r="X189" i="6"/>
  <c r="X190" i="6"/>
  <c r="X191" i="6"/>
  <c r="X192" i="6"/>
  <c r="X193" i="6"/>
  <c r="X194" i="6"/>
  <c r="X195" i="6"/>
  <c r="X196" i="6"/>
  <c r="X197" i="6"/>
  <c r="X198" i="6"/>
  <c r="X199" i="6"/>
  <c r="X200" i="6"/>
  <c r="X201" i="6"/>
  <c r="X202" i="6"/>
  <c r="X203" i="6"/>
  <c r="X204" i="6"/>
  <c r="X205" i="6"/>
  <c r="X206" i="6"/>
  <c r="X207" i="6"/>
  <c r="X208" i="6"/>
  <c r="X209" i="6"/>
  <c r="X210" i="6"/>
  <c r="X211" i="6"/>
  <c r="X212" i="6"/>
  <c r="X213" i="6"/>
  <c r="X214" i="6"/>
  <c r="X215" i="6"/>
  <c r="X216" i="6"/>
  <c r="X217" i="6"/>
  <c r="X218" i="6"/>
  <c r="X219" i="6"/>
  <c r="X220" i="6"/>
  <c r="X221" i="6"/>
  <c r="X222" i="6"/>
  <c r="X223" i="6"/>
  <c r="X224" i="6"/>
  <c r="X225" i="6"/>
  <c r="X226" i="6"/>
  <c r="X227" i="6"/>
  <c r="X228" i="6"/>
  <c r="X229" i="6"/>
  <c r="X230" i="6"/>
  <c r="X231" i="6"/>
  <c r="X232" i="6"/>
  <c r="X233" i="6"/>
  <c r="X234" i="6"/>
  <c r="X235" i="6"/>
  <c r="X236" i="6"/>
  <c r="X237" i="6"/>
  <c r="X238" i="6"/>
  <c r="X239" i="6"/>
  <c r="X240" i="6"/>
  <c r="X241" i="6"/>
  <c r="X242" i="6"/>
  <c r="X243" i="6"/>
  <c r="X244" i="6"/>
  <c r="X245" i="6"/>
  <c r="X246" i="6"/>
  <c r="X247" i="6"/>
  <c r="X248" i="6"/>
  <c r="X249" i="6"/>
  <c r="X250" i="6"/>
  <c r="X251" i="6"/>
  <c r="X252" i="6"/>
  <c r="X253" i="6"/>
  <c r="X254" i="6"/>
  <c r="X255" i="6"/>
  <c r="X256" i="6"/>
  <c r="X257" i="6"/>
  <c r="X258" i="6"/>
  <c r="X259" i="6"/>
  <c r="X260" i="6"/>
  <c r="X261" i="6"/>
  <c r="X262" i="6"/>
  <c r="X263" i="6"/>
  <c r="X264" i="6"/>
  <c r="X265" i="6"/>
  <c r="X266" i="6"/>
  <c r="X267" i="6"/>
  <c r="X268" i="6"/>
  <c r="X269" i="6"/>
  <c r="X270" i="6"/>
  <c r="X271" i="6"/>
  <c r="X272" i="6"/>
  <c r="X273" i="6"/>
  <c r="X274" i="6"/>
  <c r="X275" i="6"/>
  <c r="X276" i="6"/>
  <c r="X277" i="6"/>
  <c r="X278" i="6"/>
  <c r="X279" i="6"/>
  <c r="X280" i="6"/>
  <c r="X281" i="6"/>
  <c r="X282" i="6"/>
  <c r="X283" i="6"/>
  <c r="X284" i="6"/>
  <c r="X285" i="6"/>
  <c r="X286" i="6"/>
  <c r="X287" i="6"/>
  <c r="X288" i="6"/>
  <c r="X289" i="6"/>
  <c r="X290" i="6"/>
  <c r="X291" i="6"/>
  <c r="X292" i="6"/>
  <c r="X293" i="6"/>
  <c r="X294" i="6"/>
  <c r="X295" i="6"/>
  <c r="X296" i="6"/>
  <c r="X297" i="6"/>
  <c r="X298" i="6"/>
  <c r="X299" i="6"/>
  <c r="X300" i="6"/>
  <c r="X301" i="6"/>
  <c r="X302" i="6"/>
  <c r="X303" i="6"/>
  <c r="X304" i="6"/>
  <c r="X305" i="6"/>
  <c r="X306" i="6"/>
  <c r="X307" i="6"/>
  <c r="X308" i="6"/>
  <c r="X309" i="6"/>
  <c r="X310" i="6"/>
  <c r="X311" i="6"/>
  <c r="X312" i="6"/>
  <c r="X313" i="6"/>
  <c r="X314" i="6"/>
  <c r="X315" i="6"/>
  <c r="X316" i="6"/>
  <c r="X317" i="6"/>
  <c r="X318" i="6"/>
  <c r="X319" i="6"/>
  <c r="X320" i="6"/>
  <c r="X321" i="6"/>
  <c r="X322" i="6"/>
  <c r="X323" i="6"/>
  <c r="X324" i="6"/>
  <c r="X325" i="6"/>
  <c r="X326" i="6"/>
  <c r="X327" i="6"/>
  <c r="X328" i="6"/>
  <c r="X329" i="6"/>
  <c r="X330" i="6"/>
  <c r="X331" i="6"/>
  <c r="X332" i="6"/>
  <c r="X333" i="6"/>
  <c r="X334" i="6"/>
  <c r="X335" i="6"/>
  <c r="X336" i="6"/>
  <c r="X337" i="6"/>
  <c r="X338" i="6"/>
  <c r="X339" i="6"/>
  <c r="X340" i="6"/>
  <c r="X341" i="6"/>
  <c r="X342" i="6"/>
  <c r="X343" i="6"/>
  <c r="X344" i="6"/>
  <c r="X345" i="6"/>
  <c r="X346" i="6"/>
  <c r="X347" i="6"/>
  <c r="X348" i="6"/>
  <c r="X349" i="6"/>
  <c r="X350" i="6"/>
  <c r="X351" i="6"/>
  <c r="X352" i="6"/>
  <c r="X353" i="6"/>
  <c r="X354" i="6"/>
  <c r="X355" i="6"/>
  <c r="X356" i="6"/>
  <c r="X357" i="6"/>
  <c r="X358" i="6"/>
  <c r="X359" i="6"/>
  <c r="X360" i="6"/>
  <c r="X361" i="6"/>
  <c r="X362" i="6"/>
  <c r="X363" i="6"/>
  <c r="X364" i="6"/>
  <c r="X365" i="6"/>
  <c r="X366" i="6"/>
  <c r="X367" i="6"/>
  <c r="X368" i="6"/>
  <c r="X369" i="6"/>
  <c r="X370" i="6"/>
  <c r="X371" i="6"/>
  <c r="X372" i="6"/>
  <c r="X373" i="6"/>
  <c r="X374" i="6"/>
  <c r="X375" i="6"/>
  <c r="X376" i="6"/>
  <c r="X377" i="6"/>
  <c r="X378" i="6"/>
  <c r="X379" i="6"/>
  <c r="X380" i="6"/>
  <c r="X381" i="6"/>
  <c r="X382" i="6"/>
  <c r="X383" i="6"/>
  <c r="X384" i="6"/>
  <c r="X385" i="6"/>
  <c r="X386" i="6"/>
  <c r="X387" i="6"/>
  <c r="X388" i="6"/>
  <c r="X389" i="6"/>
  <c r="X390" i="6"/>
  <c r="X391" i="6"/>
  <c r="X392" i="6"/>
  <c r="X393" i="6"/>
  <c r="X394" i="6"/>
  <c r="X395" i="6"/>
  <c r="X396" i="6"/>
  <c r="X397" i="6"/>
  <c r="X398" i="6"/>
  <c r="X399" i="6"/>
  <c r="X400" i="6"/>
  <c r="X401" i="6"/>
  <c r="X402" i="6"/>
  <c r="X403" i="6"/>
  <c r="X404" i="6"/>
  <c r="X405" i="6"/>
  <c r="X406" i="6"/>
  <c r="X407" i="6"/>
  <c r="X408" i="6"/>
  <c r="X409" i="6"/>
  <c r="X410" i="6"/>
  <c r="X411" i="6"/>
  <c r="X412" i="6"/>
  <c r="X413" i="6"/>
  <c r="X414" i="6"/>
  <c r="X415" i="6"/>
  <c r="X416" i="6"/>
  <c r="X417" i="6"/>
  <c r="X418" i="6"/>
  <c r="X419" i="6"/>
  <c r="X420" i="6"/>
  <c r="X421" i="6"/>
  <c r="X422" i="6"/>
  <c r="X423" i="6"/>
  <c r="X424" i="6"/>
  <c r="X425" i="6"/>
  <c r="X426" i="6"/>
  <c r="X427" i="6"/>
  <c r="X428" i="6"/>
  <c r="X429" i="6"/>
  <c r="X430" i="6"/>
  <c r="X431" i="6"/>
  <c r="X432" i="6"/>
  <c r="X433" i="6"/>
  <c r="X434" i="6"/>
  <c r="X435" i="6"/>
  <c r="X436" i="6"/>
  <c r="X437" i="6"/>
  <c r="X438" i="6"/>
  <c r="X439" i="6"/>
  <c r="X440" i="6"/>
  <c r="X441" i="6"/>
  <c r="X442" i="6"/>
  <c r="X443" i="6"/>
  <c r="X444" i="6"/>
  <c r="X445" i="6"/>
  <c r="X446" i="6"/>
  <c r="X447" i="6"/>
  <c r="X448" i="6"/>
  <c r="X449" i="6"/>
  <c r="X450" i="6"/>
  <c r="X451" i="6"/>
  <c r="X452" i="6"/>
  <c r="X453" i="6"/>
  <c r="X454" i="6"/>
  <c r="X455" i="6"/>
  <c r="X456" i="6"/>
  <c r="X457" i="6"/>
  <c r="X458" i="6"/>
  <c r="X459" i="6"/>
  <c r="X460" i="6"/>
  <c r="X461" i="6"/>
  <c r="X462" i="6"/>
  <c r="X463" i="6"/>
  <c r="X464" i="6"/>
  <c r="X465" i="6"/>
  <c r="X466" i="6"/>
  <c r="X467" i="6"/>
  <c r="X468" i="6"/>
  <c r="X469" i="6"/>
  <c r="X470" i="6"/>
  <c r="X471" i="6"/>
  <c r="X472" i="6"/>
  <c r="X473" i="6"/>
  <c r="X474" i="6"/>
  <c r="X475" i="6"/>
  <c r="X476" i="6"/>
  <c r="X477" i="6"/>
  <c r="X478" i="6"/>
  <c r="X479" i="6"/>
  <c r="X480" i="6"/>
  <c r="X481" i="6"/>
  <c r="X482" i="6"/>
  <c r="X483" i="6"/>
  <c r="X484" i="6"/>
  <c r="X485" i="6"/>
  <c r="X486" i="6"/>
  <c r="X487" i="6"/>
  <c r="X488" i="6"/>
  <c r="X489" i="6"/>
  <c r="X490" i="6"/>
  <c r="X491" i="6"/>
  <c r="X492" i="6"/>
  <c r="X493" i="6"/>
  <c r="X494" i="6"/>
  <c r="X495" i="6"/>
  <c r="X496" i="6"/>
  <c r="X497" i="6"/>
  <c r="X498" i="6"/>
  <c r="X499" i="6"/>
  <c r="X500" i="6"/>
  <c r="X501" i="6"/>
  <c r="X502" i="6"/>
  <c r="X503" i="6"/>
  <c r="X504" i="6"/>
  <c r="X505" i="6"/>
  <c r="X506" i="6"/>
  <c r="X507" i="6"/>
  <c r="X508" i="6"/>
  <c r="X509" i="6"/>
  <c r="X510" i="6"/>
  <c r="X511" i="6"/>
  <c r="X512" i="6"/>
  <c r="X513" i="6"/>
  <c r="X514" i="6"/>
  <c r="X515" i="6"/>
  <c r="X516" i="6"/>
  <c r="X517" i="6"/>
  <c r="X518" i="6"/>
  <c r="X519" i="6"/>
  <c r="X520" i="6"/>
  <c r="X521" i="6"/>
  <c r="X522" i="6"/>
  <c r="X523" i="6"/>
  <c r="X524" i="6"/>
  <c r="X525" i="6"/>
  <c r="X526" i="6"/>
  <c r="X527" i="6"/>
  <c r="X528" i="6"/>
  <c r="X529" i="6"/>
  <c r="X530" i="6"/>
  <c r="X531" i="6"/>
  <c r="X532" i="6"/>
  <c r="X533" i="6"/>
  <c r="X534" i="6"/>
  <c r="X535" i="6"/>
  <c r="X536" i="6"/>
  <c r="X537" i="6"/>
  <c r="X538" i="6"/>
  <c r="X539" i="6"/>
  <c r="X540" i="6"/>
  <c r="X541" i="6"/>
  <c r="X542" i="6"/>
  <c r="X543" i="6"/>
  <c r="X544" i="6"/>
  <c r="X545" i="6"/>
  <c r="X546" i="6"/>
  <c r="X547" i="6"/>
  <c r="X548" i="6"/>
  <c r="X549" i="6"/>
  <c r="X550" i="6"/>
  <c r="X551" i="6"/>
  <c r="X552" i="6"/>
  <c r="X553" i="6"/>
  <c r="X554" i="6"/>
  <c r="X555" i="6"/>
  <c r="X556" i="6"/>
  <c r="X557" i="6"/>
  <c r="X558" i="6"/>
  <c r="X559" i="6"/>
  <c r="X560" i="6"/>
  <c r="X561" i="6"/>
  <c r="X562" i="6"/>
  <c r="X563" i="6"/>
  <c r="X564" i="6"/>
  <c r="X565" i="6"/>
  <c r="X566" i="6"/>
  <c r="X567" i="6"/>
  <c r="X568" i="6"/>
  <c r="X569" i="6"/>
  <c r="X570" i="6"/>
  <c r="X571" i="6"/>
  <c r="X572" i="6"/>
  <c r="X573" i="6"/>
  <c r="X574" i="6"/>
  <c r="X575" i="6"/>
  <c r="X576" i="6"/>
  <c r="X577" i="6"/>
  <c r="X578" i="6"/>
  <c r="X579" i="6"/>
  <c r="X580" i="6"/>
  <c r="X581" i="6"/>
  <c r="X582" i="6"/>
  <c r="X583" i="6"/>
  <c r="X584" i="6"/>
  <c r="X585" i="6"/>
  <c r="X586" i="6"/>
  <c r="X587" i="6"/>
  <c r="X588" i="6"/>
  <c r="X589" i="6"/>
  <c r="X617" i="6"/>
  <c r="X593" i="6"/>
  <c r="X740" i="6"/>
  <c r="X722" i="6"/>
  <c r="X736" i="6"/>
  <c r="X717" i="6"/>
  <c r="X707" i="6"/>
  <c r="X792" i="6"/>
  <c r="X845" i="6"/>
  <c r="X870" i="6"/>
  <c r="X814" i="6"/>
  <c r="X618" i="6"/>
  <c r="X698" i="6"/>
  <c r="X757" i="6"/>
  <c r="X877" i="6"/>
  <c r="X680" i="6"/>
  <c r="X843" i="6"/>
  <c r="X660" i="6"/>
  <c r="X783" i="6"/>
  <c r="X692" i="6"/>
  <c r="X728" i="6"/>
  <c r="X620" i="6"/>
  <c r="X681" i="6"/>
  <c r="X652" i="6"/>
  <c r="X690" i="6"/>
  <c r="X771" i="6"/>
  <c r="X811" i="6"/>
  <c r="X599" i="6"/>
  <c r="X882" i="6"/>
  <c r="X788" i="6"/>
  <c r="X703" i="6"/>
  <c r="X626" i="6"/>
  <c r="X840" i="6"/>
  <c r="X729" i="6"/>
  <c r="X768" i="6"/>
  <c r="X653" i="6"/>
  <c r="X803" i="6"/>
  <c r="X852" i="6"/>
  <c r="X600" i="6"/>
  <c r="X799" i="6"/>
  <c r="X749" i="6"/>
  <c r="X651" i="6"/>
  <c r="X623" i="6"/>
  <c r="X787" i="6"/>
  <c r="X851" i="6"/>
  <c r="X776" i="6"/>
  <c r="X609" i="6"/>
  <c r="X675" i="6"/>
  <c r="X869" i="6"/>
  <c r="X881" i="6"/>
  <c r="X860" i="6"/>
  <c r="X601" i="6"/>
  <c r="X829" i="6"/>
  <c r="X674" i="6"/>
  <c r="X844" i="6"/>
  <c r="X781" i="6"/>
  <c r="X706" i="6"/>
  <c r="X832" i="6"/>
  <c r="X639" i="6"/>
  <c r="X712" i="6"/>
  <c r="X767" i="6"/>
  <c r="X859" i="6"/>
  <c r="X647" i="6"/>
  <c r="X649" i="6"/>
  <c r="X795" i="6"/>
  <c r="X710" i="6"/>
  <c r="X701" i="6"/>
  <c r="X763" i="6"/>
  <c r="X821" i="6"/>
  <c r="X631" i="6"/>
  <c r="X793" i="6"/>
  <c r="X875" i="6"/>
  <c r="X863" i="6"/>
  <c r="X604" i="6"/>
  <c r="X677" i="6"/>
  <c r="X772" i="6"/>
  <c r="X794" i="6"/>
  <c r="X805" i="6"/>
  <c r="X645" i="6"/>
  <c r="X873" i="6"/>
  <c r="X731" i="6"/>
  <c r="X688" i="6"/>
  <c r="X725" i="6"/>
  <c r="X802" i="6"/>
  <c r="X887" i="6"/>
  <c r="X854" i="6"/>
  <c r="X658" i="6"/>
  <c r="X779" i="6"/>
  <c r="X866" i="6"/>
  <c r="X751" i="6"/>
  <c r="X662" i="6"/>
  <c r="X835" i="6"/>
  <c r="X602" i="6"/>
  <c r="X598" i="6"/>
  <c r="X636" i="6"/>
  <c r="X655" i="6"/>
  <c r="X606" i="6"/>
  <c r="X638" i="6"/>
  <c r="X752" i="6"/>
  <c r="X689" i="6"/>
  <c r="X820" i="6"/>
  <c r="X663" i="6"/>
  <c r="X684" i="6"/>
  <c r="X696" i="6"/>
  <c r="X686" i="6"/>
  <c r="X628" i="6"/>
  <c r="X785" i="6"/>
  <c r="X607" i="6"/>
  <c r="X670" i="6"/>
  <c r="X732" i="6"/>
  <c r="X762" i="6"/>
  <c r="X716" i="6"/>
  <c r="X694" i="6"/>
  <c r="X654" i="6"/>
  <c r="X627" i="6"/>
  <c r="X839" i="6"/>
  <c r="X858" i="6"/>
  <c r="X721" i="6"/>
  <c r="X735" i="6"/>
  <c r="X711" i="6"/>
  <c r="X778" i="6"/>
  <c r="X777" i="6"/>
  <c r="X879" i="6"/>
  <c r="X826" i="6"/>
  <c r="X691" i="6"/>
  <c r="X878" i="6"/>
  <c r="X709" i="6"/>
  <c r="X737" i="6"/>
  <c r="X808" i="6"/>
  <c r="X880" i="6"/>
  <c r="X846" i="6"/>
  <c r="X807" i="6"/>
  <c r="X612" i="6"/>
  <c r="X850" i="6"/>
  <c r="X789" i="6"/>
  <c r="X876" i="6"/>
  <c r="X726" i="6"/>
  <c r="X678" i="6"/>
  <c r="X637" i="6"/>
  <c r="X842" i="6"/>
  <c r="X773" i="6"/>
  <c r="X683" i="6"/>
  <c r="X619" i="6"/>
  <c r="X871" i="6"/>
  <c r="X766" i="6"/>
  <c r="X754" i="6"/>
  <c r="X650" i="6"/>
  <c r="X753" i="6"/>
  <c r="X831" i="6"/>
  <c r="X704" i="6"/>
  <c r="X625" i="6"/>
  <c r="X727" i="6"/>
  <c r="X872" i="6"/>
  <c r="X865" i="6"/>
  <c r="X666" i="6"/>
  <c r="X750" i="6"/>
  <c r="X671" i="6"/>
  <c r="X720" i="6"/>
  <c r="X828" i="6"/>
  <c r="X824" i="6"/>
  <c r="X708" i="6"/>
  <c r="X764" i="6"/>
  <c r="X780" i="6"/>
  <c r="X853" i="6"/>
  <c r="X747" i="6"/>
  <c r="X633" i="6"/>
  <c r="X861" i="6"/>
  <c r="X797" i="6"/>
  <c r="X885" i="6"/>
  <c r="X592" i="6"/>
  <c r="X800" i="6"/>
  <c r="X614" i="6"/>
  <c r="X661" i="6"/>
  <c r="X700" i="6"/>
  <c r="X867" i="6"/>
  <c r="X615" i="6"/>
  <c r="X682" i="6"/>
  <c r="X760" i="6"/>
  <c r="X693" i="6"/>
  <c r="X640" i="6"/>
  <c r="X759" i="6"/>
  <c r="X634" i="6"/>
  <c r="X849" i="6"/>
  <c r="X667" i="6"/>
  <c r="X782" i="6"/>
  <c r="X648" i="6"/>
  <c r="X833" i="6"/>
  <c r="X775" i="6"/>
  <c r="X889" i="6"/>
  <c r="X892" i="6"/>
  <c r="X1004" i="6"/>
  <c r="X984" i="6"/>
  <c r="U3" i="6"/>
  <c r="U4" i="6"/>
  <c r="U5" i="6"/>
  <c r="U6" i="6"/>
  <c r="U7" i="6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U43" i="6"/>
  <c r="U44" i="6"/>
  <c r="U45" i="6"/>
  <c r="U46" i="6"/>
  <c r="U47" i="6"/>
  <c r="U48" i="6"/>
  <c r="U49" i="6"/>
  <c r="U50" i="6"/>
  <c r="U51" i="6"/>
  <c r="U52" i="6"/>
  <c r="U53" i="6"/>
  <c r="U54" i="6"/>
  <c r="U55" i="6"/>
  <c r="U56" i="6"/>
  <c r="U57" i="6"/>
  <c r="U58" i="6"/>
  <c r="U59" i="6"/>
  <c r="U60" i="6"/>
  <c r="U61" i="6"/>
  <c r="U62" i="6"/>
  <c r="U63" i="6"/>
  <c r="U64" i="6"/>
  <c r="U65" i="6"/>
  <c r="U66" i="6"/>
  <c r="U67" i="6"/>
  <c r="U68" i="6"/>
  <c r="U69" i="6"/>
  <c r="U70" i="6"/>
  <c r="U71" i="6"/>
  <c r="U72" i="6"/>
  <c r="U73" i="6"/>
  <c r="U74" i="6"/>
  <c r="U75" i="6"/>
  <c r="U76" i="6"/>
  <c r="U77" i="6"/>
  <c r="U78" i="6"/>
  <c r="U79" i="6"/>
  <c r="U80" i="6"/>
  <c r="U81" i="6"/>
  <c r="U82" i="6"/>
  <c r="U83" i="6"/>
  <c r="U84" i="6"/>
  <c r="U85" i="6"/>
  <c r="U86" i="6"/>
  <c r="U87" i="6"/>
  <c r="U88" i="6"/>
  <c r="U89" i="6"/>
  <c r="U90" i="6"/>
  <c r="U91" i="6"/>
  <c r="U92" i="6"/>
  <c r="U93" i="6"/>
  <c r="U94" i="6"/>
  <c r="U95" i="6"/>
  <c r="U96" i="6"/>
  <c r="U97" i="6"/>
  <c r="U98" i="6"/>
  <c r="U99" i="6"/>
  <c r="U100" i="6"/>
  <c r="U101" i="6"/>
  <c r="U102" i="6"/>
  <c r="U103" i="6"/>
  <c r="U104" i="6"/>
  <c r="U105" i="6"/>
  <c r="U106" i="6"/>
  <c r="U107" i="6"/>
  <c r="U108" i="6"/>
  <c r="U109" i="6"/>
  <c r="U110" i="6"/>
  <c r="U111" i="6"/>
  <c r="U112" i="6"/>
  <c r="U113" i="6"/>
  <c r="U114" i="6"/>
  <c r="U115" i="6"/>
  <c r="U116" i="6"/>
  <c r="U117" i="6"/>
  <c r="U118" i="6"/>
  <c r="U119" i="6"/>
  <c r="U120" i="6"/>
  <c r="U121" i="6"/>
  <c r="U122" i="6"/>
  <c r="U123" i="6"/>
  <c r="U124" i="6"/>
  <c r="U125" i="6"/>
  <c r="U126" i="6"/>
  <c r="U127" i="6"/>
  <c r="U128" i="6"/>
  <c r="U129" i="6"/>
  <c r="U130" i="6"/>
  <c r="U131" i="6"/>
  <c r="U132" i="6"/>
  <c r="U133" i="6"/>
  <c r="U134" i="6"/>
  <c r="U135" i="6"/>
  <c r="U136" i="6"/>
  <c r="U137" i="6"/>
  <c r="U138" i="6"/>
  <c r="U139" i="6"/>
  <c r="U140" i="6"/>
  <c r="U141" i="6"/>
  <c r="U142" i="6"/>
  <c r="U143" i="6"/>
  <c r="U144" i="6"/>
  <c r="U145" i="6"/>
  <c r="U146" i="6"/>
  <c r="U147" i="6"/>
  <c r="U148" i="6"/>
  <c r="U149" i="6"/>
  <c r="U150" i="6"/>
  <c r="U151" i="6"/>
  <c r="U152" i="6"/>
  <c r="U153" i="6"/>
  <c r="U154" i="6"/>
  <c r="U155" i="6"/>
  <c r="U156" i="6"/>
  <c r="U157" i="6"/>
  <c r="U158" i="6"/>
  <c r="U159" i="6"/>
  <c r="U160" i="6"/>
  <c r="U161" i="6"/>
  <c r="U162" i="6"/>
  <c r="U163" i="6"/>
  <c r="U164" i="6"/>
  <c r="U165" i="6"/>
  <c r="U166" i="6"/>
  <c r="U167" i="6"/>
  <c r="U168" i="6"/>
  <c r="U169" i="6"/>
  <c r="U170" i="6"/>
  <c r="U171" i="6"/>
  <c r="U172" i="6"/>
  <c r="U173" i="6"/>
  <c r="U174" i="6"/>
  <c r="U175" i="6"/>
  <c r="U176" i="6"/>
  <c r="U177" i="6"/>
  <c r="U178" i="6"/>
  <c r="U179" i="6"/>
  <c r="U180" i="6"/>
  <c r="U181" i="6"/>
  <c r="U182" i="6"/>
  <c r="U183" i="6"/>
  <c r="U184" i="6"/>
  <c r="U185" i="6"/>
  <c r="U186" i="6"/>
  <c r="U187" i="6"/>
  <c r="U188" i="6"/>
  <c r="U189" i="6"/>
  <c r="U190" i="6"/>
  <c r="U191" i="6"/>
  <c r="U192" i="6"/>
  <c r="U193" i="6"/>
  <c r="U194" i="6"/>
  <c r="U195" i="6"/>
  <c r="U196" i="6"/>
  <c r="U197" i="6"/>
  <c r="U198" i="6"/>
  <c r="U199" i="6"/>
  <c r="U200" i="6"/>
  <c r="U201" i="6"/>
  <c r="U202" i="6"/>
  <c r="U203" i="6"/>
  <c r="U204" i="6"/>
  <c r="U205" i="6"/>
  <c r="U206" i="6"/>
  <c r="U207" i="6"/>
  <c r="U208" i="6"/>
  <c r="U209" i="6"/>
  <c r="U210" i="6"/>
  <c r="U211" i="6"/>
  <c r="U212" i="6"/>
  <c r="U213" i="6"/>
  <c r="U214" i="6"/>
  <c r="U215" i="6"/>
  <c r="U216" i="6"/>
  <c r="U217" i="6"/>
  <c r="U218" i="6"/>
  <c r="U219" i="6"/>
  <c r="U220" i="6"/>
  <c r="U221" i="6"/>
  <c r="U222" i="6"/>
  <c r="U223" i="6"/>
  <c r="U224" i="6"/>
  <c r="U225" i="6"/>
  <c r="U226" i="6"/>
  <c r="U227" i="6"/>
  <c r="U228" i="6"/>
  <c r="U229" i="6"/>
  <c r="U230" i="6"/>
  <c r="U231" i="6"/>
  <c r="U232" i="6"/>
  <c r="U233" i="6"/>
  <c r="U234" i="6"/>
  <c r="U235" i="6"/>
  <c r="U236" i="6"/>
  <c r="U237" i="6"/>
  <c r="U238" i="6"/>
  <c r="U239" i="6"/>
  <c r="U240" i="6"/>
  <c r="U241" i="6"/>
  <c r="U242" i="6"/>
  <c r="U243" i="6"/>
  <c r="U244" i="6"/>
  <c r="U245" i="6"/>
  <c r="U246" i="6"/>
  <c r="U247" i="6"/>
  <c r="U248" i="6"/>
  <c r="U249" i="6"/>
  <c r="U250" i="6"/>
  <c r="U251" i="6"/>
  <c r="U252" i="6"/>
  <c r="U253" i="6"/>
  <c r="U254" i="6"/>
  <c r="U255" i="6"/>
  <c r="U256" i="6"/>
  <c r="U257" i="6"/>
  <c r="U258" i="6"/>
  <c r="U259" i="6"/>
  <c r="U260" i="6"/>
  <c r="U261" i="6"/>
  <c r="U262" i="6"/>
  <c r="U263" i="6"/>
  <c r="U264" i="6"/>
  <c r="U265" i="6"/>
  <c r="U266" i="6"/>
  <c r="U267" i="6"/>
  <c r="U268" i="6"/>
  <c r="U269" i="6"/>
  <c r="U270" i="6"/>
  <c r="U271" i="6"/>
  <c r="U272" i="6"/>
  <c r="U273" i="6"/>
  <c r="U274" i="6"/>
  <c r="U275" i="6"/>
  <c r="U276" i="6"/>
  <c r="U277" i="6"/>
  <c r="U278" i="6"/>
  <c r="U279" i="6"/>
  <c r="U280" i="6"/>
  <c r="U281" i="6"/>
  <c r="U282" i="6"/>
  <c r="U283" i="6"/>
  <c r="U284" i="6"/>
  <c r="U285" i="6"/>
  <c r="U286" i="6"/>
  <c r="U287" i="6"/>
  <c r="U288" i="6"/>
  <c r="U289" i="6"/>
  <c r="U290" i="6"/>
  <c r="U291" i="6"/>
  <c r="U292" i="6"/>
  <c r="U293" i="6"/>
  <c r="U294" i="6"/>
  <c r="U295" i="6"/>
  <c r="U296" i="6"/>
  <c r="U297" i="6"/>
  <c r="U298" i="6"/>
  <c r="U299" i="6"/>
  <c r="U300" i="6"/>
  <c r="U301" i="6"/>
  <c r="U302" i="6"/>
  <c r="U303" i="6"/>
  <c r="U304" i="6"/>
  <c r="U305" i="6"/>
  <c r="U306" i="6"/>
  <c r="U307" i="6"/>
  <c r="U308" i="6"/>
  <c r="U309" i="6"/>
  <c r="U310" i="6"/>
  <c r="U311" i="6"/>
  <c r="U312" i="6"/>
  <c r="U313" i="6"/>
  <c r="U314" i="6"/>
  <c r="U315" i="6"/>
  <c r="U316" i="6"/>
  <c r="U317" i="6"/>
  <c r="U318" i="6"/>
  <c r="U319" i="6"/>
  <c r="U320" i="6"/>
  <c r="U321" i="6"/>
  <c r="U322" i="6"/>
  <c r="U323" i="6"/>
  <c r="U324" i="6"/>
  <c r="U325" i="6"/>
  <c r="U326" i="6"/>
  <c r="U327" i="6"/>
  <c r="U328" i="6"/>
  <c r="U329" i="6"/>
  <c r="U330" i="6"/>
  <c r="U331" i="6"/>
  <c r="U332" i="6"/>
  <c r="U333" i="6"/>
  <c r="U334" i="6"/>
  <c r="U335" i="6"/>
  <c r="U336" i="6"/>
  <c r="U337" i="6"/>
  <c r="U338" i="6"/>
  <c r="U339" i="6"/>
  <c r="U340" i="6"/>
  <c r="U341" i="6"/>
  <c r="U342" i="6"/>
  <c r="U343" i="6"/>
  <c r="U344" i="6"/>
  <c r="U345" i="6"/>
  <c r="U346" i="6"/>
  <c r="U347" i="6"/>
  <c r="U348" i="6"/>
  <c r="U349" i="6"/>
  <c r="U350" i="6"/>
  <c r="U351" i="6"/>
  <c r="U352" i="6"/>
  <c r="U353" i="6"/>
  <c r="U354" i="6"/>
  <c r="U355" i="6"/>
  <c r="U356" i="6"/>
  <c r="U357" i="6"/>
  <c r="U358" i="6"/>
  <c r="U359" i="6"/>
  <c r="U360" i="6"/>
  <c r="U361" i="6"/>
  <c r="U362" i="6"/>
  <c r="U363" i="6"/>
  <c r="U364" i="6"/>
  <c r="U365" i="6"/>
  <c r="U366" i="6"/>
  <c r="U367" i="6"/>
  <c r="U368" i="6"/>
  <c r="U369" i="6"/>
  <c r="U370" i="6"/>
  <c r="U371" i="6"/>
  <c r="U372" i="6"/>
  <c r="U373" i="6"/>
  <c r="U374" i="6"/>
  <c r="U375" i="6"/>
  <c r="U376" i="6"/>
  <c r="U377" i="6"/>
  <c r="U378" i="6"/>
  <c r="U379" i="6"/>
  <c r="U380" i="6"/>
  <c r="U381" i="6"/>
  <c r="U382" i="6"/>
  <c r="U383" i="6"/>
  <c r="U384" i="6"/>
  <c r="U385" i="6"/>
  <c r="U386" i="6"/>
  <c r="U387" i="6"/>
  <c r="U388" i="6"/>
  <c r="U389" i="6"/>
  <c r="U390" i="6"/>
  <c r="U391" i="6"/>
  <c r="U392" i="6"/>
  <c r="U393" i="6"/>
  <c r="U394" i="6"/>
  <c r="U395" i="6"/>
  <c r="U396" i="6"/>
  <c r="U397" i="6"/>
  <c r="U398" i="6"/>
  <c r="U399" i="6"/>
  <c r="U400" i="6"/>
  <c r="U401" i="6"/>
  <c r="U402" i="6"/>
  <c r="U403" i="6"/>
  <c r="U404" i="6"/>
  <c r="U405" i="6"/>
  <c r="U406" i="6"/>
  <c r="U407" i="6"/>
  <c r="U408" i="6"/>
  <c r="U409" i="6"/>
  <c r="U410" i="6"/>
  <c r="U411" i="6"/>
  <c r="U412" i="6"/>
  <c r="U413" i="6"/>
  <c r="U414" i="6"/>
  <c r="U415" i="6"/>
  <c r="U416" i="6"/>
  <c r="U417" i="6"/>
  <c r="U418" i="6"/>
  <c r="U419" i="6"/>
  <c r="U420" i="6"/>
  <c r="U421" i="6"/>
  <c r="U422" i="6"/>
  <c r="U423" i="6"/>
  <c r="U424" i="6"/>
  <c r="U425" i="6"/>
  <c r="U426" i="6"/>
  <c r="U427" i="6"/>
  <c r="U428" i="6"/>
  <c r="U429" i="6"/>
  <c r="U430" i="6"/>
  <c r="U431" i="6"/>
  <c r="U432" i="6"/>
  <c r="U433" i="6"/>
  <c r="U434" i="6"/>
  <c r="U435" i="6"/>
  <c r="U436" i="6"/>
  <c r="U437" i="6"/>
  <c r="U438" i="6"/>
  <c r="U439" i="6"/>
  <c r="U440" i="6"/>
  <c r="U441" i="6"/>
  <c r="U442" i="6"/>
  <c r="U443" i="6"/>
  <c r="U444" i="6"/>
  <c r="U445" i="6"/>
  <c r="U446" i="6"/>
  <c r="U447" i="6"/>
  <c r="U448" i="6"/>
  <c r="U449" i="6"/>
  <c r="U450" i="6"/>
  <c r="U451" i="6"/>
  <c r="U452" i="6"/>
  <c r="U453" i="6"/>
  <c r="U454" i="6"/>
  <c r="U455" i="6"/>
  <c r="U456" i="6"/>
  <c r="U457" i="6"/>
  <c r="U458" i="6"/>
  <c r="U459" i="6"/>
  <c r="U460" i="6"/>
  <c r="U461" i="6"/>
  <c r="U462" i="6"/>
  <c r="U463" i="6"/>
  <c r="U464" i="6"/>
  <c r="U465" i="6"/>
  <c r="U466" i="6"/>
  <c r="U467" i="6"/>
  <c r="U468" i="6"/>
  <c r="U469" i="6"/>
  <c r="U470" i="6"/>
  <c r="U471" i="6"/>
  <c r="U472" i="6"/>
  <c r="U473" i="6"/>
  <c r="U474" i="6"/>
  <c r="U475" i="6"/>
  <c r="U476" i="6"/>
  <c r="U477" i="6"/>
  <c r="U478" i="6"/>
  <c r="U479" i="6"/>
  <c r="U480" i="6"/>
  <c r="U481" i="6"/>
  <c r="U482" i="6"/>
  <c r="U483" i="6"/>
  <c r="U484" i="6"/>
  <c r="U485" i="6"/>
  <c r="U486" i="6"/>
  <c r="U487" i="6"/>
  <c r="U488" i="6"/>
  <c r="U489" i="6"/>
  <c r="U490" i="6"/>
  <c r="U491" i="6"/>
  <c r="U492" i="6"/>
  <c r="U493" i="6"/>
  <c r="U494" i="6"/>
  <c r="U495" i="6"/>
  <c r="U496" i="6"/>
  <c r="U497" i="6"/>
  <c r="U498" i="6"/>
  <c r="U499" i="6"/>
  <c r="U500" i="6"/>
  <c r="U501" i="6"/>
  <c r="U502" i="6"/>
  <c r="U503" i="6"/>
  <c r="U504" i="6"/>
  <c r="U505" i="6"/>
  <c r="U506" i="6"/>
  <c r="U507" i="6"/>
  <c r="U508" i="6"/>
  <c r="U509" i="6"/>
  <c r="U510" i="6"/>
  <c r="U511" i="6"/>
  <c r="U512" i="6"/>
  <c r="U513" i="6"/>
  <c r="U514" i="6"/>
  <c r="U515" i="6"/>
  <c r="U516" i="6"/>
  <c r="U517" i="6"/>
  <c r="U518" i="6"/>
  <c r="U519" i="6"/>
  <c r="U520" i="6"/>
  <c r="U521" i="6"/>
  <c r="U522" i="6"/>
  <c r="U523" i="6"/>
  <c r="U524" i="6"/>
  <c r="U525" i="6"/>
  <c r="U526" i="6"/>
  <c r="U527" i="6"/>
  <c r="U528" i="6"/>
  <c r="U529" i="6"/>
  <c r="U530" i="6"/>
  <c r="U531" i="6"/>
  <c r="U532" i="6"/>
  <c r="U533" i="6"/>
  <c r="U534" i="6"/>
  <c r="U535" i="6"/>
  <c r="U536" i="6"/>
  <c r="U537" i="6"/>
  <c r="U538" i="6"/>
  <c r="U539" i="6"/>
  <c r="U540" i="6"/>
  <c r="U541" i="6"/>
  <c r="U542" i="6"/>
  <c r="U543" i="6"/>
  <c r="U544" i="6"/>
  <c r="U545" i="6"/>
  <c r="U546" i="6"/>
  <c r="U547" i="6"/>
  <c r="U548" i="6"/>
  <c r="U549" i="6"/>
  <c r="U550" i="6"/>
  <c r="U551" i="6"/>
  <c r="U552" i="6"/>
  <c r="U553" i="6"/>
  <c r="U554" i="6"/>
  <c r="U555" i="6"/>
  <c r="U556" i="6"/>
  <c r="U557" i="6"/>
  <c r="U558" i="6"/>
  <c r="U559" i="6"/>
  <c r="U560" i="6"/>
  <c r="U561" i="6"/>
  <c r="U562" i="6"/>
  <c r="U563" i="6"/>
  <c r="U564" i="6"/>
  <c r="U565" i="6"/>
  <c r="U566" i="6"/>
  <c r="U567" i="6"/>
  <c r="U568" i="6"/>
  <c r="U569" i="6"/>
  <c r="U570" i="6"/>
  <c r="U571" i="6"/>
  <c r="U572" i="6"/>
  <c r="U573" i="6"/>
  <c r="U574" i="6"/>
  <c r="U575" i="6"/>
  <c r="U576" i="6"/>
  <c r="U577" i="6"/>
  <c r="U578" i="6"/>
  <c r="U579" i="6"/>
  <c r="U580" i="6"/>
  <c r="U581" i="6"/>
  <c r="U582" i="6"/>
  <c r="U583" i="6"/>
  <c r="U584" i="6"/>
  <c r="U585" i="6"/>
  <c r="U586" i="6"/>
  <c r="U587" i="6"/>
  <c r="U588" i="6"/>
  <c r="U589" i="6"/>
  <c r="U617" i="6"/>
  <c r="U593" i="6"/>
  <c r="U740" i="6"/>
  <c r="U656" i="6"/>
  <c r="U736" i="6"/>
  <c r="U717" i="6"/>
  <c r="U707" i="6"/>
  <c r="U792" i="6"/>
  <c r="U769" i="6"/>
  <c r="U723" i="6"/>
  <c r="U796" i="6"/>
  <c r="U845" i="6"/>
  <c r="U814" i="6"/>
  <c r="U618" i="6"/>
  <c r="U698" i="6"/>
  <c r="U757" i="6"/>
  <c r="U877" i="6"/>
  <c r="U843" i="6"/>
  <c r="U660" i="6"/>
  <c r="U783" i="6"/>
  <c r="U692" i="6"/>
  <c r="U728" i="6"/>
  <c r="U620" i="6"/>
  <c r="U681" i="6"/>
  <c r="U652" i="6"/>
  <c r="U690" i="6"/>
  <c r="U771" i="6"/>
  <c r="U811" i="6"/>
  <c r="U599" i="6"/>
  <c r="U882" i="6"/>
  <c r="U788" i="6"/>
  <c r="U815" i="6"/>
  <c r="U703" i="6"/>
  <c r="U626" i="6"/>
  <c r="U664" i="6"/>
  <c r="U705" i="6"/>
  <c r="U840" i="6"/>
  <c r="U739" i="6"/>
  <c r="U729" i="6"/>
  <c r="U768" i="6"/>
  <c r="U653" i="6"/>
  <c r="U803" i="6"/>
  <c r="U799" i="6"/>
  <c r="U749" i="6"/>
  <c r="U623" i="6"/>
  <c r="U787" i="6"/>
  <c r="U851" i="6"/>
  <c r="U776" i="6"/>
  <c r="U609" i="6"/>
  <c r="U675" i="6"/>
  <c r="U881" i="6"/>
  <c r="U860" i="6"/>
  <c r="U829" i="6"/>
  <c r="U674" i="6"/>
  <c r="U844" i="6"/>
  <c r="U665" i="6"/>
  <c r="U781" i="6"/>
  <c r="U706" i="6"/>
  <c r="U761" i="6"/>
  <c r="U832" i="6"/>
  <c r="U639" i="6"/>
  <c r="U712" i="6"/>
  <c r="U767" i="6"/>
  <c r="U859" i="6"/>
  <c r="U647" i="6"/>
  <c r="U795" i="6"/>
  <c r="U710" i="6"/>
  <c r="U701" i="6"/>
  <c r="U763" i="6"/>
  <c r="U821" i="6"/>
  <c r="U631" i="6"/>
  <c r="U793" i="6"/>
  <c r="U875" i="6"/>
  <c r="U863" i="6"/>
  <c r="U604" i="6"/>
  <c r="U742" i="6"/>
  <c r="U714" i="6"/>
  <c r="U794" i="6"/>
  <c r="U645" i="6"/>
  <c r="U873" i="6"/>
  <c r="U597" i="6"/>
  <c r="U731" i="6"/>
  <c r="U695" i="6"/>
  <c r="U812" i="6"/>
  <c r="U802" i="6"/>
  <c r="U801" i="6"/>
  <c r="U841" i="6"/>
  <c r="U658" i="6"/>
  <c r="U779" i="6"/>
  <c r="U825" i="6"/>
  <c r="U866" i="6"/>
  <c r="U662" i="6"/>
  <c r="U835" i="6"/>
  <c r="U602" i="6"/>
  <c r="U598" i="6"/>
  <c r="U655" i="6"/>
  <c r="U606" i="6"/>
  <c r="U638" i="6"/>
  <c r="U752" i="6"/>
  <c r="U689" i="6"/>
  <c r="U820" i="6"/>
  <c r="U663" i="6"/>
  <c r="U684" i="6"/>
  <c r="U696" i="6"/>
  <c r="U686" i="6"/>
  <c r="U628" i="6"/>
  <c r="U785" i="6"/>
  <c r="U607" i="6"/>
  <c r="U702" i="6"/>
  <c r="U716" i="6"/>
  <c r="U730" i="6"/>
  <c r="U694" i="6"/>
  <c r="U837" i="6"/>
  <c r="U839" i="6"/>
  <c r="U858" i="6"/>
  <c r="U721" i="6"/>
  <c r="U735" i="6"/>
  <c r="U711" i="6"/>
  <c r="U778" i="6"/>
  <c r="U777" i="6"/>
  <c r="U879" i="6"/>
  <c r="U826" i="6"/>
  <c r="U691" i="6"/>
  <c r="U595" i="6"/>
  <c r="U594" i="6"/>
  <c r="U644" i="6"/>
  <c r="U878" i="6"/>
  <c r="U709" i="6"/>
  <c r="U737" i="6"/>
  <c r="U808" i="6"/>
  <c r="U846" i="6"/>
  <c r="U807" i="6"/>
  <c r="U612" i="6"/>
  <c r="U629" i="6"/>
  <c r="U850" i="6"/>
  <c r="U789" i="6"/>
  <c r="U876" i="6"/>
  <c r="U678" i="6"/>
  <c r="U637" i="6"/>
  <c r="U842" i="6"/>
  <c r="U773" i="6"/>
  <c r="U871" i="6"/>
  <c r="U813" i="6"/>
  <c r="U766" i="6"/>
  <c r="U748" i="6"/>
  <c r="U868" i="6"/>
  <c r="U753" i="6"/>
  <c r="U646" i="6"/>
  <c r="U831" i="6"/>
  <c r="U704" i="6"/>
  <c r="U673" i="6"/>
  <c r="U625" i="6"/>
  <c r="U727" i="6"/>
  <c r="U865" i="6"/>
  <c r="U666" i="6"/>
  <c r="U750" i="6"/>
  <c r="U671" i="6"/>
  <c r="U828" i="6"/>
  <c r="U687" i="6"/>
  <c r="U824" i="6"/>
  <c r="U764" i="6"/>
  <c r="U817" i="6"/>
  <c r="U780" i="6"/>
  <c r="U853" i="6"/>
  <c r="U747" i="6"/>
  <c r="U633" i="6"/>
  <c r="U861" i="6"/>
  <c r="U797" i="6"/>
  <c r="U885" i="6"/>
  <c r="U592" i="6"/>
  <c r="U800" i="6"/>
  <c r="U614" i="6"/>
  <c r="U661" i="6"/>
  <c r="U700" i="6"/>
  <c r="U867" i="6"/>
  <c r="U615" i="6"/>
  <c r="U682" i="6"/>
  <c r="U760" i="6"/>
  <c r="U693" i="6"/>
  <c r="U640" i="6"/>
  <c r="U759" i="6"/>
  <c r="U634" i="6"/>
  <c r="U849" i="6"/>
  <c r="U667" i="6"/>
  <c r="U782" i="6"/>
  <c r="U806" i="6"/>
  <c r="U648" i="6"/>
  <c r="U833" i="6"/>
  <c r="U889" i="6"/>
  <c r="U892" i="6"/>
  <c r="U1004" i="6"/>
  <c r="U2" i="6" a="1"/>
  <c r="U2" i="6" s="1"/>
  <c r="E5" i="32"/>
  <c r="E6" i="32"/>
  <c r="E7" i="32"/>
  <c r="E8" i="32"/>
  <c r="E9" i="32"/>
  <c r="E10" i="32"/>
  <c r="E11" i="32"/>
  <c r="E12" i="32"/>
  <c r="E13" i="32"/>
  <c r="E4" i="32"/>
  <c r="E534" i="21"/>
  <c r="E535" i="21"/>
  <c r="I534" i="21"/>
  <c r="I535" i="21"/>
  <c r="O534" i="21"/>
  <c r="O535" i="21"/>
  <c r="P534" i="21"/>
  <c r="P535" i="21"/>
  <c r="Q534" i="21"/>
  <c r="Q535" i="21"/>
  <c r="R534" i="21"/>
  <c r="R535" i="21"/>
  <c r="S534" i="21"/>
  <c r="S535" i="21"/>
  <c r="T534" i="21"/>
  <c r="T535" i="21"/>
  <c r="U534" i="21"/>
  <c r="U535" i="21"/>
  <c r="V534" i="21"/>
  <c r="V535" i="21"/>
  <c r="W534" i="21"/>
  <c r="W535" i="21"/>
  <c r="X534" i="21"/>
  <c r="X535" i="21"/>
  <c r="AE534" i="21"/>
  <c r="AE535" i="21"/>
  <c r="AF534" i="21"/>
  <c r="AF535" i="21"/>
  <c r="AG534" i="21"/>
  <c r="AG535" i="21"/>
  <c r="AH534" i="21"/>
  <c r="AH535" i="21"/>
  <c r="AI534" i="21"/>
  <c r="AI535" i="21"/>
  <c r="AJ534" i="21"/>
  <c r="AJ535" i="21"/>
  <c r="AK534" i="21"/>
  <c r="AK535" i="21"/>
  <c r="AL534" i="21"/>
  <c r="AL535" i="21"/>
  <c r="AM534" i="21"/>
  <c r="AM535" i="21"/>
  <c r="AN534" i="21"/>
  <c r="AN535" i="21"/>
  <c r="AO534" i="21"/>
  <c r="AO535" i="21"/>
  <c r="AP534" i="21"/>
  <c r="AP535" i="21"/>
  <c r="AQ534" i="21"/>
  <c r="AQ535" i="21"/>
  <c r="AR534" i="21"/>
  <c r="AR535" i="21"/>
  <c r="AS534" i="21"/>
  <c r="AS535" i="21"/>
  <c r="AT534" i="21"/>
  <c r="AT535" i="21"/>
  <c r="AU534" i="21"/>
  <c r="AU535" i="21"/>
  <c r="AV534" i="21"/>
  <c r="AV535" i="21"/>
  <c r="AW534" i="21"/>
  <c r="AW535" i="21"/>
  <c r="AX534" i="21"/>
  <c r="AX535" i="21"/>
  <c r="AY534" i="21"/>
  <c r="AY535" i="21"/>
  <c r="AZ534" i="21"/>
  <c r="AZ535" i="21"/>
  <c r="BA534" i="21"/>
  <c r="BA535" i="21"/>
  <c r="BB534" i="21"/>
  <c r="BB535" i="21"/>
  <c r="BC534" i="21"/>
  <c r="BC535" i="21"/>
  <c r="BD534" i="21"/>
  <c r="BD535" i="21"/>
  <c r="BE534" i="21"/>
  <c r="BE535" i="21"/>
  <c r="BF534" i="21"/>
  <c r="BF535" i="21"/>
  <c r="BG534" i="21"/>
  <c r="BG535" i="21"/>
  <c r="BH534" i="21"/>
  <c r="BH535" i="21"/>
  <c r="BI534" i="21"/>
  <c r="BI535" i="21"/>
  <c r="BJ534" i="21"/>
  <c r="BJ535" i="21"/>
  <c r="BK534" i="21"/>
  <c r="BK535" i="21"/>
  <c r="C588" i="6"/>
  <c r="C589" i="6"/>
  <c r="C676" i="6"/>
  <c r="C662" i="6"/>
  <c r="C835" i="6"/>
  <c r="C602" i="6"/>
  <c r="C598" i="6"/>
  <c r="C636" i="6"/>
  <c r="C655" i="6"/>
  <c r="C606" i="6"/>
  <c r="C638" i="6"/>
  <c r="C752" i="6"/>
  <c r="C689" i="6"/>
  <c r="C820" i="6"/>
  <c r="C663" i="6"/>
  <c r="C684" i="6"/>
  <c r="C696" i="6"/>
  <c r="C686" i="6"/>
  <c r="C628" i="6"/>
  <c r="C785" i="6"/>
  <c r="C607" i="6"/>
  <c r="C670" i="6"/>
  <c r="C702" i="6"/>
  <c r="C718" i="6"/>
  <c r="C657" i="6"/>
  <c r="C732" i="6"/>
  <c r="C762" i="6"/>
  <c r="C716" i="6"/>
  <c r="C818" i="6"/>
  <c r="C730" i="6"/>
  <c r="C685" i="6"/>
  <c r="C694" i="6"/>
  <c r="C823" i="6"/>
  <c r="C654" i="6"/>
  <c r="C620" i="6"/>
  <c r="C839" i="6"/>
  <c r="C858" i="6"/>
  <c r="C721" i="6"/>
  <c r="C735" i="6"/>
  <c r="C711" i="6"/>
  <c r="C810" i="6"/>
  <c r="C778" i="6"/>
  <c r="C777" i="6"/>
  <c r="C879" i="6"/>
  <c r="C826" i="6"/>
  <c r="C691" i="6"/>
  <c r="C653" i="6"/>
  <c r="C595" i="6"/>
  <c r="C594" i="6"/>
  <c r="C644" i="6"/>
  <c r="C635" i="6"/>
  <c r="C873" i="6"/>
  <c r="C709" i="6"/>
  <c r="C734" i="6"/>
  <c r="C798" i="6"/>
  <c r="C679" i="6"/>
  <c r="C724" i="6"/>
  <c r="C737" i="6"/>
  <c r="C825" i="6"/>
  <c r="C808" i="6"/>
  <c r="C880" i="6"/>
  <c r="C846" i="6"/>
  <c r="C613" i="6"/>
  <c r="C807" i="6"/>
  <c r="C612" i="6"/>
  <c r="C608" i="6"/>
  <c r="C669" i="6"/>
  <c r="C629" i="6"/>
  <c r="C850" i="6"/>
  <c r="C789" i="6"/>
  <c r="C876" i="6"/>
  <c r="C726" i="6"/>
  <c r="C678" i="6"/>
  <c r="C637" i="6"/>
  <c r="C842" i="6"/>
  <c r="C773" i="6"/>
  <c r="C650" i="6"/>
  <c r="C813" i="6"/>
  <c r="C605" i="6"/>
  <c r="C683" i="6"/>
  <c r="C619" i="6"/>
  <c r="C871" i="6"/>
  <c r="C756" i="6"/>
  <c r="C611" i="6"/>
  <c r="C766" i="6"/>
  <c r="C659" i="6"/>
  <c r="C748" i="6"/>
  <c r="C765" i="6"/>
  <c r="C746" i="6"/>
  <c r="C754" i="6"/>
  <c r="C855" i="6"/>
  <c r="C874" i="6"/>
  <c r="C862" i="6"/>
  <c r="C868" i="6"/>
  <c r="C690" i="6"/>
  <c r="C803" i="6"/>
  <c r="C753" i="6"/>
  <c r="C646" i="6"/>
  <c r="C831" i="6"/>
  <c r="C704" i="6"/>
  <c r="C673" i="6"/>
  <c r="C758" i="6"/>
  <c r="C625" i="6"/>
  <c r="C727" i="6"/>
  <c r="C881" i="6"/>
  <c r="C872" i="6"/>
  <c r="C848" i="6"/>
  <c r="C865" i="6"/>
  <c r="C666" i="6"/>
  <c r="C750" i="6"/>
  <c r="C671" i="6"/>
  <c r="C720" i="6"/>
  <c r="C828" i="6"/>
  <c r="C687" i="6"/>
  <c r="C699" i="6"/>
  <c r="C824" i="6"/>
  <c r="C712" i="6"/>
  <c r="C708" i="6"/>
  <c r="C764" i="6"/>
  <c r="C817" i="6"/>
  <c r="C780" i="6"/>
  <c r="C853" i="6"/>
  <c r="C819" i="6"/>
  <c r="C883" i="6"/>
  <c r="C590" i="6"/>
  <c r="C747" i="6"/>
  <c r="C633" i="6"/>
  <c r="C641" i="6"/>
  <c r="C861" i="6"/>
  <c r="C797" i="6"/>
  <c r="C885" i="6"/>
  <c r="C719" i="6"/>
  <c r="C592" i="6"/>
  <c r="C742" i="6"/>
  <c r="C800" i="6"/>
  <c r="C614" i="6"/>
  <c r="C661" i="6"/>
  <c r="C700" i="6"/>
  <c r="C847" i="6"/>
  <c r="C867" i="6"/>
  <c r="C615" i="6"/>
  <c r="C682" i="6"/>
  <c r="C645" i="6"/>
  <c r="C760" i="6"/>
  <c r="C693" i="6"/>
  <c r="C640" i="6"/>
  <c r="C759" i="6"/>
  <c r="C634" i="6"/>
  <c r="C849" i="6"/>
  <c r="C667" i="6"/>
  <c r="C782" i="6"/>
  <c r="C806" i="6"/>
  <c r="C648" i="6"/>
  <c r="C833" i="6"/>
  <c r="C884" i="6"/>
  <c r="C630" i="6"/>
  <c r="C775" i="6"/>
  <c r="C888" i="6"/>
  <c r="C889" i="6"/>
  <c r="C901" i="6"/>
  <c r="C939" i="6"/>
  <c r="C892" i="6"/>
  <c r="C940" i="6"/>
  <c r="C1004" i="6"/>
  <c r="C984" i="6"/>
  <c r="AB602" i="6"/>
  <c r="AB820" i="6"/>
  <c r="AB663" i="6"/>
  <c r="AB785" i="6"/>
  <c r="AB607" i="6"/>
  <c r="AB670" i="6"/>
  <c r="AB732" i="6"/>
  <c r="AB762" i="6"/>
  <c r="AB685" i="6"/>
  <c r="AB694" i="6"/>
  <c r="AB620" i="6"/>
  <c r="AB858" i="6"/>
  <c r="AB810" i="6"/>
  <c r="AB826" i="6"/>
  <c r="AB653" i="6"/>
  <c r="AB734" i="6"/>
  <c r="AB724" i="6"/>
  <c r="AB669" i="6"/>
  <c r="AB850" i="6"/>
  <c r="AB637" i="6"/>
  <c r="AB842" i="6"/>
  <c r="AB813" i="6"/>
  <c r="AB605" i="6"/>
  <c r="AB756" i="6"/>
  <c r="AB748" i="6"/>
  <c r="AB746" i="6"/>
  <c r="AB868" i="6"/>
  <c r="AB646" i="6"/>
  <c r="AB666" i="6"/>
  <c r="AB687" i="6"/>
  <c r="AB699" i="6"/>
  <c r="AB764" i="6"/>
  <c r="AB742" i="6"/>
  <c r="AB800" i="6"/>
  <c r="AB700" i="6"/>
  <c r="AB615" i="6"/>
  <c r="AB693" i="6"/>
  <c r="AB640" i="6"/>
  <c r="AB806" i="6"/>
  <c r="AB833" i="6"/>
  <c r="AB775" i="6"/>
  <c r="AB888" i="6"/>
  <c r="AB889" i="6"/>
  <c r="AB901" i="6"/>
  <c r="AB939" i="6"/>
  <c r="AB892" i="6"/>
  <c r="AB940" i="6"/>
  <c r="AB1004" i="6"/>
  <c r="AB984" i="6"/>
  <c r="S676" i="6"/>
  <c r="S662" i="6"/>
  <c r="S835" i="6"/>
  <c r="S602" i="6"/>
  <c r="S598" i="6"/>
  <c r="S636" i="6"/>
  <c r="S655" i="6"/>
  <c r="S606" i="6"/>
  <c r="S638" i="6"/>
  <c r="S752" i="6"/>
  <c r="S689" i="6"/>
  <c r="S820" i="6"/>
  <c r="S663" i="6"/>
  <c r="S684" i="6"/>
  <c r="S696" i="6"/>
  <c r="S686" i="6"/>
  <c r="S628" i="6"/>
  <c r="S785" i="6"/>
  <c r="S607" i="6"/>
  <c r="S670" i="6"/>
  <c r="S702" i="6"/>
  <c r="S718" i="6"/>
  <c r="S657" i="6"/>
  <c r="S732" i="6"/>
  <c r="S762" i="6"/>
  <c r="S716" i="6"/>
  <c r="S818" i="6"/>
  <c r="S730" i="6"/>
  <c r="S685" i="6"/>
  <c r="S694" i="6"/>
  <c r="S823" i="6"/>
  <c r="S654" i="6"/>
  <c r="S620" i="6"/>
  <c r="S839" i="6"/>
  <c r="S858" i="6"/>
  <c r="S721" i="6"/>
  <c r="S735" i="6"/>
  <c r="S711" i="6"/>
  <c r="S810" i="6"/>
  <c r="S778" i="6"/>
  <c r="S777" i="6"/>
  <c r="S879" i="6"/>
  <c r="S826" i="6"/>
  <c r="S691" i="6"/>
  <c r="S653" i="6"/>
  <c r="S595" i="6"/>
  <c r="S594" i="6"/>
  <c r="S644" i="6"/>
  <c r="S635" i="6"/>
  <c r="S873" i="6"/>
  <c r="S709" i="6"/>
  <c r="S734" i="6"/>
  <c r="S798" i="6"/>
  <c r="S679" i="6"/>
  <c r="S724" i="6"/>
  <c r="S737" i="6"/>
  <c r="S825" i="6"/>
  <c r="S808" i="6"/>
  <c r="S880" i="6"/>
  <c r="S846" i="6"/>
  <c r="S613" i="6"/>
  <c r="S807" i="6"/>
  <c r="S612" i="6"/>
  <c r="S608" i="6"/>
  <c r="S669" i="6"/>
  <c r="S629" i="6"/>
  <c r="S850" i="6"/>
  <c r="S789" i="6"/>
  <c r="S876" i="6"/>
  <c r="S726" i="6"/>
  <c r="S678" i="6"/>
  <c r="S637" i="6"/>
  <c r="S842" i="6"/>
  <c r="S773" i="6"/>
  <c r="S650" i="6"/>
  <c r="S813" i="6"/>
  <c r="S605" i="6"/>
  <c r="S683" i="6"/>
  <c r="S619" i="6"/>
  <c r="S871" i="6"/>
  <c r="S756" i="6"/>
  <c r="S611" i="6"/>
  <c r="S766" i="6"/>
  <c r="S659" i="6"/>
  <c r="S748" i="6"/>
  <c r="S765" i="6"/>
  <c r="S746" i="6"/>
  <c r="S754" i="6"/>
  <c r="S855" i="6"/>
  <c r="S874" i="6"/>
  <c r="S862" i="6"/>
  <c r="S868" i="6"/>
  <c r="S690" i="6"/>
  <c r="S803" i="6"/>
  <c r="S753" i="6"/>
  <c r="S646" i="6"/>
  <c r="S831" i="6"/>
  <c r="S704" i="6"/>
  <c r="S673" i="6"/>
  <c r="S758" i="6"/>
  <c r="S625" i="6"/>
  <c r="S727" i="6"/>
  <c r="S881" i="6"/>
  <c r="S872" i="6"/>
  <c r="S848" i="6"/>
  <c r="S865" i="6"/>
  <c r="S666" i="6"/>
  <c r="S750" i="6"/>
  <c r="S671" i="6"/>
  <c r="S720" i="6"/>
  <c r="S828" i="6"/>
  <c r="S687" i="6"/>
  <c r="S699" i="6"/>
  <c r="S824" i="6"/>
  <c r="S712" i="6"/>
  <c r="S708" i="6"/>
  <c r="S764" i="6"/>
  <c r="S817" i="6"/>
  <c r="S780" i="6"/>
  <c r="S853" i="6"/>
  <c r="S819" i="6"/>
  <c r="S883" i="6"/>
  <c r="S590" i="6"/>
  <c r="S747" i="6"/>
  <c r="S633" i="6"/>
  <c r="S641" i="6"/>
  <c r="S861" i="6"/>
  <c r="S797" i="6"/>
  <c r="S885" i="6"/>
  <c r="S719" i="6"/>
  <c r="S592" i="6"/>
  <c r="S742" i="6"/>
  <c r="S800" i="6"/>
  <c r="S614" i="6"/>
  <c r="S661" i="6"/>
  <c r="S700" i="6"/>
  <c r="S847" i="6"/>
  <c r="S867" i="6"/>
  <c r="S615" i="6"/>
  <c r="S682" i="6"/>
  <c r="S645" i="6"/>
  <c r="S760" i="6"/>
  <c r="S693" i="6"/>
  <c r="S640" i="6"/>
  <c r="S759" i="6"/>
  <c r="S634" i="6"/>
  <c r="S849" i="6"/>
  <c r="S667" i="6"/>
  <c r="S782" i="6"/>
  <c r="S806" i="6"/>
  <c r="S648" i="6"/>
  <c r="S833" i="6"/>
  <c r="S884" i="6"/>
  <c r="S630" i="6"/>
  <c r="S775" i="6"/>
  <c r="S888" i="6"/>
  <c r="S889" i="6"/>
  <c r="S901" i="6"/>
  <c r="S939" i="6"/>
  <c r="S892" i="6"/>
  <c r="S940" i="6"/>
  <c r="S1004" i="6"/>
  <c r="S984" i="6"/>
  <c r="AA676" i="6"/>
  <c r="AA662" i="6"/>
  <c r="AA835" i="6"/>
  <c r="AA602" i="6"/>
  <c r="AA598" i="6"/>
  <c r="AA636" i="6"/>
  <c r="AA655" i="6"/>
  <c r="AA606" i="6"/>
  <c r="AA638" i="6"/>
  <c r="AA752" i="6"/>
  <c r="AA689" i="6"/>
  <c r="AA820" i="6"/>
  <c r="AA663" i="6"/>
  <c r="AA684" i="6"/>
  <c r="AA696" i="6"/>
  <c r="AA686" i="6"/>
  <c r="AA628" i="6"/>
  <c r="AA785" i="6"/>
  <c r="AA607" i="6"/>
  <c r="AA670" i="6"/>
  <c r="AA702" i="6"/>
  <c r="AA718" i="6"/>
  <c r="AA657" i="6"/>
  <c r="AA732" i="6"/>
  <c r="AA762" i="6"/>
  <c r="AA716" i="6"/>
  <c r="AA818" i="6"/>
  <c r="AA730" i="6"/>
  <c r="AA685" i="6"/>
  <c r="AA694" i="6"/>
  <c r="AA823" i="6"/>
  <c r="AA654" i="6"/>
  <c r="AA620" i="6"/>
  <c r="AA839" i="6"/>
  <c r="AA858" i="6"/>
  <c r="AA721" i="6"/>
  <c r="AA735" i="6"/>
  <c r="AA711" i="6"/>
  <c r="AA810" i="6"/>
  <c r="AA778" i="6"/>
  <c r="AA777" i="6"/>
  <c r="AA879" i="6"/>
  <c r="AA826" i="6"/>
  <c r="AA691" i="6"/>
  <c r="AA653" i="6"/>
  <c r="AA595" i="6"/>
  <c r="AA594" i="6"/>
  <c r="AA644" i="6"/>
  <c r="AA635" i="6"/>
  <c r="AA873" i="6"/>
  <c r="AA709" i="6"/>
  <c r="AA734" i="6"/>
  <c r="AA798" i="6"/>
  <c r="AA679" i="6"/>
  <c r="AA724" i="6"/>
  <c r="AA737" i="6"/>
  <c r="AA825" i="6"/>
  <c r="AA808" i="6"/>
  <c r="AA880" i="6"/>
  <c r="AA846" i="6"/>
  <c r="AA613" i="6"/>
  <c r="AA807" i="6"/>
  <c r="AA612" i="6"/>
  <c r="AA608" i="6"/>
  <c r="AA669" i="6"/>
  <c r="AA629" i="6"/>
  <c r="AA850" i="6"/>
  <c r="AA789" i="6"/>
  <c r="AA876" i="6"/>
  <c r="AA726" i="6"/>
  <c r="AA678" i="6"/>
  <c r="AA637" i="6"/>
  <c r="AA842" i="6"/>
  <c r="AA773" i="6"/>
  <c r="AA650" i="6"/>
  <c r="AA813" i="6"/>
  <c r="AA605" i="6"/>
  <c r="AA683" i="6"/>
  <c r="AA619" i="6"/>
  <c r="AA871" i="6"/>
  <c r="AA756" i="6"/>
  <c r="AA611" i="6"/>
  <c r="AA766" i="6"/>
  <c r="AA659" i="6"/>
  <c r="AA748" i="6"/>
  <c r="AA765" i="6"/>
  <c r="AA746" i="6"/>
  <c r="AA754" i="6"/>
  <c r="AA855" i="6"/>
  <c r="AA874" i="6"/>
  <c r="AA862" i="6"/>
  <c r="AA868" i="6"/>
  <c r="AA690" i="6"/>
  <c r="AA803" i="6"/>
  <c r="AA753" i="6"/>
  <c r="AA646" i="6"/>
  <c r="AA831" i="6"/>
  <c r="AA704" i="6"/>
  <c r="AA673" i="6"/>
  <c r="AA758" i="6"/>
  <c r="AA625" i="6"/>
  <c r="AA727" i="6"/>
  <c r="AA881" i="6"/>
  <c r="AA872" i="6"/>
  <c r="AA848" i="6"/>
  <c r="AA865" i="6"/>
  <c r="AA666" i="6"/>
  <c r="AA750" i="6"/>
  <c r="AA671" i="6"/>
  <c r="AA720" i="6"/>
  <c r="AA828" i="6"/>
  <c r="AA687" i="6"/>
  <c r="AA699" i="6"/>
  <c r="AA824" i="6"/>
  <c r="AA712" i="6"/>
  <c r="AA708" i="6"/>
  <c r="AA764" i="6"/>
  <c r="AA817" i="6"/>
  <c r="AA780" i="6"/>
  <c r="AA853" i="6"/>
  <c r="AA819" i="6"/>
  <c r="AA883" i="6"/>
  <c r="AA590" i="6"/>
  <c r="AA747" i="6"/>
  <c r="AA633" i="6"/>
  <c r="AA641" i="6"/>
  <c r="AA861" i="6"/>
  <c r="AA797" i="6"/>
  <c r="AA885" i="6"/>
  <c r="AA719" i="6"/>
  <c r="AA592" i="6"/>
  <c r="AA742" i="6"/>
  <c r="AA800" i="6"/>
  <c r="AA614" i="6"/>
  <c r="AA661" i="6"/>
  <c r="AA700" i="6"/>
  <c r="AA847" i="6"/>
  <c r="AA867" i="6"/>
  <c r="AA615" i="6"/>
  <c r="AA682" i="6"/>
  <c r="AA645" i="6"/>
  <c r="AA760" i="6"/>
  <c r="AA693" i="6"/>
  <c r="AA640" i="6"/>
  <c r="AA759" i="6"/>
  <c r="AA634" i="6"/>
  <c r="AA849" i="6"/>
  <c r="AA667" i="6"/>
  <c r="AA782" i="6"/>
  <c r="AA806" i="6"/>
  <c r="AA648" i="6"/>
  <c r="AA833" i="6"/>
  <c r="AA884" i="6"/>
  <c r="AA630" i="6"/>
  <c r="AA775" i="6"/>
  <c r="AA888" i="6"/>
  <c r="AA889" i="6"/>
  <c r="AA901" i="6"/>
  <c r="AA939" i="6"/>
  <c r="AA892" i="6"/>
  <c r="AA940" i="6"/>
  <c r="AA1004" i="6"/>
  <c r="AA984" i="6"/>
  <c r="AC676" i="6"/>
  <c r="Q676" i="6" s="1"/>
  <c r="V676" i="6" s="1"/>
  <c r="Z676" i="6" s="1"/>
  <c r="AC662" i="6"/>
  <c r="Q662" i="6" s="1"/>
  <c r="V662" i="6" s="1"/>
  <c r="AC835" i="6"/>
  <c r="Q835" i="6" s="1"/>
  <c r="V835" i="6" s="1"/>
  <c r="AC602" i="6"/>
  <c r="Q602" i="6" s="1"/>
  <c r="V602" i="6" s="1"/>
  <c r="AC598" i="6"/>
  <c r="Q598" i="6" s="1"/>
  <c r="V598" i="6" s="1"/>
  <c r="AC636" i="6"/>
  <c r="Q636" i="6" s="1"/>
  <c r="V636" i="6" s="1"/>
  <c r="Z636" i="6" s="1"/>
  <c r="AC655" i="6"/>
  <c r="Q655" i="6" s="1"/>
  <c r="V655" i="6" s="1"/>
  <c r="AC606" i="6"/>
  <c r="Q606" i="6" s="1"/>
  <c r="V606" i="6" s="1"/>
  <c r="AC638" i="6"/>
  <c r="Q638" i="6" s="1"/>
  <c r="V638" i="6" s="1"/>
  <c r="AC752" i="6"/>
  <c r="Q752" i="6" s="1"/>
  <c r="V752" i="6" s="1"/>
  <c r="AC689" i="6"/>
  <c r="Q689" i="6" s="1"/>
  <c r="V689" i="6" s="1"/>
  <c r="AC820" i="6"/>
  <c r="Q820" i="6" s="1"/>
  <c r="V820" i="6" s="1"/>
  <c r="AC663" i="6"/>
  <c r="Q663" i="6" s="1"/>
  <c r="V663" i="6" s="1"/>
  <c r="AC684" i="6"/>
  <c r="Q684" i="6" s="1"/>
  <c r="V684" i="6" s="1"/>
  <c r="AC696" i="6"/>
  <c r="Q696" i="6" s="1"/>
  <c r="V696" i="6" s="1"/>
  <c r="AC686" i="6"/>
  <c r="Q686" i="6" s="1"/>
  <c r="V686" i="6" s="1"/>
  <c r="AC628" i="6"/>
  <c r="Q628" i="6" s="1"/>
  <c r="V628" i="6" s="1"/>
  <c r="AC785" i="6"/>
  <c r="Q785" i="6" s="1"/>
  <c r="V785" i="6" s="1"/>
  <c r="AC607" i="6"/>
  <c r="Q607" i="6" s="1"/>
  <c r="V607" i="6" s="1"/>
  <c r="AC670" i="6"/>
  <c r="Q670" i="6" s="1"/>
  <c r="V670" i="6" s="1"/>
  <c r="U670" i="6" s="1"/>
  <c r="AC702" i="6"/>
  <c r="Q702" i="6" s="1"/>
  <c r="V702" i="6" s="1"/>
  <c r="X702" i="6" s="1"/>
  <c r="AC718" i="6"/>
  <c r="Q718" i="6" s="1"/>
  <c r="V718" i="6" s="1"/>
  <c r="U718" i="6" s="1"/>
  <c r="AC657" i="6"/>
  <c r="Q657" i="6" s="1"/>
  <c r="V657" i="6" s="1"/>
  <c r="Z657" i="6" s="1"/>
  <c r="AC732" i="6"/>
  <c r="Q732" i="6" s="1"/>
  <c r="V732" i="6" s="1"/>
  <c r="U732" i="6" s="1"/>
  <c r="AC762" i="6"/>
  <c r="Q762" i="6" s="1"/>
  <c r="V762" i="6" s="1"/>
  <c r="U762" i="6" s="1"/>
  <c r="AC716" i="6"/>
  <c r="Q716" i="6" s="1"/>
  <c r="V716" i="6" s="1"/>
  <c r="AC818" i="6"/>
  <c r="Q818" i="6" s="1"/>
  <c r="V818" i="6" s="1"/>
  <c r="Z818" i="6" s="1"/>
  <c r="AC730" i="6"/>
  <c r="Q730" i="6" s="1"/>
  <c r="V730" i="6" s="1"/>
  <c r="Z730" i="6" s="1"/>
  <c r="AC685" i="6"/>
  <c r="Q685" i="6" s="1"/>
  <c r="V685" i="6" s="1"/>
  <c r="Z685" i="6" s="1"/>
  <c r="AC694" i="6"/>
  <c r="Q694" i="6" s="1"/>
  <c r="V694" i="6" s="1"/>
  <c r="AC823" i="6"/>
  <c r="Q823" i="6" s="1"/>
  <c r="V823" i="6" s="1"/>
  <c r="Z823" i="6" s="1"/>
  <c r="AC654" i="6"/>
  <c r="Q654" i="6" s="1"/>
  <c r="V654" i="6" s="1"/>
  <c r="U654" i="6" s="1"/>
  <c r="AC620" i="6"/>
  <c r="Q620" i="6" s="1"/>
  <c r="V620" i="6" s="1"/>
  <c r="AC839" i="6"/>
  <c r="Q839" i="6" s="1"/>
  <c r="V839" i="6" s="1"/>
  <c r="AC858" i="6"/>
  <c r="Q858" i="6" s="1"/>
  <c r="V858" i="6" s="1"/>
  <c r="AC721" i="6"/>
  <c r="Q721" i="6" s="1"/>
  <c r="V721" i="6" s="1"/>
  <c r="AC735" i="6"/>
  <c r="Q735" i="6" s="1"/>
  <c r="V735" i="6" s="1"/>
  <c r="AC711" i="6"/>
  <c r="Q711" i="6" s="1"/>
  <c r="V711" i="6" s="1"/>
  <c r="AC810" i="6"/>
  <c r="Q810" i="6" s="1"/>
  <c r="V810" i="6" s="1"/>
  <c r="Z810" i="6" s="1"/>
  <c r="AC778" i="6"/>
  <c r="Q778" i="6" s="1"/>
  <c r="V778" i="6" s="1"/>
  <c r="AC777" i="6"/>
  <c r="Q777" i="6" s="1"/>
  <c r="V777" i="6" s="1"/>
  <c r="AC879" i="6"/>
  <c r="Q879" i="6" s="1"/>
  <c r="V879" i="6" s="1"/>
  <c r="AC826" i="6"/>
  <c r="Q826" i="6" s="1"/>
  <c r="V826" i="6" s="1"/>
  <c r="AC691" i="6"/>
  <c r="Q691" i="6" s="1"/>
  <c r="V691" i="6" s="1"/>
  <c r="AC653" i="6"/>
  <c r="Q653" i="6" s="1"/>
  <c r="V653" i="6" s="1"/>
  <c r="AC595" i="6"/>
  <c r="Q595" i="6" s="1"/>
  <c r="V595" i="6" s="1"/>
  <c r="Z595" i="6" s="1"/>
  <c r="AC594" i="6"/>
  <c r="Q594" i="6" s="1"/>
  <c r="V594" i="6" s="1"/>
  <c r="X594" i="6" s="1"/>
  <c r="AC644" i="6"/>
  <c r="Q644" i="6" s="1"/>
  <c r="V644" i="6" s="1"/>
  <c r="X644" i="6" s="1"/>
  <c r="AC635" i="6"/>
  <c r="Q635" i="6" s="1"/>
  <c r="V635" i="6" s="1"/>
  <c r="U635" i="6" s="1"/>
  <c r="AC873" i="6"/>
  <c r="Q873" i="6" s="1"/>
  <c r="V873" i="6" s="1"/>
  <c r="AC709" i="6"/>
  <c r="Q709" i="6" s="1"/>
  <c r="V709" i="6" s="1"/>
  <c r="AC734" i="6"/>
  <c r="Q734" i="6" s="1"/>
  <c r="V734" i="6" s="1"/>
  <c r="Z734" i="6" s="1"/>
  <c r="AC798" i="6"/>
  <c r="Q798" i="6" s="1"/>
  <c r="V798" i="6" s="1"/>
  <c r="X798" i="6" s="1"/>
  <c r="AC679" i="6"/>
  <c r="Q679" i="6" s="1"/>
  <c r="V679" i="6" s="1"/>
  <c r="Z679" i="6" s="1"/>
  <c r="AC724" i="6"/>
  <c r="Q724" i="6" s="1"/>
  <c r="V724" i="6" s="1"/>
  <c r="Z724" i="6" s="1"/>
  <c r="AC737" i="6"/>
  <c r="Q737" i="6" s="1"/>
  <c r="V737" i="6" s="1"/>
  <c r="AC825" i="6"/>
  <c r="Q825" i="6" s="1"/>
  <c r="V825" i="6" s="1"/>
  <c r="X825" i="6" s="1"/>
  <c r="AC808" i="6"/>
  <c r="Q808" i="6" s="1"/>
  <c r="V808" i="6" s="1"/>
  <c r="AC880" i="6"/>
  <c r="Q880" i="6" s="1"/>
  <c r="V880" i="6" s="1"/>
  <c r="U880" i="6" s="1"/>
  <c r="AC846" i="6"/>
  <c r="Q846" i="6" s="1"/>
  <c r="V846" i="6" s="1"/>
  <c r="AC613" i="6"/>
  <c r="Q613" i="6" s="1"/>
  <c r="V613" i="6" s="1"/>
  <c r="Z613" i="6" s="1"/>
  <c r="AC807" i="6"/>
  <c r="Q807" i="6" s="1"/>
  <c r="V807" i="6" s="1"/>
  <c r="AC612" i="6"/>
  <c r="Q612" i="6" s="1"/>
  <c r="V612" i="6" s="1"/>
  <c r="AC608" i="6"/>
  <c r="Q608" i="6" s="1"/>
  <c r="V608" i="6" s="1"/>
  <c r="X608" i="6" s="1"/>
  <c r="AC669" i="6"/>
  <c r="Q669" i="6" s="1"/>
  <c r="V669" i="6" s="1"/>
  <c r="X669" i="6" s="1"/>
  <c r="AC629" i="6"/>
  <c r="Q629" i="6" s="1"/>
  <c r="V629" i="6" s="1"/>
  <c r="Z629" i="6" s="1"/>
  <c r="AC850" i="6"/>
  <c r="Q850" i="6" s="1"/>
  <c r="V850" i="6" s="1"/>
  <c r="AC789" i="6"/>
  <c r="Q789" i="6" s="1"/>
  <c r="V789" i="6" s="1"/>
  <c r="AC876" i="6"/>
  <c r="Q876" i="6" s="1"/>
  <c r="V876" i="6" s="1"/>
  <c r="AC726" i="6"/>
  <c r="Q726" i="6" s="1"/>
  <c r="V726" i="6" s="1"/>
  <c r="U726" i="6" s="1"/>
  <c r="AC678" i="6"/>
  <c r="Q678" i="6" s="1"/>
  <c r="V678" i="6" s="1"/>
  <c r="AC637" i="6"/>
  <c r="Q637" i="6" s="1"/>
  <c r="V637" i="6" s="1"/>
  <c r="AC842" i="6"/>
  <c r="Q842" i="6" s="1"/>
  <c r="V842" i="6" s="1"/>
  <c r="AC773" i="6"/>
  <c r="Q773" i="6" s="1"/>
  <c r="V773" i="6" s="1"/>
  <c r="AC650" i="6"/>
  <c r="Q650" i="6" s="1"/>
  <c r="V650" i="6" s="1"/>
  <c r="U650" i="6" s="1"/>
  <c r="AC813" i="6"/>
  <c r="Q813" i="6" s="1"/>
  <c r="V813" i="6" s="1"/>
  <c r="Z813" i="6" s="1"/>
  <c r="AC605" i="6"/>
  <c r="Q605" i="6" s="1"/>
  <c r="V605" i="6" s="1"/>
  <c r="X605" i="6" s="1"/>
  <c r="AC683" i="6"/>
  <c r="Q683" i="6" s="1"/>
  <c r="V683" i="6" s="1"/>
  <c r="U683" i="6" s="1"/>
  <c r="AC619" i="6"/>
  <c r="Q619" i="6" s="1"/>
  <c r="V619" i="6" s="1"/>
  <c r="U619" i="6" s="1"/>
  <c r="AC871" i="6"/>
  <c r="Q871" i="6" s="1"/>
  <c r="V871" i="6" s="1"/>
  <c r="AC756" i="6"/>
  <c r="Q756" i="6" s="1"/>
  <c r="V756" i="6" s="1"/>
  <c r="Z756" i="6" s="1"/>
  <c r="AC611" i="6"/>
  <c r="Q611" i="6" s="1"/>
  <c r="V611" i="6" s="1"/>
  <c r="U611" i="6" s="1"/>
  <c r="AC766" i="6"/>
  <c r="Q766" i="6" s="1"/>
  <c r="V766" i="6" s="1"/>
  <c r="AC659" i="6"/>
  <c r="Q659" i="6" s="1"/>
  <c r="V659" i="6" s="1"/>
  <c r="Z659" i="6" s="1"/>
  <c r="AC748" i="6"/>
  <c r="Q748" i="6" s="1"/>
  <c r="V748" i="6" s="1"/>
  <c r="Z748" i="6" s="1"/>
  <c r="AC765" i="6"/>
  <c r="Q765" i="6" s="1"/>
  <c r="V765" i="6" s="1"/>
  <c r="U765" i="6" s="1"/>
  <c r="AC746" i="6"/>
  <c r="Q746" i="6" s="1"/>
  <c r="V746" i="6" s="1"/>
  <c r="U746" i="6" s="1"/>
  <c r="AC754" i="6"/>
  <c r="Q754" i="6" s="1"/>
  <c r="V754" i="6" s="1"/>
  <c r="U754" i="6" s="1"/>
  <c r="AC855" i="6"/>
  <c r="Q855" i="6" s="1"/>
  <c r="V855" i="6" s="1"/>
  <c r="Z855" i="6" s="1"/>
  <c r="AC874" i="6"/>
  <c r="Q874" i="6" s="1"/>
  <c r="V874" i="6" s="1"/>
  <c r="U874" i="6" s="1"/>
  <c r="AC862" i="6"/>
  <c r="Q862" i="6" s="1"/>
  <c r="V862" i="6" s="1"/>
  <c r="U862" i="6" s="1"/>
  <c r="AC868" i="6"/>
  <c r="Q868" i="6" s="1"/>
  <c r="V868" i="6" s="1"/>
  <c r="X868" i="6" s="1"/>
  <c r="AC690" i="6"/>
  <c r="Q690" i="6" s="1"/>
  <c r="V690" i="6" s="1"/>
  <c r="AC803" i="6"/>
  <c r="Q803" i="6" s="1"/>
  <c r="V803" i="6" s="1"/>
  <c r="AC753" i="6"/>
  <c r="Q753" i="6" s="1"/>
  <c r="V753" i="6" s="1"/>
  <c r="AC646" i="6"/>
  <c r="Q646" i="6" s="1"/>
  <c r="V646" i="6" s="1"/>
  <c r="Z646" i="6" s="1"/>
  <c r="AC831" i="6"/>
  <c r="Q831" i="6" s="1"/>
  <c r="V831" i="6" s="1"/>
  <c r="AC704" i="6"/>
  <c r="Q704" i="6" s="1"/>
  <c r="V704" i="6" s="1"/>
  <c r="AC673" i="6"/>
  <c r="Q673" i="6" s="1"/>
  <c r="V673" i="6" s="1"/>
  <c r="Z673" i="6" s="1"/>
  <c r="AC758" i="6"/>
  <c r="Q758" i="6" s="1"/>
  <c r="V758" i="6" s="1"/>
  <c r="X758" i="6" s="1"/>
  <c r="AC625" i="6"/>
  <c r="Q625" i="6" s="1"/>
  <c r="V625" i="6" s="1"/>
  <c r="AC727" i="6"/>
  <c r="Q727" i="6" s="1"/>
  <c r="V727" i="6" s="1"/>
  <c r="AC881" i="6"/>
  <c r="Q881" i="6" s="1"/>
  <c r="V881" i="6" s="1"/>
  <c r="AC872" i="6"/>
  <c r="Q872" i="6" s="1"/>
  <c r="V872" i="6" s="1"/>
  <c r="U872" i="6" s="1"/>
  <c r="AC848" i="6"/>
  <c r="Q848" i="6" s="1"/>
  <c r="V848" i="6" s="1"/>
  <c r="U848" i="6" s="1"/>
  <c r="AC865" i="6"/>
  <c r="Q865" i="6" s="1"/>
  <c r="V865" i="6" s="1"/>
  <c r="AC666" i="6"/>
  <c r="Q666" i="6" s="1"/>
  <c r="V666" i="6" s="1"/>
  <c r="AC750" i="6"/>
  <c r="Q750" i="6" s="1"/>
  <c r="V750" i="6" s="1"/>
  <c r="AC671" i="6"/>
  <c r="Q671" i="6" s="1"/>
  <c r="V671" i="6" s="1"/>
  <c r="AC720" i="6"/>
  <c r="Q720" i="6" s="1"/>
  <c r="V720" i="6" s="1"/>
  <c r="U720" i="6" s="1"/>
  <c r="AC828" i="6"/>
  <c r="Q828" i="6" s="1"/>
  <c r="V828" i="6" s="1"/>
  <c r="AC687" i="6"/>
  <c r="Q687" i="6" s="1"/>
  <c r="V687" i="6" s="1"/>
  <c r="X687" i="6" s="1"/>
  <c r="AC699" i="6"/>
  <c r="Q699" i="6" s="1"/>
  <c r="V699" i="6" s="1"/>
  <c r="X699" i="6" s="1"/>
  <c r="AC824" i="6"/>
  <c r="Q824" i="6" s="1"/>
  <c r="V824" i="6" s="1"/>
  <c r="AC712" i="6"/>
  <c r="Q712" i="6" s="1"/>
  <c r="V712" i="6" s="1"/>
  <c r="AC708" i="6"/>
  <c r="Q708" i="6" s="1"/>
  <c r="V708" i="6" s="1"/>
  <c r="U708" i="6" s="1"/>
  <c r="AC764" i="6"/>
  <c r="Q764" i="6" s="1"/>
  <c r="V764" i="6" s="1"/>
  <c r="AC817" i="6"/>
  <c r="Q817" i="6" s="1"/>
  <c r="V817" i="6" s="1"/>
  <c r="Z817" i="6" s="1"/>
  <c r="AC780" i="6"/>
  <c r="Q780" i="6" s="1"/>
  <c r="V780" i="6" s="1"/>
  <c r="AC853" i="6"/>
  <c r="Q853" i="6" s="1"/>
  <c r="AC819" i="6"/>
  <c r="Q819" i="6" s="1"/>
  <c r="V819" i="6" s="1"/>
  <c r="Z819" i="6" s="1"/>
  <c r="AC883" i="6"/>
  <c r="Q883" i="6" s="1"/>
  <c r="V883" i="6" s="1"/>
  <c r="X883" i="6" s="1"/>
  <c r="AC590" i="6"/>
  <c r="Q590" i="6" s="1"/>
  <c r="V590" i="6" s="1"/>
  <c r="U590" i="6" s="1"/>
  <c r="AC747" i="6"/>
  <c r="Q747" i="6" s="1"/>
  <c r="V747" i="6" s="1"/>
  <c r="AC633" i="6"/>
  <c r="Q633" i="6" s="1"/>
  <c r="V633" i="6" s="1"/>
  <c r="AC641" i="6"/>
  <c r="Q641" i="6" s="1"/>
  <c r="V641" i="6" s="1"/>
  <c r="X641" i="6" s="1"/>
  <c r="AC861" i="6"/>
  <c r="Q861" i="6" s="1"/>
  <c r="V861" i="6" s="1"/>
  <c r="AC797" i="6"/>
  <c r="Q797" i="6" s="1"/>
  <c r="V797" i="6" s="1"/>
  <c r="AC885" i="6"/>
  <c r="Q885" i="6" s="1"/>
  <c r="V885" i="6" s="1"/>
  <c r="AC719" i="6"/>
  <c r="Q719" i="6" s="1"/>
  <c r="V719" i="6" s="1"/>
  <c r="X719" i="6" s="1"/>
  <c r="AC592" i="6"/>
  <c r="Q592" i="6" s="1"/>
  <c r="V592" i="6" s="1"/>
  <c r="AC742" i="6"/>
  <c r="Q742" i="6" s="1"/>
  <c r="V742" i="6" s="1"/>
  <c r="Z742" i="6" s="1"/>
  <c r="AC800" i="6"/>
  <c r="Q800" i="6" s="1"/>
  <c r="V800" i="6" s="1"/>
  <c r="AC614" i="6"/>
  <c r="Q614" i="6" s="1"/>
  <c r="V614" i="6" s="1"/>
  <c r="AC661" i="6"/>
  <c r="Q661" i="6" s="1"/>
  <c r="V661" i="6" s="1"/>
  <c r="AC700" i="6"/>
  <c r="Q700" i="6" s="1"/>
  <c r="V700" i="6" s="1"/>
  <c r="AC847" i="6"/>
  <c r="Q847" i="6" s="1"/>
  <c r="V847" i="6" s="1"/>
  <c r="Z847" i="6" s="1"/>
  <c r="AC867" i="6"/>
  <c r="Q867" i="6" s="1"/>
  <c r="V867" i="6" s="1"/>
  <c r="AC615" i="6"/>
  <c r="Q615" i="6" s="1"/>
  <c r="V615" i="6" s="1"/>
  <c r="AC682" i="6"/>
  <c r="Q682" i="6" s="1"/>
  <c r="V682" i="6" s="1"/>
  <c r="AC645" i="6"/>
  <c r="Q645" i="6" s="1"/>
  <c r="V645" i="6" s="1"/>
  <c r="AC760" i="6"/>
  <c r="Q760" i="6" s="1"/>
  <c r="V760" i="6" s="1"/>
  <c r="AC693" i="6"/>
  <c r="Q693" i="6" s="1"/>
  <c r="V693" i="6" s="1"/>
  <c r="AC640" i="6"/>
  <c r="Q640" i="6" s="1"/>
  <c r="V640" i="6" s="1"/>
  <c r="AC759" i="6"/>
  <c r="Q759" i="6" s="1"/>
  <c r="V759" i="6" s="1"/>
  <c r="AC634" i="6"/>
  <c r="Q634" i="6" s="1"/>
  <c r="V634" i="6" s="1"/>
  <c r="AC849" i="6"/>
  <c r="Q849" i="6" s="1"/>
  <c r="V849" i="6" s="1"/>
  <c r="AC667" i="6"/>
  <c r="Q667" i="6" s="1"/>
  <c r="V667" i="6" s="1"/>
  <c r="AC782" i="6"/>
  <c r="Q782" i="6" s="1"/>
  <c r="V782" i="6" s="1"/>
  <c r="AC806" i="6"/>
  <c r="Q806" i="6" s="1"/>
  <c r="V806" i="6" s="1"/>
  <c r="Z806" i="6" s="1"/>
  <c r="AC648" i="6"/>
  <c r="Q648" i="6" s="1"/>
  <c r="V648" i="6" s="1"/>
  <c r="AC833" i="6"/>
  <c r="Q833" i="6" s="1"/>
  <c r="V833" i="6" s="1"/>
  <c r="AC884" i="6"/>
  <c r="Q884" i="6" s="1"/>
  <c r="V884" i="6" s="1"/>
  <c r="X884" i="6" s="1"/>
  <c r="AC630" i="6"/>
  <c r="Q630" i="6" s="1"/>
  <c r="V630" i="6" s="1"/>
  <c r="X630" i="6" s="1"/>
  <c r="AC775" i="6"/>
  <c r="Q775" i="6" s="1"/>
  <c r="V775" i="6" s="1"/>
  <c r="U775" i="6" s="1"/>
  <c r="AC888" i="6"/>
  <c r="Q888" i="6" s="1"/>
  <c r="V888" i="6" s="1"/>
  <c r="X888" i="6" s="1"/>
  <c r="AC889" i="6"/>
  <c r="Q889" i="6" s="1"/>
  <c r="V889" i="6" s="1"/>
  <c r="AC901" i="6"/>
  <c r="Q901" i="6" s="1"/>
  <c r="V901" i="6" s="1"/>
  <c r="U901" i="6" s="1"/>
  <c r="AC939" i="6"/>
  <c r="Q939" i="6" s="1"/>
  <c r="V939" i="6" s="1"/>
  <c r="Z939" i="6" s="1"/>
  <c r="AC892" i="6"/>
  <c r="Q892" i="6" s="1"/>
  <c r="V892" i="6" s="1"/>
  <c r="AC940" i="6"/>
  <c r="Q940" i="6" s="1"/>
  <c r="V940" i="6" s="1"/>
  <c r="Z940" i="6" s="1"/>
  <c r="AC1004" i="6"/>
  <c r="Q1004" i="6" s="1"/>
  <c r="AC984" i="6"/>
  <c r="Q984" i="6" s="1"/>
  <c r="V984" i="6" s="1"/>
  <c r="U984" i="6" s="1"/>
  <c r="C728" i="6"/>
  <c r="C744" i="6"/>
  <c r="C837" i="6"/>
  <c r="C610" i="6"/>
  <c r="C681" i="6"/>
  <c r="C652" i="6"/>
  <c r="C591" i="6"/>
  <c r="C705" i="6"/>
  <c r="C771" i="6"/>
  <c r="C811" i="6"/>
  <c r="C599" i="6"/>
  <c r="C882" i="6"/>
  <c r="C784" i="6"/>
  <c r="C788" i="6"/>
  <c r="C786" i="6"/>
  <c r="C857" i="6"/>
  <c r="C703" i="6"/>
  <c r="C626" i="6"/>
  <c r="C642" i="6"/>
  <c r="C664" i="6"/>
  <c r="C713" i="6"/>
  <c r="C632" i="6"/>
  <c r="C733" i="6"/>
  <c r="C840" i="6"/>
  <c r="C816" i="6"/>
  <c r="C739" i="6"/>
  <c r="C729" i="6"/>
  <c r="C809" i="6"/>
  <c r="C830" i="6"/>
  <c r="C838" i="6"/>
  <c r="C864" i="6"/>
  <c r="C852" i="6"/>
  <c r="C600" i="6"/>
  <c r="C799" i="6"/>
  <c r="C749" i="6"/>
  <c r="C651" i="6"/>
  <c r="C623" i="6"/>
  <c r="C787" i="6"/>
  <c r="C851" i="6"/>
  <c r="C776" i="6"/>
  <c r="C743" i="6"/>
  <c r="C841" i="6"/>
  <c r="C741" i="6"/>
  <c r="C675" i="6"/>
  <c r="C869" i="6"/>
  <c r="C834" i="6"/>
  <c r="C860" i="6"/>
  <c r="C601" i="6"/>
  <c r="C829" i="6"/>
  <c r="C674" i="6"/>
  <c r="C844" i="6"/>
  <c r="C665" i="6"/>
  <c r="C781" i="6"/>
  <c r="C706" i="6"/>
  <c r="C761" i="6"/>
  <c r="C832" i="6"/>
  <c r="C639" i="6"/>
  <c r="C836" i="6"/>
  <c r="C827" i="6"/>
  <c r="C767" i="6"/>
  <c r="C859" i="6"/>
  <c r="C647" i="6"/>
  <c r="C609" i="6"/>
  <c r="C649" i="6"/>
  <c r="C795" i="6"/>
  <c r="C710" i="6"/>
  <c r="C701" i="6"/>
  <c r="C763" i="6"/>
  <c r="C821" i="6"/>
  <c r="C631" i="6"/>
  <c r="C793" i="6"/>
  <c r="C875" i="6"/>
  <c r="C863" i="6"/>
  <c r="C604" i="6"/>
  <c r="C822" i="6"/>
  <c r="C603" i="6"/>
  <c r="C643" i="6"/>
  <c r="C677" i="6"/>
  <c r="C668" i="6"/>
  <c r="C714" i="6"/>
  <c r="C616" i="6"/>
  <c r="C672" i="6"/>
  <c r="C790" i="6"/>
  <c r="C772" i="6"/>
  <c r="C794" i="6"/>
  <c r="C805" i="6"/>
  <c r="C627" i="6"/>
  <c r="C856" i="6"/>
  <c r="C815" i="6"/>
  <c r="C886" i="6"/>
  <c r="C597" i="6"/>
  <c r="C731" i="6"/>
  <c r="C688" i="6"/>
  <c r="C715" i="6"/>
  <c r="C768" i="6"/>
  <c r="C695" i="6"/>
  <c r="C725" i="6"/>
  <c r="C812" i="6"/>
  <c r="C802" i="6"/>
  <c r="C801" i="6"/>
  <c r="C774" i="6"/>
  <c r="C878" i="6"/>
  <c r="C887" i="6"/>
  <c r="C854" i="6"/>
  <c r="C791" i="6"/>
  <c r="C596" i="6"/>
  <c r="C624" i="6"/>
  <c r="C738" i="6"/>
  <c r="C658" i="6"/>
  <c r="C779" i="6"/>
  <c r="C755" i="6"/>
  <c r="C745" i="6"/>
  <c r="C770" i="6"/>
  <c r="C697" i="6"/>
  <c r="C866" i="6"/>
  <c r="C751" i="6"/>
  <c r="AB728" i="6"/>
  <c r="AB705" i="6"/>
  <c r="AB882" i="6"/>
  <c r="AB784" i="6"/>
  <c r="AB857" i="6"/>
  <c r="AB664" i="6"/>
  <c r="AB733" i="6"/>
  <c r="AB840" i="6"/>
  <c r="AB816" i="6"/>
  <c r="AB729" i="6"/>
  <c r="AB830" i="6"/>
  <c r="AB838" i="6"/>
  <c r="AB852" i="6"/>
  <c r="AB600" i="6"/>
  <c r="AB841" i="6"/>
  <c r="AB741" i="6"/>
  <c r="AB869" i="6"/>
  <c r="AB665" i="6"/>
  <c r="AB761" i="6"/>
  <c r="AB832" i="6"/>
  <c r="AB859" i="6"/>
  <c r="AB649" i="6"/>
  <c r="AB710" i="6"/>
  <c r="AB701" i="6"/>
  <c r="AB793" i="6"/>
  <c r="AB822" i="6"/>
  <c r="AB603" i="6"/>
  <c r="AB714" i="6"/>
  <c r="AB616" i="6"/>
  <c r="AB794" i="6"/>
  <c r="AB815" i="6"/>
  <c r="AB731" i="6"/>
  <c r="AB715" i="6"/>
  <c r="AB695" i="6"/>
  <c r="AB802" i="6"/>
  <c r="AB801" i="6"/>
  <c r="AB854" i="6"/>
  <c r="AB596" i="6"/>
  <c r="AB738" i="6"/>
  <c r="AB770" i="6"/>
  <c r="AB697" i="6"/>
  <c r="S728" i="6"/>
  <c r="S744" i="6"/>
  <c r="S837" i="6"/>
  <c r="S610" i="6"/>
  <c r="S681" i="6"/>
  <c r="S652" i="6"/>
  <c r="S591" i="6"/>
  <c r="S705" i="6"/>
  <c r="S771" i="6"/>
  <c r="S811" i="6"/>
  <c r="S599" i="6"/>
  <c r="S882" i="6"/>
  <c r="S784" i="6"/>
  <c r="S788" i="6"/>
  <c r="S786" i="6"/>
  <c r="S857" i="6"/>
  <c r="S703" i="6"/>
  <c r="S626" i="6"/>
  <c r="S642" i="6"/>
  <c r="S664" i="6"/>
  <c r="S713" i="6"/>
  <c r="S632" i="6"/>
  <c r="S733" i="6"/>
  <c r="S840" i="6"/>
  <c r="S816" i="6"/>
  <c r="S739" i="6"/>
  <c r="S729" i="6"/>
  <c r="S809" i="6"/>
  <c r="S830" i="6"/>
  <c r="S838" i="6"/>
  <c r="S864" i="6"/>
  <c r="S852" i="6"/>
  <c r="S600" i="6"/>
  <c r="S799" i="6"/>
  <c r="S749" i="6"/>
  <c r="S651" i="6"/>
  <c r="S623" i="6"/>
  <c r="S787" i="6"/>
  <c r="S851" i="6"/>
  <c r="S776" i="6"/>
  <c r="S743" i="6"/>
  <c r="S841" i="6"/>
  <c r="S741" i="6"/>
  <c r="S675" i="6"/>
  <c r="S869" i="6"/>
  <c r="S834" i="6"/>
  <c r="S860" i="6"/>
  <c r="S601" i="6"/>
  <c r="S829" i="6"/>
  <c r="S674" i="6"/>
  <c r="S844" i="6"/>
  <c r="S665" i="6"/>
  <c r="S781" i="6"/>
  <c r="S706" i="6"/>
  <c r="S761" i="6"/>
  <c r="S832" i="6"/>
  <c r="S639" i="6"/>
  <c r="S836" i="6"/>
  <c r="S827" i="6"/>
  <c r="S767" i="6"/>
  <c r="S859" i="6"/>
  <c r="S647" i="6"/>
  <c r="S609" i="6"/>
  <c r="S649" i="6"/>
  <c r="S795" i="6"/>
  <c r="S710" i="6"/>
  <c r="S701" i="6"/>
  <c r="S763" i="6"/>
  <c r="S821" i="6"/>
  <c r="S631" i="6"/>
  <c r="S793" i="6"/>
  <c r="S875" i="6"/>
  <c r="S863" i="6"/>
  <c r="S604" i="6"/>
  <c r="S822" i="6"/>
  <c r="S603" i="6"/>
  <c r="S643" i="6"/>
  <c r="S677" i="6"/>
  <c r="S668" i="6"/>
  <c r="S714" i="6"/>
  <c r="S616" i="6"/>
  <c r="S672" i="6"/>
  <c r="S790" i="6"/>
  <c r="S772" i="6"/>
  <c r="S794" i="6"/>
  <c r="S805" i="6"/>
  <c r="S627" i="6"/>
  <c r="S856" i="6"/>
  <c r="S815" i="6"/>
  <c r="S886" i="6"/>
  <c r="S597" i="6"/>
  <c r="S731" i="6"/>
  <c r="S688" i="6"/>
  <c r="S715" i="6"/>
  <c r="S768" i="6"/>
  <c r="S695" i="6"/>
  <c r="S725" i="6"/>
  <c r="S812" i="6"/>
  <c r="S802" i="6"/>
  <c r="S801" i="6"/>
  <c r="S774" i="6"/>
  <c r="S878" i="6"/>
  <c r="S887" i="6"/>
  <c r="S854" i="6"/>
  <c r="S791" i="6"/>
  <c r="S596" i="6"/>
  <c r="S624" i="6"/>
  <c r="S738" i="6"/>
  <c r="S658" i="6"/>
  <c r="S779" i="6"/>
  <c r="S755" i="6"/>
  <c r="S745" i="6"/>
  <c r="S770" i="6"/>
  <c r="S697" i="6"/>
  <c r="S866" i="6"/>
  <c r="S751" i="6"/>
  <c r="AA728" i="6"/>
  <c r="AA744" i="6"/>
  <c r="AA837" i="6"/>
  <c r="AA610" i="6"/>
  <c r="AA681" i="6"/>
  <c r="AA652" i="6"/>
  <c r="AA591" i="6"/>
  <c r="AA705" i="6"/>
  <c r="AA771" i="6"/>
  <c r="AA811" i="6"/>
  <c r="AA599" i="6"/>
  <c r="AA882" i="6"/>
  <c r="AA784" i="6"/>
  <c r="AA788" i="6"/>
  <c r="AA786" i="6"/>
  <c r="AA857" i="6"/>
  <c r="AA703" i="6"/>
  <c r="AA626" i="6"/>
  <c r="AA642" i="6"/>
  <c r="AA664" i="6"/>
  <c r="AA713" i="6"/>
  <c r="AA632" i="6"/>
  <c r="AA733" i="6"/>
  <c r="AA840" i="6"/>
  <c r="AA816" i="6"/>
  <c r="AA739" i="6"/>
  <c r="AA729" i="6"/>
  <c r="AA809" i="6"/>
  <c r="AA830" i="6"/>
  <c r="AA838" i="6"/>
  <c r="AA864" i="6"/>
  <c r="AA852" i="6"/>
  <c r="AA600" i="6"/>
  <c r="AA799" i="6"/>
  <c r="AA749" i="6"/>
  <c r="AA651" i="6"/>
  <c r="AA623" i="6"/>
  <c r="AA787" i="6"/>
  <c r="AA851" i="6"/>
  <c r="AA776" i="6"/>
  <c r="AA743" i="6"/>
  <c r="AA841" i="6"/>
  <c r="AA741" i="6"/>
  <c r="AA675" i="6"/>
  <c r="AA869" i="6"/>
  <c r="AA834" i="6"/>
  <c r="AA860" i="6"/>
  <c r="AA601" i="6"/>
  <c r="AA829" i="6"/>
  <c r="AA674" i="6"/>
  <c r="AA844" i="6"/>
  <c r="AA665" i="6"/>
  <c r="AA781" i="6"/>
  <c r="AA706" i="6"/>
  <c r="AA761" i="6"/>
  <c r="AA832" i="6"/>
  <c r="AA639" i="6"/>
  <c r="AA836" i="6"/>
  <c r="AA827" i="6"/>
  <c r="AA767" i="6"/>
  <c r="AA859" i="6"/>
  <c r="AA647" i="6"/>
  <c r="AA609" i="6"/>
  <c r="AA649" i="6"/>
  <c r="AA795" i="6"/>
  <c r="AA710" i="6"/>
  <c r="AA701" i="6"/>
  <c r="AA763" i="6"/>
  <c r="AA821" i="6"/>
  <c r="AA631" i="6"/>
  <c r="AA793" i="6"/>
  <c r="AA875" i="6"/>
  <c r="AA863" i="6"/>
  <c r="AA604" i="6"/>
  <c r="AA822" i="6"/>
  <c r="AA603" i="6"/>
  <c r="AA643" i="6"/>
  <c r="AA677" i="6"/>
  <c r="AA668" i="6"/>
  <c r="AA714" i="6"/>
  <c r="AA616" i="6"/>
  <c r="AA672" i="6"/>
  <c r="AA790" i="6"/>
  <c r="AA772" i="6"/>
  <c r="AA794" i="6"/>
  <c r="AA805" i="6"/>
  <c r="AA627" i="6"/>
  <c r="AA856" i="6"/>
  <c r="AA815" i="6"/>
  <c r="AA886" i="6"/>
  <c r="AA597" i="6"/>
  <c r="AA731" i="6"/>
  <c r="AA688" i="6"/>
  <c r="AA715" i="6"/>
  <c r="AA768" i="6"/>
  <c r="AA695" i="6"/>
  <c r="AA725" i="6"/>
  <c r="AA812" i="6"/>
  <c r="AA802" i="6"/>
  <c r="AA801" i="6"/>
  <c r="AA774" i="6"/>
  <c r="AA878" i="6"/>
  <c r="AA887" i="6"/>
  <c r="AA854" i="6"/>
  <c r="AA791" i="6"/>
  <c r="AA596" i="6"/>
  <c r="AA624" i="6"/>
  <c r="AA738" i="6"/>
  <c r="AA658" i="6"/>
  <c r="AA779" i="6"/>
  <c r="AA755" i="6"/>
  <c r="AA745" i="6"/>
  <c r="AA770" i="6"/>
  <c r="AA697" i="6"/>
  <c r="AA866" i="6"/>
  <c r="AA751" i="6"/>
  <c r="AC728" i="6"/>
  <c r="Q728" i="6" s="1"/>
  <c r="V728" i="6" s="1"/>
  <c r="AC744" i="6"/>
  <c r="Q744" i="6" s="1"/>
  <c r="V744" i="6" s="1"/>
  <c r="Z744" i="6" s="1"/>
  <c r="AC837" i="6"/>
  <c r="Q837" i="6" s="1"/>
  <c r="V837" i="6" s="1"/>
  <c r="Z837" i="6" s="1"/>
  <c r="AC610" i="6"/>
  <c r="Q610" i="6" s="1"/>
  <c r="V610" i="6" s="1"/>
  <c r="U610" i="6" s="1"/>
  <c r="AC681" i="6"/>
  <c r="Q681" i="6" s="1"/>
  <c r="V681" i="6" s="1"/>
  <c r="AC652" i="6"/>
  <c r="Q652" i="6" s="1"/>
  <c r="V652" i="6" s="1"/>
  <c r="AC591" i="6"/>
  <c r="Q591" i="6" s="1"/>
  <c r="V591" i="6" s="1"/>
  <c r="U591" i="6" s="1"/>
  <c r="AC705" i="6"/>
  <c r="Q705" i="6" s="1"/>
  <c r="V705" i="6" s="1"/>
  <c r="Z705" i="6" s="1"/>
  <c r="AC771" i="6"/>
  <c r="Q771" i="6" s="1"/>
  <c r="V771" i="6" s="1"/>
  <c r="AC811" i="6"/>
  <c r="Q811" i="6" s="1"/>
  <c r="V811" i="6" s="1"/>
  <c r="AC599" i="6"/>
  <c r="Q599" i="6" s="1"/>
  <c r="V599" i="6" s="1"/>
  <c r="AC882" i="6"/>
  <c r="Q882" i="6" s="1"/>
  <c r="V882" i="6" s="1"/>
  <c r="AC784" i="6"/>
  <c r="Q784" i="6" s="1"/>
  <c r="V784" i="6" s="1"/>
  <c r="Z784" i="6" s="1"/>
  <c r="AC788" i="6"/>
  <c r="Q788" i="6" s="1"/>
  <c r="V788" i="6" s="1"/>
  <c r="AC786" i="6"/>
  <c r="Q786" i="6" s="1"/>
  <c r="V786" i="6" s="1"/>
  <c r="U786" i="6" s="1"/>
  <c r="AC857" i="6"/>
  <c r="Q857" i="6" s="1"/>
  <c r="V857" i="6" s="1"/>
  <c r="X857" i="6" s="1"/>
  <c r="AC703" i="6"/>
  <c r="Q703" i="6" s="1"/>
  <c r="V703" i="6" s="1"/>
  <c r="AC626" i="6"/>
  <c r="Q626" i="6" s="1"/>
  <c r="V626" i="6" s="1"/>
  <c r="AC642" i="6"/>
  <c r="Q642" i="6" s="1"/>
  <c r="V642" i="6" s="1"/>
  <c r="Z642" i="6" s="1"/>
  <c r="AC664" i="6"/>
  <c r="Q664" i="6" s="1"/>
  <c r="V664" i="6" s="1"/>
  <c r="Z664" i="6" s="1"/>
  <c r="AC713" i="6"/>
  <c r="Q713" i="6" s="1"/>
  <c r="V713" i="6" s="1"/>
  <c r="X713" i="6" s="1"/>
  <c r="AC632" i="6"/>
  <c r="Q632" i="6" s="1"/>
  <c r="V632" i="6" s="1"/>
  <c r="U632" i="6" s="1"/>
  <c r="AC733" i="6"/>
  <c r="Q733" i="6" s="1"/>
  <c r="V733" i="6" s="1"/>
  <c r="Z733" i="6" s="1"/>
  <c r="AC840" i="6"/>
  <c r="Q840" i="6" s="1"/>
  <c r="V840" i="6" s="1"/>
  <c r="AC816" i="6"/>
  <c r="Q816" i="6" s="1"/>
  <c r="V816" i="6" s="1"/>
  <c r="Z816" i="6" s="1"/>
  <c r="AC739" i="6"/>
  <c r="Q739" i="6" s="1"/>
  <c r="V739" i="6" s="1"/>
  <c r="X739" i="6" s="1"/>
  <c r="AC729" i="6"/>
  <c r="Q729" i="6" s="1"/>
  <c r="V729" i="6" s="1"/>
  <c r="AC809" i="6"/>
  <c r="Q809" i="6" s="1"/>
  <c r="V809" i="6" s="1"/>
  <c r="X809" i="6" s="1"/>
  <c r="AC830" i="6"/>
  <c r="Q830" i="6" s="1"/>
  <c r="V830" i="6" s="1"/>
  <c r="Z830" i="6" s="1"/>
  <c r="AC838" i="6"/>
  <c r="Q838" i="6" s="1"/>
  <c r="V838" i="6" s="1"/>
  <c r="Z838" i="6" s="1"/>
  <c r="AC864" i="6"/>
  <c r="Q864" i="6" s="1"/>
  <c r="V864" i="6" s="1"/>
  <c r="Z864" i="6" s="1"/>
  <c r="AC852" i="6"/>
  <c r="Q852" i="6" s="1"/>
  <c r="V852" i="6" s="1"/>
  <c r="U852" i="6" s="1"/>
  <c r="AC600" i="6"/>
  <c r="Q600" i="6" s="1"/>
  <c r="V600" i="6" s="1"/>
  <c r="U600" i="6" s="1"/>
  <c r="AC799" i="6"/>
  <c r="Q799" i="6" s="1"/>
  <c r="V799" i="6" s="1"/>
  <c r="AC749" i="6"/>
  <c r="Q749" i="6" s="1"/>
  <c r="V749" i="6" s="1"/>
  <c r="AC651" i="6"/>
  <c r="Q651" i="6" s="1"/>
  <c r="V651" i="6" s="1"/>
  <c r="U651" i="6" s="1"/>
  <c r="AC623" i="6"/>
  <c r="Q623" i="6" s="1"/>
  <c r="V623" i="6" s="1"/>
  <c r="AC787" i="6"/>
  <c r="Q787" i="6" s="1"/>
  <c r="V787" i="6" s="1"/>
  <c r="AC851" i="6"/>
  <c r="Q851" i="6" s="1"/>
  <c r="V851" i="6" s="1"/>
  <c r="AC776" i="6"/>
  <c r="Q776" i="6" s="1"/>
  <c r="V776" i="6" s="1"/>
  <c r="AC743" i="6"/>
  <c r="Q743" i="6" s="1"/>
  <c r="V743" i="6" s="1"/>
  <c r="Z743" i="6" s="1"/>
  <c r="AC841" i="6"/>
  <c r="Q841" i="6" s="1"/>
  <c r="V841" i="6" s="1"/>
  <c r="Z841" i="6" s="1"/>
  <c r="AC741" i="6"/>
  <c r="Q741" i="6" s="1"/>
  <c r="V741" i="6" s="1"/>
  <c r="U741" i="6" s="1"/>
  <c r="AC675" i="6"/>
  <c r="Q675" i="6" s="1"/>
  <c r="V675" i="6" s="1"/>
  <c r="AC869" i="6"/>
  <c r="Q869" i="6" s="1"/>
  <c r="V869" i="6" s="1"/>
  <c r="U869" i="6" s="1"/>
  <c r="AC834" i="6"/>
  <c r="Q834" i="6" s="1"/>
  <c r="V834" i="6" s="1"/>
  <c r="Z834" i="6" s="1"/>
  <c r="AC860" i="6"/>
  <c r="Q860" i="6" s="1"/>
  <c r="V860" i="6" s="1"/>
  <c r="AC601" i="6"/>
  <c r="Q601" i="6" s="1"/>
  <c r="V601" i="6" s="1"/>
  <c r="U601" i="6" s="1"/>
  <c r="AC829" i="6"/>
  <c r="Q829" i="6" s="1"/>
  <c r="V829" i="6" s="1"/>
  <c r="AC674" i="6"/>
  <c r="Q674" i="6" s="1"/>
  <c r="V674" i="6" s="1"/>
  <c r="AC844" i="6"/>
  <c r="Q844" i="6" s="1"/>
  <c r="V844" i="6" s="1"/>
  <c r="AC665" i="6"/>
  <c r="Q665" i="6" s="1"/>
  <c r="V665" i="6" s="1"/>
  <c r="X665" i="6" s="1"/>
  <c r="AC781" i="6"/>
  <c r="Q781" i="6" s="1"/>
  <c r="V781" i="6" s="1"/>
  <c r="AC706" i="6"/>
  <c r="Q706" i="6" s="1"/>
  <c r="V706" i="6" s="1"/>
  <c r="AC761" i="6"/>
  <c r="Q761" i="6" s="1"/>
  <c r="V761" i="6" s="1"/>
  <c r="X761" i="6" s="1"/>
  <c r="AC832" i="6"/>
  <c r="Q832" i="6" s="1"/>
  <c r="V832" i="6" s="1"/>
  <c r="AC639" i="6"/>
  <c r="Q639" i="6" s="1"/>
  <c r="V639" i="6" s="1"/>
  <c r="AC836" i="6"/>
  <c r="Q836" i="6" s="1"/>
  <c r="V836" i="6" s="1"/>
  <c r="X836" i="6" s="1"/>
  <c r="AC827" i="6"/>
  <c r="Q827" i="6" s="1"/>
  <c r="V827" i="6" s="1"/>
  <c r="X827" i="6" s="1"/>
  <c r="AC767" i="6"/>
  <c r="Q767" i="6" s="1"/>
  <c r="V767" i="6" s="1"/>
  <c r="AC859" i="6"/>
  <c r="Q859" i="6" s="1"/>
  <c r="V859" i="6" s="1"/>
  <c r="AC647" i="6"/>
  <c r="Q647" i="6" s="1"/>
  <c r="V647" i="6" s="1"/>
  <c r="AC609" i="6"/>
  <c r="Q609" i="6" s="1"/>
  <c r="V609" i="6" s="1"/>
  <c r="AC649" i="6"/>
  <c r="Q649" i="6" s="1"/>
  <c r="V649" i="6" s="1"/>
  <c r="U649" i="6" s="1"/>
  <c r="AC795" i="6"/>
  <c r="Q795" i="6" s="1"/>
  <c r="V795" i="6" s="1"/>
  <c r="AC710" i="6"/>
  <c r="Q710" i="6" s="1"/>
  <c r="V710" i="6" s="1"/>
  <c r="AC701" i="6"/>
  <c r="Q701" i="6" s="1"/>
  <c r="V701" i="6" s="1"/>
  <c r="AC763" i="6"/>
  <c r="Q763" i="6" s="1"/>
  <c r="V763" i="6" s="1"/>
  <c r="AC821" i="6"/>
  <c r="Q821" i="6" s="1"/>
  <c r="V821" i="6" s="1"/>
  <c r="AC631" i="6"/>
  <c r="Q631" i="6" s="1"/>
  <c r="V631" i="6" s="1"/>
  <c r="AC793" i="6"/>
  <c r="Q793" i="6" s="1"/>
  <c r="V793" i="6" s="1"/>
  <c r="AC875" i="6"/>
  <c r="Q875" i="6" s="1"/>
  <c r="V875" i="6" s="1"/>
  <c r="AC863" i="6"/>
  <c r="Q863" i="6" s="1"/>
  <c r="V863" i="6" s="1"/>
  <c r="AC604" i="6"/>
  <c r="Q604" i="6" s="1"/>
  <c r="V604" i="6" s="1"/>
  <c r="AC822" i="6"/>
  <c r="Q822" i="6" s="1"/>
  <c r="V822" i="6" s="1"/>
  <c r="Z822" i="6" s="1"/>
  <c r="AC603" i="6"/>
  <c r="Q603" i="6" s="1"/>
  <c r="V603" i="6" s="1"/>
  <c r="X603" i="6" s="1"/>
  <c r="AC643" i="6"/>
  <c r="Q643" i="6" s="1"/>
  <c r="V643" i="6" s="1"/>
  <c r="Z643" i="6" s="1"/>
  <c r="AC677" i="6"/>
  <c r="Q677" i="6" s="1"/>
  <c r="V677" i="6" s="1"/>
  <c r="U677" i="6" s="1"/>
  <c r="AC668" i="6"/>
  <c r="Q668" i="6" s="1"/>
  <c r="V668" i="6" s="1"/>
  <c r="Z668" i="6" s="1"/>
  <c r="AC714" i="6"/>
  <c r="Q714" i="6" s="1"/>
  <c r="V714" i="6" s="1"/>
  <c r="Z714" i="6" s="1"/>
  <c r="AC616" i="6"/>
  <c r="Q616" i="6" s="1"/>
  <c r="V616" i="6" s="1"/>
  <c r="U616" i="6" s="1"/>
  <c r="AC672" i="6"/>
  <c r="Q672" i="6" s="1"/>
  <c r="V672" i="6" s="1"/>
  <c r="X672" i="6" s="1"/>
  <c r="AC790" i="6"/>
  <c r="Q790" i="6" s="1"/>
  <c r="V790" i="6" s="1"/>
  <c r="Z790" i="6" s="1"/>
  <c r="AC772" i="6"/>
  <c r="Q772" i="6" s="1"/>
  <c r="V772" i="6" s="1"/>
  <c r="U772" i="6" s="1"/>
  <c r="AC794" i="6"/>
  <c r="Q794" i="6" s="1"/>
  <c r="V794" i="6" s="1"/>
  <c r="AC805" i="6"/>
  <c r="Q805" i="6" s="1"/>
  <c r="V805" i="6" s="1"/>
  <c r="U805" i="6" s="1"/>
  <c r="AC627" i="6"/>
  <c r="Q627" i="6" s="1"/>
  <c r="V627" i="6" s="1"/>
  <c r="U627" i="6" s="1"/>
  <c r="AC856" i="6"/>
  <c r="Q856" i="6" s="1"/>
  <c r="V856" i="6" s="1"/>
  <c r="X856" i="6" s="1"/>
  <c r="AC815" i="6"/>
  <c r="Q815" i="6" s="1"/>
  <c r="V815" i="6" s="1"/>
  <c r="X815" i="6" s="1"/>
  <c r="AC886" i="6"/>
  <c r="Q886" i="6" s="1"/>
  <c r="V886" i="6" s="1"/>
  <c r="X886" i="6" s="1"/>
  <c r="AC597" i="6"/>
  <c r="Q597" i="6" s="1"/>
  <c r="V597" i="6" s="1"/>
  <c r="X597" i="6" s="1"/>
  <c r="AC731" i="6"/>
  <c r="Q731" i="6" s="1"/>
  <c r="V731" i="6" s="1"/>
  <c r="AC688" i="6"/>
  <c r="Q688" i="6" s="1"/>
  <c r="V688" i="6" s="1"/>
  <c r="U688" i="6" s="1"/>
  <c r="AC715" i="6"/>
  <c r="Q715" i="6" s="1"/>
  <c r="V715" i="6" s="1"/>
  <c r="U715" i="6" s="1"/>
  <c r="AC768" i="6"/>
  <c r="Q768" i="6" s="1"/>
  <c r="V768" i="6" s="1"/>
  <c r="AC695" i="6"/>
  <c r="Q695" i="6" s="1"/>
  <c r="V695" i="6" s="1"/>
  <c r="Z695" i="6" s="1"/>
  <c r="AC725" i="6"/>
  <c r="Q725" i="6" s="1"/>
  <c r="V725" i="6" s="1"/>
  <c r="U725" i="6" s="1"/>
  <c r="AC812" i="6"/>
  <c r="Q812" i="6" s="1"/>
  <c r="V812" i="6" s="1"/>
  <c r="X812" i="6" s="1"/>
  <c r="AC802" i="6"/>
  <c r="Q802" i="6" s="1"/>
  <c r="V802" i="6" s="1"/>
  <c r="AC801" i="6"/>
  <c r="Q801" i="6" s="1"/>
  <c r="V801" i="6" s="1"/>
  <c r="Z801" i="6" s="1"/>
  <c r="AC774" i="6"/>
  <c r="Q774" i="6" s="1"/>
  <c r="V774" i="6" s="1"/>
  <c r="Z774" i="6" s="1"/>
  <c r="AC878" i="6"/>
  <c r="Q878" i="6" s="1"/>
  <c r="V878" i="6" s="1"/>
  <c r="AC887" i="6"/>
  <c r="Q887" i="6" s="1"/>
  <c r="V887" i="6" s="1"/>
  <c r="U887" i="6" s="1"/>
  <c r="AC854" i="6"/>
  <c r="Q854" i="6" s="1"/>
  <c r="V854" i="6" s="1"/>
  <c r="U854" i="6" s="1"/>
  <c r="AC791" i="6"/>
  <c r="Q791" i="6" s="1"/>
  <c r="V791" i="6" s="1"/>
  <c r="X791" i="6" s="1"/>
  <c r="AC596" i="6"/>
  <c r="Q596" i="6" s="1"/>
  <c r="V596" i="6" s="1"/>
  <c r="Z596" i="6" s="1"/>
  <c r="AC624" i="6"/>
  <c r="Q624" i="6" s="1"/>
  <c r="V624" i="6" s="1"/>
  <c r="X624" i="6" s="1"/>
  <c r="AC738" i="6"/>
  <c r="Q738" i="6" s="1"/>
  <c r="V738" i="6" s="1"/>
  <c r="U738" i="6" s="1"/>
  <c r="AC658" i="6"/>
  <c r="Q658" i="6" s="1"/>
  <c r="V658" i="6" s="1"/>
  <c r="AC779" i="6"/>
  <c r="Q779" i="6" s="1"/>
  <c r="V779" i="6" s="1"/>
  <c r="AC755" i="6"/>
  <c r="Q755" i="6" s="1"/>
  <c r="V755" i="6" s="1"/>
  <c r="Z755" i="6" s="1"/>
  <c r="AC745" i="6"/>
  <c r="Q745" i="6" s="1"/>
  <c r="V745" i="6" s="1"/>
  <c r="X745" i="6" s="1"/>
  <c r="AC770" i="6"/>
  <c r="Q770" i="6" s="1"/>
  <c r="V770" i="6" s="1"/>
  <c r="X770" i="6" s="1"/>
  <c r="AC697" i="6"/>
  <c r="Q697" i="6" s="1"/>
  <c r="V697" i="6" s="1"/>
  <c r="X697" i="6" s="1"/>
  <c r="AC866" i="6"/>
  <c r="Q866" i="6" s="1"/>
  <c r="V866" i="6" s="1"/>
  <c r="AC751" i="6"/>
  <c r="Q751" i="6" s="1"/>
  <c r="V751" i="6" s="1"/>
  <c r="U751" i="6" s="1"/>
  <c r="C617" i="6"/>
  <c r="C593" i="6"/>
  <c r="C740" i="6"/>
  <c r="C722" i="6"/>
  <c r="C656" i="6"/>
  <c r="C736" i="6"/>
  <c r="C717" i="6"/>
  <c r="C707" i="6"/>
  <c r="C792" i="6"/>
  <c r="C769" i="6"/>
  <c r="C723" i="6"/>
  <c r="C796" i="6"/>
  <c r="C845" i="6"/>
  <c r="C870" i="6"/>
  <c r="C814" i="6"/>
  <c r="C622" i="6"/>
  <c r="C621" i="6"/>
  <c r="C618" i="6"/>
  <c r="C698" i="6"/>
  <c r="C757" i="6"/>
  <c r="C877" i="6"/>
  <c r="C804" i="6"/>
  <c r="AB533" i="6"/>
  <c r="AB537" i="6"/>
  <c r="AB538" i="6"/>
  <c r="AB549" i="6"/>
  <c r="AB553" i="6"/>
  <c r="AB554" i="6"/>
  <c r="AB565" i="6"/>
  <c r="AB569" i="6"/>
  <c r="AB570" i="6"/>
  <c r="AB581" i="6"/>
  <c r="AB585" i="6"/>
  <c r="AB586" i="6"/>
  <c r="AB617" i="6"/>
  <c r="AB593" i="6"/>
  <c r="AB740" i="6"/>
  <c r="AB736" i="6"/>
  <c r="AB717" i="6"/>
  <c r="AB769" i="6"/>
  <c r="AB845" i="6"/>
  <c r="AB870" i="6"/>
  <c r="AB698" i="6"/>
  <c r="AB757" i="6"/>
  <c r="S531" i="6"/>
  <c r="S532" i="6"/>
  <c r="S533" i="6"/>
  <c r="S534" i="6"/>
  <c r="S535" i="6"/>
  <c r="S536" i="6"/>
  <c r="S537" i="6"/>
  <c r="S538" i="6"/>
  <c r="S539" i="6"/>
  <c r="S540" i="6"/>
  <c r="S541" i="6"/>
  <c r="S542" i="6"/>
  <c r="S543" i="6"/>
  <c r="S544" i="6"/>
  <c r="S545" i="6"/>
  <c r="S546" i="6"/>
  <c r="S547" i="6"/>
  <c r="S548" i="6"/>
  <c r="S549" i="6"/>
  <c r="S550" i="6"/>
  <c r="S551" i="6"/>
  <c r="S552" i="6"/>
  <c r="S553" i="6"/>
  <c r="S554" i="6"/>
  <c r="S555" i="6"/>
  <c r="S556" i="6"/>
  <c r="S557" i="6"/>
  <c r="S558" i="6"/>
  <c r="S559" i="6"/>
  <c r="S560" i="6"/>
  <c r="S561" i="6"/>
  <c r="S562" i="6"/>
  <c r="S563" i="6"/>
  <c r="S564" i="6"/>
  <c r="S565" i="6"/>
  <c r="S566" i="6"/>
  <c r="S567" i="6"/>
  <c r="S568" i="6"/>
  <c r="S569" i="6"/>
  <c r="S570" i="6"/>
  <c r="S571" i="6"/>
  <c r="S572" i="6"/>
  <c r="S573" i="6"/>
  <c r="S574" i="6"/>
  <c r="S575" i="6"/>
  <c r="S576" i="6"/>
  <c r="S577" i="6"/>
  <c r="S578" i="6"/>
  <c r="S579" i="6"/>
  <c r="S580" i="6"/>
  <c r="S581" i="6"/>
  <c r="S582" i="6"/>
  <c r="S583" i="6"/>
  <c r="S584" i="6"/>
  <c r="S585" i="6"/>
  <c r="S586" i="6"/>
  <c r="S587" i="6"/>
  <c r="S588" i="6"/>
  <c r="S589" i="6"/>
  <c r="S617" i="6"/>
  <c r="S593" i="6"/>
  <c r="S740" i="6"/>
  <c r="S722" i="6"/>
  <c r="S656" i="6"/>
  <c r="S736" i="6"/>
  <c r="S717" i="6"/>
  <c r="S707" i="6"/>
  <c r="S792" i="6"/>
  <c r="S769" i="6"/>
  <c r="S723" i="6"/>
  <c r="S796" i="6"/>
  <c r="S845" i="6"/>
  <c r="S870" i="6"/>
  <c r="S814" i="6"/>
  <c r="S622" i="6"/>
  <c r="S621" i="6"/>
  <c r="S618" i="6"/>
  <c r="S698" i="6"/>
  <c r="S757" i="6"/>
  <c r="S877" i="6"/>
  <c r="S804" i="6"/>
  <c r="AA531" i="6"/>
  <c r="AA532" i="6"/>
  <c r="AA533" i="6"/>
  <c r="AA534" i="6"/>
  <c r="AA535" i="6"/>
  <c r="AA536" i="6"/>
  <c r="AA537" i="6"/>
  <c r="AA538" i="6"/>
  <c r="AA539" i="6"/>
  <c r="AA540" i="6"/>
  <c r="AA541" i="6"/>
  <c r="AA542" i="6"/>
  <c r="AA543" i="6"/>
  <c r="AA544" i="6"/>
  <c r="AA545" i="6"/>
  <c r="AA546" i="6"/>
  <c r="AA547" i="6"/>
  <c r="AA548" i="6"/>
  <c r="AA549" i="6"/>
  <c r="AA550" i="6"/>
  <c r="AA551" i="6"/>
  <c r="AA552" i="6"/>
  <c r="AA553" i="6"/>
  <c r="AA554" i="6"/>
  <c r="AA555" i="6"/>
  <c r="AA556" i="6"/>
  <c r="AA557" i="6"/>
  <c r="AA558" i="6"/>
  <c r="AA559" i="6"/>
  <c r="AA560" i="6"/>
  <c r="AA561" i="6"/>
  <c r="AA562" i="6"/>
  <c r="AA563" i="6"/>
  <c r="AA564" i="6"/>
  <c r="AA565" i="6"/>
  <c r="AA566" i="6"/>
  <c r="AA567" i="6"/>
  <c r="AA568" i="6"/>
  <c r="AA569" i="6"/>
  <c r="AA570" i="6"/>
  <c r="AA571" i="6"/>
  <c r="AA572" i="6"/>
  <c r="AA573" i="6"/>
  <c r="AA574" i="6"/>
  <c r="AA575" i="6"/>
  <c r="AA576" i="6"/>
  <c r="AA577" i="6"/>
  <c r="AA578" i="6"/>
  <c r="AA579" i="6"/>
  <c r="AA580" i="6"/>
  <c r="AA581" i="6"/>
  <c r="AA582" i="6"/>
  <c r="AA583" i="6"/>
  <c r="AA584" i="6"/>
  <c r="AA585" i="6"/>
  <c r="AA586" i="6"/>
  <c r="AA587" i="6"/>
  <c r="AA588" i="6"/>
  <c r="AA589" i="6"/>
  <c r="AA617" i="6"/>
  <c r="AA593" i="6"/>
  <c r="AA740" i="6"/>
  <c r="AA722" i="6"/>
  <c r="AA656" i="6"/>
  <c r="AA736" i="6"/>
  <c r="AA717" i="6"/>
  <c r="AA707" i="6"/>
  <c r="AA792" i="6"/>
  <c r="AA769" i="6"/>
  <c r="AA723" i="6"/>
  <c r="AA796" i="6"/>
  <c r="AA845" i="6"/>
  <c r="AA870" i="6"/>
  <c r="AA814" i="6"/>
  <c r="AA622" i="6"/>
  <c r="AA621" i="6"/>
  <c r="AA618" i="6"/>
  <c r="AA698" i="6"/>
  <c r="AA757" i="6"/>
  <c r="AA877" i="6"/>
  <c r="AA804" i="6"/>
  <c r="AC531" i="6"/>
  <c r="Q531" i="6" s="1"/>
  <c r="V531" i="6" s="1"/>
  <c r="AC532" i="6"/>
  <c r="Q532" i="6" s="1"/>
  <c r="V532" i="6" s="1"/>
  <c r="AC533" i="6"/>
  <c r="Q533" i="6" s="1"/>
  <c r="V533" i="6" s="1"/>
  <c r="AC534" i="6"/>
  <c r="Q534" i="6" s="1"/>
  <c r="V534" i="6" s="1"/>
  <c r="AC535" i="6"/>
  <c r="Q535" i="6" s="1"/>
  <c r="V535" i="6" s="1"/>
  <c r="AC536" i="6"/>
  <c r="Q536" i="6" s="1"/>
  <c r="V536" i="6" s="1"/>
  <c r="AC537" i="6"/>
  <c r="Q537" i="6" s="1"/>
  <c r="V537" i="6" s="1"/>
  <c r="AC538" i="6"/>
  <c r="Q538" i="6" s="1"/>
  <c r="V538" i="6" s="1"/>
  <c r="AC539" i="6"/>
  <c r="Q539" i="6" s="1"/>
  <c r="V539" i="6" s="1"/>
  <c r="AC540" i="6"/>
  <c r="Q540" i="6" s="1"/>
  <c r="V540" i="6" s="1"/>
  <c r="AC541" i="6"/>
  <c r="Q541" i="6" s="1"/>
  <c r="V541" i="6" s="1"/>
  <c r="AC542" i="6"/>
  <c r="Q542" i="6" s="1"/>
  <c r="V542" i="6" s="1"/>
  <c r="AC543" i="6"/>
  <c r="Q543" i="6" s="1"/>
  <c r="V543" i="6" s="1"/>
  <c r="AC544" i="6"/>
  <c r="Q544" i="6" s="1"/>
  <c r="V544" i="6" s="1"/>
  <c r="AC545" i="6"/>
  <c r="Q545" i="6" s="1"/>
  <c r="V545" i="6" s="1"/>
  <c r="AC546" i="6"/>
  <c r="Q546" i="6" s="1"/>
  <c r="V546" i="6" s="1"/>
  <c r="AC547" i="6"/>
  <c r="Q547" i="6" s="1"/>
  <c r="V547" i="6" s="1"/>
  <c r="AC548" i="6"/>
  <c r="Q548" i="6" s="1"/>
  <c r="V548" i="6" s="1"/>
  <c r="AC549" i="6"/>
  <c r="Q549" i="6" s="1"/>
  <c r="V549" i="6" s="1"/>
  <c r="AC550" i="6"/>
  <c r="Q550" i="6" s="1"/>
  <c r="V550" i="6" s="1"/>
  <c r="AC551" i="6"/>
  <c r="Q551" i="6" s="1"/>
  <c r="V551" i="6" s="1"/>
  <c r="AC552" i="6"/>
  <c r="Q552" i="6" s="1"/>
  <c r="V552" i="6" s="1"/>
  <c r="AC553" i="6"/>
  <c r="Q553" i="6" s="1"/>
  <c r="V553" i="6" s="1"/>
  <c r="AC554" i="6"/>
  <c r="Q554" i="6" s="1"/>
  <c r="V554" i="6" s="1"/>
  <c r="AC555" i="6"/>
  <c r="Q555" i="6" s="1"/>
  <c r="V555" i="6" s="1"/>
  <c r="AC556" i="6"/>
  <c r="Q556" i="6" s="1"/>
  <c r="V556" i="6" s="1"/>
  <c r="AC557" i="6"/>
  <c r="Q557" i="6" s="1"/>
  <c r="V557" i="6" s="1"/>
  <c r="AC558" i="6"/>
  <c r="Q558" i="6" s="1"/>
  <c r="V558" i="6" s="1"/>
  <c r="AC559" i="6"/>
  <c r="Q559" i="6" s="1"/>
  <c r="V559" i="6" s="1"/>
  <c r="AC560" i="6"/>
  <c r="Q560" i="6" s="1"/>
  <c r="V560" i="6" s="1"/>
  <c r="AC561" i="6"/>
  <c r="Q561" i="6" s="1"/>
  <c r="V561" i="6" s="1"/>
  <c r="AC562" i="6"/>
  <c r="Q562" i="6" s="1"/>
  <c r="V562" i="6" s="1"/>
  <c r="AC563" i="6"/>
  <c r="Q563" i="6" s="1"/>
  <c r="V563" i="6" s="1"/>
  <c r="AC564" i="6"/>
  <c r="Q564" i="6" s="1"/>
  <c r="V564" i="6" s="1"/>
  <c r="AC565" i="6"/>
  <c r="Q565" i="6" s="1"/>
  <c r="V565" i="6" s="1"/>
  <c r="AC566" i="6"/>
  <c r="Q566" i="6" s="1"/>
  <c r="V566" i="6" s="1"/>
  <c r="AC567" i="6"/>
  <c r="Q567" i="6" s="1"/>
  <c r="V567" i="6" s="1"/>
  <c r="AC568" i="6"/>
  <c r="Q568" i="6" s="1"/>
  <c r="V568" i="6" s="1"/>
  <c r="AC569" i="6"/>
  <c r="Q569" i="6" s="1"/>
  <c r="V569" i="6" s="1"/>
  <c r="AC570" i="6"/>
  <c r="Q570" i="6" s="1"/>
  <c r="V570" i="6" s="1"/>
  <c r="AC571" i="6"/>
  <c r="Q571" i="6" s="1"/>
  <c r="V571" i="6" s="1"/>
  <c r="AC572" i="6"/>
  <c r="Q572" i="6" s="1"/>
  <c r="V572" i="6" s="1"/>
  <c r="AC573" i="6"/>
  <c r="Q573" i="6" s="1"/>
  <c r="V573" i="6" s="1"/>
  <c r="AC574" i="6"/>
  <c r="Q574" i="6" s="1"/>
  <c r="V574" i="6" s="1"/>
  <c r="AC575" i="6"/>
  <c r="Q575" i="6" s="1"/>
  <c r="V575" i="6" s="1"/>
  <c r="AC576" i="6"/>
  <c r="Q576" i="6" s="1"/>
  <c r="V576" i="6" s="1"/>
  <c r="AC577" i="6"/>
  <c r="Q577" i="6" s="1"/>
  <c r="V577" i="6" s="1"/>
  <c r="AC578" i="6"/>
  <c r="Q578" i="6" s="1"/>
  <c r="V578" i="6" s="1"/>
  <c r="AC579" i="6"/>
  <c r="Q579" i="6" s="1"/>
  <c r="V579" i="6" s="1"/>
  <c r="AC580" i="6"/>
  <c r="Q580" i="6" s="1"/>
  <c r="V580" i="6" s="1"/>
  <c r="AC581" i="6"/>
  <c r="Q581" i="6" s="1"/>
  <c r="V581" i="6" s="1"/>
  <c r="AC582" i="6"/>
  <c r="Q582" i="6" s="1"/>
  <c r="V582" i="6" s="1"/>
  <c r="AC583" i="6"/>
  <c r="Q583" i="6" s="1"/>
  <c r="V583" i="6" s="1"/>
  <c r="AC584" i="6"/>
  <c r="Q584" i="6" s="1"/>
  <c r="V584" i="6" s="1"/>
  <c r="AC585" i="6"/>
  <c r="Q585" i="6" s="1"/>
  <c r="V585" i="6" s="1"/>
  <c r="AC586" i="6"/>
  <c r="Q586" i="6" s="1"/>
  <c r="V586" i="6" s="1"/>
  <c r="AC587" i="6"/>
  <c r="Q587" i="6" s="1"/>
  <c r="V587" i="6" s="1"/>
  <c r="AC588" i="6"/>
  <c r="Q588" i="6" s="1"/>
  <c r="V588" i="6" s="1"/>
  <c r="AC589" i="6"/>
  <c r="Q589" i="6" s="1"/>
  <c r="V589" i="6" s="1"/>
  <c r="AC617" i="6"/>
  <c r="Q617" i="6" s="1"/>
  <c r="V617" i="6" s="1"/>
  <c r="AC593" i="6"/>
  <c r="Q593" i="6" s="1"/>
  <c r="V593" i="6" s="1"/>
  <c r="AC740" i="6"/>
  <c r="Q740" i="6" s="1"/>
  <c r="V740" i="6" s="1"/>
  <c r="AC722" i="6"/>
  <c r="Q722" i="6" s="1"/>
  <c r="V722" i="6" s="1"/>
  <c r="Z722" i="6" s="1"/>
  <c r="AC656" i="6"/>
  <c r="Q656" i="6" s="1"/>
  <c r="V656" i="6" s="1"/>
  <c r="Z656" i="6" s="1"/>
  <c r="AC736" i="6"/>
  <c r="Q736" i="6" s="1"/>
  <c r="V736" i="6" s="1"/>
  <c r="AC717" i="6"/>
  <c r="Q717" i="6" s="1"/>
  <c r="V717" i="6" s="1"/>
  <c r="AC707" i="6"/>
  <c r="Q707" i="6" s="1"/>
  <c r="V707" i="6" s="1"/>
  <c r="AC792" i="6"/>
  <c r="Q792" i="6" s="1"/>
  <c r="V792" i="6" s="1"/>
  <c r="AC769" i="6"/>
  <c r="Q769" i="6" s="1"/>
  <c r="V769" i="6" s="1"/>
  <c r="Z769" i="6" s="1"/>
  <c r="AC723" i="6"/>
  <c r="Q723" i="6" s="1"/>
  <c r="V723" i="6" s="1"/>
  <c r="X723" i="6" s="1"/>
  <c r="AC796" i="6"/>
  <c r="Q796" i="6" s="1"/>
  <c r="V796" i="6" s="1"/>
  <c r="X796" i="6" s="1"/>
  <c r="AC845" i="6"/>
  <c r="Q845" i="6" s="1"/>
  <c r="V845" i="6" s="1"/>
  <c r="AC870" i="6"/>
  <c r="Q870" i="6" s="1"/>
  <c r="V870" i="6" s="1"/>
  <c r="U870" i="6" s="1"/>
  <c r="AC814" i="6"/>
  <c r="Q814" i="6" s="1"/>
  <c r="V814" i="6" s="1"/>
  <c r="AC622" i="6"/>
  <c r="Q622" i="6" s="1"/>
  <c r="V622" i="6" s="1"/>
  <c r="U622" i="6" s="1"/>
  <c r="AC621" i="6"/>
  <c r="Q621" i="6" s="1"/>
  <c r="V621" i="6" s="1"/>
  <c r="X621" i="6" s="1"/>
  <c r="AC618" i="6"/>
  <c r="Q618" i="6" s="1"/>
  <c r="V618" i="6" s="1"/>
  <c r="AC698" i="6"/>
  <c r="Q698" i="6" s="1"/>
  <c r="V698" i="6" s="1"/>
  <c r="AC757" i="6"/>
  <c r="Q757" i="6" s="1"/>
  <c r="V757" i="6" s="1"/>
  <c r="AC877" i="6"/>
  <c r="Q877" i="6" s="1"/>
  <c r="V877" i="6" s="1"/>
  <c r="AC804" i="6"/>
  <c r="Q804" i="6" s="1"/>
  <c r="V804" i="6" s="1"/>
  <c r="U804" i="6" s="1"/>
  <c r="N415" i="21"/>
  <c r="N534" i="21"/>
  <c r="N535" i="21"/>
  <c r="N15" i="21"/>
  <c r="N236" i="21"/>
  <c r="N41" i="21"/>
  <c r="AJ2" i="13" l="1"/>
  <c r="AJ3" i="13"/>
  <c r="AJ4" i="13"/>
  <c r="AJ5" i="13"/>
  <c r="AJ6" i="13"/>
  <c r="AJ7" i="13"/>
  <c r="AJ9" i="13"/>
  <c r="AJ11" i="13"/>
  <c r="AJ8" i="13"/>
  <c r="AJ10" i="13"/>
  <c r="U939" i="6"/>
  <c r="X939" i="6"/>
  <c r="X940" i="6"/>
  <c r="U940" i="6"/>
  <c r="U888" i="6"/>
  <c r="Z888" i="6"/>
  <c r="X901" i="6"/>
  <c r="Z901" i="6"/>
  <c r="V1004" i="6"/>
  <c r="Y536" i="21"/>
  <c r="Z597" i="6"/>
  <c r="X611" i="6"/>
  <c r="Z611" i="6"/>
  <c r="U697" i="6"/>
  <c r="U745" i="6"/>
  <c r="U856" i="6"/>
  <c r="X806" i="6"/>
  <c r="X673" i="6"/>
  <c r="X643" i="6"/>
  <c r="Z697" i="6"/>
  <c r="Z745" i="6"/>
  <c r="Z856" i="6"/>
  <c r="Z608" i="6"/>
  <c r="Z761" i="6"/>
  <c r="U641" i="6"/>
  <c r="U608" i="6"/>
  <c r="U643" i="6"/>
  <c r="Z641" i="6"/>
  <c r="U724" i="6"/>
  <c r="U676" i="6"/>
  <c r="U834" i="6"/>
  <c r="X635" i="6"/>
  <c r="U744" i="6"/>
  <c r="X629" i="6"/>
  <c r="X724" i="6"/>
  <c r="X676" i="6"/>
  <c r="X742" i="6"/>
  <c r="X664" i="6"/>
  <c r="X834" i="6"/>
  <c r="X622" i="6"/>
  <c r="Z635" i="6"/>
  <c r="U668" i="6"/>
  <c r="X685" i="6"/>
  <c r="X668" i="6"/>
  <c r="X744" i="6"/>
  <c r="Z622" i="6"/>
  <c r="U685" i="6"/>
  <c r="U836" i="6"/>
  <c r="U830" i="6"/>
  <c r="U642" i="6"/>
  <c r="X718" i="6"/>
  <c r="X642" i="6"/>
  <c r="X656" i="6"/>
  <c r="Z836" i="6"/>
  <c r="Z868" i="6"/>
  <c r="X823" i="6"/>
  <c r="X848" i="6"/>
  <c r="Z720" i="6"/>
  <c r="Z718" i="6"/>
  <c r="U823" i="6"/>
  <c r="X830" i="6"/>
  <c r="Z848" i="6"/>
  <c r="X801" i="6"/>
  <c r="X695" i="6"/>
  <c r="U822" i="6"/>
  <c r="U605" i="6"/>
  <c r="U624" i="6"/>
  <c r="U774" i="6"/>
  <c r="X774" i="6"/>
  <c r="Z624" i="6"/>
  <c r="Z739" i="6"/>
  <c r="X765" i="6"/>
  <c r="Z765" i="6"/>
  <c r="Z665" i="6"/>
  <c r="U818" i="6"/>
  <c r="U657" i="6"/>
  <c r="X646" i="6"/>
  <c r="X822" i="6"/>
  <c r="X730" i="6"/>
  <c r="Z605" i="6"/>
  <c r="X818" i="6"/>
  <c r="X657" i="6"/>
  <c r="U603" i="6"/>
  <c r="U883" i="6"/>
  <c r="X855" i="6"/>
  <c r="Z699" i="6"/>
  <c r="Z621" i="6"/>
  <c r="U699" i="6"/>
  <c r="U758" i="6"/>
  <c r="U798" i="6"/>
  <c r="U784" i="6"/>
  <c r="U621" i="6"/>
  <c r="X784" i="6"/>
  <c r="Z687" i="6"/>
  <c r="Z758" i="6"/>
  <c r="Z619" i="6"/>
  <c r="Z603" i="6"/>
  <c r="Z883" i="6"/>
  <c r="Z815" i="6"/>
  <c r="Z796" i="6"/>
  <c r="U855" i="6"/>
  <c r="U790" i="6"/>
  <c r="U838" i="6"/>
  <c r="X813" i="6"/>
  <c r="X595" i="6"/>
  <c r="X790" i="6"/>
  <c r="Z702" i="6"/>
  <c r="U659" i="6"/>
  <c r="U734" i="6"/>
  <c r="U864" i="6"/>
  <c r="X659" i="6"/>
  <c r="X734" i="6"/>
  <c r="X864" i="6"/>
  <c r="X714" i="6"/>
  <c r="X838" i="6"/>
  <c r="U743" i="6"/>
  <c r="U722" i="6"/>
  <c r="X743" i="6"/>
  <c r="U719" i="6"/>
  <c r="U733" i="6"/>
  <c r="X847" i="6"/>
  <c r="X748" i="6"/>
  <c r="X837" i="6"/>
  <c r="X733" i="6"/>
  <c r="Z719" i="6"/>
  <c r="Z827" i="6"/>
  <c r="U847" i="6"/>
  <c r="U827" i="6"/>
  <c r="X817" i="6"/>
  <c r="U613" i="6"/>
  <c r="U756" i="6"/>
  <c r="U816" i="6"/>
  <c r="X613" i="6"/>
  <c r="X756" i="6"/>
  <c r="X816" i="6"/>
  <c r="X786" i="6"/>
  <c r="Z786" i="6"/>
  <c r="U630" i="6"/>
  <c r="U679" i="6"/>
  <c r="U857" i="6"/>
  <c r="X679" i="6"/>
  <c r="Z857" i="6"/>
  <c r="Z672" i="6"/>
  <c r="U770" i="6"/>
  <c r="X591" i="6"/>
  <c r="Z630" i="6"/>
  <c r="Z594" i="6"/>
  <c r="Z770" i="6"/>
  <c r="Z791" i="6"/>
  <c r="Z886" i="6"/>
  <c r="Z616" i="6"/>
  <c r="U791" i="6"/>
  <c r="U672" i="6"/>
  <c r="U886" i="6"/>
  <c r="X616" i="6"/>
  <c r="Z591" i="6"/>
  <c r="X590" i="6"/>
  <c r="Z590" i="6"/>
  <c r="U884" i="6"/>
  <c r="U819" i="6"/>
  <c r="U669" i="6"/>
  <c r="U809" i="6"/>
  <c r="X810" i="6"/>
  <c r="X755" i="6"/>
  <c r="X596" i="6"/>
  <c r="X769" i="6"/>
  <c r="Z669" i="6"/>
  <c r="Z809" i="6"/>
  <c r="U755" i="6"/>
  <c r="U596" i="6"/>
  <c r="X819" i="6"/>
  <c r="Z644" i="6"/>
  <c r="Z825" i="6"/>
  <c r="Z713" i="6"/>
  <c r="U810" i="6"/>
  <c r="U636" i="6"/>
  <c r="U713" i="6"/>
  <c r="X841" i="6"/>
  <c r="X804" i="6"/>
  <c r="X632" i="6"/>
  <c r="X705" i="6"/>
  <c r="Z862" i="6"/>
  <c r="Z746" i="6"/>
  <c r="Z738" i="6"/>
  <c r="Z715" i="6"/>
  <c r="Z610" i="6"/>
  <c r="X874" i="6"/>
  <c r="Z804" i="6"/>
  <c r="Z632" i="6"/>
  <c r="X741" i="6"/>
  <c r="Z874" i="6"/>
  <c r="X862" i="6"/>
  <c r="X746" i="6"/>
  <c r="X738" i="6"/>
  <c r="X715" i="6"/>
  <c r="X610" i="6"/>
  <c r="Z741" i="6"/>
  <c r="V853" i="6"/>
  <c r="Y534" i="21"/>
  <c r="Y535" i="21"/>
  <c r="AC484" i="6"/>
  <c r="Q484" i="6" s="1"/>
  <c r="V484" i="6" s="1"/>
  <c r="AA484" i="6"/>
  <c r="S484" i="6"/>
  <c r="AB484" i="6"/>
  <c r="C680" i="6"/>
  <c r="C843" i="6"/>
  <c r="C660" i="6"/>
  <c r="C783" i="6"/>
  <c r="C692" i="6"/>
  <c r="AB485" i="6"/>
  <c r="AB486" i="6"/>
  <c r="AB487" i="6"/>
  <c r="AB488" i="6"/>
  <c r="AB489" i="6"/>
  <c r="AB490" i="6"/>
  <c r="AB491" i="6"/>
  <c r="AB492" i="6"/>
  <c r="AB493" i="6"/>
  <c r="AB494" i="6"/>
  <c r="AB495" i="6"/>
  <c r="AB496" i="6"/>
  <c r="AB497" i="6"/>
  <c r="AB498" i="6"/>
  <c r="AB499" i="6"/>
  <c r="AB500" i="6"/>
  <c r="AB501" i="6"/>
  <c r="AB502" i="6"/>
  <c r="AB503" i="6"/>
  <c r="AB504" i="6"/>
  <c r="AB505" i="6"/>
  <c r="AB506" i="6"/>
  <c r="AB507" i="6"/>
  <c r="AB508" i="6"/>
  <c r="AB509" i="6"/>
  <c r="AB510" i="6"/>
  <c r="AB511" i="6"/>
  <c r="AB512" i="6"/>
  <c r="AB513" i="6"/>
  <c r="AB514" i="6"/>
  <c r="AB515" i="6"/>
  <c r="AB516" i="6"/>
  <c r="AB517" i="6"/>
  <c r="AB518" i="6"/>
  <c r="AB519" i="6"/>
  <c r="AB520" i="6"/>
  <c r="AB521" i="6"/>
  <c r="AB522" i="6"/>
  <c r="AB523" i="6"/>
  <c r="AB524" i="6"/>
  <c r="AB525" i="6"/>
  <c r="AB526" i="6"/>
  <c r="AB527" i="6"/>
  <c r="AB528" i="6"/>
  <c r="AB529" i="6"/>
  <c r="AB530" i="6"/>
  <c r="AB680" i="6"/>
  <c r="AB843" i="6"/>
  <c r="AB660" i="6"/>
  <c r="AB783" i="6"/>
  <c r="AB692" i="6"/>
  <c r="S485" i="6"/>
  <c r="S486" i="6"/>
  <c r="S487" i="6"/>
  <c r="S488" i="6"/>
  <c r="S489" i="6"/>
  <c r="S490" i="6"/>
  <c r="S491" i="6"/>
  <c r="S492" i="6"/>
  <c r="S493" i="6"/>
  <c r="S494" i="6"/>
  <c r="S495" i="6"/>
  <c r="S496" i="6"/>
  <c r="S497" i="6"/>
  <c r="S498" i="6"/>
  <c r="S499" i="6"/>
  <c r="S500" i="6"/>
  <c r="S501" i="6"/>
  <c r="S502" i="6"/>
  <c r="S503" i="6"/>
  <c r="S504" i="6"/>
  <c r="S505" i="6"/>
  <c r="S506" i="6"/>
  <c r="S507" i="6"/>
  <c r="S508" i="6"/>
  <c r="S509" i="6"/>
  <c r="S510" i="6"/>
  <c r="S511" i="6"/>
  <c r="S512" i="6"/>
  <c r="S513" i="6"/>
  <c r="S514" i="6"/>
  <c r="S515" i="6"/>
  <c r="S516" i="6"/>
  <c r="S517" i="6"/>
  <c r="S518" i="6"/>
  <c r="S519" i="6"/>
  <c r="S520" i="6"/>
  <c r="S521" i="6"/>
  <c r="S522" i="6"/>
  <c r="S523" i="6"/>
  <c r="S524" i="6"/>
  <c r="S525" i="6"/>
  <c r="S526" i="6"/>
  <c r="S527" i="6"/>
  <c r="S528" i="6"/>
  <c r="S529" i="6"/>
  <c r="S530" i="6"/>
  <c r="S680" i="6"/>
  <c r="S843" i="6"/>
  <c r="S660" i="6"/>
  <c r="S783" i="6"/>
  <c r="S692" i="6"/>
  <c r="AA485" i="6"/>
  <c r="AA486" i="6"/>
  <c r="AA487" i="6"/>
  <c r="AA488" i="6"/>
  <c r="AA489" i="6"/>
  <c r="AA490" i="6"/>
  <c r="AA491" i="6"/>
  <c r="AA492" i="6"/>
  <c r="AA493" i="6"/>
  <c r="AA494" i="6"/>
  <c r="AA495" i="6"/>
  <c r="AA496" i="6"/>
  <c r="AA497" i="6"/>
  <c r="AA498" i="6"/>
  <c r="AA499" i="6"/>
  <c r="AA500" i="6"/>
  <c r="AA501" i="6"/>
  <c r="AA502" i="6"/>
  <c r="AA503" i="6"/>
  <c r="AA504" i="6"/>
  <c r="AA505" i="6"/>
  <c r="AA506" i="6"/>
  <c r="AA507" i="6"/>
  <c r="AA508" i="6"/>
  <c r="AA509" i="6"/>
  <c r="AA510" i="6"/>
  <c r="AA511" i="6"/>
  <c r="AA512" i="6"/>
  <c r="AA513" i="6"/>
  <c r="AA514" i="6"/>
  <c r="AA515" i="6"/>
  <c r="AA516" i="6"/>
  <c r="AA517" i="6"/>
  <c r="AA518" i="6"/>
  <c r="AA519" i="6"/>
  <c r="AA520" i="6"/>
  <c r="AA521" i="6"/>
  <c r="AA522" i="6"/>
  <c r="AA523" i="6"/>
  <c r="AA524" i="6"/>
  <c r="AA525" i="6"/>
  <c r="AA526" i="6"/>
  <c r="AA527" i="6"/>
  <c r="AA528" i="6"/>
  <c r="AA529" i="6"/>
  <c r="AA530" i="6"/>
  <c r="AA680" i="6"/>
  <c r="AA843" i="6"/>
  <c r="AA660" i="6"/>
  <c r="AA783" i="6"/>
  <c r="AA692" i="6"/>
  <c r="AC485" i="6"/>
  <c r="Q485" i="6" s="1"/>
  <c r="V485" i="6" s="1"/>
  <c r="AC486" i="6"/>
  <c r="Q486" i="6" s="1"/>
  <c r="V486" i="6" s="1"/>
  <c r="AC487" i="6"/>
  <c r="Q487" i="6" s="1"/>
  <c r="V487" i="6" s="1"/>
  <c r="AC488" i="6"/>
  <c r="Q488" i="6" s="1"/>
  <c r="AC489" i="6"/>
  <c r="Q489" i="6" s="1"/>
  <c r="V489" i="6" s="1"/>
  <c r="AC490" i="6"/>
  <c r="Q490" i="6" s="1"/>
  <c r="AC491" i="6"/>
  <c r="Q491" i="6" s="1"/>
  <c r="V491" i="6" s="1"/>
  <c r="AC492" i="6"/>
  <c r="Q492" i="6" s="1"/>
  <c r="AC493" i="6"/>
  <c r="Q493" i="6" s="1"/>
  <c r="AC494" i="6"/>
  <c r="Q494" i="6" s="1"/>
  <c r="AC495" i="6"/>
  <c r="Q495" i="6" s="1"/>
  <c r="V495" i="6" s="1"/>
  <c r="AC496" i="6"/>
  <c r="Q496" i="6" s="1"/>
  <c r="V496" i="6" s="1"/>
  <c r="AC497" i="6"/>
  <c r="Q497" i="6" s="1"/>
  <c r="AC498" i="6"/>
  <c r="Q498" i="6" s="1"/>
  <c r="AC499" i="6"/>
  <c r="Q499" i="6" s="1"/>
  <c r="AC500" i="6"/>
  <c r="Q500" i="6" s="1"/>
  <c r="V500" i="6" s="1"/>
  <c r="AC501" i="6"/>
  <c r="Q501" i="6" s="1"/>
  <c r="AC502" i="6"/>
  <c r="Q502" i="6" s="1"/>
  <c r="V502" i="6" s="1"/>
  <c r="AC503" i="6"/>
  <c r="Q503" i="6" s="1"/>
  <c r="V503" i="6" s="1"/>
  <c r="AC504" i="6"/>
  <c r="Q504" i="6" s="1"/>
  <c r="AC505" i="6"/>
  <c r="Q505" i="6" s="1"/>
  <c r="AC506" i="6"/>
  <c r="Q506" i="6" s="1"/>
  <c r="AC507" i="6"/>
  <c r="Q507" i="6" s="1"/>
  <c r="V507" i="6" s="1"/>
  <c r="AC508" i="6"/>
  <c r="Q508" i="6" s="1"/>
  <c r="V508" i="6" s="1"/>
  <c r="AC509" i="6"/>
  <c r="Q509" i="6" s="1"/>
  <c r="AC510" i="6"/>
  <c r="Q510" i="6" s="1"/>
  <c r="AC511" i="6"/>
  <c r="Q511" i="6" s="1"/>
  <c r="AC512" i="6"/>
  <c r="Q512" i="6" s="1"/>
  <c r="V512" i="6" s="1"/>
  <c r="AC513" i="6"/>
  <c r="Q513" i="6" s="1"/>
  <c r="V513" i="6" s="1"/>
  <c r="AC514" i="6"/>
  <c r="Q514" i="6" s="1"/>
  <c r="V514" i="6" s="1"/>
  <c r="AC515" i="6"/>
  <c r="Q515" i="6" s="1"/>
  <c r="AC516" i="6"/>
  <c r="Q516" i="6" s="1"/>
  <c r="AC517" i="6"/>
  <c r="Q517" i="6" s="1"/>
  <c r="AC518" i="6"/>
  <c r="Q518" i="6" s="1"/>
  <c r="AC519" i="6"/>
  <c r="Q519" i="6" s="1"/>
  <c r="AC520" i="6"/>
  <c r="Q520" i="6" s="1"/>
  <c r="AC521" i="6"/>
  <c r="Q521" i="6" s="1"/>
  <c r="AC522" i="6"/>
  <c r="Q522" i="6" s="1"/>
  <c r="V522" i="6" s="1"/>
  <c r="AC523" i="6"/>
  <c r="Q523" i="6" s="1"/>
  <c r="AC524" i="6"/>
  <c r="Q524" i="6" s="1"/>
  <c r="V524" i="6" s="1"/>
  <c r="AC525" i="6"/>
  <c r="Q525" i="6" s="1"/>
  <c r="AC526" i="6"/>
  <c r="Q526" i="6" s="1"/>
  <c r="AC527" i="6"/>
  <c r="Q527" i="6" s="1"/>
  <c r="V527" i="6" s="1"/>
  <c r="AC528" i="6"/>
  <c r="Q528" i="6" s="1"/>
  <c r="V528" i="6" s="1"/>
  <c r="AC529" i="6"/>
  <c r="Q529" i="6" s="1"/>
  <c r="V529" i="6" s="1"/>
  <c r="AC530" i="6"/>
  <c r="Q530" i="6" s="1"/>
  <c r="AC680" i="6"/>
  <c r="Q680" i="6" s="1"/>
  <c r="V680" i="6" s="1"/>
  <c r="U680" i="6" s="1"/>
  <c r="AC843" i="6"/>
  <c r="Q843" i="6" s="1"/>
  <c r="V843" i="6" s="1"/>
  <c r="AC660" i="6"/>
  <c r="Q660" i="6" s="1"/>
  <c r="V660" i="6" s="1"/>
  <c r="AC783" i="6"/>
  <c r="Q783" i="6" s="1"/>
  <c r="V783" i="6" s="1"/>
  <c r="AC692" i="6"/>
  <c r="Q692" i="6" s="1"/>
  <c r="V692" i="6" s="1"/>
  <c r="E382" i="21"/>
  <c r="E275" i="21"/>
  <c r="E208" i="21"/>
  <c r="E198" i="21"/>
  <c r="E172" i="21"/>
  <c r="E20" i="21"/>
  <c r="E51" i="21"/>
  <c r="E52" i="21"/>
  <c r="E80" i="21"/>
  <c r="E53" i="21"/>
  <c r="E522" i="21"/>
  <c r="E523" i="21"/>
  <c r="E524" i="21"/>
  <c r="E525" i="21"/>
  <c r="E526" i="21"/>
  <c r="E527" i="21"/>
  <c r="E528" i="21"/>
  <c r="E529" i="21"/>
  <c r="E530" i="21"/>
  <c r="E531" i="21"/>
  <c r="E532" i="21"/>
  <c r="E533" i="21"/>
  <c r="I382" i="21"/>
  <c r="I275" i="21"/>
  <c r="I208" i="21"/>
  <c r="I198" i="21"/>
  <c r="I172" i="21"/>
  <c r="I20" i="21"/>
  <c r="I51" i="21"/>
  <c r="I52" i="21"/>
  <c r="I80" i="21"/>
  <c r="I53" i="21"/>
  <c r="I522" i="21"/>
  <c r="I523" i="21"/>
  <c r="I524" i="21"/>
  <c r="I525" i="21"/>
  <c r="I526" i="21"/>
  <c r="I527" i="21"/>
  <c r="I528" i="21"/>
  <c r="I529" i="21"/>
  <c r="I530" i="21"/>
  <c r="I531" i="21"/>
  <c r="I532" i="21"/>
  <c r="I533" i="21"/>
  <c r="O382" i="21"/>
  <c r="O275" i="21"/>
  <c r="O208" i="21"/>
  <c r="O198" i="21"/>
  <c r="O172" i="21"/>
  <c r="O20" i="21"/>
  <c r="O51" i="21"/>
  <c r="O52" i="21"/>
  <c r="O80" i="21"/>
  <c r="O53" i="21"/>
  <c r="O522" i="21"/>
  <c r="O523" i="21"/>
  <c r="O524" i="21"/>
  <c r="O525" i="21"/>
  <c r="O526" i="21"/>
  <c r="O527" i="21"/>
  <c r="O528" i="21"/>
  <c r="O529" i="21"/>
  <c r="O530" i="21"/>
  <c r="O531" i="21"/>
  <c r="O532" i="21"/>
  <c r="O533" i="21"/>
  <c r="P382" i="21"/>
  <c r="P275" i="21"/>
  <c r="P208" i="21"/>
  <c r="P198" i="21"/>
  <c r="P172" i="21"/>
  <c r="P20" i="21"/>
  <c r="P51" i="21"/>
  <c r="P52" i="21"/>
  <c r="P80" i="21"/>
  <c r="P53" i="21"/>
  <c r="P522" i="21"/>
  <c r="P523" i="21"/>
  <c r="P524" i="21"/>
  <c r="P525" i="21"/>
  <c r="P526" i="21"/>
  <c r="P527" i="21"/>
  <c r="P528" i="21"/>
  <c r="P529" i="21"/>
  <c r="P530" i="21"/>
  <c r="P531" i="21"/>
  <c r="P532" i="21"/>
  <c r="P533" i="21"/>
  <c r="Q382" i="21"/>
  <c r="Q275" i="21"/>
  <c r="Q208" i="21"/>
  <c r="Q198" i="21"/>
  <c r="Q172" i="21"/>
  <c r="Q20" i="21"/>
  <c r="Q51" i="21"/>
  <c r="Q52" i="21"/>
  <c r="Q80" i="21"/>
  <c r="Q53" i="21"/>
  <c r="Q522" i="21"/>
  <c r="Q523" i="21"/>
  <c r="Q524" i="21"/>
  <c r="Q525" i="21"/>
  <c r="Q526" i="21"/>
  <c r="Q527" i="21"/>
  <c r="Q528" i="21"/>
  <c r="Q529" i="21"/>
  <c r="Q530" i="21"/>
  <c r="Q531" i="21"/>
  <c r="Q532" i="21"/>
  <c r="Q533" i="21"/>
  <c r="R382" i="21"/>
  <c r="R275" i="21"/>
  <c r="R208" i="21"/>
  <c r="R198" i="21"/>
  <c r="R172" i="21"/>
  <c r="R20" i="21"/>
  <c r="R51" i="21"/>
  <c r="R52" i="21"/>
  <c r="R80" i="21"/>
  <c r="R53" i="21"/>
  <c r="R522" i="21"/>
  <c r="R523" i="21"/>
  <c r="R524" i="21"/>
  <c r="R525" i="21"/>
  <c r="R526" i="21"/>
  <c r="R527" i="21"/>
  <c r="R528" i="21"/>
  <c r="R529" i="21"/>
  <c r="R530" i="21"/>
  <c r="R531" i="21"/>
  <c r="R532" i="21"/>
  <c r="R533" i="21"/>
  <c r="S382" i="21"/>
  <c r="S275" i="21"/>
  <c r="S208" i="21"/>
  <c r="S198" i="21"/>
  <c r="S172" i="21"/>
  <c r="S20" i="21"/>
  <c r="S51" i="21"/>
  <c r="S52" i="21"/>
  <c r="S80" i="21"/>
  <c r="S53" i="21"/>
  <c r="S522" i="21"/>
  <c r="S523" i="21"/>
  <c r="S524" i="21"/>
  <c r="S525" i="21"/>
  <c r="S526" i="21"/>
  <c r="S527" i="21"/>
  <c r="S528" i="21"/>
  <c r="S529" i="21"/>
  <c r="S530" i="21"/>
  <c r="S531" i="21"/>
  <c r="S532" i="21"/>
  <c r="S533" i="21"/>
  <c r="T382" i="21"/>
  <c r="T275" i="21"/>
  <c r="T208" i="21"/>
  <c r="T198" i="21"/>
  <c r="T172" i="21"/>
  <c r="T20" i="21"/>
  <c r="T51" i="21"/>
  <c r="T52" i="21"/>
  <c r="T80" i="21"/>
  <c r="T53" i="21"/>
  <c r="T522" i="21"/>
  <c r="T523" i="21"/>
  <c r="T524" i="21"/>
  <c r="T525" i="21"/>
  <c r="T526" i="21"/>
  <c r="T527" i="21"/>
  <c r="T528" i="21"/>
  <c r="T529" i="21"/>
  <c r="T530" i="21"/>
  <c r="T531" i="21"/>
  <c r="T532" i="21"/>
  <c r="T533" i="21"/>
  <c r="U382" i="21"/>
  <c r="U275" i="21"/>
  <c r="U208" i="21"/>
  <c r="U198" i="21"/>
  <c r="U172" i="21"/>
  <c r="U20" i="21"/>
  <c r="U51" i="21"/>
  <c r="U52" i="21"/>
  <c r="U80" i="21"/>
  <c r="U53" i="21"/>
  <c r="U522" i="21"/>
  <c r="U523" i="21"/>
  <c r="U524" i="21"/>
  <c r="U525" i="21"/>
  <c r="U526" i="21"/>
  <c r="U527" i="21"/>
  <c r="U528" i="21"/>
  <c r="U529" i="21"/>
  <c r="U530" i="21"/>
  <c r="U531" i="21"/>
  <c r="U532" i="21"/>
  <c r="U533" i="21"/>
  <c r="V382" i="21"/>
  <c r="V275" i="21"/>
  <c r="V208" i="21"/>
  <c r="V198" i="21"/>
  <c r="V172" i="21"/>
  <c r="V20" i="21"/>
  <c r="V51" i="21"/>
  <c r="V52" i="21"/>
  <c r="V80" i="21"/>
  <c r="V53" i="21"/>
  <c r="V522" i="21"/>
  <c r="V523" i="21"/>
  <c r="V524" i="21"/>
  <c r="V525" i="21"/>
  <c r="V526" i="21"/>
  <c r="V527" i="21"/>
  <c r="V528" i="21"/>
  <c r="V529" i="21"/>
  <c r="V530" i="21"/>
  <c r="V531" i="21"/>
  <c r="V532" i="21"/>
  <c r="V533" i="21"/>
  <c r="W382" i="21"/>
  <c r="W275" i="21"/>
  <c r="W208" i="21"/>
  <c r="W198" i="21"/>
  <c r="W172" i="21"/>
  <c r="W20" i="21"/>
  <c r="W51" i="21"/>
  <c r="W52" i="21"/>
  <c r="W80" i="21"/>
  <c r="W53" i="21"/>
  <c r="W522" i="21"/>
  <c r="W523" i="21"/>
  <c r="W524" i="21"/>
  <c r="W525" i="21"/>
  <c r="W526" i="21"/>
  <c r="W527" i="21"/>
  <c r="W528" i="21"/>
  <c r="W529" i="21"/>
  <c r="W530" i="21"/>
  <c r="W531" i="21"/>
  <c r="W532" i="21"/>
  <c r="W533" i="21"/>
  <c r="X382" i="21"/>
  <c r="X275" i="21"/>
  <c r="X208" i="21"/>
  <c r="X198" i="21"/>
  <c r="X172" i="21"/>
  <c r="X20" i="21"/>
  <c r="X51" i="21"/>
  <c r="X52" i="21"/>
  <c r="X80" i="21"/>
  <c r="X53" i="21"/>
  <c r="X522" i="21"/>
  <c r="X523" i="21"/>
  <c r="X524" i="21"/>
  <c r="X525" i="21"/>
  <c r="X526" i="21"/>
  <c r="X527" i="21"/>
  <c r="X528" i="21"/>
  <c r="X529" i="21"/>
  <c r="X530" i="21"/>
  <c r="X531" i="21"/>
  <c r="X532" i="21"/>
  <c r="X533" i="21"/>
  <c r="Y51" i="21"/>
  <c r="Y52" i="21"/>
  <c r="Y80" i="21"/>
  <c r="Y53" i="21"/>
  <c r="Y522" i="21"/>
  <c r="Y523" i="21"/>
  <c r="Y524" i="21"/>
  <c r="Y525" i="21"/>
  <c r="Y526" i="21"/>
  <c r="Y527" i="21"/>
  <c r="Y528" i="21"/>
  <c r="Y529" i="21"/>
  <c r="Y530" i="21"/>
  <c r="Y531" i="21"/>
  <c r="Y532" i="21"/>
  <c r="Y533" i="21"/>
  <c r="AE382" i="21"/>
  <c r="AE275" i="21"/>
  <c r="AE208" i="21"/>
  <c r="AE198" i="21"/>
  <c r="AE172" i="21"/>
  <c r="AE20" i="21"/>
  <c r="AE51" i="21"/>
  <c r="AE52" i="21"/>
  <c r="AE80" i="21"/>
  <c r="AE53" i="21"/>
  <c r="AE522" i="21"/>
  <c r="AE523" i="21"/>
  <c r="AE524" i="21"/>
  <c r="AE525" i="21"/>
  <c r="AE526" i="21"/>
  <c r="AE527" i="21"/>
  <c r="AE528" i="21"/>
  <c r="AE529" i="21"/>
  <c r="AE530" i="21"/>
  <c r="AE531" i="21"/>
  <c r="AE532" i="21"/>
  <c r="AE533" i="21"/>
  <c r="AF382" i="21"/>
  <c r="AF275" i="21"/>
  <c r="AF208" i="21"/>
  <c r="AF198" i="21"/>
  <c r="AF172" i="21"/>
  <c r="AF20" i="21"/>
  <c r="AF51" i="21"/>
  <c r="AF52" i="21"/>
  <c r="AF80" i="21"/>
  <c r="AF53" i="21"/>
  <c r="AF522" i="21"/>
  <c r="AF523" i="21"/>
  <c r="AF524" i="21"/>
  <c r="AF525" i="21"/>
  <c r="AF526" i="21"/>
  <c r="AF527" i="21"/>
  <c r="AF528" i="21"/>
  <c r="AF529" i="21"/>
  <c r="AF530" i="21"/>
  <c r="AF531" i="21"/>
  <c r="AF532" i="21"/>
  <c r="AF533" i="21"/>
  <c r="AG382" i="21"/>
  <c r="AG275" i="21"/>
  <c r="AG208" i="21"/>
  <c r="AG198" i="21"/>
  <c r="AG172" i="21"/>
  <c r="AG20" i="21"/>
  <c r="AG51" i="21"/>
  <c r="AG52" i="21"/>
  <c r="AG80" i="21"/>
  <c r="AG53" i="21"/>
  <c r="AG522" i="21"/>
  <c r="AG523" i="21"/>
  <c r="AG524" i="21"/>
  <c r="AG525" i="21"/>
  <c r="AG526" i="21"/>
  <c r="AG527" i="21"/>
  <c r="AG528" i="21"/>
  <c r="AG529" i="21"/>
  <c r="AG530" i="21"/>
  <c r="AG531" i="21"/>
  <c r="AG532" i="21"/>
  <c r="AG533" i="21"/>
  <c r="AH382" i="21"/>
  <c r="AH275" i="21"/>
  <c r="AH208" i="21"/>
  <c r="AH198" i="21"/>
  <c r="AH172" i="21"/>
  <c r="AH20" i="21"/>
  <c r="AH51" i="21"/>
  <c r="AH52" i="21"/>
  <c r="AH80" i="21"/>
  <c r="AH53" i="21"/>
  <c r="AH522" i="21"/>
  <c r="AH523" i="21"/>
  <c r="AH524" i="21"/>
  <c r="AH525" i="21"/>
  <c r="AH526" i="21"/>
  <c r="AH527" i="21"/>
  <c r="AH528" i="21"/>
  <c r="AH529" i="21"/>
  <c r="AH530" i="21"/>
  <c r="AH531" i="21"/>
  <c r="AH532" i="21"/>
  <c r="AH533" i="21"/>
  <c r="AI382" i="21"/>
  <c r="AI275" i="21"/>
  <c r="AI208" i="21"/>
  <c r="AI198" i="21"/>
  <c r="AI172" i="21"/>
  <c r="AI20" i="21"/>
  <c r="AI51" i="21"/>
  <c r="AI52" i="21"/>
  <c r="AI80" i="21"/>
  <c r="AI53" i="21"/>
  <c r="AI522" i="21"/>
  <c r="AI523" i="21"/>
  <c r="AI524" i="21"/>
  <c r="AI525" i="21"/>
  <c r="AI526" i="21"/>
  <c r="AI527" i="21"/>
  <c r="AI528" i="21"/>
  <c r="AI529" i="21"/>
  <c r="AI530" i="21"/>
  <c r="AI531" i="21"/>
  <c r="AI532" i="21"/>
  <c r="AI533" i="21"/>
  <c r="AJ382" i="21"/>
  <c r="AJ275" i="21"/>
  <c r="AJ208" i="21"/>
  <c r="AJ198" i="21"/>
  <c r="AJ172" i="21"/>
  <c r="AJ20" i="21"/>
  <c r="AJ51" i="21"/>
  <c r="AJ52" i="21"/>
  <c r="AJ80" i="21"/>
  <c r="AJ53" i="21"/>
  <c r="AJ522" i="21"/>
  <c r="AJ523" i="21"/>
  <c r="AJ524" i="21"/>
  <c r="AJ525" i="21"/>
  <c r="AJ526" i="21"/>
  <c r="AJ527" i="21"/>
  <c r="AJ528" i="21"/>
  <c r="AJ529" i="21"/>
  <c r="AJ530" i="21"/>
  <c r="AJ531" i="21"/>
  <c r="AJ532" i="21"/>
  <c r="AJ533" i="21"/>
  <c r="AK382" i="21"/>
  <c r="AK275" i="21"/>
  <c r="AK208" i="21"/>
  <c r="AK198" i="21"/>
  <c r="AK172" i="21"/>
  <c r="AK20" i="21"/>
  <c r="AK51" i="21"/>
  <c r="AK52" i="21"/>
  <c r="AK80" i="21"/>
  <c r="AK53" i="21"/>
  <c r="AK522" i="21"/>
  <c r="AK523" i="21"/>
  <c r="AK524" i="21"/>
  <c r="AK525" i="21"/>
  <c r="AK526" i="21"/>
  <c r="AK527" i="21"/>
  <c r="AK528" i="21"/>
  <c r="AK529" i="21"/>
  <c r="AK530" i="21"/>
  <c r="AK531" i="21"/>
  <c r="AK532" i="21"/>
  <c r="AK533" i="21"/>
  <c r="AL382" i="21"/>
  <c r="AL275" i="21"/>
  <c r="AL208" i="21"/>
  <c r="AL198" i="21"/>
  <c r="AL172" i="21"/>
  <c r="AL20" i="21"/>
  <c r="AL51" i="21"/>
  <c r="AL52" i="21"/>
  <c r="AL80" i="21"/>
  <c r="AL53" i="21"/>
  <c r="AL522" i="21"/>
  <c r="AL523" i="21"/>
  <c r="AL524" i="21"/>
  <c r="AL525" i="21"/>
  <c r="AL526" i="21"/>
  <c r="AL527" i="21"/>
  <c r="AL528" i="21"/>
  <c r="AL529" i="21"/>
  <c r="AL530" i="21"/>
  <c r="AL531" i="21"/>
  <c r="AL532" i="21"/>
  <c r="AL533" i="21"/>
  <c r="AM382" i="21"/>
  <c r="AM275" i="21"/>
  <c r="AM208" i="21"/>
  <c r="AM198" i="21"/>
  <c r="AM172" i="21"/>
  <c r="AM20" i="21"/>
  <c r="AM51" i="21"/>
  <c r="AM52" i="21"/>
  <c r="AM80" i="21"/>
  <c r="AM53" i="21"/>
  <c r="AM522" i="21"/>
  <c r="AM523" i="21"/>
  <c r="AM524" i="21"/>
  <c r="AM525" i="21"/>
  <c r="AM526" i="21"/>
  <c r="AM527" i="21"/>
  <c r="AM528" i="21"/>
  <c r="AM529" i="21"/>
  <c r="AM530" i="21"/>
  <c r="AM531" i="21"/>
  <c r="AM532" i="21"/>
  <c r="AM533" i="21"/>
  <c r="AN382" i="21"/>
  <c r="AN275" i="21"/>
  <c r="AN208" i="21"/>
  <c r="AN198" i="21"/>
  <c r="AN172" i="21"/>
  <c r="AN20" i="21"/>
  <c r="AN51" i="21"/>
  <c r="AN52" i="21"/>
  <c r="AN80" i="21"/>
  <c r="AN53" i="21"/>
  <c r="AN522" i="21"/>
  <c r="AN523" i="21"/>
  <c r="AN524" i="21"/>
  <c r="AN525" i="21"/>
  <c r="AN526" i="21"/>
  <c r="AN527" i="21"/>
  <c r="AN528" i="21"/>
  <c r="AN529" i="21"/>
  <c r="AN530" i="21"/>
  <c r="AN531" i="21"/>
  <c r="AN532" i="21"/>
  <c r="AN533" i="21"/>
  <c r="AO382" i="21"/>
  <c r="AO275" i="21"/>
  <c r="AO208" i="21"/>
  <c r="AO198" i="21"/>
  <c r="AO172" i="21"/>
  <c r="AO20" i="21"/>
  <c r="AO51" i="21"/>
  <c r="AO52" i="21"/>
  <c r="AO80" i="21"/>
  <c r="AO53" i="21"/>
  <c r="AO522" i="21"/>
  <c r="AO523" i="21"/>
  <c r="AO524" i="21"/>
  <c r="AO525" i="21"/>
  <c r="AO526" i="21"/>
  <c r="AO527" i="21"/>
  <c r="AO528" i="21"/>
  <c r="AO529" i="21"/>
  <c r="AO530" i="21"/>
  <c r="AO531" i="21"/>
  <c r="AO532" i="21"/>
  <c r="AO533" i="21"/>
  <c r="AP382" i="21"/>
  <c r="AP275" i="21"/>
  <c r="AP208" i="21"/>
  <c r="AP198" i="21"/>
  <c r="AP172" i="21"/>
  <c r="AP20" i="21"/>
  <c r="AP51" i="21"/>
  <c r="AP52" i="21"/>
  <c r="AP80" i="21"/>
  <c r="AP53" i="21"/>
  <c r="AP522" i="21"/>
  <c r="AP523" i="21"/>
  <c r="AP524" i="21"/>
  <c r="AP525" i="21"/>
  <c r="AP526" i="21"/>
  <c r="AP527" i="21"/>
  <c r="AP528" i="21"/>
  <c r="AP529" i="21"/>
  <c r="AP530" i="21"/>
  <c r="AP531" i="21"/>
  <c r="AP532" i="21"/>
  <c r="AP533" i="21"/>
  <c r="AQ382" i="21"/>
  <c r="AQ275" i="21"/>
  <c r="AQ208" i="21"/>
  <c r="AQ198" i="21"/>
  <c r="AQ172" i="21"/>
  <c r="AQ20" i="21"/>
  <c r="AQ51" i="21"/>
  <c r="AQ52" i="21"/>
  <c r="AQ80" i="21"/>
  <c r="AQ53" i="21"/>
  <c r="AQ522" i="21"/>
  <c r="AQ523" i="21"/>
  <c r="AQ524" i="21"/>
  <c r="AQ525" i="21"/>
  <c r="AQ526" i="21"/>
  <c r="AQ527" i="21"/>
  <c r="AQ528" i="21"/>
  <c r="AQ529" i="21"/>
  <c r="AQ530" i="21"/>
  <c r="AQ531" i="21"/>
  <c r="AQ532" i="21"/>
  <c r="AQ533" i="21"/>
  <c r="AR382" i="21"/>
  <c r="AR275" i="21"/>
  <c r="AR208" i="21"/>
  <c r="AR198" i="21"/>
  <c r="AR172" i="21"/>
  <c r="AR20" i="21"/>
  <c r="AR51" i="21"/>
  <c r="AR52" i="21"/>
  <c r="AR80" i="21"/>
  <c r="AR53" i="21"/>
  <c r="AR522" i="21"/>
  <c r="AR523" i="21"/>
  <c r="AR524" i="21"/>
  <c r="AR525" i="21"/>
  <c r="AR526" i="21"/>
  <c r="AR527" i="21"/>
  <c r="AR528" i="21"/>
  <c r="AR529" i="21"/>
  <c r="AR530" i="21"/>
  <c r="AR531" i="21"/>
  <c r="AR532" i="21"/>
  <c r="AR533" i="21"/>
  <c r="AS382" i="21"/>
  <c r="AS275" i="21"/>
  <c r="AS208" i="21"/>
  <c r="AS198" i="21"/>
  <c r="AS172" i="21"/>
  <c r="AS20" i="21"/>
  <c r="AS51" i="21"/>
  <c r="AS52" i="21"/>
  <c r="AS80" i="21"/>
  <c r="AS53" i="21"/>
  <c r="AS522" i="21"/>
  <c r="AS523" i="21"/>
  <c r="AS524" i="21"/>
  <c r="AS525" i="21"/>
  <c r="AS526" i="21"/>
  <c r="AS527" i="21"/>
  <c r="AS528" i="21"/>
  <c r="AS529" i="21"/>
  <c r="AS530" i="21"/>
  <c r="AS531" i="21"/>
  <c r="AS532" i="21"/>
  <c r="AS533" i="21"/>
  <c r="AT382" i="21"/>
  <c r="AT275" i="21"/>
  <c r="AT208" i="21"/>
  <c r="AT198" i="21"/>
  <c r="AT172" i="21"/>
  <c r="AT20" i="21"/>
  <c r="AT51" i="21"/>
  <c r="AT52" i="21"/>
  <c r="AT80" i="21"/>
  <c r="AT53" i="21"/>
  <c r="AT522" i="21"/>
  <c r="AT523" i="21"/>
  <c r="AT524" i="21"/>
  <c r="AT525" i="21"/>
  <c r="AT526" i="21"/>
  <c r="AT527" i="21"/>
  <c r="AT528" i="21"/>
  <c r="AT529" i="21"/>
  <c r="AT530" i="21"/>
  <c r="AT531" i="21"/>
  <c r="AT532" i="21"/>
  <c r="AT533" i="21"/>
  <c r="AU382" i="21"/>
  <c r="AU275" i="21"/>
  <c r="AU208" i="21"/>
  <c r="AU198" i="21"/>
  <c r="AU172" i="21"/>
  <c r="AU20" i="21"/>
  <c r="AU51" i="21"/>
  <c r="AU52" i="21"/>
  <c r="AU80" i="21"/>
  <c r="AU53" i="21"/>
  <c r="AU522" i="21"/>
  <c r="AU523" i="21"/>
  <c r="AU524" i="21"/>
  <c r="AU525" i="21"/>
  <c r="AU526" i="21"/>
  <c r="AU527" i="21"/>
  <c r="AU528" i="21"/>
  <c r="AU529" i="21"/>
  <c r="AU530" i="21"/>
  <c r="AU531" i="21"/>
  <c r="AU532" i="21"/>
  <c r="AU533" i="21"/>
  <c r="AV382" i="21"/>
  <c r="AV275" i="21"/>
  <c r="AV208" i="21"/>
  <c r="AV198" i="21"/>
  <c r="AV172" i="21"/>
  <c r="AV20" i="21"/>
  <c r="AV51" i="21"/>
  <c r="AV52" i="21"/>
  <c r="AV80" i="21"/>
  <c r="AV53" i="21"/>
  <c r="AV522" i="21"/>
  <c r="AV523" i="21"/>
  <c r="AV524" i="21"/>
  <c r="AV525" i="21"/>
  <c r="AV526" i="21"/>
  <c r="AV527" i="21"/>
  <c r="AV528" i="21"/>
  <c r="AV529" i="21"/>
  <c r="AV530" i="21"/>
  <c r="AV531" i="21"/>
  <c r="AV532" i="21"/>
  <c r="AV533" i="21"/>
  <c r="AW382" i="21"/>
  <c r="AW275" i="21"/>
  <c r="AW208" i="21"/>
  <c r="AW198" i="21"/>
  <c r="AW172" i="21"/>
  <c r="AW20" i="21"/>
  <c r="AW51" i="21"/>
  <c r="AW52" i="21"/>
  <c r="AW80" i="21"/>
  <c r="AW53" i="21"/>
  <c r="AW522" i="21"/>
  <c r="AW523" i="21"/>
  <c r="AW524" i="21"/>
  <c r="AW525" i="21"/>
  <c r="AW526" i="21"/>
  <c r="AW527" i="21"/>
  <c r="AW528" i="21"/>
  <c r="AW529" i="21"/>
  <c r="AW530" i="21"/>
  <c r="AW531" i="21"/>
  <c r="AW532" i="21"/>
  <c r="AW533" i="21"/>
  <c r="AX382" i="21"/>
  <c r="AX275" i="21"/>
  <c r="AX208" i="21"/>
  <c r="AX198" i="21"/>
  <c r="AX172" i="21"/>
  <c r="AX20" i="21"/>
  <c r="AX51" i="21"/>
  <c r="AX52" i="21"/>
  <c r="AX80" i="21"/>
  <c r="AX53" i="21"/>
  <c r="AX522" i="21"/>
  <c r="AX523" i="21"/>
  <c r="AX524" i="21"/>
  <c r="AX525" i="21"/>
  <c r="AX526" i="21"/>
  <c r="AX527" i="21"/>
  <c r="AX528" i="21"/>
  <c r="AX529" i="21"/>
  <c r="AX530" i="21"/>
  <c r="AX531" i="21"/>
  <c r="AX532" i="21"/>
  <c r="AX533" i="21"/>
  <c r="AY382" i="21"/>
  <c r="AY275" i="21"/>
  <c r="AY208" i="21"/>
  <c r="AY198" i="21"/>
  <c r="AY172" i="21"/>
  <c r="AY20" i="21"/>
  <c r="AY51" i="21"/>
  <c r="AY52" i="21"/>
  <c r="AY80" i="21"/>
  <c r="AY53" i="21"/>
  <c r="AY522" i="21"/>
  <c r="AY523" i="21"/>
  <c r="AY524" i="21"/>
  <c r="AY525" i="21"/>
  <c r="AY526" i="21"/>
  <c r="AY527" i="21"/>
  <c r="AY528" i="21"/>
  <c r="AY529" i="21"/>
  <c r="AY530" i="21"/>
  <c r="AY531" i="21"/>
  <c r="AY532" i="21"/>
  <c r="AY533" i="21"/>
  <c r="AZ382" i="21"/>
  <c r="AZ275" i="21"/>
  <c r="AZ208" i="21"/>
  <c r="AZ198" i="21"/>
  <c r="AZ172" i="21"/>
  <c r="AZ20" i="21"/>
  <c r="AZ51" i="21"/>
  <c r="AZ52" i="21"/>
  <c r="AZ80" i="21"/>
  <c r="AZ53" i="21"/>
  <c r="AZ522" i="21"/>
  <c r="AZ523" i="21"/>
  <c r="AZ524" i="21"/>
  <c r="AZ525" i="21"/>
  <c r="AZ526" i="21"/>
  <c r="AZ527" i="21"/>
  <c r="AZ528" i="21"/>
  <c r="AZ529" i="21"/>
  <c r="AZ530" i="21"/>
  <c r="AZ531" i="21"/>
  <c r="AZ532" i="21"/>
  <c r="AZ533" i="21"/>
  <c r="BA382" i="21"/>
  <c r="BA275" i="21"/>
  <c r="BA208" i="21"/>
  <c r="BA198" i="21"/>
  <c r="BA172" i="21"/>
  <c r="BA20" i="21"/>
  <c r="BA51" i="21"/>
  <c r="BA52" i="21"/>
  <c r="BA80" i="21"/>
  <c r="BA53" i="21"/>
  <c r="BA522" i="21"/>
  <c r="BA523" i="21"/>
  <c r="BA524" i="21"/>
  <c r="BA525" i="21"/>
  <c r="BA526" i="21"/>
  <c r="BA527" i="21"/>
  <c r="BA528" i="21"/>
  <c r="BA529" i="21"/>
  <c r="BA530" i="21"/>
  <c r="BA531" i="21"/>
  <c r="BA532" i="21"/>
  <c r="BA533" i="21"/>
  <c r="BB382" i="21"/>
  <c r="BB275" i="21"/>
  <c r="BB208" i="21"/>
  <c r="BB198" i="21"/>
  <c r="BB172" i="21"/>
  <c r="BB20" i="21"/>
  <c r="BB51" i="21"/>
  <c r="BB52" i="21"/>
  <c r="BB80" i="21"/>
  <c r="BB53" i="21"/>
  <c r="BB522" i="21"/>
  <c r="BB523" i="21"/>
  <c r="BB524" i="21"/>
  <c r="BB525" i="21"/>
  <c r="BB526" i="21"/>
  <c r="BB527" i="21"/>
  <c r="BB528" i="21"/>
  <c r="BB529" i="21"/>
  <c r="BB530" i="21"/>
  <c r="BB531" i="21"/>
  <c r="BB532" i="21"/>
  <c r="BB533" i="21"/>
  <c r="BC382" i="21"/>
  <c r="BC275" i="21"/>
  <c r="BC208" i="21"/>
  <c r="BC198" i="21"/>
  <c r="BC172" i="21"/>
  <c r="BC20" i="21"/>
  <c r="BC51" i="21"/>
  <c r="BC52" i="21"/>
  <c r="BC80" i="21"/>
  <c r="BC53" i="21"/>
  <c r="BC522" i="21"/>
  <c r="BC523" i="21"/>
  <c r="BC524" i="21"/>
  <c r="BC525" i="21"/>
  <c r="BC526" i="21"/>
  <c r="BC527" i="21"/>
  <c r="BC528" i="21"/>
  <c r="BC529" i="21"/>
  <c r="BC530" i="21"/>
  <c r="BC531" i="21"/>
  <c r="BC532" i="21"/>
  <c r="BC533" i="21"/>
  <c r="BD382" i="21"/>
  <c r="BD275" i="21"/>
  <c r="BD208" i="21"/>
  <c r="BD198" i="21"/>
  <c r="BD172" i="21"/>
  <c r="BD20" i="21"/>
  <c r="BD51" i="21"/>
  <c r="BD52" i="21"/>
  <c r="BD80" i="21"/>
  <c r="BD53" i="21"/>
  <c r="BD522" i="21"/>
  <c r="BD523" i="21"/>
  <c r="BD524" i="21"/>
  <c r="BD525" i="21"/>
  <c r="BD526" i="21"/>
  <c r="BD527" i="21"/>
  <c r="BD528" i="21"/>
  <c r="BD529" i="21"/>
  <c r="BD530" i="21"/>
  <c r="BD531" i="21"/>
  <c r="BD532" i="21"/>
  <c r="BD533" i="21"/>
  <c r="BE382" i="21"/>
  <c r="BE275" i="21"/>
  <c r="BE208" i="21"/>
  <c r="BE198" i="21"/>
  <c r="BE172" i="21"/>
  <c r="BE20" i="21"/>
  <c r="BE51" i="21"/>
  <c r="BE52" i="21"/>
  <c r="BE80" i="21"/>
  <c r="BE53" i="21"/>
  <c r="BE522" i="21"/>
  <c r="BE523" i="21"/>
  <c r="BE524" i="21"/>
  <c r="BE525" i="21"/>
  <c r="BE526" i="21"/>
  <c r="BE527" i="21"/>
  <c r="BE528" i="21"/>
  <c r="BE529" i="21"/>
  <c r="BE530" i="21"/>
  <c r="BE531" i="21"/>
  <c r="BE532" i="21"/>
  <c r="BE533" i="21"/>
  <c r="BF382" i="21"/>
  <c r="BF275" i="21"/>
  <c r="BF208" i="21"/>
  <c r="BF198" i="21"/>
  <c r="BF172" i="21"/>
  <c r="BF20" i="21"/>
  <c r="BF51" i="21"/>
  <c r="BF52" i="21"/>
  <c r="BF80" i="21"/>
  <c r="BF53" i="21"/>
  <c r="BF522" i="21"/>
  <c r="BF523" i="21"/>
  <c r="BF524" i="21"/>
  <c r="BF525" i="21"/>
  <c r="BF526" i="21"/>
  <c r="BF527" i="21"/>
  <c r="BF528" i="21"/>
  <c r="BF529" i="21"/>
  <c r="BF530" i="21"/>
  <c r="BF531" i="21"/>
  <c r="BF532" i="21"/>
  <c r="BF533" i="21"/>
  <c r="BG382" i="21"/>
  <c r="BG275" i="21"/>
  <c r="BG208" i="21"/>
  <c r="BG198" i="21"/>
  <c r="BG172" i="21"/>
  <c r="BG20" i="21"/>
  <c r="BG51" i="21"/>
  <c r="BG52" i="21"/>
  <c r="BG80" i="21"/>
  <c r="BG53" i="21"/>
  <c r="BG522" i="21"/>
  <c r="BG523" i="21"/>
  <c r="BG524" i="21"/>
  <c r="BG525" i="21"/>
  <c r="BG526" i="21"/>
  <c r="BG527" i="21"/>
  <c r="BG528" i="21"/>
  <c r="BG529" i="21"/>
  <c r="BG530" i="21"/>
  <c r="BG531" i="21"/>
  <c r="BG532" i="21"/>
  <c r="BG533" i="21"/>
  <c r="BH382" i="21"/>
  <c r="BH275" i="21"/>
  <c r="BH208" i="21"/>
  <c r="BH198" i="21"/>
  <c r="BH172" i="21"/>
  <c r="BH20" i="21"/>
  <c r="BH51" i="21"/>
  <c r="BH52" i="21"/>
  <c r="BH80" i="21"/>
  <c r="BH53" i="21"/>
  <c r="BH522" i="21"/>
  <c r="BH523" i="21"/>
  <c r="BH524" i="21"/>
  <c r="BH525" i="21"/>
  <c r="BH526" i="21"/>
  <c r="BH527" i="21"/>
  <c r="BH528" i="21"/>
  <c r="BH529" i="21"/>
  <c r="BH530" i="21"/>
  <c r="BH531" i="21"/>
  <c r="BH532" i="21"/>
  <c r="BH533" i="21"/>
  <c r="BI382" i="21"/>
  <c r="BI275" i="21"/>
  <c r="BI208" i="21"/>
  <c r="BI198" i="21"/>
  <c r="BI172" i="21"/>
  <c r="BI20" i="21"/>
  <c r="BI51" i="21"/>
  <c r="BI52" i="21"/>
  <c r="BI80" i="21"/>
  <c r="BI53" i="21"/>
  <c r="BI522" i="21"/>
  <c r="BI523" i="21"/>
  <c r="BI524" i="21"/>
  <c r="BI525" i="21"/>
  <c r="BI526" i="21"/>
  <c r="BI527" i="21"/>
  <c r="BI528" i="21"/>
  <c r="BI529" i="21"/>
  <c r="BI530" i="21"/>
  <c r="BI531" i="21"/>
  <c r="BI532" i="21"/>
  <c r="BI533" i="21"/>
  <c r="BJ382" i="21"/>
  <c r="BJ275" i="21"/>
  <c r="BJ208" i="21"/>
  <c r="BJ198" i="21"/>
  <c r="BJ172" i="21"/>
  <c r="BJ20" i="21"/>
  <c r="BJ51" i="21"/>
  <c r="BJ52" i="21"/>
  <c r="BJ80" i="21"/>
  <c r="BJ53" i="21"/>
  <c r="BJ522" i="21"/>
  <c r="BJ523" i="21"/>
  <c r="BJ524" i="21"/>
  <c r="BJ525" i="21"/>
  <c r="BJ526" i="21"/>
  <c r="BJ527" i="21"/>
  <c r="BJ528" i="21"/>
  <c r="BJ529" i="21"/>
  <c r="BJ530" i="21"/>
  <c r="BJ531" i="21"/>
  <c r="BJ532" i="21"/>
  <c r="BJ533" i="21"/>
  <c r="BK382" i="21"/>
  <c r="BK275" i="21"/>
  <c r="BK208" i="21"/>
  <c r="BK198" i="21"/>
  <c r="BK172" i="21"/>
  <c r="BK20" i="21"/>
  <c r="BK51" i="21"/>
  <c r="BK52" i="21"/>
  <c r="BK80" i="21"/>
  <c r="BK53" i="21"/>
  <c r="BK522" i="21"/>
  <c r="BK523" i="21"/>
  <c r="BK524" i="21"/>
  <c r="BK525" i="21"/>
  <c r="BK526" i="21"/>
  <c r="BK527" i="21"/>
  <c r="BK528" i="21"/>
  <c r="BK529" i="21"/>
  <c r="BK530" i="21"/>
  <c r="BK531" i="21"/>
  <c r="BK532" i="21"/>
  <c r="BK533" i="21"/>
  <c r="E1177" i="6"/>
  <c r="F1177" i="6"/>
  <c r="G1177" i="6"/>
  <c r="H1177" i="6"/>
  <c r="I1177" i="6"/>
  <c r="J1177" i="6"/>
  <c r="K1177" i="6"/>
  <c r="L1177" i="6"/>
  <c r="M1177" i="6"/>
  <c r="N1177" i="6"/>
  <c r="O1177" i="6"/>
  <c r="I235" i="21"/>
  <c r="I85" i="21"/>
  <c r="E402" i="21"/>
  <c r="E321" i="21"/>
  <c r="E325" i="21"/>
  <c r="E327" i="21"/>
  <c r="E381" i="21"/>
  <c r="E383" i="21"/>
  <c r="E431" i="21"/>
  <c r="E427" i="21"/>
  <c r="E429" i="21"/>
  <c r="I402" i="21"/>
  <c r="I321" i="21"/>
  <c r="I325" i="21"/>
  <c r="I327" i="21"/>
  <c r="I381" i="21"/>
  <c r="I383" i="21"/>
  <c r="I431" i="21"/>
  <c r="I427" i="21"/>
  <c r="I429" i="21"/>
  <c r="O402" i="21"/>
  <c r="O321" i="21"/>
  <c r="O325" i="21"/>
  <c r="O327" i="21"/>
  <c r="O381" i="21"/>
  <c r="O383" i="21"/>
  <c r="O431" i="21"/>
  <c r="O427" i="21"/>
  <c r="O429" i="21"/>
  <c r="P402" i="21"/>
  <c r="P321" i="21"/>
  <c r="P325" i="21"/>
  <c r="P327" i="21"/>
  <c r="P381" i="21"/>
  <c r="P383" i="21"/>
  <c r="P431" i="21"/>
  <c r="P427" i="21"/>
  <c r="P429" i="21"/>
  <c r="Q402" i="21"/>
  <c r="Q321" i="21"/>
  <c r="Q325" i="21"/>
  <c r="Q327" i="21"/>
  <c r="Q381" i="21"/>
  <c r="Q383" i="21"/>
  <c r="Q431" i="21"/>
  <c r="Q427" i="21"/>
  <c r="Q429" i="21"/>
  <c r="R402" i="21"/>
  <c r="R321" i="21"/>
  <c r="R325" i="21"/>
  <c r="R327" i="21"/>
  <c r="R381" i="21"/>
  <c r="R383" i="21"/>
  <c r="R431" i="21"/>
  <c r="R427" i="21"/>
  <c r="R429" i="21"/>
  <c r="S402" i="21"/>
  <c r="S321" i="21"/>
  <c r="S325" i="21"/>
  <c r="S327" i="21"/>
  <c r="S381" i="21"/>
  <c r="S383" i="21"/>
  <c r="S431" i="21"/>
  <c r="S427" i="21"/>
  <c r="S429" i="21"/>
  <c r="T402" i="21"/>
  <c r="T321" i="21"/>
  <c r="T325" i="21"/>
  <c r="T327" i="21"/>
  <c r="T381" i="21"/>
  <c r="T383" i="21"/>
  <c r="T431" i="21"/>
  <c r="T427" i="21"/>
  <c r="T429" i="21"/>
  <c r="U402" i="21"/>
  <c r="U321" i="21"/>
  <c r="U325" i="21"/>
  <c r="U327" i="21"/>
  <c r="U381" i="21"/>
  <c r="U383" i="21"/>
  <c r="U431" i="21"/>
  <c r="U427" i="21"/>
  <c r="U429" i="21"/>
  <c r="V402" i="21"/>
  <c r="V321" i="21"/>
  <c r="V325" i="21"/>
  <c r="V327" i="21"/>
  <c r="V381" i="21"/>
  <c r="V383" i="21"/>
  <c r="V431" i="21"/>
  <c r="V427" i="21"/>
  <c r="V429" i="21"/>
  <c r="W402" i="21"/>
  <c r="W321" i="21"/>
  <c r="W325" i="21"/>
  <c r="W327" i="21"/>
  <c r="W381" i="21"/>
  <c r="W383" i="21"/>
  <c r="W431" i="21"/>
  <c r="W427" i="21"/>
  <c r="W429" i="21"/>
  <c r="X402" i="21"/>
  <c r="X321" i="21"/>
  <c r="X325" i="21"/>
  <c r="X327" i="21"/>
  <c r="X381" i="21"/>
  <c r="X383" i="21"/>
  <c r="X431" i="21"/>
  <c r="X427" i="21"/>
  <c r="X429" i="21"/>
  <c r="AE402" i="21"/>
  <c r="AE321" i="21"/>
  <c r="AE325" i="21"/>
  <c r="AE327" i="21"/>
  <c r="AE381" i="21"/>
  <c r="AE383" i="21"/>
  <c r="AE431" i="21"/>
  <c r="AE427" i="21"/>
  <c r="AE429" i="21"/>
  <c r="AF402" i="21"/>
  <c r="AF321" i="21"/>
  <c r="AF325" i="21"/>
  <c r="AF327" i="21"/>
  <c r="AF381" i="21"/>
  <c r="AF383" i="21"/>
  <c r="AF431" i="21"/>
  <c r="AF427" i="21"/>
  <c r="AF429" i="21"/>
  <c r="AG402" i="21"/>
  <c r="AG321" i="21"/>
  <c r="AG325" i="21"/>
  <c r="AG327" i="21"/>
  <c r="AG381" i="21"/>
  <c r="AG383" i="21"/>
  <c r="AG431" i="21"/>
  <c r="AG427" i="21"/>
  <c r="AG429" i="21"/>
  <c r="AH402" i="21"/>
  <c r="AH321" i="21"/>
  <c r="AH325" i="21"/>
  <c r="AH327" i="21"/>
  <c r="AH381" i="21"/>
  <c r="AH383" i="21"/>
  <c r="AH431" i="21"/>
  <c r="AH427" i="21"/>
  <c r="AH429" i="21"/>
  <c r="AI402" i="21"/>
  <c r="AI321" i="21"/>
  <c r="AI325" i="21"/>
  <c r="AI327" i="21"/>
  <c r="AI381" i="21"/>
  <c r="AI383" i="21"/>
  <c r="AI431" i="21"/>
  <c r="AI427" i="21"/>
  <c r="AI429" i="21"/>
  <c r="AJ402" i="21"/>
  <c r="AJ321" i="21"/>
  <c r="AJ325" i="21"/>
  <c r="AJ327" i="21"/>
  <c r="AJ381" i="21"/>
  <c r="AJ383" i="21"/>
  <c r="AJ431" i="21"/>
  <c r="AJ427" i="21"/>
  <c r="AJ429" i="21"/>
  <c r="AK402" i="21"/>
  <c r="AK321" i="21"/>
  <c r="AK325" i="21"/>
  <c r="AK327" i="21"/>
  <c r="AK381" i="21"/>
  <c r="AK383" i="21"/>
  <c r="AK431" i="21"/>
  <c r="AK427" i="21"/>
  <c r="AK429" i="21"/>
  <c r="AL402" i="21"/>
  <c r="AL321" i="21"/>
  <c r="AL325" i="21"/>
  <c r="AL327" i="21"/>
  <c r="AL381" i="21"/>
  <c r="AL383" i="21"/>
  <c r="AL431" i="21"/>
  <c r="AL427" i="21"/>
  <c r="AL429" i="21"/>
  <c r="AM402" i="21"/>
  <c r="AM321" i="21"/>
  <c r="AM325" i="21"/>
  <c r="AM327" i="21"/>
  <c r="AM381" i="21"/>
  <c r="AM383" i="21"/>
  <c r="AM431" i="21"/>
  <c r="AM427" i="21"/>
  <c r="AM429" i="21"/>
  <c r="AN402" i="21"/>
  <c r="AN321" i="21"/>
  <c r="AN325" i="21"/>
  <c r="AN327" i="21"/>
  <c r="AN381" i="21"/>
  <c r="AN383" i="21"/>
  <c r="AN431" i="21"/>
  <c r="AN427" i="21"/>
  <c r="AN429" i="21"/>
  <c r="AO402" i="21"/>
  <c r="AO321" i="21"/>
  <c r="AO325" i="21"/>
  <c r="AO327" i="21"/>
  <c r="AO381" i="21"/>
  <c r="AO383" i="21"/>
  <c r="AO431" i="21"/>
  <c r="AO427" i="21"/>
  <c r="AO429" i="21"/>
  <c r="AP402" i="21"/>
  <c r="AP321" i="21"/>
  <c r="AP325" i="21"/>
  <c r="AP327" i="21"/>
  <c r="AP381" i="21"/>
  <c r="AP383" i="21"/>
  <c r="AP431" i="21"/>
  <c r="AP427" i="21"/>
  <c r="AP429" i="21"/>
  <c r="AQ402" i="21"/>
  <c r="AQ321" i="21"/>
  <c r="AQ325" i="21"/>
  <c r="AQ327" i="21"/>
  <c r="AQ381" i="21"/>
  <c r="AQ383" i="21"/>
  <c r="AQ431" i="21"/>
  <c r="AQ427" i="21"/>
  <c r="AQ429" i="21"/>
  <c r="AR402" i="21"/>
  <c r="AR321" i="21"/>
  <c r="AR325" i="21"/>
  <c r="AR327" i="21"/>
  <c r="AR381" i="21"/>
  <c r="AR383" i="21"/>
  <c r="AR431" i="21"/>
  <c r="AR427" i="21"/>
  <c r="AR429" i="21"/>
  <c r="AS402" i="21"/>
  <c r="AS321" i="21"/>
  <c r="AS325" i="21"/>
  <c r="AS327" i="21"/>
  <c r="AS381" i="21"/>
  <c r="AS383" i="21"/>
  <c r="AS431" i="21"/>
  <c r="AS427" i="21"/>
  <c r="AS429" i="21"/>
  <c r="AT402" i="21"/>
  <c r="AT321" i="21"/>
  <c r="AT325" i="21"/>
  <c r="AT327" i="21"/>
  <c r="AT381" i="21"/>
  <c r="AT383" i="21"/>
  <c r="AT431" i="21"/>
  <c r="AT427" i="21"/>
  <c r="AT429" i="21"/>
  <c r="AU402" i="21"/>
  <c r="AU321" i="21"/>
  <c r="AU325" i="21"/>
  <c r="AU327" i="21"/>
  <c r="AU381" i="21"/>
  <c r="AU383" i="21"/>
  <c r="AU431" i="21"/>
  <c r="AU427" i="21"/>
  <c r="AU429" i="21"/>
  <c r="AV402" i="21"/>
  <c r="AV321" i="21"/>
  <c r="AV325" i="21"/>
  <c r="AV327" i="21"/>
  <c r="AV381" i="21"/>
  <c r="AV383" i="21"/>
  <c r="AV431" i="21"/>
  <c r="AV427" i="21"/>
  <c r="AV429" i="21"/>
  <c r="AW402" i="21"/>
  <c r="AW321" i="21"/>
  <c r="AW325" i="21"/>
  <c r="AW327" i="21"/>
  <c r="AW381" i="21"/>
  <c r="AW383" i="21"/>
  <c r="AW431" i="21"/>
  <c r="AW427" i="21"/>
  <c r="AW429" i="21"/>
  <c r="AX402" i="21"/>
  <c r="AX321" i="21"/>
  <c r="AX325" i="21"/>
  <c r="AX327" i="21"/>
  <c r="AX381" i="21"/>
  <c r="AX383" i="21"/>
  <c r="AX431" i="21"/>
  <c r="AX427" i="21"/>
  <c r="AX429" i="21"/>
  <c r="AY402" i="21"/>
  <c r="AY321" i="21"/>
  <c r="AY325" i="21"/>
  <c r="AY327" i="21"/>
  <c r="AY381" i="21"/>
  <c r="AY383" i="21"/>
  <c r="AY431" i="21"/>
  <c r="AY427" i="21"/>
  <c r="AY429" i="21"/>
  <c r="AZ402" i="21"/>
  <c r="AZ321" i="21"/>
  <c r="AZ325" i="21"/>
  <c r="AZ327" i="21"/>
  <c r="AZ381" i="21"/>
  <c r="AZ383" i="21"/>
  <c r="AZ431" i="21"/>
  <c r="AZ427" i="21"/>
  <c r="AZ429" i="21"/>
  <c r="BA402" i="21"/>
  <c r="BA321" i="21"/>
  <c r="BA325" i="21"/>
  <c r="BA327" i="21"/>
  <c r="BA381" i="21"/>
  <c r="BA383" i="21"/>
  <c r="BA431" i="21"/>
  <c r="BA427" i="21"/>
  <c r="BA429" i="21"/>
  <c r="BB402" i="21"/>
  <c r="BB321" i="21"/>
  <c r="BB325" i="21"/>
  <c r="BB327" i="21"/>
  <c r="BB381" i="21"/>
  <c r="BB383" i="21"/>
  <c r="BB431" i="21"/>
  <c r="BB427" i="21"/>
  <c r="BB429" i="21"/>
  <c r="BC402" i="21"/>
  <c r="BC321" i="21"/>
  <c r="BC325" i="21"/>
  <c r="BC327" i="21"/>
  <c r="BC381" i="21"/>
  <c r="BC383" i="21"/>
  <c r="BC431" i="21"/>
  <c r="BC427" i="21"/>
  <c r="BC429" i="21"/>
  <c r="BD402" i="21"/>
  <c r="BD321" i="21"/>
  <c r="BD325" i="21"/>
  <c r="BD327" i="21"/>
  <c r="BD381" i="21"/>
  <c r="BD383" i="21"/>
  <c r="BD431" i="21"/>
  <c r="BD427" i="21"/>
  <c r="BD429" i="21"/>
  <c r="BE402" i="21"/>
  <c r="BE321" i="21"/>
  <c r="BE325" i="21"/>
  <c r="BE327" i="21"/>
  <c r="BE381" i="21"/>
  <c r="BE383" i="21"/>
  <c r="BE431" i="21"/>
  <c r="BE427" i="21"/>
  <c r="BE429" i="21"/>
  <c r="BF402" i="21"/>
  <c r="BF321" i="21"/>
  <c r="BF325" i="21"/>
  <c r="BF327" i="21"/>
  <c r="BF381" i="21"/>
  <c r="BF383" i="21"/>
  <c r="BF431" i="21"/>
  <c r="BF427" i="21"/>
  <c r="BF429" i="21"/>
  <c r="BG402" i="21"/>
  <c r="BG321" i="21"/>
  <c r="BG325" i="21"/>
  <c r="BG327" i="21"/>
  <c r="BG381" i="21"/>
  <c r="BG383" i="21"/>
  <c r="BG431" i="21"/>
  <c r="BG427" i="21"/>
  <c r="BG429" i="21"/>
  <c r="BH402" i="21"/>
  <c r="BH321" i="21"/>
  <c r="BH325" i="21"/>
  <c r="BH327" i="21"/>
  <c r="BH381" i="21"/>
  <c r="BH383" i="21"/>
  <c r="BH431" i="21"/>
  <c r="BH427" i="21"/>
  <c r="BH429" i="21"/>
  <c r="BI402" i="21"/>
  <c r="BI321" i="21"/>
  <c r="BI325" i="21"/>
  <c r="BI327" i="21"/>
  <c r="BI381" i="21"/>
  <c r="BI383" i="21"/>
  <c r="BI431" i="21"/>
  <c r="BI427" i="21"/>
  <c r="BI429" i="21"/>
  <c r="BJ402" i="21"/>
  <c r="BJ321" i="21"/>
  <c r="BJ325" i="21"/>
  <c r="BJ327" i="21"/>
  <c r="BJ381" i="21"/>
  <c r="BJ383" i="21"/>
  <c r="BJ431" i="21"/>
  <c r="BJ427" i="21"/>
  <c r="BJ429" i="21"/>
  <c r="BK402" i="21"/>
  <c r="BK321" i="21"/>
  <c r="BK325" i="21"/>
  <c r="BK327" i="21"/>
  <c r="BK381" i="21"/>
  <c r="BK383" i="21"/>
  <c r="BK431" i="21"/>
  <c r="BK427" i="21"/>
  <c r="BK429" i="21"/>
  <c r="AB295" i="6"/>
  <c r="S295" i="6"/>
  <c r="AA295" i="6"/>
  <c r="AC295" i="6"/>
  <c r="Q295" i="6" s="1"/>
  <c r="AY26" i="13"/>
  <c r="AZ26" i="13"/>
  <c r="BA26" i="13"/>
  <c r="BB26" i="13"/>
  <c r="BC26" i="13"/>
  <c r="BD26" i="13"/>
  <c r="AY27" i="13"/>
  <c r="AZ27" i="13"/>
  <c r="BA27" i="13"/>
  <c r="BB27" i="13"/>
  <c r="BC27" i="13"/>
  <c r="BD27" i="13"/>
  <c r="AN26" i="13"/>
  <c r="AO26" i="13"/>
  <c r="AP26" i="13"/>
  <c r="AQ26" i="13"/>
  <c r="AR26" i="13"/>
  <c r="AS26" i="13"/>
  <c r="AT26" i="13"/>
  <c r="AU26" i="13"/>
  <c r="AV26" i="13"/>
  <c r="AW26" i="13"/>
  <c r="AX26" i="13"/>
  <c r="AN27" i="13"/>
  <c r="AO27" i="13"/>
  <c r="AP27" i="13"/>
  <c r="AQ27" i="13"/>
  <c r="AR27" i="13"/>
  <c r="AS27" i="13"/>
  <c r="AT27" i="13"/>
  <c r="AU27" i="13"/>
  <c r="AV27" i="13"/>
  <c r="AW27" i="13"/>
  <c r="AX27" i="13"/>
  <c r="AL26" i="13"/>
  <c r="AL27" i="13"/>
  <c r="AI26" i="13"/>
  <c r="AI27" i="13"/>
  <c r="AH26" i="13"/>
  <c r="AH27" i="13"/>
  <c r="AG21" i="21"/>
  <c r="AG18" i="21"/>
  <c r="AG22" i="21"/>
  <c r="AG10" i="21"/>
  <c r="AG13" i="21"/>
  <c r="AG23" i="21"/>
  <c r="AG11" i="21"/>
  <c r="AG12" i="21"/>
  <c r="AG24" i="21"/>
  <c r="AG14" i="21"/>
  <c r="AG15" i="21"/>
  <c r="AG19" i="21"/>
  <c r="AG6" i="21"/>
  <c r="AG25" i="21"/>
  <c r="AG7" i="21"/>
  <c r="AG16" i="21"/>
  <c r="AG8" i="21"/>
  <c r="AG9" i="21"/>
  <c r="AG17" i="21"/>
  <c r="AG26" i="21"/>
  <c r="AG45" i="21"/>
  <c r="AG46" i="21"/>
  <c r="AG38" i="21"/>
  <c r="AG29" i="21"/>
  <c r="AG47" i="21"/>
  <c r="AG48" i="21"/>
  <c r="AG39" i="21"/>
  <c r="AG30" i="21"/>
  <c r="AG28" i="21"/>
  <c r="AG31" i="21"/>
  <c r="AG49" i="21"/>
  <c r="AG32" i="21"/>
  <c r="AG40" i="21"/>
  <c r="AG27" i="21"/>
  <c r="AG33" i="21"/>
  <c r="AG44" i="21"/>
  <c r="AG34" i="21"/>
  <c r="AG50" i="21"/>
  <c r="AG36" i="21"/>
  <c r="AG37" i="21"/>
  <c r="AG35" i="21"/>
  <c r="AG41" i="21"/>
  <c r="AG43" i="21"/>
  <c r="AG42" i="21"/>
  <c r="AG54" i="21"/>
  <c r="AG71" i="21"/>
  <c r="AG72" i="21"/>
  <c r="AG73" i="21"/>
  <c r="AG74" i="21"/>
  <c r="AG57" i="21"/>
  <c r="AG75" i="21"/>
  <c r="AG63" i="21"/>
  <c r="AG56" i="21"/>
  <c r="AG58" i="21"/>
  <c r="AG64" i="21"/>
  <c r="AG59" i="21"/>
  <c r="AG65" i="21"/>
  <c r="AG68" i="21"/>
  <c r="AG60" i="21"/>
  <c r="AG76" i="21"/>
  <c r="AG55" i="21"/>
  <c r="AG69" i="21"/>
  <c r="AG61" i="21"/>
  <c r="AG77" i="21"/>
  <c r="AG70" i="21"/>
  <c r="AG66" i="21"/>
  <c r="AG67" i="21"/>
  <c r="AG78" i="21"/>
  <c r="AG79" i="21"/>
  <c r="AG93" i="21"/>
  <c r="AG98" i="21"/>
  <c r="AG99" i="21"/>
  <c r="AG83" i="21"/>
  <c r="AG95" i="21"/>
  <c r="AG100" i="21"/>
  <c r="AG101" i="21"/>
  <c r="AG84" i="21"/>
  <c r="AG88" i="21"/>
  <c r="AG96" i="21"/>
  <c r="AG89" i="21"/>
  <c r="AG102" i="21"/>
  <c r="AG103" i="21"/>
  <c r="AG85" i="21"/>
  <c r="AG90" i="21"/>
  <c r="AG86" i="21"/>
  <c r="AG62" i="21"/>
  <c r="AG104" i="21"/>
  <c r="AG91" i="21"/>
  <c r="AG81" i="21"/>
  <c r="AG94" i="21"/>
  <c r="AG92" i="21"/>
  <c r="AG97" i="21"/>
  <c r="AG105" i="21"/>
  <c r="AG87" i="21"/>
  <c r="AG82" i="21"/>
  <c r="AG106" i="21"/>
  <c r="AG107" i="21"/>
  <c r="AG127" i="21"/>
  <c r="AG113" i="21"/>
  <c r="AG128" i="21"/>
  <c r="AG116" i="21"/>
  <c r="AG126" i="21"/>
  <c r="AG117" i="21"/>
  <c r="AG118" i="21"/>
  <c r="AG129" i="21"/>
  <c r="AG119" i="21"/>
  <c r="AG120" i="21"/>
  <c r="AG121" i="21"/>
  <c r="AG109" i="21"/>
  <c r="AG124" i="21"/>
  <c r="AG110" i="21"/>
  <c r="AG130" i="21"/>
  <c r="AG111" i="21"/>
  <c r="AG125" i="21"/>
  <c r="AG114" i="21"/>
  <c r="AG115" i="21"/>
  <c r="AG122" i="21"/>
  <c r="AG112" i="21"/>
  <c r="AG108" i="21"/>
  <c r="AG123" i="21"/>
  <c r="AG147" i="21"/>
  <c r="AG148" i="21"/>
  <c r="AG135" i="21"/>
  <c r="AG149" i="21"/>
  <c r="AG150" i="21"/>
  <c r="AG151" i="21"/>
  <c r="AG131" i="21"/>
  <c r="AG134" i="21"/>
  <c r="AG143" i="21"/>
  <c r="AG140" i="21"/>
  <c r="AG152" i="21"/>
  <c r="AG136" i="21"/>
  <c r="AG144" i="21"/>
  <c r="AG137" i="21"/>
  <c r="AG146" i="21"/>
  <c r="AG153" i="21"/>
  <c r="AG141" i="21"/>
  <c r="AG154" i="21"/>
  <c r="AG155" i="21"/>
  <c r="AG142" i="21"/>
  <c r="AG156" i="21"/>
  <c r="AG157" i="21"/>
  <c r="AG138" i="21"/>
  <c r="AG145" i="21"/>
  <c r="AG139" i="21"/>
  <c r="AG158" i="21"/>
  <c r="AG132" i="21"/>
  <c r="AG133" i="21"/>
  <c r="AG168" i="21"/>
  <c r="AG174" i="21"/>
  <c r="AG175" i="21"/>
  <c r="AG163" i="21"/>
  <c r="AG176" i="21"/>
  <c r="AG177" i="21"/>
  <c r="AG178" i="21"/>
  <c r="AG521" i="21"/>
  <c r="AG159" i="21"/>
  <c r="AG173" i="21"/>
  <c r="AG179" i="21"/>
  <c r="AG180" i="21"/>
  <c r="AG164" i="21"/>
  <c r="AG160" i="21"/>
  <c r="AG165" i="21"/>
  <c r="AG169" i="21"/>
  <c r="AG161" i="21"/>
  <c r="AG170" i="21"/>
  <c r="AG162" i="21"/>
  <c r="AG166" i="21"/>
  <c r="AG181" i="21"/>
  <c r="AG182" i="21"/>
  <c r="AG167" i="21"/>
  <c r="AG183" i="21"/>
  <c r="AG171" i="21"/>
  <c r="AG202" i="21"/>
  <c r="AG193" i="21"/>
  <c r="AG203" i="21"/>
  <c r="AG200" i="21"/>
  <c r="AG191" i="21"/>
  <c r="AG187" i="21"/>
  <c r="AG204" i="21"/>
  <c r="AG192" i="21"/>
  <c r="AG194" i="21"/>
  <c r="AG205" i="21"/>
  <c r="AG195" i="21"/>
  <c r="AG189" i="21"/>
  <c r="AG184" i="21"/>
  <c r="AG185" i="21"/>
  <c r="AG196" i="21"/>
  <c r="AG206" i="21"/>
  <c r="AG207" i="21"/>
  <c r="AG190" i="21"/>
  <c r="AG188" i="21"/>
  <c r="AG197" i="21"/>
  <c r="AG186" i="21"/>
  <c r="AG199" i="21"/>
  <c r="AG201" i="21"/>
  <c r="AG227" i="21"/>
  <c r="AG214" i="21"/>
  <c r="AG209" i="21"/>
  <c r="AG228" i="21"/>
  <c r="AG215" i="21"/>
  <c r="AG216" i="21"/>
  <c r="AG229" i="21"/>
  <c r="AG211" i="21"/>
  <c r="AG220" i="21"/>
  <c r="AG222" i="21"/>
  <c r="AG230" i="21"/>
  <c r="AG223" i="21"/>
  <c r="AG212" i="21"/>
  <c r="AG221" i="21"/>
  <c r="AG210" i="21"/>
  <c r="AG213" i="21"/>
  <c r="AG217" i="21"/>
  <c r="AG231" i="21"/>
  <c r="AG232" i="21"/>
  <c r="AG218" i="21"/>
  <c r="AG219" i="21"/>
  <c r="AG226" i="21"/>
  <c r="AG233" i="21"/>
  <c r="AG224" i="21"/>
  <c r="AG234" i="21"/>
  <c r="AG225" i="21"/>
  <c r="AG237" i="21"/>
  <c r="AG251" i="21"/>
  <c r="AG252" i="21"/>
  <c r="AG238" i="21"/>
  <c r="AG239" i="21"/>
  <c r="AG253" i="21"/>
  <c r="AG241" i="21"/>
  <c r="AG254" i="21"/>
  <c r="AG242" i="21"/>
  <c r="AG255" i="21"/>
  <c r="AG243" i="21"/>
  <c r="AG256" i="21"/>
  <c r="AG236" i="21"/>
  <c r="AG244" i="21"/>
  <c r="AG249" i="21"/>
  <c r="AG257" i="21"/>
  <c r="AG250" i="21"/>
  <c r="AG235" i="21"/>
  <c r="AG245" i="21"/>
  <c r="AG258" i="21"/>
  <c r="AG240" i="21"/>
  <c r="AG246" i="21"/>
  <c r="AG247" i="21"/>
  <c r="AG248" i="21"/>
  <c r="AG259" i="21"/>
  <c r="AG260" i="21"/>
  <c r="AG278" i="21"/>
  <c r="AG261" i="21"/>
  <c r="AG279" i="21"/>
  <c r="AG269" i="21"/>
  <c r="AG270" i="21"/>
  <c r="AG280" i="21"/>
  <c r="AG271" i="21"/>
  <c r="AG272" i="21"/>
  <c r="AG262" i="21"/>
  <c r="AG266" i="21"/>
  <c r="AG281" i="21"/>
  <c r="AG263" i="21"/>
  <c r="AG282" i="21"/>
  <c r="AG283" i="21"/>
  <c r="AG264" i="21"/>
  <c r="AG284" i="21"/>
  <c r="AG285" i="21"/>
  <c r="AG265" i="21"/>
  <c r="AG273" i="21"/>
  <c r="AG267" i="21"/>
  <c r="AG276" i="21"/>
  <c r="AG268" i="21"/>
  <c r="AG277" i="21"/>
  <c r="AG296" i="21"/>
  <c r="AG302" i="21"/>
  <c r="AG303" i="21"/>
  <c r="AG297" i="21"/>
  <c r="AG286" i="21"/>
  <c r="AG304" i="21"/>
  <c r="AG298" i="21"/>
  <c r="AG299" i="21"/>
  <c r="AG289" i="21"/>
  <c r="AG292" i="21"/>
  <c r="AG305" i="21"/>
  <c r="AG287" i="21"/>
  <c r="AG293" i="21"/>
  <c r="AG306" i="21"/>
  <c r="AG307" i="21"/>
  <c r="AG294" i="21"/>
  <c r="AG300" i="21"/>
  <c r="AG301" i="21"/>
  <c r="AG308" i="21"/>
  <c r="AG295" i="21"/>
  <c r="AG309" i="21"/>
  <c r="AG288" i="21"/>
  <c r="AG310" i="21"/>
  <c r="AG290" i="21"/>
  <c r="AG311" i="21"/>
  <c r="AG312" i="21"/>
  <c r="AG291" i="21"/>
  <c r="AG329" i="21"/>
  <c r="AG331" i="21"/>
  <c r="AG330" i="21"/>
  <c r="AG332" i="21"/>
  <c r="AG315" i="21"/>
  <c r="AG322" i="21"/>
  <c r="AG326" i="21"/>
  <c r="AG316" i="21"/>
  <c r="AG323" i="21"/>
  <c r="AG328" i="21"/>
  <c r="AG317" i="21"/>
  <c r="AG314" i="21"/>
  <c r="AG333" i="21"/>
  <c r="AG334" i="21"/>
  <c r="AG324" i="21"/>
  <c r="AG318" i="21"/>
  <c r="AG335" i="21"/>
  <c r="AG336" i="21"/>
  <c r="AG319" i="21"/>
  <c r="AG337" i="21"/>
  <c r="AG338" i="21"/>
  <c r="AG313" i="21"/>
  <c r="AG355" i="21"/>
  <c r="AG345" i="21"/>
  <c r="AG356" i="21"/>
  <c r="AG357" i="21"/>
  <c r="AG358" i="21"/>
  <c r="AG346" i="21"/>
  <c r="AG359" i="21"/>
  <c r="AG360" i="21"/>
  <c r="AG352" i="21"/>
  <c r="AG361" i="21"/>
  <c r="AG354" i="21"/>
  <c r="AG342" i="21"/>
  <c r="AG348" i="21"/>
  <c r="AG340" i="21"/>
  <c r="AG320" i="21"/>
  <c r="AG362" i="21"/>
  <c r="AG343" i="21"/>
  <c r="AG349" i="21"/>
  <c r="AG351" i="21"/>
  <c r="AG339" i="21"/>
  <c r="AG353" i="21"/>
  <c r="AG363" i="21"/>
  <c r="AG344" i="21"/>
  <c r="AG350" i="21"/>
  <c r="AG341" i="21"/>
  <c r="AG364" i="21"/>
  <c r="AG347" i="21"/>
  <c r="AG374" i="21"/>
  <c r="AG384" i="21"/>
  <c r="AG367" i="21"/>
  <c r="AG385" i="21"/>
  <c r="AG368" i="21"/>
  <c r="AG369" i="21"/>
  <c r="AG376" i="21"/>
  <c r="AG386" i="21"/>
  <c r="AG370" i="21"/>
  <c r="AG371" i="21"/>
  <c r="AG375" i="21"/>
  <c r="AG377" i="21"/>
  <c r="AG372" i="21"/>
  <c r="AG378" i="21"/>
  <c r="AG387" i="21"/>
  <c r="AG373" i="21"/>
  <c r="AG388" i="21"/>
  <c r="AG389" i="21"/>
  <c r="AG379" i="21"/>
  <c r="AG390" i="21"/>
  <c r="AG366" i="21"/>
  <c r="AG365" i="21"/>
  <c r="AG380" i="21"/>
  <c r="AG408" i="21"/>
  <c r="AG409" i="21"/>
  <c r="AG403" i="21"/>
  <c r="AG393" i="21"/>
  <c r="AG396" i="21"/>
  <c r="AG404" i="21"/>
  <c r="AG397" i="21"/>
  <c r="AG405" i="21"/>
  <c r="AG406" i="21"/>
  <c r="AG410" i="21"/>
  <c r="AG394" i="21"/>
  <c r="AG411" i="21"/>
  <c r="AG398" i="21"/>
  <c r="AG412" i="21"/>
  <c r="AG399" i="21"/>
  <c r="AG395" i="21"/>
  <c r="AG413" i="21"/>
  <c r="AG400" i="21"/>
  <c r="AG407" i="21"/>
  <c r="AG392" i="21"/>
  <c r="AG391" i="21"/>
  <c r="AG401" i="21"/>
  <c r="AG414" i="21"/>
  <c r="AG418" i="21"/>
  <c r="AG432" i="21"/>
  <c r="AG433" i="21"/>
  <c r="AG434" i="21"/>
  <c r="AG435" i="21"/>
  <c r="AG421" i="21"/>
  <c r="AG422" i="21"/>
  <c r="AG436" i="21"/>
  <c r="AG423" i="21"/>
  <c r="AG415" i="21"/>
  <c r="AG437" i="21"/>
  <c r="AG438" i="21"/>
  <c r="AG424" i="21"/>
  <c r="AG425" i="21"/>
  <c r="AG439" i="21"/>
  <c r="AG428" i="21"/>
  <c r="AG440" i="21"/>
  <c r="AG441" i="21"/>
  <c r="AG442" i="21"/>
  <c r="AG419" i="21"/>
  <c r="AG426" i="21"/>
  <c r="AG417" i="21"/>
  <c r="AG416" i="21"/>
  <c r="AG430" i="21"/>
  <c r="AG420" i="21"/>
  <c r="AG443" i="21"/>
  <c r="AG453" i="21"/>
  <c r="AG462" i="21"/>
  <c r="AG463" i="21"/>
  <c r="AG464" i="21"/>
  <c r="AG454" i="21"/>
  <c r="AG447" i="21"/>
  <c r="AG446" i="21"/>
  <c r="AG448" i="21"/>
  <c r="AG449" i="21"/>
  <c r="AG450" i="21"/>
  <c r="AG455" i="21"/>
  <c r="AG465" i="21"/>
  <c r="AG451" i="21"/>
  <c r="AG461" i="21"/>
  <c r="AG452" i="21"/>
  <c r="AG456" i="21"/>
  <c r="AG274" i="21"/>
  <c r="AG457" i="21"/>
  <c r="AG444" i="21"/>
  <c r="AG466" i="21"/>
  <c r="AG460" i="21"/>
  <c r="AG445" i="21"/>
  <c r="AG458" i="21"/>
  <c r="AG459" i="21"/>
  <c r="AG467" i="21"/>
  <c r="AG475" i="21"/>
  <c r="AG486" i="21"/>
  <c r="AG487" i="21"/>
  <c r="AG476" i="21"/>
  <c r="AG488" i="21"/>
  <c r="AG478" i="21"/>
  <c r="AG482" i="21"/>
  <c r="AG489" i="21"/>
  <c r="AG468" i="21"/>
  <c r="AG490" i="21"/>
  <c r="AG470" i="21"/>
  <c r="AG479" i="21"/>
  <c r="AG471" i="21"/>
  <c r="AG491" i="21"/>
  <c r="AG492" i="21"/>
  <c r="AG469" i="21"/>
  <c r="AG472" i="21"/>
  <c r="AG480" i="21"/>
  <c r="AG477" i="21"/>
  <c r="AG483" i="21"/>
  <c r="AG473" i="21"/>
  <c r="AG481" i="21"/>
  <c r="AG485" i="21"/>
  <c r="AG474" i="21"/>
  <c r="AG484" i="21"/>
  <c r="AG508" i="21"/>
  <c r="AG509" i="21"/>
  <c r="AG510" i="21"/>
  <c r="AG495" i="21"/>
  <c r="AG505" i="21"/>
  <c r="AG493" i="21"/>
  <c r="AG498" i="21"/>
  <c r="AG511" i="21"/>
  <c r="AG499" i="21"/>
  <c r="AG506" i="21"/>
  <c r="AG496" i="21"/>
  <c r="AG512" i="21"/>
  <c r="AG513" i="21"/>
  <c r="AG503" i="21"/>
  <c r="AG514" i="21"/>
  <c r="AG500" i="21"/>
  <c r="AG501" i="21"/>
  <c r="AG507" i="21"/>
  <c r="AG515" i="21"/>
  <c r="AG516" i="21"/>
  <c r="AG502" i="21"/>
  <c r="AG497" i="21"/>
  <c r="AG504" i="21"/>
  <c r="AG517" i="21"/>
  <c r="AG518" i="21"/>
  <c r="AG519" i="21"/>
  <c r="AG520" i="21"/>
  <c r="AG494" i="21"/>
  <c r="AF21" i="21"/>
  <c r="AF18" i="21"/>
  <c r="AF22" i="21"/>
  <c r="AF10" i="21"/>
  <c r="AF13" i="21"/>
  <c r="AF23" i="21"/>
  <c r="AF11" i="21"/>
  <c r="AF12" i="21"/>
  <c r="AF24" i="21"/>
  <c r="AF14" i="21"/>
  <c r="AF15" i="21"/>
  <c r="AF19" i="21"/>
  <c r="AF6" i="21"/>
  <c r="AF25" i="21"/>
  <c r="AF7" i="21"/>
  <c r="AF16" i="21"/>
  <c r="AF8" i="21"/>
  <c r="AF9" i="21"/>
  <c r="AF17" i="21"/>
  <c r="AF26" i="21"/>
  <c r="AF45" i="21"/>
  <c r="AF46" i="21"/>
  <c r="AF38" i="21"/>
  <c r="AF29" i="21"/>
  <c r="AF47" i="21"/>
  <c r="AF48" i="21"/>
  <c r="AF39" i="21"/>
  <c r="AF30" i="21"/>
  <c r="AF28" i="21"/>
  <c r="AF31" i="21"/>
  <c r="AF49" i="21"/>
  <c r="AF32" i="21"/>
  <c r="AF40" i="21"/>
  <c r="AF27" i="21"/>
  <c r="AF33" i="21"/>
  <c r="AF44" i="21"/>
  <c r="AF34" i="21"/>
  <c r="AF50" i="21"/>
  <c r="AF36" i="21"/>
  <c r="AF37" i="21"/>
  <c r="AF35" i="21"/>
  <c r="AF41" i="21"/>
  <c r="AF43" i="21"/>
  <c r="AF42" i="21"/>
  <c r="AF54" i="21"/>
  <c r="AF71" i="21"/>
  <c r="AF72" i="21"/>
  <c r="AF73" i="21"/>
  <c r="AF74" i="21"/>
  <c r="AF57" i="21"/>
  <c r="AF75" i="21"/>
  <c r="AF63" i="21"/>
  <c r="AF56" i="21"/>
  <c r="AF58" i="21"/>
  <c r="AF64" i="21"/>
  <c r="AF59" i="21"/>
  <c r="AF65" i="21"/>
  <c r="AF68" i="21"/>
  <c r="AF60" i="21"/>
  <c r="AF76" i="21"/>
  <c r="AF55" i="21"/>
  <c r="AF69" i="21"/>
  <c r="AF61" i="21"/>
  <c r="AF77" i="21"/>
  <c r="AF70" i="21"/>
  <c r="AF66" i="21"/>
  <c r="AF67" i="21"/>
  <c r="AF78" i="21"/>
  <c r="AF79" i="21"/>
  <c r="AF93" i="21"/>
  <c r="AF98" i="21"/>
  <c r="AF99" i="21"/>
  <c r="AF83" i="21"/>
  <c r="AF95" i="21"/>
  <c r="AF100" i="21"/>
  <c r="AF101" i="21"/>
  <c r="AF84" i="21"/>
  <c r="AF88" i="21"/>
  <c r="AF96" i="21"/>
  <c r="AF89" i="21"/>
  <c r="AF102" i="21"/>
  <c r="AF103" i="21"/>
  <c r="AF85" i="21"/>
  <c r="AF90" i="21"/>
  <c r="AF86" i="21"/>
  <c r="AF62" i="21"/>
  <c r="AF104" i="21"/>
  <c r="AF91" i="21"/>
  <c r="AF81" i="21"/>
  <c r="AF94" i="21"/>
  <c r="AF92" i="21"/>
  <c r="AF97" i="21"/>
  <c r="AF105" i="21"/>
  <c r="AF87" i="21"/>
  <c r="AF82" i="21"/>
  <c r="AF106" i="21"/>
  <c r="AF107" i="21"/>
  <c r="AF127" i="21"/>
  <c r="AF113" i="21"/>
  <c r="AF128" i="21"/>
  <c r="AF116" i="21"/>
  <c r="AF126" i="21"/>
  <c r="AF117" i="21"/>
  <c r="AF118" i="21"/>
  <c r="AF129" i="21"/>
  <c r="AF119" i="21"/>
  <c r="AF120" i="21"/>
  <c r="AF121" i="21"/>
  <c r="AF109" i="21"/>
  <c r="AF124" i="21"/>
  <c r="AF110" i="21"/>
  <c r="AF130" i="21"/>
  <c r="AF111" i="21"/>
  <c r="AF125" i="21"/>
  <c r="AF114" i="21"/>
  <c r="AF115" i="21"/>
  <c r="AF122" i="21"/>
  <c r="AF112" i="21"/>
  <c r="AF108" i="21"/>
  <c r="AF123" i="21"/>
  <c r="AF147" i="21"/>
  <c r="AF148" i="21"/>
  <c r="AF135" i="21"/>
  <c r="AF149" i="21"/>
  <c r="AF150" i="21"/>
  <c r="AF151" i="21"/>
  <c r="AF131" i="21"/>
  <c r="AF134" i="21"/>
  <c r="AF143" i="21"/>
  <c r="AF140" i="21"/>
  <c r="AF152" i="21"/>
  <c r="AF136" i="21"/>
  <c r="AF144" i="21"/>
  <c r="AF137" i="21"/>
  <c r="AF146" i="21"/>
  <c r="AF153" i="21"/>
  <c r="AF141" i="21"/>
  <c r="AF154" i="21"/>
  <c r="AF155" i="21"/>
  <c r="AF142" i="21"/>
  <c r="AF156" i="21"/>
  <c r="AF157" i="21"/>
  <c r="AF138" i="21"/>
  <c r="AF145" i="21"/>
  <c r="AF139" i="21"/>
  <c r="AF158" i="21"/>
  <c r="AF132" i="21"/>
  <c r="AF133" i="21"/>
  <c r="AF168" i="21"/>
  <c r="AF174" i="21"/>
  <c r="AF175" i="21"/>
  <c r="AF163" i="21"/>
  <c r="AF176" i="21"/>
  <c r="AF177" i="21"/>
  <c r="AF178" i="21"/>
  <c r="AF521" i="21"/>
  <c r="AF159" i="21"/>
  <c r="AF173" i="21"/>
  <c r="AF179" i="21"/>
  <c r="AF180" i="21"/>
  <c r="AF164" i="21"/>
  <c r="AF160" i="21"/>
  <c r="AF165" i="21"/>
  <c r="AF169" i="21"/>
  <c r="AF161" i="21"/>
  <c r="AF170" i="21"/>
  <c r="AF162" i="21"/>
  <c r="AF166" i="21"/>
  <c r="AF181" i="21"/>
  <c r="AF182" i="21"/>
  <c r="AF167" i="21"/>
  <c r="AF183" i="21"/>
  <c r="AF171" i="21"/>
  <c r="AF202" i="21"/>
  <c r="AF193" i="21"/>
  <c r="AF203" i="21"/>
  <c r="AF200" i="21"/>
  <c r="AF191" i="21"/>
  <c r="AF187" i="21"/>
  <c r="AF204" i="21"/>
  <c r="AF192" i="21"/>
  <c r="AF194" i="21"/>
  <c r="AF205" i="21"/>
  <c r="AF195" i="21"/>
  <c r="AF189" i="21"/>
  <c r="AF184" i="21"/>
  <c r="AF185" i="21"/>
  <c r="AF196" i="21"/>
  <c r="AF206" i="21"/>
  <c r="AF207" i="21"/>
  <c r="AF190" i="21"/>
  <c r="AF188" i="21"/>
  <c r="AF197" i="21"/>
  <c r="AF186" i="21"/>
  <c r="AF199" i="21"/>
  <c r="AF201" i="21"/>
  <c r="AF227" i="21"/>
  <c r="AF214" i="21"/>
  <c r="AF209" i="21"/>
  <c r="AF228" i="21"/>
  <c r="AF215" i="21"/>
  <c r="AF216" i="21"/>
  <c r="AF229" i="21"/>
  <c r="AF211" i="21"/>
  <c r="AF220" i="21"/>
  <c r="AF222" i="21"/>
  <c r="AF230" i="21"/>
  <c r="AF223" i="21"/>
  <c r="AF212" i="21"/>
  <c r="AF221" i="21"/>
  <c r="AF210" i="21"/>
  <c r="AF213" i="21"/>
  <c r="AF217" i="21"/>
  <c r="AF231" i="21"/>
  <c r="AF232" i="21"/>
  <c r="AF218" i="21"/>
  <c r="AF219" i="21"/>
  <c r="AF226" i="21"/>
  <c r="AF233" i="21"/>
  <c r="AF224" i="21"/>
  <c r="AF234" i="21"/>
  <c r="AF225" i="21"/>
  <c r="AF237" i="21"/>
  <c r="AF251" i="21"/>
  <c r="AF252" i="21"/>
  <c r="AF238" i="21"/>
  <c r="AF239" i="21"/>
  <c r="AF253" i="21"/>
  <c r="AF241" i="21"/>
  <c r="AF254" i="21"/>
  <c r="AF242" i="21"/>
  <c r="AF255" i="21"/>
  <c r="AF243" i="21"/>
  <c r="AF256" i="21"/>
  <c r="AF236" i="21"/>
  <c r="AF244" i="21"/>
  <c r="AF249" i="21"/>
  <c r="AF257" i="21"/>
  <c r="AF250" i="21"/>
  <c r="AF235" i="21"/>
  <c r="AF245" i="21"/>
  <c r="AF258" i="21"/>
  <c r="AF240" i="21"/>
  <c r="AF246" i="21"/>
  <c r="AF247" i="21"/>
  <c r="AF248" i="21"/>
  <c r="AF259" i="21"/>
  <c r="AF260" i="21"/>
  <c r="AF278" i="21"/>
  <c r="AF261" i="21"/>
  <c r="AF279" i="21"/>
  <c r="AF269" i="21"/>
  <c r="AF270" i="21"/>
  <c r="AF280" i="21"/>
  <c r="AF271" i="21"/>
  <c r="AF272" i="21"/>
  <c r="AF262" i="21"/>
  <c r="AF266" i="21"/>
  <c r="AF281" i="21"/>
  <c r="AF263" i="21"/>
  <c r="AF282" i="21"/>
  <c r="AF283" i="21"/>
  <c r="AF264" i="21"/>
  <c r="AF284" i="21"/>
  <c r="AF285" i="21"/>
  <c r="AF265" i="21"/>
  <c r="AF273" i="21"/>
  <c r="AF267" i="21"/>
  <c r="AF276" i="21"/>
  <c r="AF268" i="21"/>
  <c r="AF277" i="21"/>
  <c r="AF296" i="21"/>
  <c r="AF302" i="21"/>
  <c r="AF303" i="21"/>
  <c r="AF297" i="21"/>
  <c r="AF286" i="21"/>
  <c r="AF304" i="21"/>
  <c r="AF298" i="21"/>
  <c r="AF299" i="21"/>
  <c r="AF289" i="21"/>
  <c r="AF292" i="21"/>
  <c r="AF305" i="21"/>
  <c r="AF287" i="21"/>
  <c r="AF293" i="21"/>
  <c r="AF306" i="21"/>
  <c r="AF307" i="21"/>
  <c r="AF294" i="21"/>
  <c r="AF300" i="21"/>
  <c r="AF301" i="21"/>
  <c r="AF308" i="21"/>
  <c r="AF295" i="21"/>
  <c r="AF309" i="21"/>
  <c r="AF288" i="21"/>
  <c r="AF310" i="21"/>
  <c r="AF290" i="21"/>
  <c r="AF311" i="21"/>
  <c r="AF312" i="21"/>
  <c r="AF291" i="21"/>
  <c r="AF329" i="21"/>
  <c r="AF331" i="21"/>
  <c r="AF330" i="21"/>
  <c r="AF332" i="21"/>
  <c r="AF315" i="21"/>
  <c r="AF322" i="21"/>
  <c r="AF326" i="21"/>
  <c r="AF316" i="21"/>
  <c r="AF323" i="21"/>
  <c r="AF328" i="21"/>
  <c r="AF317" i="21"/>
  <c r="AF314" i="21"/>
  <c r="AF333" i="21"/>
  <c r="AF334" i="21"/>
  <c r="AF324" i="21"/>
  <c r="AF318" i="21"/>
  <c r="AF335" i="21"/>
  <c r="AF336" i="21"/>
  <c r="AF319" i="21"/>
  <c r="AF337" i="21"/>
  <c r="AF338" i="21"/>
  <c r="AF313" i="21"/>
  <c r="AF355" i="21"/>
  <c r="AF345" i="21"/>
  <c r="AF356" i="21"/>
  <c r="AF357" i="21"/>
  <c r="AF358" i="21"/>
  <c r="AF346" i="21"/>
  <c r="AF359" i="21"/>
  <c r="AF360" i="21"/>
  <c r="AF352" i="21"/>
  <c r="AF361" i="21"/>
  <c r="AF354" i="21"/>
  <c r="AF342" i="21"/>
  <c r="AF348" i="21"/>
  <c r="AF340" i="21"/>
  <c r="AF320" i="21"/>
  <c r="AF362" i="21"/>
  <c r="AF343" i="21"/>
  <c r="AF349" i="21"/>
  <c r="AF351" i="21"/>
  <c r="AF339" i="21"/>
  <c r="AF353" i="21"/>
  <c r="AF363" i="21"/>
  <c r="AF344" i="21"/>
  <c r="AF350" i="21"/>
  <c r="AF341" i="21"/>
  <c r="AF364" i="21"/>
  <c r="AF347" i="21"/>
  <c r="AF374" i="21"/>
  <c r="AF384" i="21"/>
  <c r="AF367" i="21"/>
  <c r="AF385" i="21"/>
  <c r="AF368" i="21"/>
  <c r="AF369" i="21"/>
  <c r="AF376" i="21"/>
  <c r="AF386" i="21"/>
  <c r="AF370" i="21"/>
  <c r="AF371" i="21"/>
  <c r="AF375" i="21"/>
  <c r="AF377" i="21"/>
  <c r="AF372" i="21"/>
  <c r="AF378" i="21"/>
  <c r="AF387" i="21"/>
  <c r="AF373" i="21"/>
  <c r="AF388" i="21"/>
  <c r="AF389" i="21"/>
  <c r="AF379" i="21"/>
  <c r="AF390" i="21"/>
  <c r="AF366" i="21"/>
  <c r="AF365" i="21"/>
  <c r="AF380" i="21"/>
  <c r="AF408" i="21"/>
  <c r="AF409" i="21"/>
  <c r="AF403" i="21"/>
  <c r="AF393" i="21"/>
  <c r="AF396" i="21"/>
  <c r="AF404" i="21"/>
  <c r="AF397" i="21"/>
  <c r="AF405" i="21"/>
  <c r="AF406" i="21"/>
  <c r="AF410" i="21"/>
  <c r="AF394" i="21"/>
  <c r="AF411" i="21"/>
  <c r="AF398" i="21"/>
  <c r="AF412" i="21"/>
  <c r="AF399" i="21"/>
  <c r="AF395" i="21"/>
  <c r="AF413" i="21"/>
  <c r="AF400" i="21"/>
  <c r="AF407" i="21"/>
  <c r="AF392" i="21"/>
  <c r="AF391" i="21"/>
  <c r="AF401" i="21"/>
  <c r="AF414" i="21"/>
  <c r="AF418" i="21"/>
  <c r="AF432" i="21"/>
  <c r="AF433" i="21"/>
  <c r="AF434" i="21"/>
  <c r="AF435" i="21"/>
  <c r="AF421" i="21"/>
  <c r="AF422" i="21"/>
  <c r="AF436" i="21"/>
  <c r="AF423" i="21"/>
  <c r="AF415" i="21"/>
  <c r="AF437" i="21"/>
  <c r="AF438" i="21"/>
  <c r="AF424" i="21"/>
  <c r="AF425" i="21"/>
  <c r="AF439" i="21"/>
  <c r="AF428" i="21"/>
  <c r="AF440" i="21"/>
  <c r="AF441" i="21"/>
  <c r="AF442" i="21"/>
  <c r="AF419" i="21"/>
  <c r="AF426" i="21"/>
  <c r="AF417" i="21"/>
  <c r="AF416" i="21"/>
  <c r="AF430" i="21"/>
  <c r="AF420" i="21"/>
  <c r="AF443" i="21"/>
  <c r="AF453" i="21"/>
  <c r="AF462" i="21"/>
  <c r="AF463" i="21"/>
  <c r="AF464" i="21"/>
  <c r="AF454" i="21"/>
  <c r="AF447" i="21"/>
  <c r="AF446" i="21"/>
  <c r="AF448" i="21"/>
  <c r="AF449" i="21"/>
  <c r="AF450" i="21"/>
  <c r="AF455" i="21"/>
  <c r="AF465" i="21"/>
  <c r="AF451" i="21"/>
  <c r="AF461" i="21"/>
  <c r="AF452" i="21"/>
  <c r="AF456" i="21"/>
  <c r="AF274" i="21"/>
  <c r="AF457" i="21"/>
  <c r="AF444" i="21"/>
  <c r="AF466" i="21"/>
  <c r="AF460" i="21"/>
  <c r="AF445" i="21"/>
  <c r="AF458" i="21"/>
  <c r="AF459" i="21"/>
  <c r="AF467" i="21"/>
  <c r="AF475" i="21"/>
  <c r="AF486" i="21"/>
  <c r="AF487" i="21"/>
  <c r="AF476" i="21"/>
  <c r="AF488" i="21"/>
  <c r="AF478" i="21"/>
  <c r="AF482" i="21"/>
  <c r="AF489" i="21"/>
  <c r="AF468" i="21"/>
  <c r="AF490" i="21"/>
  <c r="AF470" i="21"/>
  <c r="AF479" i="21"/>
  <c r="AF471" i="21"/>
  <c r="AF491" i="21"/>
  <c r="AF492" i="21"/>
  <c r="AF469" i="21"/>
  <c r="AF472" i="21"/>
  <c r="AF480" i="21"/>
  <c r="AF477" i="21"/>
  <c r="AF483" i="21"/>
  <c r="AF473" i="21"/>
  <c r="AF481" i="21"/>
  <c r="AF485" i="21"/>
  <c r="AF474" i="21"/>
  <c r="AF484" i="21"/>
  <c r="AF508" i="21"/>
  <c r="AF509" i="21"/>
  <c r="AF510" i="21"/>
  <c r="AF495" i="21"/>
  <c r="AF505" i="21"/>
  <c r="AF493" i="21"/>
  <c r="AF498" i="21"/>
  <c r="AF511" i="21"/>
  <c r="AF499" i="21"/>
  <c r="AF506" i="21"/>
  <c r="AF496" i="21"/>
  <c r="AF512" i="21"/>
  <c r="AF513" i="21"/>
  <c r="AF503" i="21"/>
  <c r="AF514" i="21"/>
  <c r="AF500" i="21"/>
  <c r="AF501" i="21"/>
  <c r="AF507" i="21"/>
  <c r="AF515" i="21"/>
  <c r="AF516" i="21"/>
  <c r="AF502" i="21"/>
  <c r="AF497" i="21"/>
  <c r="AF504" i="21"/>
  <c r="AF517" i="21"/>
  <c r="AF518" i="21"/>
  <c r="AF519" i="21"/>
  <c r="AF520" i="21"/>
  <c r="AF494" i="21"/>
  <c r="AE21" i="21"/>
  <c r="AE18" i="21"/>
  <c r="AE22" i="21"/>
  <c r="AE10" i="21"/>
  <c r="AE13" i="21"/>
  <c r="AE23" i="21"/>
  <c r="AE11" i="21"/>
  <c r="AE12" i="21"/>
  <c r="AE24" i="21"/>
  <c r="AE14" i="21"/>
  <c r="AE15" i="21"/>
  <c r="AE19" i="21"/>
  <c r="AE6" i="21"/>
  <c r="AE25" i="21"/>
  <c r="AE7" i="21"/>
  <c r="AE16" i="21"/>
  <c r="AE8" i="21"/>
  <c r="AE9" i="21"/>
  <c r="AE17" i="21"/>
  <c r="AE26" i="21"/>
  <c r="AE45" i="21"/>
  <c r="AE46" i="21"/>
  <c r="AE38" i="21"/>
  <c r="AE29" i="21"/>
  <c r="AE47" i="21"/>
  <c r="AE48" i="21"/>
  <c r="AE39" i="21"/>
  <c r="AE30" i="21"/>
  <c r="AE28" i="21"/>
  <c r="AE31" i="21"/>
  <c r="AE49" i="21"/>
  <c r="AE32" i="21"/>
  <c r="AE40" i="21"/>
  <c r="AE27" i="21"/>
  <c r="AE33" i="21"/>
  <c r="AE44" i="21"/>
  <c r="AE34" i="21"/>
  <c r="AE50" i="21"/>
  <c r="AE36" i="21"/>
  <c r="AE37" i="21"/>
  <c r="AE35" i="21"/>
  <c r="AE41" i="21"/>
  <c r="AE43" i="21"/>
  <c r="AE42" i="21"/>
  <c r="AE54" i="21"/>
  <c r="AE71" i="21"/>
  <c r="AE72" i="21"/>
  <c r="AE73" i="21"/>
  <c r="AE74" i="21"/>
  <c r="AE57" i="21"/>
  <c r="AE75" i="21"/>
  <c r="AE63" i="21"/>
  <c r="AE56" i="21"/>
  <c r="AE58" i="21"/>
  <c r="AE64" i="21"/>
  <c r="AE59" i="21"/>
  <c r="AE65" i="21"/>
  <c r="AE68" i="21"/>
  <c r="AE60" i="21"/>
  <c r="AE76" i="21"/>
  <c r="AE55" i="21"/>
  <c r="AE69" i="21"/>
  <c r="AE61" i="21"/>
  <c r="AE77" i="21"/>
  <c r="AE70" i="21"/>
  <c r="AE66" i="21"/>
  <c r="AE67" i="21"/>
  <c r="AE78" i="21"/>
  <c r="AE79" i="21"/>
  <c r="AE93" i="21"/>
  <c r="AE98" i="21"/>
  <c r="AE99" i="21"/>
  <c r="AE83" i="21"/>
  <c r="AE95" i="21"/>
  <c r="AE100" i="21"/>
  <c r="AE101" i="21"/>
  <c r="AE84" i="21"/>
  <c r="AE88" i="21"/>
  <c r="AE96" i="21"/>
  <c r="AE89" i="21"/>
  <c r="AE102" i="21"/>
  <c r="AE103" i="21"/>
  <c r="AE85" i="21"/>
  <c r="AE90" i="21"/>
  <c r="AE86" i="21"/>
  <c r="AE62" i="21"/>
  <c r="AE104" i="21"/>
  <c r="AE91" i="21"/>
  <c r="AE81" i="21"/>
  <c r="AE94" i="21"/>
  <c r="AE92" i="21"/>
  <c r="AE97" i="21"/>
  <c r="AE105" i="21"/>
  <c r="AE87" i="21"/>
  <c r="AE82" i="21"/>
  <c r="AE106" i="21"/>
  <c r="AE107" i="21"/>
  <c r="AE127" i="21"/>
  <c r="AE113" i="21"/>
  <c r="AE128" i="21"/>
  <c r="AE116" i="21"/>
  <c r="AE126" i="21"/>
  <c r="AE117" i="21"/>
  <c r="AE118" i="21"/>
  <c r="AE129" i="21"/>
  <c r="AE119" i="21"/>
  <c r="AE120" i="21"/>
  <c r="AE121" i="21"/>
  <c r="AE109" i="21"/>
  <c r="AE124" i="21"/>
  <c r="AE110" i="21"/>
  <c r="AE130" i="21"/>
  <c r="AE111" i="21"/>
  <c r="AE125" i="21"/>
  <c r="AE114" i="21"/>
  <c r="AE115" i="21"/>
  <c r="AE122" i="21"/>
  <c r="AE112" i="21"/>
  <c r="AE108" i="21"/>
  <c r="AE123" i="21"/>
  <c r="AE147" i="21"/>
  <c r="AE148" i="21"/>
  <c r="AE135" i="21"/>
  <c r="AE149" i="21"/>
  <c r="AE150" i="21"/>
  <c r="AE151" i="21"/>
  <c r="AE131" i="21"/>
  <c r="AE134" i="21"/>
  <c r="AE143" i="21"/>
  <c r="AE140" i="21"/>
  <c r="AE152" i="21"/>
  <c r="AE136" i="21"/>
  <c r="AE144" i="21"/>
  <c r="AE137" i="21"/>
  <c r="AE146" i="21"/>
  <c r="AE153" i="21"/>
  <c r="AE141" i="21"/>
  <c r="AE154" i="21"/>
  <c r="AE155" i="21"/>
  <c r="AE142" i="21"/>
  <c r="AE156" i="21"/>
  <c r="AE157" i="21"/>
  <c r="AE138" i="21"/>
  <c r="AE145" i="21"/>
  <c r="AE139" i="21"/>
  <c r="AE158" i="21"/>
  <c r="AE132" i="21"/>
  <c r="AE133" i="21"/>
  <c r="AE168" i="21"/>
  <c r="AE174" i="21"/>
  <c r="AE175" i="21"/>
  <c r="AE163" i="21"/>
  <c r="AE176" i="21"/>
  <c r="AE177" i="21"/>
  <c r="AE178" i="21"/>
  <c r="AE521" i="21"/>
  <c r="AE159" i="21"/>
  <c r="AE173" i="21"/>
  <c r="AE179" i="21"/>
  <c r="AE180" i="21"/>
  <c r="AE164" i="21"/>
  <c r="AE160" i="21"/>
  <c r="AE165" i="21"/>
  <c r="AE169" i="21"/>
  <c r="AE161" i="21"/>
  <c r="AE170" i="21"/>
  <c r="AE162" i="21"/>
  <c r="AE166" i="21"/>
  <c r="AE181" i="21"/>
  <c r="AE182" i="21"/>
  <c r="AE167" i="21"/>
  <c r="AE183" i="21"/>
  <c r="AE171" i="21"/>
  <c r="AE202" i="21"/>
  <c r="AE193" i="21"/>
  <c r="AE203" i="21"/>
  <c r="AE200" i="21"/>
  <c r="AE191" i="21"/>
  <c r="AE187" i="21"/>
  <c r="AE204" i="21"/>
  <c r="AE192" i="21"/>
  <c r="AE194" i="21"/>
  <c r="AE205" i="21"/>
  <c r="AE195" i="21"/>
  <c r="AE189" i="21"/>
  <c r="AE184" i="21"/>
  <c r="AE185" i="21"/>
  <c r="AE196" i="21"/>
  <c r="AE206" i="21"/>
  <c r="AE207" i="21"/>
  <c r="AE190" i="21"/>
  <c r="AE188" i="21"/>
  <c r="AE197" i="21"/>
  <c r="AE186" i="21"/>
  <c r="AE199" i="21"/>
  <c r="AE201" i="21"/>
  <c r="AE227" i="21"/>
  <c r="AE214" i="21"/>
  <c r="AE209" i="21"/>
  <c r="AE228" i="21"/>
  <c r="AE215" i="21"/>
  <c r="AE216" i="21"/>
  <c r="AE229" i="21"/>
  <c r="AE211" i="21"/>
  <c r="AE220" i="21"/>
  <c r="AE222" i="21"/>
  <c r="AE230" i="21"/>
  <c r="AE223" i="21"/>
  <c r="AE212" i="21"/>
  <c r="AE221" i="21"/>
  <c r="AE210" i="21"/>
  <c r="AE213" i="21"/>
  <c r="AE217" i="21"/>
  <c r="AE231" i="21"/>
  <c r="AE232" i="21"/>
  <c r="AE218" i="21"/>
  <c r="AE219" i="21"/>
  <c r="AE226" i="21"/>
  <c r="AE233" i="21"/>
  <c r="AE224" i="21"/>
  <c r="AE234" i="21"/>
  <c r="AE225" i="21"/>
  <c r="AE237" i="21"/>
  <c r="AE251" i="21"/>
  <c r="AE252" i="21"/>
  <c r="AE238" i="21"/>
  <c r="AE239" i="21"/>
  <c r="AE253" i="21"/>
  <c r="AE241" i="21"/>
  <c r="AE254" i="21"/>
  <c r="AE242" i="21"/>
  <c r="AE255" i="21"/>
  <c r="AE243" i="21"/>
  <c r="AE256" i="21"/>
  <c r="AE236" i="21"/>
  <c r="AE244" i="21"/>
  <c r="AE249" i="21"/>
  <c r="AE257" i="21"/>
  <c r="AE250" i="21"/>
  <c r="AE235" i="21"/>
  <c r="AE245" i="21"/>
  <c r="AE258" i="21"/>
  <c r="AE240" i="21"/>
  <c r="AE246" i="21"/>
  <c r="AE247" i="21"/>
  <c r="AE248" i="21"/>
  <c r="AE259" i="21"/>
  <c r="AE260" i="21"/>
  <c r="AE278" i="21"/>
  <c r="AE261" i="21"/>
  <c r="AE279" i="21"/>
  <c r="AE269" i="21"/>
  <c r="AE270" i="21"/>
  <c r="AE280" i="21"/>
  <c r="AE271" i="21"/>
  <c r="AE272" i="21"/>
  <c r="AE262" i="21"/>
  <c r="AE266" i="21"/>
  <c r="AE281" i="21"/>
  <c r="AE263" i="21"/>
  <c r="AE282" i="21"/>
  <c r="AE283" i="21"/>
  <c r="AE264" i="21"/>
  <c r="AE284" i="21"/>
  <c r="AE285" i="21"/>
  <c r="AE265" i="21"/>
  <c r="AE273" i="21"/>
  <c r="AE267" i="21"/>
  <c r="AE276" i="21"/>
  <c r="AE268" i="21"/>
  <c r="AE277" i="21"/>
  <c r="AE296" i="21"/>
  <c r="AE302" i="21"/>
  <c r="AE303" i="21"/>
  <c r="AE297" i="21"/>
  <c r="AE286" i="21"/>
  <c r="AE304" i="21"/>
  <c r="AE298" i="21"/>
  <c r="AE299" i="21"/>
  <c r="AE289" i="21"/>
  <c r="AE292" i="21"/>
  <c r="AE305" i="21"/>
  <c r="AE287" i="21"/>
  <c r="AE293" i="21"/>
  <c r="AE306" i="21"/>
  <c r="AE307" i="21"/>
  <c r="AE294" i="21"/>
  <c r="AE300" i="21"/>
  <c r="AE301" i="21"/>
  <c r="AE308" i="21"/>
  <c r="AE295" i="21"/>
  <c r="AE309" i="21"/>
  <c r="AE288" i="21"/>
  <c r="AE310" i="21"/>
  <c r="AE290" i="21"/>
  <c r="AE311" i="21"/>
  <c r="AE312" i="21"/>
  <c r="AE291" i="21"/>
  <c r="AE329" i="21"/>
  <c r="AE331" i="21"/>
  <c r="AE330" i="21"/>
  <c r="AE332" i="21"/>
  <c r="AE315" i="21"/>
  <c r="AE322" i="21"/>
  <c r="AE326" i="21"/>
  <c r="AE316" i="21"/>
  <c r="AE323" i="21"/>
  <c r="AE328" i="21"/>
  <c r="AE317" i="21"/>
  <c r="AE314" i="21"/>
  <c r="AE333" i="21"/>
  <c r="AE334" i="21"/>
  <c r="AE324" i="21"/>
  <c r="AE318" i="21"/>
  <c r="AE335" i="21"/>
  <c r="AE336" i="21"/>
  <c r="AE319" i="21"/>
  <c r="AE337" i="21"/>
  <c r="AE338" i="21"/>
  <c r="AE313" i="21"/>
  <c r="AE355" i="21"/>
  <c r="AE345" i="21"/>
  <c r="AE356" i="21"/>
  <c r="AE357" i="21"/>
  <c r="AE358" i="21"/>
  <c r="AE346" i="21"/>
  <c r="AE359" i="21"/>
  <c r="AE360" i="21"/>
  <c r="AE352" i="21"/>
  <c r="AE361" i="21"/>
  <c r="AE354" i="21"/>
  <c r="AE342" i="21"/>
  <c r="AE348" i="21"/>
  <c r="AE340" i="21"/>
  <c r="AE320" i="21"/>
  <c r="AE362" i="21"/>
  <c r="AE343" i="21"/>
  <c r="AE349" i="21"/>
  <c r="AE351" i="21"/>
  <c r="AE339" i="21"/>
  <c r="AE353" i="21"/>
  <c r="AE363" i="21"/>
  <c r="AE344" i="21"/>
  <c r="AE350" i="21"/>
  <c r="AE341" i="21"/>
  <c r="AE364" i="21"/>
  <c r="AE347" i="21"/>
  <c r="AE374" i="21"/>
  <c r="AE384" i="21"/>
  <c r="AE367" i="21"/>
  <c r="AE385" i="21"/>
  <c r="AE368" i="21"/>
  <c r="AE369" i="21"/>
  <c r="AE376" i="21"/>
  <c r="AE386" i="21"/>
  <c r="AE370" i="21"/>
  <c r="AE371" i="21"/>
  <c r="AE375" i="21"/>
  <c r="AE377" i="21"/>
  <c r="AE372" i="21"/>
  <c r="AE378" i="21"/>
  <c r="AE387" i="21"/>
  <c r="AE373" i="21"/>
  <c r="AE388" i="21"/>
  <c r="AE389" i="21"/>
  <c r="AE379" i="21"/>
  <c r="AE390" i="21"/>
  <c r="AE366" i="21"/>
  <c r="AE365" i="21"/>
  <c r="AE380" i="21"/>
  <c r="AE408" i="21"/>
  <c r="AE409" i="21"/>
  <c r="AE403" i="21"/>
  <c r="AE393" i="21"/>
  <c r="AE396" i="21"/>
  <c r="AE404" i="21"/>
  <c r="AE397" i="21"/>
  <c r="AE405" i="21"/>
  <c r="AE406" i="21"/>
  <c r="AE410" i="21"/>
  <c r="AE394" i="21"/>
  <c r="AE411" i="21"/>
  <c r="AE398" i="21"/>
  <c r="AE412" i="21"/>
  <c r="AE399" i="21"/>
  <c r="AE395" i="21"/>
  <c r="AE413" i="21"/>
  <c r="AE400" i="21"/>
  <c r="AE407" i="21"/>
  <c r="AE392" i="21"/>
  <c r="AE391" i="21"/>
  <c r="AE401" i="21"/>
  <c r="AE414" i="21"/>
  <c r="AE418" i="21"/>
  <c r="AE432" i="21"/>
  <c r="AE433" i="21"/>
  <c r="AE434" i="21"/>
  <c r="AE435" i="21"/>
  <c r="AE421" i="21"/>
  <c r="AE422" i="21"/>
  <c r="AE436" i="21"/>
  <c r="AE423" i="21"/>
  <c r="AE415" i="21"/>
  <c r="AE437" i="21"/>
  <c r="AE438" i="21"/>
  <c r="AE424" i="21"/>
  <c r="AE425" i="21"/>
  <c r="AE439" i="21"/>
  <c r="AE428" i="21"/>
  <c r="AE440" i="21"/>
  <c r="AE441" i="21"/>
  <c r="AE442" i="21"/>
  <c r="AE419" i="21"/>
  <c r="AE426" i="21"/>
  <c r="AE417" i="21"/>
  <c r="AE416" i="21"/>
  <c r="AE430" i="21"/>
  <c r="AE420" i="21"/>
  <c r="AE443" i="21"/>
  <c r="AE453" i="21"/>
  <c r="AE462" i="21"/>
  <c r="AE463" i="21"/>
  <c r="AE464" i="21"/>
  <c r="AE454" i="21"/>
  <c r="AE447" i="21"/>
  <c r="AE446" i="21"/>
  <c r="AE448" i="21"/>
  <c r="AE449" i="21"/>
  <c r="AE450" i="21"/>
  <c r="AE455" i="21"/>
  <c r="AE465" i="21"/>
  <c r="AE451" i="21"/>
  <c r="AE461" i="21"/>
  <c r="AE452" i="21"/>
  <c r="AE456" i="21"/>
  <c r="AE274" i="21"/>
  <c r="AE457" i="21"/>
  <c r="AE444" i="21"/>
  <c r="AE466" i="21"/>
  <c r="AE460" i="21"/>
  <c r="AE445" i="21"/>
  <c r="AE458" i="21"/>
  <c r="AE459" i="21"/>
  <c r="AE467" i="21"/>
  <c r="AE475" i="21"/>
  <c r="AE486" i="21"/>
  <c r="AE487" i="21"/>
  <c r="AE476" i="21"/>
  <c r="AE488" i="21"/>
  <c r="AE478" i="21"/>
  <c r="AE482" i="21"/>
  <c r="AE489" i="21"/>
  <c r="AE468" i="21"/>
  <c r="AE490" i="21"/>
  <c r="AE470" i="21"/>
  <c r="AE479" i="21"/>
  <c r="AE471" i="21"/>
  <c r="AE491" i="21"/>
  <c r="AE492" i="21"/>
  <c r="AE469" i="21"/>
  <c r="AE472" i="21"/>
  <c r="AE480" i="21"/>
  <c r="AE477" i="21"/>
  <c r="AE483" i="21"/>
  <c r="AE473" i="21"/>
  <c r="AE481" i="21"/>
  <c r="AE485" i="21"/>
  <c r="AE474" i="21"/>
  <c r="AE484" i="21"/>
  <c r="AE508" i="21"/>
  <c r="AE509" i="21"/>
  <c r="AE510" i="21"/>
  <c r="AE495" i="21"/>
  <c r="AE505" i="21"/>
  <c r="AE493" i="21"/>
  <c r="AE498" i="21"/>
  <c r="AE511" i="21"/>
  <c r="AE499" i="21"/>
  <c r="AE506" i="21"/>
  <c r="AE496" i="21"/>
  <c r="AE512" i="21"/>
  <c r="AE513" i="21"/>
  <c r="AE503" i="21"/>
  <c r="AE514" i="21"/>
  <c r="AE500" i="21"/>
  <c r="AE501" i="21"/>
  <c r="AE507" i="21"/>
  <c r="AE515" i="21"/>
  <c r="AE516" i="21"/>
  <c r="AE502" i="21"/>
  <c r="AE497" i="21"/>
  <c r="AE504" i="21"/>
  <c r="AE517" i="21"/>
  <c r="AE518" i="21"/>
  <c r="AE519" i="21"/>
  <c r="AE520" i="21"/>
  <c r="AE494" i="21"/>
  <c r="AB281" i="6"/>
  <c r="AB282" i="6"/>
  <c r="AB283" i="6"/>
  <c r="AB284" i="6"/>
  <c r="AB285" i="6"/>
  <c r="AB286" i="6"/>
  <c r="AB287" i="6"/>
  <c r="AB288" i="6"/>
  <c r="AB289" i="6"/>
  <c r="AB290" i="6"/>
  <c r="AB291" i="6"/>
  <c r="AB292" i="6"/>
  <c r="AB293" i="6"/>
  <c r="AB294" i="6"/>
  <c r="AB296" i="6"/>
  <c r="AB297" i="6"/>
  <c r="AB298" i="6"/>
  <c r="AB299" i="6"/>
  <c r="AB300" i="6"/>
  <c r="AB301" i="6"/>
  <c r="AB302" i="6"/>
  <c r="AB303" i="6"/>
  <c r="AB304" i="6"/>
  <c r="AB305" i="6"/>
  <c r="AB306" i="6"/>
  <c r="AB307" i="6"/>
  <c r="AB308" i="6"/>
  <c r="AB309" i="6"/>
  <c r="AB310" i="6"/>
  <c r="AB311" i="6"/>
  <c r="AB312" i="6"/>
  <c r="AB313" i="6"/>
  <c r="AB314" i="6"/>
  <c r="AB315" i="6"/>
  <c r="AB316" i="6"/>
  <c r="AB317" i="6"/>
  <c r="AB318" i="6"/>
  <c r="AB319" i="6"/>
  <c r="AB320" i="6"/>
  <c r="AB321" i="6"/>
  <c r="AB322" i="6"/>
  <c r="AB323" i="6"/>
  <c r="AB324" i="6"/>
  <c r="AB325" i="6"/>
  <c r="AB326" i="6"/>
  <c r="AB327" i="6"/>
  <c r="AB328" i="6"/>
  <c r="AB329" i="6"/>
  <c r="AB330" i="6"/>
  <c r="AB331" i="6"/>
  <c r="AB332" i="6"/>
  <c r="AB333" i="6"/>
  <c r="AB334" i="6"/>
  <c r="AB335" i="6"/>
  <c r="AB336" i="6"/>
  <c r="AB337" i="6"/>
  <c r="AB338" i="6"/>
  <c r="AB339" i="6"/>
  <c r="AB340" i="6"/>
  <c r="AB341" i="6"/>
  <c r="AB342" i="6"/>
  <c r="AB343" i="6"/>
  <c r="AB344" i="6"/>
  <c r="AB345" i="6"/>
  <c r="AB346" i="6"/>
  <c r="AB347" i="6"/>
  <c r="AB348" i="6"/>
  <c r="AB349" i="6"/>
  <c r="AB350" i="6"/>
  <c r="AB351" i="6"/>
  <c r="AB352" i="6"/>
  <c r="AB353" i="6"/>
  <c r="AB354" i="6"/>
  <c r="AB355" i="6"/>
  <c r="AB356" i="6"/>
  <c r="AB357" i="6"/>
  <c r="AB358" i="6"/>
  <c r="AB359" i="6"/>
  <c r="AB360" i="6"/>
  <c r="AB361" i="6"/>
  <c r="AB362" i="6"/>
  <c r="AB363" i="6"/>
  <c r="AB364" i="6"/>
  <c r="AB365" i="6"/>
  <c r="AB366" i="6"/>
  <c r="AB367" i="6"/>
  <c r="AB368" i="6"/>
  <c r="AB369" i="6"/>
  <c r="AB370" i="6"/>
  <c r="AB371" i="6"/>
  <c r="AB372" i="6"/>
  <c r="AB373" i="6"/>
  <c r="AB374" i="6"/>
  <c r="AB375" i="6"/>
  <c r="AB376" i="6"/>
  <c r="AB377" i="6"/>
  <c r="AB378" i="6"/>
  <c r="AB379" i="6"/>
  <c r="AB380" i="6"/>
  <c r="AB381" i="6"/>
  <c r="AB382" i="6"/>
  <c r="AB383" i="6"/>
  <c r="AB384" i="6"/>
  <c r="AB385" i="6"/>
  <c r="AB386" i="6"/>
  <c r="AB387" i="6"/>
  <c r="AB388" i="6"/>
  <c r="AB389" i="6"/>
  <c r="AB390" i="6"/>
  <c r="AB391" i="6"/>
  <c r="AB392" i="6"/>
  <c r="AB393" i="6"/>
  <c r="AB394" i="6"/>
  <c r="AB395" i="6"/>
  <c r="AB396" i="6"/>
  <c r="AB397" i="6"/>
  <c r="AB398" i="6"/>
  <c r="AB399" i="6"/>
  <c r="AB400" i="6"/>
  <c r="AB401" i="6"/>
  <c r="AB402" i="6"/>
  <c r="AB403" i="6"/>
  <c r="AB404" i="6"/>
  <c r="AB405" i="6"/>
  <c r="AB406" i="6"/>
  <c r="AB407" i="6"/>
  <c r="AB408" i="6"/>
  <c r="AB409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6" i="6"/>
  <c r="AB437" i="6"/>
  <c r="AB438" i="6"/>
  <c r="AB439" i="6"/>
  <c r="AB440" i="6"/>
  <c r="AB441" i="6"/>
  <c r="AB442" i="6"/>
  <c r="AB443" i="6"/>
  <c r="AB444" i="6"/>
  <c r="AB445" i="6"/>
  <c r="AB446" i="6"/>
  <c r="AB447" i="6"/>
  <c r="AB448" i="6"/>
  <c r="AB449" i="6"/>
  <c r="AB450" i="6"/>
  <c r="AB451" i="6"/>
  <c r="AB452" i="6"/>
  <c r="AB453" i="6"/>
  <c r="AB454" i="6"/>
  <c r="AB455" i="6"/>
  <c r="AB456" i="6"/>
  <c r="AB457" i="6"/>
  <c r="AB458" i="6"/>
  <c r="AB459" i="6"/>
  <c r="AB460" i="6"/>
  <c r="AB461" i="6"/>
  <c r="AB462" i="6"/>
  <c r="AB463" i="6"/>
  <c r="AB464" i="6"/>
  <c r="AB465" i="6"/>
  <c r="AB466" i="6"/>
  <c r="AB467" i="6"/>
  <c r="AB468" i="6"/>
  <c r="AB469" i="6"/>
  <c r="AB470" i="6"/>
  <c r="AB471" i="6"/>
  <c r="AB472" i="6"/>
  <c r="AB473" i="6"/>
  <c r="AB474" i="6"/>
  <c r="AB475" i="6"/>
  <c r="AB476" i="6"/>
  <c r="AB477" i="6"/>
  <c r="AB478" i="6"/>
  <c r="AB479" i="6"/>
  <c r="AB480" i="6"/>
  <c r="AB481" i="6"/>
  <c r="AB482" i="6"/>
  <c r="AB483" i="6"/>
  <c r="S281" i="6"/>
  <c r="S282" i="6"/>
  <c r="S283" i="6"/>
  <c r="S284" i="6"/>
  <c r="S285" i="6"/>
  <c r="S286" i="6"/>
  <c r="S287" i="6"/>
  <c r="S288" i="6"/>
  <c r="S289" i="6"/>
  <c r="S290" i="6"/>
  <c r="S291" i="6"/>
  <c r="S292" i="6"/>
  <c r="S293" i="6"/>
  <c r="S294" i="6"/>
  <c r="S296" i="6"/>
  <c r="S297" i="6"/>
  <c r="S298" i="6"/>
  <c r="S299" i="6"/>
  <c r="S300" i="6"/>
  <c r="S301" i="6"/>
  <c r="S302" i="6"/>
  <c r="S303" i="6"/>
  <c r="S304" i="6"/>
  <c r="S305" i="6"/>
  <c r="S306" i="6"/>
  <c r="S307" i="6"/>
  <c r="S308" i="6"/>
  <c r="S309" i="6"/>
  <c r="S310" i="6"/>
  <c r="S311" i="6"/>
  <c r="S312" i="6"/>
  <c r="S313" i="6"/>
  <c r="S314" i="6"/>
  <c r="S315" i="6"/>
  <c r="S316" i="6"/>
  <c r="S317" i="6"/>
  <c r="S318" i="6"/>
  <c r="S319" i="6"/>
  <c r="S320" i="6"/>
  <c r="S321" i="6"/>
  <c r="S322" i="6"/>
  <c r="S323" i="6"/>
  <c r="S324" i="6"/>
  <c r="S325" i="6"/>
  <c r="S326" i="6"/>
  <c r="S327" i="6"/>
  <c r="S328" i="6"/>
  <c r="S329" i="6"/>
  <c r="S330" i="6"/>
  <c r="S331" i="6"/>
  <c r="S332" i="6"/>
  <c r="S333" i="6"/>
  <c r="S334" i="6"/>
  <c r="S335" i="6"/>
  <c r="S336" i="6"/>
  <c r="S337" i="6"/>
  <c r="S338" i="6"/>
  <c r="S339" i="6"/>
  <c r="S340" i="6"/>
  <c r="S341" i="6"/>
  <c r="S342" i="6"/>
  <c r="S343" i="6"/>
  <c r="S344" i="6"/>
  <c r="S345" i="6"/>
  <c r="S346" i="6"/>
  <c r="S347" i="6"/>
  <c r="S348" i="6"/>
  <c r="S349" i="6"/>
  <c r="S350" i="6"/>
  <c r="S351" i="6"/>
  <c r="S352" i="6"/>
  <c r="S353" i="6"/>
  <c r="S354" i="6"/>
  <c r="S355" i="6"/>
  <c r="S356" i="6"/>
  <c r="S357" i="6"/>
  <c r="S358" i="6"/>
  <c r="S359" i="6"/>
  <c r="S360" i="6"/>
  <c r="S361" i="6"/>
  <c r="S362" i="6"/>
  <c r="S363" i="6"/>
  <c r="S364" i="6"/>
  <c r="S365" i="6"/>
  <c r="S366" i="6"/>
  <c r="S367" i="6"/>
  <c r="S368" i="6"/>
  <c r="S369" i="6"/>
  <c r="S370" i="6"/>
  <c r="S371" i="6"/>
  <c r="S372" i="6"/>
  <c r="S373" i="6"/>
  <c r="S374" i="6"/>
  <c r="S375" i="6"/>
  <c r="S376" i="6"/>
  <c r="S377" i="6"/>
  <c r="S378" i="6"/>
  <c r="S379" i="6"/>
  <c r="S380" i="6"/>
  <c r="S381" i="6"/>
  <c r="S382" i="6"/>
  <c r="S383" i="6"/>
  <c r="S384" i="6"/>
  <c r="S385" i="6"/>
  <c r="S386" i="6"/>
  <c r="S387" i="6"/>
  <c r="S388" i="6"/>
  <c r="S389" i="6"/>
  <c r="S390" i="6"/>
  <c r="S391" i="6"/>
  <c r="S392" i="6"/>
  <c r="S393" i="6"/>
  <c r="S394" i="6"/>
  <c r="S395" i="6"/>
  <c r="S396" i="6"/>
  <c r="S397" i="6"/>
  <c r="S398" i="6"/>
  <c r="S399" i="6"/>
  <c r="S400" i="6"/>
  <c r="S401" i="6"/>
  <c r="S402" i="6"/>
  <c r="S403" i="6"/>
  <c r="S404" i="6"/>
  <c r="S405" i="6"/>
  <c r="S406" i="6"/>
  <c r="S407" i="6"/>
  <c r="S408" i="6"/>
  <c r="S409" i="6"/>
  <c r="S410" i="6"/>
  <c r="S411" i="6"/>
  <c r="S412" i="6"/>
  <c r="S413" i="6"/>
  <c r="S414" i="6"/>
  <c r="S415" i="6"/>
  <c r="S416" i="6"/>
  <c r="S417" i="6"/>
  <c r="S418" i="6"/>
  <c r="S419" i="6"/>
  <c r="S420" i="6"/>
  <c r="S421" i="6"/>
  <c r="S422" i="6"/>
  <c r="S423" i="6"/>
  <c r="S424" i="6"/>
  <c r="S425" i="6"/>
  <c r="S426" i="6"/>
  <c r="S427" i="6"/>
  <c r="S428" i="6"/>
  <c r="S429" i="6"/>
  <c r="S430" i="6"/>
  <c r="S431" i="6"/>
  <c r="S432" i="6"/>
  <c r="S433" i="6"/>
  <c r="S434" i="6"/>
  <c r="S435" i="6"/>
  <c r="S436" i="6"/>
  <c r="S437" i="6"/>
  <c r="S438" i="6"/>
  <c r="S439" i="6"/>
  <c r="S440" i="6"/>
  <c r="S441" i="6"/>
  <c r="S442" i="6"/>
  <c r="S443" i="6"/>
  <c r="S444" i="6"/>
  <c r="S445" i="6"/>
  <c r="S446" i="6"/>
  <c r="S447" i="6"/>
  <c r="S448" i="6"/>
  <c r="S449" i="6"/>
  <c r="S450" i="6"/>
  <c r="S451" i="6"/>
  <c r="S452" i="6"/>
  <c r="S453" i="6"/>
  <c r="S454" i="6"/>
  <c r="S455" i="6"/>
  <c r="S456" i="6"/>
  <c r="S457" i="6"/>
  <c r="S458" i="6"/>
  <c r="S459" i="6"/>
  <c r="S460" i="6"/>
  <c r="S461" i="6"/>
  <c r="S462" i="6"/>
  <c r="S463" i="6"/>
  <c r="S464" i="6"/>
  <c r="S465" i="6"/>
  <c r="S466" i="6"/>
  <c r="S467" i="6"/>
  <c r="S468" i="6"/>
  <c r="S469" i="6"/>
  <c r="S470" i="6"/>
  <c r="S471" i="6"/>
  <c r="S472" i="6"/>
  <c r="S473" i="6"/>
  <c r="S474" i="6"/>
  <c r="S475" i="6"/>
  <c r="S476" i="6"/>
  <c r="S477" i="6"/>
  <c r="S478" i="6"/>
  <c r="S479" i="6"/>
  <c r="S480" i="6"/>
  <c r="S481" i="6"/>
  <c r="S482" i="6"/>
  <c r="S483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6" i="6"/>
  <c r="AA297" i="6"/>
  <c r="AA298" i="6"/>
  <c r="AA299" i="6"/>
  <c r="AA300" i="6"/>
  <c r="AA301" i="6"/>
  <c r="AA302" i="6"/>
  <c r="AA303" i="6"/>
  <c r="AA304" i="6"/>
  <c r="AA305" i="6"/>
  <c r="AA306" i="6"/>
  <c r="AA307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A439" i="6"/>
  <c r="AA440" i="6"/>
  <c r="AA441" i="6"/>
  <c r="AA442" i="6"/>
  <c r="AA443" i="6"/>
  <c r="AA444" i="6"/>
  <c r="AA445" i="6"/>
  <c r="AA446" i="6"/>
  <c r="AA447" i="6"/>
  <c r="AA448" i="6"/>
  <c r="AA449" i="6"/>
  <c r="AA450" i="6"/>
  <c r="AA451" i="6"/>
  <c r="AA452" i="6"/>
  <c r="AA453" i="6"/>
  <c r="AA454" i="6"/>
  <c r="AA455" i="6"/>
  <c r="AA456" i="6"/>
  <c r="AA457" i="6"/>
  <c r="AA458" i="6"/>
  <c r="AA459" i="6"/>
  <c r="AA460" i="6"/>
  <c r="AA461" i="6"/>
  <c r="AA462" i="6"/>
  <c r="AA463" i="6"/>
  <c r="AA464" i="6"/>
  <c r="AA465" i="6"/>
  <c r="AA466" i="6"/>
  <c r="AA467" i="6"/>
  <c r="AA468" i="6"/>
  <c r="AA469" i="6"/>
  <c r="AA470" i="6"/>
  <c r="AA471" i="6"/>
  <c r="AA472" i="6"/>
  <c r="AA473" i="6"/>
  <c r="AA474" i="6"/>
  <c r="AA475" i="6"/>
  <c r="AA476" i="6"/>
  <c r="AA477" i="6"/>
  <c r="AA478" i="6"/>
  <c r="AA479" i="6"/>
  <c r="AA480" i="6"/>
  <c r="AA481" i="6"/>
  <c r="AA482" i="6"/>
  <c r="AA483" i="6"/>
  <c r="AC281" i="6"/>
  <c r="Q281" i="6" s="1"/>
  <c r="V281" i="6" s="1"/>
  <c r="AC282" i="6"/>
  <c r="Q282" i="6" s="1"/>
  <c r="V282" i="6" s="1"/>
  <c r="AC283" i="6"/>
  <c r="Q283" i="6" s="1"/>
  <c r="V283" i="6" s="1"/>
  <c r="AC284" i="6"/>
  <c r="Q284" i="6" s="1"/>
  <c r="V284" i="6" s="1"/>
  <c r="AC285" i="6"/>
  <c r="Q285" i="6" s="1"/>
  <c r="V285" i="6" s="1"/>
  <c r="AC286" i="6"/>
  <c r="Q286" i="6" s="1"/>
  <c r="V286" i="6" s="1"/>
  <c r="AC287" i="6"/>
  <c r="Q287" i="6" s="1"/>
  <c r="V287" i="6" s="1"/>
  <c r="AC288" i="6"/>
  <c r="Q288" i="6" s="1"/>
  <c r="V288" i="6" s="1"/>
  <c r="AC289" i="6"/>
  <c r="Q289" i="6" s="1"/>
  <c r="V289" i="6" s="1"/>
  <c r="AC290" i="6"/>
  <c r="Q290" i="6" s="1"/>
  <c r="V290" i="6" s="1"/>
  <c r="AC291" i="6"/>
  <c r="Q291" i="6" s="1"/>
  <c r="V291" i="6" s="1"/>
  <c r="AC292" i="6"/>
  <c r="Q292" i="6" s="1"/>
  <c r="V292" i="6" s="1"/>
  <c r="AC293" i="6"/>
  <c r="Q293" i="6" s="1"/>
  <c r="V293" i="6" s="1"/>
  <c r="AC294" i="6"/>
  <c r="Q294" i="6" s="1"/>
  <c r="V294" i="6" s="1"/>
  <c r="AC296" i="6"/>
  <c r="Q296" i="6" s="1"/>
  <c r="V296" i="6" s="1"/>
  <c r="AC297" i="6"/>
  <c r="Q297" i="6" s="1"/>
  <c r="V297" i="6" s="1"/>
  <c r="AC298" i="6"/>
  <c r="Q298" i="6" s="1"/>
  <c r="V298" i="6" s="1"/>
  <c r="AC299" i="6"/>
  <c r="Q299" i="6" s="1"/>
  <c r="V299" i="6" s="1"/>
  <c r="AC300" i="6"/>
  <c r="Q300" i="6" s="1"/>
  <c r="V300" i="6" s="1"/>
  <c r="AC301" i="6"/>
  <c r="Q301" i="6" s="1"/>
  <c r="V301" i="6" s="1"/>
  <c r="AC302" i="6"/>
  <c r="Q302" i="6" s="1"/>
  <c r="V302" i="6" s="1"/>
  <c r="AC303" i="6"/>
  <c r="Q303" i="6" s="1"/>
  <c r="V303" i="6" s="1"/>
  <c r="AC304" i="6"/>
  <c r="Q304" i="6" s="1"/>
  <c r="V304" i="6" s="1"/>
  <c r="AC305" i="6"/>
  <c r="Q305" i="6" s="1"/>
  <c r="V305" i="6" s="1"/>
  <c r="AC306" i="6"/>
  <c r="Q306" i="6" s="1"/>
  <c r="V306" i="6" s="1"/>
  <c r="AC307" i="6"/>
  <c r="Q307" i="6" s="1"/>
  <c r="V307" i="6" s="1"/>
  <c r="AC308" i="6"/>
  <c r="Q308" i="6" s="1"/>
  <c r="V308" i="6" s="1"/>
  <c r="AC309" i="6"/>
  <c r="Q309" i="6" s="1"/>
  <c r="V309" i="6" s="1"/>
  <c r="AC310" i="6"/>
  <c r="Q310" i="6" s="1"/>
  <c r="V310" i="6" s="1"/>
  <c r="AC311" i="6"/>
  <c r="Q311" i="6" s="1"/>
  <c r="V311" i="6" s="1"/>
  <c r="AC312" i="6"/>
  <c r="Q312" i="6" s="1"/>
  <c r="V312" i="6" s="1"/>
  <c r="AC313" i="6"/>
  <c r="Q313" i="6" s="1"/>
  <c r="V313" i="6" s="1"/>
  <c r="AC314" i="6"/>
  <c r="Q314" i="6" s="1"/>
  <c r="V314" i="6" s="1"/>
  <c r="AC315" i="6"/>
  <c r="Q315" i="6" s="1"/>
  <c r="V315" i="6" s="1"/>
  <c r="AC316" i="6"/>
  <c r="Q316" i="6" s="1"/>
  <c r="V316" i="6" s="1"/>
  <c r="AC317" i="6"/>
  <c r="Q317" i="6" s="1"/>
  <c r="V317" i="6" s="1"/>
  <c r="AC318" i="6"/>
  <c r="Q318" i="6" s="1"/>
  <c r="V318" i="6" s="1"/>
  <c r="AC319" i="6"/>
  <c r="Q319" i="6" s="1"/>
  <c r="V319" i="6" s="1"/>
  <c r="AC320" i="6"/>
  <c r="Q320" i="6" s="1"/>
  <c r="V320" i="6" s="1"/>
  <c r="AC321" i="6"/>
  <c r="Q321" i="6" s="1"/>
  <c r="V321" i="6" s="1"/>
  <c r="AC322" i="6"/>
  <c r="Q322" i="6" s="1"/>
  <c r="V322" i="6" s="1"/>
  <c r="AC323" i="6"/>
  <c r="Q323" i="6" s="1"/>
  <c r="V323" i="6" s="1"/>
  <c r="AC324" i="6"/>
  <c r="Q324" i="6" s="1"/>
  <c r="V324" i="6" s="1"/>
  <c r="AC325" i="6"/>
  <c r="Q325" i="6" s="1"/>
  <c r="V325" i="6" s="1"/>
  <c r="AC326" i="6"/>
  <c r="Q326" i="6" s="1"/>
  <c r="V326" i="6" s="1"/>
  <c r="AC327" i="6"/>
  <c r="Q327" i="6" s="1"/>
  <c r="V327" i="6" s="1"/>
  <c r="AC328" i="6"/>
  <c r="Q328" i="6" s="1"/>
  <c r="V328" i="6" s="1"/>
  <c r="AC329" i="6"/>
  <c r="Q329" i="6" s="1"/>
  <c r="V329" i="6" s="1"/>
  <c r="AC330" i="6"/>
  <c r="Q330" i="6" s="1"/>
  <c r="V330" i="6" s="1"/>
  <c r="AC331" i="6"/>
  <c r="Q331" i="6" s="1"/>
  <c r="V331" i="6" s="1"/>
  <c r="AC332" i="6"/>
  <c r="Q332" i="6" s="1"/>
  <c r="V332" i="6" s="1"/>
  <c r="AC333" i="6"/>
  <c r="Q333" i="6" s="1"/>
  <c r="V333" i="6" s="1"/>
  <c r="AC334" i="6"/>
  <c r="Q334" i="6" s="1"/>
  <c r="V334" i="6" s="1"/>
  <c r="AC335" i="6"/>
  <c r="Q335" i="6" s="1"/>
  <c r="V335" i="6" s="1"/>
  <c r="AC336" i="6"/>
  <c r="Q336" i="6" s="1"/>
  <c r="V336" i="6" s="1"/>
  <c r="AC337" i="6"/>
  <c r="Q337" i="6" s="1"/>
  <c r="V337" i="6" s="1"/>
  <c r="AC338" i="6"/>
  <c r="Q338" i="6" s="1"/>
  <c r="V338" i="6" s="1"/>
  <c r="AC339" i="6"/>
  <c r="Q339" i="6" s="1"/>
  <c r="V339" i="6" s="1"/>
  <c r="AC340" i="6"/>
  <c r="Q340" i="6" s="1"/>
  <c r="V340" i="6" s="1"/>
  <c r="AC341" i="6"/>
  <c r="Q341" i="6" s="1"/>
  <c r="V341" i="6" s="1"/>
  <c r="AC342" i="6"/>
  <c r="Q342" i="6" s="1"/>
  <c r="V342" i="6" s="1"/>
  <c r="AC343" i="6"/>
  <c r="Q343" i="6" s="1"/>
  <c r="V343" i="6" s="1"/>
  <c r="AC344" i="6"/>
  <c r="Q344" i="6" s="1"/>
  <c r="V344" i="6" s="1"/>
  <c r="AC345" i="6"/>
  <c r="Q345" i="6" s="1"/>
  <c r="V345" i="6" s="1"/>
  <c r="AC346" i="6"/>
  <c r="Q346" i="6" s="1"/>
  <c r="V346" i="6" s="1"/>
  <c r="AC347" i="6"/>
  <c r="Q347" i="6" s="1"/>
  <c r="V347" i="6" s="1"/>
  <c r="AC348" i="6"/>
  <c r="Q348" i="6" s="1"/>
  <c r="V348" i="6" s="1"/>
  <c r="AC349" i="6"/>
  <c r="Q349" i="6" s="1"/>
  <c r="V349" i="6" s="1"/>
  <c r="AC350" i="6"/>
  <c r="Q350" i="6" s="1"/>
  <c r="V350" i="6" s="1"/>
  <c r="AC351" i="6"/>
  <c r="Q351" i="6" s="1"/>
  <c r="V351" i="6" s="1"/>
  <c r="AC352" i="6"/>
  <c r="Q352" i="6" s="1"/>
  <c r="V352" i="6" s="1"/>
  <c r="AC353" i="6"/>
  <c r="Q353" i="6" s="1"/>
  <c r="V353" i="6" s="1"/>
  <c r="AC354" i="6"/>
  <c r="Q354" i="6" s="1"/>
  <c r="V354" i="6" s="1"/>
  <c r="AC355" i="6"/>
  <c r="Q355" i="6" s="1"/>
  <c r="V355" i="6" s="1"/>
  <c r="AC356" i="6"/>
  <c r="Q356" i="6" s="1"/>
  <c r="V356" i="6" s="1"/>
  <c r="AC357" i="6"/>
  <c r="Q357" i="6" s="1"/>
  <c r="V357" i="6" s="1"/>
  <c r="AC358" i="6"/>
  <c r="Q358" i="6" s="1"/>
  <c r="V358" i="6" s="1"/>
  <c r="AC359" i="6"/>
  <c r="Q359" i="6" s="1"/>
  <c r="V359" i="6" s="1"/>
  <c r="AC360" i="6"/>
  <c r="Q360" i="6" s="1"/>
  <c r="V360" i="6" s="1"/>
  <c r="AC361" i="6"/>
  <c r="Q361" i="6" s="1"/>
  <c r="V361" i="6" s="1"/>
  <c r="AC362" i="6"/>
  <c r="Q362" i="6" s="1"/>
  <c r="V362" i="6" s="1"/>
  <c r="AC363" i="6"/>
  <c r="Q363" i="6" s="1"/>
  <c r="V363" i="6" s="1"/>
  <c r="AC364" i="6"/>
  <c r="Q364" i="6" s="1"/>
  <c r="V364" i="6" s="1"/>
  <c r="AC365" i="6"/>
  <c r="Q365" i="6" s="1"/>
  <c r="V365" i="6" s="1"/>
  <c r="AC366" i="6"/>
  <c r="Q366" i="6" s="1"/>
  <c r="V366" i="6" s="1"/>
  <c r="AC367" i="6"/>
  <c r="Q367" i="6" s="1"/>
  <c r="V367" i="6" s="1"/>
  <c r="AC368" i="6"/>
  <c r="Q368" i="6" s="1"/>
  <c r="V368" i="6" s="1"/>
  <c r="AC369" i="6"/>
  <c r="Q369" i="6" s="1"/>
  <c r="V369" i="6" s="1"/>
  <c r="AC370" i="6"/>
  <c r="Q370" i="6" s="1"/>
  <c r="V370" i="6" s="1"/>
  <c r="AC371" i="6"/>
  <c r="Q371" i="6" s="1"/>
  <c r="V371" i="6" s="1"/>
  <c r="AC372" i="6"/>
  <c r="Q372" i="6" s="1"/>
  <c r="V372" i="6" s="1"/>
  <c r="AC373" i="6"/>
  <c r="Q373" i="6" s="1"/>
  <c r="V373" i="6" s="1"/>
  <c r="AC374" i="6"/>
  <c r="Q374" i="6" s="1"/>
  <c r="V374" i="6" s="1"/>
  <c r="AC375" i="6"/>
  <c r="Q375" i="6" s="1"/>
  <c r="V375" i="6" s="1"/>
  <c r="AC376" i="6"/>
  <c r="Q376" i="6" s="1"/>
  <c r="V376" i="6" s="1"/>
  <c r="AC377" i="6"/>
  <c r="Q377" i="6" s="1"/>
  <c r="V377" i="6" s="1"/>
  <c r="AC378" i="6"/>
  <c r="Q378" i="6" s="1"/>
  <c r="V378" i="6" s="1"/>
  <c r="AC379" i="6"/>
  <c r="Q379" i="6" s="1"/>
  <c r="V379" i="6" s="1"/>
  <c r="AC380" i="6"/>
  <c r="Q380" i="6" s="1"/>
  <c r="V380" i="6" s="1"/>
  <c r="AC381" i="6"/>
  <c r="Q381" i="6" s="1"/>
  <c r="V381" i="6" s="1"/>
  <c r="AC382" i="6"/>
  <c r="Q382" i="6" s="1"/>
  <c r="V382" i="6" s="1"/>
  <c r="AC383" i="6"/>
  <c r="Q383" i="6" s="1"/>
  <c r="V383" i="6" s="1"/>
  <c r="AC384" i="6"/>
  <c r="Q384" i="6" s="1"/>
  <c r="V384" i="6" s="1"/>
  <c r="AC385" i="6"/>
  <c r="Q385" i="6" s="1"/>
  <c r="V385" i="6" s="1"/>
  <c r="AC386" i="6"/>
  <c r="Q386" i="6" s="1"/>
  <c r="V386" i="6" s="1"/>
  <c r="AC387" i="6"/>
  <c r="Q387" i="6" s="1"/>
  <c r="V387" i="6" s="1"/>
  <c r="AC388" i="6"/>
  <c r="Q388" i="6" s="1"/>
  <c r="V388" i="6" s="1"/>
  <c r="AC389" i="6"/>
  <c r="Q389" i="6" s="1"/>
  <c r="V389" i="6" s="1"/>
  <c r="AC390" i="6"/>
  <c r="Q390" i="6" s="1"/>
  <c r="V390" i="6" s="1"/>
  <c r="AC391" i="6"/>
  <c r="Q391" i="6" s="1"/>
  <c r="V391" i="6" s="1"/>
  <c r="AC392" i="6"/>
  <c r="Q392" i="6" s="1"/>
  <c r="V392" i="6" s="1"/>
  <c r="AC393" i="6"/>
  <c r="Q393" i="6" s="1"/>
  <c r="V393" i="6" s="1"/>
  <c r="AC394" i="6"/>
  <c r="Q394" i="6" s="1"/>
  <c r="V394" i="6" s="1"/>
  <c r="AC395" i="6"/>
  <c r="Q395" i="6" s="1"/>
  <c r="V395" i="6" s="1"/>
  <c r="AC396" i="6"/>
  <c r="Q396" i="6" s="1"/>
  <c r="V396" i="6" s="1"/>
  <c r="AC397" i="6"/>
  <c r="Q397" i="6" s="1"/>
  <c r="V397" i="6" s="1"/>
  <c r="AC398" i="6"/>
  <c r="Q398" i="6" s="1"/>
  <c r="V398" i="6" s="1"/>
  <c r="AC399" i="6"/>
  <c r="Q399" i="6" s="1"/>
  <c r="V399" i="6" s="1"/>
  <c r="AC400" i="6"/>
  <c r="Q400" i="6" s="1"/>
  <c r="V400" i="6" s="1"/>
  <c r="AC401" i="6"/>
  <c r="Q401" i="6" s="1"/>
  <c r="V401" i="6" s="1"/>
  <c r="AC402" i="6"/>
  <c r="Q402" i="6" s="1"/>
  <c r="V402" i="6" s="1"/>
  <c r="AC403" i="6"/>
  <c r="Q403" i="6" s="1"/>
  <c r="V403" i="6" s="1"/>
  <c r="AC404" i="6"/>
  <c r="Q404" i="6" s="1"/>
  <c r="V404" i="6" s="1"/>
  <c r="AC405" i="6"/>
  <c r="Q405" i="6" s="1"/>
  <c r="V405" i="6" s="1"/>
  <c r="AC406" i="6"/>
  <c r="Q406" i="6" s="1"/>
  <c r="V406" i="6" s="1"/>
  <c r="AC407" i="6"/>
  <c r="Q407" i="6" s="1"/>
  <c r="V407" i="6" s="1"/>
  <c r="AC408" i="6"/>
  <c r="Q408" i="6" s="1"/>
  <c r="V408" i="6" s="1"/>
  <c r="AC409" i="6"/>
  <c r="Q409" i="6" s="1"/>
  <c r="V409" i="6" s="1"/>
  <c r="AC410" i="6"/>
  <c r="Q410" i="6" s="1"/>
  <c r="V410" i="6" s="1"/>
  <c r="AC411" i="6"/>
  <c r="Q411" i="6" s="1"/>
  <c r="V411" i="6" s="1"/>
  <c r="AC412" i="6"/>
  <c r="Q412" i="6" s="1"/>
  <c r="V412" i="6" s="1"/>
  <c r="AC413" i="6"/>
  <c r="Q413" i="6" s="1"/>
  <c r="V413" i="6" s="1"/>
  <c r="AC414" i="6"/>
  <c r="Q414" i="6" s="1"/>
  <c r="V414" i="6" s="1"/>
  <c r="AC415" i="6"/>
  <c r="Q415" i="6" s="1"/>
  <c r="V415" i="6" s="1"/>
  <c r="AC416" i="6"/>
  <c r="Q416" i="6" s="1"/>
  <c r="V416" i="6" s="1"/>
  <c r="AC417" i="6"/>
  <c r="Q417" i="6" s="1"/>
  <c r="V417" i="6" s="1"/>
  <c r="AC418" i="6"/>
  <c r="Q418" i="6" s="1"/>
  <c r="V418" i="6" s="1"/>
  <c r="AC419" i="6"/>
  <c r="Q419" i="6" s="1"/>
  <c r="V419" i="6" s="1"/>
  <c r="AC420" i="6"/>
  <c r="Q420" i="6" s="1"/>
  <c r="V420" i="6" s="1"/>
  <c r="AC421" i="6"/>
  <c r="Q421" i="6" s="1"/>
  <c r="V421" i="6" s="1"/>
  <c r="AC422" i="6"/>
  <c r="Q422" i="6" s="1"/>
  <c r="V422" i="6" s="1"/>
  <c r="AC423" i="6"/>
  <c r="Q423" i="6" s="1"/>
  <c r="V423" i="6" s="1"/>
  <c r="AC424" i="6"/>
  <c r="Q424" i="6" s="1"/>
  <c r="V424" i="6" s="1"/>
  <c r="AC425" i="6"/>
  <c r="Q425" i="6" s="1"/>
  <c r="V425" i="6" s="1"/>
  <c r="AC426" i="6"/>
  <c r="Q426" i="6" s="1"/>
  <c r="V426" i="6" s="1"/>
  <c r="AC427" i="6"/>
  <c r="Q427" i="6" s="1"/>
  <c r="V427" i="6" s="1"/>
  <c r="AC428" i="6"/>
  <c r="Q428" i="6" s="1"/>
  <c r="V428" i="6" s="1"/>
  <c r="AC429" i="6"/>
  <c r="Q429" i="6" s="1"/>
  <c r="V429" i="6" s="1"/>
  <c r="AC430" i="6"/>
  <c r="Q430" i="6" s="1"/>
  <c r="V430" i="6" s="1"/>
  <c r="AC431" i="6"/>
  <c r="Q431" i="6" s="1"/>
  <c r="V431" i="6" s="1"/>
  <c r="AC432" i="6"/>
  <c r="Q432" i="6" s="1"/>
  <c r="V432" i="6" s="1"/>
  <c r="AC433" i="6"/>
  <c r="Q433" i="6" s="1"/>
  <c r="V433" i="6" s="1"/>
  <c r="AC434" i="6"/>
  <c r="Q434" i="6" s="1"/>
  <c r="V434" i="6" s="1"/>
  <c r="AC435" i="6"/>
  <c r="Q435" i="6" s="1"/>
  <c r="V435" i="6" s="1"/>
  <c r="AC436" i="6"/>
  <c r="Q436" i="6" s="1"/>
  <c r="V436" i="6" s="1"/>
  <c r="AC437" i="6"/>
  <c r="Q437" i="6" s="1"/>
  <c r="V437" i="6" s="1"/>
  <c r="AC438" i="6"/>
  <c r="Q438" i="6" s="1"/>
  <c r="V438" i="6" s="1"/>
  <c r="AC439" i="6"/>
  <c r="Q439" i="6" s="1"/>
  <c r="V439" i="6" s="1"/>
  <c r="AC440" i="6"/>
  <c r="Q440" i="6" s="1"/>
  <c r="V440" i="6" s="1"/>
  <c r="AC441" i="6"/>
  <c r="Q441" i="6" s="1"/>
  <c r="V441" i="6" s="1"/>
  <c r="AC442" i="6"/>
  <c r="Q442" i="6" s="1"/>
  <c r="V442" i="6" s="1"/>
  <c r="AC443" i="6"/>
  <c r="Q443" i="6" s="1"/>
  <c r="V443" i="6" s="1"/>
  <c r="AC444" i="6"/>
  <c r="Q444" i="6" s="1"/>
  <c r="V444" i="6" s="1"/>
  <c r="AC445" i="6"/>
  <c r="Q445" i="6" s="1"/>
  <c r="V445" i="6" s="1"/>
  <c r="AC446" i="6"/>
  <c r="Q446" i="6" s="1"/>
  <c r="V446" i="6" s="1"/>
  <c r="AC447" i="6"/>
  <c r="Q447" i="6" s="1"/>
  <c r="V447" i="6" s="1"/>
  <c r="AC448" i="6"/>
  <c r="Q448" i="6" s="1"/>
  <c r="V448" i="6" s="1"/>
  <c r="AC449" i="6"/>
  <c r="Q449" i="6" s="1"/>
  <c r="V449" i="6" s="1"/>
  <c r="AC450" i="6"/>
  <c r="Q450" i="6" s="1"/>
  <c r="V450" i="6" s="1"/>
  <c r="AC451" i="6"/>
  <c r="Q451" i="6" s="1"/>
  <c r="V451" i="6" s="1"/>
  <c r="AC452" i="6"/>
  <c r="Q452" i="6" s="1"/>
  <c r="V452" i="6" s="1"/>
  <c r="AC453" i="6"/>
  <c r="Q453" i="6" s="1"/>
  <c r="V453" i="6" s="1"/>
  <c r="AC454" i="6"/>
  <c r="Q454" i="6" s="1"/>
  <c r="V454" i="6" s="1"/>
  <c r="AC455" i="6"/>
  <c r="Q455" i="6" s="1"/>
  <c r="V455" i="6" s="1"/>
  <c r="AC456" i="6"/>
  <c r="Q456" i="6" s="1"/>
  <c r="V456" i="6" s="1"/>
  <c r="AC457" i="6"/>
  <c r="Q457" i="6" s="1"/>
  <c r="V457" i="6" s="1"/>
  <c r="AC458" i="6"/>
  <c r="Q458" i="6" s="1"/>
  <c r="V458" i="6" s="1"/>
  <c r="AC459" i="6"/>
  <c r="Q459" i="6" s="1"/>
  <c r="V459" i="6" s="1"/>
  <c r="AC460" i="6"/>
  <c r="Q460" i="6" s="1"/>
  <c r="V460" i="6" s="1"/>
  <c r="AC461" i="6"/>
  <c r="Q461" i="6" s="1"/>
  <c r="V461" i="6" s="1"/>
  <c r="AC462" i="6"/>
  <c r="Q462" i="6" s="1"/>
  <c r="V462" i="6" s="1"/>
  <c r="AC463" i="6"/>
  <c r="Q463" i="6" s="1"/>
  <c r="V463" i="6" s="1"/>
  <c r="AC464" i="6"/>
  <c r="Q464" i="6" s="1"/>
  <c r="V464" i="6" s="1"/>
  <c r="AC465" i="6"/>
  <c r="Q465" i="6" s="1"/>
  <c r="V465" i="6" s="1"/>
  <c r="AC466" i="6"/>
  <c r="Q466" i="6" s="1"/>
  <c r="V466" i="6" s="1"/>
  <c r="AC467" i="6"/>
  <c r="Q467" i="6" s="1"/>
  <c r="V467" i="6" s="1"/>
  <c r="AC468" i="6"/>
  <c r="Q468" i="6" s="1"/>
  <c r="V468" i="6" s="1"/>
  <c r="AC469" i="6"/>
  <c r="Q469" i="6" s="1"/>
  <c r="V469" i="6" s="1"/>
  <c r="AC470" i="6"/>
  <c r="Q470" i="6" s="1"/>
  <c r="V470" i="6" s="1"/>
  <c r="AC471" i="6"/>
  <c r="Q471" i="6" s="1"/>
  <c r="V471" i="6" s="1"/>
  <c r="AC472" i="6"/>
  <c r="Q472" i="6" s="1"/>
  <c r="V472" i="6" s="1"/>
  <c r="AC473" i="6"/>
  <c r="Q473" i="6" s="1"/>
  <c r="V473" i="6" s="1"/>
  <c r="AC474" i="6"/>
  <c r="Q474" i="6" s="1"/>
  <c r="V474" i="6" s="1"/>
  <c r="AC475" i="6"/>
  <c r="Q475" i="6" s="1"/>
  <c r="V475" i="6" s="1"/>
  <c r="AC476" i="6"/>
  <c r="Q476" i="6" s="1"/>
  <c r="V476" i="6" s="1"/>
  <c r="AC477" i="6"/>
  <c r="Q477" i="6" s="1"/>
  <c r="V477" i="6" s="1"/>
  <c r="AC478" i="6"/>
  <c r="Q478" i="6" s="1"/>
  <c r="V478" i="6" s="1"/>
  <c r="AC479" i="6"/>
  <c r="Q479" i="6" s="1"/>
  <c r="V479" i="6" s="1"/>
  <c r="AC480" i="6"/>
  <c r="Q480" i="6" s="1"/>
  <c r="V480" i="6" s="1"/>
  <c r="AC481" i="6"/>
  <c r="Q481" i="6" s="1"/>
  <c r="V481" i="6" s="1"/>
  <c r="AC482" i="6"/>
  <c r="Q482" i="6" s="1"/>
  <c r="V482" i="6" s="1"/>
  <c r="AC483" i="6"/>
  <c r="Q483" i="6" s="1"/>
  <c r="V483" i="6" s="1"/>
  <c r="E5" i="21"/>
  <c r="E21" i="21"/>
  <c r="E18" i="21"/>
  <c r="E22" i="21"/>
  <c r="E10" i="21"/>
  <c r="E13" i="21"/>
  <c r="E23" i="21"/>
  <c r="E11" i="21"/>
  <c r="E12" i="21"/>
  <c r="E24" i="21"/>
  <c r="E14" i="21"/>
  <c r="E15" i="21"/>
  <c r="E19" i="21"/>
  <c r="E6" i="21"/>
  <c r="E25" i="21"/>
  <c r="E7" i="21"/>
  <c r="E16" i="21"/>
  <c r="E8" i="21"/>
  <c r="E9" i="21"/>
  <c r="E17" i="21"/>
  <c r="E26" i="21"/>
  <c r="E45" i="21"/>
  <c r="E46" i="21"/>
  <c r="E38" i="21"/>
  <c r="E29" i="21"/>
  <c r="E47" i="21"/>
  <c r="E48" i="21"/>
  <c r="E39" i="21"/>
  <c r="E30" i="21"/>
  <c r="E28" i="21"/>
  <c r="E31" i="21"/>
  <c r="E49" i="21"/>
  <c r="E32" i="21"/>
  <c r="E40" i="21"/>
  <c r="E27" i="21"/>
  <c r="E33" i="21"/>
  <c r="E44" i="21"/>
  <c r="E34" i="21"/>
  <c r="E50" i="21"/>
  <c r="E36" i="21"/>
  <c r="E37" i="21"/>
  <c r="E35" i="21"/>
  <c r="E41" i="21"/>
  <c r="E43" i="21"/>
  <c r="E42" i="21"/>
  <c r="E54" i="21"/>
  <c r="E71" i="21"/>
  <c r="E72" i="21"/>
  <c r="E73" i="21"/>
  <c r="E74" i="21"/>
  <c r="E57" i="21"/>
  <c r="E75" i="21"/>
  <c r="E63" i="21"/>
  <c r="E56" i="21"/>
  <c r="E58" i="21"/>
  <c r="E64" i="21"/>
  <c r="E59" i="21"/>
  <c r="E65" i="21"/>
  <c r="E68" i="21"/>
  <c r="E60" i="21"/>
  <c r="E76" i="21"/>
  <c r="E55" i="21"/>
  <c r="E69" i="21"/>
  <c r="E61" i="21"/>
  <c r="E77" i="21"/>
  <c r="E70" i="21"/>
  <c r="E66" i="21"/>
  <c r="E67" i="21"/>
  <c r="E78" i="21"/>
  <c r="E79" i="21"/>
  <c r="E93" i="21"/>
  <c r="E98" i="21"/>
  <c r="E99" i="21"/>
  <c r="E83" i="21"/>
  <c r="E95" i="21"/>
  <c r="E100" i="21"/>
  <c r="E101" i="21"/>
  <c r="E84" i="21"/>
  <c r="E88" i="21"/>
  <c r="E96" i="21"/>
  <c r="E89" i="21"/>
  <c r="E102" i="21"/>
  <c r="E103" i="21"/>
  <c r="E85" i="21"/>
  <c r="E90" i="21"/>
  <c r="E86" i="21"/>
  <c r="E62" i="21"/>
  <c r="E104" i="21"/>
  <c r="E91" i="21"/>
  <c r="E81" i="21"/>
  <c r="E94" i="21"/>
  <c r="E92" i="21"/>
  <c r="E97" i="21"/>
  <c r="E105" i="21"/>
  <c r="E87" i="21"/>
  <c r="E82" i="21"/>
  <c r="E106" i="21"/>
  <c r="E107" i="21"/>
  <c r="E127" i="21"/>
  <c r="E113" i="21"/>
  <c r="E128" i="21"/>
  <c r="E116" i="21"/>
  <c r="E126" i="21"/>
  <c r="E117" i="21"/>
  <c r="E118" i="21"/>
  <c r="E129" i="21"/>
  <c r="E119" i="21"/>
  <c r="E120" i="21"/>
  <c r="E121" i="21"/>
  <c r="E109" i="21"/>
  <c r="E124" i="21"/>
  <c r="E110" i="21"/>
  <c r="E130" i="21"/>
  <c r="E111" i="21"/>
  <c r="E125" i="21"/>
  <c r="E114" i="21"/>
  <c r="E115" i="21"/>
  <c r="E122" i="21"/>
  <c r="E112" i="21"/>
  <c r="E108" i="21"/>
  <c r="E123" i="21"/>
  <c r="E147" i="21"/>
  <c r="E148" i="21"/>
  <c r="E135" i="21"/>
  <c r="E149" i="21"/>
  <c r="E150" i="21"/>
  <c r="E151" i="21"/>
  <c r="E131" i="21"/>
  <c r="E134" i="21"/>
  <c r="E143" i="21"/>
  <c r="E140" i="21"/>
  <c r="E152" i="21"/>
  <c r="E136" i="21"/>
  <c r="E144" i="21"/>
  <c r="E137" i="21"/>
  <c r="E146" i="21"/>
  <c r="E153" i="21"/>
  <c r="E141" i="21"/>
  <c r="E154" i="21"/>
  <c r="E155" i="21"/>
  <c r="E142" i="21"/>
  <c r="E156" i="21"/>
  <c r="E157" i="21"/>
  <c r="E138" i="21"/>
  <c r="E145" i="21"/>
  <c r="E139" i="21"/>
  <c r="E158" i="21"/>
  <c r="E132" i="21"/>
  <c r="E133" i="21"/>
  <c r="E168" i="21"/>
  <c r="E174" i="21"/>
  <c r="E175" i="21"/>
  <c r="E163" i="21"/>
  <c r="E176" i="21"/>
  <c r="E177" i="21"/>
  <c r="E178" i="21"/>
  <c r="E521" i="21"/>
  <c r="E159" i="21"/>
  <c r="E173" i="21"/>
  <c r="E179" i="21"/>
  <c r="E180" i="21"/>
  <c r="E164" i="21"/>
  <c r="E160" i="21"/>
  <c r="E165" i="21"/>
  <c r="E169" i="21"/>
  <c r="E161" i="21"/>
  <c r="E170" i="21"/>
  <c r="E162" i="21"/>
  <c r="E166" i="21"/>
  <c r="E181" i="21"/>
  <c r="E182" i="21"/>
  <c r="E167" i="21"/>
  <c r="E183" i="21"/>
  <c r="E171" i="21"/>
  <c r="E202" i="21"/>
  <c r="E193" i="21"/>
  <c r="E203" i="21"/>
  <c r="E200" i="21"/>
  <c r="E191" i="21"/>
  <c r="E187" i="21"/>
  <c r="E204" i="21"/>
  <c r="E192" i="21"/>
  <c r="E194" i="21"/>
  <c r="E205" i="21"/>
  <c r="E195" i="21"/>
  <c r="E189" i="21"/>
  <c r="E184" i="21"/>
  <c r="E185" i="21"/>
  <c r="E196" i="21"/>
  <c r="E206" i="21"/>
  <c r="E207" i="21"/>
  <c r="E190" i="21"/>
  <c r="E188" i="21"/>
  <c r="E197" i="21"/>
  <c r="E186" i="21"/>
  <c r="E199" i="21"/>
  <c r="E201" i="21"/>
  <c r="E227" i="21"/>
  <c r="E214" i="21"/>
  <c r="E209" i="21"/>
  <c r="E228" i="21"/>
  <c r="E215" i="21"/>
  <c r="E216" i="21"/>
  <c r="E229" i="21"/>
  <c r="E211" i="21"/>
  <c r="E220" i="21"/>
  <c r="E222" i="21"/>
  <c r="E230" i="21"/>
  <c r="E223" i="21"/>
  <c r="E212" i="21"/>
  <c r="E221" i="21"/>
  <c r="E210" i="21"/>
  <c r="E213" i="21"/>
  <c r="E217" i="21"/>
  <c r="E231" i="21"/>
  <c r="E232" i="21"/>
  <c r="E218" i="21"/>
  <c r="E219" i="21"/>
  <c r="E226" i="21"/>
  <c r="E233" i="21"/>
  <c r="E224" i="21"/>
  <c r="E234" i="21"/>
  <c r="E225" i="21"/>
  <c r="E237" i="21"/>
  <c r="E251" i="21"/>
  <c r="E252" i="21"/>
  <c r="E238" i="21"/>
  <c r="E239" i="21"/>
  <c r="E253" i="21"/>
  <c r="E241" i="21"/>
  <c r="E254" i="21"/>
  <c r="E242" i="21"/>
  <c r="E255" i="21"/>
  <c r="E243" i="21"/>
  <c r="E256" i="21"/>
  <c r="E236" i="21"/>
  <c r="E244" i="21"/>
  <c r="E249" i="21"/>
  <c r="E257" i="21"/>
  <c r="E250" i="21"/>
  <c r="E235" i="21"/>
  <c r="E245" i="21"/>
  <c r="E258" i="21"/>
  <c r="E240" i="21"/>
  <c r="E246" i="21"/>
  <c r="E247" i="21"/>
  <c r="E248" i="21"/>
  <c r="E259" i="21"/>
  <c r="E260" i="21"/>
  <c r="E278" i="21"/>
  <c r="E261" i="21"/>
  <c r="E279" i="21"/>
  <c r="E269" i="21"/>
  <c r="E270" i="21"/>
  <c r="E280" i="21"/>
  <c r="E271" i="21"/>
  <c r="E272" i="21"/>
  <c r="E262" i="21"/>
  <c r="E266" i="21"/>
  <c r="E281" i="21"/>
  <c r="E263" i="21"/>
  <c r="E282" i="21"/>
  <c r="E283" i="21"/>
  <c r="E264" i="21"/>
  <c r="E284" i="21"/>
  <c r="E285" i="21"/>
  <c r="E265" i="21"/>
  <c r="E273" i="21"/>
  <c r="E267" i="21"/>
  <c r="E276" i="21"/>
  <c r="E268" i="21"/>
  <c r="E277" i="21"/>
  <c r="E296" i="21"/>
  <c r="E302" i="21"/>
  <c r="E303" i="21"/>
  <c r="E297" i="21"/>
  <c r="E286" i="21"/>
  <c r="E304" i="21"/>
  <c r="E298" i="21"/>
  <c r="E299" i="21"/>
  <c r="E289" i="21"/>
  <c r="E292" i="21"/>
  <c r="E305" i="21"/>
  <c r="E287" i="21"/>
  <c r="E293" i="21"/>
  <c r="E306" i="21"/>
  <c r="E307" i="21"/>
  <c r="E294" i="21"/>
  <c r="E300" i="21"/>
  <c r="E301" i="21"/>
  <c r="E308" i="21"/>
  <c r="E295" i="21"/>
  <c r="E309" i="21"/>
  <c r="E288" i="21"/>
  <c r="E310" i="21"/>
  <c r="E290" i="21"/>
  <c r="E311" i="21"/>
  <c r="E312" i="21"/>
  <c r="E291" i="21"/>
  <c r="E329" i="21"/>
  <c r="E331" i="21"/>
  <c r="E330" i="21"/>
  <c r="E332" i="21"/>
  <c r="E315" i="21"/>
  <c r="E322" i="21"/>
  <c r="E326" i="21"/>
  <c r="E316" i="21"/>
  <c r="E323" i="21"/>
  <c r="E328" i="21"/>
  <c r="E317" i="21"/>
  <c r="E314" i="21"/>
  <c r="E333" i="21"/>
  <c r="E334" i="21"/>
  <c r="E324" i="21"/>
  <c r="E318" i="21"/>
  <c r="E335" i="21"/>
  <c r="E336" i="21"/>
  <c r="E319" i="21"/>
  <c r="E337" i="21"/>
  <c r="E338" i="21"/>
  <c r="E313" i="21"/>
  <c r="E355" i="21"/>
  <c r="E345" i="21"/>
  <c r="E356" i="21"/>
  <c r="E357" i="21"/>
  <c r="E358" i="21"/>
  <c r="E346" i="21"/>
  <c r="E359" i="21"/>
  <c r="E360" i="21"/>
  <c r="E352" i="21"/>
  <c r="E361" i="21"/>
  <c r="E354" i="21"/>
  <c r="E342" i="21"/>
  <c r="E348" i="21"/>
  <c r="E340" i="21"/>
  <c r="E320" i="21"/>
  <c r="E362" i="21"/>
  <c r="E343" i="21"/>
  <c r="E349" i="21"/>
  <c r="E351" i="21"/>
  <c r="E339" i="21"/>
  <c r="E353" i="21"/>
  <c r="E363" i="21"/>
  <c r="E344" i="21"/>
  <c r="E350" i="21"/>
  <c r="E341" i="21"/>
  <c r="E364" i="21"/>
  <c r="E347" i="21"/>
  <c r="E374" i="21"/>
  <c r="E384" i="21"/>
  <c r="E367" i="21"/>
  <c r="E385" i="21"/>
  <c r="E368" i="21"/>
  <c r="E369" i="21"/>
  <c r="E376" i="21"/>
  <c r="E386" i="21"/>
  <c r="E370" i="21"/>
  <c r="E371" i="21"/>
  <c r="E375" i="21"/>
  <c r="E377" i="21"/>
  <c r="E372" i="21"/>
  <c r="E378" i="21"/>
  <c r="E387" i="21"/>
  <c r="E373" i="21"/>
  <c r="E388" i="21"/>
  <c r="E389" i="21"/>
  <c r="E379" i="21"/>
  <c r="E390" i="21"/>
  <c r="E366" i="21"/>
  <c r="E365" i="21"/>
  <c r="E380" i="21"/>
  <c r="E408" i="21"/>
  <c r="E409" i="21"/>
  <c r="E403" i="21"/>
  <c r="E393" i="21"/>
  <c r="E396" i="21"/>
  <c r="E404" i="21"/>
  <c r="E397" i="21"/>
  <c r="E405" i="21"/>
  <c r="E406" i="21"/>
  <c r="E410" i="21"/>
  <c r="E394" i="21"/>
  <c r="E411" i="21"/>
  <c r="E398" i="21"/>
  <c r="E412" i="21"/>
  <c r="E399" i="21"/>
  <c r="E395" i="21"/>
  <c r="E413" i="21"/>
  <c r="E400" i="21"/>
  <c r="E407" i="21"/>
  <c r="E392" i="21"/>
  <c r="E391" i="21"/>
  <c r="E401" i="21"/>
  <c r="E414" i="21"/>
  <c r="E418" i="21"/>
  <c r="E432" i="21"/>
  <c r="E433" i="21"/>
  <c r="E434" i="21"/>
  <c r="E435" i="21"/>
  <c r="E421" i="21"/>
  <c r="E422" i="21"/>
  <c r="E436" i="21"/>
  <c r="E423" i="21"/>
  <c r="E415" i="21"/>
  <c r="E437" i="21"/>
  <c r="E438" i="21"/>
  <c r="E424" i="21"/>
  <c r="E425" i="21"/>
  <c r="E439" i="21"/>
  <c r="E428" i="21"/>
  <c r="E440" i="21"/>
  <c r="E441" i="21"/>
  <c r="E442" i="21"/>
  <c r="E419" i="21"/>
  <c r="E426" i="21"/>
  <c r="E417" i="21"/>
  <c r="E416" i="21"/>
  <c r="E430" i="21"/>
  <c r="E420" i="21"/>
  <c r="E443" i="21"/>
  <c r="E453" i="21"/>
  <c r="E462" i="21"/>
  <c r="E463" i="21"/>
  <c r="E464" i="21"/>
  <c r="E454" i="21"/>
  <c r="E447" i="21"/>
  <c r="E446" i="21"/>
  <c r="E448" i="21"/>
  <c r="E449" i="21"/>
  <c r="E450" i="21"/>
  <c r="E455" i="21"/>
  <c r="E465" i="21"/>
  <c r="E451" i="21"/>
  <c r="E461" i="21"/>
  <c r="E452" i="21"/>
  <c r="E456" i="21"/>
  <c r="E274" i="21"/>
  <c r="E457" i="21"/>
  <c r="E444" i="21"/>
  <c r="E466" i="21"/>
  <c r="E460" i="21"/>
  <c r="E445" i="21"/>
  <c r="E458" i="21"/>
  <c r="E459" i="21"/>
  <c r="E467" i="21"/>
  <c r="E475" i="21"/>
  <c r="E486" i="21"/>
  <c r="E487" i="21"/>
  <c r="E476" i="21"/>
  <c r="E488" i="21"/>
  <c r="E478" i="21"/>
  <c r="E482" i="21"/>
  <c r="E489" i="21"/>
  <c r="E468" i="21"/>
  <c r="E490" i="21"/>
  <c r="E470" i="21"/>
  <c r="E479" i="21"/>
  <c r="E471" i="21"/>
  <c r="E491" i="21"/>
  <c r="E492" i="21"/>
  <c r="E469" i="21"/>
  <c r="E472" i="21"/>
  <c r="E480" i="21"/>
  <c r="E477" i="21"/>
  <c r="E483" i="21"/>
  <c r="E473" i="21"/>
  <c r="E481" i="21"/>
  <c r="E485" i="21"/>
  <c r="E474" i="21"/>
  <c r="E484" i="21"/>
  <c r="E508" i="21"/>
  <c r="E509" i="21"/>
  <c r="E510" i="21"/>
  <c r="E495" i="21"/>
  <c r="E505" i="21"/>
  <c r="E493" i="21"/>
  <c r="E498" i="21"/>
  <c r="E511" i="21"/>
  <c r="E499" i="21"/>
  <c r="E506" i="21"/>
  <c r="E496" i="21"/>
  <c r="E512" i="21"/>
  <c r="E513" i="21"/>
  <c r="E503" i="21"/>
  <c r="E514" i="21"/>
  <c r="E500" i="21"/>
  <c r="E501" i="21"/>
  <c r="E507" i="21"/>
  <c r="E515" i="21"/>
  <c r="E516" i="21"/>
  <c r="E502" i="21"/>
  <c r="E497" i="21"/>
  <c r="E504" i="21"/>
  <c r="E517" i="21"/>
  <c r="E518" i="21"/>
  <c r="E519" i="21"/>
  <c r="E520" i="21"/>
  <c r="E494" i="21"/>
  <c r="AB280" i="6"/>
  <c r="S280" i="6"/>
  <c r="AA280" i="6"/>
  <c r="AC280" i="6"/>
  <c r="Q280" i="6" s="1"/>
  <c r="AA41" i="6"/>
  <c r="AC41" i="6"/>
  <c r="Q41" i="6" s="1"/>
  <c r="AA66" i="6"/>
  <c r="AC66" i="6"/>
  <c r="Q66" i="6" s="1"/>
  <c r="AA67" i="6"/>
  <c r="AC67" i="6"/>
  <c r="Q67" i="6" s="1"/>
  <c r="AA68" i="6"/>
  <c r="AC68" i="6"/>
  <c r="Q68" i="6" s="1"/>
  <c r="AA22" i="6"/>
  <c r="AC22" i="6"/>
  <c r="Q22" i="6" s="1"/>
  <c r="AA42" i="6"/>
  <c r="AC42" i="6"/>
  <c r="Q42" i="6" s="1"/>
  <c r="AA69" i="6"/>
  <c r="AC69" i="6"/>
  <c r="Q69" i="6" s="1"/>
  <c r="AA23" i="6"/>
  <c r="AC23" i="6"/>
  <c r="Q23" i="6" s="1"/>
  <c r="AA2" i="6"/>
  <c r="AC2" i="6"/>
  <c r="Q2" i="6" s="1"/>
  <c r="AA70" i="6"/>
  <c r="AC70" i="6"/>
  <c r="Q70" i="6" s="1"/>
  <c r="AA71" i="6"/>
  <c r="AC71" i="6"/>
  <c r="Q71" i="6" s="1"/>
  <c r="AA3" i="6"/>
  <c r="AC3" i="6"/>
  <c r="Q3" i="6" s="1"/>
  <c r="AA21" i="6"/>
  <c r="AC21" i="6"/>
  <c r="Q21" i="6" s="1"/>
  <c r="Y39" i="21" s="1"/>
  <c r="AA43" i="6"/>
  <c r="AC43" i="6"/>
  <c r="Q43" i="6" s="1"/>
  <c r="AA33" i="6"/>
  <c r="AC33" i="6"/>
  <c r="Q33" i="6" s="1"/>
  <c r="AA72" i="6"/>
  <c r="AC72" i="6"/>
  <c r="Q72" i="6" s="1"/>
  <c r="AA73" i="6"/>
  <c r="AC73" i="6"/>
  <c r="Q73" i="6" s="1"/>
  <c r="AA44" i="6"/>
  <c r="AC44" i="6"/>
  <c r="Q44" i="6" s="1"/>
  <c r="AA9" i="6"/>
  <c r="AC9" i="6"/>
  <c r="Q9" i="6" s="1"/>
  <c r="AA74" i="6"/>
  <c r="AC74" i="6"/>
  <c r="Q74" i="6" s="1"/>
  <c r="AA75" i="6"/>
  <c r="AC75" i="6"/>
  <c r="Q75" i="6" s="1"/>
  <c r="Y78" i="21"/>
  <c r="AA28" i="6"/>
  <c r="AC28" i="6"/>
  <c r="Q28" i="6" s="1"/>
  <c r="AA76" i="6"/>
  <c r="AC76" i="6"/>
  <c r="Q76" i="6" s="1"/>
  <c r="AA137" i="6"/>
  <c r="AC137" i="6"/>
  <c r="Q137" i="6" s="1"/>
  <c r="AA77" i="6"/>
  <c r="AC77" i="6"/>
  <c r="Q77" i="6" s="1"/>
  <c r="AA138" i="6"/>
  <c r="AC138" i="6"/>
  <c r="Q138" i="6" s="1"/>
  <c r="AA45" i="6"/>
  <c r="AC45" i="6"/>
  <c r="Q45" i="6" s="1"/>
  <c r="AA78" i="6"/>
  <c r="AC78" i="6"/>
  <c r="Q78" i="6" s="1"/>
  <c r="AA79" i="6"/>
  <c r="AC79" i="6"/>
  <c r="Q79" i="6" s="1"/>
  <c r="AA80" i="6"/>
  <c r="AC80" i="6"/>
  <c r="Q80" i="6" s="1"/>
  <c r="AA81" i="6"/>
  <c r="AC81" i="6"/>
  <c r="Q81" i="6" s="1"/>
  <c r="AA82" i="6"/>
  <c r="AC82" i="6"/>
  <c r="Q82" i="6" s="1"/>
  <c r="AA220" i="6"/>
  <c r="AC220" i="6"/>
  <c r="Q220" i="6" s="1"/>
  <c r="AA139" i="6"/>
  <c r="AC139" i="6"/>
  <c r="Q139" i="6" s="1"/>
  <c r="AA209" i="6"/>
  <c r="AC209" i="6"/>
  <c r="Q209" i="6" s="1"/>
  <c r="AA186" i="6"/>
  <c r="AC186" i="6"/>
  <c r="Q186" i="6" s="1"/>
  <c r="AA187" i="6"/>
  <c r="AC187" i="6"/>
  <c r="Q187" i="6" s="1"/>
  <c r="AA83" i="6"/>
  <c r="AC83" i="6"/>
  <c r="Q83" i="6" s="1"/>
  <c r="AA84" i="6"/>
  <c r="AC84" i="6"/>
  <c r="Q84" i="6" s="1"/>
  <c r="AA140" i="6"/>
  <c r="AC140" i="6"/>
  <c r="Q140" i="6" s="1"/>
  <c r="AA141" i="6"/>
  <c r="AC141" i="6"/>
  <c r="Q141" i="6" s="1"/>
  <c r="AA142" i="6"/>
  <c r="AC142" i="6"/>
  <c r="Q142" i="6" s="1"/>
  <c r="AA143" i="6"/>
  <c r="AC143" i="6"/>
  <c r="Q143" i="6" s="1"/>
  <c r="AA144" i="6"/>
  <c r="AC144" i="6"/>
  <c r="Q144" i="6" s="1"/>
  <c r="AA85" i="6"/>
  <c r="AC85" i="6"/>
  <c r="Q85" i="6" s="1"/>
  <c r="AA34" i="6"/>
  <c r="AC34" i="6"/>
  <c r="Q34" i="6" s="1"/>
  <c r="AA86" i="6"/>
  <c r="AC86" i="6"/>
  <c r="Q86" i="6" s="1"/>
  <c r="AA87" i="6"/>
  <c r="AC87" i="6"/>
  <c r="Q87" i="6" s="1"/>
  <c r="AA46" i="6"/>
  <c r="AC46" i="6"/>
  <c r="Q46" i="6" s="1"/>
  <c r="AA88" i="6"/>
  <c r="AC88" i="6"/>
  <c r="Q88" i="6" s="1"/>
  <c r="AA89" i="6"/>
  <c r="AC89" i="6"/>
  <c r="Q89" i="6" s="1"/>
  <c r="AA90" i="6"/>
  <c r="AC90" i="6"/>
  <c r="Q90" i="6" s="1"/>
  <c r="AA145" i="6"/>
  <c r="AC145" i="6"/>
  <c r="Q145" i="6" s="1"/>
  <c r="AA47" i="6"/>
  <c r="AC47" i="6"/>
  <c r="Q47" i="6" s="1"/>
  <c r="AA146" i="6"/>
  <c r="AC146" i="6"/>
  <c r="Q146" i="6" s="1"/>
  <c r="AA15" i="6"/>
  <c r="AC15" i="6"/>
  <c r="Q15" i="6" s="1"/>
  <c r="AA147" i="6"/>
  <c r="AC147" i="6"/>
  <c r="Q147" i="6" s="1"/>
  <c r="AA221" i="6"/>
  <c r="AC221" i="6"/>
  <c r="Q221" i="6" s="1"/>
  <c r="AA91" i="6"/>
  <c r="AC91" i="6"/>
  <c r="Q91" i="6" s="1"/>
  <c r="AA148" i="6"/>
  <c r="AC148" i="6"/>
  <c r="Q148" i="6" s="1"/>
  <c r="AA149" i="6"/>
  <c r="AC149" i="6"/>
  <c r="Q149" i="6" s="1"/>
  <c r="AA92" i="6"/>
  <c r="AC92" i="6"/>
  <c r="Q92" i="6" s="1"/>
  <c r="AA93" i="6"/>
  <c r="AC93" i="6"/>
  <c r="Q93" i="6" s="1"/>
  <c r="AA94" i="6"/>
  <c r="AC94" i="6"/>
  <c r="Q94" i="6" s="1"/>
  <c r="AA95" i="6"/>
  <c r="AC95" i="6"/>
  <c r="Q95" i="6" s="1"/>
  <c r="AA222" i="6"/>
  <c r="AC222" i="6"/>
  <c r="Q222" i="6" s="1"/>
  <c r="AA48" i="6"/>
  <c r="AC48" i="6"/>
  <c r="Q48" i="6" s="1"/>
  <c r="AA150" i="6"/>
  <c r="AC150" i="6"/>
  <c r="Q150" i="6" s="1"/>
  <c r="AA96" i="6"/>
  <c r="AC96" i="6"/>
  <c r="Q96" i="6" s="1"/>
  <c r="AA188" i="6"/>
  <c r="AC188" i="6"/>
  <c r="Q188" i="6" s="1"/>
  <c r="Y321" i="21" s="1"/>
  <c r="AA10" i="6"/>
  <c r="AC10" i="6"/>
  <c r="Q10" i="6" s="1"/>
  <c r="AA35" i="6"/>
  <c r="AC35" i="6"/>
  <c r="Q35" i="6" s="1"/>
  <c r="AA97" i="6"/>
  <c r="AC97" i="6"/>
  <c r="Q97" i="6" s="1"/>
  <c r="AA49" i="6"/>
  <c r="AC49" i="6"/>
  <c r="Q49" i="6" s="1"/>
  <c r="AA40" i="6"/>
  <c r="AC40" i="6"/>
  <c r="Q40" i="6" s="1"/>
  <c r="AA50" i="6"/>
  <c r="AC50" i="6"/>
  <c r="Q50" i="6" s="1"/>
  <c r="AA98" i="6"/>
  <c r="AC98" i="6"/>
  <c r="Q98" i="6" s="1"/>
  <c r="AA99" i="6"/>
  <c r="AC99" i="6"/>
  <c r="Q99" i="6" s="1"/>
  <c r="AA189" i="6"/>
  <c r="AC189" i="6"/>
  <c r="Q189" i="6" s="1"/>
  <c r="AA151" i="6"/>
  <c r="AC151" i="6"/>
  <c r="Q151" i="6" s="1"/>
  <c r="AA100" i="6"/>
  <c r="AC100" i="6"/>
  <c r="Q100" i="6" s="1"/>
  <c r="AA101" i="6"/>
  <c r="AC101" i="6"/>
  <c r="Q101" i="6" s="1"/>
  <c r="AA24" i="6"/>
  <c r="AC24" i="6"/>
  <c r="Q24" i="6" s="1"/>
  <c r="AA152" i="6"/>
  <c r="AC152" i="6"/>
  <c r="Q152" i="6" s="1"/>
  <c r="AA153" i="6"/>
  <c r="AC153" i="6"/>
  <c r="Q153" i="6" s="1"/>
  <c r="AA29" i="6"/>
  <c r="AC29" i="6"/>
  <c r="Q29" i="6" s="1"/>
  <c r="AA190" i="6"/>
  <c r="AC190" i="6"/>
  <c r="Q190" i="6" s="1"/>
  <c r="AA4" i="6"/>
  <c r="AC4" i="6"/>
  <c r="Q4" i="6" s="1"/>
  <c r="AA51" i="6"/>
  <c r="AC51" i="6"/>
  <c r="Q51" i="6" s="1"/>
  <c r="AA36" i="6"/>
  <c r="AC36" i="6"/>
  <c r="Q36" i="6" s="1"/>
  <c r="AA102" i="6"/>
  <c r="AC102" i="6"/>
  <c r="Q102" i="6" s="1"/>
  <c r="AA16" i="6"/>
  <c r="AC16" i="6"/>
  <c r="Q16" i="6" s="1"/>
  <c r="AA103" i="6"/>
  <c r="AC103" i="6"/>
  <c r="Q103" i="6" s="1"/>
  <c r="AA52" i="6"/>
  <c r="AC52" i="6"/>
  <c r="Q52" i="6" s="1"/>
  <c r="AA104" i="6"/>
  <c r="AC104" i="6"/>
  <c r="Q104" i="6" s="1"/>
  <c r="AA105" i="6"/>
  <c r="AC105" i="6"/>
  <c r="Q105" i="6" s="1"/>
  <c r="AA11" i="6"/>
  <c r="AC11" i="6"/>
  <c r="Q11" i="6" s="1"/>
  <c r="AA53" i="6"/>
  <c r="AC53" i="6"/>
  <c r="Q53" i="6" s="1"/>
  <c r="AA54" i="6"/>
  <c r="AC54" i="6"/>
  <c r="Q54" i="6" s="1"/>
  <c r="AA25" i="6"/>
  <c r="AC25" i="6"/>
  <c r="Q25" i="6" s="1"/>
  <c r="AA6" i="6"/>
  <c r="AC6" i="6"/>
  <c r="Q6" i="6" s="1"/>
  <c r="AA154" i="6"/>
  <c r="AC154" i="6"/>
  <c r="Q154" i="6" s="1"/>
  <c r="AA55" i="6"/>
  <c r="AC55" i="6"/>
  <c r="Q55" i="6" s="1"/>
  <c r="AA56" i="6"/>
  <c r="AC56" i="6"/>
  <c r="Q56" i="6" s="1"/>
  <c r="AA106" i="6"/>
  <c r="AC106" i="6"/>
  <c r="Q106" i="6" s="1"/>
  <c r="AA7" i="6"/>
  <c r="AC7" i="6"/>
  <c r="Q7" i="6" s="1"/>
  <c r="Y18" i="21" s="1"/>
  <c r="AA107" i="6"/>
  <c r="AC107" i="6"/>
  <c r="Q107" i="6" s="1"/>
  <c r="AA155" i="6"/>
  <c r="AC155" i="6"/>
  <c r="Q155" i="6" s="1"/>
  <c r="AA108" i="6"/>
  <c r="AC108" i="6"/>
  <c r="Q108" i="6" s="1"/>
  <c r="AA12" i="6"/>
  <c r="AC12" i="6"/>
  <c r="Q12" i="6" s="1"/>
  <c r="AA109" i="6"/>
  <c r="AC109" i="6"/>
  <c r="Q109" i="6" s="1"/>
  <c r="AA57" i="6"/>
  <c r="AC57" i="6"/>
  <c r="Q57" i="6" s="1"/>
  <c r="AA191" i="6"/>
  <c r="AC191" i="6"/>
  <c r="Q191" i="6" s="1"/>
  <c r="AA210" i="6"/>
  <c r="AC210" i="6"/>
  <c r="Q210" i="6" s="1"/>
  <c r="AA192" i="6"/>
  <c r="AC192" i="6"/>
  <c r="Q192" i="6" s="1"/>
  <c r="AA156" i="6"/>
  <c r="AC156" i="6"/>
  <c r="Q156" i="6" s="1"/>
  <c r="AA211" i="6"/>
  <c r="AC211" i="6"/>
  <c r="Q211" i="6" s="1"/>
  <c r="AA193" i="6"/>
  <c r="AC193" i="6"/>
  <c r="Q193" i="6" s="1"/>
  <c r="AA194" i="6"/>
  <c r="AC194" i="6"/>
  <c r="Q194" i="6" s="1"/>
  <c r="AA157" i="6"/>
  <c r="AC157" i="6"/>
  <c r="Q157" i="6" s="1"/>
  <c r="AA158" i="6"/>
  <c r="AC158" i="6"/>
  <c r="Q158" i="6" s="1"/>
  <c r="Y263" i="21" s="1"/>
  <c r="AA159" i="6"/>
  <c r="AC159" i="6"/>
  <c r="Q159" i="6" s="1"/>
  <c r="AA160" i="6"/>
  <c r="AC160" i="6"/>
  <c r="Q160" i="6" s="1"/>
  <c r="AA110" i="6"/>
  <c r="AC110" i="6"/>
  <c r="Q110" i="6" s="1"/>
  <c r="AA161" i="6"/>
  <c r="AC161" i="6"/>
  <c r="Q161" i="6" s="1"/>
  <c r="AA58" i="6"/>
  <c r="AC58" i="6"/>
  <c r="Q58" i="6" s="1"/>
  <c r="AA111" i="6"/>
  <c r="AC111" i="6"/>
  <c r="Q111" i="6" s="1"/>
  <c r="AA162" i="6"/>
  <c r="AC162" i="6"/>
  <c r="Q162" i="6" s="1"/>
  <c r="AA163" i="6"/>
  <c r="AC163" i="6"/>
  <c r="Q163" i="6" s="1"/>
  <c r="AA112" i="6"/>
  <c r="AC112" i="6"/>
  <c r="Q112" i="6" s="1"/>
  <c r="AA20" i="6"/>
  <c r="AC20" i="6"/>
  <c r="Q20" i="6" s="1"/>
  <c r="AA212" i="6"/>
  <c r="AC212" i="6"/>
  <c r="Q212" i="6" s="1"/>
  <c r="AA195" i="6"/>
  <c r="AC195" i="6"/>
  <c r="Q195" i="6" s="1"/>
  <c r="AA13" i="6"/>
  <c r="AC13" i="6"/>
  <c r="Q13" i="6" s="1"/>
  <c r="AA30" i="6"/>
  <c r="AC30" i="6"/>
  <c r="Q30" i="6" s="1"/>
  <c r="AA59" i="6"/>
  <c r="AC59" i="6"/>
  <c r="Q59" i="6" s="1"/>
  <c r="AA113" i="6"/>
  <c r="AC113" i="6"/>
  <c r="Q113" i="6" s="1"/>
  <c r="AA164" i="6"/>
  <c r="AC164" i="6"/>
  <c r="Q164" i="6" s="1"/>
  <c r="AA114" i="6"/>
  <c r="AC114" i="6"/>
  <c r="Q114" i="6" s="1"/>
  <c r="AA196" i="6"/>
  <c r="AC196" i="6"/>
  <c r="Q196" i="6" s="1"/>
  <c r="AA197" i="6"/>
  <c r="AC197" i="6"/>
  <c r="Q197" i="6" s="1"/>
  <c r="AA115" i="6"/>
  <c r="AC115" i="6"/>
  <c r="Q115" i="6" s="1"/>
  <c r="AA198" i="6"/>
  <c r="AC198" i="6"/>
  <c r="Q198" i="6" s="1"/>
  <c r="AA116" i="6"/>
  <c r="AC116" i="6"/>
  <c r="Q116" i="6" s="1"/>
  <c r="AA165" i="6"/>
  <c r="AC165" i="6"/>
  <c r="Q165" i="6" s="1"/>
  <c r="AA213" i="6"/>
  <c r="AC213" i="6"/>
  <c r="Q213" i="6" s="1"/>
  <c r="Y369" i="21" s="1"/>
  <c r="AA166" i="6"/>
  <c r="AC166" i="6"/>
  <c r="Q166" i="6" s="1"/>
  <c r="AA214" i="6"/>
  <c r="AC214" i="6"/>
  <c r="Q214" i="6" s="1"/>
  <c r="AA215" i="6"/>
  <c r="AC215" i="6"/>
  <c r="Q215" i="6" s="1"/>
  <c r="AA216" i="6"/>
  <c r="AC216" i="6"/>
  <c r="Q216" i="6" s="1"/>
  <c r="AA199" i="6"/>
  <c r="AC199" i="6"/>
  <c r="Q199" i="6" s="1"/>
  <c r="AA200" i="6"/>
  <c r="AC200" i="6"/>
  <c r="Q200" i="6" s="1"/>
  <c r="AA217" i="6"/>
  <c r="AC217" i="6"/>
  <c r="Q217" i="6" s="1"/>
  <c r="Y381" i="21" s="1"/>
  <c r="AA201" i="6"/>
  <c r="AC201" i="6"/>
  <c r="Q201" i="6" s="1"/>
  <c r="AA218" i="6"/>
  <c r="AC218" i="6"/>
  <c r="Q218" i="6" s="1"/>
  <c r="AA167" i="6"/>
  <c r="AC167" i="6"/>
  <c r="Q167" i="6" s="1"/>
  <c r="AA219" i="6"/>
  <c r="AC219" i="6"/>
  <c r="Q219" i="6" s="1"/>
  <c r="AA117" i="6"/>
  <c r="AC117" i="6"/>
  <c r="Q117" i="6" s="1"/>
  <c r="AA118" i="6"/>
  <c r="AC118" i="6"/>
  <c r="Q118" i="6" s="1"/>
  <c r="AA119" i="6"/>
  <c r="AC119" i="6"/>
  <c r="Q119" i="6" s="1"/>
  <c r="AA120" i="6"/>
  <c r="AC120" i="6"/>
  <c r="Q120" i="6" s="1"/>
  <c r="AA168" i="6"/>
  <c r="AC168" i="6"/>
  <c r="Q168" i="6" s="1"/>
  <c r="AA202" i="6"/>
  <c r="AC202" i="6"/>
  <c r="Q202" i="6" s="1"/>
  <c r="AA14" i="6"/>
  <c r="AC14" i="6"/>
  <c r="Q14" i="6" s="1"/>
  <c r="AA169" i="6"/>
  <c r="AC169" i="6"/>
  <c r="Q169" i="6" s="1"/>
  <c r="AA170" i="6"/>
  <c r="AC170" i="6"/>
  <c r="Q170" i="6" s="1"/>
  <c r="AA171" i="6"/>
  <c r="AC171" i="6"/>
  <c r="Q171" i="6" s="1"/>
  <c r="AA31" i="6"/>
  <c r="AC31" i="6"/>
  <c r="Q31" i="6" s="1"/>
  <c r="AA121" i="6"/>
  <c r="AC121" i="6"/>
  <c r="Q121" i="6" s="1"/>
  <c r="AA122" i="6"/>
  <c r="AC122" i="6"/>
  <c r="Q122" i="6" s="1"/>
  <c r="AA172" i="6"/>
  <c r="AC172" i="6"/>
  <c r="Q172" i="6" s="1"/>
  <c r="AA173" i="6"/>
  <c r="AC173" i="6"/>
  <c r="Q173" i="6" s="1"/>
  <c r="AA123" i="6"/>
  <c r="AC123" i="6"/>
  <c r="Q123" i="6" s="1"/>
  <c r="AA124" i="6"/>
  <c r="AC124" i="6"/>
  <c r="Q124" i="6" s="1"/>
  <c r="AA125" i="6"/>
  <c r="AC125" i="6"/>
  <c r="Q125" i="6" s="1"/>
  <c r="AA126" i="6"/>
  <c r="AC126" i="6"/>
  <c r="Q126" i="6" s="1"/>
  <c r="AA127" i="6"/>
  <c r="AC127" i="6"/>
  <c r="Q127" i="6" s="1"/>
  <c r="AA128" i="6"/>
  <c r="AC128" i="6"/>
  <c r="Q128" i="6" s="1"/>
  <c r="AA174" i="6"/>
  <c r="AC174" i="6"/>
  <c r="Q174" i="6" s="1"/>
  <c r="AA175" i="6"/>
  <c r="AC175" i="6"/>
  <c r="Q175" i="6" s="1"/>
  <c r="AA26" i="6"/>
  <c r="AC26" i="6"/>
  <c r="Q26" i="6" s="1"/>
  <c r="AA37" i="6"/>
  <c r="AC37" i="6"/>
  <c r="Q37" i="6" s="1"/>
  <c r="AA129" i="6"/>
  <c r="AC129" i="6"/>
  <c r="Q129" i="6" s="1"/>
  <c r="AA203" i="6"/>
  <c r="AC203" i="6"/>
  <c r="Q203" i="6" s="1"/>
  <c r="AA130" i="6"/>
  <c r="AC130" i="6"/>
  <c r="Q130" i="6" s="1"/>
  <c r="AA176" i="6"/>
  <c r="AC176" i="6"/>
  <c r="Q176" i="6" s="1"/>
  <c r="AA60" i="6"/>
  <c r="AC60" i="6"/>
  <c r="Q60" i="6" s="1"/>
  <c r="AA177" i="6"/>
  <c r="AC177" i="6"/>
  <c r="Q177" i="6" s="1"/>
  <c r="AA131" i="6"/>
  <c r="AC131" i="6"/>
  <c r="Q131" i="6" s="1"/>
  <c r="AA132" i="6"/>
  <c r="AC132" i="6"/>
  <c r="Q132" i="6" s="1"/>
  <c r="AA178" i="6"/>
  <c r="AC178" i="6"/>
  <c r="Q178" i="6" s="1"/>
  <c r="AA61" i="6"/>
  <c r="AC61" i="6"/>
  <c r="Q61" i="6" s="1"/>
  <c r="AA133" i="6"/>
  <c r="AC133" i="6"/>
  <c r="Q133" i="6" s="1"/>
  <c r="AA38" i="6"/>
  <c r="AC38" i="6"/>
  <c r="Q38" i="6" s="1"/>
  <c r="AA179" i="6"/>
  <c r="AC179" i="6"/>
  <c r="Q179" i="6" s="1"/>
  <c r="AA17" i="6"/>
  <c r="AC17" i="6"/>
  <c r="Q17" i="6" s="1"/>
  <c r="AA204" i="6"/>
  <c r="AC204" i="6"/>
  <c r="Q204" i="6" s="1"/>
  <c r="AA205" i="6"/>
  <c r="AC205" i="6"/>
  <c r="Q205" i="6" s="1"/>
  <c r="AA134" i="6"/>
  <c r="AC134" i="6"/>
  <c r="Q134" i="6" s="1"/>
  <c r="AA135" i="6"/>
  <c r="AC135" i="6"/>
  <c r="Q135" i="6" s="1"/>
  <c r="AA225" i="6"/>
  <c r="AC225" i="6"/>
  <c r="Q225" i="6" s="1"/>
  <c r="AA62" i="6"/>
  <c r="AC62" i="6"/>
  <c r="Q62" i="6" s="1"/>
  <c r="AA206" i="6"/>
  <c r="AC206" i="6"/>
  <c r="Q206" i="6" s="1"/>
  <c r="AA223" i="6"/>
  <c r="AC223" i="6"/>
  <c r="Q223" i="6" s="1"/>
  <c r="AA180" i="6"/>
  <c r="AC180" i="6"/>
  <c r="Q180" i="6" s="1"/>
  <c r="AA224" i="6"/>
  <c r="AC224" i="6"/>
  <c r="Q224" i="6" s="1"/>
  <c r="AA207" i="6"/>
  <c r="AC207" i="6"/>
  <c r="Q207" i="6" s="1"/>
  <c r="Y341" i="21" s="1"/>
  <c r="AA208" i="6"/>
  <c r="AC208" i="6"/>
  <c r="Q208" i="6" s="1"/>
  <c r="AA181" i="6"/>
  <c r="AC181" i="6"/>
  <c r="Q181" i="6" s="1"/>
  <c r="AA18" i="6"/>
  <c r="AC18" i="6"/>
  <c r="Q18" i="6" s="1"/>
  <c r="AA182" i="6"/>
  <c r="AC182" i="6"/>
  <c r="Q182" i="6" s="1"/>
  <c r="AA63" i="6"/>
  <c r="AC63" i="6"/>
  <c r="Q63" i="6" s="1"/>
  <c r="AA64" i="6"/>
  <c r="AC64" i="6"/>
  <c r="Q64" i="6" s="1"/>
  <c r="AA39" i="6"/>
  <c r="AC39" i="6"/>
  <c r="Q39" i="6" s="1"/>
  <c r="AA183" i="6"/>
  <c r="AC183" i="6"/>
  <c r="Q183" i="6" s="1"/>
  <c r="AA19" i="6"/>
  <c r="AC19" i="6"/>
  <c r="Q19" i="6" s="1"/>
  <c r="AA65" i="6"/>
  <c r="AC65" i="6"/>
  <c r="Q65" i="6" s="1"/>
  <c r="AA27" i="6"/>
  <c r="AC27" i="6"/>
  <c r="Q27" i="6" s="1"/>
  <c r="AA184" i="6"/>
  <c r="AC184" i="6"/>
  <c r="Q184" i="6" s="1"/>
  <c r="AA136" i="6"/>
  <c r="AC136" i="6"/>
  <c r="Q136" i="6" s="1"/>
  <c r="AA5" i="6"/>
  <c r="AC5" i="6"/>
  <c r="Q5" i="6" s="1"/>
  <c r="AA8" i="6"/>
  <c r="AC8" i="6"/>
  <c r="Q8" i="6" s="1"/>
  <c r="AA185" i="6"/>
  <c r="AC185" i="6"/>
  <c r="Q185" i="6" s="1"/>
  <c r="AA226" i="6"/>
  <c r="AC226" i="6"/>
  <c r="Q226" i="6" s="1"/>
  <c r="AA227" i="6"/>
  <c r="AC227" i="6"/>
  <c r="Q227" i="6" s="1"/>
  <c r="Y406" i="21" s="1"/>
  <c r="AA228" i="6"/>
  <c r="AC228" i="6"/>
  <c r="Q228" i="6" s="1"/>
  <c r="AA229" i="6"/>
  <c r="AC229" i="6"/>
  <c r="Q229" i="6" s="1"/>
  <c r="AA230" i="6"/>
  <c r="AC230" i="6"/>
  <c r="Q230" i="6" s="1"/>
  <c r="AA231" i="6"/>
  <c r="AC231" i="6"/>
  <c r="Q231" i="6" s="1"/>
  <c r="AA232" i="6"/>
  <c r="AC232" i="6"/>
  <c r="Q232" i="6" s="1"/>
  <c r="AA233" i="6"/>
  <c r="AC233" i="6"/>
  <c r="Q233" i="6" s="1"/>
  <c r="AA234" i="6"/>
  <c r="AC234" i="6"/>
  <c r="Q234" i="6" s="1"/>
  <c r="AA235" i="6"/>
  <c r="AC235" i="6"/>
  <c r="Q235" i="6" s="1"/>
  <c r="AA236" i="6"/>
  <c r="AC236" i="6"/>
  <c r="Q236" i="6" s="1"/>
  <c r="AA237" i="6"/>
  <c r="AC237" i="6"/>
  <c r="Q237" i="6" s="1"/>
  <c r="AA238" i="6"/>
  <c r="AC238" i="6"/>
  <c r="Q238" i="6" s="1"/>
  <c r="AA239" i="6"/>
  <c r="AC239" i="6"/>
  <c r="Q239" i="6" s="1"/>
  <c r="AA240" i="6"/>
  <c r="AC240" i="6"/>
  <c r="Q240" i="6" s="1"/>
  <c r="AA241" i="6"/>
  <c r="AC241" i="6"/>
  <c r="Q241" i="6" s="1"/>
  <c r="AA242" i="6"/>
  <c r="AC242" i="6"/>
  <c r="Q242" i="6" s="1"/>
  <c r="Y415" i="21" s="1"/>
  <c r="AA243" i="6"/>
  <c r="AC243" i="6"/>
  <c r="Q243" i="6" s="1"/>
  <c r="Y431" i="21" s="1"/>
  <c r="AA244" i="6"/>
  <c r="AC244" i="6"/>
  <c r="Q244" i="6" s="1"/>
  <c r="Y427" i="21" s="1"/>
  <c r="AA245" i="6"/>
  <c r="AC245" i="6"/>
  <c r="Q245" i="6" s="1"/>
  <c r="Y429" i="21" s="1"/>
  <c r="AA246" i="6"/>
  <c r="AC246" i="6"/>
  <c r="Q246" i="6" s="1"/>
  <c r="Y419" i="21" s="1"/>
  <c r="AA247" i="6"/>
  <c r="AC247" i="6"/>
  <c r="Q247" i="6" s="1"/>
  <c r="Y417" i="21" s="1"/>
  <c r="AA248" i="6"/>
  <c r="AC248" i="6"/>
  <c r="Q248" i="6" s="1"/>
  <c r="AA249" i="6"/>
  <c r="AC249" i="6"/>
  <c r="Q249" i="6" s="1"/>
  <c r="Y424" i="21" s="1"/>
  <c r="AA250" i="6"/>
  <c r="AC250" i="6"/>
  <c r="Q250" i="6" s="1"/>
  <c r="AA251" i="6"/>
  <c r="AC251" i="6"/>
  <c r="Q251" i="6" s="1"/>
  <c r="Y425" i="21" s="1"/>
  <c r="AA252" i="6"/>
  <c r="AC252" i="6"/>
  <c r="Q252" i="6" s="1"/>
  <c r="AA253" i="6"/>
  <c r="AC253" i="6"/>
  <c r="Q253" i="6" s="1"/>
  <c r="AA254" i="6"/>
  <c r="AC254" i="6"/>
  <c r="Q254" i="6" s="1"/>
  <c r="AA255" i="6"/>
  <c r="AC255" i="6"/>
  <c r="Q255" i="6" s="1"/>
  <c r="AA256" i="6"/>
  <c r="AC256" i="6"/>
  <c r="Q256" i="6" s="1"/>
  <c r="AA257" i="6"/>
  <c r="AC257" i="6"/>
  <c r="Q257" i="6" s="1"/>
  <c r="Y446" i="21" s="1"/>
  <c r="AA258" i="6"/>
  <c r="AC258" i="6"/>
  <c r="Q258" i="6" s="1"/>
  <c r="Y454" i="21" s="1"/>
  <c r="AA259" i="6"/>
  <c r="AC259" i="6"/>
  <c r="Q259" i="6" s="1"/>
  <c r="AA260" i="6"/>
  <c r="AC260" i="6"/>
  <c r="Q260" i="6" s="1"/>
  <c r="AA261" i="6"/>
  <c r="AC261" i="6"/>
  <c r="Q261" i="6" s="1"/>
  <c r="Y461" i="21" s="1"/>
  <c r="AA262" i="6"/>
  <c r="AC262" i="6"/>
  <c r="Q262" i="6" s="1"/>
  <c r="AA263" i="6"/>
  <c r="AC263" i="6"/>
  <c r="Q263" i="6" s="1"/>
  <c r="Y444" i="21" s="1"/>
  <c r="AA264" i="6"/>
  <c r="AC264" i="6"/>
  <c r="Q264" i="6" s="1"/>
  <c r="AA265" i="6"/>
  <c r="AC265" i="6"/>
  <c r="Q265" i="6" s="1"/>
  <c r="Y455" i="21" s="1"/>
  <c r="AA266" i="6"/>
  <c r="AC266" i="6"/>
  <c r="Q266" i="6" s="1"/>
  <c r="Y452" i="21" s="1"/>
  <c r="AA267" i="6"/>
  <c r="AC267" i="6"/>
  <c r="Q267" i="6" s="1"/>
  <c r="Y459" i="21" s="1"/>
  <c r="AA268" i="6"/>
  <c r="AC268" i="6"/>
  <c r="Q268" i="6" s="1"/>
  <c r="AA269" i="6"/>
  <c r="AC269" i="6"/>
  <c r="Q269" i="6" s="1"/>
  <c r="Y475" i="21" s="1"/>
  <c r="AA270" i="6"/>
  <c r="AC270" i="6"/>
  <c r="Q270" i="6" s="1"/>
  <c r="AA271" i="6"/>
  <c r="AC271" i="6"/>
  <c r="Q271" i="6" s="1"/>
  <c r="AA272" i="6"/>
  <c r="AC272" i="6"/>
  <c r="Q272" i="6" s="1"/>
  <c r="AA273" i="6"/>
  <c r="AC273" i="6"/>
  <c r="Q273" i="6" s="1"/>
  <c r="Y476" i="21" s="1"/>
  <c r="AA274" i="6"/>
  <c r="AC274" i="6"/>
  <c r="Q274" i="6" s="1"/>
  <c r="Y470" i="21" s="1"/>
  <c r="AA275" i="6"/>
  <c r="AC275" i="6"/>
  <c r="Q275" i="6" s="1"/>
  <c r="AA276" i="6"/>
  <c r="AC276" i="6"/>
  <c r="Q276" i="6" s="1"/>
  <c r="Y76" i="21"/>
  <c r="AA32" i="6"/>
  <c r="AB278" i="6"/>
  <c r="AB279" i="6"/>
  <c r="S278" i="6"/>
  <c r="S279" i="6"/>
  <c r="AA278" i="6"/>
  <c r="AA279" i="6"/>
  <c r="AC277" i="6"/>
  <c r="Q277" i="6" s="1"/>
  <c r="Y472" i="21" s="1"/>
  <c r="AC278" i="6"/>
  <c r="Q278" i="6" s="1"/>
  <c r="Y469" i="21" s="1"/>
  <c r="AC279" i="6"/>
  <c r="Q279" i="6" s="1"/>
  <c r="AC32" i="6"/>
  <c r="Q32" i="6" s="1"/>
  <c r="S41" i="6"/>
  <c r="S66" i="6"/>
  <c r="S67" i="6"/>
  <c r="S68" i="6"/>
  <c r="S22" i="6"/>
  <c r="S42" i="6"/>
  <c r="S69" i="6"/>
  <c r="S23" i="6"/>
  <c r="S2" i="6"/>
  <c r="S70" i="6"/>
  <c r="S71" i="6"/>
  <c r="S3" i="6"/>
  <c r="S21" i="6"/>
  <c r="S43" i="6"/>
  <c r="S33" i="6"/>
  <c r="S72" i="6"/>
  <c r="S73" i="6"/>
  <c r="S44" i="6"/>
  <c r="S9" i="6"/>
  <c r="S74" i="6"/>
  <c r="S75" i="6"/>
  <c r="S28" i="6"/>
  <c r="S76" i="6"/>
  <c r="S137" i="6"/>
  <c r="S77" i="6"/>
  <c r="S138" i="6"/>
  <c r="S45" i="6"/>
  <c r="S78" i="6"/>
  <c r="S79" i="6"/>
  <c r="S80" i="6"/>
  <c r="S81" i="6"/>
  <c r="S82" i="6"/>
  <c r="S220" i="6"/>
  <c r="S139" i="6"/>
  <c r="S209" i="6"/>
  <c r="S186" i="6"/>
  <c r="S187" i="6"/>
  <c r="S83" i="6"/>
  <c r="S84" i="6"/>
  <c r="S140" i="6"/>
  <c r="S141" i="6"/>
  <c r="S142" i="6"/>
  <c r="S143" i="6"/>
  <c r="S144" i="6"/>
  <c r="S85" i="6"/>
  <c r="S34" i="6"/>
  <c r="S86" i="6"/>
  <c r="S87" i="6"/>
  <c r="S46" i="6"/>
  <c r="S88" i="6"/>
  <c r="S89" i="6"/>
  <c r="S90" i="6"/>
  <c r="S145" i="6"/>
  <c r="S47" i="6"/>
  <c r="S146" i="6"/>
  <c r="S15" i="6"/>
  <c r="S147" i="6"/>
  <c r="S221" i="6"/>
  <c r="S91" i="6"/>
  <c r="S148" i="6"/>
  <c r="S149" i="6"/>
  <c r="S92" i="6"/>
  <c r="S93" i="6"/>
  <c r="S94" i="6"/>
  <c r="S95" i="6"/>
  <c r="S222" i="6"/>
  <c r="S48" i="6"/>
  <c r="S150" i="6"/>
  <c r="S96" i="6"/>
  <c r="S188" i="6"/>
  <c r="S10" i="6"/>
  <c r="S35" i="6"/>
  <c r="S97" i="6"/>
  <c r="S49" i="6"/>
  <c r="S40" i="6"/>
  <c r="S50" i="6"/>
  <c r="S98" i="6"/>
  <c r="S99" i="6"/>
  <c r="S189" i="6"/>
  <c r="S151" i="6"/>
  <c r="S100" i="6"/>
  <c r="S101" i="6"/>
  <c r="S24" i="6"/>
  <c r="S152" i="6"/>
  <c r="S153" i="6"/>
  <c r="S29" i="6"/>
  <c r="S190" i="6"/>
  <c r="S4" i="6"/>
  <c r="S51" i="6"/>
  <c r="S36" i="6"/>
  <c r="S102" i="6"/>
  <c r="S16" i="6"/>
  <c r="S103" i="6"/>
  <c r="S52" i="6"/>
  <c r="S104" i="6"/>
  <c r="S105" i="6"/>
  <c r="S11" i="6"/>
  <c r="S53" i="6"/>
  <c r="S54" i="6"/>
  <c r="S25" i="6"/>
  <c r="S6" i="6"/>
  <c r="S154" i="6"/>
  <c r="S55" i="6"/>
  <c r="S56" i="6"/>
  <c r="S106" i="6"/>
  <c r="S7" i="6"/>
  <c r="S107" i="6"/>
  <c r="S155" i="6"/>
  <c r="S108" i="6"/>
  <c r="S12" i="6"/>
  <c r="S109" i="6"/>
  <c r="S57" i="6"/>
  <c r="S191" i="6"/>
  <c r="S210" i="6"/>
  <c r="S192" i="6"/>
  <c r="S156" i="6"/>
  <c r="S211" i="6"/>
  <c r="S193" i="6"/>
  <c r="S194" i="6"/>
  <c r="S157" i="6"/>
  <c r="S158" i="6"/>
  <c r="S159" i="6"/>
  <c r="S160" i="6"/>
  <c r="S110" i="6"/>
  <c r="S161" i="6"/>
  <c r="S58" i="6"/>
  <c r="S111" i="6"/>
  <c r="S162" i="6"/>
  <c r="S163" i="6"/>
  <c r="S112" i="6"/>
  <c r="S20" i="6"/>
  <c r="S212" i="6"/>
  <c r="S195" i="6"/>
  <c r="S13" i="6"/>
  <c r="S30" i="6"/>
  <c r="S59" i="6"/>
  <c r="S113" i="6"/>
  <c r="S164" i="6"/>
  <c r="S114" i="6"/>
  <c r="S196" i="6"/>
  <c r="S197" i="6"/>
  <c r="S115" i="6"/>
  <c r="S198" i="6"/>
  <c r="S116" i="6"/>
  <c r="S165" i="6"/>
  <c r="S213" i="6"/>
  <c r="S166" i="6"/>
  <c r="S214" i="6"/>
  <c r="S215" i="6"/>
  <c r="S216" i="6"/>
  <c r="S199" i="6"/>
  <c r="S200" i="6"/>
  <c r="S217" i="6"/>
  <c r="S201" i="6"/>
  <c r="S218" i="6"/>
  <c r="S167" i="6"/>
  <c r="S219" i="6"/>
  <c r="S117" i="6"/>
  <c r="S118" i="6"/>
  <c r="S119" i="6"/>
  <c r="S120" i="6"/>
  <c r="S168" i="6"/>
  <c r="S202" i="6"/>
  <c r="S14" i="6"/>
  <c r="S169" i="6"/>
  <c r="S170" i="6"/>
  <c r="S171" i="6"/>
  <c r="S31" i="6"/>
  <c r="S121" i="6"/>
  <c r="S122" i="6"/>
  <c r="S172" i="6"/>
  <c r="S173" i="6"/>
  <c r="S123" i="6"/>
  <c r="S124" i="6"/>
  <c r="S125" i="6"/>
  <c r="S126" i="6"/>
  <c r="S127" i="6"/>
  <c r="S128" i="6"/>
  <c r="S174" i="6"/>
  <c r="S175" i="6"/>
  <c r="S26" i="6"/>
  <c r="S37" i="6"/>
  <c r="S129" i="6"/>
  <c r="S203" i="6"/>
  <c r="S130" i="6"/>
  <c r="S176" i="6"/>
  <c r="S60" i="6"/>
  <c r="S177" i="6"/>
  <c r="S131" i="6"/>
  <c r="S132" i="6"/>
  <c r="S178" i="6"/>
  <c r="S61" i="6"/>
  <c r="S133" i="6"/>
  <c r="S38" i="6"/>
  <c r="S179" i="6"/>
  <c r="S17" i="6"/>
  <c r="S204" i="6"/>
  <c r="S205" i="6"/>
  <c r="S134" i="6"/>
  <c r="S135" i="6"/>
  <c r="S225" i="6"/>
  <c r="S62" i="6"/>
  <c r="S206" i="6"/>
  <c r="S223" i="6"/>
  <c r="S180" i="6"/>
  <c r="S224" i="6"/>
  <c r="S207" i="6"/>
  <c r="S208" i="6"/>
  <c r="S181" i="6"/>
  <c r="S18" i="6"/>
  <c r="S182" i="6"/>
  <c r="S63" i="6"/>
  <c r="S64" i="6"/>
  <c r="S39" i="6"/>
  <c r="S183" i="6"/>
  <c r="S19" i="6"/>
  <c r="S65" i="6"/>
  <c r="S27" i="6"/>
  <c r="S184" i="6"/>
  <c r="S136" i="6"/>
  <c r="S5" i="6"/>
  <c r="S8" i="6"/>
  <c r="S185" i="6"/>
  <c r="S226" i="6"/>
  <c r="S227" i="6"/>
  <c r="S228" i="6"/>
  <c r="S229" i="6"/>
  <c r="S230" i="6"/>
  <c r="S231" i="6"/>
  <c r="S232" i="6"/>
  <c r="S233" i="6"/>
  <c r="S234" i="6"/>
  <c r="S235" i="6"/>
  <c r="S236" i="6"/>
  <c r="S237" i="6"/>
  <c r="S238" i="6"/>
  <c r="S239" i="6"/>
  <c r="S240" i="6"/>
  <c r="S241" i="6"/>
  <c r="S242" i="6"/>
  <c r="S243" i="6"/>
  <c r="S244" i="6"/>
  <c r="S245" i="6"/>
  <c r="S246" i="6"/>
  <c r="S247" i="6"/>
  <c r="S248" i="6"/>
  <c r="S249" i="6"/>
  <c r="S32" i="6"/>
  <c r="R5" i="6"/>
  <c r="AB277" i="6"/>
  <c r="S250" i="6"/>
  <c r="S251" i="6"/>
  <c r="S252" i="6"/>
  <c r="S253" i="6"/>
  <c r="S254" i="6"/>
  <c r="S255" i="6"/>
  <c r="S256" i="6"/>
  <c r="S257" i="6"/>
  <c r="S258" i="6"/>
  <c r="S259" i="6"/>
  <c r="S260" i="6"/>
  <c r="S261" i="6"/>
  <c r="S262" i="6"/>
  <c r="S263" i="6"/>
  <c r="S264" i="6"/>
  <c r="S265" i="6"/>
  <c r="S266" i="6"/>
  <c r="S267" i="6"/>
  <c r="S268" i="6"/>
  <c r="S269" i="6"/>
  <c r="S270" i="6"/>
  <c r="S271" i="6"/>
  <c r="S272" i="6"/>
  <c r="S273" i="6"/>
  <c r="S274" i="6"/>
  <c r="S275" i="6"/>
  <c r="S276" i="6"/>
  <c r="S277" i="6"/>
  <c r="AA277" i="6"/>
  <c r="A3" i="13"/>
  <c r="A4" i="13"/>
  <c r="A5" i="13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19" i="13"/>
  <c r="A20" i="13"/>
  <c r="A21" i="13"/>
  <c r="A22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A41" i="13"/>
  <c r="A42" i="13"/>
  <c r="A43" i="13"/>
  <c r="A44" i="13"/>
  <c r="A45" i="13"/>
  <c r="A46" i="13"/>
  <c r="A47" i="13"/>
  <c r="A48" i="13"/>
  <c r="A49" i="13"/>
  <c r="A50" i="13"/>
  <c r="A51" i="13"/>
  <c r="A52" i="13"/>
  <c r="A53" i="13"/>
  <c r="A54" i="13"/>
  <c r="A55" i="13"/>
  <c r="A56" i="13"/>
  <c r="A57" i="13"/>
  <c r="A58" i="13"/>
  <c r="A59" i="13"/>
  <c r="A60" i="13"/>
  <c r="A61" i="13"/>
  <c r="A62" i="13"/>
  <c r="A63" i="13"/>
  <c r="A64" i="13"/>
  <c r="A65" i="13"/>
  <c r="A66" i="13"/>
  <c r="A67" i="13"/>
  <c r="A68" i="13"/>
  <c r="A69" i="13"/>
  <c r="A70" i="13"/>
  <c r="A71" i="13"/>
  <c r="A72" i="13"/>
  <c r="A73" i="13"/>
  <c r="A74" i="13"/>
  <c r="A75" i="13"/>
  <c r="A76" i="13"/>
  <c r="A77" i="13"/>
  <c r="A78" i="13"/>
  <c r="A79" i="13"/>
  <c r="A80" i="13"/>
  <c r="A81" i="13"/>
  <c r="A82" i="13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97" i="13"/>
  <c r="A98" i="13"/>
  <c r="A99" i="13"/>
  <c r="A100" i="13"/>
  <c r="A101" i="13"/>
  <c r="A102" i="13"/>
  <c r="A103" i="13"/>
  <c r="A104" i="13"/>
  <c r="A105" i="13"/>
  <c r="A106" i="13"/>
  <c r="A107" i="13"/>
  <c r="A108" i="13"/>
  <c r="A109" i="13"/>
  <c r="A110" i="13"/>
  <c r="A111" i="13"/>
  <c r="A112" i="13"/>
  <c r="A113" i="13"/>
  <c r="A114" i="13"/>
  <c r="A115" i="13"/>
  <c r="A116" i="13"/>
  <c r="A117" i="13"/>
  <c r="A118" i="13"/>
  <c r="A119" i="13"/>
  <c r="A120" i="13"/>
  <c r="A121" i="13"/>
  <c r="A122" i="13"/>
  <c r="A123" i="13"/>
  <c r="A124" i="13"/>
  <c r="A125" i="13"/>
  <c r="A126" i="13"/>
  <c r="A127" i="13"/>
  <c r="A128" i="13"/>
  <c r="A129" i="13"/>
  <c r="A130" i="13"/>
  <c r="A131" i="13"/>
  <c r="A132" i="13"/>
  <c r="A133" i="13"/>
  <c r="A134" i="13"/>
  <c r="A135" i="13"/>
  <c r="A136" i="13"/>
  <c r="A137" i="13"/>
  <c r="A138" i="13"/>
  <c r="A139" i="13"/>
  <c r="A140" i="13"/>
  <c r="A141" i="13"/>
  <c r="A142" i="13"/>
  <c r="A143" i="13"/>
  <c r="A144" i="13"/>
  <c r="A145" i="13"/>
  <c r="A146" i="13"/>
  <c r="A147" i="13"/>
  <c r="A148" i="13"/>
  <c r="A149" i="13"/>
  <c r="A150" i="13"/>
  <c r="A151" i="13"/>
  <c r="A152" i="13"/>
  <c r="A153" i="13"/>
  <c r="A154" i="13"/>
  <c r="A155" i="13"/>
  <c r="A156" i="13"/>
  <c r="A157" i="13"/>
  <c r="A158" i="13"/>
  <c r="A159" i="13"/>
  <c r="A160" i="13"/>
  <c r="A161" i="13"/>
  <c r="A162" i="13"/>
  <c r="A163" i="13"/>
  <c r="A164" i="13"/>
  <c r="A165" i="13"/>
  <c r="A166" i="13"/>
  <c r="A167" i="13"/>
  <c r="A168" i="13"/>
  <c r="A169" i="13"/>
  <c r="A170" i="13"/>
  <c r="A171" i="13"/>
  <c r="A172" i="13"/>
  <c r="A173" i="13"/>
  <c r="A174" i="13"/>
  <c r="A175" i="13"/>
  <c r="A176" i="13"/>
  <c r="A177" i="13"/>
  <c r="A178" i="13"/>
  <c r="A179" i="13"/>
  <c r="A180" i="13"/>
  <c r="A181" i="13"/>
  <c r="A182" i="13"/>
  <c r="A183" i="13"/>
  <c r="A184" i="13"/>
  <c r="A185" i="13"/>
  <c r="A186" i="13"/>
  <c r="A187" i="13"/>
  <c r="A188" i="13"/>
  <c r="A189" i="13"/>
  <c r="A190" i="13"/>
  <c r="A191" i="13"/>
  <c r="A192" i="13"/>
  <c r="A193" i="13"/>
  <c r="A194" i="13"/>
  <c r="A195" i="13"/>
  <c r="A196" i="13"/>
  <c r="A197" i="13"/>
  <c r="A198" i="13"/>
  <c r="A199" i="13"/>
  <c r="A200" i="13"/>
  <c r="A201" i="13"/>
  <c r="A202" i="13"/>
  <c r="A203" i="13"/>
  <c r="A204" i="13"/>
  <c r="A205" i="13"/>
  <c r="A206" i="13"/>
  <c r="A207" i="13"/>
  <c r="A208" i="13"/>
  <c r="A209" i="13"/>
  <c r="A210" i="13"/>
  <c r="A211" i="13"/>
  <c r="G2" i="13"/>
  <c r="I2" i="13" s="1"/>
  <c r="G3" i="13"/>
  <c r="I3" i="13" s="1"/>
  <c r="G4" i="13"/>
  <c r="I4" i="13" s="1"/>
  <c r="G5" i="13"/>
  <c r="I5" i="13" s="1"/>
  <c r="G9" i="13"/>
  <c r="I9" i="13" s="1"/>
  <c r="G22" i="13"/>
  <c r="I22" i="13" s="1"/>
  <c r="G26" i="13"/>
  <c r="I26" i="13" s="1"/>
  <c r="G27" i="13"/>
  <c r="I27" i="13" s="1"/>
  <c r="G28" i="13"/>
  <c r="I28" i="13" s="1"/>
  <c r="G29" i="13"/>
  <c r="I29" i="13" s="1"/>
  <c r="G30" i="13"/>
  <c r="I30" i="13" s="1"/>
  <c r="G31" i="13"/>
  <c r="I31" i="13" s="1"/>
  <c r="G32" i="13"/>
  <c r="I32" i="13" s="1"/>
  <c r="G33" i="13"/>
  <c r="I33" i="13" s="1"/>
  <c r="G34" i="13"/>
  <c r="I34" i="13" s="1"/>
  <c r="G35" i="13"/>
  <c r="I35" i="13" s="1"/>
  <c r="G36" i="13"/>
  <c r="I36" i="13" s="1"/>
  <c r="G37" i="13"/>
  <c r="I37" i="13" s="1"/>
  <c r="G38" i="13"/>
  <c r="I38" i="13" s="1"/>
  <c r="G39" i="13"/>
  <c r="I39" i="13" s="1"/>
  <c r="G40" i="13"/>
  <c r="I40" i="13" s="1"/>
  <c r="G41" i="13"/>
  <c r="I41" i="13" s="1"/>
  <c r="G42" i="13"/>
  <c r="I42" i="13" s="1"/>
  <c r="G43" i="13"/>
  <c r="I43" i="13" s="1"/>
  <c r="G44" i="13"/>
  <c r="I44" i="13" s="1"/>
  <c r="G45" i="13"/>
  <c r="I45" i="13" s="1"/>
  <c r="G46" i="13"/>
  <c r="I46" i="13" s="1"/>
  <c r="G47" i="13"/>
  <c r="I47" i="13" s="1"/>
  <c r="G48" i="13"/>
  <c r="I48" i="13" s="1"/>
  <c r="G49" i="13"/>
  <c r="I49" i="13" s="1"/>
  <c r="G50" i="13"/>
  <c r="I50" i="13" s="1"/>
  <c r="G51" i="13"/>
  <c r="I51" i="13" s="1"/>
  <c r="G52" i="13"/>
  <c r="I52" i="13" s="1"/>
  <c r="G53" i="13"/>
  <c r="I53" i="13" s="1"/>
  <c r="G54" i="13"/>
  <c r="I54" i="13" s="1"/>
  <c r="G55" i="13"/>
  <c r="I55" i="13" s="1"/>
  <c r="G56" i="13"/>
  <c r="I56" i="13" s="1"/>
  <c r="G57" i="13"/>
  <c r="I57" i="13" s="1"/>
  <c r="G58" i="13"/>
  <c r="I58" i="13" s="1"/>
  <c r="G59" i="13"/>
  <c r="I59" i="13" s="1"/>
  <c r="G60" i="13"/>
  <c r="I60" i="13" s="1"/>
  <c r="G61" i="13"/>
  <c r="I61" i="13" s="1"/>
  <c r="G62" i="13"/>
  <c r="I62" i="13" s="1"/>
  <c r="G63" i="13"/>
  <c r="I63" i="13" s="1"/>
  <c r="G64" i="13"/>
  <c r="I64" i="13" s="1"/>
  <c r="G65" i="13"/>
  <c r="I65" i="13" s="1"/>
  <c r="G66" i="13"/>
  <c r="I66" i="13" s="1"/>
  <c r="G67" i="13"/>
  <c r="I67" i="13" s="1"/>
  <c r="G68" i="13"/>
  <c r="I68" i="13" s="1"/>
  <c r="G69" i="13"/>
  <c r="I69" i="13" s="1"/>
  <c r="G70" i="13"/>
  <c r="I70" i="13" s="1"/>
  <c r="G71" i="13"/>
  <c r="I71" i="13" s="1"/>
  <c r="G72" i="13"/>
  <c r="I72" i="13" s="1"/>
  <c r="G73" i="13"/>
  <c r="I73" i="13" s="1"/>
  <c r="G74" i="13"/>
  <c r="I74" i="13" s="1"/>
  <c r="G75" i="13"/>
  <c r="I75" i="13" s="1"/>
  <c r="G76" i="13"/>
  <c r="I76" i="13" s="1"/>
  <c r="G77" i="13"/>
  <c r="I77" i="13" s="1"/>
  <c r="G78" i="13"/>
  <c r="I78" i="13" s="1"/>
  <c r="G79" i="13"/>
  <c r="I79" i="13" s="1"/>
  <c r="G80" i="13"/>
  <c r="I80" i="13" s="1"/>
  <c r="G81" i="13"/>
  <c r="I81" i="13" s="1"/>
  <c r="G82" i="13"/>
  <c r="I82" i="13" s="1"/>
  <c r="G83" i="13"/>
  <c r="I83" i="13" s="1"/>
  <c r="G84" i="13"/>
  <c r="I84" i="13" s="1"/>
  <c r="G85" i="13"/>
  <c r="I85" i="13" s="1"/>
  <c r="G86" i="13"/>
  <c r="I86" i="13" s="1"/>
  <c r="G87" i="13"/>
  <c r="I87" i="13" s="1"/>
  <c r="G88" i="13"/>
  <c r="I88" i="13" s="1"/>
  <c r="G89" i="13"/>
  <c r="I89" i="13" s="1"/>
  <c r="G90" i="13"/>
  <c r="I90" i="13" s="1"/>
  <c r="G91" i="13"/>
  <c r="I91" i="13" s="1"/>
  <c r="G92" i="13"/>
  <c r="I92" i="13" s="1"/>
  <c r="G93" i="13"/>
  <c r="I93" i="13" s="1"/>
  <c r="G94" i="13"/>
  <c r="I94" i="13" s="1"/>
  <c r="G95" i="13"/>
  <c r="I95" i="13" s="1"/>
  <c r="G96" i="13"/>
  <c r="I96" i="13" s="1"/>
  <c r="G97" i="13"/>
  <c r="I97" i="13" s="1"/>
  <c r="G98" i="13"/>
  <c r="I98" i="13" s="1"/>
  <c r="G99" i="13"/>
  <c r="I99" i="13" s="1"/>
  <c r="G100" i="13"/>
  <c r="I100" i="13" s="1"/>
  <c r="G101" i="13"/>
  <c r="I101" i="13" s="1"/>
  <c r="G102" i="13"/>
  <c r="I102" i="13" s="1"/>
  <c r="G103" i="13"/>
  <c r="I103" i="13" s="1"/>
  <c r="G104" i="13"/>
  <c r="I104" i="13" s="1"/>
  <c r="G105" i="13"/>
  <c r="I105" i="13" s="1"/>
  <c r="G106" i="13"/>
  <c r="I106" i="13" s="1"/>
  <c r="G107" i="13"/>
  <c r="I107" i="13" s="1"/>
  <c r="G108" i="13"/>
  <c r="I108" i="13" s="1"/>
  <c r="G109" i="13"/>
  <c r="I109" i="13" s="1"/>
  <c r="G110" i="13"/>
  <c r="I110" i="13" s="1"/>
  <c r="G111" i="13"/>
  <c r="I111" i="13" s="1"/>
  <c r="G112" i="13"/>
  <c r="I112" i="13" s="1"/>
  <c r="G113" i="13"/>
  <c r="I113" i="13" s="1"/>
  <c r="G114" i="13"/>
  <c r="I114" i="13" s="1"/>
  <c r="G115" i="13"/>
  <c r="I115" i="13" s="1"/>
  <c r="G116" i="13"/>
  <c r="I116" i="13" s="1"/>
  <c r="G117" i="13"/>
  <c r="I117" i="13" s="1"/>
  <c r="G118" i="13"/>
  <c r="I118" i="13" s="1"/>
  <c r="G119" i="13"/>
  <c r="I119" i="13" s="1"/>
  <c r="G120" i="13"/>
  <c r="I120" i="13" s="1"/>
  <c r="G121" i="13"/>
  <c r="I121" i="13" s="1"/>
  <c r="G122" i="13"/>
  <c r="I122" i="13" s="1"/>
  <c r="G123" i="13"/>
  <c r="I123" i="13" s="1"/>
  <c r="G124" i="13"/>
  <c r="I124" i="13" s="1"/>
  <c r="G125" i="13"/>
  <c r="I125" i="13" s="1"/>
  <c r="G126" i="13"/>
  <c r="I126" i="13" s="1"/>
  <c r="G127" i="13"/>
  <c r="I127" i="13" s="1"/>
  <c r="G128" i="13"/>
  <c r="I128" i="13" s="1"/>
  <c r="G129" i="13"/>
  <c r="I129" i="13" s="1"/>
  <c r="G130" i="13"/>
  <c r="I130" i="13" s="1"/>
  <c r="G131" i="13"/>
  <c r="I131" i="13" s="1"/>
  <c r="G132" i="13"/>
  <c r="I132" i="13" s="1"/>
  <c r="G133" i="13"/>
  <c r="I133" i="13" s="1"/>
  <c r="G134" i="13"/>
  <c r="I134" i="13" s="1"/>
  <c r="G135" i="13"/>
  <c r="I135" i="13" s="1"/>
  <c r="G136" i="13"/>
  <c r="I136" i="13" s="1"/>
  <c r="G137" i="13"/>
  <c r="I137" i="13" s="1"/>
  <c r="G138" i="13"/>
  <c r="I138" i="13" s="1"/>
  <c r="G139" i="13"/>
  <c r="I139" i="13" s="1"/>
  <c r="G140" i="13"/>
  <c r="I140" i="13" s="1"/>
  <c r="G141" i="13"/>
  <c r="I141" i="13" s="1"/>
  <c r="G142" i="13"/>
  <c r="I142" i="13" s="1"/>
  <c r="G143" i="13"/>
  <c r="I143" i="13" s="1"/>
  <c r="G144" i="13"/>
  <c r="I144" i="13" s="1"/>
  <c r="G145" i="13"/>
  <c r="I145" i="13" s="1"/>
  <c r="G146" i="13"/>
  <c r="I146" i="13" s="1"/>
  <c r="G147" i="13"/>
  <c r="I147" i="13" s="1"/>
  <c r="G148" i="13"/>
  <c r="I148" i="13" s="1"/>
  <c r="G149" i="13"/>
  <c r="I149" i="13" s="1"/>
  <c r="G150" i="13"/>
  <c r="I150" i="13" s="1"/>
  <c r="G151" i="13"/>
  <c r="I151" i="13" s="1"/>
  <c r="G152" i="13"/>
  <c r="I152" i="13" s="1"/>
  <c r="G153" i="13"/>
  <c r="I153" i="13" s="1"/>
  <c r="G154" i="13"/>
  <c r="I154" i="13" s="1"/>
  <c r="G155" i="13"/>
  <c r="I155" i="13" s="1"/>
  <c r="G156" i="13"/>
  <c r="I156" i="13" s="1"/>
  <c r="G157" i="13"/>
  <c r="I157" i="13" s="1"/>
  <c r="G158" i="13"/>
  <c r="I158" i="13" s="1"/>
  <c r="G159" i="13"/>
  <c r="I159" i="13" s="1"/>
  <c r="G160" i="13"/>
  <c r="I160" i="13" s="1"/>
  <c r="G161" i="13"/>
  <c r="I161" i="13" s="1"/>
  <c r="G162" i="13"/>
  <c r="I162" i="13" s="1"/>
  <c r="G163" i="13"/>
  <c r="I163" i="13" s="1"/>
  <c r="G164" i="13"/>
  <c r="I164" i="13" s="1"/>
  <c r="G165" i="13"/>
  <c r="I165" i="13" s="1"/>
  <c r="G166" i="13"/>
  <c r="I166" i="13" s="1"/>
  <c r="G167" i="13"/>
  <c r="I167" i="13" s="1"/>
  <c r="G168" i="13"/>
  <c r="I168" i="13" s="1"/>
  <c r="G169" i="13"/>
  <c r="I169" i="13" s="1"/>
  <c r="G170" i="13"/>
  <c r="I170" i="13" s="1"/>
  <c r="G171" i="13"/>
  <c r="I171" i="13" s="1"/>
  <c r="G172" i="13"/>
  <c r="I172" i="13" s="1"/>
  <c r="G173" i="13"/>
  <c r="I173" i="13" s="1"/>
  <c r="G174" i="13"/>
  <c r="I174" i="13" s="1"/>
  <c r="G175" i="13"/>
  <c r="I175" i="13" s="1"/>
  <c r="G176" i="13"/>
  <c r="I176" i="13" s="1"/>
  <c r="G177" i="13"/>
  <c r="I177" i="13" s="1"/>
  <c r="G178" i="13"/>
  <c r="I178" i="13" s="1"/>
  <c r="G179" i="13"/>
  <c r="I179" i="13" s="1"/>
  <c r="G180" i="13"/>
  <c r="I180" i="13" s="1"/>
  <c r="G181" i="13"/>
  <c r="I181" i="13" s="1"/>
  <c r="G182" i="13"/>
  <c r="I182" i="13" s="1"/>
  <c r="G183" i="13"/>
  <c r="I183" i="13" s="1"/>
  <c r="G184" i="13"/>
  <c r="I184" i="13" s="1"/>
  <c r="G185" i="13"/>
  <c r="I185" i="13" s="1"/>
  <c r="G186" i="13"/>
  <c r="I186" i="13" s="1"/>
  <c r="G187" i="13"/>
  <c r="I187" i="13" s="1"/>
  <c r="G188" i="13"/>
  <c r="I188" i="13" s="1"/>
  <c r="G189" i="13"/>
  <c r="I189" i="13" s="1"/>
  <c r="G190" i="13"/>
  <c r="I190" i="13" s="1"/>
  <c r="G191" i="13"/>
  <c r="I191" i="13" s="1"/>
  <c r="G192" i="13"/>
  <c r="I192" i="13" s="1"/>
  <c r="G193" i="13"/>
  <c r="I193" i="13" s="1"/>
  <c r="G194" i="13"/>
  <c r="I194" i="13" s="1"/>
  <c r="G195" i="13"/>
  <c r="I195" i="13" s="1"/>
  <c r="G196" i="13"/>
  <c r="I196" i="13" s="1"/>
  <c r="G197" i="13"/>
  <c r="I197" i="13" s="1"/>
  <c r="G198" i="13"/>
  <c r="I198" i="13" s="1"/>
  <c r="G199" i="13"/>
  <c r="I199" i="13" s="1"/>
  <c r="G200" i="13"/>
  <c r="I200" i="13" s="1"/>
  <c r="G201" i="13"/>
  <c r="I201" i="13" s="1"/>
  <c r="G202" i="13"/>
  <c r="I202" i="13" s="1"/>
  <c r="G203" i="13"/>
  <c r="I203" i="13" s="1"/>
  <c r="G204" i="13"/>
  <c r="I204" i="13" s="1"/>
  <c r="G205" i="13"/>
  <c r="I205" i="13" s="1"/>
  <c r="G206" i="13"/>
  <c r="I206" i="13" s="1"/>
  <c r="G207" i="13"/>
  <c r="I207" i="13" s="1"/>
  <c r="G208" i="13"/>
  <c r="I208" i="13" s="1"/>
  <c r="G209" i="13"/>
  <c r="I209" i="13" s="1"/>
  <c r="G210" i="13"/>
  <c r="I210" i="13" s="1"/>
  <c r="G211" i="13"/>
  <c r="I211" i="13" s="1"/>
  <c r="A2" i="13"/>
  <c r="F32" i="24"/>
  <c r="F33" i="24"/>
  <c r="F34" i="24"/>
  <c r="F35" i="24"/>
  <c r="F36" i="24"/>
  <c r="F37" i="24"/>
  <c r="F38" i="24"/>
  <c r="F39" i="24"/>
  <c r="F40" i="24"/>
  <c r="F41" i="24"/>
  <c r="F42" i="24"/>
  <c r="F304" i="24" s="1"/>
  <c r="F44" i="24"/>
  <c r="F45" i="24"/>
  <c r="F46" i="24"/>
  <c r="F47" i="24"/>
  <c r="F48" i="24"/>
  <c r="F49" i="24"/>
  <c r="F50" i="24"/>
  <c r="F51" i="24"/>
  <c r="F52" i="24"/>
  <c r="F53" i="24"/>
  <c r="F54" i="24"/>
  <c r="F55" i="24"/>
  <c r="F56" i="24"/>
  <c r="F58" i="24"/>
  <c r="F59" i="24"/>
  <c r="F60" i="24"/>
  <c r="F61" i="24"/>
  <c r="F62" i="24"/>
  <c r="F63" i="24"/>
  <c r="F64" i="24"/>
  <c r="F65" i="24"/>
  <c r="F66" i="24"/>
  <c r="F67" i="24"/>
  <c r="F68" i="24"/>
  <c r="F69" i="24"/>
  <c r="F70" i="24"/>
  <c r="F71" i="24"/>
  <c r="F72" i="24"/>
  <c r="F73" i="24"/>
  <c r="F74" i="24"/>
  <c r="F75" i="24"/>
  <c r="F76" i="24"/>
  <c r="F77" i="24"/>
  <c r="F78" i="24"/>
  <c r="F79" i="24"/>
  <c r="F80" i="24"/>
  <c r="F81" i="24"/>
  <c r="F82" i="24"/>
  <c r="F83" i="24"/>
  <c r="F84" i="24"/>
  <c r="F85" i="24"/>
  <c r="F86" i="24"/>
  <c r="F87" i="24"/>
  <c r="F88" i="24"/>
  <c r="F89" i="24"/>
  <c r="F90" i="24"/>
  <c r="F91" i="24"/>
  <c r="F92" i="24"/>
  <c r="F94" i="24"/>
  <c r="F95" i="24"/>
  <c r="F96" i="24"/>
  <c r="F97" i="24"/>
  <c r="F98" i="24"/>
  <c r="F99" i="24"/>
  <c r="F100" i="24"/>
  <c r="F101" i="24"/>
  <c r="F102" i="24"/>
  <c r="F103" i="24"/>
  <c r="F104" i="24"/>
  <c r="F105" i="24"/>
  <c r="F106" i="24"/>
  <c r="F108" i="24"/>
  <c r="F109" i="24"/>
  <c r="F110" i="24"/>
  <c r="F111" i="24"/>
  <c r="F112" i="24"/>
  <c r="F113" i="24"/>
  <c r="F114" i="24"/>
  <c r="F115" i="24"/>
  <c r="F116" i="24"/>
  <c r="F117" i="24"/>
  <c r="F118" i="24"/>
  <c r="F120" i="24"/>
  <c r="F121" i="24"/>
  <c r="F122" i="24"/>
  <c r="F123" i="24"/>
  <c r="F124" i="24"/>
  <c r="F125" i="24"/>
  <c r="F126" i="24"/>
  <c r="F127" i="24"/>
  <c r="F128" i="24"/>
  <c r="F129" i="24"/>
  <c r="F130" i="24"/>
  <c r="F131" i="24"/>
  <c r="F132" i="24"/>
  <c r="F134" i="24"/>
  <c r="F135" i="24"/>
  <c r="F136" i="24"/>
  <c r="F137" i="24"/>
  <c r="F138" i="24"/>
  <c r="F139" i="24"/>
  <c r="F140" i="24"/>
  <c r="F141" i="24"/>
  <c r="F142" i="24"/>
  <c r="F143" i="24"/>
  <c r="F144" i="24"/>
  <c r="F145" i="24"/>
  <c r="F146" i="24"/>
  <c r="F147" i="24"/>
  <c r="F148" i="24"/>
  <c r="F149" i="24"/>
  <c r="F150" i="24"/>
  <c r="F151" i="24"/>
  <c r="F152" i="24"/>
  <c r="F153" i="24"/>
  <c r="F154" i="24"/>
  <c r="F155" i="24"/>
  <c r="F156" i="24"/>
  <c r="F157" i="24"/>
  <c r="F158" i="24"/>
  <c r="F159" i="24"/>
  <c r="F160" i="24"/>
  <c r="F161" i="24"/>
  <c r="F162" i="24"/>
  <c r="F163" i="24"/>
  <c r="F164" i="24"/>
  <c r="F165" i="24"/>
  <c r="F166" i="24"/>
  <c r="F167" i="24"/>
  <c r="F168" i="24"/>
  <c r="F169" i="24"/>
  <c r="F170" i="24"/>
  <c r="F171" i="24"/>
  <c r="F172" i="24"/>
  <c r="F173" i="24"/>
  <c r="F174" i="24"/>
  <c r="F175" i="24"/>
  <c r="F176" i="24"/>
  <c r="F177" i="24"/>
  <c r="F178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97" i="24"/>
  <c r="F198" i="24"/>
  <c r="F199" i="24"/>
  <c r="F200" i="24"/>
  <c r="F201" i="24"/>
  <c r="F203" i="24"/>
  <c r="F204" i="24"/>
  <c r="F205" i="24"/>
  <c r="F206" i="24"/>
  <c r="F207" i="24"/>
  <c r="F208" i="24"/>
  <c r="F209" i="24"/>
  <c r="F210" i="24"/>
  <c r="F211" i="24"/>
  <c r="F212" i="24"/>
  <c r="F213" i="24"/>
  <c r="F214" i="24"/>
  <c r="F215" i="24"/>
  <c r="F216" i="24"/>
  <c r="F217" i="24"/>
  <c r="F220" i="24"/>
  <c r="F221" i="24"/>
  <c r="F222" i="24"/>
  <c r="F223" i="24"/>
  <c r="F224" i="24"/>
  <c r="F225" i="24"/>
  <c r="F226" i="24"/>
  <c r="F227" i="24"/>
  <c r="F228" i="24"/>
  <c r="F229" i="24"/>
  <c r="F230" i="24"/>
  <c r="F231" i="24"/>
  <c r="F232" i="24"/>
  <c r="F233" i="24"/>
  <c r="F234" i="24"/>
  <c r="F235" i="24"/>
  <c r="F236" i="24"/>
  <c r="F237" i="24"/>
  <c r="F238" i="24"/>
  <c r="F239" i="24"/>
  <c r="F240" i="24"/>
  <c r="F241" i="24"/>
  <c r="F242" i="24"/>
  <c r="F243" i="24"/>
  <c r="F244" i="24"/>
  <c r="F245" i="24"/>
  <c r="F247" i="24"/>
  <c r="F248" i="24"/>
  <c r="F249" i="24"/>
  <c r="F250" i="24"/>
  <c r="F251" i="24"/>
  <c r="F252" i="24"/>
  <c r="F253" i="24"/>
  <c r="F254" i="24"/>
  <c r="F255" i="24"/>
  <c r="F258" i="24"/>
  <c r="F259" i="24"/>
  <c r="F260" i="24"/>
  <c r="F261" i="24"/>
  <c r="F262" i="24"/>
  <c r="F263" i="24"/>
  <c r="F264" i="24"/>
  <c r="F265" i="24"/>
  <c r="F266" i="24"/>
  <c r="F267" i="24"/>
  <c r="F268" i="24"/>
  <c r="F269" i="24"/>
  <c r="F270" i="24"/>
  <c r="F271" i="24"/>
  <c r="F272" i="24"/>
  <c r="F273" i="24"/>
  <c r="F274" i="24"/>
  <c r="F276" i="24"/>
  <c r="F277" i="24"/>
  <c r="F278" i="24"/>
  <c r="F279" i="24"/>
  <c r="F280" i="24"/>
  <c r="F281" i="24"/>
  <c r="F282" i="24"/>
  <c r="F283" i="24"/>
  <c r="F284" i="24"/>
  <c r="F285" i="24"/>
  <c r="F286" i="24"/>
  <c r="F287" i="24"/>
  <c r="F288" i="24"/>
  <c r="F289" i="24"/>
  <c r="F290" i="24"/>
  <c r="F291" i="24"/>
  <c r="F292" i="24"/>
  <c r="F293" i="24"/>
  <c r="F294" i="24"/>
  <c r="F295" i="24"/>
  <c r="F296" i="24"/>
  <c r="F297" i="24"/>
  <c r="F298" i="24"/>
  <c r="F299" i="24"/>
  <c r="F300" i="24"/>
  <c r="F301" i="24"/>
  <c r="F302" i="24"/>
  <c r="F303" i="24"/>
  <c r="F305" i="24"/>
  <c r="F306" i="24"/>
  <c r="F307" i="24"/>
  <c r="F308" i="24"/>
  <c r="F310" i="24"/>
  <c r="F311" i="24"/>
  <c r="F312" i="24"/>
  <c r="F313" i="24"/>
  <c r="F316" i="24"/>
  <c r="F317" i="24"/>
  <c r="F318" i="24"/>
  <c r="F319" i="24"/>
  <c r="F321" i="24"/>
  <c r="F322" i="24"/>
  <c r="F323" i="24"/>
  <c r="F324" i="24"/>
  <c r="F325" i="24"/>
  <c r="F326" i="24"/>
  <c r="F327" i="24"/>
  <c r="F328" i="24"/>
  <c r="F329" i="24"/>
  <c r="F330" i="24"/>
  <c r="F331" i="24"/>
  <c r="F332" i="24"/>
  <c r="F333" i="24"/>
  <c r="F334" i="24"/>
  <c r="F335" i="24"/>
  <c r="F336" i="24"/>
  <c r="F337" i="24"/>
  <c r="F338" i="24"/>
  <c r="F339" i="24"/>
  <c r="F340" i="24"/>
  <c r="F341" i="24"/>
  <c r="F342" i="24"/>
  <c r="F343" i="24"/>
  <c r="F344" i="24"/>
  <c r="F345" i="24"/>
  <c r="F346" i="24"/>
  <c r="F347" i="24"/>
  <c r="F348" i="24"/>
  <c r="F354" i="24"/>
  <c r="F355" i="24"/>
  <c r="F356" i="24"/>
  <c r="F357" i="24"/>
  <c r="F359" i="24"/>
  <c r="F360" i="24"/>
  <c r="F361" i="24"/>
  <c r="F362" i="24"/>
  <c r="F363" i="24"/>
  <c r="F364" i="24"/>
  <c r="F365" i="24"/>
  <c r="F366" i="24"/>
  <c r="F367" i="24"/>
  <c r="F368" i="24"/>
  <c r="F369" i="24"/>
  <c r="F370" i="24"/>
  <c r="F371" i="24"/>
  <c r="F372" i="24"/>
  <c r="F374" i="24"/>
  <c r="F375" i="24"/>
  <c r="F376" i="24"/>
  <c r="F377" i="24"/>
  <c r="F378" i="24"/>
  <c r="F379" i="24"/>
  <c r="F380" i="24"/>
  <c r="F381" i="24"/>
  <c r="F383" i="24"/>
  <c r="F384" i="24"/>
  <c r="F385" i="24"/>
  <c r="F386" i="24"/>
  <c r="F387" i="24"/>
  <c r="F388" i="24"/>
  <c r="F389" i="24"/>
  <c r="F390" i="24"/>
  <c r="F391" i="24"/>
  <c r="F392" i="24"/>
  <c r="F393" i="24"/>
  <c r="F394" i="24"/>
  <c r="F395" i="24"/>
  <c r="F396" i="24"/>
  <c r="F397" i="24"/>
  <c r="F398" i="24"/>
  <c r="F400" i="24"/>
  <c r="F401" i="24"/>
  <c r="F402" i="24"/>
  <c r="F403" i="24"/>
  <c r="F404" i="24"/>
  <c r="F405" i="24"/>
  <c r="F406" i="24"/>
  <c r="F407" i="24"/>
  <c r="F408" i="24"/>
  <c r="F409" i="24"/>
  <c r="F410" i="24"/>
  <c r="F411" i="24"/>
  <c r="F412" i="24"/>
  <c r="F413" i="24"/>
  <c r="F414" i="24"/>
  <c r="F415" i="24"/>
  <c r="F416" i="24"/>
  <c r="F417" i="24"/>
  <c r="F418" i="24"/>
  <c r="F419" i="24"/>
  <c r="F420" i="24"/>
  <c r="F421" i="24"/>
  <c r="F422" i="24"/>
  <c r="F423" i="24"/>
  <c r="F424" i="24"/>
  <c r="F425" i="24"/>
  <c r="F426" i="24"/>
  <c r="F427" i="24"/>
  <c r="F428" i="24"/>
  <c r="F429" i="24"/>
  <c r="F431" i="24"/>
  <c r="F432" i="24"/>
  <c r="F433" i="24"/>
  <c r="F434" i="24"/>
  <c r="F435" i="24"/>
  <c r="F436" i="24"/>
  <c r="F437" i="24"/>
  <c r="F438" i="24"/>
  <c r="F439" i="24"/>
  <c r="F440" i="24"/>
  <c r="F441" i="24"/>
  <c r="F442" i="24"/>
  <c r="F443" i="24"/>
  <c r="F444" i="24"/>
  <c r="F445" i="24"/>
  <c r="F446" i="24"/>
  <c r="F447" i="24"/>
  <c r="F448" i="24"/>
  <c r="F449" i="24"/>
  <c r="F450" i="24"/>
  <c r="F451" i="24"/>
  <c r="F452" i="24"/>
  <c r="F453" i="24"/>
  <c r="F454" i="24"/>
  <c r="F455" i="24"/>
  <c r="F456" i="24"/>
  <c r="F457" i="24"/>
  <c r="F458" i="24"/>
  <c r="F459" i="24"/>
  <c r="F460" i="24"/>
  <c r="F461" i="24"/>
  <c r="F462" i="24"/>
  <c r="F463" i="24"/>
  <c r="F464" i="24"/>
  <c r="F465" i="24"/>
  <c r="F466" i="24"/>
  <c r="F467" i="24"/>
  <c r="F468" i="24"/>
  <c r="F469" i="24"/>
  <c r="F470" i="24"/>
  <c r="F471" i="24"/>
  <c r="F472" i="24"/>
  <c r="F473" i="24"/>
  <c r="F474" i="24"/>
  <c r="F475" i="24"/>
  <c r="F476" i="24"/>
  <c r="F477" i="24"/>
  <c r="F478" i="24"/>
  <c r="F479" i="24"/>
  <c r="F480" i="24"/>
  <c r="F481" i="24"/>
  <c r="F482" i="24"/>
  <c r="F483" i="24"/>
  <c r="F484" i="24"/>
  <c r="F485" i="24"/>
  <c r="F486" i="24"/>
  <c r="F487" i="24"/>
  <c r="F488" i="24"/>
  <c r="F489" i="24"/>
  <c r="F499" i="24"/>
  <c r="F500" i="24"/>
  <c r="F501" i="24"/>
  <c r="F502" i="24"/>
  <c r="F504" i="24"/>
  <c r="F506" i="24"/>
  <c r="F507" i="24"/>
  <c r="F508" i="24"/>
  <c r="F509" i="24"/>
  <c r="F510" i="24"/>
  <c r="F511" i="24"/>
  <c r="F512" i="24"/>
  <c r="F513" i="24"/>
  <c r="F514" i="24"/>
  <c r="F515" i="24"/>
  <c r="F516" i="24"/>
  <c r="F517" i="24"/>
  <c r="F519" i="24"/>
  <c r="F520" i="24"/>
  <c r="F521" i="24"/>
  <c r="F522" i="24"/>
  <c r="F523" i="24"/>
  <c r="F526" i="24"/>
  <c r="F527" i="24"/>
  <c r="F528" i="24"/>
  <c r="F529" i="24"/>
  <c r="F530" i="24"/>
  <c r="F531" i="24"/>
  <c r="F532" i="24"/>
  <c r="F533" i="24"/>
  <c r="F534" i="24"/>
  <c r="F535" i="24"/>
  <c r="F536" i="24"/>
  <c r="F537" i="24"/>
  <c r="F538" i="24"/>
  <c r="F539" i="24"/>
  <c r="F540" i="24"/>
  <c r="F542" i="24"/>
  <c r="F543" i="24"/>
  <c r="F544" i="24"/>
  <c r="F545" i="24"/>
  <c r="F546" i="24"/>
  <c r="F547" i="24"/>
  <c r="F548" i="24"/>
  <c r="F549" i="24"/>
  <c r="F550" i="24"/>
  <c r="F551" i="24"/>
  <c r="F552" i="24"/>
  <c r="F553" i="24"/>
  <c r="F554" i="24"/>
  <c r="F555" i="24"/>
  <c r="F556" i="24"/>
  <c r="F557" i="24"/>
  <c r="F558" i="24"/>
  <c r="F559" i="24"/>
  <c r="F560" i="24"/>
  <c r="F561" i="24"/>
  <c r="F562" i="24"/>
  <c r="F563" i="24"/>
  <c r="F31" i="24"/>
  <c r="P1177" i="6"/>
  <c r="O314" i="21"/>
  <c r="P314" i="21"/>
  <c r="Q314" i="21"/>
  <c r="R314" i="21"/>
  <c r="S314" i="21"/>
  <c r="T314" i="21"/>
  <c r="U314" i="21"/>
  <c r="V314" i="21"/>
  <c r="W314" i="21"/>
  <c r="X314" i="21"/>
  <c r="O505" i="21"/>
  <c r="P505" i="21"/>
  <c r="Q505" i="21"/>
  <c r="R505" i="21"/>
  <c r="S505" i="21"/>
  <c r="T505" i="21"/>
  <c r="U505" i="21"/>
  <c r="V505" i="21"/>
  <c r="W505" i="21"/>
  <c r="X505" i="21"/>
  <c r="O142" i="21"/>
  <c r="P142" i="21"/>
  <c r="Q142" i="21"/>
  <c r="R142" i="21"/>
  <c r="S142" i="21"/>
  <c r="T142" i="21"/>
  <c r="U142" i="21"/>
  <c r="V142" i="21"/>
  <c r="W142" i="21"/>
  <c r="X142" i="21"/>
  <c r="O180" i="21"/>
  <c r="P180" i="21"/>
  <c r="Q180" i="21"/>
  <c r="R180" i="21"/>
  <c r="S180" i="21"/>
  <c r="T180" i="21"/>
  <c r="U180" i="21"/>
  <c r="V180" i="21"/>
  <c r="W180" i="21"/>
  <c r="X180" i="21"/>
  <c r="O193" i="21"/>
  <c r="P193" i="21"/>
  <c r="Q193" i="21"/>
  <c r="R193" i="21"/>
  <c r="S193" i="21"/>
  <c r="T193" i="21"/>
  <c r="U193" i="21"/>
  <c r="V193" i="21"/>
  <c r="W193" i="21"/>
  <c r="X193" i="21"/>
  <c r="O270" i="21"/>
  <c r="P270" i="21"/>
  <c r="Q270" i="21"/>
  <c r="R270" i="21"/>
  <c r="S270" i="21"/>
  <c r="T270" i="21"/>
  <c r="U270" i="21"/>
  <c r="V270" i="21"/>
  <c r="W270" i="21"/>
  <c r="X270" i="21"/>
  <c r="O435" i="21"/>
  <c r="P435" i="21"/>
  <c r="Q435" i="21"/>
  <c r="R435" i="21"/>
  <c r="S435" i="21"/>
  <c r="T435" i="21"/>
  <c r="U435" i="21"/>
  <c r="V435" i="21"/>
  <c r="W435" i="21"/>
  <c r="X435" i="21"/>
  <c r="O438" i="21"/>
  <c r="P438" i="21"/>
  <c r="Q438" i="21"/>
  <c r="R438" i="21"/>
  <c r="S438" i="21"/>
  <c r="T438" i="21"/>
  <c r="U438" i="21"/>
  <c r="V438" i="21"/>
  <c r="W438" i="21"/>
  <c r="X438" i="21"/>
  <c r="Y438" i="21"/>
  <c r="O481" i="21"/>
  <c r="P481" i="21"/>
  <c r="Q481" i="21"/>
  <c r="R481" i="21"/>
  <c r="S481" i="21"/>
  <c r="T481" i="21"/>
  <c r="U481" i="21"/>
  <c r="V481" i="21"/>
  <c r="W481" i="21"/>
  <c r="X481" i="21"/>
  <c r="O120" i="21"/>
  <c r="P120" i="21"/>
  <c r="Q120" i="21"/>
  <c r="R120" i="21"/>
  <c r="S120" i="21"/>
  <c r="T120" i="21"/>
  <c r="U120" i="21"/>
  <c r="V120" i="21"/>
  <c r="W120" i="21"/>
  <c r="X120" i="21"/>
  <c r="O132" i="21"/>
  <c r="P132" i="21"/>
  <c r="Q132" i="21"/>
  <c r="R132" i="21"/>
  <c r="S132" i="21"/>
  <c r="T132" i="21"/>
  <c r="U132" i="21"/>
  <c r="V132" i="21"/>
  <c r="W132" i="21"/>
  <c r="X132" i="21"/>
  <c r="O375" i="21"/>
  <c r="P375" i="21"/>
  <c r="Q375" i="21"/>
  <c r="R375" i="21"/>
  <c r="S375" i="21"/>
  <c r="T375" i="21"/>
  <c r="U375" i="21"/>
  <c r="V375" i="21"/>
  <c r="W375" i="21"/>
  <c r="X375" i="21"/>
  <c r="O50" i="21"/>
  <c r="P50" i="21"/>
  <c r="Q50" i="21"/>
  <c r="R50" i="21"/>
  <c r="S50" i="21"/>
  <c r="T50" i="21"/>
  <c r="U50" i="21"/>
  <c r="V50" i="21"/>
  <c r="W50" i="21"/>
  <c r="X50" i="21"/>
  <c r="O41" i="21"/>
  <c r="P41" i="21"/>
  <c r="Q41" i="21"/>
  <c r="R41" i="21"/>
  <c r="S41" i="21"/>
  <c r="T41" i="21"/>
  <c r="U41" i="21"/>
  <c r="V41" i="21"/>
  <c r="W41" i="21"/>
  <c r="X41" i="21"/>
  <c r="O100" i="21"/>
  <c r="P100" i="21"/>
  <c r="Q100" i="21"/>
  <c r="R100" i="21"/>
  <c r="S100" i="21"/>
  <c r="T100" i="21"/>
  <c r="U100" i="21"/>
  <c r="V100" i="21"/>
  <c r="W100" i="21"/>
  <c r="X100" i="21"/>
  <c r="O153" i="21"/>
  <c r="P153" i="21"/>
  <c r="Q153" i="21"/>
  <c r="R153" i="21"/>
  <c r="S153" i="21"/>
  <c r="T153" i="21"/>
  <c r="U153" i="21"/>
  <c r="V153" i="21"/>
  <c r="W153" i="21"/>
  <c r="X153" i="21"/>
  <c r="O159" i="21"/>
  <c r="P159" i="21"/>
  <c r="Q159" i="21"/>
  <c r="R159" i="21"/>
  <c r="S159" i="21"/>
  <c r="T159" i="21"/>
  <c r="U159" i="21"/>
  <c r="V159" i="21"/>
  <c r="W159" i="21"/>
  <c r="X159" i="21"/>
  <c r="O169" i="21"/>
  <c r="P169" i="21"/>
  <c r="Q169" i="21"/>
  <c r="R169" i="21"/>
  <c r="S169" i="21"/>
  <c r="T169" i="21"/>
  <c r="U169" i="21"/>
  <c r="V169" i="21"/>
  <c r="W169" i="21"/>
  <c r="X169" i="21"/>
  <c r="O232" i="21"/>
  <c r="P232" i="21"/>
  <c r="Q232" i="21"/>
  <c r="R232" i="21"/>
  <c r="S232" i="21"/>
  <c r="T232" i="21"/>
  <c r="U232" i="21"/>
  <c r="V232" i="21"/>
  <c r="W232" i="21"/>
  <c r="X232" i="21"/>
  <c r="O307" i="21"/>
  <c r="P307" i="21"/>
  <c r="Q307" i="21"/>
  <c r="R307" i="21"/>
  <c r="S307" i="21"/>
  <c r="T307" i="21"/>
  <c r="U307" i="21"/>
  <c r="V307" i="21"/>
  <c r="W307" i="21"/>
  <c r="X307" i="21"/>
  <c r="O456" i="21"/>
  <c r="P456" i="21"/>
  <c r="Q456" i="21"/>
  <c r="R456" i="21"/>
  <c r="S456" i="21"/>
  <c r="T456" i="21"/>
  <c r="U456" i="21"/>
  <c r="V456" i="21"/>
  <c r="W456" i="21"/>
  <c r="X456" i="21"/>
  <c r="O103" i="21"/>
  <c r="P103" i="21"/>
  <c r="Q103" i="21"/>
  <c r="R103" i="21"/>
  <c r="S103" i="21"/>
  <c r="T103" i="21"/>
  <c r="U103" i="21"/>
  <c r="V103" i="21"/>
  <c r="W103" i="21"/>
  <c r="X103" i="21"/>
  <c r="O107" i="21"/>
  <c r="P107" i="21"/>
  <c r="Q107" i="21"/>
  <c r="R107" i="21"/>
  <c r="S107" i="21"/>
  <c r="T107" i="21"/>
  <c r="U107" i="21"/>
  <c r="V107" i="21"/>
  <c r="W107" i="21"/>
  <c r="X107" i="21"/>
  <c r="O126" i="21"/>
  <c r="P126" i="21"/>
  <c r="Q126" i="21"/>
  <c r="R126" i="21"/>
  <c r="S126" i="21"/>
  <c r="T126" i="21"/>
  <c r="U126" i="21"/>
  <c r="V126" i="21"/>
  <c r="W126" i="21"/>
  <c r="X126" i="21"/>
  <c r="O118" i="21"/>
  <c r="P118" i="21"/>
  <c r="Q118" i="21"/>
  <c r="R118" i="21"/>
  <c r="S118" i="21"/>
  <c r="T118" i="21"/>
  <c r="U118" i="21"/>
  <c r="V118" i="21"/>
  <c r="W118" i="21"/>
  <c r="X118" i="21"/>
  <c r="O152" i="21"/>
  <c r="P152" i="21"/>
  <c r="Q152" i="21"/>
  <c r="R152" i="21"/>
  <c r="S152" i="21"/>
  <c r="T152" i="21"/>
  <c r="U152" i="21"/>
  <c r="V152" i="21"/>
  <c r="W152" i="21"/>
  <c r="X152" i="21"/>
  <c r="O154" i="21"/>
  <c r="P154" i="21"/>
  <c r="Q154" i="21"/>
  <c r="R154" i="21"/>
  <c r="S154" i="21"/>
  <c r="T154" i="21"/>
  <c r="U154" i="21"/>
  <c r="V154" i="21"/>
  <c r="W154" i="21"/>
  <c r="X154" i="21"/>
  <c r="O139" i="21"/>
  <c r="P139" i="21"/>
  <c r="Q139" i="21"/>
  <c r="R139" i="21"/>
  <c r="S139" i="21"/>
  <c r="T139" i="21"/>
  <c r="U139" i="21"/>
  <c r="V139" i="21"/>
  <c r="W139" i="21"/>
  <c r="X139" i="21"/>
  <c r="O158" i="21"/>
  <c r="P158" i="21"/>
  <c r="Q158" i="21"/>
  <c r="R158" i="21"/>
  <c r="S158" i="21"/>
  <c r="T158" i="21"/>
  <c r="U158" i="21"/>
  <c r="V158" i="21"/>
  <c r="W158" i="21"/>
  <c r="X158" i="21"/>
  <c r="O179" i="21"/>
  <c r="P179" i="21"/>
  <c r="Q179" i="21"/>
  <c r="R179" i="21"/>
  <c r="S179" i="21"/>
  <c r="T179" i="21"/>
  <c r="U179" i="21"/>
  <c r="V179" i="21"/>
  <c r="W179" i="21"/>
  <c r="X179" i="21"/>
  <c r="O202" i="21"/>
  <c r="P202" i="21"/>
  <c r="Q202" i="21"/>
  <c r="R202" i="21"/>
  <c r="S202" i="21"/>
  <c r="T202" i="21"/>
  <c r="U202" i="21"/>
  <c r="V202" i="21"/>
  <c r="W202" i="21"/>
  <c r="X202" i="21"/>
  <c r="O190" i="21"/>
  <c r="P190" i="21"/>
  <c r="Q190" i="21"/>
  <c r="R190" i="21"/>
  <c r="S190" i="21"/>
  <c r="T190" i="21"/>
  <c r="U190" i="21"/>
  <c r="V190" i="21"/>
  <c r="W190" i="21"/>
  <c r="X190" i="21"/>
  <c r="O188" i="21"/>
  <c r="P188" i="21"/>
  <c r="Q188" i="21"/>
  <c r="R188" i="21"/>
  <c r="S188" i="21"/>
  <c r="T188" i="21"/>
  <c r="U188" i="21"/>
  <c r="V188" i="21"/>
  <c r="W188" i="21"/>
  <c r="X188" i="21"/>
  <c r="O222" i="21"/>
  <c r="P222" i="21"/>
  <c r="Q222" i="21"/>
  <c r="R222" i="21"/>
  <c r="S222" i="21"/>
  <c r="T222" i="21"/>
  <c r="U222" i="21"/>
  <c r="V222" i="21"/>
  <c r="W222" i="21"/>
  <c r="X222" i="21"/>
  <c r="O225" i="21"/>
  <c r="P225" i="21"/>
  <c r="Q225" i="21"/>
  <c r="R225" i="21"/>
  <c r="S225" i="21"/>
  <c r="T225" i="21"/>
  <c r="U225" i="21"/>
  <c r="V225" i="21"/>
  <c r="W225" i="21"/>
  <c r="X225" i="21"/>
  <c r="O272" i="21"/>
  <c r="P272" i="21"/>
  <c r="Q272" i="21"/>
  <c r="R272" i="21"/>
  <c r="S272" i="21"/>
  <c r="T272" i="21"/>
  <c r="U272" i="21"/>
  <c r="V272" i="21"/>
  <c r="W272" i="21"/>
  <c r="X272" i="21"/>
  <c r="O276" i="21"/>
  <c r="P276" i="21"/>
  <c r="Q276" i="21"/>
  <c r="R276" i="21"/>
  <c r="S276" i="21"/>
  <c r="T276" i="21"/>
  <c r="U276" i="21"/>
  <c r="V276" i="21"/>
  <c r="W276" i="21"/>
  <c r="X276" i="21"/>
  <c r="O289" i="21"/>
  <c r="P289" i="21"/>
  <c r="Q289" i="21"/>
  <c r="R289" i="21"/>
  <c r="S289" i="21"/>
  <c r="T289" i="21"/>
  <c r="U289" i="21"/>
  <c r="V289" i="21"/>
  <c r="W289" i="21"/>
  <c r="X289" i="21"/>
  <c r="O385" i="21"/>
  <c r="P385" i="21"/>
  <c r="Q385" i="21"/>
  <c r="R385" i="21"/>
  <c r="S385" i="21"/>
  <c r="T385" i="21"/>
  <c r="U385" i="21"/>
  <c r="V385" i="21"/>
  <c r="W385" i="21"/>
  <c r="X385" i="21"/>
  <c r="Y385" i="21"/>
  <c r="O401" i="21"/>
  <c r="P401" i="21"/>
  <c r="Q401" i="21"/>
  <c r="R401" i="21"/>
  <c r="S401" i="21"/>
  <c r="T401" i="21"/>
  <c r="U401" i="21"/>
  <c r="V401" i="21"/>
  <c r="W401" i="21"/>
  <c r="X401" i="21"/>
  <c r="O442" i="21"/>
  <c r="P442" i="21"/>
  <c r="Q442" i="21"/>
  <c r="R442" i="21"/>
  <c r="S442" i="21"/>
  <c r="T442" i="21"/>
  <c r="U442" i="21"/>
  <c r="V442" i="21"/>
  <c r="W442" i="21"/>
  <c r="X442" i="21"/>
  <c r="Y442" i="21"/>
  <c r="O470" i="21"/>
  <c r="P470" i="21"/>
  <c r="Q470" i="21"/>
  <c r="R470" i="21"/>
  <c r="S470" i="21"/>
  <c r="T470" i="21"/>
  <c r="U470" i="21"/>
  <c r="V470" i="21"/>
  <c r="W470" i="21"/>
  <c r="X470" i="21"/>
  <c r="O484" i="21"/>
  <c r="P484" i="21"/>
  <c r="Q484" i="21"/>
  <c r="R484" i="21"/>
  <c r="S484" i="21"/>
  <c r="T484" i="21"/>
  <c r="U484" i="21"/>
  <c r="V484" i="21"/>
  <c r="W484" i="21"/>
  <c r="X484" i="21"/>
  <c r="O509" i="21"/>
  <c r="P509" i="21"/>
  <c r="Q509" i="21"/>
  <c r="R509" i="21"/>
  <c r="S509" i="21"/>
  <c r="T509" i="21"/>
  <c r="U509" i="21"/>
  <c r="V509" i="21"/>
  <c r="W509" i="21"/>
  <c r="X509" i="21"/>
  <c r="Y509" i="21"/>
  <c r="O517" i="21"/>
  <c r="P517" i="21"/>
  <c r="Q517" i="21"/>
  <c r="R517" i="21"/>
  <c r="S517" i="21"/>
  <c r="T517" i="21"/>
  <c r="U517" i="21"/>
  <c r="V517" i="21"/>
  <c r="W517" i="21"/>
  <c r="X517" i="21"/>
  <c r="Y517" i="21"/>
  <c r="O16" i="21"/>
  <c r="P16" i="21"/>
  <c r="Q16" i="21"/>
  <c r="R16" i="21"/>
  <c r="S16" i="21"/>
  <c r="T16" i="21"/>
  <c r="U16" i="21"/>
  <c r="V16" i="21"/>
  <c r="W16" i="21"/>
  <c r="X16" i="21"/>
  <c r="O9" i="21"/>
  <c r="P9" i="21"/>
  <c r="Q9" i="21"/>
  <c r="R9" i="21"/>
  <c r="S9" i="21"/>
  <c r="T9" i="21"/>
  <c r="U9" i="21"/>
  <c r="V9" i="21"/>
  <c r="W9" i="21"/>
  <c r="X9" i="21"/>
  <c r="O32" i="21"/>
  <c r="P32" i="21"/>
  <c r="Q32" i="21"/>
  <c r="R32" i="21"/>
  <c r="S32" i="21"/>
  <c r="T32" i="21"/>
  <c r="U32" i="21"/>
  <c r="V32" i="21"/>
  <c r="W32" i="21"/>
  <c r="X32" i="21"/>
  <c r="O49" i="21"/>
  <c r="P49" i="21"/>
  <c r="Q49" i="21"/>
  <c r="R49" i="21"/>
  <c r="S49" i="21"/>
  <c r="T49" i="21"/>
  <c r="U49" i="21"/>
  <c r="V49" i="21"/>
  <c r="W49" i="21"/>
  <c r="X49" i="21"/>
  <c r="O60" i="21"/>
  <c r="P60" i="21"/>
  <c r="Q60" i="21"/>
  <c r="R60" i="21"/>
  <c r="S60" i="21"/>
  <c r="T60" i="21"/>
  <c r="U60" i="21"/>
  <c r="V60" i="21"/>
  <c r="W60" i="21"/>
  <c r="X60" i="21"/>
  <c r="O102" i="21"/>
  <c r="P102" i="21"/>
  <c r="Q102" i="21"/>
  <c r="R102" i="21"/>
  <c r="S102" i="21"/>
  <c r="T102" i="21"/>
  <c r="U102" i="21"/>
  <c r="V102" i="21"/>
  <c r="W102" i="21"/>
  <c r="X102" i="21"/>
  <c r="O151" i="21"/>
  <c r="P151" i="21"/>
  <c r="Q151" i="21"/>
  <c r="R151" i="21"/>
  <c r="S151" i="21"/>
  <c r="T151" i="21"/>
  <c r="U151" i="21"/>
  <c r="V151" i="21"/>
  <c r="W151" i="21"/>
  <c r="X151" i="21"/>
  <c r="O205" i="21"/>
  <c r="P205" i="21"/>
  <c r="Q205" i="21"/>
  <c r="R205" i="21"/>
  <c r="S205" i="21"/>
  <c r="T205" i="21"/>
  <c r="U205" i="21"/>
  <c r="V205" i="21"/>
  <c r="W205" i="21"/>
  <c r="X205" i="21"/>
  <c r="O216" i="21"/>
  <c r="P216" i="21"/>
  <c r="Q216" i="21"/>
  <c r="R216" i="21"/>
  <c r="S216" i="21"/>
  <c r="T216" i="21"/>
  <c r="U216" i="21"/>
  <c r="V216" i="21"/>
  <c r="W216" i="21"/>
  <c r="X216" i="21"/>
  <c r="O271" i="21"/>
  <c r="P271" i="21"/>
  <c r="Q271" i="21"/>
  <c r="R271" i="21"/>
  <c r="S271" i="21"/>
  <c r="T271" i="21"/>
  <c r="U271" i="21"/>
  <c r="V271" i="21"/>
  <c r="W271" i="21"/>
  <c r="X271" i="21"/>
  <c r="O284" i="21"/>
  <c r="P284" i="21"/>
  <c r="Q284" i="21"/>
  <c r="R284" i="21"/>
  <c r="S284" i="21"/>
  <c r="T284" i="21"/>
  <c r="U284" i="21"/>
  <c r="V284" i="21"/>
  <c r="W284" i="21"/>
  <c r="X284" i="21"/>
  <c r="O290" i="21"/>
  <c r="P290" i="21"/>
  <c r="Q290" i="21"/>
  <c r="R290" i="21"/>
  <c r="S290" i="21"/>
  <c r="T290" i="21"/>
  <c r="U290" i="21"/>
  <c r="V290" i="21"/>
  <c r="W290" i="21"/>
  <c r="X290" i="21"/>
  <c r="O342" i="21"/>
  <c r="P342" i="21"/>
  <c r="Q342" i="21"/>
  <c r="R342" i="21"/>
  <c r="S342" i="21"/>
  <c r="T342" i="21"/>
  <c r="U342" i="21"/>
  <c r="V342" i="21"/>
  <c r="W342" i="21"/>
  <c r="X342" i="21"/>
  <c r="O348" i="21"/>
  <c r="P348" i="21"/>
  <c r="Q348" i="21"/>
  <c r="R348" i="21"/>
  <c r="S348" i="21"/>
  <c r="T348" i="21"/>
  <c r="U348" i="21"/>
  <c r="V348" i="21"/>
  <c r="W348" i="21"/>
  <c r="X348" i="21"/>
  <c r="O340" i="21"/>
  <c r="P340" i="21"/>
  <c r="Q340" i="21"/>
  <c r="R340" i="21"/>
  <c r="S340" i="21"/>
  <c r="T340" i="21"/>
  <c r="U340" i="21"/>
  <c r="V340" i="21"/>
  <c r="W340" i="21"/>
  <c r="X340" i="21"/>
  <c r="O339" i="21"/>
  <c r="P339" i="21"/>
  <c r="Q339" i="21"/>
  <c r="R339" i="21"/>
  <c r="S339" i="21"/>
  <c r="T339" i="21"/>
  <c r="U339" i="21"/>
  <c r="V339" i="21"/>
  <c r="W339" i="21"/>
  <c r="X339" i="21"/>
  <c r="O353" i="21"/>
  <c r="P353" i="21"/>
  <c r="Q353" i="21"/>
  <c r="R353" i="21"/>
  <c r="S353" i="21"/>
  <c r="T353" i="21"/>
  <c r="U353" i="21"/>
  <c r="V353" i="21"/>
  <c r="W353" i="21"/>
  <c r="X353" i="21"/>
  <c r="O341" i="21"/>
  <c r="P341" i="21"/>
  <c r="Q341" i="21"/>
  <c r="R341" i="21"/>
  <c r="S341" i="21"/>
  <c r="T341" i="21"/>
  <c r="U341" i="21"/>
  <c r="V341" i="21"/>
  <c r="W341" i="21"/>
  <c r="X341" i="21"/>
  <c r="O415" i="21"/>
  <c r="P415" i="21"/>
  <c r="Q415" i="21"/>
  <c r="R415" i="21"/>
  <c r="S415" i="21"/>
  <c r="T415" i="21"/>
  <c r="U415" i="21"/>
  <c r="V415" i="21"/>
  <c r="W415" i="21"/>
  <c r="X415" i="21"/>
  <c r="O425" i="21"/>
  <c r="P425" i="21"/>
  <c r="Q425" i="21"/>
  <c r="R425" i="21"/>
  <c r="S425" i="21"/>
  <c r="T425" i="21"/>
  <c r="U425" i="21"/>
  <c r="V425" i="21"/>
  <c r="W425" i="21"/>
  <c r="X425" i="21"/>
  <c r="O455" i="21"/>
  <c r="P455" i="21"/>
  <c r="Q455" i="21"/>
  <c r="R455" i="21"/>
  <c r="S455" i="21"/>
  <c r="T455" i="21"/>
  <c r="U455" i="21"/>
  <c r="V455" i="21"/>
  <c r="W455" i="21"/>
  <c r="X455" i="21"/>
  <c r="O471" i="21"/>
  <c r="P471" i="21"/>
  <c r="Q471" i="21"/>
  <c r="R471" i="21"/>
  <c r="S471" i="21"/>
  <c r="T471" i="21"/>
  <c r="U471" i="21"/>
  <c r="V471" i="21"/>
  <c r="W471" i="21"/>
  <c r="X471" i="21"/>
  <c r="O500" i="21"/>
  <c r="P500" i="21"/>
  <c r="Q500" i="21"/>
  <c r="R500" i="21"/>
  <c r="S500" i="21"/>
  <c r="T500" i="21"/>
  <c r="U500" i="21"/>
  <c r="V500" i="21"/>
  <c r="W500" i="21"/>
  <c r="X500" i="21"/>
  <c r="O519" i="21"/>
  <c r="P519" i="21"/>
  <c r="Q519" i="21"/>
  <c r="R519" i="21"/>
  <c r="S519" i="21"/>
  <c r="T519" i="21"/>
  <c r="U519" i="21"/>
  <c r="V519" i="21"/>
  <c r="W519" i="21"/>
  <c r="X519" i="21"/>
  <c r="Y519" i="21"/>
  <c r="O40" i="21"/>
  <c r="P40" i="21"/>
  <c r="Q40" i="21"/>
  <c r="R40" i="21"/>
  <c r="S40" i="21"/>
  <c r="T40" i="21"/>
  <c r="U40" i="21"/>
  <c r="V40" i="21"/>
  <c r="W40" i="21"/>
  <c r="X40" i="21"/>
  <c r="O255" i="21"/>
  <c r="P255" i="21"/>
  <c r="Q255" i="21"/>
  <c r="R255" i="21"/>
  <c r="S255" i="21"/>
  <c r="T255" i="21"/>
  <c r="U255" i="21"/>
  <c r="V255" i="21"/>
  <c r="W255" i="21"/>
  <c r="X255" i="21"/>
  <c r="O282" i="21"/>
  <c r="P282" i="21"/>
  <c r="Q282" i="21"/>
  <c r="R282" i="21"/>
  <c r="S282" i="21"/>
  <c r="T282" i="21"/>
  <c r="U282" i="21"/>
  <c r="V282" i="21"/>
  <c r="W282" i="21"/>
  <c r="X282" i="21"/>
  <c r="O268" i="21"/>
  <c r="P268" i="21"/>
  <c r="Q268" i="21"/>
  <c r="R268" i="21"/>
  <c r="S268" i="21"/>
  <c r="T268" i="21"/>
  <c r="U268" i="21"/>
  <c r="V268" i="21"/>
  <c r="W268" i="21"/>
  <c r="X268" i="21"/>
  <c r="O24" i="21"/>
  <c r="P24" i="21"/>
  <c r="Q24" i="21"/>
  <c r="R24" i="21"/>
  <c r="S24" i="21"/>
  <c r="T24" i="21"/>
  <c r="U24" i="21"/>
  <c r="V24" i="21"/>
  <c r="W24" i="21"/>
  <c r="X24" i="21"/>
  <c r="O25" i="21"/>
  <c r="P25" i="21"/>
  <c r="Q25" i="21"/>
  <c r="R25" i="21"/>
  <c r="S25" i="21"/>
  <c r="T25" i="21"/>
  <c r="U25" i="21"/>
  <c r="V25" i="21"/>
  <c r="W25" i="21"/>
  <c r="X25" i="21"/>
  <c r="O26" i="21"/>
  <c r="P26" i="21"/>
  <c r="Q26" i="21"/>
  <c r="R26" i="21"/>
  <c r="S26" i="21"/>
  <c r="T26" i="21"/>
  <c r="U26" i="21"/>
  <c r="V26" i="21"/>
  <c r="W26" i="21"/>
  <c r="X26" i="21"/>
  <c r="O33" i="21"/>
  <c r="P33" i="21"/>
  <c r="Q33" i="21"/>
  <c r="R33" i="21"/>
  <c r="S33" i="21"/>
  <c r="T33" i="21"/>
  <c r="U33" i="21"/>
  <c r="V33" i="21"/>
  <c r="W33" i="21"/>
  <c r="X33" i="21"/>
  <c r="O55" i="21"/>
  <c r="P55" i="21"/>
  <c r="Q55" i="21"/>
  <c r="R55" i="21"/>
  <c r="S55" i="21"/>
  <c r="T55" i="21"/>
  <c r="U55" i="21"/>
  <c r="V55" i="21"/>
  <c r="W55" i="21"/>
  <c r="X55" i="21"/>
  <c r="O101" i="21"/>
  <c r="P101" i="21"/>
  <c r="Q101" i="21"/>
  <c r="R101" i="21"/>
  <c r="S101" i="21"/>
  <c r="T101" i="21"/>
  <c r="U101" i="21"/>
  <c r="V101" i="21"/>
  <c r="W101" i="21"/>
  <c r="X101" i="21"/>
  <c r="O128" i="21"/>
  <c r="P128" i="21"/>
  <c r="Q128" i="21"/>
  <c r="R128" i="21"/>
  <c r="S128" i="21"/>
  <c r="T128" i="21"/>
  <c r="U128" i="21"/>
  <c r="V128" i="21"/>
  <c r="W128" i="21"/>
  <c r="X128" i="21"/>
  <c r="O135" i="21"/>
  <c r="P135" i="21"/>
  <c r="Q135" i="21"/>
  <c r="R135" i="21"/>
  <c r="S135" i="21"/>
  <c r="T135" i="21"/>
  <c r="U135" i="21"/>
  <c r="V135" i="21"/>
  <c r="W135" i="21"/>
  <c r="X135" i="21"/>
  <c r="O148" i="21"/>
  <c r="P148" i="21"/>
  <c r="Q148" i="21"/>
  <c r="R148" i="21"/>
  <c r="S148" i="21"/>
  <c r="T148" i="21"/>
  <c r="U148" i="21"/>
  <c r="V148" i="21"/>
  <c r="W148" i="21"/>
  <c r="X148" i="21"/>
  <c r="O168" i="21"/>
  <c r="P168" i="21"/>
  <c r="Q168" i="21"/>
  <c r="R168" i="21"/>
  <c r="S168" i="21"/>
  <c r="T168" i="21"/>
  <c r="U168" i="21"/>
  <c r="V168" i="21"/>
  <c r="W168" i="21"/>
  <c r="X168" i="21"/>
  <c r="O178" i="21"/>
  <c r="P178" i="21"/>
  <c r="Q178" i="21"/>
  <c r="R178" i="21"/>
  <c r="S178" i="21"/>
  <c r="T178" i="21"/>
  <c r="U178" i="21"/>
  <c r="V178" i="21"/>
  <c r="W178" i="21"/>
  <c r="X178" i="21"/>
  <c r="O171" i="21"/>
  <c r="P171" i="21"/>
  <c r="Q171" i="21"/>
  <c r="R171" i="21"/>
  <c r="S171" i="21"/>
  <c r="T171" i="21"/>
  <c r="U171" i="21"/>
  <c r="V171" i="21"/>
  <c r="W171" i="21"/>
  <c r="X171" i="21"/>
  <c r="O167" i="21"/>
  <c r="P167" i="21"/>
  <c r="Q167" i="21"/>
  <c r="R167" i="21"/>
  <c r="S167" i="21"/>
  <c r="T167" i="21"/>
  <c r="U167" i="21"/>
  <c r="V167" i="21"/>
  <c r="W167" i="21"/>
  <c r="X167" i="21"/>
  <c r="O196" i="21"/>
  <c r="P196" i="21"/>
  <c r="Q196" i="21"/>
  <c r="R196" i="21"/>
  <c r="S196" i="21"/>
  <c r="T196" i="21"/>
  <c r="U196" i="21"/>
  <c r="V196" i="21"/>
  <c r="W196" i="21"/>
  <c r="X196" i="21"/>
  <c r="O197" i="21"/>
  <c r="P197" i="21"/>
  <c r="Q197" i="21"/>
  <c r="R197" i="21"/>
  <c r="S197" i="21"/>
  <c r="T197" i="21"/>
  <c r="U197" i="21"/>
  <c r="V197" i="21"/>
  <c r="W197" i="21"/>
  <c r="X197" i="21"/>
  <c r="O258" i="21"/>
  <c r="P258" i="21"/>
  <c r="Q258" i="21"/>
  <c r="R258" i="21"/>
  <c r="S258" i="21"/>
  <c r="T258" i="21"/>
  <c r="U258" i="21"/>
  <c r="V258" i="21"/>
  <c r="W258" i="21"/>
  <c r="X258" i="21"/>
  <c r="O278" i="21"/>
  <c r="P278" i="21"/>
  <c r="Q278" i="21"/>
  <c r="R278" i="21"/>
  <c r="S278" i="21"/>
  <c r="T278" i="21"/>
  <c r="U278" i="21"/>
  <c r="V278" i="21"/>
  <c r="W278" i="21"/>
  <c r="X278" i="21"/>
  <c r="O358" i="21"/>
  <c r="P358" i="21"/>
  <c r="Q358" i="21"/>
  <c r="R358" i="21"/>
  <c r="S358" i="21"/>
  <c r="T358" i="21"/>
  <c r="U358" i="21"/>
  <c r="V358" i="21"/>
  <c r="W358" i="21"/>
  <c r="X358" i="21"/>
  <c r="O434" i="21"/>
  <c r="P434" i="21"/>
  <c r="Q434" i="21"/>
  <c r="R434" i="21"/>
  <c r="S434" i="21"/>
  <c r="T434" i="21"/>
  <c r="U434" i="21"/>
  <c r="V434" i="21"/>
  <c r="W434" i="21"/>
  <c r="X434" i="21"/>
  <c r="Y434" i="21"/>
  <c r="O436" i="21"/>
  <c r="P436" i="21"/>
  <c r="Q436" i="21"/>
  <c r="R436" i="21"/>
  <c r="S436" i="21"/>
  <c r="T436" i="21"/>
  <c r="U436" i="21"/>
  <c r="V436" i="21"/>
  <c r="W436" i="21"/>
  <c r="X436" i="21"/>
  <c r="Y436" i="21"/>
  <c r="O424" i="21"/>
  <c r="P424" i="21"/>
  <c r="Q424" i="21"/>
  <c r="R424" i="21"/>
  <c r="S424" i="21"/>
  <c r="T424" i="21"/>
  <c r="U424" i="21"/>
  <c r="V424" i="21"/>
  <c r="W424" i="21"/>
  <c r="X424" i="21"/>
  <c r="O454" i="21"/>
  <c r="P454" i="21"/>
  <c r="Q454" i="21"/>
  <c r="R454" i="21"/>
  <c r="S454" i="21"/>
  <c r="T454" i="21"/>
  <c r="U454" i="21"/>
  <c r="V454" i="21"/>
  <c r="W454" i="21"/>
  <c r="X454" i="21"/>
  <c r="O475" i="21"/>
  <c r="P475" i="21"/>
  <c r="Q475" i="21"/>
  <c r="R475" i="21"/>
  <c r="S475" i="21"/>
  <c r="T475" i="21"/>
  <c r="U475" i="21"/>
  <c r="V475" i="21"/>
  <c r="W475" i="21"/>
  <c r="X475" i="21"/>
  <c r="O22" i="21"/>
  <c r="P22" i="21"/>
  <c r="Q22" i="21"/>
  <c r="R22" i="21"/>
  <c r="S22" i="21"/>
  <c r="T22" i="21"/>
  <c r="U22" i="21"/>
  <c r="V22" i="21"/>
  <c r="W22" i="21"/>
  <c r="X22" i="21"/>
  <c r="O11" i="21"/>
  <c r="P11" i="21"/>
  <c r="Q11" i="21"/>
  <c r="R11" i="21"/>
  <c r="S11" i="21"/>
  <c r="T11" i="21"/>
  <c r="U11" i="21"/>
  <c r="V11" i="21"/>
  <c r="W11" i="21"/>
  <c r="X11" i="21"/>
  <c r="O47" i="21"/>
  <c r="P47" i="21"/>
  <c r="Q47" i="21"/>
  <c r="R47" i="21"/>
  <c r="S47" i="21"/>
  <c r="T47" i="21"/>
  <c r="U47" i="21"/>
  <c r="V47" i="21"/>
  <c r="W47" i="21"/>
  <c r="X47" i="21"/>
  <c r="O48" i="21"/>
  <c r="P48" i="21"/>
  <c r="Q48" i="21"/>
  <c r="R48" i="21"/>
  <c r="S48" i="21"/>
  <c r="T48" i="21"/>
  <c r="U48" i="21"/>
  <c r="V48" i="21"/>
  <c r="W48" i="21"/>
  <c r="X48" i="21"/>
  <c r="O75" i="21"/>
  <c r="P75" i="21"/>
  <c r="Q75" i="21"/>
  <c r="R75" i="21"/>
  <c r="S75" i="21"/>
  <c r="T75" i="21"/>
  <c r="U75" i="21"/>
  <c r="V75" i="21"/>
  <c r="W75" i="21"/>
  <c r="X75" i="21"/>
  <c r="O73" i="21"/>
  <c r="P73" i="21"/>
  <c r="Q73" i="21"/>
  <c r="R73" i="21"/>
  <c r="S73" i="21"/>
  <c r="T73" i="21"/>
  <c r="U73" i="21"/>
  <c r="V73" i="21"/>
  <c r="W73" i="21"/>
  <c r="X73" i="21"/>
  <c r="O57" i="21"/>
  <c r="P57" i="21"/>
  <c r="Q57" i="21"/>
  <c r="R57" i="21"/>
  <c r="S57" i="21"/>
  <c r="T57" i="21"/>
  <c r="U57" i="21"/>
  <c r="V57" i="21"/>
  <c r="W57" i="21"/>
  <c r="X57" i="21"/>
  <c r="O59" i="21"/>
  <c r="P59" i="21"/>
  <c r="Q59" i="21"/>
  <c r="R59" i="21"/>
  <c r="S59" i="21"/>
  <c r="T59" i="21"/>
  <c r="U59" i="21"/>
  <c r="V59" i="21"/>
  <c r="W59" i="21"/>
  <c r="X59" i="21"/>
  <c r="O65" i="21"/>
  <c r="P65" i="21"/>
  <c r="Q65" i="21"/>
  <c r="R65" i="21"/>
  <c r="S65" i="21"/>
  <c r="T65" i="21"/>
  <c r="U65" i="21"/>
  <c r="V65" i="21"/>
  <c r="W65" i="21"/>
  <c r="X65" i="21"/>
  <c r="O76" i="21"/>
  <c r="P76" i="21"/>
  <c r="Q76" i="21"/>
  <c r="R76" i="21"/>
  <c r="S76" i="21"/>
  <c r="T76" i="21"/>
  <c r="U76" i="21"/>
  <c r="V76" i="21"/>
  <c r="W76" i="21"/>
  <c r="X76" i="21"/>
  <c r="O66" i="21"/>
  <c r="P66" i="21"/>
  <c r="Q66" i="21"/>
  <c r="R66" i="21"/>
  <c r="S66" i="21"/>
  <c r="T66" i="21"/>
  <c r="U66" i="21"/>
  <c r="V66" i="21"/>
  <c r="W66" i="21"/>
  <c r="X66" i="21"/>
  <c r="O67" i="21"/>
  <c r="P67" i="21"/>
  <c r="Q67" i="21"/>
  <c r="R67" i="21"/>
  <c r="S67" i="21"/>
  <c r="T67" i="21"/>
  <c r="U67" i="21"/>
  <c r="V67" i="21"/>
  <c r="W67" i="21"/>
  <c r="X67" i="21"/>
  <c r="O78" i="21"/>
  <c r="P78" i="21"/>
  <c r="Q78" i="21"/>
  <c r="R78" i="21"/>
  <c r="S78" i="21"/>
  <c r="T78" i="21"/>
  <c r="U78" i="21"/>
  <c r="V78" i="21"/>
  <c r="W78" i="21"/>
  <c r="X78" i="21"/>
  <c r="O93" i="21"/>
  <c r="P93" i="21"/>
  <c r="Q93" i="21"/>
  <c r="R93" i="21"/>
  <c r="S93" i="21"/>
  <c r="T93" i="21"/>
  <c r="U93" i="21"/>
  <c r="V93" i="21"/>
  <c r="W93" i="21"/>
  <c r="X93" i="21"/>
  <c r="O95" i="21"/>
  <c r="P95" i="21"/>
  <c r="Q95" i="21"/>
  <c r="R95" i="21"/>
  <c r="S95" i="21"/>
  <c r="T95" i="21"/>
  <c r="U95" i="21"/>
  <c r="V95" i="21"/>
  <c r="W95" i="21"/>
  <c r="X95" i="21"/>
  <c r="O62" i="21"/>
  <c r="P62" i="21"/>
  <c r="Q62" i="21"/>
  <c r="R62" i="21"/>
  <c r="S62" i="21"/>
  <c r="T62" i="21"/>
  <c r="U62" i="21"/>
  <c r="V62" i="21"/>
  <c r="W62" i="21"/>
  <c r="X62" i="21"/>
  <c r="O85" i="21"/>
  <c r="P85" i="21"/>
  <c r="Q85" i="21"/>
  <c r="R85" i="21"/>
  <c r="S85" i="21"/>
  <c r="T85" i="21"/>
  <c r="U85" i="21"/>
  <c r="V85" i="21"/>
  <c r="W85" i="21"/>
  <c r="X85" i="21"/>
  <c r="O91" i="21"/>
  <c r="P91" i="21"/>
  <c r="Q91" i="21"/>
  <c r="R91" i="21"/>
  <c r="S91" i="21"/>
  <c r="T91" i="21"/>
  <c r="U91" i="21"/>
  <c r="V91" i="21"/>
  <c r="W91" i="21"/>
  <c r="X91" i="21"/>
  <c r="O94" i="21"/>
  <c r="P94" i="21"/>
  <c r="Q94" i="21"/>
  <c r="R94" i="21"/>
  <c r="S94" i="21"/>
  <c r="T94" i="21"/>
  <c r="U94" i="21"/>
  <c r="V94" i="21"/>
  <c r="W94" i="21"/>
  <c r="X94" i="21"/>
  <c r="O106" i="21"/>
  <c r="P106" i="21"/>
  <c r="Q106" i="21"/>
  <c r="R106" i="21"/>
  <c r="S106" i="21"/>
  <c r="T106" i="21"/>
  <c r="U106" i="21"/>
  <c r="V106" i="21"/>
  <c r="W106" i="21"/>
  <c r="X106" i="21"/>
  <c r="O82" i="21"/>
  <c r="P82" i="21"/>
  <c r="Q82" i="21"/>
  <c r="R82" i="21"/>
  <c r="S82" i="21"/>
  <c r="T82" i="21"/>
  <c r="U82" i="21"/>
  <c r="V82" i="21"/>
  <c r="W82" i="21"/>
  <c r="X82" i="21"/>
  <c r="O129" i="21"/>
  <c r="P129" i="21"/>
  <c r="Q129" i="21"/>
  <c r="R129" i="21"/>
  <c r="S129" i="21"/>
  <c r="T129" i="21"/>
  <c r="U129" i="21"/>
  <c r="V129" i="21"/>
  <c r="W129" i="21"/>
  <c r="X129" i="21"/>
  <c r="O112" i="21"/>
  <c r="P112" i="21"/>
  <c r="Q112" i="21"/>
  <c r="R112" i="21"/>
  <c r="S112" i="21"/>
  <c r="T112" i="21"/>
  <c r="U112" i="21"/>
  <c r="V112" i="21"/>
  <c r="W112" i="21"/>
  <c r="X112" i="21"/>
  <c r="O150" i="21"/>
  <c r="P150" i="21"/>
  <c r="Q150" i="21"/>
  <c r="R150" i="21"/>
  <c r="S150" i="21"/>
  <c r="T150" i="21"/>
  <c r="U150" i="21"/>
  <c r="V150" i="21"/>
  <c r="W150" i="21"/>
  <c r="X150" i="21"/>
  <c r="O134" i="21"/>
  <c r="P134" i="21"/>
  <c r="Q134" i="21"/>
  <c r="R134" i="21"/>
  <c r="S134" i="21"/>
  <c r="T134" i="21"/>
  <c r="U134" i="21"/>
  <c r="V134" i="21"/>
  <c r="W134" i="21"/>
  <c r="X134" i="21"/>
  <c r="O143" i="21"/>
  <c r="P143" i="21"/>
  <c r="Q143" i="21"/>
  <c r="R143" i="21"/>
  <c r="S143" i="21"/>
  <c r="T143" i="21"/>
  <c r="U143" i="21"/>
  <c r="V143" i="21"/>
  <c r="W143" i="21"/>
  <c r="X143" i="21"/>
  <c r="O137" i="21"/>
  <c r="P137" i="21"/>
  <c r="Q137" i="21"/>
  <c r="R137" i="21"/>
  <c r="S137" i="21"/>
  <c r="T137" i="21"/>
  <c r="U137" i="21"/>
  <c r="V137" i="21"/>
  <c r="W137" i="21"/>
  <c r="X137" i="21"/>
  <c r="O144" i="21"/>
  <c r="P144" i="21"/>
  <c r="Q144" i="21"/>
  <c r="R144" i="21"/>
  <c r="S144" i="21"/>
  <c r="T144" i="21"/>
  <c r="U144" i="21"/>
  <c r="V144" i="21"/>
  <c r="W144" i="21"/>
  <c r="X144" i="21"/>
  <c r="O175" i="21"/>
  <c r="P175" i="21"/>
  <c r="Q175" i="21"/>
  <c r="R175" i="21"/>
  <c r="S175" i="21"/>
  <c r="T175" i="21"/>
  <c r="U175" i="21"/>
  <c r="V175" i="21"/>
  <c r="W175" i="21"/>
  <c r="X175" i="21"/>
  <c r="O174" i="21"/>
  <c r="P174" i="21"/>
  <c r="Q174" i="21"/>
  <c r="R174" i="21"/>
  <c r="S174" i="21"/>
  <c r="T174" i="21"/>
  <c r="U174" i="21"/>
  <c r="V174" i="21"/>
  <c r="W174" i="21"/>
  <c r="X174" i="21"/>
  <c r="O166" i="21"/>
  <c r="P166" i="21"/>
  <c r="Q166" i="21"/>
  <c r="R166" i="21"/>
  <c r="S166" i="21"/>
  <c r="T166" i="21"/>
  <c r="U166" i="21"/>
  <c r="V166" i="21"/>
  <c r="W166" i="21"/>
  <c r="X166" i="21"/>
  <c r="O162" i="21"/>
  <c r="P162" i="21"/>
  <c r="Q162" i="21"/>
  <c r="R162" i="21"/>
  <c r="S162" i="21"/>
  <c r="T162" i="21"/>
  <c r="U162" i="21"/>
  <c r="V162" i="21"/>
  <c r="W162" i="21"/>
  <c r="X162" i="21"/>
  <c r="O181" i="21"/>
  <c r="P181" i="21"/>
  <c r="Q181" i="21"/>
  <c r="R181" i="21"/>
  <c r="S181" i="21"/>
  <c r="T181" i="21"/>
  <c r="U181" i="21"/>
  <c r="V181" i="21"/>
  <c r="W181" i="21"/>
  <c r="X181" i="21"/>
  <c r="O200" i="21"/>
  <c r="P200" i="21"/>
  <c r="Q200" i="21"/>
  <c r="R200" i="21"/>
  <c r="S200" i="21"/>
  <c r="T200" i="21"/>
  <c r="U200" i="21"/>
  <c r="V200" i="21"/>
  <c r="W200" i="21"/>
  <c r="X200" i="21"/>
  <c r="O206" i="21"/>
  <c r="P206" i="21"/>
  <c r="Q206" i="21"/>
  <c r="R206" i="21"/>
  <c r="S206" i="21"/>
  <c r="T206" i="21"/>
  <c r="U206" i="21"/>
  <c r="V206" i="21"/>
  <c r="W206" i="21"/>
  <c r="X206" i="21"/>
  <c r="O184" i="21"/>
  <c r="P184" i="21"/>
  <c r="Q184" i="21"/>
  <c r="R184" i="21"/>
  <c r="S184" i="21"/>
  <c r="T184" i="21"/>
  <c r="U184" i="21"/>
  <c r="V184" i="21"/>
  <c r="W184" i="21"/>
  <c r="X184" i="21"/>
  <c r="O186" i="21"/>
  <c r="P186" i="21"/>
  <c r="Q186" i="21"/>
  <c r="R186" i="21"/>
  <c r="S186" i="21"/>
  <c r="T186" i="21"/>
  <c r="U186" i="21"/>
  <c r="V186" i="21"/>
  <c r="W186" i="21"/>
  <c r="X186" i="21"/>
  <c r="O233" i="21"/>
  <c r="P233" i="21"/>
  <c r="Q233" i="21"/>
  <c r="R233" i="21"/>
  <c r="S233" i="21"/>
  <c r="T233" i="21"/>
  <c r="U233" i="21"/>
  <c r="V233" i="21"/>
  <c r="W233" i="21"/>
  <c r="X233" i="21"/>
  <c r="O238" i="21"/>
  <c r="P238" i="21"/>
  <c r="Q238" i="21"/>
  <c r="R238" i="21"/>
  <c r="S238" i="21"/>
  <c r="T238" i="21"/>
  <c r="U238" i="21"/>
  <c r="V238" i="21"/>
  <c r="W238" i="21"/>
  <c r="X238" i="21"/>
  <c r="O251" i="21"/>
  <c r="P251" i="21"/>
  <c r="Q251" i="21"/>
  <c r="R251" i="21"/>
  <c r="S251" i="21"/>
  <c r="T251" i="21"/>
  <c r="U251" i="21"/>
  <c r="V251" i="21"/>
  <c r="W251" i="21"/>
  <c r="X251" i="21"/>
  <c r="O249" i="21"/>
  <c r="P249" i="21"/>
  <c r="Q249" i="21"/>
  <c r="R249" i="21"/>
  <c r="S249" i="21"/>
  <c r="T249" i="21"/>
  <c r="U249" i="21"/>
  <c r="V249" i="21"/>
  <c r="W249" i="21"/>
  <c r="X249" i="21"/>
  <c r="O245" i="21"/>
  <c r="P245" i="21"/>
  <c r="Q245" i="21"/>
  <c r="R245" i="21"/>
  <c r="S245" i="21"/>
  <c r="T245" i="21"/>
  <c r="U245" i="21"/>
  <c r="V245" i="21"/>
  <c r="W245" i="21"/>
  <c r="X245" i="21"/>
  <c r="O259" i="21"/>
  <c r="P259" i="21"/>
  <c r="Q259" i="21"/>
  <c r="R259" i="21"/>
  <c r="S259" i="21"/>
  <c r="T259" i="21"/>
  <c r="U259" i="21"/>
  <c r="V259" i="21"/>
  <c r="W259" i="21"/>
  <c r="X259" i="21"/>
  <c r="O248" i="21"/>
  <c r="P248" i="21"/>
  <c r="Q248" i="21"/>
  <c r="R248" i="21"/>
  <c r="S248" i="21"/>
  <c r="T248" i="21"/>
  <c r="U248" i="21"/>
  <c r="V248" i="21"/>
  <c r="W248" i="21"/>
  <c r="X248" i="21"/>
  <c r="O260" i="21"/>
  <c r="P260" i="21"/>
  <c r="Q260" i="21"/>
  <c r="R260" i="21"/>
  <c r="S260" i="21"/>
  <c r="T260" i="21"/>
  <c r="U260" i="21"/>
  <c r="V260" i="21"/>
  <c r="W260" i="21"/>
  <c r="X260" i="21"/>
  <c r="O281" i="21"/>
  <c r="P281" i="21"/>
  <c r="Q281" i="21"/>
  <c r="R281" i="21"/>
  <c r="S281" i="21"/>
  <c r="T281" i="21"/>
  <c r="U281" i="21"/>
  <c r="V281" i="21"/>
  <c r="W281" i="21"/>
  <c r="X281" i="21"/>
  <c r="O299" i="21"/>
  <c r="P299" i="21"/>
  <c r="Q299" i="21"/>
  <c r="R299" i="21"/>
  <c r="S299" i="21"/>
  <c r="T299" i="21"/>
  <c r="U299" i="21"/>
  <c r="V299" i="21"/>
  <c r="W299" i="21"/>
  <c r="X299" i="21"/>
  <c r="O305" i="21"/>
  <c r="P305" i="21"/>
  <c r="Q305" i="21"/>
  <c r="R305" i="21"/>
  <c r="S305" i="21"/>
  <c r="T305" i="21"/>
  <c r="U305" i="21"/>
  <c r="V305" i="21"/>
  <c r="W305" i="21"/>
  <c r="X305" i="21"/>
  <c r="O301" i="21"/>
  <c r="P301" i="21"/>
  <c r="Q301" i="21"/>
  <c r="R301" i="21"/>
  <c r="S301" i="21"/>
  <c r="T301" i="21"/>
  <c r="U301" i="21"/>
  <c r="V301" i="21"/>
  <c r="W301" i="21"/>
  <c r="X301" i="21"/>
  <c r="O309" i="21"/>
  <c r="P309" i="21"/>
  <c r="Q309" i="21"/>
  <c r="R309" i="21"/>
  <c r="S309" i="21"/>
  <c r="T309" i="21"/>
  <c r="U309" i="21"/>
  <c r="V309" i="21"/>
  <c r="W309" i="21"/>
  <c r="X309" i="21"/>
  <c r="O288" i="21"/>
  <c r="P288" i="21"/>
  <c r="Q288" i="21"/>
  <c r="R288" i="21"/>
  <c r="S288" i="21"/>
  <c r="T288" i="21"/>
  <c r="U288" i="21"/>
  <c r="V288" i="21"/>
  <c r="W288" i="21"/>
  <c r="X288" i="21"/>
  <c r="O311" i="21"/>
  <c r="P311" i="21"/>
  <c r="Q311" i="21"/>
  <c r="R311" i="21"/>
  <c r="S311" i="21"/>
  <c r="T311" i="21"/>
  <c r="U311" i="21"/>
  <c r="V311" i="21"/>
  <c r="W311" i="21"/>
  <c r="X311" i="21"/>
  <c r="O330" i="21"/>
  <c r="P330" i="21"/>
  <c r="Q330" i="21"/>
  <c r="R330" i="21"/>
  <c r="S330" i="21"/>
  <c r="T330" i="21"/>
  <c r="U330" i="21"/>
  <c r="V330" i="21"/>
  <c r="W330" i="21"/>
  <c r="X330" i="21"/>
  <c r="O322" i="21"/>
  <c r="P322" i="21"/>
  <c r="Q322" i="21"/>
  <c r="R322" i="21"/>
  <c r="S322" i="21"/>
  <c r="T322" i="21"/>
  <c r="U322" i="21"/>
  <c r="V322" i="21"/>
  <c r="W322" i="21"/>
  <c r="X322" i="21"/>
  <c r="O323" i="21"/>
  <c r="P323" i="21"/>
  <c r="Q323" i="21"/>
  <c r="R323" i="21"/>
  <c r="S323" i="21"/>
  <c r="T323" i="21"/>
  <c r="U323" i="21"/>
  <c r="V323" i="21"/>
  <c r="W323" i="21"/>
  <c r="X323" i="21"/>
  <c r="O317" i="21"/>
  <c r="P317" i="21"/>
  <c r="Q317" i="21"/>
  <c r="R317" i="21"/>
  <c r="S317" i="21"/>
  <c r="T317" i="21"/>
  <c r="U317" i="21"/>
  <c r="V317" i="21"/>
  <c r="W317" i="21"/>
  <c r="X317" i="21"/>
  <c r="O335" i="21"/>
  <c r="P335" i="21"/>
  <c r="Q335" i="21"/>
  <c r="R335" i="21"/>
  <c r="S335" i="21"/>
  <c r="T335" i="21"/>
  <c r="U335" i="21"/>
  <c r="V335" i="21"/>
  <c r="W335" i="21"/>
  <c r="X335" i="21"/>
  <c r="Y335" i="21"/>
  <c r="O313" i="21"/>
  <c r="P313" i="21"/>
  <c r="Q313" i="21"/>
  <c r="R313" i="21"/>
  <c r="S313" i="21"/>
  <c r="T313" i="21"/>
  <c r="U313" i="21"/>
  <c r="V313" i="21"/>
  <c r="W313" i="21"/>
  <c r="X313" i="21"/>
  <c r="O346" i="21"/>
  <c r="P346" i="21"/>
  <c r="Q346" i="21"/>
  <c r="R346" i="21"/>
  <c r="S346" i="21"/>
  <c r="T346" i="21"/>
  <c r="U346" i="21"/>
  <c r="V346" i="21"/>
  <c r="W346" i="21"/>
  <c r="X346" i="21"/>
  <c r="O320" i="21"/>
  <c r="P320" i="21"/>
  <c r="Q320" i="21"/>
  <c r="R320" i="21"/>
  <c r="S320" i="21"/>
  <c r="T320" i="21"/>
  <c r="U320" i="21"/>
  <c r="V320" i="21"/>
  <c r="W320" i="21"/>
  <c r="X320" i="21"/>
  <c r="Y320" i="21"/>
  <c r="O343" i="21"/>
  <c r="P343" i="21"/>
  <c r="Q343" i="21"/>
  <c r="R343" i="21"/>
  <c r="S343" i="21"/>
  <c r="T343" i="21"/>
  <c r="U343" i="21"/>
  <c r="V343" i="21"/>
  <c r="W343" i="21"/>
  <c r="X343" i="21"/>
  <c r="O349" i="21"/>
  <c r="P349" i="21"/>
  <c r="Q349" i="21"/>
  <c r="R349" i="21"/>
  <c r="S349" i="21"/>
  <c r="T349" i="21"/>
  <c r="U349" i="21"/>
  <c r="V349" i="21"/>
  <c r="W349" i="21"/>
  <c r="X349" i="21"/>
  <c r="O351" i="21"/>
  <c r="P351" i="21"/>
  <c r="Q351" i="21"/>
  <c r="R351" i="21"/>
  <c r="S351" i="21"/>
  <c r="T351" i="21"/>
  <c r="U351" i="21"/>
  <c r="V351" i="21"/>
  <c r="W351" i="21"/>
  <c r="X351" i="21"/>
  <c r="O350" i="21"/>
  <c r="P350" i="21"/>
  <c r="Q350" i="21"/>
  <c r="R350" i="21"/>
  <c r="S350" i="21"/>
  <c r="T350" i="21"/>
  <c r="U350" i="21"/>
  <c r="V350" i="21"/>
  <c r="W350" i="21"/>
  <c r="X350" i="21"/>
  <c r="O368" i="21"/>
  <c r="P368" i="21"/>
  <c r="Q368" i="21"/>
  <c r="R368" i="21"/>
  <c r="S368" i="21"/>
  <c r="T368" i="21"/>
  <c r="U368" i="21"/>
  <c r="V368" i="21"/>
  <c r="W368" i="21"/>
  <c r="X368" i="21"/>
  <c r="O408" i="21"/>
  <c r="P408" i="21"/>
  <c r="Q408" i="21"/>
  <c r="R408" i="21"/>
  <c r="S408" i="21"/>
  <c r="T408" i="21"/>
  <c r="U408" i="21"/>
  <c r="V408" i="21"/>
  <c r="W408" i="21"/>
  <c r="X408" i="21"/>
  <c r="Y408" i="21"/>
  <c r="O406" i="21"/>
  <c r="P406" i="21"/>
  <c r="Q406" i="21"/>
  <c r="R406" i="21"/>
  <c r="S406" i="21"/>
  <c r="T406" i="21"/>
  <c r="U406" i="21"/>
  <c r="V406" i="21"/>
  <c r="W406" i="21"/>
  <c r="X406" i="21"/>
  <c r="O411" i="21"/>
  <c r="P411" i="21"/>
  <c r="Q411" i="21"/>
  <c r="R411" i="21"/>
  <c r="S411" i="21"/>
  <c r="T411" i="21"/>
  <c r="U411" i="21"/>
  <c r="V411" i="21"/>
  <c r="W411" i="21"/>
  <c r="X411" i="21"/>
  <c r="Y411" i="21"/>
  <c r="O413" i="21"/>
  <c r="P413" i="21"/>
  <c r="Q413" i="21"/>
  <c r="R413" i="21"/>
  <c r="S413" i="21"/>
  <c r="T413" i="21"/>
  <c r="U413" i="21"/>
  <c r="V413" i="21"/>
  <c r="W413" i="21"/>
  <c r="X413" i="21"/>
  <c r="Y413" i="21"/>
  <c r="O392" i="21"/>
  <c r="P392" i="21"/>
  <c r="Q392" i="21"/>
  <c r="R392" i="21"/>
  <c r="S392" i="21"/>
  <c r="T392" i="21"/>
  <c r="U392" i="21"/>
  <c r="V392" i="21"/>
  <c r="W392" i="21"/>
  <c r="X392" i="21"/>
  <c r="O391" i="21"/>
  <c r="P391" i="21"/>
  <c r="Q391" i="21"/>
  <c r="R391" i="21"/>
  <c r="S391" i="21"/>
  <c r="T391" i="21"/>
  <c r="U391" i="21"/>
  <c r="V391" i="21"/>
  <c r="W391" i="21"/>
  <c r="X391" i="21"/>
  <c r="O423" i="21"/>
  <c r="P423" i="21"/>
  <c r="Q423" i="21"/>
  <c r="R423" i="21"/>
  <c r="S423" i="21"/>
  <c r="T423" i="21"/>
  <c r="U423" i="21"/>
  <c r="V423" i="21"/>
  <c r="W423" i="21"/>
  <c r="X423" i="21"/>
  <c r="Y423" i="21"/>
  <c r="O419" i="21"/>
  <c r="P419" i="21"/>
  <c r="Q419" i="21"/>
  <c r="R419" i="21"/>
  <c r="S419" i="21"/>
  <c r="T419" i="21"/>
  <c r="U419" i="21"/>
  <c r="V419" i="21"/>
  <c r="W419" i="21"/>
  <c r="X419" i="21"/>
  <c r="O426" i="21"/>
  <c r="P426" i="21"/>
  <c r="Q426" i="21"/>
  <c r="R426" i="21"/>
  <c r="S426" i="21"/>
  <c r="T426" i="21"/>
  <c r="U426" i="21"/>
  <c r="V426" i="21"/>
  <c r="W426" i="21"/>
  <c r="X426" i="21"/>
  <c r="O463" i="21"/>
  <c r="P463" i="21"/>
  <c r="Q463" i="21"/>
  <c r="R463" i="21"/>
  <c r="S463" i="21"/>
  <c r="T463" i="21"/>
  <c r="U463" i="21"/>
  <c r="V463" i="21"/>
  <c r="W463" i="21"/>
  <c r="X463" i="21"/>
  <c r="O446" i="21"/>
  <c r="P446" i="21"/>
  <c r="Q446" i="21"/>
  <c r="R446" i="21"/>
  <c r="S446" i="21"/>
  <c r="T446" i="21"/>
  <c r="U446" i="21"/>
  <c r="V446" i="21"/>
  <c r="W446" i="21"/>
  <c r="X446" i="21"/>
  <c r="O461" i="21"/>
  <c r="P461" i="21"/>
  <c r="Q461" i="21"/>
  <c r="R461" i="21"/>
  <c r="S461" i="21"/>
  <c r="T461" i="21"/>
  <c r="U461" i="21"/>
  <c r="V461" i="21"/>
  <c r="W461" i="21"/>
  <c r="X461" i="21"/>
  <c r="O452" i="21"/>
  <c r="P452" i="21"/>
  <c r="Q452" i="21"/>
  <c r="R452" i="21"/>
  <c r="S452" i="21"/>
  <c r="T452" i="21"/>
  <c r="U452" i="21"/>
  <c r="V452" i="21"/>
  <c r="W452" i="21"/>
  <c r="X452" i="21"/>
  <c r="O274" i="21"/>
  <c r="P274" i="21"/>
  <c r="Q274" i="21"/>
  <c r="R274" i="21"/>
  <c r="S274" i="21"/>
  <c r="T274" i="21"/>
  <c r="U274" i="21"/>
  <c r="V274" i="21"/>
  <c r="W274" i="21"/>
  <c r="X274" i="21"/>
  <c r="O444" i="21"/>
  <c r="P444" i="21"/>
  <c r="Q444" i="21"/>
  <c r="R444" i="21"/>
  <c r="S444" i="21"/>
  <c r="T444" i="21"/>
  <c r="U444" i="21"/>
  <c r="V444" i="21"/>
  <c r="W444" i="21"/>
  <c r="X444" i="21"/>
  <c r="O478" i="21"/>
  <c r="P478" i="21"/>
  <c r="Q478" i="21"/>
  <c r="R478" i="21"/>
  <c r="S478" i="21"/>
  <c r="T478" i="21"/>
  <c r="U478" i="21"/>
  <c r="V478" i="21"/>
  <c r="W478" i="21"/>
  <c r="X478" i="21"/>
  <c r="Y478" i="21"/>
  <c r="O469" i="21"/>
  <c r="P469" i="21"/>
  <c r="Q469" i="21"/>
  <c r="R469" i="21"/>
  <c r="S469" i="21"/>
  <c r="T469" i="21"/>
  <c r="U469" i="21"/>
  <c r="V469" i="21"/>
  <c r="W469" i="21"/>
  <c r="X469" i="21"/>
  <c r="O474" i="21"/>
  <c r="P474" i="21"/>
  <c r="Q474" i="21"/>
  <c r="R474" i="21"/>
  <c r="S474" i="21"/>
  <c r="T474" i="21"/>
  <c r="U474" i="21"/>
  <c r="V474" i="21"/>
  <c r="W474" i="21"/>
  <c r="X474" i="21"/>
  <c r="O508" i="21"/>
  <c r="P508" i="21"/>
  <c r="Q508" i="21"/>
  <c r="R508" i="21"/>
  <c r="S508" i="21"/>
  <c r="T508" i="21"/>
  <c r="U508" i="21"/>
  <c r="V508" i="21"/>
  <c r="W508" i="21"/>
  <c r="X508" i="21"/>
  <c r="Y508" i="21"/>
  <c r="O511" i="21"/>
  <c r="P511" i="21"/>
  <c r="Q511" i="21"/>
  <c r="R511" i="21"/>
  <c r="S511" i="21"/>
  <c r="T511" i="21"/>
  <c r="U511" i="21"/>
  <c r="V511" i="21"/>
  <c r="W511" i="21"/>
  <c r="X511" i="21"/>
  <c r="Y511" i="21"/>
  <c r="O513" i="21"/>
  <c r="P513" i="21"/>
  <c r="Q513" i="21"/>
  <c r="R513" i="21"/>
  <c r="S513" i="21"/>
  <c r="T513" i="21"/>
  <c r="U513" i="21"/>
  <c r="V513" i="21"/>
  <c r="W513" i="21"/>
  <c r="X513" i="21"/>
  <c r="Y513" i="21"/>
  <c r="O17" i="21"/>
  <c r="P17" i="21"/>
  <c r="Q17" i="21"/>
  <c r="R17" i="21"/>
  <c r="S17" i="21"/>
  <c r="T17" i="21"/>
  <c r="U17" i="21"/>
  <c r="V17" i="21"/>
  <c r="W17" i="21"/>
  <c r="X17" i="21"/>
  <c r="O39" i="21"/>
  <c r="P39" i="21"/>
  <c r="Q39" i="21"/>
  <c r="R39" i="21"/>
  <c r="S39" i="21"/>
  <c r="T39" i="21"/>
  <c r="U39" i="21"/>
  <c r="V39" i="21"/>
  <c r="W39" i="21"/>
  <c r="X39" i="21"/>
  <c r="O31" i="21"/>
  <c r="P31" i="21"/>
  <c r="Q31" i="21"/>
  <c r="R31" i="21"/>
  <c r="S31" i="21"/>
  <c r="T31" i="21"/>
  <c r="U31" i="21"/>
  <c r="V31" i="21"/>
  <c r="W31" i="21"/>
  <c r="X31" i="21"/>
  <c r="O56" i="21"/>
  <c r="P56" i="21"/>
  <c r="Q56" i="21"/>
  <c r="R56" i="21"/>
  <c r="S56" i="21"/>
  <c r="T56" i="21"/>
  <c r="U56" i="21"/>
  <c r="V56" i="21"/>
  <c r="W56" i="21"/>
  <c r="X56" i="21"/>
  <c r="O98" i="21"/>
  <c r="P98" i="21"/>
  <c r="Q98" i="21"/>
  <c r="R98" i="21"/>
  <c r="S98" i="21"/>
  <c r="T98" i="21"/>
  <c r="U98" i="21"/>
  <c r="V98" i="21"/>
  <c r="W98" i="21"/>
  <c r="X98" i="21"/>
  <c r="O84" i="21"/>
  <c r="P84" i="21"/>
  <c r="Q84" i="21"/>
  <c r="R84" i="21"/>
  <c r="S84" i="21"/>
  <c r="T84" i="21"/>
  <c r="U84" i="21"/>
  <c r="V84" i="21"/>
  <c r="W84" i="21"/>
  <c r="X84" i="21"/>
  <c r="O109" i="21"/>
  <c r="P109" i="21"/>
  <c r="Q109" i="21"/>
  <c r="R109" i="21"/>
  <c r="S109" i="21"/>
  <c r="T109" i="21"/>
  <c r="U109" i="21"/>
  <c r="V109" i="21"/>
  <c r="W109" i="21"/>
  <c r="X109" i="21"/>
  <c r="O111" i="21"/>
  <c r="P111" i="21"/>
  <c r="Q111" i="21"/>
  <c r="R111" i="21"/>
  <c r="S111" i="21"/>
  <c r="T111" i="21"/>
  <c r="U111" i="21"/>
  <c r="V111" i="21"/>
  <c r="W111" i="21"/>
  <c r="X111" i="21"/>
  <c r="O136" i="21"/>
  <c r="P136" i="21"/>
  <c r="Q136" i="21"/>
  <c r="R136" i="21"/>
  <c r="S136" i="21"/>
  <c r="T136" i="21"/>
  <c r="U136" i="21"/>
  <c r="V136" i="21"/>
  <c r="W136" i="21"/>
  <c r="X136" i="21"/>
  <c r="O173" i="21"/>
  <c r="P173" i="21"/>
  <c r="Q173" i="21"/>
  <c r="R173" i="21"/>
  <c r="S173" i="21"/>
  <c r="T173" i="21"/>
  <c r="U173" i="21"/>
  <c r="V173" i="21"/>
  <c r="W173" i="21"/>
  <c r="X173" i="21"/>
  <c r="O204" i="21"/>
  <c r="P204" i="21"/>
  <c r="Q204" i="21"/>
  <c r="R204" i="21"/>
  <c r="S204" i="21"/>
  <c r="T204" i="21"/>
  <c r="U204" i="21"/>
  <c r="V204" i="21"/>
  <c r="W204" i="21"/>
  <c r="X204" i="21"/>
  <c r="O185" i="21"/>
  <c r="P185" i="21"/>
  <c r="Q185" i="21"/>
  <c r="R185" i="21"/>
  <c r="S185" i="21"/>
  <c r="T185" i="21"/>
  <c r="U185" i="21"/>
  <c r="V185" i="21"/>
  <c r="W185" i="21"/>
  <c r="X185" i="21"/>
  <c r="O214" i="21"/>
  <c r="P214" i="21"/>
  <c r="Q214" i="21"/>
  <c r="R214" i="21"/>
  <c r="S214" i="21"/>
  <c r="T214" i="21"/>
  <c r="U214" i="21"/>
  <c r="V214" i="21"/>
  <c r="W214" i="21"/>
  <c r="X214" i="21"/>
  <c r="O254" i="21"/>
  <c r="P254" i="21"/>
  <c r="Q254" i="21"/>
  <c r="R254" i="21"/>
  <c r="S254" i="21"/>
  <c r="T254" i="21"/>
  <c r="U254" i="21"/>
  <c r="V254" i="21"/>
  <c r="W254" i="21"/>
  <c r="X254" i="21"/>
  <c r="Y254" i="21"/>
  <c r="O250" i="21"/>
  <c r="P250" i="21"/>
  <c r="Q250" i="21"/>
  <c r="R250" i="21"/>
  <c r="S250" i="21"/>
  <c r="T250" i="21"/>
  <c r="U250" i="21"/>
  <c r="V250" i="21"/>
  <c r="W250" i="21"/>
  <c r="X250" i="21"/>
  <c r="O269" i="21"/>
  <c r="P269" i="21"/>
  <c r="Q269" i="21"/>
  <c r="R269" i="21"/>
  <c r="S269" i="21"/>
  <c r="T269" i="21"/>
  <c r="U269" i="21"/>
  <c r="V269" i="21"/>
  <c r="W269" i="21"/>
  <c r="X269" i="21"/>
  <c r="O296" i="21"/>
  <c r="P296" i="21"/>
  <c r="Q296" i="21"/>
  <c r="R296" i="21"/>
  <c r="S296" i="21"/>
  <c r="T296" i="21"/>
  <c r="U296" i="21"/>
  <c r="V296" i="21"/>
  <c r="W296" i="21"/>
  <c r="X296" i="21"/>
  <c r="O292" i="21"/>
  <c r="P292" i="21"/>
  <c r="Q292" i="21"/>
  <c r="R292" i="21"/>
  <c r="S292" i="21"/>
  <c r="T292" i="21"/>
  <c r="U292" i="21"/>
  <c r="V292" i="21"/>
  <c r="W292" i="21"/>
  <c r="X292" i="21"/>
  <c r="O293" i="21"/>
  <c r="P293" i="21"/>
  <c r="Q293" i="21"/>
  <c r="R293" i="21"/>
  <c r="S293" i="21"/>
  <c r="T293" i="21"/>
  <c r="U293" i="21"/>
  <c r="V293" i="21"/>
  <c r="W293" i="21"/>
  <c r="X293" i="21"/>
  <c r="O294" i="21"/>
  <c r="P294" i="21"/>
  <c r="Q294" i="21"/>
  <c r="R294" i="21"/>
  <c r="S294" i="21"/>
  <c r="T294" i="21"/>
  <c r="U294" i="21"/>
  <c r="V294" i="21"/>
  <c r="W294" i="21"/>
  <c r="X294" i="21"/>
  <c r="O295" i="21"/>
  <c r="P295" i="21"/>
  <c r="Q295" i="21"/>
  <c r="R295" i="21"/>
  <c r="S295" i="21"/>
  <c r="T295" i="21"/>
  <c r="U295" i="21"/>
  <c r="V295" i="21"/>
  <c r="W295" i="21"/>
  <c r="X295" i="21"/>
  <c r="O312" i="21"/>
  <c r="P312" i="21"/>
  <c r="Q312" i="21"/>
  <c r="R312" i="21"/>
  <c r="S312" i="21"/>
  <c r="T312" i="21"/>
  <c r="U312" i="21"/>
  <c r="V312" i="21"/>
  <c r="W312" i="21"/>
  <c r="X312" i="21"/>
  <c r="O331" i="21"/>
  <c r="P331" i="21"/>
  <c r="Q331" i="21"/>
  <c r="R331" i="21"/>
  <c r="S331" i="21"/>
  <c r="T331" i="21"/>
  <c r="U331" i="21"/>
  <c r="V331" i="21"/>
  <c r="W331" i="21"/>
  <c r="X331" i="21"/>
  <c r="O326" i="21"/>
  <c r="P326" i="21"/>
  <c r="Q326" i="21"/>
  <c r="R326" i="21"/>
  <c r="S326" i="21"/>
  <c r="T326" i="21"/>
  <c r="U326" i="21"/>
  <c r="V326" i="21"/>
  <c r="W326" i="21"/>
  <c r="X326" i="21"/>
  <c r="O319" i="21"/>
  <c r="P319" i="21"/>
  <c r="Q319" i="21"/>
  <c r="R319" i="21"/>
  <c r="S319" i="21"/>
  <c r="T319" i="21"/>
  <c r="U319" i="21"/>
  <c r="V319" i="21"/>
  <c r="W319" i="21"/>
  <c r="X319" i="21"/>
  <c r="O345" i="21"/>
  <c r="P345" i="21"/>
  <c r="Q345" i="21"/>
  <c r="R345" i="21"/>
  <c r="S345" i="21"/>
  <c r="T345" i="21"/>
  <c r="U345" i="21"/>
  <c r="V345" i="21"/>
  <c r="W345" i="21"/>
  <c r="X345" i="21"/>
  <c r="O376" i="21"/>
  <c r="P376" i="21"/>
  <c r="Q376" i="21"/>
  <c r="R376" i="21"/>
  <c r="S376" i="21"/>
  <c r="T376" i="21"/>
  <c r="U376" i="21"/>
  <c r="V376" i="21"/>
  <c r="W376" i="21"/>
  <c r="X376" i="21"/>
  <c r="O370" i="21"/>
  <c r="P370" i="21"/>
  <c r="Q370" i="21"/>
  <c r="R370" i="21"/>
  <c r="S370" i="21"/>
  <c r="T370" i="21"/>
  <c r="U370" i="21"/>
  <c r="V370" i="21"/>
  <c r="W370" i="21"/>
  <c r="X370" i="21"/>
  <c r="O372" i="21"/>
  <c r="P372" i="21"/>
  <c r="Q372" i="21"/>
  <c r="R372" i="21"/>
  <c r="S372" i="21"/>
  <c r="T372" i="21"/>
  <c r="U372" i="21"/>
  <c r="V372" i="21"/>
  <c r="W372" i="21"/>
  <c r="X372" i="21"/>
  <c r="O393" i="21"/>
  <c r="P393" i="21"/>
  <c r="Q393" i="21"/>
  <c r="R393" i="21"/>
  <c r="S393" i="21"/>
  <c r="T393" i="21"/>
  <c r="U393" i="21"/>
  <c r="V393" i="21"/>
  <c r="W393" i="21"/>
  <c r="X393" i="21"/>
  <c r="O399" i="21"/>
  <c r="P399" i="21"/>
  <c r="Q399" i="21"/>
  <c r="R399" i="21"/>
  <c r="S399" i="21"/>
  <c r="T399" i="21"/>
  <c r="U399" i="21"/>
  <c r="V399" i="21"/>
  <c r="W399" i="21"/>
  <c r="X399" i="21"/>
  <c r="O414" i="21"/>
  <c r="P414" i="21"/>
  <c r="Q414" i="21"/>
  <c r="R414" i="21"/>
  <c r="S414" i="21"/>
  <c r="T414" i="21"/>
  <c r="U414" i="21"/>
  <c r="V414" i="21"/>
  <c r="W414" i="21"/>
  <c r="X414" i="21"/>
  <c r="O432" i="21"/>
  <c r="P432" i="21"/>
  <c r="Q432" i="21"/>
  <c r="R432" i="21"/>
  <c r="S432" i="21"/>
  <c r="T432" i="21"/>
  <c r="U432" i="21"/>
  <c r="V432" i="21"/>
  <c r="W432" i="21"/>
  <c r="X432" i="21"/>
  <c r="O417" i="21"/>
  <c r="P417" i="21"/>
  <c r="Q417" i="21"/>
  <c r="R417" i="21"/>
  <c r="S417" i="21"/>
  <c r="T417" i="21"/>
  <c r="U417" i="21"/>
  <c r="V417" i="21"/>
  <c r="W417" i="21"/>
  <c r="X417" i="21"/>
  <c r="O416" i="21"/>
  <c r="P416" i="21"/>
  <c r="Q416" i="21"/>
  <c r="R416" i="21"/>
  <c r="S416" i="21"/>
  <c r="T416" i="21"/>
  <c r="U416" i="21"/>
  <c r="V416" i="21"/>
  <c r="W416" i="21"/>
  <c r="X416" i="21"/>
  <c r="Y416" i="21"/>
  <c r="O420" i="21"/>
  <c r="P420" i="21"/>
  <c r="Q420" i="21"/>
  <c r="R420" i="21"/>
  <c r="S420" i="21"/>
  <c r="T420" i="21"/>
  <c r="U420" i="21"/>
  <c r="V420" i="21"/>
  <c r="W420" i="21"/>
  <c r="X420" i="21"/>
  <c r="O490" i="21"/>
  <c r="P490" i="21"/>
  <c r="Q490" i="21"/>
  <c r="R490" i="21"/>
  <c r="S490" i="21"/>
  <c r="T490" i="21"/>
  <c r="U490" i="21"/>
  <c r="V490" i="21"/>
  <c r="W490" i="21"/>
  <c r="X490" i="21"/>
  <c r="Y490" i="21"/>
  <c r="O477" i="21"/>
  <c r="P477" i="21"/>
  <c r="Q477" i="21"/>
  <c r="R477" i="21"/>
  <c r="S477" i="21"/>
  <c r="T477" i="21"/>
  <c r="U477" i="21"/>
  <c r="V477" i="21"/>
  <c r="W477" i="21"/>
  <c r="X477" i="21"/>
  <c r="Y477" i="21"/>
  <c r="O495" i="21"/>
  <c r="P495" i="21"/>
  <c r="Q495" i="21"/>
  <c r="R495" i="21"/>
  <c r="S495" i="21"/>
  <c r="T495" i="21"/>
  <c r="U495" i="21"/>
  <c r="V495" i="21"/>
  <c r="W495" i="21"/>
  <c r="X495" i="21"/>
  <c r="O38" i="21"/>
  <c r="P38" i="21"/>
  <c r="Q38" i="21"/>
  <c r="R38" i="21"/>
  <c r="S38" i="21"/>
  <c r="T38" i="21"/>
  <c r="U38" i="21"/>
  <c r="V38" i="21"/>
  <c r="W38" i="21"/>
  <c r="X38" i="21"/>
  <c r="O37" i="21"/>
  <c r="P37" i="21"/>
  <c r="Q37" i="21"/>
  <c r="R37" i="21"/>
  <c r="S37" i="21"/>
  <c r="T37" i="21"/>
  <c r="U37" i="21"/>
  <c r="V37" i="21"/>
  <c r="W37" i="21"/>
  <c r="X37" i="21"/>
  <c r="O127" i="21"/>
  <c r="P127" i="21"/>
  <c r="Q127" i="21"/>
  <c r="R127" i="21"/>
  <c r="S127" i="21"/>
  <c r="T127" i="21"/>
  <c r="U127" i="21"/>
  <c r="V127" i="21"/>
  <c r="W127" i="21"/>
  <c r="X127" i="21"/>
  <c r="O124" i="21"/>
  <c r="P124" i="21"/>
  <c r="Q124" i="21"/>
  <c r="R124" i="21"/>
  <c r="S124" i="21"/>
  <c r="T124" i="21"/>
  <c r="U124" i="21"/>
  <c r="V124" i="21"/>
  <c r="W124" i="21"/>
  <c r="X124" i="21"/>
  <c r="O163" i="21"/>
  <c r="P163" i="21"/>
  <c r="Q163" i="21"/>
  <c r="R163" i="21"/>
  <c r="S163" i="21"/>
  <c r="T163" i="21"/>
  <c r="U163" i="21"/>
  <c r="V163" i="21"/>
  <c r="W163" i="21"/>
  <c r="X163" i="21"/>
  <c r="O191" i="21"/>
  <c r="P191" i="21"/>
  <c r="Q191" i="21"/>
  <c r="R191" i="21"/>
  <c r="S191" i="21"/>
  <c r="T191" i="21"/>
  <c r="U191" i="21"/>
  <c r="V191" i="21"/>
  <c r="W191" i="21"/>
  <c r="X191" i="21"/>
  <c r="O229" i="21"/>
  <c r="P229" i="21"/>
  <c r="Q229" i="21"/>
  <c r="R229" i="21"/>
  <c r="S229" i="21"/>
  <c r="T229" i="21"/>
  <c r="U229" i="21"/>
  <c r="V229" i="21"/>
  <c r="W229" i="21"/>
  <c r="X229" i="21"/>
  <c r="O253" i="21"/>
  <c r="P253" i="21"/>
  <c r="Q253" i="21"/>
  <c r="R253" i="21"/>
  <c r="S253" i="21"/>
  <c r="T253" i="21"/>
  <c r="U253" i="21"/>
  <c r="V253" i="21"/>
  <c r="W253" i="21"/>
  <c r="X253" i="21"/>
  <c r="O244" i="21"/>
  <c r="P244" i="21"/>
  <c r="Q244" i="21"/>
  <c r="R244" i="21"/>
  <c r="S244" i="21"/>
  <c r="T244" i="21"/>
  <c r="U244" i="21"/>
  <c r="V244" i="21"/>
  <c r="W244" i="21"/>
  <c r="X244" i="21"/>
  <c r="O247" i="21"/>
  <c r="P247" i="21"/>
  <c r="Q247" i="21"/>
  <c r="R247" i="21"/>
  <c r="S247" i="21"/>
  <c r="T247" i="21"/>
  <c r="U247" i="21"/>
  <c r="V247" i="21"/>
  <c r="W247" i="21"/>
  <c r="X247" i="21"/>
  <c r="O316" i="21"/>
  <c r="P316" i="21"/>
  <c r="Q316" i="21"/>
  <c r="R316" i="21"/>
  <c r="S316" i="21"/>
  <c r="T316" i="21"/>
  <c r="U316" i="21"/>
  <c r="V316" i="21"/>
  <c r="W316" i="21"/>
  <c r="X316" i="21"/>
  <c r="O361" i="21"/>
  <c r="P361" i="21"/>
  <c r="Q361" i="21"/>
  <c r="R361" i="21"/>
  <c r="S361" i="21"/>
  <c r="T361" i="21"/>
  <c r="U361" i="21"/>
  <c r="V361" i="21"/>
  <c r="W361" i="21"/>
  <c r="X361" i="21"/>
  <c r="O409" i="21"/>
  <c r="P409" i="21"/>
  <c r="Q409" i="21"/>
  <c r="R409" i="21"/>
  <c r="S409" i="21"/>
  <c r="T409" i="21"/>
  <c r="U409" i="21"/>
  <c r="V409" i="21"/>
  <c r="W409" i="21"/>
  <c r="X409" i="21"/>
  <c r="O396" i="21"/>
  <c r="P396" i="21"/>
  <c r="Q396" i="21"/>
  <c r="R396" i="21"/>
  <c r="S396" i="21"/>
  <c r="T396" i="21"/>
  <c r="U396" i="21"/>
  <c r="V396" i="21"/>
  <c r="W396" i="21"/>
  <c r="X396" i="21"/>
  <c r="O398" i="21"/>
  <c r="P398" i="21"/>
  <c r="Q398" i="21"/>
  <c r="R398" i="21"/>
  <c r="S398" i="21"/>
  <c r="T398" i="21"/>
  <c r="U398" i="21"/>
  <c r="V398" i="21"/>
  <c r="W398" i="21"/>
  <c r="X398" i="21"/>
  <c r="O407" i="21"/>
  <c r="P407" i="21"/>
  <c r="Q407" i="21"/>
  <c r="R407" i="21"/>
  <c r="S407" i="21"/>
  <c r="T407" i="21"/>
  <c r="U407" i="21"/>
  <c r="V407" i="21"/>
  <c r="W407" i="21"/>
  <c r="X407" i="21"/>
  <c r="O451" i="21"/>
  <c r="P451" i="21"/>
  <c r="Q451" i="21"/>
  <c r="R451" i="21"/>
  <c r="S451" i="21"/>
  <c r="T451" i="21"/>
  <c r="U451" i="21"/>
  <c r="V451" i="21"/>
  <c r="W451" i="21"/>
  <c r="X451" i="21"/>
  <c r="Y451" i="21"/>
  <c r="O458" i="21"/>
  <c r="P458" i="21"/>
  <c r="Q458" i="21"/>
  <c r="R458" i="21"/>
  <c r="S458" i="21"/>
  <c r="T458" i="21"/>
  <c r="U458" i="21"/>
  <c r="V458" i="21"/>
  <c r="W458" i="21"/>
  <c r="X458" i="21"/>
  <c r="O472" i="21"/>
  <c r="P472" i="21"/>
  <c r="Q472" i="21"/>
  <c r="R472" i="21"/>
  <c r="S472" i="21"/>
  <c r="T472" i="21"/>
  <c r="U472" i="21"/>
  <c r="V472" i="21"/>
  <c r="W472" i="21"/>
  <c r="X472" i="21"/>
  <c r="O496" i="21"/>
  <c r="P496" i="21"/>
  <c r="Q496" i="21"/>
  <c r="R496" i="21"/>
  <c r="S496" i="21"/>
  <c r="T496" i="21"/>
  <c r="U496" i="21"/>
  <c r="V496" i="21"/>
  <c r="W496" i="21"/>
  <c r="X496" i="21"/>
  <c r="O512" i="21"/>
  <c r="P512" i="21"/>
  <c r="Q512" i="21"/>
  <c r="R512" i="21"/>
  <c r="S512" i="21"/>
  <c r="T512" i="21"/>
  <c r="U512" i="21"/>
  <c r="V512" i="21"/>
  <c r="W512" i="21"/>
  <c r="X512" i="21"/>
  <c r="O501" i="21"/>
  <c r="P501" i="21"/>
  <c r="Q501" i="21"/>
  <c r="R501" i="21"/>
  <c r="S501" i="21"/>
  <c r="T501" i="21"/>
  <c r="U501" i="21"/>
  <c r="V501" i="21"/>
  <c r="W501" i="21"/>
  <c r="X501" i="21"/>
  <c r="O46" i="21"/>
  <c r="P46" i="21"/>
  <c r="Q46" i="21"/>
  <c r="R46" i="21"/>
  <c r="S46" i="21"/>
  <c r="T46" i="21"/>
  <c r="U46" i="21"/>
  <c r="V46" i="21"/>
  <c r="W46" i="21"/>
  <c r="X46" i="21"/>
  <c r="O58" i="21"/>
  <c r="P58" i="21"/>
  <c r="Q58" i="21"/>
  <c r="R58" i="21"/>
  <c r="S58" i="21"/>
  <c r="T58" i="21"/>
  <c r="U58" i="21"/>
  <c r="V58" i="21"/>
  <c r="W58" i="21"/>
  <c r="X58" i="21"/>
  <c r="O83" i="21"/>
  <c r="P83" i="21"/>
  <c r="Q83" i="21"/>
  <c r="R83" i="21"/>
  <c r="S83" i="21"/>
  <c r="T83" i="21"/>
  <c r="U83" i="21"/>
  <c r="V83" i="21"/>
  <c r="W83" i="21"/>
  <c r="X83" i="21"/>
  <c r="O105" i="21"/>
  <c r="P105" i="21"/>
  <c r="Q105" i="21"/>
  <c r="R105" i="21"/>
  <c r="S105" i="21"/>
  <c r="T105" i="21"/>
  <c r="U105" i="21"/>
  <c r="V105" i="21"/>
  <c r="W105" i="21"/>
  <c r="X105" i="21"/>
  <c r="O145" i="21"/>
  <c r="P145" i="21"/>
  <c r="Q145" i="21"/>
  <c r="R145" i="21"/>
  <c r="S145" i="21"/>
  <c r="T145" i="21"/>
  <c r="U145" i="21"/>
  <c r="V145" i="21"/>
  <c r="W145" i="21"/>
  <c r="X145" i="21"/>
  <c r="O177" i="21"/>
  <c r="P177" i="21"/>
  <c r="Q177" i="21"/>
  <c r="R177" i="21"/>
  <c r="S177" i="21"/>
  <c r="T177" i="21"/>
  <c r="U177" i="21"/>
  <c r="V177" i="21"/>
  <c r="W177" i="21"/>
  <c r="X177" i="21"/>
  <c r="O164" i="21"/>
  <c r="P164" i="21"/>
  <c r="Q164" i="21"/>
  <c r="R164" i="21"/>
  <c r="S164" i="21"/>
  <c r="T164" i="21"/>
  <c r="U164" i="21"/>
  <c r="V164" i="21"/>
  <c r="W164" i="21"/>
  <c r="X164" i="21"/>
  <c r="O189" i="21"/>
  <c r="P189" i="21"/>
  <c r="Q189" i="21"/>
  <c r="R189" i="21"/>
  <c r="S189" i="21"/>
  <c r="T189" i="21"/>
  <c r="U189" i="21"/>
  <c r="V189" i="21"/>
  <c r="W189" i="21"/>
  <c r="X189" i="21"/>
  <c r="O209" i="21"/>
  <c r="P209" i="21"/>
  <c r="Q209" i="21"/>
  <c r="R209" i="21"/>
  <c r="S209" i="21"/>
  <c r="T209" i="21"/>
  <c r="U209" i="21"/>
  <c r="V209" i="21"/>
  <c r="W209" i="21"/>
  <c r="X209" i="21"/>
  <c r="O304" i="21"/>
  <c r="P304" i="21"/>
  <c r="Q304" i="21"/>
  <c r="R304" i="21"/>
  <c r="S304" i="21"/>
  <c r="T304" i="21"/>
  <c r="U304" i="21"/>
  <c r="V304" i="21"/>
  <c r="W304" i="21"/>
  <c r="X304" i="21"/>
  <c r="O334" i="21"/>
  <c r="P334" i="21"/>
  <c r="Q334" i="21"/>
  <c r="R334" i="21"/>
  <c r="S334" i="21"/>
  <c r="T334" i="21"/>
  <c r="U334" i="21"/>
  <c r="V334" i="21"/>
  <c r="W334" i="21"/>
  <c r="X334" i="21"/>
  <c r="Y334" i="21"/>
  <c r="O337" i="21"/>
  <c r="P337" i="21"/>
  <c r="Q337" i="21"/>
  <c r="R337" i="21"/>
  <c r="S337" i="21"/>
  <c r="T337" i="21"/>
  <c r="U337" i="21"/>
  <c r="V337" i="21"/>
  <c r="W337" i="21"/>
  <c r="X337" i="21"/>
  <c r="O374" i="21"/>
  <c r="P374" i="21"/>
  <c r="Q374" i="21"/>
  <c r="R374" i="21"/>
  <c r="S374" i="21"/>
  <c r="T374" i="21"/>
  <c r="U374" i="21"/>
  <c r="V374" i="21"/>
  <c r="W374" i="21"/>
  <c r="X374" i="21"/>
  <c r="O371" i="21"/>
  <c r="P371" i="21"/>
  <c r="Q371" i="21"/>
  <c r="R371" i="21"/>
  <c r="S371" i="21"/>
  <c r="T371" i="21"/>
  <c r="U371" i="21"/>
  <c r="V371" i="21"/>
  <c r="W371" i="21"/>
  <c r="X371" i="21"/>
  <c r="O390" i="21"/>
  <c r="P390" i="21"/>
  <c r="Q390" i="21"/>
  <c r="R390" i="21"/>
  <c r="S390" i="21"/>
  <c r="T390" i="21"/>
  <c r="U390" i="21"/>
  <c r="V390" i="21"/>
  <c r="W390" i="21"/>
  <c r="X390" i="21"/>
  <c r="Y390" i="21"/>
  <c r="O404" i="21"/>
  <c r="P404" i="21"/>
  <c r="Q404" i="21"/>
  <c r="R404" i="21"/>
  <c r="S404" i="21"/>
  <c r="T404" i="21"/>
  <c r="U404" i="21"/>
  <c r="V404" i="21"/>
  <c r="W404" i="21"/>
  <c r="X404" i="21"/>
  <c r="O397" i="21"/>
  <c r="P397" i="21"/>
  <c r="Q397" i="21"/>
  <c r="R397" i="21"/>
  <c r="S397" i="21"/>
  <c r="T397" i="21"/>
  <c r="U397" i="21"/>
  <c r="V397" i="21"/>
  <c r="W397" i="21"/>
  <c r="X397" i="21"/>
  <c r="O437" i="21"/>
  <c r="P437" i="21"/>
  <c r="Q437" i="21"/>
  <c r="R437" i="21"/>
  <c r="S437" i="21"/>
  <c r="T437" i="21"/>
  <c r="U437" i="21"/>
  <c r="V437" i="21"/>
  <c r="W437" i="21"/>
  <c r="X437" i="21"/>
  <c r="Y437" i="21"/>
  <c r="O440" i="21"/>
  <c r="P440" i="21"/>
  <c r="Q440" i="21"/>
  <c r="R440" i="21"/>
  <c r="S440" i="21"/>
  <c r="T440" i="21"/>
  <c r="U440" i="21"/>
  <c r="V440" i="21"/>
  <c r="W440" i="21"/>
  <c r="X440" i="21"/>
  <c r="O443" i="21"/>
  <c r="P443" i="21"/>
  <c r="Q443" i="21"/>
  <c r="R443" i="21"/>
  <c r="S443" i="21"/>
  <c r="T443" i="21"/>
  <c r="U443" i="21"/>
  <c r="V443" i="21"/>
  <c r="W443" i="21"/>
  <c r="X443" i="21"/>
  <c r="O447" i="21"/>
  <c r="P447" i="21"/>
  <c r="Q447" i="21"/>
  <c r="R447" i="21"/>
  <c r="S447" i="21"/>
  <c r="T447" i="21"/>
  <c r="U447" i="21"/>
  <c r="V447" i="21"/>
  <c r="W447" i="21"/>
  <c r="X447" i="21"/>
  <c r="Y447" i="21"/>
  <c r="O487" i="21"/>
  <c r="P487" i="21"/>
  <c r="Q487" i="21"/>
  <c r="R487" i="21"/>
  <c r="S487" i="21"/>
  <c r="T487" i="21"/>
  <c r="U487" i="21"/>
  <c r="V487" i="21"/>
  <c r="W487" i="21"/>
  <c r="X487" i="21"/>
  <c r="Y487" i="21"/>
  <c r="O483" i="21"/>
  <c r="P483" i="21"/>
  <c r="Q483" i="21"/>
  <c r="R483" i="21"/>
  <c r="S483" i="21"/>
  <c r="T483" i="21"/>
  <c r="U483" i="21"/>
  <c r="V483" i="21"/>
  <c r="W483" i="21"/>
  <c r="X483" i="21"/>
  <c r="Y483" i="21"/>
  <c r="O493" i="21"/>
  <c r="P493" i="21"/>
  <c r="Q493" i="21"/>
  <c r="R493" i="21"/>
  <c r="S493" i="21"/>
  <c r="T493" i="21"/>
  <c r="U493" i="21"/>
  <c r="V493" i="21"/>
  <c r="W493" i="21"/>
  <c r="X493" i="21"/>
  <c r="O520" i="21"/>
  <c r="P520" i="21"/>
  <c r="Q520" i="21"/>
  <c r="R520" i="21"/>
  <c r="S520" i="21"/>
  <c r="T520" i="21"/>
  <c r="U520" i="21"/>
  <c r="V520" i="21"/>
  <c r="W520" i="21"/>
  <c r="X520" i="21"/>
  <c r="Y520" i="21"/>
  <c r="O14" i="21"/>
  <c r="P14" i="21"/>
  <c r="Q14" i="21"/>
  <c r="R14" i="21"/>
  <c r="S14" i="21"/>
  <c r="T14" i="21"/>
  <c r="U14" i="21"/>
  <c r="V14" i="21"/>
  <c r="W14" i="21"/>
  <c r="X14" i="21"/>
  <c r="O36" i="21"/>
  <c r="P36" i="21"/>
  <c r="Q36" i="21"/>
  <c r="R36" i="21"/>
  <c r="S36" i="21"/>
  <c r="T36" i="21"/>
  <c r="U36" i="21"/>
  <c r="V36" i="21"/>
  <c r="W36" i="21"/>
  <c r="X36" i="21"/>
  <c r="O71" i="21"/>
  <c r="P71" i="21"/>
  <c r="Q71" i="21"/>
  <c r="R71" i="21"/>
  <c r="S71" i="21"/>
  <c r="T71" i="21"/>
  <c r="U71" i="21"/>
  <c r="V71" i="21"/>
  <c r="W71" i="21"/>
  <c r="X71" i="21"/>
  <c r="O68" i="21"/>
  <c r="P68" i="21"/>
  <c r="Q68" i="21"/>
  <c r="R68" i="21"/>
  <c r="S68" i="21"/>
  <c r="T68" i="21"/>
  <c r="U68" i="21"/>
  <c r="V68" i="21"/>
  <c r="W68" i="21"/>
  <c r="X68" i="21"/>
  <c r="O90" i="21"/>
  <c r="P90" i="21"/>
  <c r="Q90" i="21"/>
  <c r="R90" i="21"/>
  <c r="S90" i="21"/>
  <c r="T90" i="21"/>
  <c r="U90" i="21"/>
  <c r="V90" i="21"/>
  <c r="W90" i="21"/>
  <c r="X90" i="21"/>
  <c r="O121" i="21"/>
  <c r="P121" i="21"/>
  <c r="Q121" i="21"/>
  <c r="R121" i="21"/>
  <c r="S121" i="21"/>
  <c r="T121" i="21"/>
  <c r="U121" i="21"/>
  <c r="V121" i="21"/>
  <c r="W121" i="21"/>
  <c r="X121" i="21"/>
  <c r="O115" i="21"/>
  <c r="P115" i="21"/>
  <c r="Q115" i="21"/>
  <c r="R115" i="21"/>
  <c r="S115" i="21"/>
  <c r="T115" i="21"/>
  <c r="U115" i="21"/>
  <c r="V115" i="21"/>
  <c r="W115" i="21"/>
  <c r="X115" i="21"/>
  <c r="O114" i="21"/>
  <c r="P114" i="21"/>
  <c r="Q114" i="21"/>
  <c r="R114" i="21"/>
  <c r="S114" i="21"/>
  <c r="T114" i="21"/>
  <c r="U114" i="21"/>
  <c r="V114" i="21"/>
  <c r="W114" i="21"/>
  <c r="X114" i="21"/>
  <c r="O183" i="21"/>
  <c r="P183" i="21"/>
  <c r="Q183" i="21"/>
  <c r="R183" i="21"/>
  <c r="S183" i="21"/>
  <c r="T183" i="21"/>
  <c r="U183" i="21"/>
  <c r="V183" i="21"/>
  <c r="W183" i="21"/>
  <c r="X183" i="21"/>
  <c r="O187" i="21"/>
  <c r="P187" i="21"/>
  <c r="Q187" i="21"/>
  <c r="R187" i="21"/>
  <c r="S187" i="21"/>
  <c r="T187" i="21"/>
  <c r="U187" i="21"/>
  <c r="V187" i="21"/>
  <c r="W187" i="21"/>
  <c r="X187" i="21"/>
  <c r="O221" i="21"/>
  <c r="P221" i="21"/>
  <c r="Q221" i="21"/>
  <c r="R221" i="21"/>
  <c r="S221" i="21"/>
  <c r="T221" i="21"/>
  <c r="U221" i="21"/>
  <c r="V221" i="21"/>
  <c r="W221" i="21"/>
  <c r="X221" i="21"/>
  <c r="O219" i="21"/>
  <c r="P219" i="21"/>
  <c r="Q219" i="21"/>
  <c r="R219" i="21"/>
  <c r="S219" i="21"/>
  <c r="T219" i="21"/>
  <c r="U219" i="21"/>
  <c r="V219" i="21"/>
  <c r="W219" i="21"/>
  <c r="X219" i="21"/>
  <c r="O234" i="21"/>
  <c r="P234" i="21"/>
  <c r="Q234" i="21"/>
  <c r="R234" i="21"/>
  <c r="S234" i="21"/>
  <c r="T234" i="21"/>
  <c r="U234" i="21"/>
  <c r="V234" i="21"/>
  <c r="W234" i="21"/>
  <c r="X234" i="21"/>
  <c r="O252" i="21"/>
  <c r="P252" i="21"/>
  <c r="Q252" i="21"/>
  <c r="R252" i="21"/>
  <c r="S252" i="21"/>
  <c r="T252" i="21"/>
  <c r="U252" i="21"/>
  <c r="V252" i="21"/>
  <c r="W252" i="21"/>
  <c r="X252" i="21"/>
  <c r="O243" i="21"/>
  <c r="P243" i="21"/>
  <c r="Q243" i="21"/>
  <c r="R243" i="21"/>
  <c r="S243" i="21"/>
  <c r="T243" i="21"/>
  <c r="U243" i="21"/>
  <c r="V243" i="21"/>
  <c r="W243" i="21"/>
  <c r="X243" i="21"/>
  <c r="O242" i="21"/>
  <c r="P242" i="21"/>
  <c r="Q242" i="21"/>
  <c r="R242" i="21"/>
  <c r="S242" i="21"/>
  <c r="T242" i="21"/>
  <c r="U242" i="21"/>
  <c r="V242" i="21"/>
  <c r="W242" i="21"/>
  <c r="X242" i="21"/>
  <c r="O263" i="21"/>
  <c r="P263" i="21"/>
  <c r="Q263" i="21"/>
  <c r="R263" i="21"/>
  <c r="S263" i="21"/>
  <c r="T263" i="21"/>
  <c r="U263" i="21"/>
  <c r="V263" i="21"/>
  <c r="W263" i="21"/>
  <c r="X263" i="21"/>
  <c r="O264" i="21"/>
  <c r="P264" i="21"/>
  <c r="Q264" i="21"/>
  <c r="R264" i="21"/>
  <c r="S264" i="21"/>
  <c r="T264" i="21"/>
  <c r="U264" i="21"/>
  <c r="V264" i="21"/>
  <c r="W264" i="21"/>
  <c r="X264" i="21"/>
  <c r="O267" i="21"/>
  <c r="P267" i="21"/>
  <c r="Q267" i="21"/>
  <c r="R267" i="21"/>
  <c r="S267" i="21"/>
  <c r="T267" i="21"/>
  <c r="U267" i="21"/>
  <c r="V267" i="21"/>
  <c r="W267" i="21"/>
  <c r="X267" i="21"/>
  <c r="O265" i="21"/>
  <c r="P265" i="21"/>
  <c r="Q265" i="21"/>
  <c r="R265" i="21"/>
  <c r="S265" i="21"/>
  <c r="T265" i="21"/>
  <c r="U265" i="21"/>
  <c r="V265" i="21"/>
  <c r="W265" i="21"/>
  <c r="X265" i="21"/>
  <c r="O277" i="21"/>
  <c r="P277" i="21"/>
  <c r="Q277" i="21"/>
  <c r="R277" i="21"/>
  <c r="S277" i="21"/>
  <c r="T277" i="21"/>
  <c r="U277" i="21"/>
  <c r="V277" i="21"/>
  <c r="W277" i="21"/>
  <c r="X277" i="21"/>
  <c r="O286" i="21"/>
  <c r="P286" i="21"/>
  <c r="Q286" i="21"/>
  <c r="R286" i="21"/>
  <c r="S286" i="21"/>
  <c r="T286" i="21"/>
  <c r="U286" i="21"/>
  <c r="V286" i="21"/>
  <c r="W286" i="21"/>
  <c r="X286" i="21"/>
  <c r="O310" i="21"/>
  <c r="P310" i="21"/>
  <c r="Q310" i="21"/>
  <c r="R310" i="21"/>
  <c r="S310" i="21"/>
  <c r="T310" i="21"/>
  <c r="U310" i="21"/>
  <c r="V310" i="21"/>
  <c r="W310" i="21"/>
  <c r="X310" i="21"/>
  <c r="O338" i="21"/>
  <c r="P338" i="21"/>
  <c r="Q338" i="21"/>
  <c r="R338" i="21"/>
  <c r="S338" i="21"/>
  <c r="T338" i="21"/>
  <c r="U338" i="21"/>
  <c r="V338" i="21"/>
  <c r="W338" i="21"/>
  <c r="X338" i="21"/>
  <c r="Y338" i="21"/>
  <c r="O357" i="21"/>
  <c r="P357" i="21"/>
  <c r="Q357" i="21"/>
  <c r="R357" i="21"/>
  <c r="S357" i="21"/>
  <c r="T357" i="21"/>
  <c r="U357" i="21"/>
  <c r="V357" i="21"/>
  <c r="W357" i="21"/>
  <c r="X357" i="21"/>
  <c r="O354" i="21"/>
  <c r="P354" i="21"/>
  <c r="Q354" i="21"/>
  <c r="R354" i="21"/>
  <c r="S354" i="21"/>
  <c r="T354" i="21"/>
  <c r="U354" i="21"/>
  <c r="V354" i="21"/>
  <c r="W354" i="21"/>
  <c r="X354" i="21"/>
  <c r="O362" i="21"/>
  <c r="P362" i="21"/>
  <c r="Q362" i="21"/>
  <c r="R362" i="21"/>
  <c r="S362" i="21"/>
  <c r="T362" i="21"/>
  <c r="U362" i="21"/>
  <c r="V362" i="21"/>
  <c r="W362" i="21"/>
  <c r="X362" i="21"/>
  <c r="Y362" i="21"/>
  <c r="O384" i="21"/>
  <c r="P384" i="21"/>
  <c r="Q384" i="21"/>
  <c r="R384" i="21"/>
  <c r="S384" i="21"/>
  <c r="T384" i="21"/>
  <c r="U384" i="21"/>
  <c r="V384" i="21"/>
  <c r="W384" i="21"/>
  <c r="X384" i="21"/>
  <c r="O366" i="21"/>
  <c r="P366" i="21"/>
  <c r="Q366" i="21"/>
  <c r="R366" i="21"/>
  <c r="S366" i="21"/>
  <c r="T366" i="21"/>
  <c r="U366" i="21"/>
  <c r="V366" i="21"/>
  <c r="W366" i="21"/>
  <c r="X366" i="21"/>
  <c r="O365" i="21"/>
  <c r="P365" i="21"/>
  <c r="Q365" i="21"/>
  <c r="R365" i="21"/>
  <c r="S365" i="21"/>
  <c r="T365" i="21"/>
  <c r="U365" i="21"/>
  <c r="V365" i="21"/>
  <c r="W365" i="21"/>
  <c r="X365" i="21"/>
  <c r="O380" i="21"/>
  <c r="P380" i="21"/>
  <c r="Q380" i="21"/>
  <c r="R380" i="21"/>
  <c r="S380" i="21"/>
  <c r="T380" i="21"/>
  <c r="U380" i="21"/>
  <c r="V380" i="21"/>
  <c r="W380" i="21"/>
  <c r="X380" i="21"/>
  <c r="O394" i="21"/>
  <c r="P394" i="21"/>
  <c r="Q394" i="21"/>
  <c r="R394" i="21"/>
  <c r="S394" i="21"/>
  <c r="T394" i="21"/>
  <c r="U394" i="21"/>
  <c r="V394" i="21"/>
  <c r="W394" i="21"/>
  <c r="X394" i="21"/>
  <c r="O445" i="21"/>
  <c r="P445" i="21"/>
  <c r="Q445" i="21"/>
  <c r="R445" i="21"/>
  <c r="S445" i="21"/>
  <c r="T445" i="21"/>
  <c r="U445" i="21"/>
  <c r="V445" i="21"/>
  <c r="W445" i="21"/>
  <c r="X445" i="21"/>
  <c r="O459" i="21"/>
  <c r="P459" i="21"/>
  <c r="Q459" i="21"/>
  <c r="R459" i="21"/>
  <c r="S459" i="21"/>
  <c r="T459" i="21"/>
  <c r="U459" i="21"/>
  <c r="V459" i="21"/>
  <c r="W459" i="21"/>
  <c r="X459" i="21"/>
  <c r="O476" i="21"/>
  <c r="P476" i="21"/>
  <c r="Q476" i="21"/>
  <c r="R476" i="21"/>
  <c r="S476" i="21"/>
  <c r="T476" i="21"/>
  <c r="U476" i="21"/>
  <c r="V476" i="21"/>
  <c r="W476" i="21"/>
  <c r="X476" i="21"/>
  <c r="O502" i="21"/>
  <c r="P502" i="21"/>
  <c r="Q502" i="21"/>
  <c r="R502" i="21"/>
  <c r="S502" i="21"/>
  <c r="T502" i="21"/>
  <c r="U502" i="21"/>
  <c r="V502" i="21"/>
  <c r="W502" i="21"/>
  <c r="X502" i="21"/>
  <c r="Y502" i="21"/>
  <c r="O497" i="21"/>
  <c r="P497" i="21"/>
  <c r="Q497" i="21"/>
  <c r="R497" i="21"/>
  <c r="S497" i="21"/>
  <c r="T497" i="21"/>
  <c r="U497" i="21"/>
  <c r="V497" i="21"/>
  <c r="W497" i="21"/>
  <c r="X497" i="21"/>
  <c r="Y497" i="21"/>
  <c r="O70" i="21"/>
  <c r="P70" i="21"/>
  <c r="Q70" i="21"/>
  <c r="R70" i="21"/>
  <c r="S70" i="21"/>
  <c r="T70" i="21"/>
  <c r="U70" i="21"/>
  <c r="V70" i="21"/>
  <c r="W70" i="21"/>
  <c r="X70" i="21"/>
  <c r="Y70" i="21"/>
  <c r="O212" i="21"/>
  <c r="P212" i="21"/>
  <c r="Q212" i="21"/>
  <c r="R212" i="21"/>
  <c r="S212" i="21"/>
  <c r="T212" i="21"/>
  <c r="U212" i="21"/>
  <c r="V212" i="21"/>
  <c r="W212" i="21"/>
  <c r="X212" i="21"/>
  <c r="O300" i="21"/>
  <c r="P300" i="21"/>
  <c r="Q300" i="21"/>
  <c r="R300" i="21"/>
  <c r="S300" i="21"/>
  <c r="T300" i="21"/>
  <c r="U300" i="21"/>
  <c r="V300" i="21"/>
  <c r="W300" i="21"/>
  <c r="X300" i="21"/>
  <c r="O291" i="21"/>
  <c r="P291" i="21"/>
  <c r="Q291" i="21"/>
  <c r="R291" i="21"/>
  <c r="S291" i="21"/>
  <c r="T291" i="21"/>
  <c r="U291" i="21"/>
  <c r="V291" i="21"/>
  <c r="W291" i="21"/>
  <c r="X291" i="21"/>
  <c r="O315" i="21"/>
  <c r="P315" i="21"/>
  <c r="Q315" i="21"/>
  <c r="R315" i="21"/>
  <c r="S315" i="21"/>
  <c r="T315" i="21"/>
  <c r="U315" i="21"/>
  <c r="V315" i="21"/>
  <c r="W315" i="21"/>
  <c r="X315" i="21"/>
  <c r="O510" i="21"/>
  <c r="P510" i="21"/>
  <c r="Q510" i="21"/>
  <c r="R510" i="21"/>
  <c r="S510" i="21"/>
  <c r="T510" i="21"/>
  <c r="U510" i="21"/>
  <c r="V510" i="21"/>
  <c r="W510" i="21"/>
  <c r="X510" i="21"/>
  <c r="O96" i="21"/>
  <c r="P96" i="21"/>
  <c r="Q96" i="21"/>
  <c r="R96" i="21"/>
  <c r="S96" i="21"/>
  <c r="T96" i="21"/>
  <c r="U96" i="21"/>
  <c r="V96" i="21"/>
  <c r="W96" i="21"/>
  <c r="X96" i="21"/>
  <c r="O176" i="21"/>
  <c r="P176" i="21"/>
  <c r="Q176" i="21"/>
  <c r="R176" i="21"/>
  <c r="S176" i="21"/>
  <c r="T176" i="21"/>
  <c r="U176" i="21"/>
  <c r="V176" i="21"/>
  <c r="W176" i="21"/>
  <c r="X176" i="21"/>
  <c r="O165" i="21"/>
  <c r="P165" i="21"/>
  <c r="Q165" i="21"/>
  <c r="R165" i="21"/>
  <c r="S165" i="21"/>
  <c r="T165" i="21"/>
  <c r="U165" i="21"/>
  <c r="V165" i="21"/>
  <c r="W165" i="21"/>
  <c r="X165" i="21"/>
  <c r="O210" i="21"/>
  <c r="P210" i="21"/>
  <c r="Q210" i="21"/>
  <c r="R210" i="21"/>
  <c r="S210" i="21"/>
  <c r="T210" i="21"/>
  <c r="U210" i="21"/>
  <c r="V210" i="21"/>
  <c r="W210" i="21"/>
  <c r="X210" i="21"/>
  <c r="O439" i="21"/>
  <c r="P439" i="21"/>
  <c r="Q439" i="21"/>
  <c r="R439" i="21"/>
  <c r="S439" i="21"/>
  <c r="T439" i="21"/>
  <c r="U439" i="21"/>
  <c r="V439" i="21"/>
  <c r="W439" i="21"/>
  <c r="X439" i="21"/>
  <c r="O89" i="21"/>
  <c r="P89" i="21"/>
  <c r="Q89" i="21"/>
  <c r="R89" i="21"/>
  <c r="S89" i="21"/>
  <c r="T89" i="21"/>
  <c r="U89" i="21"/>
  <c r="V89" i="21"/>
  <c r="W89" i="21"/>
  <c r="X89" i="21"/>
  <c r="O81" i="21"/>
  <c r="P81" i="21"/>
  <c r="Q81" i="21"/>
  <c r="R81" i="21"/>
  <c r="S81" i="21"/>
  <c r="T81" i="21"/>
  <c r="U81" i="21"/>
  <c r="V81" i="21"/>
  <c r="W81" i="21"/>
  <c r="X81" i="21"/>
  <c r="O521" i="21"/>
  <c r="P521" i="21"/>
  <c r="Q521" i="21"/>
  <c r="R521" i="21"/>
  <c r="S521" i="21"/>
  <c r="T521" i="21"/>
  <c r="U521" i="21"/>
  <c r="V521" i="21"/>
  <c r="W521" i="21"/>
  <c r="X521" i="21"/>
  <c r="O256" i="21"/>
  <c r="P256" i="21"/>
  <c r="Q256" i="21"/>
  <c r="R256" i="21"/>
  <c r="S256" i="21"/>
  <c r="T256" i="21"/>
  <c r="U256" i="21"/>
  <c r="V256" i="21"/>
  <c r="W256" i="21"/>
  <c r="X256" i="21"/>
  <c r="O287" i="21"/>
  <c r="P287" i="21"/>
  <c r="Q287" i="21"/>
  <c r="R287" i="21"/>
  <c r="S287" i="21"/>
  <c r="T287" i="21"/>
  <c r="U287" i="21"/>
  <c r="V287" i="21"/>
  <c r="W287" i="21"/>
  <c r="X287" i="21"/>
  <c r="O333" i="21"/>
  <c r="P333" i="21"/>
  <c r="Q333" i="21"/>
  <c r="R333" i="21"/>
  <c r="S333" i="21"/>
  <c r="T333" i="21"/>
  <c r="U333" i="21"/>
  <c r="V333" i="21"/>
  <c r="W333" i="21"/>
  <c r="X333" i="21"/>
  <c r="Y333" i="21"/>
  <c r="O410" i="21"/>
  <c r="P410" i="21"/>
  <c r="Q410" i="21"/>
  <c r="R410" i="21"/>
  <c r="S410" i="21"/>
  <c r="T410" i="21"/>
  <c r="U410" i="21"/>
  <c r="V410" i="21"/>
  <c r="W410" i="21"/>
  <c r="X410" i="21"/>
  <c r="Y410" i="21"/>
  <c r="O117" i="21"/>
  <c r="P117" i="21"/>
  <c r="Q117" i="21"/>
  <c r="R117" i="21"/>
  <c r="S117" i="21"/>
  <c r="T117" i="21"/>
  <c r="U117" i="21"/>
  <c r="V117" i="21"/>
  <c r="W117" i="21"/>
  <c r="X117" i="21"/>
  <c r="O5" i="21"/>
  <c r="P5" i="21"/>
  <c r="Q5" i="21"/>
  <c r="R5" i="21"/>
  <c r="S5" i="21"/>
  <c r="T5" i="21"/>
  <c r="U5" i="21"/>
  <c r="V5" i="21"/>
  <c r="W5" i="21"/>
  <c r="X5" i="21"/>
  <c r="O10" i="21"/>
  <c r="P10" i="21"/>
  <c r="Q10" i="21"/>
  <c r="R10" i="21"/>
  <c r="S10" i="21"/>
  <c r="T10" i="21"/>
  <c r="U10" i="21"/>
  <c r="V10" i="21"/>
  <c r="W10" i="21"/>
  <c r="X10" i="21"/>
  <c r="O21" i="21"/>
  <c r="P21" i="21"/>
  <c r="Q21" i="21"/>
  <c r="R21" i="21"/>
  <c r="S21" i="21"/>
  <c r="T21" i="21"/>
  <c r="U21" i="21"/>
  <c r="V21" i="21"/>
  <c r="W21" i="21"/>
  <c r="X21" i="21"/>
  <c r="O18" i="21"/>
  <c r="P18" i="21"/>
  <c r="Q18" i="21"/>
  <c r="R18" i="21"/>
  <c r="S18" i="21"/>
  <c r="T18" i="21"/>
  <c r="U18" i="21"/>
  <c r="V18" i="21"/>
  <c r="W18" i="21"/>
  <c r="X18" i="21"/>
  <c r="O13" i="21"/>
  <c r="P13" i="21"/>
  <c r="Q13" i="21"/>
  <c r="R13" i="21"/>
  <c r="S13" i="21"/>
  <c r="T13" i="21"/>
  <c r="U13" i="21"/>
  <c r="V13" i="21"/>
  <c r="W13" i="21"/>
  <c r="X13" i="21"/>
  <c r="O12" i="21"/>
  <c r="P12" i="21"/>
  <c r="Q12" i="21"/>
  <c r="R12" i="21"/>
  <c r="S12" i="21"/>
  <c r="T12" i="21"/>
  <c r="U12" i="21"/>
  <c r="V12" i="21"/>
  <c r="W12" i="21"/>
  <c r="X12" i="21"/>
  <c r="O23" i="21"/>
  <c r="P23" i="21"/>
  <c r="Q23" i="21"/>
  <c r="R23" i="21"/>
  <c r="S23" i="21"/>
  <c r="T23" i="21"/>
  <c r="U23" i="21"/>
  <c r="V23" i="21"/>
  <c r="W23" i="21"/>
  <c r="X23" i="21"/>
  <c r="Y23" i="21"/>
  <c r="O15" i="21"/>
  <c r="P15" i="21"/>
  <c r="Q15" i="21"/>
  <c r="R15" i="21"/>
  <c r="S15" i="21"/>
  <c r="T15" i="21"/>
  <c r="U15" i="21"/>
  <c r="V15" i="21"/>
  <c r="W15" i="21"/>
  <c r="X15" i="21"/>
  <c r="O19" i="21"/>
  <c r="P19" i="21"/>
  <c r="Q19" i="21"/>
  <c r="R19" i="21"/>
  <c r="S19" i="21"/>
  <c r="T19" i="21"/>
  <c r="U19" i="21"/>
  <c r="V19" i="21"/>
  <c r="W19" i="21"/>
  <c r="X19" i="21"/>
  <c r="O6" i="21"/>
  <c r="P6" i="21"/>
  <c r="Q6" i="21"/>
  <c r="R6" i="21"/>
  <c r="S6" i="21"/>
  <c r="T6" i="21"/>
  <c r="U6" i="21"/>
  <c r="V6" i="21"/>
  <c r="W6" i="21"/>
  <c r="X6" i="21"/>
  <c r="O8" i="21"/>
  <c r="P8" i="21"/>
  <c r="Q8" i="21"/>
  <c r="R8" i="21"/>
  <c r="S8" i="21"/>
  <c r="T8" i="21"/>
  <c r="U8" i="21"/>
  <c r="V8" i="21"/>
  <c r="W8" i="21"/>
  <c r="X8" i="21"/>
  <c r="O7" i="21"/>
  <c r="P7" i="21"/>
  <c r="Q7" i="21"/>
  <c r="R7" i="21"/>
  <c r="S7" i="21"/>
  <c r="T7" i="21"/>
  <c r="U7" i="21"/>
  <c r="V7" i="21"/>
  <c r="W7" i="21"/>
  <c r="X7" i="21"/>
  <c r="O45" i="21"/>
  <c r="P45" i="21"/>
  <c r="Q45" i="21"/>
  <c r="R45" i="21"/>
  <c r="S45" i="21"/>
  <c r="T45" i="21"/>
  <c r="U45" i="21"/>
  <c r="V45" i="21"/>
  <c r="W45" i="21"/>
  <c r="X45" i="21"/>
  <c r="O29" i="21"/>
  <c r="P29" i="21"/>
  <c r="Q29" i="21"/>
  <c r="R29" i="21"/>
  <c r="S29" i="21"/>
  <c r="T29" i="21"/>
  <c r="U29" i="21"/>
  <c r="V29" i="21"/>
  <c r="W29" i="21"/>
  <c r="X29" i="21"/>
  <c r="O30" i="21"/>
  <c r="P30" i="21"/>
  <c r="Q30" i="21"/>
  <c r="R30" i="21"/>
  <c r="S30" i="21"/>
  <c r="T30" i="21"/>
  <c r="U30" i="21"/>
  <c r="V30" i="21"/>
  <c r="W30" i="21"/>
  <c r="X30" i="21"/>
  <c r="O28" i="21"/>
  <c r="P28" i="21"/>
  <c r="Q28" i="21"/>
  <c r="R28" i="21"/>
  <c r="S28" i="21"/>
  <c r="T28" i="21"/>
  <c r="U28" i="21"/>
  <c r="V28" i="21"/>
  <c r="W28" i="21"/>
  <c r="X28" i="21"/>
  <c r="O27" i="21"/>
  <c r="P27" i="21"/>
  <c r="Q27" i="21"/>
  <c r="R27" i="21"/>
  <c r="S27" i="21"/>
  <c r="T27" i="21"/>
  <c r="U27" i="21"/>
  <c r="V27" i="21"/>
  <c r="W27" i="21"/>
  <c r="X27" i="21"/>
  <c r="O44" i="21"/>
  <c r="P44" i="21"/>
  <c r="Q44" i="21"/>
  <c r="R44" i="21"/>
  <c r="S44" i="21"/>
  <c r="T44" i="21"/>
  <c r="U44" i="21"/>
  <c r="V44" i="21"/>
  <c r="W44" i="21"/>
  <c r="X44" i="21"/>
  <c r="O34" i="21"/>
  <c r="P34" i="21"/>
  <c r="Q34" i="21"/>
  <c r="R34" i="21"/>
  <c r="S34" i="21"/>
  <c r="T34" i="21"/>
  <c r="U34" i="21"/>
  <c r="V34" i="21"/>
  <c r="W34" i="21"/>
  <c r="X34" i="21"/>
  <c r="O35" i="21"/>
  <c r="P35" i="21"/>
  <c r="Q35" i="21"/>
  <c r="R35" i="21"/>
  <c r="S35" i="21"/>
  <c r="T35" i="21"/>
  <c r="U35" i="21"/>
  <c r="V35" i="21"/>
  <c r="W35" i="21"/>
  <c r="X35" i="21"/>
  <c r="O43" i="21"/>
  <c r="P43" i="21"/>
  <c r="Q43" i="21"/>
  <c r="R43" i="21"/>
  <c r="S43" i="21"/>
  <c r="T43" i="21"/>
  <c r="U43" i="21"/>
  <c r="V43" i="21"/>
  <c r="W43" i="21"/>
  <c r="X43" i="21"/>
  <c r="O42" i="21"/>
  <c r="P42" i="21"/>
  <c r="Q42" i="21"/>
  <c r="R42" i="21"/>
  <c r="S42" i="21"/>
  <c r="T42" i="21"/>
  <c r="U42" i="21"/>
  <c r="V42" i="21"/>
  <c r="W42" i="21"/>
  <c r="X42" i="21"/>
  <c r="O72" i="21"/>
  <c r="P72" i="21"/>
  <c r="Q72" i="21"/>
  <c r="R72" i="21"/>
  <c r="S72" i="21"/>
  <c r="T72" i="21"/>
  <c r="U72" i="21"/>
  <c r="V72" i="21"/>
  <c r="W72" i="21"/>
  <c r="X72" i="21"/>
  <c r="O74" i="21"/>
  <c r="P74" i="21"/>
  <c r="Q74" i="21"/>
  <c r="R74" i="21"/>
  <c r="S74" i="21"/>
  <c r="T74" i="21"/>
  <c r="U74" i="21"/>
  <c r="V74" i="21"/>
  <c r="W74" i="21"/>
  <c r="X74" i="21"/>
  <c r="O63" i="21"/>
  <c r="P63" i="21"/>
  <c r="Q63" i="21"/>
  <c r="R63" i="21"/>
  <c r="S63" i="21"/>
  <c r="T63" i="21"/>
  <c r="U63" i="21"/>
  <c r="V63" i="21"/>
  <c r="W63" i="21"/>
  <c r="X63" i="21"/>
  <c r="O64" i="21"/>
  <c r="P64" i="21"/>
  <c r="Q64" i="21"/>
  <c r="R64" i="21"/>
  <c r="S64" i="21"/>
  <c r="T64" i="21"/>
  <c r="U64" i="21"/>
  <c r="V64" i="21"/>
  <c r="W64" i="21"/>
  <c r="X64" i="21"/>
  <c r="O69" i="21"/>
  <c r="P69" i="21"/>
  <c r="Q69" i="21"/>
  <c r="R69" i="21"/>
  <c r="S69" i="21"/>
  <c r="T69" i="21"/>
  <c r="U69" i="21"/>
  <c r="V69" i="21"/>
  <c r="W69" i="21"/>
  <c r="X69" i="21"/>
  <c r="O77" i="21"/>
  <c r="P77" i="21"/>
  <c r="Q77" i="21"/>
  <c r="R77" i="21"/>
  <c r="S77" i="21"/>
  <c r="T77" i="21"/>
  <c r="U77" i="21"/>
  <c r="V77" i="21"/>
  <c r="W77" i="21"/>
  <c r="X77" i="21"/>
  <c r="O61" i="21"/>
  <c r="P61" i="21"/>
  <c r="Q61" i="21"/>
  <c r="R61" i="21"/>
  <c r="S61" i="21"/>
  <c r="T61" i="21"/>
  <c r="U61" i="21"/>
  <c r="V61" i="21"/>
  <c r="W61" i="21"/>
  <c r="X61" i="21"/>
  <c r="O79" i="21"/>
  <c r="P79" i="21"/>
  <c r="Q79" i="21"/>
  <c r="R79" i="21"/>
  <c r="S79" i="21"/>
  <c r="T79" i="21"/>
  <c r="U79" i="21"/>
  <c r="V79" i="21"/>
  <c r="W79" i="21"/>
  <c r="X79" i="21"/>
  <c r="O99" i="21"/>
  <c r="P99" i="21"/>
  <c r="Q99" i="21"/>
  <c r="R99" i="21"/>
  <c r="S99" i="21"/>
  <c r="T99" i="21"/>
  <c r="U99" i="21"/>
  <c r="V99" i="21"/>
  <c r="W99" i="21"/>
  <c r="X99" i="21"/>
  <c r="O88" i="21"/>
  <c r="P88" i="21"/>
  <c r="Q88" i="21"/>
  <c r="R88" i="21"/>
  <c r="S88" i="21"/>
  <c r="T88" i="21"/>
  <c r="U88" i="21"/>
  <c r="V88" i="21"/>
  <c r="W88" i="21"/>
  <c r="X88" i="21"/>
  <c r="O86" i="21"/>
  <c r="P86" i="21"/>
  <c r="Q86" i="21"/>
  <c r="R86" i="21"/>
  <c r="S86" i="21"/>
  <c r="T86" i="21"/>
  <c r="U86" i="21"/>
  <c r="V86" i="21"/>
  <c r="W86" i="21"/>
  <c r="X86" i="21"/>
  <c r="O104" i="21"/>
  <c r="P104" i="21"/>
  <c r="Q104" i="21"/>
  <c r="R104" i="21"/>
  <c r="S104" i="21"/>
  <c r="T104" i="21"/>
  <c r="U104" i="21"/>
  <c r="V104" i="21"/>
  <c r="W104" i="21"/>
  <c r="X104" i="21"/>
  <c r="O97" i="21"/>
  <c r="P97" i="21"/>
  <c r="Q97" i="21"/>
  <c r="R97" i="21"/>
  <c r="S97" i="21"/>
  <c r="T97" i="21"/>
  <c r="U97" i="21"/>
  <c r="V97" i="21"/>
  <c r="W97" i="21"/>
  <c r="X97" i="21"/>
  <c r="O87" i="21"/>
  <c r="P87" i="21"/>
  <c r="Q87" i="21"/>
  <c r="R87" i="21"/>
  <c r="S87" i="21"/>
  <c r="T87" i="21"/>
  <c r="U87" i="21"/>
  <c r="V87" i="21"/>
  <c r="W87" i="21"/>
  <c r="X87" i="21"/>
  <c r="O92" i="21"/>
  <c r="P92" i="21"/>
  <c r="Q92" i="21"/>
  <c r="R92" i="21"/>
  <c r="S92" i="21"/>
  <c r="T92" i="21"/>
  <c r="U92" i="21"/>
  <c r="V92" i="21"/>
  <c r="W92" i="21"/>
  <c r="X92" i="21"/>
  <c r="O116" i="21"/>
  <c r="P116" i="21"/>
  <c r="Q116" i="21"/>
  <c r="R116" i="21"/>
  <c r="S116" i="21"/>
  <c r="T116" i="21"/>
  <c r="U116" i="21"/>
  <c r="V116" i="21"/>
  <c r="W116" i="21"/>
  <c r="X116" i="21"/>
  <c r="O113" i="21"/>
  <c r="P113" i="21"/>
  <c r="Q113" i="21"/>
  <c r="R113" i="21"/>
  <c r="S113" i="21"/>
  <c r="T113" i="21"/>
  <c r="U113" i="21"/>
  <c r="V113" i="21"/>
  <c r="W113" i="21"/>
  <c r="X113" i="21"/>
  <c r="O119" i="21"/>
  <c r="P119" i="21"/>
  <c r="Q119" i="21"/>
  <c r="R119" i="21"/>
  <c r="S119" i="21"/>
  <c r="T119" i="21"/>
  <c r="U119" i="21"/>
  <c r="V119" i="21"/>
  <c r="W119" i="21"/>
  <c r="X119" i="21"/>
  <c r="O110" i="21"/>
  <c r="P110" i="21"/>
  <c r="Q110" i="21"/>
  <c r="R110" i="21"/>
  <c r="S110" i="21"/>
  <c r="T110" i="21"/>
  <c r="U110" i="21"/>
  <c r="V110" i="21"/>
  <c r="W110" i="21"/>
  <c r="X110" i="21"/>
  <c r="O125" i="21"/>
  <c r="P125" i="21"/>
  <c r="Q125" i="21"/>
  <c r="R125" i="21"/>
  <c r="S125" i="21"/>
  <c r="T125" i="21"/>
  <c r="U125" i="21"/>
  <c r="V125" i="21"/>
  <c r="W125" i="21"/>
  <c r="X125" i="21"/>
  <c r="O130" i="21"/>
  <c r="P130" i="21"/>
  <c r="Q130" i="21"/>
  <c r="R130" i="21"/>
  <c r="S130" i="21"/>
  <c r="T130" i="21"/>
  <c r="U130" i="21"/>
  <c r="V130" i="21"/>
  <c r="W130" i="21"/>
  <c r="X130" i="21"/>
  <c r="Y130" i="21"/>
  <c r="O122" i="21"/>
  <c r="P122" i="21"/>
  <c r="Q122" i="21"/>
  <c r="R122" i="21"/>
  <c r="S122" i="21"/>
  <c r="T122" i="21"/>
  <c r="U122" i="21"/>
  <c r="V122" i="21"/>
  <c r="W122" i="21"/>
  <c r="X122" i="21"/>
  <c r="O108" i="21"/>
  <c r="P108" i="21"/>
  <c r="Q108" i="21"/>
  <c r="R108" i="21"/>
  <c r="S108" i="21"/>
  <c r="T108" i="21"/>
  <c r="U108" i="21"/>
  <c r="V108" i="21"/>
  <c r="W108" i="21"/>
  <c r="X108" i="21"/>
  <c r="O123" i="21"/>
  <c r="P123" i="21"/>
  <c r="Q123" i="21"/>
  <c r="R123" i="21"/>
  <c r="S123" i="21"/>
  <c r="T123" i="21"/>
  <c r="U123" i="21"/>
  <c r="V123" i="21"/>
  <c r="W123" i="21"/>
  <c r="X123" i="21"/>
  <c r="O147" i="21"/>
  <c r="P147" i="21"/>
  <c r="Q147" i="21"/>
  <c r="R147" i="21"/>
  <c r="S147" i="21"/>
  <c r="T147" i="21"/>
  <c r="U147" i="21"/>
  <c r="V147" i="21"/>
  <c r="W147" i="21"/>
  <c r="X147" i="21"/>
  <c r="O149" i="21"/>
  <c r="P149" i="21"/>
  <c r="Q149" i="21"/>
  <c r="R149" i="21"/>
  <c r="S149" i="21"/>
  <c r="T149" i="21"/>
  <c r="U149" i="21"/>
  <c r="V149" i="21"/>
  <c r="W149" i="21"/>
  <c r="X149" i="21"/>
  <c r="O131" i="21"/>
  <c r="P131" i="21"/>
  <c r="Q131" i="21"/>
  <c r="R131" i="21"/>
  <c r="S131" i="21"/>
  <c r="T131" i="21"/>
  <c r="U131" i="21"/>
  <c r="V131" i="21"/>
  <c r="W131" i="21"/>
  <c r="X131" i="21"/>
  <c r="O140" i="21"/>
  <c r="P140" i="21"/>
  <c r="Q140" i="21"/>
  <c r="R140" i="21"/>
  <c r="S140" i="21"/>
  <c r="T140" i="21"/>
  <c r="U140" i="21"/>
  <c r="V140" i="21"/>
  <c r="W140" i="21"/>
  <c r="X140" i="21"/>
  <c r="O146" i="21"/>
  <c r="P146" i="21"/>
  <c r="Q146" i="21"/>
  <c r="R146" i="21"/>
  <c r="S146" i="21"/>
  <c r="T146" i="21"/>
  <c r="U146" i="21"/>
  <c r="V146" i="21"/>
  <c r="W146" i="21"/>
  <c r="X146" i="21"/>
  <c r="O157" i="21"/>
  <c r="P157" i="21"/>
  <c r="Q157" i="21"/>
  <c r="R157" i="21"/>
  <c r="S157" i="21"/>
  <c r="T157" i="21"/>
  <c r="U157" i="21"/>
  <c r="V157" i="21"/>
  <c r="W157" i="21"/>
  <c r="X157" i="21"/>
  <c r="O138" i="21"/>
  <c r="P138" i="21"/>
  <c r="Q138" i="21"/>
  <c r="R138" i="21"/>
  <c r="S138" i="21"/>
  <c r="T138" i="21"/>
  <c r="U138" i="21"/>
  <c r="V138" i="21"/>
  <c r="W138" i="21"/>
  <c r="X138" i="21"/>
  <c r="O155" i="21"/>
  <c r="P155" i="21"/>
  <c r="Q155" i="21"/>
  <c r="R155" i="21"/>
  <c r="S155" i="21"/>
  <c r="T155" i="21"/>
  <c r="U155" i="21"/>
  <c r="V155" i="21"/>
  <c r="W155" i="21"/>
  <c r="X155" i="21"/>
  <c r="O141" i="21"/>
  <c r="P141" i="21"/>
  <c r="Q141" i="21"/>
  <c r="R141" i="21"/>
  <c r="S141" i="21"/>
  <c r="T141" i="21"/>
  <c r="U141" i="21"/>
  <c r="V141" i="21"/>
  <c r="W141" i="21"/>
  <c r="X141" i="21"/>
  <c r="O156" i="21"/>
  <c r="P156" i="21"/>
  <c r="Q156" i="21"/>
  <c r="R156" i="21"/>
  <c r="S156" i="21"/>
  <c r="T156" i="21"/>
  <c r="U156" i="21"/>
  <c r="V156" i="21"/>
  <c r="W156" i="21"/>
  <c r="X156" i="21"/>
  <c r="O133" i="21"/>
  <c r="P133" i="21"/>
  <c r="Q133" i="21"/>
  <c r="R133" i="21"/>
  <c r="S133" i="21"/>
  <c r="T133" i="21"/>
  <c r="U133" i="21"/>
  <c r="V133" i="21"/>
  <c r="W133" i="21"/>
  <c r="X133" i="21"/>
  <c r="O160" i="21"/>
  <c r="P160" i="21"/>
  <c r="Q160" i="21"/>
  <c r="R160" i="21"/>
  <c r="S160" i="21"/>
  <c r="T160" i="21"/>
  <c r="U160" i="21"/>
  <c r="V160" i="21"/>
  <c r="W160" i="21"/>
  <c r="X160" i="21"/>
  <c r="O161" i="21"/>
  <c r="P161" i="21"/>
  <c r="Q161" i="21"/>
  <c r="R161" i="21"/>
  <c r="S161" i="21"/>
  <c r="T161" i="21"/>
  <c r="U161" i="21"/>
  <c r="V161" i="21"/>
  <c r="W161" i="21"/>
  <c r="X161" i="21"/>
  <c r="O170" i="21"/>
  <c r="P170" i="21"/>
  <c r="Q170" i="21"/>
  <c r="R170" i="21"/>
  <c r="S170" i="21"/>
  <c r="T170" i="21"/>
  <c r="U170" i="21"/>
  <c r="V170" i="21"/>
  <c r="W170" i="21"/>
  <c r="X170" i="21"/>
  <c r="O182" i="21"/>
  <c r="P182" i="21"/>
  <c r="Q182" i="21"/>
  <c r="R182" i="21"/>
  <c r="S182" i="21"/>
  <c r="T182" i="21"/>
  <c r="U182" i="21"/>
  <c r="V182" i="21"/>
  <c r="W182" i="21"/>
  <c r="X182" i="21"/>
  <c r="O203" i="21"/>
  <c r="P203" i="21"/>
  <c r="Q203" i="21"/>
  <c r="R203" i="21"/>
  <c r="S203" i="21"/>
  <c r="T203" i="21"/>
  <c r="U203" i="21"/>
  <c r="V203" i="21"/>
  <c r="W203" i="21"/>
  <c r="X203" i="21"/>
  <c r="O195" i="21"/>
  <c r="P195" i="21"/>
  <c r="Q195" i="21"/>
  <c r="R195" i="21"/>
  <c r="S195" i="21"/>
  <c r="T195" i="21"/>
  <c r="U195" i="21"/>
  <c r="V195" i="21"/>
  <c r="W195" i="21"/>
  <c r="X195" i="21"/>
  <c r="O194" i="21"/>
  <c r="P194" i="21"/>
  <c r="Q194" i="21"/>
  <c r="R194" i="21"/>
  <c r="S194" i="21"/>
  <c r="T194" i="21"/>
  <c r="U194" i="21"/>
  <c r="V194" i="21"/>
  <c r="W194" i="21"/>
  <c r="X194" i="21"/>
  <c r="O192" i="21"/>
  <c r="P192" i="21"/>
  <c r="Q192" i="21"/>
  <c r="R192" i="21"/>
  <c r="S192" i="21"/>
  <c r="T192" i="21"/>
  <c r="U192" i="21"/>
  <c r="V192" i="21"/>
  <c r="W192" i="21"/>
  <c r="X192" i="21"/>
  <c r="O207" i="21"/>
  <c r="P207" i="21"/>
  <c r="Q207" i="21"/>
  <c r="R207" i="21"/>
  <c r="S207" i="21"/>
  <c r="T207" i="21"/>
  <c r="U207" i="21"/>
  <c r="V207" i="21"/>
  <c r="W207" i="21"/>
  <c r="X207" i="21"/>
  <c r="O201" i="21"/>
  <c r="P201" i="21"/>
  <c r="Q201" i="21"/>
  <c r="R201" i="21"/>
  <c r="S201" i="21"/>
  <c r="T201" i="21"/>
  <c r="U201" i="21"/>
  <c r="V201" i="21"/>
  <c r="W201" i="21"/>
  <c r="X201" i="21"/>
  <c r="O199" i="21"/>
  <c r="P199" i="21"/>
  <c r="Q199" i="21"/>
  <c r="R199" i="21"/>
  <c r="S199" i="21"/>
  <c r="T199" i="21"/>
  <c r="U199" i="21"/>
  <c r="V199" i="21"/>
  <c r="W199" i="21"/>
  <c r="X199" i="21"/>
  <c r="O227" i="21"/>
  <c r="P227" i="21"/>
  <c r="Q227" i="21"/>
  <c r="R227" i="21"/>
  <c r="S227" i="21"/>
  <c r="T227" i="21"/>
  <c r="U227" i="21"/>
  <c r="V227" i="21"/>
  <c r="W227" i="21"/>
  <c r="X227" i="21"/>
  <c r="O228" i="21"/>
  <c r="P228" i="21"/>
  <c r="Q228" i="21"/>
  <c r="R228" i="21"/>
  <c r="S228" i="21"/>
  <c r="T228" i="21"/>
  <c r="U228" i="21"/>
  <c r="V228" i="21"/>
  <c r="W228" i="21"/>
  <c r="X228" i="21"/>
  <c r="O215" i="21"/>
  <c r="P215" i="21"/>
  <c r="Q215" i="21"/>
  <c r="R215" i="21"/>
  <c r="S215" i="21"/>
  <c r="T215" i="21"/>
  <c r="U215" i="21"/>
  <c r="V215" i="21"/>
  <c r="W215" i="21"/>
  <c r="X215" i="21"/>
  <c r="O220" i="21"/>
  <c r="P220" i="21"/>
  <c r="Q220" i="21"/>
  <c r="R220" i="21"/>
  <c r="S220" i="21"/>
  <c r="T220" i="21"/>
  <c r="U220" i="21"/>
  <c r="V220" i="21"/>
  <c r="W220" i="21"/>
  <c r="X220" i="21"/>
  <c r="O211" i="21"/>
  <c r="P211" i="21"/>
  <c r="Q211" i="21"/>
  <c r="R211" i="21"/>
  <c r="S211" i="21"/>
  <c r="T211" i="21"/>
  <c r="U211" i="21"/>
  <c r="V211" i="21"/>
  <c r="W211" i="21"/>
  <c r="X211" i="21"/>
  <c r="O230" i="21"/>
  <c r="P230" i="21"/>
  <c r="Q230" i="21"/>
  <c r="R230" i="21"/>
  <c r="S230" i="21"/>
  <c r="T230" i="21"/>
  <c r="U230" i="21"/>
  <c r="V230" i="21"/>
  <c r="W230" i="21"/>
  <c r="X230" i="21"/>
  <c r="O223" i="21"/>
  <c r="P223" i="21"/>
  <c r="Q223" i="21"/>
  <c r="R223" i="21"/>
  <c r="S223" i="21"/>
  <c r="T223" i="21"/>
  <c r="U223" i="21"/>
  <c r="V223" i="21"/>
  <c r="W223" i="21"/>
  <c r="X223" i="21"/>
  <c r="O231" i="21"/>
  <c r="P231" i="21"/>
  <c r="Q231" i="21"/>
  <c r="R231" i="21"/>
  <c r="S231" i="21"/>
  <c r="T231" i="21"/>
  <c r="U231" i="21"/>
  <c r="V231" i="21"/>
  <c r="W231" i="21"/>
  <c r="X231" i="21"/>
  <c r="O226" i="21"/>
  <c r="P226" i="21"/>
  <c r="Q226" i="21"/>
  <c r="R226" i="21"/>
  <c r="S226" i="21"/>
  <c r="T226" i="21"/>
  <c r="U226" i="21"/>
  <c r="V226" i="21"/>
  <c r="W226" i="21"/>
  <c r="X226" i="21"/>
  <c r="O217" i="21"/>
  <c r="P217" i="21"/>
  <c r="Q217" i="21"/>
  <c r="R217" i="21"/>
  <c r="S217" i="21"/>
  <c r="T217" i="21"/>
  <c r="U217" i="21"/>
  <c r="V217" i="21"/>
  <c r="W217" i="21"/>
  <c r="X217" i="21"/>
  <c r="O213" i="21"/>
  <c r="P213" i="21"/>
  <c r="Q213" i="21"/>
  <c r="R213" i="21"/>
  <c r="S213" i="21"/>
  <c r="T213" i="21"/>
  <c r="U213" i="21"/>
  <c r="V213" i="21"/>
  <c r="W213" i="21"/>
  <c r="X213" i="21"/>
  <c r="O218" i="21"/>
  <c r="P218" i="21"/>
  <c r="Q218" i="21"/>
  <c r="R218" i="21"/>
  <c r="S218" i="21"/>
  <c r="T218" i="21"/>
  <c r="U218" i="21"/>
  <c r="V218" i="21"/>
  <c r="W218" i="21"/>
  <c r="X218" i="21"/>
  <c r="O224" i="21"/>
  <c r="P224" i="21"/>
  <c r="Q224" i="21"/>
  <c r="R224" i="21"/>
  <c r="S224" i="21"/>
  <c r="T224" i="21"/>
  <c r="U224" i="21"/>
  <c r="V224" i="21"/>
  <c r="W224" i="21"/>
  <c r="X224" i="21"/>
  <c r="O237" i="21"/>
  <c r="P237" i="21"/>
  <c r="Q237" i="21"/>
  <c r="R237" i="21"/>
  <c r="S237" i="21"/>
  <c r="T237" i="21"/>
  <c r="U237" i="21"/>
  <c r="V237" i="21"/>
  <c r="W237" i="21"/>
  <c r="X237" i="21"/>
  <c r="O239" i="21"/>
  <c r="P239" i="21"/>
  <c r="Q239" i="21"/>
  <c r="R239" i="21"/>
  <c r="S239" i="21"/>
  <c r="T239" i="21"/>
  <c r="U239" i="21"/>
  <c r="V239" i="21"/>
  <c r="W239" i="21"/>
  <c r="X239" i="21"/>
  <c r="O241" i="21"/>
  <c r="P241" i="21"/>
  <c r="Q241" i="21"/>
  <c r="R241" i="21"/>
  <c r="S241" i="21"/>
  <c r="T241" i="21"/>
  <c r="U241" i="21"/>
  <c r="V241" i="21"/>
  <c r="W241" i="21"/>
  <c r="X241" i="21"/>
  <c r="O236" i="21"/>
  <c r="P236" i="21"/>
  <c r="Q236" i="21"/>
  <c r="R236" i="21"/>
  <c r="S236" i="21"/>
  <c r="T236" i="21"/>
  <c r="U236" i="21"/>
  <c r="V236" i="21"/>
  <c r="W236" i="21"/>
  <c r="X236" i="21"/>
  <c r="O257" i="21"/>
  <c r="P257" i="21"/>
  <c r="Q257" i="21"/>
  <c r="R257" i="21"/>
  <c r="S257" i="21"/>
  <c r="T257" i="21"/>
  <c r="U257" i="21"/>
  <c r="V257" i="21"/>
  <c r="W257" i="21"/>
  <c r="X257" i="21"/>
  <c r="O246" i="21"/>
  <c r="P246" i="21"/>
  <c r="Q246" i="21"/>
  <c r="R246" i="21"/>
  <c r="S246" i="21"/>
  <c r="T246" i="21"/>
  <c r="U246" i="21"/>
  <c r="V246" i="21"/>
  <c r="W246" i="21"/>
  <c r="X246" i="21"/>
  <c r="O240" i="21"/>
  <c r="P240" i="21"/>
  <c r="Q240" i="21"/>
  <c r="R240" i="21"/>
  <c r="S240" i="21"/>
  <c r="T240" i="21"/>
  <c r="U240" i="21"/>
  <c r="V240" i="21"/>
  <c r="W240" i="21"/>
  <c r="X240" i="21"/>
  <c r="O235" i="21"/>
  <c r="P235" i="21"/>
  <c r="Q235" i="21"/>
  <c r="R235" i="21"/>
  <c r="S235" i="21"/>
  <c r="T235" i="21"/>
  <c r="U235" i="21"/>
  <c r="V235" i="21"/>
  <c r="W235" i="21"/>
  <c r="X235" i="21"/>
  <c r="O279" i="21"/>
  <c r="P279" i="21"/>
  <c r="Q279" i="21"/>
  <c r="R279" i="21"/>
  <c r="S279" i="21"/>
  <c r="T279" i="21"/>
  <c r="U279" i="21"/>
  <c r="V279" i="21"/>
  <c r="W279" i="21"/>
  <c r="X279" i="21"/>
  <c r="O261" i="21"/>
  <c r="P261" i="21"/>
  <c r="Q261" i="21"/>
  <c r="R261" i="21"/>
  <c r="S261" i="21"/>
  <c r="T261" i="21"/>
  <c r="U261" i="21"/>
  <c r="V261" i="21"/>
  <c r="W261" i="21"/>
  <c r="X261" i="21"/>
  <c r="O280" i="21"/>
  <c r="P280" i="21"/>
  <c r="Q280" i="21"/>
  <c r="R280" i="21"/>
  <c r="S280" i="21"/>
  <c r="T280" i="21"/>
  <c r="U280" i="21"/>
  <c r="V280" i="21"/>
  <c r="W280" i="21"/>
  <c r="X280" i="21"/>
  <c r="O266" i="21"/>
  <c r="P266" i="21"/>
  <c r="Q266" i="21"/>
  <c r="R266" i="21"/>
  <c r="S266" i="21"/>
  <c r="T266" i="21"/>
  <c r="U266" i="21"/>
  <c r="V266" i="21"/>
  <c r="W266" i="21"/>
  <c r="X266" i="21"/>
  <c r="O262" i="21"/>
  <c r="P262" i="21"/>
  <c r="Q262" i="21"/>
  <c r="R262" i="21"/>
  <c r="S262" i="21"/>
  <c r="T262" i="21"/>
  <c r="U262" i="21"/>
  <c r="V262" i="21"/>
  <c r="W262" i="21"/>
  <c r="X262" i="21"/>
  <c r="O283" i="21"/>
  <c r="P283" i="21"/>
  <c r="Q283" i="21"/>
  <c r="R283" i="21"/>
  <c r="S283" i="21"/>
  <c r="T283" i="21"/>
  <c r="U283" i="21"/>
  <c r="V283" i="21"/>
  <c r="W283" i="21"/>
  <c r="X283" i="21"/>
  <c r="O285" i="21"/>
  <c r="P285" i="21"/>
  <c r="Q285" i="21"/>
  <c r="R285" i="21"/>
  <c r="S285" i="21"/>
  <c r="T285" i="21"/>
  <c r="U285" i="21"/>
  <c r="V285" i="21"/>
  <c r="W285" i="21"/>
  <c r="X285" i="21"/>
  <c r="O273" i="21"/>
  <c r="P273" i="21"/>
  <c r="Q273" i="21"/>
  <c r="R273" i="21"/>
  <c r="S273" i="21"/>
  <c r="T273" i="21"/>
  <c r="U273" i="21"/>
  <c r="V273" i="21"/>
  <c r="W273" i="21"/>
  <c r="X273" i="21"/>
  <c r="O297" i="21"/>
  <c r="P297" i="21"/>
  <c r="Q297" i="21"/>
  <c r="R297" i="21"/>
  <c r="S297" i="21"/>
  <c r="T297" i="21"/>
  <c r="U297" i="21"/>
  <c r="V297" i="21"/>
  <c r="W297" i="21"/>
  <c r="X297" i="21"/>
  <c r="O303" i="21"/>
  <c r="P303" i="21"/>
  <c r="Q303" i="21"/>
  <c r="R303" i="21"/>
  <c r="S303" i="21"/>
  <c r="T303" i="21"/>
  <c r="U303" i="21"/>
  <c r="V303" i="21"/>
  <c r="W303" i="21"/>
  <c r="X303" i="21"/>
  <c r="O302" i="21"/>
  <c r="P302" i="21"/>
  <c r="Q302" i="21"/>
  <c r="R302" i="21"/>
  <c r="S302" i="21"/>
  <c r="T302" i="21"/>
  <c r="U302" i="21"/>
  <c r="V302" i="21"/>
  <c r="W302" i="21"/>
  <c r="X302" i="21"/>
  <c r="O298" i="21"/>
  <c r="P298" i="21"/>
  <c r="Q298" i="21"/>
  <c r="R298" i="21"/>
  <c r="S298" i="21"/>
  <c r="T298" i="21"/>
  <c r="U298" i="21"/>
  <c r="V298" i="21"/>
  <c r="W298" i="21"/>
  <c r="X298" i="21"/>
  <c r="O306" i="21"/>
  <c r="P306" i="21"/>
  <c r="Q306" i="21"/>
  <c r="R306" i="21"/>
  <c r="S306" i="21"/>
  <c r="T306" i="21"/>
  <c r="U306" i="21"/>
  <c r="V306" i="21"/>
  <c r="W306" i="21"/>
  <c r="X306" i="21"/>
  <c r="O308" i="21"/>
  <c r="P308" i="21"/>
  <c r="Q308" i="21"/>
  <c r="R308" i="21"/>
  <c r="S308" i="21"/>
  <c r="T308" i="21"/>
  <c r="U308" i="21"/>
  <c r="V308" i="21"/>
  <c r="W308" i="21"/>
  <c r="X308" i="21"/>
  <c r="O329" i="21"/>
  <c r="P329" i="21"/>
  <c r="Q329" i="21"/>
  <c r="R329" i="21"/>
  <c r="S329" i="21"/>
  <c r="T329" i="21"/>
  <c r="U329" i="21"/>
  <c r="V329" i="21"/>
  <c r="W329" i="21"/>
  <c r="X329" i="21"/>
  <c r="Y329" i="21"/>
  <c r="O332" i="21"/>
  <c r="P332" i="21"/>
  <c r="Q332" i="21"/>
  <c r="R332" i="21"/>
  <c r="S332" i="21"/>
  <c r="T332" i="21"/>
  <c r="U332" i="21"/>
  <c r="V332" i="21"/>
  <c r="W332" i="21"/>
  <c r="X332" i="21"/>
  <c r="Y332" i="21"/>
  <c r="O328" i="21"/>
  <c r="P328" i="21"/>
  <c r="Q328" i="21"/>
  <c r="R328" i="21"/>
  <c r="S328" i="21"/>
  <c r="T328" i="21"/>
  <c r="U328" i="21"/>
  <c r="V328" i="21"/>
  <c r="W328" i="21"/>
  <c r="X328" i="21"/>
  <c r="O324" i="21"/>
  <c r="P324" i="21"/>
  <c r="Q324" i="21"/>
  <c r="R324" i="21"/>
  <c r="S324" i="21"/>
  <c r="T324" i="21"/>
  <c r="U324" i="21"/>
  <c r="V324" i="21"/>
  <c r="W324" i="21"/>
  <c r="X324" i="21"/>
  <c r="Y324" i="21"/>
  <c r="O318" i="21"/>
  <c r="P318" i="21"/>
  <c r="Q318" i="21"/>
  <c r="R318" i="21"/>
  <c r="S318" i="21"/>
  <c r="T318" i="21"/>
  <c r="U318" i="21"/>
  <c r="V318" i="21"/>
  <c r="W318" i="21"/>
  <c r="X318" i="21"/>
  <c r="Y318" i="21"/>
  <c r="O336" i="21"/>
  <c r="P336" i="21"/>
  <c r="Q336" i="21"/>
  <c r="R336" i="21"/>
  <c r="S336" i="21"/>
  <c r="T336" i="21"/>
  <c r="U336" i="21"/>
  <c r="V336" i="21"/>
  <c r="W336" i="21"/>
  <c r="X336" i="21"/>
  <c r="Y336" i="21"/>
  <c r="O355" i="21"/>
  <c r="P355" i="21"/>
  <c r="Q355" i="21"/>
  <c r="R355" i="21"/>
  <c r="S355" i="21"/>
  <c r="T355" i="21"/>
  <c r="U355" i="21"/>
  <c r="V355" i="21"/>
  <c r="W355" i="21"/>
  <c r="X355" i="21"/>
  <c r="Y355" i="21"/>
  <c r="O356" i="21"/>
  <c r="P356" i="21"/>
  <c r="Q356" i="21"/>
  <c r="R356" i="21"/>
  <c r="S356" i="21"/>
  <c r="T356" i="21"/>
  <c r="U356" i="21"/>
  <c r="V356" i="21"/>
  <c r="W356" i="21"/>
  <c r="X356" i="21"/>
  <c r="Y356" i="21"/>
  <c r="O359" i="21"/>
  <c r="P359" i="21"/>
  <c r="Q359" i="21"/>
  <c r="R359" i="21"/>
  <c r="S359" i="21"/>
  <c r="T359" i="21"/>
  <c r="U359" i="21"/>
  <c r="V359" i="21"/>
  <c r="W359" i="21"/>
  <c r="X359" i="21"/>
  <c r="Y359" i="21"/>
  <c r="O360" i="21"/>
  <c r="P360" i="21"/>
  <c r="Q360" i="21"/>
  <c r="R360" i="21"/>
  <c r="S360" i="21"/>
  <c r="T360" i="21"/>
  <c r="U360" i="21"/>
  <c r="V360" i="21"/>
  <c r="W360" i="21"/>
  <c r="X360" i="21"/>
  <c r="Y360" i="21"/>
  <c r="O352" i="21"/>
  <c r="P352" i="21"/>
  <c r="Q352" i="21"/>
  <c r="R352" i="21"/>
  <c r="S352" i="21"/>
  <c r="T352" i="21"/>
  <c r="U352" i="21"/>
  <c r="V352" i="21"/>
  <c r="W352" i="21"/>
  <c r="X352" i="21"/>
  <c r="O363" i="21"/>
  <c r="P363" i="21"/>
  <c r="Q363" i="21"/>
  <c r="R363" i="21"/>
  <c r="S363" i="21"/>
  <c r="T363" i="21"/>
  <c r="U363" i="21"/>
  <c r="V363" i="21"/>
  <c r="W363" i="21"/>
  <c r="X363" i="21"/>
  <c r="Y363" i="21"/>
  <c r="O344" i="21"/>
  <c r="P344" i="21"/>
  <c r="Q344" i="21"/>
  <c r="R344" i="21"/>
  <c r="S344" i="21"/>
  <c r="T344" i="21"/>
  <c r="U344" i="21"/>
  <c r="V344" i="21"/>
  <c r="W344" i="21"/>
  <c r="X344" i="21"/>
  <c r="O364" i="21"/>
  <c r="P364" i="21"/>
  <c r="Q364" i="21"/>
  <c r="R364" i="21"/>
  <c r="S364" i="21"/>
  <c r="T364" i="21"/>
  <c r="U364" i="21"/>
  <c r="V364" i="21"/>
  <c r="W364" i="21"/>
  <c r="X364" i="21"/>
  <c r="Y364" i="21"/>
  <c r="O347" i="21"/>
  <c r="P347" i="21"/>
  <c r="Q347" i="21"/>
  <c r="R347" i="21"/>
  <c r="S347" i="21"/>
  <c r="T347" i="21"/>
  <c r="U347" i="21"/>
  <c r="V347" i="21"/>
  <c r="W347" i="21"/>
  <c r="X347" i="21"/>
  <c r="O367" i="21"/>
  <c r="P367" i="21"/>
  <c r="Q367" i="21"/>
  <c r="R367" i="21"/>
  <c r="S367" i="21"/>
  <c r="T367" i="21"/>
  <c r="U367" i="21"/>
  <c r="V367" i="21"/>
  <c r="W367" i="21"/>
  <c r="X367" i="21"/>
  <c r="O369" i="21"/>
  <c r="P369" i="21"/>
  <c r="Q369" i="21"/>
  <c r="R369" i="21"/>
  <c r="S369" i="21"/>
  <c r="T369" i="21"/>
  <c r="U369" i="21"/>
  <c r="V369" i="21"/>
  <c r="W369" i="21"/>
  <c r="X369" i="21"/>
  <c r="O386" i="21"/>
  <c r="P386" i="21"/>
  <c r="Q386" i="21"/>
  <c r="R386" i="21"/>
  <c r="S386" i="21"/>
  <c r="T386" i="21"/>
  <c r="U386" i="21"/>
  <c r="V386" i="21"/>
  <c r="W386" i="21"/>
  <c r="X386" i="21"/>
  <c r="Y386" i="21"/>
  <c r="O377" i="21"/>
  <c r="P377" i="21"/>
  <c r="Q377" i="21"/>
  <c r="R377" i="21"/>
  <c r="S377" i="21"/>
  <c r="T377" i="21"/>
  <c r="U377" i="21"/>
  <c r="V377" i="21"/>
  <c r="W377" i="21"/>
  <c r="X377" i="21"/>
  <c r="O378" i="21"/>
  <c r="P378" i="21"/>
  <c r="Q378" i="21"/>
  <c r="R378" i="21"/>
  <c r="S378" i="21"/>
  <c r="T378" i="21"/>
  <c r="U378" i="21"/>
  <c r="V378" i="21"/>
  <c r="W378" i="21"/>
  <c r="X378" i="21"/>
  <c r="O387" i="21"/>
  <c r="P387" i="21"/>
  <c r="Q387" i="21"/>
  <c r="R387" i="21"/>
  <c r="S387" i="21"/>
  <c r="T387" i="21"/>
  <c r="U387" i="21"/>
  <c r="V387" i="21"/>
  <c r="W387" i="21"/>
  <c r="X387" i="21"/>
  <c r="Y387" i="21"/>
  <c r="O373" i="21"/>
  <c r="P373" i="21"/>
  <c r="Q373" i="21"/>
  <c r="R373" i="21"/>
  <c r="S373" i="21"/>
  <c r="T373" i="21"/>
  <c r="U373" i="21"/>
  <c r="V373" i="21"/>
  <c r="W373" i="21"/>
  <c r="X373" i="21"/>
  <c r="O388" i="21"/>
  <c r="P388" i="21"/>
  <c r="Q388" i="21"/>
  <c r="R388" i="21"/>
  <c r="S388" i="21"/>
  <c r="T388" i="21"/>
  <c r="U388" i="21"/>
  <c r="V388" i="21"/>
  <c r="W388" i="21"/>
  <c r="X388" i="21"/>
  <c r="Y388" i="21"/>
  <c r="O389" i="21"/>
  <c r="P389" i="21"/>
  <c r="Q389" i="21"/>
  <c r="R389" i="21"/>
  <c r="S389" i="21"/>
  <c r="T389" i="21"/>
  <c r="U389" i="21"/>
  <c r="V389" i="21"/>
  <c r="W389" i="21"/>
  <c r="X389" i="21"/>
  <c r="Y389" i="21"/>
  <c r="O379" i="21"/>
  <c r="P379" i="21"/>
  <c r="Q379" i="21"/>
  <c r="R379" i="21"/>
  <c r="S379" i="21"/>
  <c r="T379" i="21"/>
  <c r="U379" i="21"/>
  <c r="V379" i="21"/>
  <c r="W379" i="21"/>
  <c r="X379" i="21"/>
  <c r="Y379" i="21"/>
  <c r="O403" i="21"/>
  <c r="P403" i="21"/>
  <c r="Q403" i="21"/>
  <c r="R403" i="21"/>
  <c r="S403" i="21"/>
  <c r="T403" i="21"/>
  <c r="U403" i="21"/>
  <c r="V403" i="21"/>
  <c r="W403" i="21"/>
  <c r="X403" i="21"/>
  <c r="O405" i="21"/>
  <c r="P405" i="21"/>
  <c r="Q405" i="21"/>
  <c r="R405" i="21"/>
  <c r="S405" i="21"/>
  <c r="T405" i="21"/>
  <c r="U405" i="21"/>
  <c r="V405" i="21"/>
  <c r="W405" i="21"/>
  <c r="X405" i="21"/>
  <c r="O412" i="21"/>
  <c r="P412" i="21"/>
  <c r="Q412" i="21"/>
  <c r="R412" i="21"/>
  <c r="S412" i="21"/>
  <c r="T412" i="21"/>
  <c r="U412" i="21"/>
  <c r="V412" i="21"/>
  <c r="W412" i="21"/>
  <c r="X412" i="21"/>
  <c r="Y412" i="21"/>
  <c r="O395" i="21"/>
  <c r="P395" i="21"/>
  <c r="Q395" i="21"/>
  <c r="R395" i="21"/>
  <c r="S395" i="21"/>
  <c r="T395" i="21"/>
  <c r="U395" i="21"/>
  <c r="V395" i="21"/>
  <c r="W395" i="21"/>
  <c r="X395" i="21"/>
  <c r="O400" i="21"/>
  <c r="P400" i="21"/>
  <c r="Q400" i="21"/>
  <c r="R400" i="21"/>
  <c r="S400" i="21"/>
  <c r="T400" i="21"/>
  <c r="U400" i="21"/>
  <c r="V400" i="21"/>
  <c r="W400" i="21"/>
  <c r="X400" i="21"/>
  <c r="O418" i="21"/>
  <c r="P418" i="21"/>
  <c r="Q418" i="21"/>
  <c r="R418" i="21"/>
  <c r="S418" i="21"/>
  <c r="T418" i="21"/>
  <c r="U418" i="21"/>
  <c r="V418" i="21"/>
  <c r="W418" i="21"/>
  <c r="X418" i="21"/>
  <c r="Y418" i="21"/>
  <c r="O433" i="21"/>
  <c r="P433" i="21"/>
  <c r="Q433" i="21"/>
  <c r="R433" i="21"/>
  <c r="S433" i="21"/>
  <c r="T433" i="21"/>
  <c r="U433" i="21"/>
  <c r="V433" i="21"/>
  <c r="W433" i="21"/>
  <c r="X433" i="21"/>
  <c r="Y433" i="21"/>
  <c r="O421" i="21"/>
  <c r="P421" i="21"/>
  <c r="Q421" i="21"/>
  <c r="R421" i="21"/>
  <c r="S421" i="21"/>
  <c r="T421" i="21"/>
  <c r="U421" i="21"/>
  <c r="V421" i="21"/>
  <c r="W421" i="21"/>
  <c r="X421" i="21"/>
  <c r="Y421" i="21"/>
  <c r="O422" i="21"/>
  <c r="P422" i="21"/>
  <c r="Q422" i="21"/>
  <c r="R422" i="21"/>
  <c r="S422" i="21"/>
  <c r="T422" i="21"/>
  <c r="U422" i="21"/>
  <c r="V422" i="21"/>
  <c r="W422" i="21"/>
  <c r="X422" i="21"/>
  <c r="Y422" i="21"/>
  <c r="O428" i="21"/>
  <c r="P428" i="21"/>
  <c r="Q428" i="21"/>
  <c r="R428" i="21"/>
  <c r="S428" i="21"/>
  <c r="T428" i="21"/>
  <c r="U428" i="21"/>
  <c r="V428" i="21"/>
  <c r="W428" i="21"/>
  <c r="X428" i="21"/>
  <c r="Y428" i="21"/>
  <c r="O441" i="21"/>
  <c r="P441" i="21"/>
  <c r="Q441" i="21"/>
  <c r="R441" i="21"/>
  <c r="S441" i="21"/>
  <c r="T441" i="21"/>
  <c r="U441" i="21"/>
  <c r="V441" i="21"/>
  <c r="W441" i="21"/>
  <c r="X441" i="21"/>
  <c r="Y441" i="21"/>
  <c r="O430" i="21"/>
  <c r="P430" i="21"/>
  <c r="Q430" i="21"/>
  <c r="R430" i="21"/>
  <c r="S430" i="21"/>
  <c r="T430" i="21"/>
  <c r="U430" i="21"/>
  <c r="V430" i="21"/>
  <c r="W430" i="21"/>
  <c r="X430" i="21"/>
  <c r="Y430" i="21"/>
  <c r="O453" i="21"/>
  <c r="P453" i="21"/>
  <c r="Q453" i="21"/>
  <c r="R453" i="21"/>
  <c r="S453" i="21"/>
  <c r="T453" i="21"/>
  <c r="U453" i="21"/>
  <c r="V453" i="21"/>
  <c r="W453" i="21"/>
  <c r="X453" i="21"/>
  <c r="Y453" i="21"/>
  <c r="O462" i="21"/>
  <c r="P462" i="21"/>
  <c r="Q462" i="21"/>
  <c r="R462" i="21"/>
  <c r="S462" i="21"/>
  <c r="T462" i="21"/>
  <c r="U462" i="21"/>
  <c r="V462" i="21"/>
  <c r="W462" i="21"/>
  <c r="X462" i="21"/>
  <c r="Y462" i="21"/>
  <c r="O464" i="21"/>
  <c r="P464" i="21"/>
  <c r="Q464" i="21"/>
  <c r="R464" i="21"/>
  <c r="S464" i="21"/>
  <c r="T464" i="21"/>
  <c r="U464" i="21"/>
  <c r="V464" i="21"/>
  <c r="W464" i="21"/>
  <c r="X464" i="21"/>
  <c r="Y464" i="21"/>
  <c r="O448" i="21"/>
  <c r="P448" i="21"/>
  <c r="Q448" i="21"/>
  <c r="R448" i="21"/>
  <c r="S448" i="21"/>
  <c r="T448" i="21"/>
  <c r="U448" i="21"/>
  <c r="V448" i="21"/>
  <c r="W448" i="21"/>
  <c r="X448" i="21"/>
  <c r="Y448" i="21"/>
  <c r="O449" i="21"/>
  <c r="P449" i="21"/>
  <c r="Q449" i="21"/>
  <c r="R449" i="21"/>
  <c r="S449" i="21"/>
  <c r="T449" i="21"/>
  <c r="U449" i="21"/>
  <c r="V449" i="21"/>
  <c r="W449" i="21"/>
  <c r="X449" i="21"/>
  <c r="Y449" i="21"/>
  <c r="O450" i="21"/>
  <c r="P450" i="21"/>
  <c r="Q450" i="21"/>
  <c r="R450" i="21"/>
  <c r="S450" i="21"/>
  <c r="T450" i="21"/>
  <c r="U450" i="21"/>
  <c r="V450" i="21"/>
  <c r="W450" i="21"/>
  <c r="X450" i="21"/>
  <c r="Y450" i="21"/>
  <c r="O465" i="21"/>
  <c r="P465" i="21"/>
  <c r="Q465" i="21"/>
  <c r="R465" i="21"/>
  <c r="S465" i="21"/>
  <c r="T465" i="21"/>
  <c r="U465" i="21"/>
  <c r="V465" i="21"/>
  <c r="W465" i="21"/>
  <c r="X465" i="21"/>
  <c r="Y465" i="21"/>
  <c r="O457" i="21"/>
  <c r="P457" i="21"/>
  <c r="Q457" i="21"/>
  <c r="R457" i="21"/>
  <c r="S457" i="21"/>
  <c r="T457" i="21"/>
  <c r="U457" i="21"/>
  <c r="V457" i="21"/>
  <c r="W457" i="21"/>
  <c r="X457" i="21"/>
  <c r="Y457" i="21"/>
  <c r="O466" i="21"/>
  <c r="P466" i="21"/>
  <c r="Q466" i="21"/>
  <c r="R466" i="21"/>
  <c r="S466" i="21"/>
  <c r="T466" i="21"/>
  <c r="U466" i="21"/>
  <c r="V466" i="21"/>
  <c r="W466" i="21"/>
  <c r="X466" i="21"/>
  <c r="Y466" i="21"/>
  <c r="O460" i="21"/>
  <c r="P460" i="21"/>
  <c r="Q460" i="21"/>
  <c r="R460" i="21"/>
  <c r="S460" i="21"/>
  <c r="T460" i="21"/>
  <c r="U460" i="21"/>
  <c r="V460" i="21"/>
  <c r="W460" i="21"/>
  <c r="X460" i="21"/>
  <c r="Y460" i="21"/>
  <c r="O467" i="21"/>
  <c r="P467" i="21"/>
  <c r="Q467" i="21"/>
  <c r="R467" i="21"/>
  <c r="S467" i="21"/>
  <c r="T467" i="21"/>
  <c r="U467" i="21"/>
  <c r="V467" i="21"/>
  <c r="W467" i="21"/>
  <c r="X467" i="21"/>
  <c r="Y467" i="21"/>
  <c r="O486" i="21"/>
  <c r="P486" i="21"/>
  <c r="Q486" i="21"/>
  <c r="R486" i="21"/>
  <c r="S486" i="21"/>
  <c r="T486" i="21"/>
  <c r="U486" i="21"/>
  <c r="V486" i="21"/>
  <c r="W486" i="21"/>
  <c r="X486" i="21"/>
  <c r="Y486" i="21"/>
  <c r="O488" i="21"/>
  <c r="P488" i="21"/>
  <c r="Q488" i="21"/>
  <c r="R488" i="21"/>
  <c r="S488" i="21"/>
  <c r="T488" i="21"/>
  <c r="U488" i="21"/>
  <c r="V488" i="21"/>
  <c r="W488" i="21"/>
  <c r="X488" i="21"/>
  <c r="Y488" i="21"/>
  <c r="O482" i="21"/>
  <c r="P482" i="21"/>
  <c r="Q482" i="21"/>
  <c r="R482" i="21"/>
  <c r="S482" i="21"/>
  <c r="T482" i="21"/>
  <c r="U482" i="21"/>
  <c r="V482" i="21"/>
  <c r="W482" i="21"/>
  <c r="X482" i="21"/>
  <c r="Y482" i="21"/>
  <c r="O489" i="21"/>
  <c r="P489" i="21"/>
  <c r="Q489" i="21"/>
  <c r="R489" i="21"/>
  <c r="S489" i="21"/>
  <c r="T489" i="21"/>
  <c r="U489" i="21"/>
  <c r="V489" i="21"/>
  <c r="W489" i="21"/>
  <c r="X489" i="21"/>
  <c r="Y489" i="21"/>
  <c r="O468" i="21"/>
  <c r="P468" i="21"/>
  <c r="Q468" i="21"/>
  <c r="R468" i="21"/>
  <c r="S468" i="21"/>
  <c r="T468" i="21"/>
  <c r="U468" i="21"/>
  <c r="V468" i="21"/>
  <c r="W468" i="21"/>
  <c r="X468" i="21"/>
  <c r="Y468" i="21"/>
  <c r="O479" i="21"/>
  <c r="P479" i="21"/>
  <c r="Q479" i="21"/>
  <c r="R479" i="21"/>
  <c r="S479" i="21"/>
  <c r="T479" i="21"/>
  <c r="U479" i="21"/>
  <c r="V479" i="21"/>
  <c r="W479" i="21"/>
  <c r="X479" i="21"/>
  <c r="Y479" i="21"/>
  <c r="O491" i="21"/>
  <c r="P491" i="21"/>
  <c r="Q491" i="21"/>
  <c r="R491" i="21"/>
  <c r="S491" i="21"/>
  <c r="T491" i="21"/>
  <c r="U491" i="21"/>
  <c r="V491" i="21"/>
  <c r="W491" i="21"/>
  <c r="X491" i="21"/>
  <c r="Y491" i="21"/>
  <c r="O492" i="21"/>
  <c r="P492" i="21"/>
  <c r="Q492" i="21"/>
  <c r="R492" i="21"/>
  <c r="S492" i="21"/>
  <c r="T492" i="21"/>
  <c r="U492" i="21"/>
  <c r="V492" i="21"/>
  <c r="W492" i="21"/>
  <c r="X492" i="21"/>
  <c r="Y492" i="21"/>
  <c r="O480" i="21"/>
  <c r="P480" i="21"/>
  <c r="Q480" i="21"/>
  <c r="R480" i="21"/>
  <c r="S480" i="21"/>
  <c r="T480" i="21"/>
  <c r="U480" i="21"/>
  <c r="V480" i="21"/>
  <c r="W480" i="21"/>
  <c r="X480" i="21"/>
  <c r="O473" i="21"/>
  <c r="P473" i="21"/>
  <c r="Q473" i="21"/>
  <c r="R473" i="21"/>
  <c r="S473" i="21"/>
  <c r="T473" i="21"/>
  <c r="U473" i="21"/>
  <c r="V473" i="21"/>
  <c r="W473" i="21"/>
  <c r="X473" i="21"/>
  <c r="Y473" i="21"/>
  <c r="O485" i="21"/>
  <c r="P485" i="21"/>
  <c r="Q485" i="21"/>
  <c r="R485" i="21"/>
  <c r="S485" i="21"/>
  <c r="T485" i="21"/>
  <c r="U485" i="21"/>
  <c r="V485" i="21"/>
  <c r="W485" i="21"/>
  <c r="X485" i="21"/>
  <c r="Y485" i="21"/>
  <c r="O498" i="21"/>
  <c r="P498" i="21"/>
  <c r="Q498" i="21"/>
  <c r="R498" i="21"/>
  <c r="S498" i="21"/>
  <c r="T498" i="21"/>
  <c r="U498" i="21"/>
  <c r="V498" i="21"/>
  <c r="W498" i="21"/>
  <c r="X498" i="21"/>
  <c r="Y498" i="21"/>
  <c r="O499" i="21"/>
  <c r="P499" i="21"/>
  <c r="Q499" i="21"/>
  <c r="R499" i="21"/>
  <c r="S499" i="21"/>
  <c r="T499" i="21"/>
  <c r="U499" i="21"/>
  <c r="V499" i="21"/>
  <c r="W499" i="21"/>
  <c r="X499" i="21"/>
  <c r="Y499" i="21"/>
  <c r="O506" i="21"/>
  <c r="P506" i="21"/>
  <c r="Q506" i="21"/>
  <c r="R506" i="21"/>
  <c r="S506" i="21"/>
  <c r="T506" i="21"/>
  <c r="U506" i="21"/>
  <c r="V506" i="21"/>
  <c r="W506" i="21"/>
  <c r="X506" i="21"/>
  <c r="Y506" i="21"/>
  <c r="O503" i="21"/>
  <c r="P503" i="21"/>
  <c r="Q503" i="21"/>
  <c r="R503" i="21"/>
  <c r="S503" i="21"/>
  <c r="T503" i="21"/>
  <c r="U503" i="21"/>
  <c r="V503" i="21"/>
  <c r="W503" i="21"/>
  <c r="X503" i="21"/>
  <c r="Y503" i="21"/>
  <c r="O514" i="21"/>
  <c r="P514" i="21"/>
  <c r="Q514" i="21"/>
  <c r="R514" i="21"/>
  <c r="S514" i="21"/>
  <c r="T514" i="21"/>
  <c r="U514" i="21"/>
  <c r="V514" i="21"/>
  <c r="W514" i="21"/>
  <c r="X514" i="21"/>
  <c r="Y514" i="21"/>
  <c r="O507" i="21"/>
  <c r="P507" i="21"/>
  <c r="Q507" i="21"/>
  <c r="R507" i="21"/>
  <c r="S507" i="21"/>
  <c r="T507" i="21"/>
  <c r="U507" i="21"/>
  <c r="V507" i="21"/>
  <c r="W507" i="21"/>
  <c r="X507" i="21"/>
  <c r="Y507" i="21"/>
  <c r="O515" i="21"/>
  <c r="P515" i="21"/>
  <c r="Q515" i="21"/>
  <c r="R515" i="21"/>
  <c r="S515" i="21"/>
  <c r="T515" i="21"/>
  <c r="U515" i="21"/>
  <c r="V515" i="21"/>
  <c r="W515" i="21"/>
  <c r="X515" i="21"/>
  <c r="Y515" i="21"/>
  <c r="O516" i="21"/>
  <c r="P516" i="21"/>
  <c r="Q516" i="21"/>
  <c r="R516" i="21"/>
  <c r="S516" i="21"/>
  <c r="T516" i="21"/>
  <c r="U516" i="21"/>
  <c r="V516" i="21"/>
  <c r="W516" i="21"/>
  <c r="X516" i="21"/>
  <c r="Y516" i="21"/>
  <c r="O504" i="21"/>
  <c r="P504" i="21"/>
  <c r="Q504" i="21"/>
  <c r="R504" i="21"/>
  <c r="S504" i="21"/>
  <c r="T504" i="21"/>
  <c r="U504" i="21"/>
  <c r="V504" i="21"/>
  <c r="W504" i="21"/>
  <c r="X504" i="21"/>
  <c r="Y504" i="21"/>
  <c r="O518" i="21"/>
  <c r="P518" i="21"/>
  <c r="Q518" i="21"/>
  <c r="R518" i="21"/>
  <c r="S518" i="21"/>
  <c r="T518" i="21"/>
  <c r="U518" i="21"/>
  <c r="V518" i="21"/>
  <c r="W518" i="21"/>
  <c r="X518" i="21"/>
  <c r="Y518" i="21"/>
  <c r="O494" i="21"/>
  <c r="P494" i="21"/>
  <c r="Q494" i="21"/>
  <c r="R494" i="21"/>
  <c r="S494" i="21"/>
  <c r="T494" i="21"/>
  <c r="U494" i="21"/>
  <c r="V494" i="21"/>
  <c r="W494" i="21"/>
  <c r="X494" i="21"/>
  <c r="X54" i="21"/>
  <c r="W54" i="21"/>
  <c r="V54" i="21"/>
  <c r="U54" i="21"/>
  <c r="T54" i="21"/>
  <c r="S54" i="21"/>
  <c r="R54" i="21"/>
  <c r="Q54" i="21"/>
  <c r="P54" i="21"/>
  <c r="O54" i="21"/>
  <c r="N52" i="21"/>
  <c r="N522" i="21"/>
  <c r="N321" i="21"/>
  <c r="N533" i="21"/>
  <c r="N327" i="21"/>
  <c r="N431" i="21"/>
  <c r="N529" i="21"/>
  <c r="N429" i="21"/>
  <c r="N525" i="21"/>
  <c r="N383" i="21"/>
  <c r="N532" i="21"/>
  <c r="N427" i="21"/>
  <c r="N382" i="21"/>
  <c r="N530" i="21"/>
  <c r="N275" i="21"/>
  <c r="N402" i="21"/>
  <c r="N53" i="21"/>
  <c r="N172" i="21"/>
  <c r="N531" i="21"/>
  <c r="N325" i="21"/>
  <c r="N524" i="21"/>
  <c r="N526" i="21"/>
  <c r="N528" i="21"/>
  <c r="N198" i="21"/>
  <c r="N208" i="21"/>
  <c r="N51" i="21"/>
  <c r="N381" i="21"/>
  <c r="N527" i="21"/>
  <c r="N523" i="21"/>
  <c r="N80" i="21"/>
  <c r="N20" i="21"/>
  <c r="F12" i="17" l="1" a="1"/>
  <c r="F12" i="17" s="1"/>
  <c r="G12" i="17" s="1"/>
  <c r="F14" i="17" a="1"/>
  <c r="F14" i="17" s="1"/>
  <c r="G14" i="17" s="1"/>
  <c r="I12" i="17" a="1"/>
  <c r="I12" i="17" s="1"/>
  <c r="H12" i="17" s="1"/>
  <c r="F15" i="17" a="1"/>
  <c r="F15" i="17" s="1"/>
  <c r="G15" i="17" s="1"/>
  <c r="F11" i="17" a="1"/>
  <c r="F11" i="17" s="1"/>
  <c r="G11" i="17" s="1"/>
  <c r="F13" i="17" a="1"/>
  <c r="F13" i="17" s="1"/>
  <c r="G13" i="17" s="1"/>
  <c r="I15" i="17" a="1"/>
  <c r="I15" i="17" s="1"/>
  <c r="H15" i="17" s="1"/>
  <c r="I13" i="17" a="1"/>
  <c r="I13" i="17" s="1"/>
  <c r="H13" i="17" s="1"/>
  <c r="I14" i="17" a="1"/>
  <c r="I14" i="17" s="1"/>
  <c r="H14" i="17" s="1"/>
  <c r="I11" i="17" a="1"/>
  <c r="I11" i="17" s="1"/>
  <c r="H11" i="17" s="1"/>
  <c r="Y521" i="21"/>
  <c r="Y496" i="21"/>
  <c r="AD5" i="21" a="1"/>
  <c r="AD5" i="21" s="1"/>
  <c r="AG5" i="21" a="1"/>
  <c r="AG5" i="21" s="1"/>
  <c r="AL5" i="21" a="1"/>
  <c r="AL5" i="21" s="1"/>
  <c r="AO5" i="21" a="1"/>
  <c r="AO5" i="21" s="1"/>
  <c r="AT5" i="21" a="1"/>
  <c r="AT5" i="21" s="1"/>
  <c r="AW5" i="21" a="1"/>
  <c r="AW5" i="21" s="1"/>
  <c r="BB5" i="21" a="1"/>
  <c r="BB5" i="21" s="1"/>
  <c r="BE5" i="21" a="1"/>
  <c r="BE5" i="21" s="1"/>
  <c r="BJ5" i="21" a="1"/>
  <c r="BJ5" i="21" s="1"/>
  <c r="AA5" i="21" a="1"/>
  <c r="AA5" i="21" s="1"/>
  <c r="AC8" i="21" a="1"/>
  <c r="AC8" i="21" s="1"/>
  <c r="AC14" i="21" a="1"/>
  <c r="AC14" i="21" s="1"/>
  <c r="AC19" i="21" a="1"/>
  <c r="AC19" i="21" s="1"/>
  <c r="AC25" i="21" a="1"/>
  <c r="AC25" i="21" s="1"/>
  <c r="AC28" i="21" a="1"/>
  <c r="AC28" i="21" s="1"/>
  <c r="AC31" i="21" a="1"/>
  <c r="AC31" i="21" s="1"/>
  <c r="AC34" i="21" a="1"/>
  <c r="AC34" i="21" s="1"/>
  <c r="AC37" i="21" a="1"/>
  <c r="AC37" i="21" s="1"/>
  <c r="AC40" i="21" a="1"/>
  <c r="AC40" i="21" s="1"/>
  <c r="AC46" i="21" a="1"/>
  <c r="AC46" i="21" s="1"/>
  <c r="AC51" i="21" a="1"/>
  <c r="AC51" i="21" s="1"/>
  <c r="AC57" i="21" a="1"/>
  <c r="AC57" i="21" s="1"/>
  <c r="AC60" i="21" a="1"/>
  <c r="AC60" i="21" s="1"/>
  <c r="AC63" i="21" a="1"/>
  <c r="AC63" i="21" s="1"/>
  <c r="AC66" i="21" a="1"/>
  <c r="AC66" i="21" s="1"/>
  <c r="AC70" i="21" a="1"/>
  <c r="AC70" i="21" s="1"/>
  <c r="AC76" i="21" a="1"/>
  <c r="AC76" i="21" s="1"/>
  <c r="AC79" i="21" a="1"/>
  <c r="AC79" i="21" s="1"/>
  <c r="AC82" i="21" a="1"/>
  <c r="AC82" i="21" s="1"/>
  <c r="AC86" i="21" a="1"/>
  <c r="AC86" i="21" s="1"/>
  <c r="AC92" i="21" a="1"/>
  <c r="AC92" i="21" s="1"/>
  <c r="AC95" i="21" a="1"/>
  <c r="AC95" i="21" s="1"/>
  <c r="AC98" i="21" a="1"/>
  <c r="AC98" i="21" s="1"/>
  <c r="AC102" i="21" a="1"/>
  <c r="AC102" i="21" s="1"/>
  <c r="AC108" i="21" a="1"/>
  <c r="AC108" i="21" s="1"/>
  <c r="AC111" i="21" a="1"/>
  <c r="AC111" i="21" s="1"/>
  <c r="AC114" i="21" a="1"/>
  <c r="AC114" i="21" s="1"/>
  <c r="AC118" i="21" a="1"/>
  <c r="AC118" i="21" s="1"/>
  <c r="AC124" i="21" a="1"/>
  <c r="AC124" i="21" s="1"/>
  <c r="AC127" i="21" a="1"/>
  <c r="AC127" i="21" s="1"/>
  <c r="AC130" i="21" a="1"/>
  <c r="AC130" i="21" s="1"/>
  <c r="AC134" i="21" a="1"/>
  <c r="AC134" i="21" s="1"/>
  <c r="AC140" i="21" a="1"/>
  <c r="AC140" i="21" s="1"/>
  <c r="AC143" i="21" a="1"/>
  <c r="AC143" i="21" s="1"/>
  <c r="AC146" i="21" a="1"/>
  <c r="AC146" i="21" s="1"/>
  <c r="AC150" i="21" a="1"/>
  <c r="AC150" i="21" s="1"/>
  <c r="AC156" i="21" a="1"/>
  <c r="AC156" i="21" s="1"/>
  <c r="AC159" i="21" a="1"/>
  <c r="AC159" i="21" s="1"/>
  <c r="AC162" i="21" a="1"/>
  <c r="AC162" i="21" s="1"/>
  <c r="AC166" i="21" a="1"/>
  <c r="AC166" i="21" s="1"/>
  <c r="AC172" i="21" a="1"/>
  <c r="AC172" i="21" s="1"/>
  <c r="AC175" i="21" a="1"/>
  <c r="AC175" i="21" s="1"/>
  <c r="AC178" i="21" a="1"/>
  <c r="AC178" i="21" s="1"/>
  <c r="AE5" i="21" a="1"/>
  <c r="AE5" i="21" s="1"/>
  <c r="AJ5" i="21" a="1"/>
  <c r="AJ5" i="21" s="1"/>
  <c r="AM5" i="21" a="1"/>
  <c r="AM5" i="21" s="1"/>
  <c r="AR5" i="21" a="1"/>
  <c r="AR5" i="21" s="1"/>
  <c r="AU5" i="21" a="1"/>
  <c r="AU5" i="21" s="1"/>
  <c r="AZ5" i="21" a="1"/>
  <c r="AZ5" i="21" s="1"/>
  <c r="BC5" i="21" a="1"/>
  <c r="BC5" i="21" s="1"/>
  <c r="BH5" i="21" a="1"/>
  <c r="BH5" i="21" s="1"/>
  <c r="BK5" i="21" a="1"/>
  <c r="BK5" i="21" s="1"/>
  <c r="AC6" i="21" a="1"/>
  <c r="AC6" i="21" s="1"/>
  <c r="AC11" i="21" a="1"/>
  <c r="AC11" i="21" s="1"/>
  <c r="AC17" i="21" a="1"/>
  <c r="AC17" i="21" s="1"/>
  <c r="AC20" i="21" a="1"/>
  <c r="AC20" i="21" s="1"/>
  <c r="AC23" i="21" a="1"/>
  <c r="AC23" i="21" s="1"/>
  <c r="AC26" i="21" a="1"/>
  <c r="AC26" i="21" s="1"/>
  <c r="AC29" i="21" a="1"/>
  <c r="AC29" i="21" s="1"/>
  <c r="AC32" i="21" a="1"/>
  <c r="AC32" i="21" s="1"/>
  <c r="AC38" i="21" a="1"/>
  <c r="AC38" i="21" s="1"/>
  <c r="AC43" i="21" a="1"/>
  <c r="AC43" i="21" s="1"/>
  <c r="AC49" i="21" a="1"/>
  <c r="AC49" i="21" s="1"/>
  <c r="AC52" i="21" a="1"/>
  <c r="AC52" i="21" s="1"/>
  <c r="AC55" i="21" a="1"/>
  <c r="AC55" i="21" s="1"/>
  <c r="AC58" i="21" a="1"/>
  <c r="AC58" i="21" s="1"/>
  <c r="AC61" i="21" a="1"/>
  <c r="AC61" i="21" s="1"/>
  <c r="AC64" i="21" a="1"/>
  <c r="AC64" i="21" s="1"/>
  <c r="AC67" i="21" a="1"/>
  <c r="AC67" i="21" s="1"/>
  <c r="AC73" i="21" a="1"/>
  <c r="AC73" i="21" s="1"/>
  <c r="AC77" i="21" a="1"/>
  <c r="AC77" i="21" s="1"/>
  <c r="AC80" i="21" a="1"/>
  <c r="AC80" i="21" s="1"/>
  <c r="AC83" i="21" a="1"/>
  <c r="AC83" i="21" s="1"/>
  <c r="AC89" i="21" a="1"/>
  <c r="AC89" i="21" s="1"/>
  <c r="AC93" i="21" a="1"/>
  <c r="AC93" i="21" s="1"/>
  <c r="AC96" i="21" a="1"/>
  <c r="AC96" i="21" s="1"/>
  <c r="AC99" i="21" a="1"/>
  <c r="AC99" i="21" s="1"/>
  <c r="AC105" i="21" a="1"/>
  <c r="AC105" i="21" s="1"/>
  <c r="AC109" i="21" a="1"/>
  <c r="AC109" i="21" s="1"/>
  <c r="AC112" i="21" a="1"/>
  <c r="AC112" i="21" s="1"/>
  <c r="AC115" i="21" a="1"/>
  <c r="AC115" i="21" s="1"/>
  <c r="AC121" i="21" a="1"/>
  <c r="AC121" i="21" s="1"/>
  <c r="AC125" i="21" a="1"/>
  <c r="AC125" i="21" s="1"/>
  <c r="AC128" i="21" a="1"/>
  <c r="AC128" i="21" s="1"/>
  <c r="AC131" i="21" a="1"/>
  <c r="AC131" i="21" s="1"/>
  <c r="AC137" i="21" a="1"/>
  <c r="AC137" i="21" s="1"/>
  <c r="AC141" i="21" a="1"/>
  <c r="AC141" i="21" s="1"/>
  <c r="AC144" i="21" a="1"/>
  <c r="AC144" i="21" s="1"/>
  <c r="AC147" i="21" a="1"/>
  <c r="AC147" i="21" s="1"/>
  <c r="AC153" i="21" a="1"/>
  <c r="AC153" i="21" s="1"/>
  <c r="AC157" i="21" a="1"/>
  <c r="AC157" i="21" s="1"/>
  <c r="AC160" i="21" a="1"/>
  <c r="AC160" i="21" s="1"/>
  <c r="AC163" i="21" a="1"/>
  <c r="AC163" i="21" s="1"/>
  <c r="AC169" i="21" a="1"/>
  <c r="AC169" i="21" s="1"/>
  <c r="AC173" i="21" a="1"/>
  <c r="AC173" i="21" s="1"/>
  <c r="AC176" i="21" a="1"/>
  <c r="AC176" i="21" s="1"/>
  <c r="AC179" i="21" a="1"/>
  <c r="AC179" i="21" s="1"/>
  <c r="AC185" i="21" a="1"/>
  <c r="AC185" i="21" s="1"/>
  <c r="AC189" i="21" a="1"/>
  <c r="AC189" i="21" s="1"/>
  <c r="AC192" i="21" a="1"/>
  <c r="AC192" i="21" s="1"/>
  <c r="AC195" i="21" a="1"/>
  <c r="AC195" i="21" s="1"/>
  <c r="AC201" i="21" a="1"/>
  <c r="AC201" i="21" s="1"/>
  <c r="AC205" i="21" a="1"/>
  <c r="AC205" i="21" s="1"/>
  <c r="AC208" i="21" a="1"/>
  <c r="AC208" i="21" s="1"/>
  <c r="AC211" i="21" a="1"/>
  <c r="AC211" i="21" s="1"/>
  <c r="AH5" i="21" a="1"/>
  <c r="AH5" i="21" s="1"/>
  <c r="AK5" i="21" a="1"/>
  <c r="AK5" i="21" s="1"/>
  <c r="AP5" i="21" a="1"/>
  <c r="AP5" i="21" s="1"/>
  <c r="AS5" i="21" a="1"/>
  <c r="AS5" i="21" s="1"/>
  <c r="AX5" i="21" a="1"/>
  <c r="AX5" i="21" s="1"/>
  <c r="BA5" i="21" a="1"/>
  <c r="BA5" i="21" s="1"/>
  <c r="BF5" i="21" a="1"/>
  <c r="BF5" i="21" s="1"/>
  <c r="BI5" i="21" a="1"/>
  <c r="BI5" i="21" s="1"/>
  <c r="AB5" i="21" a="1"/>
  <c r="AB5" i="21" s="1"/>
  <c r="AC9" i="21" a="1"/>
  <c r="AC9" i="21" s="1"/>
  <c r="AC12" i="21" a="1"/>
  <c r="AC12" i="21" s="1"/>
  <c r="AC15" i="21" a="1"/>
  <c r="AC15" i="21" s="1"/>
  <c r="AC18" i="21" a="1"/>
  <c r="AC18" i="21" s="1"/>
  <c r="AC21" i="21" a="1"/>
  <c r="AC21" i="21" s="1"/>
  <c r="AC24" i="21" a="1"/>
  <c r="AC24" i="21" s="1"/>
  <c r="AC30" i="21" a="1"/>
  <c r="AC30" i="21" s="1"/>
  <c r="AC35" i="21" a="1"/>
  <c r="AC35" i="21" s="1"/>
  <c r="AC41" i="21" a="1"/>
  <c r="AC41" i="21" s="1"/>
  <c r="AC44" i="21" a="1"/>
  <c r="AC44" i="21" s="1"/>
  <c r="AC47" i="21" a="1"/>
  <c r="AC47" i="21" s="1"/>
  <c r="AC50" i="21" a="1"/>
  <c r="AC50" i="21" s="1"/>
  <c r="AC53" i="21" a="1"/>
  <c r="AC53" i="21" s="1"/>
  <c r="AC56" i="21" a="1"/>
  <c r="AC56" i="21" s="1"/>
  <c r="AC62" i="21" a="1"/>
  <c r="AC62" i="21" s="1"/>
  <c r="AC68" i="21" a="1"/>
  <c r="AC68" i="21" s="1"/>
  <c r="AC71" i="21" a="1"/>
  <c r="AC71" i="21" s="1"/>
  <c r="AC74" i="21" a="1"/>
  <c r="AC74" i="21" s="1"/>
  <c r="AC78" i="21" a="1"/>
  <c r="AC78" i="21" s="1"/>
  <c r="AC84" i="21" a="1"/>
  <c r="AC84" i="21" s="1"/>
  <c r="AC87" i="21" a="1"/>
  <c r="AC87" i="21" s="1"/>
  <c r="AC90" i="21" a="1"/>
  <c r="AC90" i="21" s="1"/>
  <c r="AC94" i="21" a="1"/>
  <c r="AC94" i="21" s="1"/>
  <c r="AC100" i="21" a="1"/>
  <c r="AC100" i="21" s="1"/>
  <c r="AC103" i="21" a="1"/>
  <c r="AC103" i="21" s="1"/>
  <c r="AC106" i="21" a="1"/>
  <c r="AC106" i="21" s="1"/>
  <c r="AC110" i="21" a="1"/>
  <c r="AC110" i="21" s="1"/>
  <c r="AC116" i="21" a="1"/>
  <c r="AC116" i="21" s="1"/>
  <c r="AC119" i="21" a="1"/>
  <c r="AC119" i="21" s="1"/>
  <c r="AC122" i="21" a="1"/>
  <c r="AC122" i="21" s="1"/>
  <c r="AC126" i="21" a="1"/>
  <c r="AC126" i="21" s="1"/>
  <c r="AC132" i="21" a="1"/>
  <c r="AC132" i="21" s="1"/>
  <c r="AC135" i="21" a="1"/>
  <c r="AC135" i="21" s="1"/>
  <c r="AC138" i="21" a="1"/>
  <c r="AC138" i="21" s="1"/>
  <c r="AC142" i="21" a="1"/>
  <c r="AC142" i="21" s="1"/>
  <c r="AC148" i="21" a="1"/>
  <c r="AC148" i="21" s="1"/>
  <c r="AC151" i="21" a="1"/>
  <c r="AC151" i="21" s="1"/>
  <c r="AC154" i="21" a="1"/>
  <c r="AC154" i="21" s="1"/>
  <c r="AC158" i="21" a="1"/>
  <c r="AC158" i="21" s="1"/>
  <c r="AC164" i="21" a="1"/>
  <c r="AC164" i="21" s="1"/>
  <c r="AC167" i="21" a="1"/>
  <c r="AC167" i="21" s="1"/>
  <c r="AC170" i="21" a="1"/>
  <c r="AC170" i="21" s="1"/>
  <c r="AC174" i="21" a="1"/>
  <c r="AC174" i="21" s="1"/>
  <c r="AC180" i="21" a="1"/>
  <c r="AC180" i="21" s="1"/>
  <c r="AC183" i="21" a="1"/>
  <c r="AC183" i="21" s="1"/>
  <c r="AC186" i="21" a="1"/>
  <c r="AC186" i="21" s="1"/>
  <c r="AC190" i="21" a="1"/>
  <c r="AC190" i="21" s="1"/>
  <c r="AC196" i="21" a="1"/>
  <c r="AC196" i="21" s="1"/>
  <c r="AC199" i="21" a="1"/>
  <c r="AC199" i="21" s="1"/>
  <c r="AC202" i="21" a="1"/>
  <c r="AC202" i="21" s="1"/>
  <c r="AC206" i="21" a="1"/>
  <c r="AC206" i="21" s="1"/>
  <c r="AC212" i="21" a="1"/>
  <c r="AC212" i="21" s="1"/>
  <c r="AC215" i="21" a="1"/>
  <c r="AC215" i="21" s="1"/>
  <c r="AC218" i="21" a="1"/>
  <c r="AC218" i="21" s="1"/>
  <c r="AC222" i="21" a="1"/>
  <c r="AC222" i="21" s="1"/>
  <c r="AC541" i="21" a="1"/>
  <c r="AC541" i="21" s="1"/>
  <c r="AN5" i="21" a="1"/>
  <c r="AN5" i="21" s="1"/>
  <c r="AY5" i="21" a="1"/>
  <c r="AY5" i="21" s="1"/>
  <c r="AC10" i="21" a="1"/>
  <c r="AC10" i="21" s="1"/>
  <c r="AC22" i="21" a="1"/>
  <c r="AC22" i="21" s="1"/>
  <c r="AC33" i="21" a="1"/>
  <c r="AC33" i="21" s="1"/>
  <c r="AC45" i="21" a="1"/>
  <c r="AC45" i="21" s="1"/>
  <c r="AC69" i="21" a="1"/>
  <c r="AC69" i="21" s="1"/>
  <c r="AC81" i="21" a="1"/>
  <c r="AC81" i="21" s="1"/>
  <c r="AC107" i="21" a="1"/>
  <c r="AC107" i="21" s="1"/>
  <c r="AC120" i="21" a="1"/>
  <c r="AC120" i="21" s="1"/>
  <c r="AC133" i="21" a="1"/>
  <c r="AC133" i="21" s="1"/>
  <c r="AC145" i="21" a="1"/>
  <c r="AC145" i="21" s="1"/>
  <c r="AC171" i="21" a="1"/>
  <c r="AC171" i="21" s="1"/>
  <c r="AC182" i="21" a="1"/>
  <c r="AC182" i="21" s="1"/>
  <c r="AC188" i="21" a="1"/>
  <c r="AC188" i="21" s="1"/>
  <c r="AC194" i="21" a="1"/>
  <c r="AC194" i="21" s="1"/>
  <c r="AC207" i="21" a="1"/>
  <c r="AC207" i="21" s="1"/>
  <c r="AC214" i="21" a="1"/>
  <c r="AC214" i="21" s="1"/>
  <c r="AC217" i="21" a="1"/>
  <c r="AC217" i="21" s="1"/>
  <c r="AC226" i="21" a="1"/>
  <c r="AC226" i="21" s="1"/>
  <c r="AC230" i="21" a="1"/>
  <c r="AC230" i="21" s="1"/>
  <c r="AC236" i="21" a="1"/>
  <c r="AC236" i="21" s="1"/>
  <c r="AC239" i="21" a="1"/>
  <c r="AC239" i="21" s="1"/>
  <c r="AC242" i="21" a="1"/>
  <c r="AC242" i="21" s="1"/>
  <c r="AC246" i="21" a="1"/>
  <c r="AC246" i="21" s="1"/>
  <c r="AC252" i="21" a="1"/>
  <c r="AC252" i="21" s="1"/>
  <c r="AC255" i="21" a="1"/>
  <c r="AC255" i="21" s="1"/>
  <c r="AC258" i="21" a="1"/>
  <c r="AC258" i="21" s="1"/>
  <c r="AC262" i="21" a="1"/>
  <c r="AC262" i="21" s="1"/>
  <c r="AC268" i="21" a="1"/>
  <c r="AC268" i="21" s="1"/>
  <c r="AC271" i="21" a="1"/>
  <c r="AC271" i="21" s="1"/>
  <c r="AC274" i="21" a="1"/>
  <c r="AC274" i="21" s="1"/>
  <c r="AC278" i="21" a="1"/>
  <c r="AC278" i="21" s="1"/>
  <c r="AC284" i="21" a="1"/>
  <c r="AC284" i="21" s="1"/>
  <c r="AC287" i="21" a="1"/>
  <c r="AC287" i="21" s="1"/>
  <c r="AC290" i="21" a="1"/>
  <c r="AC290" i="21" s="1"/>
  <c r="AC294" i="21" a="1"/>
  <c r="AC294" i="21" s="1"/>
  <c r="AC300" i="21" a="1"/>
  <c r="AC300" i="21" s="1"/>
  <c r="AC303" i="21" a="1"/>
  <c r="AC303" i="21" s="1"/>
  <c r="AC306" i="21" a="1"/>
  <c r="AC306" i="21" s="1"/>
  <c r="AC310" i="21" a="1"/>
  <c r="AC310" i="21" s="1"/>
  <c r="AC316" i="21" a="1"/>
  <c r="AC316" i="21" s="1"/>
  <c r="AC319" i="21" a="1"/>
  <c r="AC319" i="21" s="1"/>
  <c r="AC322" i="21" a="1"/>
  <c r="AC322" i="21" s="1"/>
  <c r="AC326" i="21" a="1"/>
  <c r="AC326" i="21" s="1"/>
  <c r="AC332" i="21" a="1"/>
  <c r="AC332" i="21" s="1"/>
  <c r="AC335" i="21" a="1"/>
  <c r="AC335" i="21" s="1"/>
  <c r="AC338" i="21" a="1"/>
  <c r="AC338" i="21" s="1"/>
  <c r="AC342" i="21" a="1"/>
  <c r="AC342" i="21" s="1"/>
  <c r="AC350" i="21" a="1"/>
  <c r="AC350" i="21" s="1"/>
  <c r="AC353" i="21" a="1"/>
  <c r="AC353" i="21" s="1"/>
  <c r="AC358" i="21" a="1"/>
  <c r="AC358" i="21" s="1"/>
  <c r="AC361" i="21" a="1"/>
  <c r="AC361" i="21" s="1"/>
  <c r="AC366" i="21" a="1"/>
  <c r="AC366" i="21" s="1"/>
  <c r="AF5" i="21" a="1"/>
  <c r="AF5" i="21" s="1"/>
  <c r="AQ5" i="21" a="1"/>
  <c r="AQ5" i="21" s="1"/>
  <c r="Z5" i="21" a="1"/>
  <c r="Z5" i="21" s="1"/>
  <c r="AC13" i="21" a="1"/>
  <c r="AC13" i="21" s="1"/>
  <c r="AC36" i="21" a="1"/>
  <c r="AC36" i="21" s="1"/>
  <c r="AC48" i="21" a="1"/>
  <c r="AC48" i="21" s="1"/>
  <c r="AC59" i="21" a="1"/>
  <c r="AC59" i="21" s="1"/>
  <c r="AC72" i="21" a="1"/>
  <c r="AC72" i="21" s="1"/>
  <c r="AC85" i="21" a="1"/>
  <c r="AC85" i="21" s="1"/>
  <c r="AC97" i="21" a="1"/>
  <c r="AC97" i="21" s="1"/>
  <c r="AC123" i="21" a="1"/>
  <c r="AC123" i="21" s="1"/>
  <c r="AC136" i="21" a="1"/>
  <c r="AC136" i="21" s="1"/>
  <c r="AC149" i="21" a="1"/>
  <c r="AC149" i="21" s="1"/>
  <c r="AC161" i="21" a="1"/>
  <c r="AC161" i="21" s="1"/>
  <c r="AC184" i="21" a="1"/>
  <c r="AC184" i="21" s="1"/>
  <c r="AC197" i="21" a="1"/>
  <c r="AC197" i="21" s="1"/>
  <c r="AC203" i="21" a="1"/>
  <c r="AC203" i="21" s="1"/>
  <c r="AC209" i="21" a="1"/>
  <c r="AC209" i="21" s="1"/>
  <c r="AC219" i="21" a="1"/>
  <c r="AC219" i="21" s="1"/>
  <c r="AC223" i="21" a="1"/>
  <c r="AC223" i="21" s="1"/>
  <c r="AC227" i="21" a="1"/>
  <c r="AC227" i="21" s="1"/>
  <c r="AC233" i="21" a="1"/>
  <c r="AC233" i="21" s="1"/>
  <c r="AC237" i="21" a="1"/>
  <c r="AC237" i="21" s="1"/>
  <c r="AC240" i="21" a="1"/>
  <c r="AC240" i="21" s="1"/>
  <c r="AC243" i="21" a="1"/>
  <c r="AC243" i="21" s="1"/>
  <c r="AC249" i="21" a="1"/>
  <c r="AC249" i="21" s="1"/>
  <c r="AC253" i="21" a="1"/>
  <c r="AC253" i="21" s="1"/>
  <c r="AC256" i="21" a="1"/>
  <c r="AC256" i="21" s="1"/>
  <c r="AC259" i="21" a="1"/>
  <c r="AC259" i="21" s="1"/>
  <c r="AC265" i="21" a="1"/>
  <c r="AC265" i="21" s="1"/>
  <c r="AC269" i="21" a="1"/>
  <c r="AC269" i="21" s="1"/>
  <c r="AC272" i="21" a="1"/>
  <c r="AC272" i="21" s="1"/>
  <c r="AC275" i="21" a="1"/>
  <c r="AC275" i="21" s="1"/>
  <c r="AC281" i="21" a="1"/>
  <c r="AC281" i="21" s="1"/>
  <c r="AC285" i="21" a="1"/>
  <c r="AC285" i="21" s="1"/>
  <c r="AC288" i="21" a="1"/>
  <c r="AC288" i="21" s="1"/>
  <c r="AC291" i="21" a="1"/>
  <c r="AC291" i="21" s="1"/>
  <c r="AC297" i="21" a="1"/>
  <c r="AC297" i="21" s="1"/>
  <c r="AC301" i="21" a="1"/>
  <c r="AC301" i="21" s="1"/>
  <c r="AC304" i="21" a="1"/>
  <c r="AC304" i="21" s="1"/>
  <c r="AC307" i="21" a="1"/>
  <c r="AC307" i="21" s="1"/>
  <c r="AC313" i="21" a="1"/>
  <c r="AC313" i="21" s="1"/>
  <c r="AC317" i="21" a="1"/>
  <c r="AC317" i="21" s="1"/>
  <c r="AC320" i="21" a="1"/>
  <c r="AC320" i="21" s="1"/>
  <c r="AC323" i="21" a="1"/>
  <c r="AC323" i="21" s="1"/>
  <c r="AC329" i="21" a="1"/>
  <c r="AC329" i="21" s="1"/>
  <c r="AC333" i="21" a="1"/>
  <c r="AC333" i="21" s="1"/>
  <c r="AC336" i="21" a="1"/>
  <c r="AC336" i="21" s="1"/>
  <c r="AC339" i="21" a="1"/>
  <c r="AC339" i="21" s="1"/>
  <c r="AC345" i="21" a="1"/>
  <c r="AC345" i="21" s="1"/>
  <c r="AC348" i="21" a="1"/>
  <c r="AC348" i="21" s="1"/>
  <c r="AC351" i="21" a="1"/>
  <c r="AC351" i="21" s="1"/>
  <c r="AC356" i="21" a="1"/>
  <c r="AC356" i="21" s="1"/>
  <c r="AC359" i="21" a="1"/>
  <c r="AC359" i="21" s="1"/>
  <c r="AC364" i="21" a="1"/>
  <c r="AC364" i="21" s="1"/>
  <c r="AC367" i="21" a="1"/>
  <c r="AC367" i="21" s="1"/>
  <c r="AC372" i="21" a="1"/>
  <c r="AC372" i="21" s="1"/>
  <c r="AC375" i="21" a="1"/>
  <c r="AC375" i="21" s="1"/>
  <c r="AC380" i="21" a="1"/>
  <c r="AC380" i="21" s="1"/>
  <c r="AC383" i="21" a="1"/>
  <c r="AC383" i="21" s="1"/>
  <c r="AC388" i="21" a="1"/>
  <c r="AC388" i="21" s="1"/>
  <c r="AC391" i="21" a="1"/>
  <c r="AC391" i="21" s="1"/>
  <c r="AC396" i="21" a="1"/>
  <c r="AC396" i="21" s="1"/>
  <c r="AC399" i="21" a="1"/>
  <c r="AC399" i="21" s="1"/>
  <c r="AI5" i="21" a="1"/>
  <c r="AI5" i="21" s="1"/>
  <c r="BD5" i="21" a="1"/>
  <c r="BD5" i="21" s="1"/>
  <c r="AC5" i="21" a="1"/>
  <c r="AC5" i="21" s="1"/>
  <c r="AC16" i="21" a="1"/>
  <c r="AC16" i="21" s="1"/>
  <c r="AC27" i="21" a="1"/>
  <c r="AC27" i="21" s="1"/>
  <c r="AC39" i="21" a="1"/>
  <c r="AC39" i="21" s="1"/>
  <c r="AC75" i="21" a="1"/>
  <c r="AC75" i="21" s="1"/>
  <c r="AC88" i="21" a="1"/>
  <c r="AC88" i="21" s="1"/>
  <c r="AC101" i="21" a="1"/>
  <c r="AC101" i="21" s="1"/>
  <c r="AC113" i="21" a="1"/>
  <c r="AC113" i="21" s="1"/>
  <c r="AC139" i="21" a="1"/>
  <c r="AC139" i="21" s="1"/>
  <c r="AC152" i="21" a="1"/>
  <c r="AC152" i="21" s="1"/>
  <c r="AC165" i="21" a="1"/>
  <c r="AC165" i="21" s="1"/>
  <c r="AC177" i="21" a="1"/>
  <c r="AC177" i="21" s="1"/>
  <c r="AC191" i="21" a="1"/>
  <c r="AC191" i="21" s="1"/>
  <c r="AC198" i="21" a="1"/>
  <c r="AC198" i="21" s="1"/>
  <c r="AC204" i="21" a="1"/>
  <c r="AC204" i="21" s="1"/>
  <c r="AC210" i="21" a="1"/>
  <c r="AC210" i="21" s="1"/>
  <c r="AC216" i="21" a="1"/>
  <c r="AC216" i="21" s="1"/>
  <c r="AC220" i="21" a="1"/>
  <c r="AC220" i="21" s="1"/>
  <c r="AC224" i="21" a="1"/>
  <c r="AC224" i="21" s="1"/>
  <c r="AC228" i="21" a="1"/>
  <c r="AC228" i="21" s="1"/>
  <c r="AC231" i="21" a="1"/>
  <c r="AC231" i="21" s="1"/>
  <c r="AC234" i="21" a="1"/>
  <c r="AC234" i="21" s="1"/>
  <c r="AC238" i="21" a="1"/>
  <c r="AC238" i="21" s="1"/>
  <c r="AC244" i="21" a="1"/>
  <c r="AC244" i="21" s="1"/>
  <c r="AC247" i="21" a="1"/>
  <c r="AC247" i="21" s="1"/>
  <c r="AC250" i="21" a="1"/>
  <c r="AC250" i="21" s="1"/>
  <c r="AC254" i="21" a="1"/>
  <c r="AC254" i="21" s="1"/>
  <c r="AC260" i="21" a="1"/>
  <c r="AC260" i="21" s="1"/>
  <c r="AC263" i="21" a="1"/>
  <c r="AC263" i="21" s="1"/>
  <c r="AC266" i="21" a="1"/>
  <c r="AC266" i="21" s="1"/>
  <c r="AC270" i="21" a="1"/>
  <c r="AC270" i="21" s="1"/>
  <c r="AC276" i="21" a="1"/>
  <c r="AC276" i="21" s="1"/>
  <c r="AC279" i="21" a="1"/>
  <c r="AC279" i="21" s="1"/>
  <c r="AC282" i="21" a="1"/>
  <c r="AC282" i="21" s="1"/>
  <c r="AC286" i="21" a="1"/>
  <c r="AC286" i="21" s="1"/>
  <c r="AC292" i="21" a="1"/>
  <c r="AC292" i="21" s="1"/>
  <c r="AC295" i="21" a="1"/>
  <c r="AC295" i="21" s="1"/>
  <c r="AC298" i="21" a="1"/>
  <c r="AC298" i="21" s="1"/>
  <c r="AC302" i="21" a="1"/>
  <c r="AC302" i="21" s="1"/>
  <c r="AC308" i="21" a="1"/>
  <c r="AC308" i="21" s="1"/>
  <c r="AC311" i="21" a="1"/>
  <c r="AC311" i="21" s="1"/>
  <c r="AC314" i="21" a="1"/>
  <c r="AC314" i="21" s="1"/>
  <c r="AC318" i="21" a="1"/>
  <c r="AC318" i="21" s="1"/>
  <c r="AC324" i="21" a="1"/>
  <c r="AC324" i="21" s="1"/>
  <c r="AC327" i="21" a="1"/>
  <c r="AC327" i="21" s="1"/>
  <c r="AC330" i="21" a="1"/>
  <c r="AC330" i="21" s="1"/>
  <c r="AC334" i="21" a="1"/>
  <c r="AC334" i="21" s="1"/>
  <c r="AC340" i="21" a="1"/>
  <c r="AC340" i="21" s="1"/>
  <c r="AC343" i="21" a="1"/>
  <c r="AC343" i="21" s="1"/>
  <c r="AC346" i="21" a="1"/>
  <c r="AC346" i="21" s="1"/>
  <c r="AC349" i="21" a="1"/>
  <c r="AC349" i="21" s="1"/>
  <c r="AC354" i="21" a="1"/>
  <c r="AC354" i="21" s="1"/>
  <c r="AC357" i="21" a="1"/>
  <c r="AC357" i="21" s="1"/>
  <c r="AC362" i="21" a="1"/>
  <c r="AC362" i="21" s="1"/>
  <c r="AC365" i="21" a="1"/>
  <c r="AC365" i="21" s="1"/>
  <c r="AC370" i="21" a="1"/>
  <c r="AC370" i="21" s="1"/>
  <c r="AC373" i="21" a="1"/>
  <c r="AC373" i="21" s="1"/>
  <c r="AC378" i="21" a="1"/>
  <c r="AC378" i="21" s="1"/>
  <c r="AC381" i="21" a="1"/>
  <c r="AC381" i="21" s="1"/>
  <c r="AC386" i="21" a="1"/>
  <c r="AC386" i="21" s="1"/>
  <c r="AC389" i="21" a="1"/>
  <c r="AC389" i="21" s="1"/>
  <c r="AC394" i="21" a="1"/>
  <c r="AC394" i="21" s="1"/>
  <c r="AC397" i="21" a="1"/>
  <c r="AC397" i="21" s="1"/>
  <c r="AC402" i="21" a="1"/>
  <c r="AC402" i="21" s="1"/>
  <c r="AC65" i="21" a="1"/>
  <c r="AC65" i="21" s="1"/>
  <c r="AC117" i="21" a="1"/>
  <c r="AC117" i="21" s="1"/>
  <c r="AC168" i="21" a="1"/>
  <c r="AC168" i="21" s="1"/>
  <c r="AC200" i="21" a="1"/>
  <c r="AC200" i="21" s="1"/>
  <c r="AC221" i="21" a="1"/>
  <c r="AC221" i="21" s="1"/>
  <c r="AC235" i="21" a="1"/>
  <c r="AC235" i="21" s="1"/>
  <c r="AC248" i="21" a="1"/>
  <c r="AC248" i="21" s="1"/>
  <c r="AC261" i="21" a="1"/>
  <c r="AC261" i="21" s="1"/>
  <c r="AC273" i="21" a="1"/>
  <c r="AC273" i="21" s="1"/>
  <c r="AC299" i="21" a="1"/>
  <c r="AC299" i="21" s="1"/>
  <c r="AC312" i="21" a="1"/>
  <c r="AC312" i="21" s="1"/>
  <c r="AC325" i="21" a="1"/>
  <c r="AC325" i="21" s="1"/>
  <c r="AC337" i="21" a="1"/>
  <c r="AC337" i="21" s="1"/>
  <c r="AC360" i="21" a="1"/>
  <c r="AC360" i="21" s="1"/>
  <c r="AC369" i="21" a="1"/>
  <c r="AC369" i="21" s="1"/>
  <c r="AC374" i="21" a="1"/>
  <c r="AC374" i="21" s="1"/>
  <c r="AC385" i="21" a="1"/>
  <c r="AC385" i="21" s="1"/>
  <c r="AC390" i="21" a="1"/>
  <c r="AC390" i="21" s="1"/>
  <c r="AC401" i="21" a="1"/>
  <c r="AC401" i="21" s="1"/>
  <c r="AC404" i="21" a="1"/>
  <c r="AC404" i="21" s="1"/>
  <c r="AC407" i="21" a="1"/>
  <c r="AC407" i="21" s="1"/>
  <c r="AC412" i="21" a="1"/>
  <c r="AC412" i="21" s="1"/>
  <c r="AC415" i="21" a="1"/>
  <c r="AC415" i="21" s="1"/>
  <c r="AC420" i="21" a="1"/>
  <c r="AC420" i="21" s="1"/>
  <c r="AC423" i="21" a="1"/>
  <c r="AC423" i="21" s="1"/>
  <c r="AC428" i="21" a="1"/>
  <c r="AC428" i="21" s="1"/>
  <c r="AC431" i="21" a="1"/>
  <c r="AC431" i="21" s="1"/>
  <c r="AC436" i="21" a="1"/>
  <c r="AC436" i="21" s="1"/>
  <c r="AC439" i="21" a="1"/>
  <c r="AC439" i="21" s="1"/>
  <c r="AC444" i="21" a="1"/>
  <c r="AC444" i="21" s="1"/>
  <c r="AC447" i="21" a="1"/>
  <c r="AC447" i="21" s="1"/>
  <c r="AC452" i="21" a="1"/>
  <c r="AC452" i="21" s="1"/>
  <c r="AC455" i="21" a="1"/>
  <c r="AC455" i="21" s="1"/>
  <c r="AC460" i="21" a="1"/>
  <c r="AC460" i="21" s="1"/>
  <c r="AC463" i="21" a="1"/>
  <c r="AC463" i="21" s="1"/>
  <c r="AC468" i="21" a="1"/>
  <c r="AC468" i="21" s="1"/>
  <c r="AC471" i="21" a="1"/>
  <c r="AC471" i="21" s="1"/>
  <c r="AC476" i="21" a="1"/>
  <c r="AC476" i="21" s="1"/>
  <c r="AC479" i="21" a="1"/>
  <c r="AC479" i="21" s="1"/>
  <c r="AC484" i="21" a="1"/>
  <c r="AC484" i="21" s="1"/>
  <c r="AC487" i="21" a="1"/>
  <c r="AC487" i="21" s="1"/>
  <c r="AC492" i="21" a="1"/>
  <c r="AC492" i="21" s="1"/>
  <c r="AC495" i="21" a="1"/>
  <c r="AC495" i="21" s="1"/>
  <c r="AC500" i="21" a="1"/>
  <c r="AC500" i="21" s="1"/>
  <c r="AC503" i="21" a="1"/>
  <c r="AC503" i="21" s="1"/>
  <c r="AC508" i="21" a="1"/>
  <c r="AC508" i="21" s="1"/>
  <c r="AC511" i="21" a="1"/>
  <c r="AC511" i="21" s="1"/>
  <c r="AC516" i="21" a="1"/>
  <c r="AC516" i="21" s="1"/>
  <c r="AC519" i="21" a="1"/>
  <c r="AC519" i="21" s="1"/>
  <c r="AC524" i="21" a="1"/>
  <c r="AC524" i="21" s="1"/>
  <c r="AC527" i="21" a="1"/>
  <c r="AC527" i="21" s="1"/>
  <c r="AC532" i="21" a="1"/>
  <c r="AC532" i="21" s="1"/>
  <c r="AC535" i="21" a="1"/>
  <c r="AC535" i="21" s="1"/>
  <c r="AC540" i="21" a="1"/>
  <c r="AC540" i="21" s="1"/>
  <c r="AC544" i="21" a="1"/>
  <c r="AC544" i="21" s="1"/>
  <c r="AC547" i="21" a="1"/>
  <c r="AC547" i="21" s="1"/>
  <c r="AV5" i="21" a="1"/>
  <c r="AV5" i="21" s="1"/>
  <c r="AC129" i="21" a="1"/>
  <c r="AC129" i="21" s="1"/>
  <c r="AC181" i="21" a="1"/>
  <c r="AC181" i="21" s="1"/>
  <c r="AC225" i="21" a="1"/>
  <c r="AC225" i="21" s="1"/>
  <c r="AC251" i="21" a="1"/>
  <c r="AC251" i="21" s="1"/>
  <c r="AC264" i="21" a="1"/>
  <c r="AC264" i="21" s="1"/>
  <c r="AC277" i="21" a="1"/>
  <c r="AC277" i="21" s="1"/>
  <c r="AC289" i="21" a="1"/>
  <c r="AC289" i="21" s="1"/>
  <c r="AC315" i="21" a="1"/>
  <c r="AC315" i="21" s="1"/>
  <c r="AC328" i="21" a="1"/>
  <c r="AC328" i="21" s="1"/>
  <c r="AC341" i="21" a="1"/>
  <c r="AC341" i="21" s="1"/>
  <c r="AC352" i="21" a="1"/>
  <c r="AC352" i="21" s="1"/>
  <c r="AC363" i="21" a="1"/>
  <c r="AC363" i="21" s="1"/>
  <c r="AC371" i="21" a="1"/>
  <c r="AC371" i="21" s="1"/>
  <c r="AC376" i="21" a="1"/>
  <c r="AC376" i="21" s="1"/>
  <c r="AC387" i="21" a="1"/>
  <c r="AC387" i="21" s="1"/>
  <c r="AC392" i="21" a="1"/>
  <c r="AC392" i="21" s="1"/>
  <c r="AC405" i="21" a="1"/>
  <c r="AC405" i="21" s="1"/>
  <c r="AC410" i="21" a="1"/>
  <c r="AC410" i="21" s="1"/>
  <c r="AC413" i="21" a="1"/>
  <c r="AC413" i="21" s="1"/>
  <c r="AC418" i="21" a="1"/>
  <c r="AC418" i="21" s="1"/>
  <c r="AC421" i="21" a="1"/>
  <c r="AC421" i="21" s="1"/>
  <c r="AC426" i="21" a="1"/>
  <c r="AC426" i="21" s="1"/>
  <c r="AC429" i="21" a="1"/>
  <c r="AC429" i="21" s="1"/>
  <c r="AC434" i="21" a="1"/>
  <c r="AC434" i="21" s="1"/>
  <c r="AC437" i="21" a="1"/>
  <c r="AC437" i="21" s="1"/>
  <c r="AC442" i="21" a="1"/>
  <c r="AC442" i="21" s="1"/>
  <c r="AC445" i="21" a="1"/>
  <c r="AC445" i="21" s="1"/>
  <c r="AC450" i="21" a="1"/>
  <c r="AC450" i="21" s="1"/>
  <c r="AC453" i="21" a="1"/>
  <c r="AC453" i="21" s="1"/>
  <c r="AC458" i="21" a="1"/>
  <c r="AC458" i="21" s="1"/>
  <c r="AC461" i="21" a="1"/>
  <c r="AC461" i="21" s="1"/>
  <c r="AC466" i="21" a="1"/>
  <c r="AC466" i="21" s="1"/>
  <c r="AC469" i="21" a="1"/>
  <c r="AC469" i="21" s="1"/>
  <c r="AC474" i="21" a="1"/>
  <c r="AC474" i="21" s="1"/>
  <c r="AC477" i="21" a="1"/>
  <c r="AC477" i="21" s="1"/>
  <c r="AC482" i="21" a="1"/>
  <c r="AC482" i="21" s="1"/>
  <c r="AC485" i="21" a="1"/>
  <c r="AC485" i="21" s="1"/>
  <c r="AC490" i="21" a="1"/>
  <c r="AC490" i="21" s="1"/>
  <c r="AC493" i="21" a="1"/>
  <c r="AC493" i="21" s="1"/>
  <c r="AC498" i="21" a="1"/>
  <c r="AC498" i="21" s="1"/>
  <c r="AC501" i="21" a="1"/>
  <c r="AC501" i="21" s="1"/>
  <c r="AC506" i="21" a="1"/>
  <c r="AC506" i="21" s="1"/>
  <c r="AC509" i="21" a="1"/>
  <c r="AC509" i="21" s="1"/>
  <c r="AC514" i="21" a="1"/>
  <c r="AC514" i="21" s="1"/>
  <c r="AC517" i="21" a="1"/>
  <c r="AC517" i="21" s="1"/>
  <c r="AC522" i="21" a="1"/>
  <c r="AC522" i="21" s="1"/>
  <c r="AC525" i="21" a="1"/>
  <c r="AC525" i="21" s="1"/>
  <c r="AC530" i="21" a="1"/>
  <c r="AC530" i="21" s="1"/>
  <c r="AC533" i="21" a="1"/>
  <c r="AC533" i="21" s="1"/>
  <c r="AC538" i="21" a="1"/>
  <c r="AC538" i="21" s="1"/>
  <c r="AC542" i="21" a="1"/>
  <c r="AC542" i="21" s="1"/>
  <c r="AC545" i="21" a="1"/>
  <c r="AC545" i="21" s="1"/>
  <c r="AC550" i="21" a="1"/>
  <c r="AC550" i="21" s="1"/>
  <c r="AC54" i="21" a="1"/>
  <c r="AC54" i="21" s="1"/>
  <c r="AC104" i="21" a="1"/>
  <c r="AC104" i="21" s="1"/>
  <c r="AC232" i="21" a="1"/>
  <c r="AC232" i="21" s="1"/>
  <c r="AC257" i="21" a="1"/>
  <c r="AC257" i="21" s="1"/>
  <c r="BG5" i="21" a="1"/>
  <c r="BG5" i="21" s="1"/>
  <c r="AC42" i="21" a="1"/>
  <c r="AC42" i="21" s="1"/>
  <c r="AC91" i="21" a="1"/>
  <c r="AC91" i="21" s="1"/>
  <c r="AC187" i="21" a="1"/>
  <c r="AC187" i="21" s="1"/>
  <c r="AC213" i="21" a="1"/>
  <c r="AC213" i="21" s="1"/>
  <c r="AC229" i="21" a="1"/>
  <c r="AC229" i="21" s="1"/>
  <c r="AC241" i="21" a="1"/>
  <c r="AC241" i="21" s="1"/>
  <c r="AC267" i="21" a="1"/>
  <c r="AC267" i="21" s="1"/>
  <c r="AC280" i="21" a="1"/>
  <c r="AC280" i="21" s="1"/>
  <c r="AC293" i="21" a="1"/>
  <c r="AC293" i="21" s="1"/>
  <c r="AC305" i="21" a="1"/>
  <c r="AC305" i="21" s="1"/>
  <c r="AC331" i="21" a="1"/>
  <c r="AC331" i="21" s="1"/>
  <c r="AC344" i="21" a="1"/>
  <c r="AC344" i="21" s="1"/>
  <c r="AC355" i="21" a="1"/>
  <c r="AC355" i="21" s="1"/>
  <c r="AC377" i="21" a="1"/>
  <c r="AC377" i="21" s="1"/>
  <c r="AC382" i="21" a="1"/>
  <c r="AC382" i="21" s="1"/>
  <c r="AC393" i="21" a="1"/>
  <c r="AC393" i="21" s="1"/>
  <c r="AC398" i="21" a="1"/>
  <c r="AC398" i="21" s="1"/>
  <c r="AC403" i="21" a="1"/>
  <c r="AC403" i="21" s="1"/>
  <c r="AC408" i="21" a="1"/>
  <c r="AC408" i="21" s="1"/>
  <c r="AC411" i="21" a="1"/>
  <c r="AC411" i="21" s="1"/>
  <c r="AC416" i="21" a="1"/>
  <c r="AC416" i="21" s="1"/>
  <c r="AC419" i="21" a="1"/>
  <c r="AC419" i="21" s="1"/>
  <c r="AC424" i="21" a="1"/>
  <c r="AC424" i="21" s="1"/>
  <c r="AC427" i="21" a="1"/>
  <c r="AC427" i="21" s="1"/>
  <c r="AC432" i="21" a="1"/>
  <c r="AC432" i="21" s="1"/>
  <c r="AC435" i="21" a="1"/>
  <c r="AC435" i="21" s="1"/>
  <c r="AC440" i="21" a="1"/>
  <c r="AC440" i="21" s="1"/>
  <c r="AC443" i="21" a="1"/>
  <c r="AC443" i="21" s="1"/>
  <c r="AC448" i="21" a="1"/>
  <c r="AC448" i="21" s="1"/>
  <c r="AC451" i="21" a="1"/>
  <c r="AC451" i="21" s="1"/>
  <c r="AC456" i="21" a="1"/>
  <c r="AC456" i="21" s="1"/>
  <c r="AC459" i="21" a="1"/>
  <c r="AC459" i="21" s="1"/>
  <c r="AC464" i="21" a="1"/>
  <c r="AC464" i="21" s="1"/>
  <c r="AC467" i="21" a="1"/>
  <c r="AC467" i="21" s="1"/>
  <c r="AC472" i="21" a="1"/>
  <c r="AC472" i="21" s="1"/>
  <c r="AC475" i="21" a="1"/>
  <c r="AC475" i="21" s="1"/>
  <c r="AC480" i="21" a="1"/>
  <c r="AC480" i="21" s="1"/>
  <c r="AC483" i="21" a="1"/>
  <c r="AC483" i="21" s="1"/>
  <c r="AC488" i="21" a="1"/>
  <c r="AC488" i="21" s="1"/>
  <c r="AC491" i="21" a="1"/>
  <c r="AC491" i="21" s="1"/>
  <c r="AC496" i="21" a="1"/>
  <c r="AC496" i="21" s="1"/>
  <c r="AC499" i="21" a="1"/>
  <c r="AC499" i="21" s="1"/>
  <c r="AC504" i="21" a="1"/>
  <c r="AC504" i="21" s="1"/>
  <c r="AC507" i="21" a="1"/>
  <c r="AC507" i="21" s="1"/>
  <c r="AC512" i="21" a="1"/>
  <c r="AC512" i="21" s="1"/>
  <c r="AC515" i="21" a="1"/>
  <c r="AC515" i="21" s="1"/>
  <c r="AC520" i="21" a="1"/>
  <c r="AC520" i="21" s="1"/>
  <c r="AC523" i="21" a="1"/>
  <c r="AC523" i="21" s="1"/>
  <c r="AC528" i="21" a="1"/>
  <c r="AC528" i="21" s="1"/>
  <c r="AC531" i="21" a="1"/>
  <c r="AC531" i="21" s="1"/>
  <c r="AC536" i="21" a="1"/>
  <c r="AC536" i="21" s="1"/>
  <c r="AC539" i="21" a="1"/>
  <c r="AC539" i="21" s="1"/>
  <c r="AC543" i="21" a="1"/>
  <c r="AC543" i="21" s="1"/>
  <c r="AC548" i="21" a="1"/>
  <c r="AC548" i="21" s="1"/>
  <c r="AC551" i="21" a="1"/>
  <c r="AC551" i="21" s="1"/>
  <c r="AC7" i="21" a="1"/>
  <c r="AC7" i="21" s="1"/>
  <c r="AC155" i="21" a="1"/>
  <c r="AC155" i="21" s="1"/>
  <c r="AC193" i="21" a="1"/>
  <c r="AC193" i="21" s="1"/>
  <c r="AC245" i="21" a="1"/>
  <c r="AC245" i="21" s="1"/>
  <c r="AC283" i="21" a="1"/>
  <c r="AC283" i="21" s="1"/>
  <c r="AC296" i="21" a="1"/>
  <c r="AC296" i="21" s="1"/>
  <c r="AC347" i="21" a="1"/>
  <c r="AC347" i="21" s="1"/>
  <c r="AC379" i="21" a="1"/>
  <c r="AC379" i="21" s="1"/>
  <c r="AC400" i="21" a="1"/>
  <c r="AC400" i="21" s="1"/>
  <c r="AC422" i="21" a="1"/>
  <c r="AC422" i="21" s="1"/>
  <c r="AC433" i="21" a="1"/>
  <c r="AC433" i="21" s="1"/>
  <c r="AC454" i="21" a="1"/>
  <c r="AC454" i="21" s="1"/>
  <c r="AC465" i="21" a="1"/>
  <c r="AC465" i="21" s="1"/>
  <c r="AC486" i="21" a="1"/>
  <c r="AC486" i="21" s="1"/>
  <c r="AC497" i="21" a="1"/>
  <c r="AC497" i="21" s="1"/>
  <c r="AC518" i="21" a="1"/>
  <c r="AC518" i="21" s="1"/>
  <c r="AC529" i="21" a="1"/>
  <c r="AC529" i="21" s="1"/>
  <c r="AC321" i="21" a="1"/>
  <c r="AC321" i="21" s="1"/>
  <c r="AC481" i="21" a="1"/>
  <c r="AC481" i="21" s="1"/>
  <c r="AC513" i="21" a="1"/>
  <c r="AC513" i="21" s="1"/>
  <c r="AC546" i="21" a="1"/>
  <c r="AC546" i="21" s="1"/>
  <c r="AC395" i="21" a="1"/>
  <c r="AC395" i="21" s="1"/>
  <c r="AC441" i="21" a="1"/>
  <c r="AC441" i="21" s="1"/>
  <c r="AC473" i="21" a="1"/>
  <c r="AC473" i="21" s="1"/>
  <c r="AC505" i="21" a="1"/>
  <c r="AC505" i="21" s="1"/>
  <c r="AC537" i="21" a="1"/>
  <c r="AC537" i="21" s="1"/>
  <c r="AC309" i="21" a="1"/>
  <c r="AC309" i="21" s="1"/>
  <c r="AC384" i="21" a="1"/>
  <c r="AC384" i="21" s="1"/>
  <c r="AC414" i="21" a="1"/>
  <c r="AC414" i="21" s="1"/>
  <c r="AC425" i="21" a="1"/>
  <c r="AC425" i="21" s="1"/>
  <c r="AC446" i="21" a="1"/>
  <c r="AC446" i="21" s="1"/>
  <c r="AC457" i="21" a="1"/>
  <c r="AC457" i="21" s="1"/>
  <c r="AC478" i="21" a="1"/>
  <c r="AC478" i="21" s="1"/>
  <c r="AC489" i="21" a="1"/>
  <c r="AC489" i="21" s="1"/>
  <c r="AC510" i="21" a="1"/>
  <c r="AC510" i="21" s="1"/>
  <c r="AC521" i="21" a="1"/>
  <c r="AC521" i="21" s="1"/>
  <c r="AC368" i="21" a="1"/>
  <c r="AC368" i="21" s="1"/>
  <c r="AC406" i="21" a="1"/>
  <c r="AC406" i="21" s="1"/>
  <c r="AC417" i="21" a="1"/>
  <c r="AC417" i="21" s="1"/>
  <c r="AC438" i="21" a="1"/>
  <c r="AC438" i="21" s="1"/>
  <c r="AC449" i="21" a="1"/>
  <c r="AC449" i="21" s="1"/>
  <c r="AC470" i="21" a="1"/>
  <c r="AC470" i="21" s="1"/>
  <c r="AC502" i="21" a="1"/>
  <c r="AC502" i="21" s="1"/>
  <c r="AC534" i="21" a="1"/>
  <c r="AC534" i="21" s="1"/>
  <c r="AC409" i="21" a="1"/>
  <c r="AC409" i="21" s="1"/>
  <c r="AC430" i="21" a="1"/>
  <c r="AC430" i="21" s="1"/>
  <c r="AC462" i="21" a="1"/>
  <c r="AC462" i="21" s="1"/>
  <c r="AC494" i="21" a="1"/>
  <c r="AC494" i="21" s="1"/>
  <c r="AC526" i="21" a="1"/>
  <c r="AC526" i="21" s="1"/>
  <c r="AC549" i="21" a="1"/>
  <c r="AC549" i="21" s="1"/>
  <c r="AD9" i="21"/>
  <c r="AD13" i="21"/>
  <c r="AD17" i="21"/>
  <c r="AD21" i="21"/>
  <c r="AD25" i="21"/>
  <c r="AD29" i="21"/>
  <c r="AD33" i="21"/>
  <c r="AD37" i="21"/>
  <c r="AD41" i="21"/>
  <c r="AD45" i="21"/>
  <c r="AD49" i="21"/>
  <c r="AD53" i="21"/>
  <c r="AD57" i="21"/>
  <c r="AD61" i="21"/>
  <c r="AD65" i="21"/>
  <c r="AD69" i="21"/>
  <c r="AD73" i="21"/>
  <c r="AD77" i="21"/>
  <c r="AD81" i="21"/>
  <c r="AD85" i="21"/>
  <c r="AD89" i="21"/>
  <c r="AD93" i="21"/>
  <c r="AD97" i="21"/>
  <c r="AD101" i="21"/>
  <c r="AD105" i="21"/>
  <c r="AD109" i="21"/>
  <c r="AD113" i="21"/>
  <c r="AD117" i="21"/>
  <c r="AD121" i="21"/>
  <c r="AD125" i="21"/>
  <c r="AD129" i="21"/>
  <c r="AD133" i="21"/>
  <c r="AD137" i="21"/>
  <c r="AD141" i="21"/>
  <c r="AD145" i="21"/>
  <c r="AD149" i="21"/>
  <c r="AD153" i="21"/>
  <c r="AD157" i="21"/>
  <c r="AD161" i="21"/>
  <c r="AD165" i="21"/>
  <c r="AD169" i="21"/>
  <c r="AD173" i="21"/>
  <c r="AD177" i="21"/>
  <c r="AD181" i="21"/>
  <c r="AD185" i="21"/>
  <c r="AD189" i="21"/>
  <c r="AD193" i="21"/>
  <c r="AD197" i="21"/>
  <c r="AD201" i="21"/>
  <c r="AD205" i="21"/>
  <c r="AD209" i="21"/>
  <c r="AD213" i="21"/>
  <c r="AD217" i="21"/>
  <c r="AD221" i="21"/>
  <c r="AD225" i="21"/>
  <c r="AD229" i="21"/>
  <c r="AD233" i="21"/>
  <c r="AD237" i="21"/>
  <c r="AD241" i="21"/>
  <c r="AD245" i="21"/>
  <c r="AD249" i="21"/>
  <c r="AD253" i="21"/>
  <c r="AD257" i="21"/>
  <c r="AD261" i="21"/>
  <c r="AD265" i="21"/>
  <c r="AD269" i="21"/>
  <c r="AD273" i="21"/>
  <c r="AD277" i="21"/>
  <c r="AD281" i="21"/>
  <c r="AD285" i="21"/>
  <c r="AD289" i="21"/>
  <c r="AD293" i="21"/>
  <c r="AD297" i="21"/>
  <c r="AD301" i="21"/>
  <c r="AD305" i="21"/>
  <c r="AD309" i="21"/>
  <c r="AD313" i="21"/>
  <c r="AD317" i="21"/>
  <c r="AD321" i="21"/>
  <c r="AD325" i="21"/>
  <c r="AD329" i="21"/>
  <c r="AD333" i="21"/>
  <c r="AD337" i="21"/>
  <c r="AD341" i="21"/>
  <c r="AD345" i="21"/>
  <c r="AD6" i="21"/>
  <c r="AD10" i="21"/>
  <c r="AD14" i="21"/>
  <c r="AD18" i="21"/>
  <c r="AD22" i="21"/>
  <c r="AD26" i="21"/>
  <c r="AD30" i="21"/>
  <c r="AD34" i="21"/>
  <c r="AD38" i="21"/>
  <c r="AD42" i="21"/>
  <c r="AD46" i="21"/>
  <c r="AD50" i="21"/>
  <c r="AD54" i="21"/>
  <c r="AD58" i="21"/>
  <c r="AD62" i="21"/>
  <c r="AD66" i="21"/>
  <c r="AD70" i="21"/>
  <c r="AD74" i="21"/>
  <c r="AD78" i="21"/>
  <c r="AD82" i="21"/>
  <c r="AD86" i="21"/>
  <c r="AD90" i="21"/>
  <c r="AD94" i="21"/>
  <c r="AD98" i="21"/>
  <c r="AD102" i="21"/>
  <c r="AD106" i="21"/>
  <c r="AD110" i="21"/>
  <c r="AD114" i="21"/>
  <c r="AD118" i="21"/>
  <c r="AD122" i="21"/>
  <c r="AD126" i="21"/>
  <c r="AD130" i="21"/>
  <c r="AD134" i="21"/>
  <c r="AD138" i="21"/>
  <c r="AD142" i="21"/>
  <c r="AD146" i="21"/>
  <c r="AD150" i="21"/>
  <c r="AD154" i="21"/>
  <c r="AD158" i="21"/>
  <c r="AD162" i="21"/>
  <c r="AD166" i="21"/>
  <c r="AD170" i="21"/>
  <c r="AD174" i="21"/>
  <c r="AD178" i="21"/>
  <c r="AD182" i="21"/>
  <c r="AD186" i="21"/>
  <c r="AD190" i="21"/>
  <c r="AD194" i="21"/>
  <c r="AD198" i="21"/>
  <c r="AD202" i="21"/>
  <c r="AD206" i="21"/>
  <c r="AD210" i="21"/>
  <c r="AD214" i="21"/>
  <c r="AD218" i="21"/>
  <c r="AD222" i="21"/>
  <c r="AD226" i="21"/>
  <c r="AD230" i="21"/>
  <c r="AD234" i="21"/>
  <c r="AD238" i="21"/>
  <c r="AD242" i="21"/>
  <c r="AD246" i="21"/>
  <c r="AD250" i="21"/>
  <c r="AD254" i="21"/>
  <c r="AD258" i="21"/>
  <c r="AD262" i="21"/>
  <c r="AD266" i="21"/>
  <c r="AD270" i="21"/>
  <c r="AD274" i="21"/>
  <c r="AD278" i="21"/>
  <c r="AD282" i="21"/>
  <c r="AD286" i="21"/>
  <c r="AD290" i="21"/>
  <c r="AD294" i="21"/>
  <c r="AD298" i="21"/>
  <c r="AD302" i="21"/>
  <c r="AD306" i="21"/>
  <c r="AD310" i="21"/>
  <c r="AD314" i="21"/>
  <c r="AD318" i="21"/>
  <c r="AD322" i="21"/>
  <c r="AD326" i="21"/>
  <c r="AD330" i="21"/>
  <c r="AD334" i="21"/>
  <c r="AD338" i="21"/>
  <c r="AD342" i="21"/>
  <c r="AD346" i="21"/>
  <c r="AD350" i="21"/>
  <c r="AD7" i="21"/>
  <c r="AD11" i="21"/>
  <c r="AD15" i="21"/>
  <c r="AD19" i="21"/>
  <c r="AD23" i="21"/>
  <c r="AD27" i="21"/>
  <c r="AD31" i="21"/>
  <c r="AD35" i="21"/>
  <c r="AD39" i="21"/>
  <c r="AD43" i="21"/>
  <c r="AD47" i="21"/>
  <c r="AD51" i="21"/>
  <c r="AD55" i="21"/>
  <c r="AD59" i="21"/>
  <c r="AD63" i="21"/>
  <c r="AD67" i="21"/>
  <c r="AD71" i="21"/>
  <c r="AD75" i="21"/>
  <c r="AD79" i="21"/>
  <c r="AD83" i="21"/>
  <c r="AD87" i="21"/>
  <c r="AD91" i="21"/>
  <c r="AD95" i="21"/>
  <c r="AD99" i="21"/>
  <c r="AD103" i="21"/>
  <c r="AD107" i="21"/>
  <c r="AD111" i="21"/>
  <c r="AD115" i="21"/>
  <c r="AD119" i="21"/>
  <c r="AD123" i="21"/>
  <c r="AD127" i="21"/>
  <c r="AD131" i="21"/>
  <c r="AD135" i="21"/>
  <c r="AD139" i="21"/>
  <c r="AD143" i="21"/>
  <c r="AD147" i="21"/>
  <c r="AD151" i="21"/>
  <c r="AD155" i="21"/>
  <c r="AD159" i="21"/>
  <c r="AD163" i="21"/>
  <c r="AD167" i="21"/>
  <c r="AD171" i="21"/>
  <c r="AD175" i="21"/>
  <c r="AD179" i="21"/>
  <c r="AD183" i="21"/>
  <c r="AD187" i="21"/>
  <c r="AD191" i="21"/>
  <c r="AD195" i="21"/>
  <c r="AD199" i="21"/>
  <c r="AD203" i="21"/>
  <c r="AD207" i="21"/>
  <c r="AD211" i="21"/>
  <c r="AD215" i="21"/>
  <c r="AD219" i="21"/>
  <c r="AD223" i="21"/>
  <c r="AD227" i="21"/>
  <c r="AD231" i="21"/>
  <c r="AD235" i="21"/>
  <c r="AD239" i="21"/>
  <c r="AD243" i="21"/>
  <c r="AD247" i="21"/>
  <c r="AD251" i="21"/>
  <c r="AD255" i="21"/>
  <c r="AD259" i="21"/>
  <c r="AD263" i="21"/>
  <c r="AD267" i="21"/>
  <c r="AD271" i="21"/>
  <c r="AD275" i="21"/>
  <c r="AD279" i="21"/>
  <c r="AD283" i="21"/>
  <c r="AD287" i="21"/>
  <c r="AD291" i="21"/>
  <c r="AD295" i="21"/>
  <c r="AD299" i="21"/>
  <c r="AD303" i="21"/>
  <c r="AD307" i="21"/>
  <c r="AD311" i="21"/>
  <c r="AD315" i="21"/>
  <c r="AD319" i="21"/>
  <c r="AD323" i="21"/>
  <c r="AD327" i="21"/>
  <c r="AD331" i="21"/>
  <c r="AD20" i="21"/>
  <c r="AD36" i="21"/>
  <c r="AD52" i="21"/>
  <c r="AD68" i="21"/>
  <c r="AD84" i="21"/>
  <c r="AD100" i="21"/>
  <c r="AD116" i="21"/>
  <c r="AD132" i="21"/>
  <c r="AD148" i="21"/>
  <c r="AD164" i="21"/>
  <c r="AD180" i="21"/>
  <c r="AD196" i="21"/>
  <c r="AD212" i="21"/>
  <c r="AD228" i="21"/>
  <c r="AD244" i="21"/>
  <c r="AD260" i="21"/>
  <c r="AD276" i="21"/>
  <c r="AD292" i="21"/>
  <c r="AD308" i="21"/>
  <c r="AD324" i="21"/>
  <c r="AD336" i="21"/>
  <c r="AD344" i="21"/>
  <c r="AD351" i="21"/>
  <c r="AD355" i="21"/>
  <c r="AD359" i="21"/>
  <c r="AD363" i="21"/>
  <c r="AD367" i="21"/>
  <c r="AD371" i="21"/>
  <c r="AD375" i="21"/>
  <c r="AD379" i="21"/>
  <c r="AD383" i="21"/>
  <c r="AD387" i="21"/>
  <c r="AD391" i="21"/>
  <c r="AD395" i="21"/>
  <c r="AD399" i="21"/>
  <c r="AD403" i="21"/>
  <c r="AD407" i="21"/>
  <c r="AD411" i="21"/>
  <c r="AD415" i="21"/>
  <c r="AD419" i="21"/>
  <c r="AD423" i="21"/>
  <c r="AD427" i="21"/>
  <c r="AD431" i="21"/>
  <c r="AD435" i="21"/>
  <c r="AD439" i="21"/>
  <c r="AD443" i="21"/>
  <c r="AD447" i="21"/>
  <c r="AD451" i="21"/>
  <c r="AD455" i="21"/>
  <c r="AD459" i="21"/>
  <c r="AD463" i="21"/>
  <c r="AD467" i="21"/>
  <c r="AD471" i="21"/>
  <c r="AD475" i="21"/>
  <c r="AD479" i="21"/>
  <c r="AD483" i="21"/>
  <c r="AD487" i="21"/>
  <c r="AD491" i="21"/>
  <c r="AD495" i="21"/>
  <c r="AD499" i="21"/>
  <c r="AD503" i="21"/>
  <c r="AD507" i="21"/>
  <c r="AD511" i="21"/>
  <c r="AD515" i="21"/>
  <c r="AD519" i="21"/>
  <c r="AD523" i="21"/>
  <c r="AD527" i="21"/>
  <c r="AD531" i="21"/>
  <c r="AD535" i="21"/>
  <c r="AD539" i="21"/>
  <c r="AD543" i="21"/>
  <c r="AD547" i="21"/>
  <c r="AD551" i="21"/>
  <c r="Z539" i="21"/>
  <c r="Z543" i="21"/>
  <c r="Z547" i="21"/>
  <c r="Z551" i="21"/>
  <c r="AA539" i="21"/>
  <c r="AA543" i="21"/>
  <c r="AA547" i="21"/>
  <c r="AA551" i="21"/>
  <c r="AB539" i="21"/>
  <c r="AB543" i="21"/>
  <c r="AB547" i="21"/>
  <c r="AB551" i="21"/>
  <c r="AD8" i="21"/>
  <c r="AD24" i="21"/>
  <c r="AD40" i="21"/>
  <c r="AD56" i="21"/>
  <c r="AD72" i="21"/>
  <c r="AD88" i="21"/>
  <c r="AD104" i="21"/>
  <c r="AD120" i="21"/>
  <c r="AD136" i="21"/>
  <c r="AD152" i="21"/>
  <c r="AD168" i="21"/>
  <c r="AD184" i="21"/>
  <c r="AD200" i="21"/>
  <c r="AD216" i="21"/>
  <c r="AD232" i="21"/>
  <c r="AD248" i="21"/>
  <c r="AD264" i="21"/>
  <c r="AD280" i="21"/>
  <c r="AD296" i="21"/>
  <c r="AD312" i="21"/>
  <c r="AD328" i="21"/>
  <c r="AD339" i="21"/>
  <c r="AD347" i="21"/>
  <c r="AD352" i="21"/>
  <c r="AD356" i="21"/>
  <c r="AD360" i="21"/>
  <c r="AD364" i="21"/>
  <c r="AD368" i="21"/>
  <c r="AD372" i="21"/>
  <c r="AD376" i="21"/>
  <c r="AD380" i="21"/>
  <c r="AD384" i="21"/>
  <c r="AD388" i="21"/>
  <c r="AD392" i="21"/>
  <c r="AD396" i="21"/>
  <c r="AD400" i="21"/>
  <c r="AD404" i="21"/>
  <c r="AD408" i="21"/>
  <c r="AD412" i="21"/>
  <c r="AD416" i="21"/>
  <c r="AD420" i="21"/>
  <c r="AD424" i="21"/>
  <c r="AD428" i="21"/>
  <c r="AD432" i="21"/>
  <c r="AD436" i="21"/>
  <c r="AD440" i="21"/>
  <c r="AD444" i="21"/>
  <c r="AD448" i="21"/>
  <c r="AD452" i="21"/>
  <c r="AD456" i="21"/>
  <c r="AD460" i="21"/>
  <c r="AD464" i="21"/>
  <c r="AD468" i="21"/>
  <c r="AD472" i="21"/>
  <c r="AD476" i="21"/>
  <c r="AD480" i="21"/>
  <c r="AD484" i="21"/>
  <c r="AD488" i="21"/>
  <c r="AD492" i="21"/>
  <c r="AD496" i="21"/>
  <c r="AD500" i="21"/>
  <c r="AD504" i="21"/>
  <c r="AD508" i="21"/>
  <c r="AD512" i="21"/>
  <c r="AD516" i="21"/>
  <c r="AD520" i="21"/>
  <c r="AD524" i="21"/>
  <c r="AD528" i="21"/>
  <c r="AD532" i="21"/>
  <c r="AD536" i="21"/>
  <c r="AD540" i="21"/>
  <c r="AD544" i="21"/>
  <c r="AD548" i="21"/>
  <c r="Z536" i="21"/>
  <c r="Z540" i="21"/>
  <c r="Z544" i="21"/>
  <c r="Z548" i="21"/>
  <c r="AA536" i="21"/>
  <c r="AA540" i="21"/>
  <c r="AA544" i="21"/>
  <c r="AA548" i="21"/>
  <c r="AB536" i="21"/>
  <c r="AB540" i="21"/>
  <c r="AB544" i="21"/>
  <c r="AB548" i="21"/>
  <c r="AD12" i="21"/>
  <c r="AD28" i="21"/>
  <c r="AD44" i="21"/>
  <c r="AD60" i="21"/>
  <c r="AD76" i="21"/>
  <c r="AD92" i="21"/>
  <c r="AD108" i="21"/>
  <c r="AD124" i="21"/>
  <c r="AD140" i="21"/>
  <c r="AD156" i="21"/>
  <c r="AD172" i="21"/>
  <c r="AD188" i="21"/>
  <c r="AD204" i="21"/>
  <c r="AD220" i="21"/>
  <c r="AD236" i="21"/>
  <c r="AD252" i="21"/>
  <c r="AD268" i="21"/>
  <c r="AD284" i="21"/>
  <c r="AD300" i="21"/>
  <c r="AD316" i="21"/>
  <c r="AD332" i="21"/>
  <c r="AD340" i="21"/>
  <c r="AD348" i="21"/>
  <c r="AD353" i="21"/>
  <c r="AD357" i="21"/>
  <c r="AD361" i="21"/>
  <c r="AD365" i="21"/>
  <c r="AD369" i="21"/>
  <c r="AD373" i="21"/>
  <c r="AD377" i="21"/>
  <c r="AD381" i="21"/>
  <c r="AD385" i="21"/>
  <c r="AD389" i="21"/>
  <c r="AD393" i="21"/>
  <c r="AD397" i="21"/>
  <c r="AD401" i="21"/>
  <c r="AD405" i="21"/>
  <c r="AD409" i="21"/>
  <c r="AD413" i="21"/>
  <c r="AD417" i="21"/>
  <c r="AD421" i="21"/>
  <c r="AD425" i="21"/>
  <c r="AD429" i="21"/>
  <c r="AD433" i="21"/>
  <c r="AD437" i="21"/>
  <c r="AD441" i="21"/>
  <c r="AD445" i="21"/>
  <c r="AD449" i="21"/>
  <c r="AD453" i="21"/>
  <c r="AD457" i="21"/>
  <c r="AD461" i="21"/>
  <c r="AD465" i="21"/>
  <c r="AD469" i="21"/>
  <c r="AD473" i="21"/>
  <c r="AD477" i="21"/>
  <c r="AD481" i="21"/>
  <c r="AD485" i="21"/>
  <c r="AD489" i="21"/>
  <c r="AD493" i="21"/>
  <c r="AD497" i="21"/>
  <c r="AD501" i="21"/>
  <c r="AD505" i="21"/>
  <c r="AD509" i="21"/>
  <c r="AD513" i="21"/>
  <c r="AD517" i="21"/>
  <c r="AD521" i="21"/>
  <c r="AD525" i="21"/>
  <c r="AD529" i="21"/>
  <c r="AD533" i="21"/>
  <c r="AD537" i="21"/>
  <c r="AD541" i="21"/>
  <c r="AD545" i="21"/>
  <c r="AD549" i="21"/>
  <c r="Z537" i="21"/>
  <c r="Z541" i="21"/>
  <c r="Z545" i="21"/>
  <c r="Z549" i="21"/>
  <c r="AA537" i="21"/>
  <c r="AA541" i="21"/>
  <c r="AA545" i="21"/>
  <c r="AA549" i="21"/>
  <c r="AB537" i="21"/>
  <c r="AB541" i="21"/>
  <c r="AB545" i="21"/>
  <c r="AB549" i="21"/>
  <c r="AD16" i="21"/>
  <c r="AD32" i="21"/>
  <c r="AD48" i="21"/>
  <c r="AD64" i="21"/>
  <c r="AD80" i="21"/>
  <c r="AD96" i="21"/>
  <c r="AD112" i="21"/>
  <c r="AD128" i="21"/>
  <c r="AD144" i="21"/>
  <c r="AD160" i="21"/>
  <c r="AD176" i="21"/>
  <c r="AD192" i="21"/>
  <c r="AD208" i="21"/>
  <c r="AD224" i="21"/>
  <c r="AD240" i="21"/>
  <c r="AD256" i="21"/>
  <c r="AD272" i="21"/>
  <c r="AD288" i="21"/>
  <c r="AD304" i="21"/>
  <c r="AD320" i="21"/>
  <c r="AD335" i="21"/>
  <c r="AD343" i="21"/>
  <c r="AD349" i="21"/>
  <c r="AD354" i="21"/>
  <c r="AD358" i="21"/>
  <c r="AD362" i="21"/>
  <c r="AD366" i="21"/>
  <c r="AD370" i="21"/>
  <c r="AD374" i="21"/>
  <c r="AD378" i="21"/>
  <c r="AD382" i="21"/>
  <c r="AD386" i="21"/>
  <c r="AD390" i="21"/>
  <c r="AD394" i="21"/>
  <c r="AD398" i="21"/>
  <c r="AD402" i="21"/>
  <c r="AD406" i="21"/>
  <c r="AD410" i="21"/>
  <c r="AD414" i="21"/>
  <c r="AD418" i="21"/>
  <c r="AD422" i="21"/>
  <c r="AD426" i="21"/>
  <c r="AD430" i="21"/>
  <c r="AD434" i="21"/>
  <c r="AD438" i="21"/>
  <c r="AD442" i="21"/>
  <c r="AD446" i="21"/>
  <c r="AD450" i="21"/>
  <c r="AD454" i="21"/>
  <c r="AD458" i="21"/>
  <c r="AD462" i="21"/>
  <c r="AD466" i="21"/>
  <c r="AD470" i="21"/>
  <c r="AD474" i="21"/>
  <c r="AD478" i="21"/>
  <c r="AD482" i="21"/>
  <c r="AD486" i="21"/>
  <c r="AD490" i="21"/>
  <c r="AD494" i="21"/>
  <c r="AD498" i="21"/>
  <c r="AD502" i="21"/>
  <c r="AD506" i="21"/>
  <c r="AD510" i="21"/>
  <c r="AD514" i="21"/>
  <c r="AD518" i="21"/>
  <c r="AD522" i="21"/>
  <c r="AD526" i="21"/>
  <c r="AD530" i="21"/>
  <c r="AD534" i="21"/>
  <c r="AD538" i="21"/>
  <c r="AD542" i="21"/>
  <c r="AD546" i="21"/>
  <c r="AD550" i="21"/>
  <c r="Z538" i="21"/>
  <c r="Z542" i="21"/>
  <c r="Z546" i="21"/>
  <c r="Z550" i="21"/>
  <c r="AA538" i="21"/>
  <c r="AA542" i="21"/>
  <c r="AA546" i="21"/>
  <c r="AA550" i="21"/>
  <c r="AB538" i="21"/>
  <c r="AB542" i="21"/>
  <c r="AB546" i="21"/>
  <c r="AB550" i="21"/>
  <c r="Y14" i="21"/>
  <c r="Y8" i="21"/>
  <c r="Y141" i="21"/>
  <c r="Y247" i="21"/>
  <c r="Y501" i="21"/>
  <c r="Y274" i="21"/>
  <c r="Y36" i="21"/>
  <c r="Y495" i="21"/>
  <c r="Y62" i="21"/>
  <c r="Y30" i="21"/>
  <c r="Y493" i="21"/>
  <c r="Y328" i="21"/>
  <c r="Y480" i="21"/>
  <c r="Y382" i="21"/>
  <c r="X1177" i="6"/>
  <c r="Z1177" i="6"/>
  <c r="AB29" i="21"/>
  <c r="AB51" i="21"/>
  <c r="AB38" i="21"/>
  <c r="AB28" i="21"/>
  <c r="AB39" i="21"/>
  <c r="AB14" i="21"/>
  <c r="AB16" i="21"/>
  <c r="AB31" i="21"/>
  <c r="AB7" i="21"/>
  <c r="AB13" i="21"/>
  <c r="AB21" i="21"/>
  <c r="AB10" i="21"/>
  <c r="AB15" i="21"/>
  <c r="AB11" i="21"/>
  <c r="AB19" i="21"/>
  <c r="AB6" i="21"/>
  <c r="AB12" i="21"/>
  <c r="AB20" i="21"/>
  <c r="AB311" i="21"/>
  <c r="AB8" i="21"/>
  <c r="AB27" i="21"/>
  <c r="AB17" i="21"/>
  <c r="D11" i="32"/>
  <c r="C11" i="32"/>
  <c r="B11" i="32"/>
  <c r="D10" i="32"/>
  <c r="C10" i="32"/>
  <c r="B10" i="32"/>
  <c r="D6" i="32"/>
  <c r="C6" i="32"/>
  <c r="B6" i="32"/>
  <c r="D7" i="32"/>
  <c r="C7" i="32"/>
  <c r="B7" i="32"/>
  <c r="C13" i="32"/>
  <c r="B13" i="32"/>
  <c r="B9" i="32"/>
  <c r="C9" i="32"/>
  <c r="D5" i="32"/>
  <c r="B5" i="32"/>
  <c r="C5" i="32"/>
  <c r="B12" i="32"/>
  <c r="C12" i="32"/>
  <c r="D8" i="32"/>
  <c r="B8" i="32"/>
  <c r="C8" i="32"/>
  <c r="D4" i="32"/>
  <c r="C4" i="32"/>
  <c r="B4" i="32"/>
  <c r="AB324" i="21"/>
  <c r="AB349" i="21"/>
  <c r="AB366" i="21"/>
  <c r="AB382" i="21"/>
  <c r="AB398" i="21"/>
  <c r="AB414" i="21"/>
  <c r="AB430" i="21"/>
  <c r="AB446" i="21"/>
  <c r="AB462" i="21"/>
  <c r="AB478" i="21"/>
  <c r="AB494" i="21"/>
  <c r="AB510" i="21"/>
  <c r="AB526" i="21"/>
  <c r="AB296" i="21"/>
  <c r="AB340" i="21"/>
  <c r="AB359" i="21"/>
  <c r="AB375" i="21"/>
  <c r="AB391" i="21"/>
  <c r="AB407" i="21"/>
  <c r="AB423" i="21"/>
  <c r="AB439" i="21"/>
  <c r="AB455" i="21"/>
  <c r="AB471" i="21"/>
  <c r="AB487" i="21"/>
  <c r="AB503" i="21"/>
  <c r="AB519" i="21"/>
  <c r="AB535" i="21"/>
  <c r="AB256" i="21"/>
  <c r="AB240" i="21"/>
  <c r="AB224" i="21"/>
  <c r="AB208" i="21"/>
  <c r="AB192" i="21"/>
  <c r="AB176" i="21"/>
  <c r="AB160" i="21"/>
  <c r="AB144" i="21"/>
  <c r="AB128" i="21"/>
  <c r="AB112" i="21"/>
  <c r="AB96" i="21"/>
  <c r="AB80" i="21"/>
  <c r="AB64" i="21"/>
  <c r="AB48" i="21"/>
  <c r="AB32" i="21"/>
  <c r="AB276" i="21"/>
  <c r="AB332" i="21"/>
  <c r="AB354" i="21"/>
  <c r="AB370" i="21"/>
  <c r="AB386" i="21"/>
  <c r="AB402" i="21"/>
  <c r="AB418" i="21"/>
  <c r="AB434" i="21"/>
  <c r="AB450" i="21"/>
  <c r="AB466" i="21"/>
  <c r="AB482" i="21"/>
  <c r="AB498" i="21"/>
  <c r="AB514" i="21"/>
  <c r="AB530" i="21"/>
  <c r="AB312" i="21"/>
  <c r="AB345" i="21"/>
  <c r="AB363" i="21"/>
  <c r="AB379" i="21"/>
  <c r="AB395" i="21"/>
  <c r="AB411" i="21"/>
  <c r="AB427" i="21"/>
  <c r="AB443" i="21"/>
  <c r="AB459" i="21"/>
  <c r="AB475" i="21"/>
  <c r="AB491" i="21"/>
  <c r="AB507" i="21"/>
  <c r="AB523" i="21"/>
  <c r="AB268" i="21"/>
  <c r="AB252" i="21"/>
  <c r="AB236" i="21"/>
  <c r="AB220" i="21"/>
  <c r="AB204" i="21"/>
  <c r="AB188" i="21"/>
  <c r="AB172" i="21"/>
  <c r="AB156" i="21"/>
  <c r="AB140" i="21"/>
  <c r="AB124" i="21"/>
  <c r="AB108" i="21"/>
  <c r="AB92" i="21"/>
  <c r="AB76" i="21"/>
  <c r="AB60" i="21"/>
  <c r="AB44" i="21"/>
  <c r="AB315" i="21"/>
  <c r="AB292" i="21"/>
  <c r="AB339" i="21"/>
  <c r="AB358" i="21"/>
  <c r="AB374" i="21"/>
  <c r="AB390" i="21"/>
  <c r="AB406" i="21"/>
  <c r="AB422" i="21"/>
  <c r="AB438" i="21"/>
  <c r="AB454" i="21"/>
  <c r="AB470" i="21"/>
  <c r="AB486" i="21"/>
  <c r="AB502" i="21"/>
  <c r="AB518" i="21"/>
  <c r="AB534" i="21"/>
  <c r="AB327" i="21"/>
  <c r="AB351" i="21"/>
  <c r="AB367" i="21"/>
  <c r="AB383" i="21"/>
  <c r="AB399" i="21"/>
  <c r="AB415" i="21"/>
  <c r="AB431" i="21"/>
  <c r="AB447" i="21"/>
  <c r="AB463" i="21"/>
  <c r="AB479" i="21"/>
  <c r="AB495" i="21"/>
  <c r="AB511" i="21"/>
  <c r="AB527" i="21"/>
  <c r="AB264" i="21"/>
  <c r="AB248" i="21"/>
  <c r="AB232" i="21"/>
  <c r="AB216" i="21"/>
  <c r="AB200" i="21"/>
  <c r="AB184" i="21"/>
  <c r="AB168" i="21"/>
  <c r="AB152" i="21"/>
  <c r="AB136" i="21"/>
  <c r="AB120" i="21"/>
  <c r="AB104" i="21"/>
  <c r="AB88" i="21"/>
  <c r="AB72" i="21"/>
  <c r="AB56" i="21"/>
  <c r="AB40" i="21"/>
  <c r="AB24" i="21"/>
  <c r="AB284" i="21"/>
  <c r="AB521" i="21"/>
  <c r="AB505" i="21"/>
  <c r="AB489" i="21"/>
  <c r="AB473" i="21"/>
  <c r="AB457" i="21"/>
  <c r="AB441" i="21"/>
  <c r="AB425" i="21"/>
  <c r="AB409" i="21"/>
  <c r="AB393" i="21"/>
  <c r="AB377" i="21"/>
  <c r="AB361" i="21"/>
  <c r="AB343" i="21"/>
  <c r="AB304" i="21"/>
  <c r="AB528" i="21"/>
  <c r="AB512" i="21"/>
  <c r="AB496" i="21"/>
  <c r="AB480" i="21"/>
  <c r="AB464" i="21"/>
  <c r="AB448" i="21"/>
  <c r="AB432" i="21"/>
  <c r="AB416" i="21"/>
  <c r="AB400" i="21"/>
  <c r="AB384" i="21"/>
  <c r="AB368" i="21"/>
  <c r="AB352" i="21"/>
  <c r="AB328" i="21"/>
  <c r="AB37" i="21"/>
  <c r="AB53" i="21"/>
  <c r="AB69" i="21"/>
  <c r="AB85" i="21"/>
  <c r="AB101" i="21"/>
  <c r="AB117" i="21"/>
  <c r="AB133" i="21"/>
  <c r="AB149" i="21"/>
  <c r="AB165" i="21"/>
  <c r="AB181" i="21"/>
  <c r="AB197" i="21"/>
  <c r="AB213" i="21"/>
  <c r="AB229" i="21"/>
  <c r="AB245" i="21"/>
  <c r="AB261" i="21"/>
  <c r="AB277" i="21"/>
  <c r="AB293" i="21"/>
  <c r="AB309" i="21"/>
  <c r="AB325" i="21"/>
  <c r="AB18" i="21"/>
  <c r="AB34" i="21"/>
  <c r="AB50" i="21"/>
  <c r="AB66" i="21"/>
  <c r="AB82" i="21"/>
  <c r="AB98" i="21"/>
  <c r="AB114" i="21"/>
  <c r="AB130" i="21"/>
  <c r="AB146" i="21"/>
  <c r="AB162" i="21"/>
  <c r="AB178" i="21"/>
  <c r="AB194" i="21"/>
  <c r="AB210" i="21"/>
  <c r="AB226" i="21"/>
  <c r="AB242" i="21"/>
  <c r="AB258" i="21"/>
  <c r="AB274" i="21"/>
  <c r="AB290" i="21"/>
  <c r="AB306" i="21"/>
  <c r="AB322" i="21"/>
  <c r="AB338" i="21"/>
  <c r="AB23" i="21"/>
  <c r="AB55" i="21"/>
  <c r="AB71" i="21"/>
  <c r="AB87" i="21"/>
  <c r="AB103" i="21"/>
  <c r="AB119" i="21"/>
  <c r="AB135" i="21"/>
  <c r="AB151" i="21"/>
  <c r="AB167" i="21"/>
  <c r="AB183" i="21"/>
  <c r="AB199" i="21"/>
  <c r="AB215" i="21"/>
  <c r="AB231" i="21"/>
  <c r="AB247" i="21"/>
  <c r="AB263" i="21"/>
  <c r="AB279" i="21"/>
  <c r="AB533" i="21"/>
  <c r="AB517" i="21"/>
  <c r="AB501" i="21"/>
  <c r="AB485" i="21"/>
  <c r="AB469" i="21"/>
  <c r="AB453" i="21"/>
  <c r="AB437" i="21"/>
  <c r="AB421" i="21"/>
  <c r="AB405" i="21"/>
  <c r="AB389" i="21"/>
  <c r="AB373" i="21"/>
  <c r="AB357" i="21"/>
  <c r="AB337" i="21"/>
  <c r="AB288" i="21"/>
  <c r="AB524" i="21"/>
  <c r="AB508" i="21"/>
  <c r="AB492" i="21"/>
  <c r="AB476" i="21"/>
  <c r="AB460" i="21"/>
  <c r="AB444" i="21"/>
  <c r="AB428" i="21"/>
  <c r="AB412" i="21"/>
  <c r="AB396" i="21"/>
  <c r="AB380" i="21"/>
  <c r="AB364" i="21"/>
  <c r="AB347" i="21"/>
  <c r="AB316" i="21"/>
  <c r="AB25" i="21"/>
  <c r="AB41" i="21"/>
  <c r="AB57" i="21"/>
  <c r="AB73" i="21"/>
  <c r="AB89" i="21"/>
  <c r="AB105" i="21"/>
  <c r="AB121" i="21"/>
  <c r="AB137" i="21"/>
  <c r="AB153" i="21"/>
  <c r="AB169" i="21"/>
  <c r="AB185" i="21"/>
  <c r="AB201" i="21"/>
  <c r="AB217" i="21"/>
  <c r="AB233" i="21"/>
  <c r="AB249" i="21"/>
  <c r="AB265" i="21"/>
  <c r="AB281" i="21"/>
  <c r="AB297" i="21"/>
  <c r="AB313" i="21"/>
  <c r="AB329" i="21"/>
  <c r="AB22" i="21"/>
  <c r="AB54" i="21"/>
  <c r="AB70" i="21"/>
  <c r="AB86" i="21"/>
  <c r="AB102" i="21"/>
  <c r="AB118" i="21"/>
  <c r="AB134" i="21"/>
  <c r="AB150" i="21"/>
  <c r="AB166" i="21"/>
  <c r="AB182" i="21"/>
  <c r="AB198" i="21"/>
  <c r="AB214" i="21"/>
  <c r="AB230" i="21"/>
  <c r="AB246" i="21"/>
  <c r="AB262" i="21"/>
  <c r="AB278" i="21"/>
  <c r="AB294" i="21"/>
  <c r="AB310" i="21"/>
  <c r="AB326" i="21"/>
  <c r="AB342" i="21"/>
  <c r="AB43" i="21"/>
  <c r="AB59" i="21"/>
  <c r="AB75" i="21"/>
  <c r="AB91" i="21"/>
  <c r="AB107" i="21"/>
  <c r="AB123" i="21"/>
  <c r="AB139" i="21"/>
  <c r="AB155" i="21"/>
  <c r="AB171" i="21"/>
  <c r="AB187" i="21"/>
  <c r="AB203" i="21"/>
  <c r="AB219" i="21"/>
  <c r="AB235" i="21"/>
  <c r="AB251" i="21"/>
  <c r="AB267" i="21"/>
  <c r="AB283" i="21"/>
  <c r="AB299" i="21"/>
  <c r="AB529" i="21"/>
  <c r="AB513" i="21"/>
  <c r="AB497" i="21"/>
  <c r="AB481" i="21"/>
  <c r="AB465" i="21"/>
  <c r="AB449" i="21"/>
  <c r="AB433" i="21"/>
  <c r="AB417" i="21"/>
  <c r="AB401" i="21"/>
  <c r="AB385" i="21"/>
  <c r="AB369" i="21"/>
  <c r="AB353" i="21"/>
  <c r="AB331" i="21"/>
  <c r="AB272" i="21"/>
  <c r="AB520" i="21"/>
  <c r="AB504" i="21"/>
  <c r="AB488" i="21"/>
  <c r="AB472" i="21"/>
  <c r="AB456" i="21"/>
  <c r="AB440" i="21"/>
  <c r="AB424" i="21"/>
  <c r="AB408" i="21"/>
  <c r="AB392" i="21"/>
  <c r="AB376" i="21"/>
  <c r="AB360" i="21"/>
  <c r="AB341" i="21"/>
  <c r="AB300" i="21"/>
  <c r="AB45" i="21"/>
  <c r="AB61" i="21"/>
  <c r="AB77" i="21"/>
  <c r="AB93" i="21"/>
  <c r="AB109" i="21"/>
  <c r="AB125" i="21"/>
  <c r="AB141" i="21"/>
  <c r="AB157" i="21"/>
  <c r="AB173" i="21"/>
  <c r="AB189" i="21"/>
  <c r="AB205" i="21"/>
  <c r="AB221" i="21"/>
  <c r="AB237" i="21"/>
  <c r="AB253" i="21"/>
  <c r="AB269" i="21"/>
  <c r="AB285" i="21"/>
  <c r="AB301" i="21"/>
  <c r="AB317" i="21"/>
  <c r="AB333" i="21"/>
  <c r="AB26" i="21"/>
  <c r="AB42" i="21"/>
  <c r="AB58" i="21"/>
  <c r="AB74" i="21"/>
  <c r="AB90" i="21"/>
  <c r="AB106" i="21"/>
  <c r="AB122" i="21"/>
  <c r="AB138" i="21"/>
  <c r="AB154" i="21"/>
  <c r="AB170" i="21"/>
  <c r="AB186" i="21"/>
  <c r="AB202" i="21"/>
  <c r="AB218" i="21"/>
  <c r="AB234" i="21"/>
  <c r="AB250" i="21"/>
  <c r="AB266" i="21"/>
  <c r="AB282" i="21"/>
  <c r="AB298" i="21"/>
  <c r="AB314" i="21"/>
  <c r="AB330" i="21"/>
  <c r="AB346" i="21"/>
  <c r="AB47" i="21"/>
  <c r="AB63" i="21"/>
  <c r="AB79" i="21"/>
  <c r="AB95" i="21"/>
  <c r="AB111" i="21"/>
  <c r="AB127" i="21"/>
  <c r="AB143" i="21"/>
  <c r="AB159" i="21"/>
  <c r="AB175" i="21"/>
  <c r="AB191" i="21"/>
  <c r="AB207" i="21"/>
  <c r="AB223" i="21"/>
  <c r="AB239" i="21"/>
  <c r="AB255" i="21"/>
  <c r="AB271" i="21"/>
  <c r="AB287" i="21"/>
  <c r="AB303" i="21"/>
  <c r="AB319" i="21"/>
  <c r="AB525" i="21"/>
  <c r="AB509" i="21"/>
  <c r="AB493" i="21"/>
  <c r="AB477" i="21"/>
  <c r="AB461" i="21"/>
  <c r="AB445" i="21"/>
  <c r="AB429" i="21"/>
  <c r="AB413" i="21"/>
  <c r="AB397" i="21"/>
  <c r="AB381" i="21"/>
  <c r="AB365" i="21"/>
  <c r="AB348" i="21"/>
  <c r="AB320" i="21"/>
  <c r="AB532" i="21"/>
  <c r="AB516" i="21"/>
  <c r="AB500" i="21"/>
  <c r="AB484" i="21"/>
  <c r="AB468" i="21"/>
  <c r="AB452" i="21"/>
  <c r="AB436" i="21"/>
  <c r="AB420" i="21"/>
  <c r="AB404" i="21"/>
  <c r="AB388" i="21"/>
  <c r="AB372" i="21"/>
  <c r="AB356" i="21"/>
  <c r="AB336" i="21"/>
  <c r="AB9" i="21"/>
  <c r="AB33" i="21"/>
  <c r="AB49" i="21"/>
  <c r="AB65" i="21"/>
  <c r="AB81" i="21"/>
  <c r="AB97" i="21"/>
  <c r="AB113" i="21"/>
  <c r="AB129" i="21"/>
  <c r="AB145" i="21"/>
  <c r="AB161" i="21"/>
  <c r="AB177" i="21"/>
  <c r="AB193" i="21"/>
  <c r="AB209" i="21"/>
  <c r="AB225" i="21"/>
  <c r="AB241" i="21"/>
  <c r="AB257" i="21"/>
  <c r="AB273" i="21"/>
  <c r="AB289" i="21"/>
  <c r="AB305" i="21"/>
  <c r="AB321" i="21"/>
  <c r="AB30" i="21"/>
  <c r="AB46" i="21"/>
  <c r="AB62" i="21"/>
  <c r="AB78" i="21"/>
  <c r="AB94" i="21"/>
  <c r="AB110" i="21"/>
  <c r="AB126" i="21"/>
  <c r="AB142" i="21"/>
  <c r="AB158" i="21"/>
  <c r="AB174" i="21"/>
  <c r="AB190" i="21"/>
  <c r="AB206" i="21"/>
  <c r="AB222" i="21"/>
  <c r="AB238" i="21"/>
  <c r="AB254" i="21"/>
  <c r="AB270" i="21"/>
  <c r="AB286" i="21"/>
  <c r="AB302" i="21"/>
  <c r="AB318" i="21"/>
  <c r="AB334" i="21"/>
  <c r="AB350" i="21"/>
  <c r="AB35" i="21"/>
  <c r="AB67" i="21"/>
  <c r="AB83" i="21"/>
  <c r="AB99" i="21"/>
  <c r="AB115" i="21"/>
  <c r="AB131" i="21"/>
  <c r="AB147" i="21"/>
  <c r="AB163" i="21"/>
  <c r="AB179" i="21"/>
  <c r="AB195" i="21"/>
  <c r="AB211" i="21"/>
  <c r="AB227" i="21"/>
  <c r="AB243" i="21"/>
  <c r="AB259" i="21"/>
  <c r="AB275" i="21"/>
  <c r="AB291" i="21"/>
  <c r="AB307" i="21"/>
  <c r="AB323" i="21"/>
  <c r="AB308" i="21"/>
  <c r="AB344" i="21"/>
  <c r="AB362" i="21"/>
  <c r="AB378" i="21"/>
  <c r="AB394" i="21"/>
  <c r="AB410" i="21"/>
  <c r="AB426" i="21"/>
  <c r="AB442" i="21"/>
  <c r="AB458" i="21"/>
  <c r="AB474" i="21"/>
  <c r="AB490" i="21"/>
  <c r="AB506" i="21"/>
  <c r="AB522" i="21"/>
  <c r="AB280" i="21"/>
  <c r="AB335" i="21"/>
  <c r="AB355" i="21"/>
  <c r="AB371" i="21"/>
  <c r="AB387" i="21"/>
  <c r="AB403" i="21"/>
  <c r="AB419" i="21"/>
  <c r="AB435" i="21"/>
  <c r="AB451" i="21"/>
  <c r="AB467" i="21"/>
  <c r="AB483" i="21"/>
  <c r="AB499" i="21"/>
  <c r="AB515" i="21"/>
  <c r="AB531" i="21"/>
  <c r="AB260" i="21"/>
  <c r="AB244" i="21"/>
  <c r="AB228" i="21"/>
  <c r="AB212" i="21"/>
  <c r="AB196" i="21"/>
  <c r="AB180" i="21"/>
  <c r="AB164" i="21"/>
  <c r="AB148" i="21"/>
  <c r="AB132" i="21"/>
  <c r="AB116" i="21"/>
  <c r="AB100" i="21"/>
  <c r="AB84" i="21"/>
  <c r="AB68" i="21"/>
  <c r="AB52" i="21"/>
  <c r="AB36" i="21"/>
  <c r="AB295" i="21"/>
  <c r="Z534" i="21"/>
  <c r="AA534" i="21"/>
  <c r="Z535" i="21"/>
  <c r="AA535" i="21"/>
  <c r="Y198" i="21"/>
  <c r="Y208" i="21"/>
  <c r="Y20" i="21"/>
  <c r="Y275" i="21"/>
  <c r="Y172" i="21"/>
  <c r="Y399" i="21"/>
  <c r="Y132" i="21"/>
  <c r="V493" i="6"/>
  <c r="Y352" i="21"/>
  <c r="V520" i="6"/>
  <c r="Y393" i="21"/>
  <c r="V516" i="6"/>
  <c r="Y403" i="21"/>
  <c r="V504" i="6"/>
  <c r="Y368" i="21"/>
  <c r="Y391" i="21"/>
  <c r="Y383" i="21"/>
  <c r="Y400" i="21"/>
  <c r="V525" i="6"/>
  <c r="Y394" i="21"/>
  <c r="V521" i="6"/>
  <c r="Y397" i="21"/>
  <c r="V517" i="6"/>
  <c r="V509" i="6"/>
  <c r="Y378" i="21"/>
  <c r="V505" i="6"/>
  <c r="Y376" i="21"/>
  <c r="V501" i="6"/>
  <c r="Y347" i="21"/>
  <c r="V497" i="6"/>
  <c r="Y343" i="21"/>
  <c r="V523" i="6"/>
  <c r="Y398" i="21"/>
  <c r="V519" i="6"/>
  <c r="Y405" i="21"/>
  <c r="V515" i="6"/>
  <c r="Y366" i="21"/>
  <c r="Y377" i="21"/>
  <c r="V511" i="6"/>
  <c r="V530" i="6"/>
  <c r="Y407" i="21"/>
  <c r="V526" i="6"/>
  <c r="Y395" i="21"/>
  <c r="V518" i="6"/>
  <c r="Y396" i="21"/>
  <c r="V510" i="6"/>
  <c r="Y373" i="21"/>
  <c r="Y367" i="21"/>
  <c r="V506" i="6"/>
  <c r="V498" i="6"/>
  <c r="Y349" i="21"/>
  <c r="V494" i="6"/>
  <c r="Y351" i="21"/>
  <c r="V490" i="6"/>
  <c r="Y346" i="21"/>
  <c r="Y402" i="21"/>
  <c r="Y401" i="21"/>
  <c r="Y354" i="21"/>
  <c r="V492" i="6"/>
  <c r="Y345" i="21"/>
  <c r="V488" i="6"/>
  <c r="Y344" i="21"/>
  <c r="V499" i="6"/>
  <c r="Y342" i="21"/>
  <c r="Y340" i="21"/>
  <c r="AM26" i="13"/>
  <c r="Y327" i="21"/>
  <c r="Z198" i="21"/>
  <c r="Y93" i="21"/>
  <c r="Y500" i="21"/>
  <c r="Y325" i="21"/>
  <c r="AA532" i="21"/>
  <c r="AA528" i="21"/>
  <c r="AA524" i="21"/>
  <c r="AA80" i="21"/>
  <c r="AA172" i="21"/>
  <c r="AA382" i="21"/>
  <c r="Z530" i="21"/>
  <c r="Z526" i="21"/>
  <c r="Z522" i="21"/>
  <c r="Z51" i="21"/>
  <c r="Z208" i="21"/>
  <c r="AA531" i="21"/>
  <c r="AA527" i="21"/>
  <c r="AA523" i="21"/>
  <c r="AA52" i="21"/>
  <c r="AA198" i="21"/>
  <c r="Z533" i="21"/>
  <c r="Z529" i="21"/>
  <c r="Z525" i="21"/>
  <c r="Z53" i="21"/>
  <c r="Z20" i="21"/>
  <c r="Z275" i="21"/>
  <c r="AA530" i="21"/>
  <c r="AA526" i="21"/>
  <c r="AA522" i="21"/>
  <c r="AA51" i="21"/>
  <c r="AA208" i="21"/>
  <c r="Z532" i="21"/>
  <c r="Z528" i="21"/>
  <c r="Z524" i="21"/>
  <c r="Z80" i="21"/>
  <c r="Z172" i="21"/>
  <c r="Z382" i="21"/>
  <c r="AA533" i="21"/>
  <c r="AA529" i="21"/>
  <c r="AA525" i="21"/>
  <c r="AA53" i="21"/>
  <c r="AA20" i="21"/>
  <c r="AA275" i="21"/>
  <c r="Z531" i="21"/>
  <c r="Z527" i="21"/>
  <c r="Z523" i="21"/>
  <c r="Z52" i="21"/>
  <c r="Y126" i="21"/>
  <c r="Y484" i="21"/>
  <c r="Z327" i="21"/>
  <c r="AA383" i="21"/>
  <c r="AA321" i="21"/>
  <c r="Z431" i="21"/>
  <c r="Z325" i="21"/>
  <c r="AA429" i="21"/>
  <c r="AA381" i="21"/>
  <c r="AA402" i="21"/>
  <c r="Z383" i="21"/>
  <c r="Z321" i="21"/>
  <c r="AA427" i="21"/>
  <c r="AA327" i="21"/>
  <c r="Z429" i="21"/>
  <c r="Z381" i="21"/>
  <c r="Z402" i="21"/>
  <c r="AA431" i="21"/>
  <c r="AA325" i="21"/>
  <c r="Z427" i="21"/>
  <c r="Y505" i="21"/>
  <c r="V295" i="6"/>
  <c r="Y494" i="21"/>
  <c r="Y326" i="21"/>
  <c r="Y426" i="21"/>
  <c r="Y313" i="21"/>
  <c r="AK27" i="13"/>
  <c r="AK26" i="13"/>
  <c r="I161" i="17" a="1"/>
  <c r="I161" i="17" s="1"/>
  <c r="H161" i="17" s="1"/>
  <c r="I164" i="17" a="1"/>
  <c r="I164" i="17" s="1"/>
  <c r="H164" i="17" s="1"/>
  <c r="I167" i="17" a="1"/>
  <c r="I167" i="17" s="1"/>
  <c r="H167" i="17" s="1"/>
  <c r="I171" i="17" a="1"/>
  <c r="I171" i="17" s="1"/>
  <c r="H171" i="17" s="1"/>
  <c r="I177" i="17" a="1"/>
  <c r="I177" i="17" s="1"/>
  <c r="H177" i="17" s="1"/>
  <c r="I180" i="17" a="1"/>
  <c r="I180" i="17" s="1"/>
  <c r="H180" i="17" s="1"/>
  <c r="I183" i="17" a="1"/>
  <c r="I183" i="17" s="1"/>
  <c r="H183" i="17" s="1"/>
  <c r="F159" i="17" a="1"/>
  <c r="F159" i="17" s="1"/>
  <c r="G159" i="17" s="1"/>
  <c r="F162" i="17" a="1"/>
  <c r="F162" i="17" s="1"/>
  <c r="G162" i="17" s="1"/>
  <c r="F165" i="17" a="1"/>
  <c r="F165" i="17" s="1"/>
  <c r="G165" i="17" s="1"/>
  <c r="F168" i="17" a="1"/>
  <c r="F168" i="17" s="1"/>
  <c r="G168" i="17" s="1"/>
  <c r="F171" i="17" a="1"/>
  <c r="F171" i="17" s="1"/>
  <c r="G171" i="17" s="1"/>
  <c r="F177" i="17" a="1"/>
  <c r="F177" i="17" s="1"/>
  <c r="G177" i="17" s="1"/>
  <c r="F182" i="17" a="1"/>
  <c r="F182" i="17" s="1"/>
  <c r="G182" i="17" s="1"/>
  <c r="I158" i="17" a="1"/>
  <c r="I158" i="17" s="1"/>
  <c r="H158" i="17" s="1"/>
  <c r="I162" i="17" a="1"/>
  <c r="I162" i="17" s="1"/>
  <c r="H162" i="17" s="1"/>
  <c r="I165" i="17" a="1"/>
  <c r="I165" i="17" s="1"/>
  <c r="H165" i="17" s="1"/>
  <c r="I168" i="17" a="1"/>
  <c r="I168" i="17" s="1"/>
  <c r="H168" i="17" s="1"/>
  <c r="I174" i="17" a="1"/>
  <c r="I174" i="17" s="1"/>
  <c r="H174" i="17" s="1"/>
  <c r="I178" i="17" a="1"/>
  <c r="I178" i="17" s="1"/>
  <c r="H178" i="17" s="1"/>
  <c r="I181" i="17" a="1"/>
  <c r="I181" i="17" s="1"/>
  <c r="H181" i="17" s="1"/>
  <c r="I184" i="17" a="1"/>
  <c r="I184" i="17" s="1"/>
  <c r="H184" i="17" s="1"/>
  <c r="F160" i="17" a="1"/>
  <c r="F160" i="17" s="1"/>
  <c r="G160" i="17" s="1"/>
  <c r="F163" i="17" a="1"/>
  <c r="F163" i="17" s="1"/>
  <c r="G163" i="17" s="1"/>
  <c r="F169" i="17" a="1"/>
  <c r="F169" i="17" s="1"/>
  <c r="G169" i="17" s="1"/>
  <c r="F174" i="17" a="1"/>
  <c r="F174" i="17" s="1"/>
  <c r="G174" i="17" s="1"/>
  <c r="F180" i="17" a="1"/>
  <c r="F180" i="17" s="1"/>
  <c r="G180" i="17" s="1"/>
  <c r="F183" i="17" a="1"/>
  <c r="F183" i="17" s="1"/>
  <c r="G183" i="17" s="1"/>
  <c r="I159" i="17" a="1"/>
  <c r="I159" i="17" s="1"/>
  <c r="H159" i="17" s="1"/>
  <c r="I163" i="17" a="1"/>
  <c r="I163" i="17" s="1"/>
  <c r="H163" i="17" s="1"/>
  <c r="I169" i="17" a="1"/>
  <c r="I169" i="17" s="1"/>
  <c r="H169" i="17" s="1"/>
  <c r="I172" i="17" a="1"/>
  <c r="I172" i="17" s="1"/>
  <c r="H172" i="17" s="1"/>
  <c r="I175" i="17" a="1"/>
  <c r="I175" i="17" s="1"/>
  <c r="H175" i="17" s="1"/>
  <c r="I179" i="17" a="1"/>
  <c r="I179" i="17" s="1"/>
  <c r="H179" i="17" s="1"/>
  <c r="I185" i="17" a="1"/>
  <c r="I185" i="17" s="1"/>
  <c r="H185" i="17" s="1"/>
  <c r="F161" i="17" a="1"/>
  <c r="F161" i="17" s="1"/>
  <c r="G161" i="17" s="1"/>
  <c r="F166" i="17" a="1"/>
  <c r="F166" i="17" s="1"/>
  <c r="G166" i="17" s="1"/>
  <c r="F172" i="17" a="1"/>
  <c r="F172" i="17" s="1"/>
  <c r="G172" i="17" s="1"/>
  <c r="F175" i="17" a="1"/>
  <c r="F175" i="17" s="1"/>
  <c r="G175" i="17" s="1"/>
  <c r="F178" i="17" a="1"/>
  <c r="F178" i="17" s="1"/>
  <c r="G178" i="17" s="1"/>
  <c r="F181" i="17" a="1"/>
  <c r="F181" i="17" s="1"/>
  <c r="G181" i="17" s="1"/>
  <c r="F184" i="17" a="1"/>
  <c r="F184" i="17" s="1"/>
  <c r="G184" i="17" s="1"/>
  <c r="I160" i="17" a="1"/>
  <c r="I160" i="17" s="1"/>
  <c r="H160" i="17" s="1"/>
  <c r="I166" i="17" a="1"/>
  <c r="I166" i="17" s="1"/>
  <c r="H166" i="17" s="1"/>
  <c r="I170" i="17" a="1"/>
  <c r="I170" i="17" s="1"/>
  <c r="H170" i="17" s="1"/>
  <c r="I173" i="17" a="1"/>
  <c r="I173" i="17" s="1"/>
  <c r="H173" i="17" s="1"/>
  <c r="I176" i="17" a="1"/>
  <c r="I176" i="17" s="1"/>
  <c r="H176" i="17" s="1"/>
  <c r="I182" i="17" a="1"/>
  <c r="I182" i="17" s="1"/>
  <c r="H182" i="17" s="1"/>
  <c r="F158" i="17" a="1"/>
  <c r="F158" i="17" s="1"/>
  <c r="G158" i="17" s="1"/>
  <c r="F164" i="17" a="1"/>
  <c r="F164" i="17" s="1"/>
  <c r="G164" i="17" s="1"/>
  <c r="F167" i="17" a="1"/>
  <c r="F167" i="17" s="1"/>
  <c r="G167" i="17" s="1"/>
  <c r="F170" i="17" a="1"/>
  <c r="F170" i="17" s="1"/>
  <c r="G170" i="17" s="1"/>
  <c r="F173" i="17" a="1"/>
  <c r="F173" i="17" s="1"/>
  <c r="G173" i="17" s="1"/>
  <c r="F176" i="17" a="1"/>
  <c r="F176" i="17" s="1"/>
  <c r="G176" i="17" s="1"/>
  <c r="F179" i="17" a="1"/>
  <c r="F179" i="17" s="1"/>
  <c r="G179" i="17" s="1"/>
  <c r="F185" i="17" a="1"/>
  <c r="F185" i="17" s="1"/>
  <c r="G185" i="17" s="1"/>
  <c r="Y337" i="21"/>
  <c r="Y358" i="21"/>
  <c r="AA10" i="21"/>
  <c r="AA12" i="21"/>
  <c r="AA19" i="21"/>
  <c r="AA16" i="21"/>
  <c r="AA26" i="21"/>
  <c r="AA29" i="21"/>
  <c r="AA30" i="21"/>
  <c r="AA32" i="21"/>
  <c r="AA44" i="21"/>
  <c r="AA37" i="21"/>
  <c r="AA42" i="21"/>
  <c r="AA73" i="21"/>
  <c r="AA63" i="21"/>
  <c r="AA59" i="21"/>
  <c r="AA76" i="21"/>
  <c r="AA66" i="21"/>
  <c r="AA93" i="21"/>
  <c r="AA95" i="21"/>
  <c r="AA88" i="21"/>
  <c r="AA103" i="21"/>
  <c r="AA62" i="21"/>
  <c r="AA94" i="21"/>
  <c r="AA87" i="21"/>
  <c r="AA127" i="21"/>
  <c r="AA126" i="21"/>
  <c r="AA119" i="21"/>
  <c r="AA124" i="21"/>
  <c r="AA125" i="21"/>
  <c r="AA112" i="21"/>
  <c r="AA148" i="21"/>
  <c r="AA151" i="21"/>
  <c r="AA153" i="21"/>
  <c r="AA142" i="21"/>
  <c r="AA145" i="21"/>
  <c r="AA133" i="21"/>
  <c r="AA163" i="21"/>
  <c r="AA521" i="21"/>
  <c r="AA180" i="21"/>
  <c r="AA169" i="21"/>
  <c r="AA166" i="21"/>
  <c r="AA183" i="21"/>
  <c r="AA203" i="21"/>
  <c r="AA204" i="21"/>
  <c r="AA195" i="21"/>
  <c r="AA196" i="21"/>
  <c r="AA188" i="21"/>
  <c r="AA201" i="21"/>
  <c r="AA214" i="21"/>
  <c r="AA216" i="21"/>
  <c r="AA222" i="21"/>
  <c r="AA221" i="21"/>
  <c r="AA231" i="21"/>
  <c r="AA226" i="21"/>
  <c r="AA225" i="21"/>
  <c r="AA238" i="21"/>
  <c r="AA254" i="21"/>
  <c r="AA256" i="21"/>
  <c r="AA257" i="21"/>
  <c r="AA258" i="21"/>
  <c r="AA248" i="21"/>
  <c r="AA261" i="21"/>
  <c r="AA280" i="21"/>
  <c r="AA266" i="21"/>
  <c r="AA283" i="21"/>
  <c r="AA265" i="21"/>
  <c r="AA268" i="21"/>
  <c r="AA303" i="21"/>
  <c r="AA298" i="21"/>
  <c r="AA305" i="21"/>
  <c r="AA307" i="21"/>
  <c r="AA308" i="21"/>
  <c r="AA310" i="21"/>
  <c r="AA331" i="21"/>
  <c r="AA322" i="21"/>
  <c r="AA328" i="21"/>
  <c r="AA334" i="21"/>
  <c r="AA336" i="21"/>
  <c r="AA313" i="21"/>
  <c r="AA357" i="21"/>
  <c r="AA360" i="21"/>
  <c r="AA22" i="21"/>
  <c r="AA24" i="21"/>
  <c r="AA25" i="21"/>
  <c r="AA17" i="21"/>
  <c r="AA47" i="21"/>
  <c r="AA31" i="21"/>
  <c r="AA33" i="21"/>
  <c r="AA35" i="21"/>
  <c r="AA71" i="21"/>
  <c r="AA75" i="21"/>
  <c r="AA65" i="21"/>
  <c r="AA55" i="21"/>
  <c r="AA70" i="21"/>
  <c r="AA98" i="21"/>
  <c r="AA101" i="21"/>
  <c r="AA102" i="21"/>
  <c r="AA104" i="21"/>
  <c r="AA97" i="21"/>
  <c r="AA107" i="21"/>
  <c r="AA117" i="21"/>
  <c r="AA121" i="21"/>
  <c r="AA111" i="21"/>
  <c r="AA108" i="21"/>
  <c r="AA149" i="21"/>
  <c r="AA143" i="21"/>
  <c r="AA144" i="21"/>
  <c r="AA154" i="21"/>
  <c r="AA138" i="21"/>
  <c r="AA168" i="21"/>
  <c r="AA177" i="21"/>
  <c r="AA179" i="21"/>
  <c r="AA161" i="21"/>
  <c r="AA182" i="21"/>
  <c r="AA193" i="21"/>
  <c r="AA192" i="21"/>
  <c r="AA184" i="21"/>
  <c r="AA190" i="21"/>
  <c r="AA228" i="21"/>
  <c r="AA220" i="21"/>
  <c r="AA210" i="21"/>
  <c r="AA218" i="21"/>
  <c r="AA234" i="21"/>
  <c r="AA239" i="21"/>
  <c r="AA255" i="21"/>
  <c r="AA249" i="21"/>
  <c r="AA240" i="21"/>
  <c r="AA260" i="21"/>
  <c r="AA270" i="21"/>
  <c r="AA281" i="21"/>
  <c r="AA284" i="21"/>
  <c r="AA276" i="21"/>
  <c r="AA297" i="21"/>
  <c r="AA289" i="21"/>
  <c r="AA306" i="21"/>
  <c r="AA295" i="21"/>
  <c r="AA311" i="21"/>
  <c r="AA329" i="21"/>
  <c r="AA326" i="21"/>
  <c r="AA314" i="21"/>
  <c r="AA335" i="21"/>
  <c r="AA355" i="21"/>
  <c r="AA346" i="21"/>
  <c r="AA354" i="21"/>
  <c r="AA320" i="21"/>
  <c r="AA351" i="21"/>
  <c r="AA344" i="21"/>
  <c r="AA347" i="21"/>
  <c r="AA385" i="21"/>
  <c r="AA386" i="21"/>
  <c r="AA377" i="21"/>
  <c r="AA373" i="21"/>
  <c r="AA390" i="21"/>
  <c r="AA408" i="21"/>
  <c r="AA396" i="21"/>
  <c r="AA406" i="21"/>
  <c r="AA398" i="21"/>
  <c r="AA413" i="21"/>
  <c r="AA391" i="21"/>
  <c r="AA432" i="21"/>
  <c r="AA421" i="21"/>
  <c r="AA415" i="21"/>
  <c r="AA425" i="21"/>
  <c r="AA441" i="21"/>
  <c r="AA23" i="21"/>
  <c r="AA6" i="21"/>
  <c r="AA45" i="21"/>
  <c r="AA39" i="21"/>
  <c r="AA27" i="21"/>
  <c r="AA41" i="21"/>
  <c r="AA74" i="21"/>
  <c r="AA64" i="21"/>
  <c r="AA69" i="21"/>
  <c r="AA78" i="21"/>
  <c r="AA100" i="21"/>
  <c r="AA85" i="21"/>
  <c r="AA81" i="21"/>
  <c r="AA106" i="21"/>
  <c r="AA118" i="21"/>
  <c r="AA110" i="21"/>
  <c r="AA122" i="21"/>
  <c r="AA150" i="21"/>
  <c r="AA152" i="21"/>
  <c r="AA141" i="21"/>
  <c r="AA139" i="21"/>
  <c r="AA175" i="21"/>
  <c r="AA173" i="21"/>
  <c r="AA170" i="21"/>
  <c r="AA171" i="21"/>
  <c r="AA187" i="21"/>
  <c r="AA185" i="21"/>
  <c r="AA186" i="21"/>
  <c r="AA209" i="21"/>
  <c r="AA230" i="21"/>
  <c r="AA217" i="21"/>
  <c r="AA224" i="21"/>
  <c r="AA253" i="21"/>
  <c r="AA236" i="21"/>
  <c r="AA245" i="21"/>
  <c r="AA278" i="21"/>
  <c r="AA272" i="21"/>
  <c r="AA264" i="21"/>
  <c r="AA277" i="21"/>
  <c r="AA304" i="21"/>
  <c r="AA293" i="21"/>
  <c r="AA309" i="21"/>
  <c r="AA315" i="21"/>
  <c r="AA333" i="21"/>
  <c r="AA337" i="21"/>
  <c r="AA358" i="21"/>
  <c r="AA342" i="21"/>
  <c r="AA343" i="21"/>
  <c r="AA363" i="21"/>
  <c r="AA374" i="21"/>
  <c r="AA369" i="21"/>
  <c r="AA375" i="21"/>
  <c r="AA388" i="21"/>
  <c r="AA365" i="21"/>
  <c r="AA393" i="21"/>
  <c r="AA410" i="21"/>
  <c r="AA399" i="21"/>
  <c r="AA392" i="21"/>
  <c r="AA433" i="21"/>
  <c r="AA436" i="21"/>
  <c r="AA424" i="21"/>
  <c r="AA442" i="21"/>
  <c r="AA416" i="21"/>
  <c r="AA453" i="21"/>
  <c r="AA454" i="21"/>
  <c r="AA449" i="21"/>
  <c r="AA451" i="21"/>
  <c r="AA274" i="21"/>
  <c r="AA460" i="21"/>
  <c r="AA467" i="21"/>
  <c r="AA476" i="21"/>
  <c r="AA489" i="21"/>
  <c r="AA479" i="21"/>
  <c r="AA492" i="21"/>
  <c r="AA477" i="21"/>
  <c r="AA485" i="21"/>
  <c r="AA508" i="21"/>
  <c r="AA505" i="21"/>
  <c r="AA499" i="21"/>
  <c r="AA513" i="21"/>
  <c r="AA501" i="21"/>
  <c r="AA502" i="21"/>
  <c r="AA518" i="21"/>
  <c r="Z331" i="21"/>
  <c r="AA21" i="21"/>
  <c r="AA11" i="21"/>
  <c r="AA7" i="21"/>
  <c r="AA46" i="21"/>
  <c r="AA28" i="21"/>
  <c r="AA34" i="21"/>
  <c r="AA43" i="21"/>
  <c r="AA57" i="21"/>
  <c r="AA68" i="21"/>
  <c r="AA61" i="21"/>
  <c r="AA79" i="21"/>
  <c r="AA84" i="21"/>
  <c r="AA90" i="21"/>
  <c r="AA92" i="21"/>
  <c r="AA113" i="21"/>
  <c r="AA129" i="21"/>
  <c r="AA130" i="21"/>
  <c r="AA123" i="21"/>
  <c r="AA131" i="21"/>
  <c r="AA136" i="21"/>
  <c r="AA155" i="21"/>
  <c r="AA158" i="21"/>
  <c r="AA176" i="21"/>
  <c r="AA164" i="21"/>
  <c r="AA162" i="21"/>
  <c r="AA202" i="21"/>
  <c r="AA194" i="21"/>
  <c r="AA206" i="21"/>
  <c r="AA199" i="21"/>
  <c r="AA215" i="21"/>
  <c r="AA223" i="21"/>
  <c r="AA232" i="21"/>
  <c r="AA237" i="21"/>
  <c r="AA241" i="21"/>
  <c r="AA244" i="21"/>
  <c r="AA246" i="21"/>
  <c r="AA279" i="21"/>
  <c r="AA262" i="21"/>
  <c r="AA285" i="21"/>
  <c r="AA296" i="21"/>
  <c r="AA299" i="21"/>
  <c r="AA294" i="21"/>
  <c r="AA288" i="21"/>
  <c r="AA291" i="21"/>
  <c r="AA316" i="21"/>
  <c r="AA324" i="21"/>
  <c r="AA338" i="21"/>
  <c r="AA359" i="21"/>
  <c r="AA348" i="21"/>
  <c r="AA349" i="21"/>
  <c r="AA350" i="21"/>
  <c r="AA384" i="21"/>
  <c r="AA376" i="21"/>
  <c r="AA372" i="21"/>
  <c r="AA389" i="21"/>
  <c r="AA380" i="21"/>
  <c r="AA404" i="21"/>
  <c r="AA394" i="21"/>
  <c r="AA395" i="21"/>
  <c r="AA401" i="21"/>
  <c r="AA434" i="21"/>
  <c r="AA423" i="21"/>
  <c r="AA439" i="21"/>
  <c r="AA419" i="21"/>
  <c r="AA430" i="21"/>
  <c r="AA462" i="21"/>
  <c r="AA447" i="21"/>
  <c r="AA450" i="21"/>
  <c r="AA461" i="21"/>
  <c r="AA457" i="21"/>
  <c r="AA445" i="21"/>
  <c r="AA475" i="21"/>
  <c r="AA488" i="21"/>
  <c r="AA468" i="21"/>
  <c r="AA471" i="21"/>
  <c r="AA469" i="21"/>
  <c r="AA483" i="21"/>
  <c r="AA509" i="21"/>
  <c r="AA493" i="21"/>
  <c r="AA506" i="21"/>
  <c r="AA503" i="21"/>
  <c r="AA507" i="21"/>
  <c r="AA497" i="21"/>
  <c r="AA519" i="21"/>
  <c r="Z329" i="21"/>
  <c r="AA517" i="21"/>
  <c r="AA500" i="21"/>
  <c r="AA511" i="21"/>
  <c r="AA484" i="21"/>
  <c r="AA480" i="21"/>
  <c r="AA470" i="21"/>
  <c r="AA487" i="21"/>
  <c r="AA466" i="21"/>
  <c r="AA465" i="21"/>
  <c r="AA464" i="21"/>
  <c r="AA417" i="21"/>
  <c r="AA438" i="21"/>
  <c r="AA418" i="21"/>
  <c r="AA412" i="21"/>
  <c r="AA403" i="21"/>
  <c r="AA387" i="21"/>
  <c r="AA368" i="21"/>
  <c r="AA353" i="21"/>
  <c r="AA361" i="21"/>
  <c r="AA319" i="21"/>
  <c r="AA332" i="21"/>
  <c r="AA301" i="21"/>
  <c r="AA286" i="21"/>
  <c r="AA282" i="21"/>
  <c r="AA259" i="21"/>
  <c r="AA243" i="21"/>
  <c r="AA233" i="21"/>
  <c r="AA211" i="21"/>
  <c r="AA197" i="21"/>
  <c r="AA191" i="21"/>
  <c r="AA165" i="21"/>
  <c r="AA174" i="21"/>
  <c r="AA146" i="21"/>
  <c r="AA135" i="21"/>
  <c r="AA109" i="21"/>
  <c r="AA82" i="21"/>
  <c r="AA89" i="21"/>
  <c r="AA67" i="21"/>
  <c r="AA58" i="21"/>
  <c r="AA36" i="21"/>
  <c r="AA48" i="21"/>
  <c r="AA15" i="21"/>
  <c r="Z315" i="21"/>
  <c r="AA504" i="21"/>
  <c r="AA514" i="21"/>
  <c r="AA498" i="21"/>
  <c r="AA474" i="21"/>
  <c r="AA472" i="21"/>
  <c r="AA490" i="21"/>
  <c r="AA486" i="21"/>
  <c r="AA444" i="21"/>
  <c r="AA455" i="21"/>
  <c r="AA463" i="21"/>
  <c r="AA426" i="21"/>
  <c r="AA437" i="21"/>
  <c r="AA414" i="21"/>
  <c r="AA411" i="21"/>
  <c r="AA409" i="21"/>
  <c r="AA378" i="21"/>
  <c r="AA367" i="21"/>
  <c r="AA339" i="21"/>
  <c r="AA352" i="21"/>
  <c r="AA318" i="21"/>
  <c r="AA330" i="21"/>
  <c r="AA300" i="21"/>
  <c r="AA302" i="21"/>
  <c r="AA263" i="21"/>
  <c r="AA247" i="21"/>
  <c r="AA242" i="21"/>
  <c r="AA219" i="21"/>
  <c r="AA229" i="21"/>
  <c r="AA207" i="21"/>
  <c r="AA200" i="21"/>
  <c r="AA160" i="21"/>
  <c r="AA132" i="21"/>
  <c r="AA137" i="21"/>
  <c r="AA147" i="21"/>
  <c r="AA120" i="21"/>
  <c r="AA105" i="21"/>
  <c r="AA96" i="21"/>
  <c r="AA77" i="21"/>
  <c r="AA56" i="21"/>
  <c r="AA50" i="21"/>
  <c r="AA38" i="21"/>
  <c r="AA14" i="21"/>
  <c r="Z332" i="21"/>
  <c r="AA494" i="21"/>
  <c r="AA516" i="21"/>
  <c r="AA512" i="21"/>
  <c r="AA495" i="21"/>
  <c r="AA481" i="21"/>
  <c r="AA482" i="21"/>
  <c r="AA459" i="21"/>
  <c r="AA456" i="21"/>
  <c r="AA448" i="21"/>
  <c r="AA443" i="21"/>
  <c r="AA440" i="21"/>
  <c r="AA422" i="21"/>
  <c r="AA407" i="21"/>
  <c r="AA405" i="21"/>
  <c r="AA366" i="21"/>
  <c r="AA371" i="21"/>
  <c r="AA364" i="21"/>
  <c r="AA362" i="21"/>
  <c r="AA356" i="21"/>
  <c r="AA317" i="21"/>
  <c r="AA312" i="21"/>
  <c r="AA287" i="21"/>
  <c r="AA267" i="21"/>
  <c r="AA271" i="21"/>
  <c r="AA235" i="21"/>
  <c r="AA252" i="21"/>
  <c r="AA213" i="21"/>
  <c r="AA227" i="21"/>
  <c r="AA189" i="21"/>
  <c r="AA167" i="21"/>
  <c r="AA159" i="21"/>
  <c r="AA157" i="21"/>
  <c r="AA140" i="21"/>
  <c r="AA115" i="21"/>
  <c r="AA116" i="21"/>
  <c r="AA91" i="21"/>
  <c r="AA83" i="21"/>
  <c r="AA72" i="21"/>
  <c r="AA40" i="21"/>
  <c r="AA9" i="21"/>
  <c r="AA13" i="21"/>
  <c r="Z330" i="21"/>
  <c r="AA520" i="21"/>
  <c r="AA515" i="21"/>
  <c r="AA496" i="21"/>
  <c r="AA510" i="21"/>
  <c r="AA473" i="21"/>
  <c r="AA491" i="21"/>
  <c r="AA478" i="21"/>
  <c r="AA458" i="21"/>
  <c r="AA452" i="21"/>
  <c r="AA446" i="21"/>
  <c r="AA420" i="21"/>
  <c r="AA428" i="21"/>
  <c r="AA435" i="21"/>
  <c r="AA400" i="21"/>
  <c r="AA397" i="21"/>
  <c r="AA379" i="21"/>
  <c r="AA370" i="21"/>
  <c r="AA341" i="21"/>
  <c r="AA340" i="21"/>
  <c r="AA345" i="21"/>
  <c r="AA323" i="21"/>
  <c r="AA290" i="21"/>
  <c r="AA292" i="21"/>
  <c r="AA273" i="21"/>
  <c r="AA269" i="21"/>
  <c r="AA250" i="21"/>
  <c r="AA251" i="21"/>
  <c r="AA212" i="21"/>
  <c r="AA205" i="21"/>
  <c r="AA181" i="21"/>
  <c r="AA178" i="21"/>
  <c r="AA156" i="21"/>
  <c r="AA134" i="21"/>
  <c r="AA114" i="21"/>
  <c r="AA128" i="21"/>
  <c r="AA86" i="21"/>
  <c r="AA99" i="21"/>
  <c r="AA60" i="21"/>
  <c r="AA54" i="21"/>
  <c r="AA49" i="21"/>
  <c r="AA8" i="21"/>
  <c r="AA18" i="21"/>
  <c r="Y265" i="21"/>
  <c r="Z22" i="21"/>
  <c r="F10" i="17" a="1"/>
  <c r="F10" i="17" s="1"/>
  <c r="G10" i="17" s="1"/>
  <c r="I16" i="17" a="1"/>
  <c r="I16" i="17" s="1"/>
  <c r="H16" i="17" s="1"/>
  <c r="F16" i="17" a="1"/>
  <c r="F16" i="17" s="1"/>
  <c r="G16" i="17" s="1"/>
  <c r="I10" i="17" a="1"/>
  <c r="I10" i="17" s="1"/>
  <c r="H10" i="17" s="1"/>
  <c r="Z8" i="21"/>
  <c r="Z10" i="21"/>
  <c r="V68" i="6"/>
  <c r="Z18" i="21"/>
  <c r="V74" i="6"/>
  <c r="Y38" i="21"/>
  <c r="Z504" i="21"/>
  <c r="Z507" i="21"/>
  <c r="Z513" i="21"/>
  <c r="Z498" i="21"/>
  <c r="Z509" i="21"/>
  <c r="Z485" i="21"/>
  <c r="Z472" i="21"/>
  <c r="Z471" i="21"/>
  <c r="Z489" i="21"/>
  <c r="Z467" i="21"/>
  <c r="Z444" i="21"/>
  <c r="Z465" i="21"/>
  <c r="Z464" i="21"/>
  <c r="Z416" i="21"/>
  <c r="Z440" i="21"/>
  <c r="Z423" i="21"/>
  <c r="Z432" i="21"/>
  <c r="Z400" i="21"/>
  <c r="Z410" i="21"/>
  <c r="Z393" i="21"/>
  <c r="Z390" i="21"/>
  <c r="Z377" i="21"/>
  <c r="Z368" i="21"/>
  <c r="Z364" i="21"/>
  <c r="Z349" i="21"/>
  <c r="Z354" i="21"/>
  <c r="Z357" i="21"/>
  <c r="Z336" i="21"/>
  <c r="Z314" i="21"/>
  <c r="Z312" i="21"/>
  <c r="Z300" i="21"/>
  <c r="Z305" i="21"/>
  <c r="Z298" i="21"/>
  <c r="Z276" i="21"/>
  <c r="Z284" i="21"/>
  <c r="Z280" i="21"/>
  <c r="Z248" i="21"/>
  <c r="Z250" i="21"/>
  <c r="Z242" i="21"/>
  <c r="Z224" i="21"/>
  <c r="Z231" i="21"/>
  <c r="Z209" i="21"/>
  <c r="Z190" i="21"/>
  <c r="Z195" i="21"/>
  <c r="Z167" i="21"/>
  <c r="Z521" i="21"/>
  <c r="Z168" i="21"/>
  <c r="Z143" i="21"/>
  <c r="Z110" i="21"/>
  <c r="Z91" i="21"/>
  <c r="Z67" i="21"/>
  <c r="Z71" i="21"/>
  <c r="Z47" i="21"/>
  <c r="V278" i="6"/>
  <c r="V266" i="6"/>
  <c r="V229" i="6"/>
  <c r="Z21" i="21"/>
  <c r="Z12" i="21"/>
  <c r="Z16" i="21"/>
  <c r="Z45" i="21"/>
  <c r="Z26" i="21"/>
  <c r="Z32" i="21"/>
  <c r="Z44" i="21"/>
  <c r="Z36" i="21"/>
  <c r="Z72" i="21"/>
  <c r="Z75" i="21"/>
  <c r="Z64" i="21"/>
  <c r="Z77" i="21"/>
  <c r="Z79" i="21"/>
  <c r="Z96" i="21"/>
  <c r="Z86" i="21"/>
  <c r="Z85" i="21"/>
  <c r="Z97" i="21"/>
  <c r="Z107" i="21"/>
  <c r="Z117" i="21"/>
  <c r="Z109" i="21"/>
  <c r="Z125" i="21"/>
  <c r="Z108" i="21"/>
  <c r="Z148" i="21"/>
  <c r="Z151" i="21"/>
  <c r="Z138" i="21"/>
  <c r="Z154" i="21"/>
  <c r="Z133" i="21"/>
  <c r="Z178" i="21"/>
  <c r="Z180" i="21"/>
  <c r="Z169" i="21"/>
  <c r="Z181" i="21"/>
  <c r="Z202" i="21"/>
  <c r="Z204" i="21"/>
  <c r="Z185" i="21"/>
  <c r="Z197" i="21"/>
  <c r="Z214" i="21"/>
  <c r="Z215" i="21"/>
  <c r="Z211" i="21"/>
  <c r="Z212" i="21"/>
  <c r="Z217" i="21"/>
  <c r="Z233" i="21"/>
  <c r="Z252" i="21"/>
  <c r="Z253" i="21"/>
  <c r="V236" i="6"/>
  <c r="V240" i="6"/>
  <c r="V255" i="6"/>
  <c r="V259" i="6"/>
  <c r="V261" i="6"/>
  <c r="V265" i="6"/>
  <c r="V274" i="6"/>
  <c r="Z520" i="21"/>
  <c r="Z497" i="21"/>
  <c r="Z501" i="21"/>
  <c r="Z496" i="21"/>
  <c r="Z493" i="21"/>
  <c r="Z508" i="21"/>
  <c r="Z473" i="21"/>
  <c r="Z469" i="21"/>
  <c r="Z479" i="21"/>
  <c r="Z478" i="21"/>
  <c r="Z459" i="21"/>
  <c r="Z274" i="21"/>
  <c r="Z449" i="21"/>
  <c r="Z463" i="21"/>
  <c r="Z417" i="21"/>
  <c r="Z425" i="21"/>
  <c r="Z422" i="21"/>
  <c r="Z418" i="21"/>
  <c r="Z395" i="21"/>
  <c r="Z406" i="21"/>
  <c r="Z409" i="21"/>
  <c r="Z388" i="21"/>
  <c r="Z375" i="21"/>
  <c r="Z385" i="21"/>
  <c r="Z344" i="21"/>
  <c r="Z362" i="21"/>
  <c r="Z361" i="21"/>
  <c r="Z345" i="21"/>
  <c r="Z335" i="21"/>
  <c r="Z328" i="21"/>
  <c r="Z311" i="21"/>
  <c r="Z308" i="21"/>
  <c r="Z286" i="21"/>
  <c r="Z302" i="21"/>
  <c r="Z273" i="21"/>
  <c r="Z262" i="21"/>
  <c r="Z261" i="21"/>
  <c r="Z259" i="21"/>
  <c r="Z257" i="21"/>
  <c r="Z254" i="21"/>
  <c r="Z234" i="21"/>
  <c r="Z210" i="21"/>
  <c r="Z184" i="21"/>
  <c r="Z187" i="21"/>
  <c r="Z162" i="21"/>
  <c r="Z159" i="21"/>
  <c r="Z132" i="21"/>
  <c r="Z150" i="21"/>
  <c r="Z118" i="21"/>
  <c r="Z62" i="21"/>
  <c r="Z69" i="21"/>
  <c r="Z37" i="21"/>
  <c r="Z29" i="21"/>
  <c r="V262" i="6"/>
  <c r="V250" i="6"/>
  <c r="Z519" i="21"/>
  <c r="Z502" i="21"/>
  <c r="Z514" i="21"/>
  <c r="Z506" i="21"/>
  <c r="Z505" i="21"/>
  <c r="Z474" i="21"/>
  <c r="Z483" i="21"/>
  <c r="Z492" i="21"/>
  <c r="Z490" i="21"/>
  <c r="Z476" i="21"/>
  <c r="Z458" i="21"/>
  <c r="Z452" i="21"/>
  <c r="Z448" i="21"/>
  <c r="Z453" i="21"/>
  <c r="Z442" i="21"/>
  <c r="Z424" i="21"/>
  <c r="Z421" i="21"/>
  <c r="Z391" i="21"/>
  <c r="Z412" i="21"/>
  <c r="Z405" i="21"/>
  <c r="Z380" i="21"/>
  <c r="Z373" i="21"/>
  <c r="Z370" i="21"/>
  <c r="Z374" i="21"/>
  <c r="Z363" i="21"/>
  <c r="Z320" i="21"/>
  <c r="Z359" i="21"/>
  <c r="Z313" i="21"/>
  <c r="Z318" i="21"/>
  <c r="Z316" i="21"/>
  <c r="Z288" i="21"/>
  <c r="Z301" i="21"/>
  <c r="Z289" i="21"/>
  <c r="Z277" i="21"/>
  <c r="Z267" i="21"/>
  <c r="Z272" i="21"/>
  <c r="Z279" i="21"/>
  <c r="Z235" i="21"/>
  <c r="Z236" i="21"/>
  <c r="Z255" i="21"/>
  <c r="Z213" i="21"/>
  <c r="Z216" i="21"/>
  <c r="Z227" i="21"/>
  <c r="Z206" i="21"/>
  <c r="Z191" i="21"/>
  <c r="Z170" i="21"/>
  <c r="Z177" i="21"/>
  <c r="Z155" i="21"/>
  <c r="Z123" i="21"/>
  <c r="Z116" i="21"/>
  <c r="Z89" i="21"/>
  <c r="Z68" i="21"/>
  <c r="Z33" i="21"/>
  <c r="V241" i="6"/>
  <c r="Z518" i="21"/>
  <c r="Z515" i="21"/>
  <c r="Z503" i="21"/>
  <c r="Z499" i="21"/>
  <c r="Z510" i="21"/>
  <c r="Z477" i="21"/>
  <c r="Z491" i="21"/>
  <c r="Z468" i="21"/>
  <c r="Z487" i="21"/>
  <c r="Z466" i="21"/>
  <c r="Z451" i="21"/>
  <c r="Z446" i="21"/>
  <c r="Z420" i="21"/>
  <c r="Z441" i="21"/>
  <c r="Z437" i="21"/>
  <c r="Z433" i="21"/>
  <c r="Z392" i="21"/>
  <c r="Z398" i="21"/>
  <c r="Z396" i="21"/>
  <c r="Z366" i="21"/>
  <c r="Z387" i="21"/>
  <c r="Z376" i="21"/>
  <c r="Z347" i="21"/>
  <c r="Z339" i="21"/>
  <c r="Z342" i="21"/>
  <c r="Z346" i="21"/>
  <c r="Z338" i="21"/>
  <c r="Z333" i="21"/>
  <c r="Z322" i="21"/>
  <c r="Z291" i="21"/>
  <c r="Z310" i="21"/>
  <c r="Z306" i="21"/>
  <c r="Z299" i="21"/>
  <c r="Z297" i="21"/>
  <c r="Z282" i="21"/>
  <c r="Z271" i="21"/>
  <c r="Z260" i="21"/>
  <c r="Z246" i="21"/>
  <c r="Z249" i="21"/>
  <c r="Z239" i="21"/>
  <c r="Z226" i="21"/>
  <c r="Z229" i="21"/>
  <c r="Z201" i="21"/>
  <c r="Z194" i="21"/>
  <c r="Z183" i="21"/>
  <c r="Z165" i="21"/>
  <c r="Z174" i="21"/>
  <c r="Z146" i="21"/>
  <c r="Z115" i="21"/>
  <c r="Z87" i="21"/>
  <c r="Z99" i="21"/>
  <c r="Z73" i="21"/>
  <c r="Z31" i="21"/>
  <c r="Z23" i="21"/>
  <c r="V256" i="6"/>
  <c r="V238" i="6"/>
  <c r="Z158" i="21"/>
  <c r="Z156" i="21"/>
  <c r="Z144" i="21"/>
  <c r="Z140" i="21"/>
  <c r="Z135" i="21"/>
  <c r="Z122" i="21"/>
  <c r="Z111" i="21"/>
  <c r="Z129" i="21"/>
  <c r="Z127" i="21"/>
  <c r="Z82" i="21"/>
  <c r="Z105" i="21"/>
  <c r="Z103" i="21"/>
  <c r="Z100" i="21"/>
  <c r="Z95" i="21"/>
  <c r="Z98" i="21"/>
  <c r="Z66" i="21"/>
  <c r="Z55" i="21"/>
  <c r="Z59" i="21"/>
  <c r="Z56" i="21"/>
  <c r="Z42" i="21"/>
  <c r="Z35" i="21"/>
  <c r="Z40" i="21"/>
  <c r="Z39" i="21"/>
  <c r="Z46" i="21"/>
  <c r="Z25" i="21"/>
  <c r="Z19" i="21"/>
  <c r="Z13" i="21"/>
  <c r="V276" i="6"/>
  <c r="V273" i="6"/>
  <c r="V270" i="6"/>
  <c r="V264" i="6"/>
  <c r="V258" i="6"/>
  <c r="V254" i="6"/>
  <c r="V251" i="6"/>
  <c r="V247" i="6"/>
  <c r="V233" i="6"/>
  <c r="V280" i="6"/>
  <c r="V226" i="6"/>
  <c r="V230" i="6"/>
  <c r="V234" i="6"/>
  <c r="V237" i="6"/>
  <c r="V242" i="6"/>
  <c r="V246" i="6"/>
  <c r="V252" i="6"/>
  <c r="V227" i="6"/>
  <c r="V231" i="6"/>
  <c r="V243" i="6"/>
  <c r="V248" i="6"/>
  <c r="V253" i="6"/>
  <c r="V279" i="6"/>
  <c r="V228" i="6"/>
  <c r="V235" i="6"/>
  <c r="V244" i="6"/>
  <c r="V249" i="6"/>
  <c r="V257" i="6"/>
  <c r="V260" i="6"/>
  <c r="V263" i="6"/>
  <c r="V267" i="6"/>
  <c r="V271" i="6"/>
  <c r="V272" i="6"/>
  <c r="V275" i="6"/>
  <c r="V277" i="6"/>
  <c r="Z11" i="21"/>
  <c r="Z14" i="21"/>
  <c r="Z6" i="21"/>
  <c r="Z9" i="21"/>
  <c r="Z38" i="21"/>
  <c r="Z30" i="21"/>
  <c r="Z28" i="21"/>
  <c r="Z49" i="21"/>
  <c r="Z34" i="21"/>
  <c r="Z41" i="21"/>
  <c r="Z54" i="21"/>
  <c r="Z74" i="21"/>
  <c r="Z57" i="21"/>
  <c r="Z65" i="21"/>
  <c r="Z70" i="21"/>
  <c r="Z61" i="21"/>
  <c r="Z93" i="21"/>
  <c r="Z88" i="21"/>
  <c r="Z84" i="21"/>
  <c r="Z102" i="21"/>
  <c r="Z104" i="21"/>
  <c r="Z94" i="21"/>
  <c r="Z92" i="21"/>
  <c r="Z113" i="21"/>
  <c r="Z126" i="21"/>
  <c r="Z119" i="21"/>
  <c r="Z120" i="21"/>
  <c r="Z114" i="21"/>
  <c r="Z112" i="21"/>
  <c r="Z149" i="21"/>
  <c r="Z131" i="21"/>
  <c r="Z152" i="21"/>
  <c r="Z153" i="21"/>
  <c r="Z157" i="21"/>
  <c r="Z142" i="21"/>
  <c r="Z145" i="21"/>
  <c r="Z175" i="21"/>
  <c r="Z163" i="21"/>
  <c r="Z179" i="21"/>
  <c r="Z164" i="21"/>
  <c r="Z161" i="21"/>
  <c r="Z171" i="21"/>
  <c r="Z193" i="21"/>
  <c r="Z203" i="21"/>
  <c r="Z205" i="21"/>
  <c r="Z192" i="21"/>
  <c r="Z207" i="21"/>
  <c r="Z188" i="21"/>
  <c r="Z199" i="21"/>
  <c r="Z228" i="21"/>
  <c r="Z220" i="21"/>
  <c r="Z230" i="21"/>
  <c r="Z221" i="21"/>
  <c r="Z219" i="21"/>
  <c r="Z225" i="21"/>
  <c r="Z237" i="21"/>
  <c r="Z251" i="21"/>
  <c r="Z243" i="21"/>
  <c r="Z256" i="21"/>
  <c r="Z258" i="21"/>
  <c r="Z240" i="21"/>
  <c r="Z278" i="21"/>
  <c r="Z270" i="21"/>
  <c r="Z266" i="21"/>
  <c r="Z263" i="21"/>
  <c r="Z283" i="21"/>
  <c r="Z285" i="21"/>
  <c r="Z268" i="21"/>
  <c r="Z296" i="21"/>
  <c r="Z292" i="21"/>
  <c r="Z293" i="21"/>
  <c r="Z294" i="21"/>
  <c r="Z290" i="21"/>
  <c r="Z295" i="21"/>
  <c r="Z326" i="21"/>
  <c r="Z317" i="21"/>
  <c r="Z324" i="21"/>
  <c r="Z319" i="21"/>
  <c r="Z355" i="21"/>
  <c r="Z358" i="21"/>
  <c r="Z352" i="21"/>
  <c r="Z348" i="21"/>
  <c r="Z343" i="21"/>
  <c r="Z353" i="21"/>
  <c r="Z341" i="21"/>
  <c r="Z384" i="21"/>
  <c r="Z369" i="21"/>
  <c r="Z371" i="21"/>
  <c r="Z378" i="21"/>
  <c r="Z389" i="21"/>
  <c r="Z365" i="21"/>
  <c r="Z403" i="21"/>
  <c r="Z397" i="21"/>
  <c r="Z394" i="21"/>
  <c r="Z399" i="21"/>
  <c r="Z407" i="21"/>
  <c r="Z414" i="21"/>
  <c r="Z434" i="21"/>
  <c r="Z436" i="21"/>
  <c r="Z438" i="21"/>
  <c r="Z428" i="21"/>
  <c r="Z419" i="21"/>
  <c r="Z430" i="21"/>
  <c r="Z462" i="21"/>
  <c r="Z447" i="21"/>
  <c r="Z450" i="21"/>
  <c r="Z461" i="21"/>
  <c r="Z457" i="21"/>
  <c r="Z445" i="21"/>
  <c r="Z475" i="21"/>
  <c r="Z488" i="21"/>
  <c r="Z494" i="21"/>
  <c r="Z517" i="21"/>
  <c r="Z516" i="21"/>
  <c r="Z500" i="21"/>
  <c r="Z512" i="21"/>
  <c r="Z511" i="21"/>
  <c r="Z495" i="21"/>
  <c r="Z484" i="21"/>
  <c r="Z481" i="21"/>
  <c r="Z480" i="21"/>
  <c r="Z470" i="21"/>
  <c r="Z482" i="21"/>
  <c r="Z486" i="21"/>
  <c r="Z460" i="21"/>
  <c r="Z456" i="21"/>
  <c r="Z455" i="21"/>
  <c r="Z454" i="21"/>
  <c r="Z443" i="21"/>
  <c r="Z426" i="21"/>
  <c r="Z439" i="21"/>
  <c r="Z415" i="21"/>
  <c r="Z435" i="21"/>
  <c r="Z401" i="21"/>
  <c r="Z413" i="21"/>
  <c r="Z411" i="21"/>
  <c r="Z404" i="21"/>
  <c r="Z408" i="21"/>
  <c r="Z379" i="21"/>
  <c r="Z372" i="21"/>
  <c r="Z386" i="21"/>
  <c r="Z367" i="21"/>
  <c r="Z350" i="21"/>
  <c r="Z351" i="21"/>
  <c r="Z340" i="21"/>
  <c r="Z360" i="21"/>
  <c r="Z356" i="21"/>
  <c r="Z337" i="21"/>
  <c r="Z334" i="21"/>
  <c r="Z323" i="21"/>
  <c r="Z309" i="21"/>
  <c r="Z307" i="21"/>
  <c r="Z287" i="21"/>
  <c r="Z304" i="21"/>
  <c r="Z303" i="21"/>
  <c r="Z265" i="21"/>
  <c r="Z264" i="21"/>
  <c r="Z281" i="21"/>
  <c r="Z269" i="21"/>
  <c r="Z247" i="21"/>
  <c r="Z245" i="21"/>
  <c r="Z244" i="21"/>
  <c r="Z241" i="21"/>
  <c r="Z238" i="21"/>
  <c r="Z218" i="21"/>
  <c r="Z232" i="21"/>
  <c r="Z223" i="21"/>
  <c r="Z222" i="21"/>
  <c r="Z186" i="21"/>
  <c r="Z196" i="21"/>
  <c r="Z189" i="21"/>
  <c r="Z200" i="21"/>
  <c r="Z182" i="21"/>
  <c r="Z166" i="21"/>
  <c r="Z160" i="21"/>
  <c r="Z173" i="21"/>
  <c r="Z176" i="21"/>
  <c r="Z139" i="21"/>
  <c r="Z141" i="21"/>
  <c r="Z137" i="21"/>
  <c r="Z136" i="21"/>
  <c r="Z134" i="21"/>
  <c r="Z147" i="21"/>
  <c r="Z130" i="21"/>
  <c r="Z121" i="21"/>
  <c r="Z124" i="21"/>
  <c r="Z128" i="21"/>
  <c r="Z106" i="21"/>
  <c r="Z81" i="21"/>
  <c r="Z90" i="21"/>
  <c r="Z101" i="21"/>
  <c r="Z83" i="21"/>
  <c r="Z78" i="21"/>
  <c r="Z76" i="21"/>
  <c r="Z60" i="21"/>
  <c r="Z63" i="21"/>
  <c r="Z58" i="21"/>
  <c r="Z43" i="21"/>
  <c r="Z50" i="21"/>
  <c r="Z27" i="21"/>
  <c r="Z48" i="21"/>
  <c r="Z17" i="21"/>
  <c r="Z7" i="21"/>
  <c r="Z15" i="21"/>
  <c r="Z24" i="21"/>
  <c r="V269" i="6"/>
  <c r="V268" i="6"/>
  <c r="V245" i="6"/>
  <c r="V239" i="6"/>
  <c r="V232" i="6"/>
  <c r="Y54" i="21"/>
  <c r="V209" i="6"/>
  <c r="Y293" i="21"/>
  <c r="Y463" i="21"/>
  <c r="Y471" i="21"/>
  <c r="Y330" i="21"/>
  <c r="Y350" i="21"/>
  <c r="Y216" i="21"/>
  <c r="Y357" i="21"/>
  <c r="Y316" i="21"/>
  <c r="Y440" i="21"/>
  <c r="Y375" i="21"/>
  <c r="Y435" i="21"/>
  <c r="Y420" i="21"/>
  <c r="Y315" i="21"/>
  <c r="Y322" i="21"/>
  <c r="Y392" i="21"/>
  <c r="Y456" i="21"/>
  <c r="Y414" i="21"/>
  <c r="Y348" i="21"/>
  <c r="Y481" i="21"/>
  <c r="Y289" i="21"/>
  <c r="Y323" i="21"/>
  <c r="Y331" i="21"/>
  <c r="Y339" i="21"/>
  <c r="Y404" i="21"/>
  <c r="Y439" i="21"/>
  <c r="Y317" i="21"/>
  <c r="Y380" i="21"/>
  <c r="Y409" i="21"/>
  <c r="Y319" i="21"/>
  <c r="Y370" i="21"/>
  <c r="Y372" i="21"/>
  <c r="Y458" i="21"/>
  <c r="Y445" i="21"/>
  <c r="Y432" i="21"/>
  <c r="Y361" i="21"/>
  <c r="Y353" i="21"/>
  <c r="Y512" i="21"/>
  <c r="Y384" i="21"/>
  <c r="Y256" i="21"/>
  <c r="Y374" i="21"/>
  <c r="Y314" i="21"/>
  <c r="Y365" i="21"/>
  <c r="Y510" i="21"/>
  <c r="Y474" i="21"/>
  <c r="Y371" i="21"/>
  <c r="Y73" i="21"/>
  <c r="Y177" i="21"/>
  <c r="Y443" i="21"/>
  <c r="I7" i="17" a="1"/>
  <c r="I7" i="17" s="1"/>
  <c r="H7" i="17" s="1"/>
  <c r="F135" i="17" a="1"/>
  <c r="F135" i="17" s="1"/>
  <c r="G135" i="17" s="1"/>
  <c r="I17" i="17" a="1"/>
  <c r="I17" i="17" s="1"/>
  <c r="H17" i="17" s="1"/>
  <c r="F6" i="17" a="1"/>
  <c r="F6" i="17" s="1"/>
  <c r="G6" i="17" s="1"/>
  <c r="F146" i="17" a="1"/>
  <c r="F146" i="17" s="1"/>
  <c r="G146" i="17" s="1"/>
  <c r="F134" i="17" a="1"/>
  <c r="F134" i="17" s="1"/>
  <c r="G134" i="17" s="1"/>
  <c r="F122" i="17" a="1"/>
  <c r="F122" i="17" s="1"/>
  <c r="G122" i="17" s="1"/>
  <c r="F110" i="17" a="1"/>
  <c r="F110" i="17" s="1"/>
  <c r="G110" i="17" s="1"/>
  <c r="F98" i="17" a="1"/>
  <c r="F98" i="17" s="1"/>
  <c r="G98" i="17" s="1"/>
  <c r="F86" i="17" a="1"/>
  <c r="F86" i="17" s="1"/>
  <c r="G86" i="17" s="1"/>
  <c r="F74" i="17" a="1"/>
  <c r="F74" i="17" s="1"/>
  <c r="G74" i="17" s="1"/>
  <c r="F62" i="17" a="1"/>
  <c r="F62" i="17" s="1"/>
  <c r="G62" i="17" s="1"/>
  <c r="F50" i="17" a="1"/>
  <c r="F50" i="17" s="1"/>
  <c r="G50" i="17" s="1"/>
  <c r="F38" i="17" a="1"/>
  <c r="F38" i="17" s="1"/>
  <c r="G38" i="17" s="1"/>
  <c r="F26" i="17" a="1"/>
  <c r="F26" i="17" s="1"/>
  <c r="G26" i="17" s="1"/>
  <c r="I150" i="17" a="1"/>
  <c r="I150" i="17" s="1"/>
  <c r="H150" i="17" s="1"/>
  <c r="I139" i="17" a="1"/>
  <c r="I139" i="17" s="1"/>
  <c r="H139" i="17" s="1"/>
  <c r="I129" i="17" a="1"/>
  <c r="I129" i="17" s="1"/>
  <c r="H129" i="17" s="1"/>
  <c r="I119" i="17" a="1"/>
  <c r="I119" i="17" s="1"/>
  <c r="H119" i="17" s="1"/>
  <c r="I98" i="17" a="1"/>
  <c r="I98" i="17" s="1"/>
  <c r="H98" i="17" s="1"/>
  <c r="I88" i="17" a="1"/>
  <c r="I88" i="17" s="1"/>
  <c r="H88" i="17" s="1"/>
  <c r="I78" i="17" a="1"/>
  <c r="I78" i="17" s="1"/>
  <c r="H78" i="17" s="1"/>
  <c r="I67" i="17" a="1"/>
  <c r="I67" i="17" s="1"/>
  <c r="H67" i="17" s="1"/>
  <c r="I57" i="17" a="1"/>
  <c r="I57" i="17" s="1"/>
  <c r="H57" i="17" s="1"/>
  <c r="I47" i="17" a="1"/>
  <c r="I47" i="17" s="1"/>
  <c r="H47" i="17" s="1"/>
  <c r="I26" i="17" a="1"/>
  <c r="I26" i="17" s="1"/>
  <c r="H26" i="17" s="1"/>
  <c r="F147" i="17" a="1"/>
  <c r="F147" i="17" s="1"/>
  <c r="G147" i="17" s="1"/>
  <c r="F51" i="17" a="1"/>
  <c r="F51" i="17" s="1"/>
  <c r="G51" i="17" s="1"/>
  <c r="I140" i="17" a="1"/>
  <c r="I140" i="17" s="1"/>
  <c r="H140" i="17" s="1"/>
  <c r="I27" i="17" a="1"/>
  <c r="I27" i="17" s="1"/>
  <c r="H27" i="17" s="1"/>
  <c r="F157" i="17" a="1"/>
  <c r="F157" i="17" s="1"/>
  <c r="G157" i="17" s="1"/>
  <c r="F145" i="17" a="1"/>
  <c r="F145" i="17" s="1"/>
  <c r="G145" i="17" s="1"/>
  <c r="F133" i="17" a="1"/>
  <c r="F133" i="17" s="1"/>
  <c r="G133" i="17" s="1"/>
  <c r="F121" i="17" a="1"/>
  <c r="F121" i="17" s="1"/>
  <c r="G121" i="17" s="1"/>
  <c r="F109" i="17" a="1"/>
  <c r="F109" i="17" s="1"/>
  <c r="G109" i="17" s="1"/>
  <c r="F97" i="17" a="1"/>
  <c r="F97" i="17" s="1"/>
  <c r="G97" i="17" s="1"/>
  <c r="F85" i="17" a="1"/>
  <c r="F85" i="17" s="1"/>
  <c r="G85" i="17" s="1"/>
  <c r="F73" i="17" a="1"/>
  <c r="F73" i="17" s="1"/>
  <c r="G73" i="17" s="1"/>
  <c r="F61" i="17" a="1"/>
  <c r="F61" i="17" s="1"/>
  <c r="G61" i="17" s="1"/>
  <c r="F49" i="17" a="1"/>
  <c r="F49" i="17" s="1"/>
  <c r="G49" i="17" s="1"/>
  <c r="F37" i="17" a="1"/>
  <c r="F37" i="17" s="1"/>
  <c r="G37" i="17" s="1"/>
  <c r="F25" i="17" a="1"/>
  <c r="F25" i="17" s="1"/>
  <c r="G25" i="17" s="1"/>
  <c r="I149" i="17" a="1"/>
  <c r="I149" i="17" s="1"/>
  <c r="H149" i="17" s="1"/>
  <c r="I128" i="17" a="1"/>
  <c r="I128" i="17" s="1"/>
  <c r="H128" i="17" s="1"/>
  <c r="I118" i="17" a="1"/>
  <c r="I118" i="17" s="1"/>
  <c r="H118" i="17" s="1"/>
  <c r="I108" i="17" a="1"/>
  <c r="I108" i="17" s="1"/>
  <c r="H108" i="17" s="1"/>
  <c r="I97" i="17" a="1"/>
  <c r="I97" i="17" s="1"/>
  <c r="H97" i="17" s="1"/>
  <c r="I87" i="17" a="1"/>
  <c r="I87" i="17" s="1"/>
  <c r="H87" i="17" s="1"/>
  <c r="I77" i="17" a="1"/>
  <c r="I77" i="17" s="1"/>
  <c r="H77" i="17" s="1"/>
  <c r="I56" i="17" a="1"/>
  <c r="I56" i="17" s="1"/>
  <c r="H56" i="17" s="1"/>
  <c r="I46" i="17" a="1"/>
  <c r="I46" i="17" s="1"/>
  <c r="H46" i="17" s="1"/>
  <c r="I36" i="17" a="1"/>
  <c r="I36" i="17" s="1"/>
  <c r="H36" i="17" s="1"/>
  <c r="I25" i="17" a="1"/>
  <c r="I25" i="17" s="1"/>
  <c r="H25" i="17" s="1"/>
  <c r="I37" i="17" a="1"/>
  <c r="I37" i="17" s="1"/>
  <c r="H37" i="17" s="1"/>
  <c r="F156" i="17" a="1"/>
  <c r="F156" i="17" s="1"/>
  <c r="G156" i="17" s="1"/>
  <c r="F144" i="17" a="1"/>
  <c r="F144" i="17" s="1"/>
  <c r="G144" i="17" s="1"/>
  <c r="F132" i="17" a="1"/>
  <c r="F132" i="17" s="1"/>
  <c r="G132" i="17" s="1"/>
  <c r="F120" i="17" a="1"/>
  <c r="F120" i="17" s="1"/>
  <c r="G120" i="17" s="1"/>
  <c r="F108" i="17" a="1"/>
  <c r="F108" i="17" s="1"/>
  <c r="G108" i="17" s="1"/>
  <c r="F96" i="17" a="1"/>
  <c r="F96" i="17" s="1"/>
  <c r="G96" i="17" s="1"/>
  <c r="F84" i="17" a="1"/>
  <c r="F84" i="17" s="1"/>
  <c r="G84" i="17" s="1"/>
  <c r="F72" i="17" a="1"/>
  <c r="F72" i="17" s="1"/>
  <c r="G72" i="17" s="1"/>
  <c r="F60" i="17" a="1"/>
  <c r="F60" i="17" s="1"/>
  <c r="G60" i="17" s="1"/>
  <c r="F48" i="17" a="1"/>
  <c r="F48" i="17" s="1"/>
  <c r="G48" i="17" s="1"/>
  <c r="F36" i="17" a="1"/>
  <c r="F36" i="17" s="1"/>
  <c r="G36" i="17" s="1"/>
  <c r="F24" i="17" a="1"/>
  <c r="F24" i="17" s="1"/>
  <c r="G24" i="17" s="1"/>
  <c r="I6" i="17" a="1"/>
  <c r="I6" i="17" s="1"/>
  <c r="H6" i="17" s="1"/>
  <c r="I148" i="17" a="1"/>
  <c r="I148" i="17" s="1"/>
  <c r="H148" i="17" s="1"/>
  <c r="I138" i="17" a="1"/>
  <c r="I138" i="17" s="1"/>
  <c r="H138" i="17" s="1"/>
  <c r="I127" i="17" a="1"/>
  <c r="I127" i="17" s="1"/>
  <c r="H127" i="17" s="1"/>
  <c r="I117" i="17" a="1"/>
  <c r="I117" i="17" s="1"/>
  <c r="H117" i="17" s="1"/>
  <c r="I107" i="17" a="1"/>
  <c r="I107" i="17" s="1"/>
  <c r="H107" i="17" s="1"/>
  <c r="I86" i="17" a="1"/>
  <c r="I86" i="17" s="1"/>
  <c r="H86" i="17" s="1"/>
  <c r="I76" i="17" a="1"/>
  <c r="I76" i="17" s="1"/>
  <c r="H76" i="17" s="1"/>
  <c r="I66" i="17" a="1"/>
  <c r="I66" i="17" s="1"/>
  <c r="H66" i="17" s="1"/>
  <c r="I55" i="17" a="1"/>
  <c r="I55" i="17" s="1"/>
  <c r="H55" i="17" s="1"/>
  <c r="I45" i="17" a="1"/>
  <c r="I45" i="17" s="1"/>
  <c r="H45" i="17" s="1"/>
  <c r="I35" i="17" a="1"/>
  <c r="I35" i="17" s="1"/>
  <c r="H35" i="17" s="1"/>
  <c r="F123" i="17" a="1"/>
  <c r="F123" i="17" s="1"/>
  <c r="G123" i="17" s="1"/>
  <c r="I48" i="17" a="1"/>
  <c r="I48" i="17" s="1"/>
  <c r="H48" i="17" s="1"/>
  <c r="F155" i="17" a="1"/>
  <c r="F155" i="17" s="1"/>
  <c r="G155" i="17" s="1"/>
  <c r="F143" i="17" a="1"/>
  <c r="F143" i="17" s="1"/>
  <c r="G143" i="17" s="1"/>
  <c r="F131" i="17" a="1"/>
  <c r="F131" i="17" s="1"/>
  <c r="G131" i="17" s="1"/>
  <c r="F119" i="17" a="1"/>
  <c r="F119" i="17" s="1"/>
  <c r="G119" i="17" s="1"/>
  <c r="F107" i="17" a="1"/>
  <c r="F107" i="17" s="1"/>
  <c r="G107" i="17" s="1"/>
  <c r="F95" i="17" a="1"/>
  <c r="F95" i="17" s="1"/>
  <c r="G95" i="17" s="1"/>
  <c r="F83" i="17" a="1"/>
  <c r="F83" i="17" s="1"/>
  <c r="G83" i="17" s="1"/>
  <c r="F71" i="17" a="1"/>
  <c r="F71" i="17" s="1"/>
  <c r="G71" i="17" s="1"/>
  <c r="F59" i="17" a="1"/>
  <c r="F59" i="17" s="1"/>
  <c r="G59" i="17" s="1"/>
  <c r="F47" i="17" a="1"/>
  <c r="F47" i="17" s="1"/>
  <c r="G47" i="17" s="1"/>
  <c r="F35" i="17" a="1"/>
  <c r="F35" i="17" s="1"/>
  <c r="G35" i="17" s="1"/>
  <c r="F23" i="17" a="1"/>
  <c r="F23" i="17" s="1"/>
  <c r="G23" i="17" s="1"/>
  <c r="I157" i="17" a="1"/>
  <c r="I157" i="17" s="1"/>
  <c r="H157" i="17" s="1"/>
  <c r="I147" i="17" a="1"/>
  <c r="I147" i="17" s="1"/>
  <c r="H147" i="17" s="1"/>
  <c r="I137" i="17" a="1"/>
  <c r="I137" i="17" s="1"/>
  <c r="H137" i="17" s="1"/>
  <c r="I116" i="17" a="1"/>
  <c r="I116" i="17" s="1"/>
  <c r="H116" i="17" s="1"/>
  <c r="I106" i="17" a="1"/>
  <c r="I106" i="17" s="1"/>
  <c r="H106" i="17" s="1"/>
  <c r="I96" i="17" a="1"/>
  <c r="I96" i="17" s="1"/>
  <c r="H96" i="17" s="1"/>
  <c r="I85" i="17" a="1"/>
  <c r="I85" i="17" s="1"/>
  <c r="H85" i="17" s="1"/>
  <c r="I75" i="17" a="1"/>
  <c r="I75" i="17" s="1"/>
  <c r="H75" i="17" s="1"/>
  <c r="I65" i="17" a="1"/>
  <c r="I65" i="17" s="1"/>
  <c r="H65" i="17" s="1"/>
  <c r="I44" i="17" a="1"/>
  <c r="I44" i="17" s="1"/>
  <c r="H44" i="17" s="1"/>
  <c r="I34" i="17" a="1"/>
  <c r="I34" i="17" s="1"/>
  <c r="H34" i="17" s="1"/>
  <c r="I24" i="17" a="1"/>
  <c r="I24" i="17" s="1"/>
  <c r="H24" i="17" s="1"/>
  <c r="F75" i="17" a="1"/>
  <c r="F75" i="17" s="1"/>
  <c r="G75" i="17" s="1"/>
  <c r="I130" i="17" a="1"/>
  <c r="I130" i="17" s="1"/>
  <c r="H130" i="17" s="1"/>
  <c r="F154" i="17" a="1"/>
  <c r="F154" i="17" s="1"/>
  <c r="G154" i="17" s="1"/>
  <c r="F142" i="17" a="1"/>
  <c r="F142" i="17" s="1"/>
  <c r="G142" i="17" s="1"/>
  <c r="F130" i="17" a="1"/>
  <c r="F130" i="17" s="1"/>
  <c r="G130" i="17" s="1"/>
  <c r="F118" i="17" a="1"/>
  <c r="F118" i="17" s="1"/>
  <c r="G118" i="17" s="1"/>
  <c r="F106" i="17" a="1"/>
  <c r="F106" i="17" s="1"/>
  <c r="G106" i="17" s="1"/>
  <c r="F94" i="17" a="1"/>
  <c r="F94" i="17" s="1"/>
  <c r="G94" i="17" s="1"/>
  <c r="F82" i="17" a="1"/>
  <c r="F82" i="17" s="1"/>
  <c r="G82" i="17" s="1"/>
  <c r="F70" i="17" a="1"/>
  <c r="F70" i="17" s="1"/>
  <c r="G70" i="17" s="1"/>
  <c r="F58" i="17" a="1"/>
  <c r="F58" i="17" s="1"/>
  <c r="G58" i="17" s="1"/>
  <c r="F46" i="17" a="1"/>
  <c r="F46" i="17" s="1"/>
  <c r="G46" i="17" s="1"/>
  <c r="F34" i="17" a="1"/>
  <c r="F34" i="17" s="1"/>
  <c r="G34" i="17" s="1"/>
  <c r="F22" i="17" a="1"/>
  <c r="F22" i="17" s="1"/>
  <c r="G22" i="17" s="1"/>
  <c r="I146" i="17" a="1"/>
  <c r="I146" i="17" s="1"/>
  <c r="H146" i="17" s="1"/>
  <c r="I136" i="17" a="1"/>
  <c r="I136" i="17" s="1"/>
  <c r="H136" i="17" s="1"/>
  <c r="I126" i="17" a="1"/>
  <c r="I126" i="17" s="1"/>
  <c r="H126" i="17" s="1"/>
  <c r="I115" i="17" a="1"/>
  <c r="I115" i="17" s="1"/>
  <c r="H115" i="17" s="1"/>
  <c r="I105" i="17" a="1"/>
  <c r="I105" i="17" s="1"/>
  <c r="H105" i="17" s="1"/>
  <c r="I95" i="17" a="1"/>
  <c r="I95" i="17" s="1"/>
  <c r="H95" i="17" s="1"/>
  <c r="I74" i="17" a="1"/>
  <c r="I74" i="17" s="1"/>
  <c r="H74" i="17" s="1"/>
  <c r="I64" i="17" a="1"/>
  <c r="I64" i="17" s="1"/>
  <c r="H64" i="17" s="1"/>
  <c r="I54" i="17" a="1"/>
  <c r="I54" i="17" s="1"/>
  <c r="H54" i="17" s="1"/>
  <c r="I43" i="17" a="1"/>
  <c r="I43" i="17" s="1"/>
  <c r="H43" i="17" s="1"/>
  <c r="I33" i="17" a="1"/>
  <c r="I33" i="17" s="1"/>
  <c r="H33" i="17" s="1"/>
  <c r="I23" i="17" a="1"/>
  <c r="I23" i="17" s="1"/>
  <c r="H23" i="17" s="1"/>
  <c r="F27" i="17" a="1"/>
  <c r="F27" i="17" s="1"/>
  <c r="G27" i="17" s="1"/>
  <c r="I89" i="17" a="1"/>
  <c r="I89" i="17" s="1"/>
  <c r="H89" i="17" s="1"/>
  <c r="F153" i="17" a="1"/>
  <c r="F153" i="17" s="1"/>
  <c r="G153" i="17" s="1"/>
  <c r="F141" i="17" a="1"/>
  <c r="F141" i="17" s="1"/>
  <c r="G141" i="17" s="1"/>
  <c r="F129" i="17" a="1"/>
  <c r="F129" i="17" s="1"/>
  <c r="G129" i="17" s="1"/>
  <c r="F117" i="17" a="1"/>
  <c r="F117" i="17" s="1"/>
  <c r="G117" i="17" s="1"/>
  <c r="F105" i="17" a="1"/>
  <c r="F105" i="17" s="1"/>
  <c r="G105" i="17" s="1"/>
  <c r="F93" i="17" a="1"/>
  <c r="F93" i="17" s="1"/>
  <c r="G93" i="17" s="1"/>
  <c r="F81" i="17" a="1"/>
  <c r="F81" i="17" s="1"/>
  <c r="G81" i="17" s="1"/>
  <c r="F69" i="17" a="1"/>
  <c r="F69" i="17" s="1"/>
  <c r="G69" i="17" s="1"/>
  <c r="F57" i="17" a="1"/>
  <c r="F57" i="17" s="1"/>
  <c r="G57" i="17" s="1"/>
  <c r="F45" i="17" a="1"/>
  <c r="F45" i="17" s="1"/>
  <c r="G45" i="17" s="1"/>
  <c r="F33" i="17" a="1"/>
  <c r="F33" i="17" s="1"/>
  <c r="G33" i="17" s="1"/>
  <c r="F21" i="17" a="1"/>
  <c r="F21" i="17" s="1"/>
  <c r="G21" i="17" s="1"/>
  <c r="F9" i="17" a="1"/>
  <c r="F9" i="17" s="1"/>
  <c r="G9" i="17" s="1"/>
  <c r="I156" i="17" a="1"/>
  <c r="I156" i="17" s="1"/>
  <c r="H156" i="17" s="1"/>
  <c r="I145" i="17" a="1"/>
  <c r="I145" i="17" s="1"/>
  <c r="H145" i="17" s="1"/>
  <c r="I135" i="17" a="1"/>
  <c r="I135" i="17" s="1"/>
  <c r="H135" i="17" s="1"/>
  <c r="I125" i="17" a="1"/>
  <c r="I125" i="17" s="1"/>
  <c r="H125" i="17" s="1"/>
  <c r="I104" i="17" a="1"/>
  <c r="I104" i="17" s="1"/>
  <c r="H104" i="17" s="1"/>
  <c r="I94" i="17" a="1"/>
  <c r="I94" i="17" s="1"/>
  <c r="H94" i="17" s="1"/>
  <c r="I84" i="17" a="1"/>
  <c r="I84" i="17" s="1"/>
  <c r="H84" i="17" s="1"/>
  <c r="I73" i="17" a="1"/>
  <c r="I73" i="17" s="1"/>
  <c r="H73" i="17" s="1"/>
  <c r="I63" i="17" a="1"/>
  <c r="I63" i="17" s="1"/>
  <c r="H63" i="17" s="1"/>
  <c r="I53" i="17" a="1"/>
  <c r="I53" i="17" s="1"/>
  <c r="H53" i="17" s="1"/>
  <c r="I32" i="17" a="1"/>
  <c r="I32" i="17" s="1"/>
  <c r="H32" i="17" s="1"/>
  <c r="I22" i="17" a="1"/>
  <c r="I22" i="17" s="1"/>
  <c r="H22" i="17" s="1"/>
  <c r="F87" i="17" a="1"/>
  <c r="F87" i="17" s="1"/>
  <c r="G87" i="17" s="1"/>
  <c r="I109" i="17" a="1"/>
  <c r="I109" i="17" s="1"/>
  <c r="H109" i="17" s="1"/>
  <c r="F152" i="17" a="1"/>
  <c r="F152" i="17" s="1"/>
  <c r="G152" i="17" s="1"/>
  <c r="F140" i="17" a="1"/>
  <c r="F140" i="17" s="1"/>
  <c r="G140" i="17" s="1"/>
  <c r="F128" i="17" a="1"/>
  <c r="F128" i="17" s="1"/>
  <c r="G128" i="17" s="1"/>
  <c r="F116" i="17" a="1"/>
  <c r="F116" i="17" s="1"/>
  <c r="G116" i="17" s="1"/>
  <c r="F104" i="17" a="1"/>
  <c r="F104" i="17" s="1"/>
  <c r="G104" i="17" s="1"/>
  <c r="F92" i="17" a="1"/>
  <c r="F92" i="17" s="1"/>
  <c r="G92" i="17" s="1"/>
  <c r="F80" i="17" a="1"/>
  <c r="F80" i="17" s="1"/>
  <c r="G80" i="17" s="1"/>
  <c r="F68" i="17" a="1"/>
  <c r="F68" i="17" s="1"/>
  <c r="G68" i="17" s="1"/>
  <c r="F56" i="17" a="1"/>
  <c r="F56" i="17" s="1"/>
  <c r="G56" i="17" s="1"/>
  <c r="F44" i="17" a="1"/>
  <c r="F44" i="17" s="1"/>
  <c r="G44" i="17" s="1"/>
  <c r="F32" i="17" a="1"/>
  <c r="F32" i="17" s="1"/>
  <c r="G32" i="17" s="1"/>
  <c r="F20" i="17" a="1"/>
  <c r="F20" i="17" s="1"/>
  <c r="G20" i="17" s="1"/>
  <c r="F8" i="17" a="1"/>
  <c r="F8" i="17" s="1"/>
  <c r="G8" i="17" s="1"/>
  <c r="I155" i="17" a="1"/>
  <c r="I155" i="17" s="1"/>
  <c r="H155" i="17" s="1"/>
  <c r="I134" i="17" a="1"/>
  <c r="I134" i="17" s="1"/>
  <c r="H134" i="17" s="1"/>
  <c r="I124" i="17" a="1"/>
  <c r="I124" i="17" s="1"/>
  <c r="H124" i="17" s="1"/>
  <c r="I114" i="17" a="1"/>
  <c r="I114" i="17" s="1"/>
  <c r="H114" i="17" s="1"/>
  <c r="I103" i="17" a="1"/>
  <c r="I103" i="17" s="1"/>
  <c r="H103" i="17" s="1"/>
  <c r="I93" i="17" a="1"/>
  <c r="I93" i="17" s="1"/>
  <c r="H93" i="17" s="1"/>
  <c r="I83" i="17" a="1"/>
  <c r="I83" i="17" s="1"/>
  <c r="H83" i="17" s="1"/>
  <c r="I62" i="17" a="1"/>
  <c r="I62" i="17" s="1"/>
  <c r="H62" i="17" s="1"/>
  <c r="I52" i="17" a="1"/>
  <c r="I52" i="17" s="1"/>
  <c r="H52" i="17" s="1"/>
  <c r="I42" i="17" a="1"/>
  <c r="I42" i="17" s="1"/>
  <c r="H42" i="17" s="1"/>
  <c r="I31" i="17" a="1"/>
  <c r="I31" i="17" s="1"/>
  <c r="H31" i="17" s="1"/>
  <c r="I21" i="17" a="1"/>
  <c r="I21" i="17" s="1"/>
  <c r="H21" i="17" s="1"/>
  <c r="F39" i="17" a="1"/>
  <c r="F39" i="17" s="1"/>
  <c r="G39" i="17" s="1"/>
  <c r="I120" i="17" a="1"/>
  <c r="I120" i="17" s="1"/>
  <c r="H120" i="17" s="1"/>
  <c r="F151" i="17" a="1"/>
  <c r="F151" i="17" s="1"/>
  <c r="G151" i="17" s="1"/>
  <c r="F139" i="17" a="1"/>
  <c r="F139" i="17" s="1"/>
  <c r="G139" i="17" s="1"/>
  <c r="F127" i="17" a="1"/>
  <c r="F127" i="17" s="1"/>
  <c r="G127" i="17" s="1"/>
  <c r="F115" i="17" a="1"/>
  <c r="F115" i="17" s="1"/>
  <c r="G115" i="17" s="1"/>
  <c r="F103" i="17" a="1"/>
  <c r="F103" i="17" s="1"/>
  <c r="G103" i="17" s="1"/>
  <c r="F91" i="17" a="1"/>
  <c r="F91" i="17" s="1"/>
  <c r="G91" i="17" s="1"/>
  <c r="F79" i="17" a="1"/>
  <c r="F79" i="17" s="1"/>
  <c r="G79" i="17" s="1"/>
  <c r="F67" i="17" a="1"/>
  <c r="F67" i="17" s="1"/>
  <c r="G67" i="17" s="1"/>
  <c r="F55" i="17" a="1"/>
  <c r="F55" i="17" s="1"/>
  <c r="G55" i="17" s="1"/>
  <c r="F43" i="17" a="1"/>
  <c r="F43" i="17" s="1"/>
  <c r="G43" i="17" s="1"/>
  <c r="F31" i="17" a="1"/>
  <c r="F31" i="17" s="1"/>
  <c r="G31" i="17" s="1"/>
  <c r="F19" i="17" a="1"/>
  <c r="F19" i="17" s="1"/>
  <c r="G19" i="17" s="1"/>
  <c r="F7" i="17" a="1"/>
  <c r="F7" i="17" s="1"/>
  <c r="G7" i="17" s="1"/>
  <c r="I154" i="17" a="1"/>
  <c r="I154" i="17" s="1"/>
  <c r="H154" i="17" s="1"/>
  <c r="I144" i="17" a="1"/>
  <c r="I144" i="17" s="1"/>
  <c r="H144" i="17" s="1"/>
  <c r="I133" i="17" a="1"/>
  <c r="I133" i="17" s="1"/>
  <c r="H133" i="17" s="1"/>
  <c r="I123" i="17" a="1"/>
  <c r="I123" i="17" s="1"/>
  <c r="H123" i="17" s="1"/>
  <c r="I113" i="17" a="1"/>
  <c r="I113" i="17" s="1"/>
  <c r="H113" i="17" s="1"/>
  <c r="I92" i="17" a="1"/>
  <c r="I92" i="17" s="1"/>
  <c r="H92" i="17" s="1"/>
  <c r="I82" i="17" a="1"/>
  <c r="I82" i="17" s="1"/>
  <c r="H82" i="17" s="1"/>
  <c r="I72" i="17" a="1"/>
  <c r="I72" i="17" s="1"/>
  <c r="H72" i="17" s="1"/>
  <c r="I61" i="17" a="1"/>
  <c r="I61" i="17" s="1"/>
  <c r="H61" i="17" s="1"/>
  <c r="I51" i="17" a="1"/>
  <c r="I51" i="17" s="1"/>
  <c r="H51" i="17" s="1"/>
  <c r="I41" i="17" a="1"/>
  <c r="I41" i="17" s="1"/>
  <c r="H41" i="17" s="1"/>
  <c r="I20" i="17" a="1"/>
  <c r="I20" i="17" s="1"/>
  <c r="H20" i="17" s="1"/>
  <c r="F99" i="17" a="1"/>
  <c r="F99" i="17" s="1"/>
  <c r="G99" i="17" s="1"/>
  <c r="I99" i="17" a="1"/>
  <c r="I99" i="17" s="1"/>
  <c r="H99" i="17" s="1"/>
  <c r="F150" i="17" a="1"/>
  <c r="F150" i="17" s="1"/>
  <c r="G150" i="17" s="1"/>
  <c r="F138" i="17" a="1"/>
  <c r="F138" i="17" s="1"/>
  <c r="G138" i="17" s="1"/>
  <c r="F126" i="17" a="1"/>
  <c r="F126" i="17" s="1"/>
  <c r="G126" i="17" s="1"/>
  <c r="F114" i="17" a="1"/>
  <c r="F114" i="17" s="1"/>
  <c r="G114" i="17" s="1"/>
  <c r="F102" i="17" a="1"/>
  <c r="F102" i="17" s="1"/>
  <c r="G102" i="17" s="1"/>
  <c r="F90" i="17" a="1"/>
  <c r="F90" i="17" s="1"/>
  <c r="G90" i="17" s="1"/>
  <c r="F78" i="17" a="1"/>
  <c r="F78" i="17" s="1"/>
  <c r="G78" i="17" s="1"/>
  <c r="F66" i="17" a="1"/>
  <c r="F66" i="17" s="1"/>
  <c r="G66" i="17" s="1"/>
  <c r="F54" i="17" a="1"/>
  <c r="F54" i="17" s="1"/>
  <c r="G54" i="17" s="1"/>
  <c r="F42" i="17" a="1"/>
  <c r="F42" i="17" s="1"/>
  <c r="G42" i="17" s="1"/>
  <c r="F30" i="17" a="1"/>
  <c r="F30" i="17" s="1"/>
  <c r="G30" i="17" s="1"/>
  <c r="F18" i="17" a="1"/>
  <c r="F18" i="17" s="1"/>
  <c r="G18" i="17" s="1"/>
  <c r="I153" i="17" a="1"/>
  <c r="I153" i="17" s="1"/>
  <c r="H153" i="17" s="1"/>
  <c r="I143" i="17" a="1"/>
  <c r="I143" i="17" s="1"/>
  <c r="H143" i="17" s="1"/>
  <c r="I122" i="17" a="1"/>
  <c r="I122" i="17" s="1"/>
  <c r="H122" i="17" s="1"/>
  <c r="I112" i="17" a="1"/>
  <c r="I112" i="17" s="1"/>
  <c r="H112" i="17" s="1"/>
  <c r="I102" i="17" a="1"/>
  <c r="I102" i="17" s="1"/>
  <c r="H102" i="17" s="1"/>
  <c r="I91" i="17" a="1"/>
  <c r="I91" i="17" s="1"/>
  <c r="H91" i="17" s="1"/>
  <c r="I81" i="17" a="1"/>
  <c r="I81" i="17" s="1"/>
  <c r="H81" i="17" s="1"/>
  <c r="I71" i="17" a="1"/>
  <c r="I71" i="17" s="1"/>
  <c r="H71" i="17" s="1"/>
  <c r="I50" i="17" a="1"/>
  <c r="I50" i="17" s="1"/>
  <c r="H50" i="17" s="1"/>
  <c r="I40" i="17" a="1"/>
  <c r="I40" i="17" s="1"/>
  <c r="H40" i="17" s="1"/>
  <c r="I30" i="17" a="1"/>
  <c r="I30" i="17" s="1"/>
  <c r="H30" i="17" s="1"/>
  <c r="I19" i="17" a="1"/>
  <c r="I19" i="17" s="1"/>
  <c r="H19" i="17" s="1"/>
  <c r="I9" i="17" a="1"/>
  <c r="I9" i="17" s="1"/>
  <c r="F111" i="17" a="1"/>
  <c r="F111" i="17" s="1"/>
  <c r="G111" i="17" s="1"/>
  <c r="I68" i="17" a="1"/>
  <c r="I68" i="17" s="1"/>
  <c r="H68" i="17" s="1"/>
  <c r="F149" i="17" a="1"/>
  <c r="F149" i="17" s="1"/>
  <c r="G149" i="17" s="1"/>
  <c r="F137" i="17" a="1"/>
  <c r="F137" i="17" s="1"/>
  <c r="G137" i="17" s="1"/>
  <c r="F125" i="17" a="1"/>
  <c r="F125" i="17" s="1"/>
  <c r="G125" i="17" s="1"/>
  <c r="F113" i="17" a="1"/>
  <c r="F113" i="17" s="1"/>
  <c r="G113" i="17" s="1"/>
  <c r="F101" i="17" a="1"/>
  <c r="F101" i="17" s="1"/>
  <c r="G101" i="17" s="1"/>
  <c r="F89" i="17" a="1"/>
  <c r="F89" i="17" s="1"/>
  <c r="G89" i="17" s="1"/>
  <c r="F77" i="17" a="1"/>
  <c r="F77" i="17" s="1"/>
  <c r="G77" i="17" s="1"/>
  <c r="F65" i="17" a="1"/>
  <c r="F65" i="17" s="1"/>
  <c r="G65" i="17" s="1"/>
  <c r="F53" i="17" a="1"/>
  <c r="F53" i="17" s="1"/>
  <c r="G53" i="17" s="1"/>
  <c r="F41" i="17" a="1"/>
  <c r="F41" i="17" s="1"/>
  <c r="G41" i="17" s="1"/>
  <c r="F29" i="17" a="1"/>
  <c r="F29" i="17" s="1"/>
  <c r="G29" i="17" s="1"/>
  <c r="F17" i="17" a="1"/>
  <c r="F17" i="17" s="1"/>
  <c r="G17" i="17" s="1"/>
  <c r="I152" i="17" a="1"/>
  <c r="I152" i="17" s="1"/>
  <c r="H152" i="17" s="1"/>
  <c r="I142" i="17" a="1"/>
  <c r="I142" i="17" s="1"/>
  <c r="H142" i="17" s="1"/>
  <c r="I132" i="17" a="1"/>
  <c r="I132" i="17" s="1"/>
  <c r="H132" i="17" s="1"/>
  <c r="I121" i="17" a="1"/>
  <c r="I121" i="17" s="1"/>
  <c r="H121" i="17" s="1"/>
  <c r="I111" i="17" a="1"/>
  <c r="I111" i="17" s="1"/>
  <c r="H111" i="17" s="1"/>
  <c r="I101" i="17" a="1"/>
  <c r="I101" i="17" s="1"/>
  <c r="H101" i="17" s="1"/>
  <c r="I80" i="17" a="1"/>
  <c r="I80" i="17" s="1"/>
  <c r="H80" i="17" s="1"/>
  <c r="I70" i="17" a="1"/>
  <c r="I70" i="17" s="1"/>
  <c r="H70" i="17" s="1"/>
  <c r="I60" i="17" a="1"/>
  <c r="I60" i="17" s="1"/>
  <c r="H60" i="17" s="1"/>
  <c r="I49" i="17" a="1"/>
  <c r="I49" i="17" s="1"/>
  <c r="H49" i="17" s="1"/>
  <c r="I39" i="17" a="1"/>
  <c r="I39" i="17" s="1"/>
  <c r="H39" i="17" s="1"/>
  <c r="I29" i="17" a="1"/>
  <c r="I29" i="17" s="1"/>
  <c r="H29" i="17" s="1"/>
  <c r="I8" i="17" a="1"/>
  <c r="I8" i="17" s="1"/>
  <c r="H8" i="17" s="1"/>
  <c r="F63" i="17" a="1"/>
  <c r="F63" i="17" s="1"/>
  <c r="G63" i="17" s="1"/>
  <c r="I58" i="17" a="1"/>
  <c r="I58" i="17" s="1"/>
  <c r="H58" i="17" s="1"/>
  <c r="F148" i="17" a="1"/>
  <c r="F148" i="17" s="1"/>
  <c r="G148" i="17" s="1"/>
  <c r="F136" i="17" a="1"/>
  <c r="F136" i="17" s="1"/>
  <c r="G136" i="17" s="1"/>
  <c r="F124" i="17" a="1"/>
  <c r="F124" i="17" s="1"/>
  <c r="G124" i="17" s="1"/>
  <c r="F112" i="17" a="1"/>
  <c r="F112" i="17" s="1"/>
  <c r="G112" i="17" s="1"/>
  <c r="F100" i="17" a="1"/>
  <c r="F100" i="17" s="1"/>
  <c r="G100" i="17" s="1"/>
  <c r="F88" i="17" a="1"/>
  <c r="F88" i="17" s="1"/>
  <c r="G88" i="17" s="1"/>
  <c r="F76" i="17" a="1"/>
  <c r="F76" i="17" s="1"/>
  <c r="G76" i="17" s="1"/>
  <c r="F64" i="17" a="1"/>
  <c r="F64" i="17" s="1"/>
  <c r="G64" i="17" s="1"/>
  <c r="F52" i="17" a="1"/>
  <c r="F52" i="17" s="1"/>
  <c r="G52" i="17" s="1"/>
  <c r="F40" i="17" a="1"/>
  <c r="F40" i="17" s="1"/>
  <c r="G40" i="17" s="1"/>
  <c r="F28" i="17" a="1"/>
  <c r="F28" i="17" s="1"/>
  <c r="G28" i="17" s="1"/>
  <c r="I151" i="17" a="1"/>
  <c r="I151" i="17" s="1"/>
  <c r="H151" i="17" s="1"/>
  <c r="I141" i="17" a="1"/>
  <c r="I141" i="17" s="1"/>
  <c r="H141" i="17" s="1"/>
  <c r="I131" i="17" a="1"/>
  <c r="I131" i="17" s="1"/>
  <c r="H131" i="17" s="1"/>
  <c r="I110" i="17" a="1"/>
  <c r="I110" i="17" s="1"/>
  <c r="H110" i="17" s="1"/>
  <c r="I100" i="17" a="1"/>
  <c r="I100" i="17" s="1"/>
  <c r="H100" i="17" s="1"/>
  <c r="I90" i="17" a="1"/>
  <c r="I90" i="17" s="1"/>
  <c r="H90" i="17" s="1"/>
  <c r="I79" i="17" a="1"/>
  <c r="I79" i="17" s="1"/>
  <c r="H79" i="17" s="1"/>
  <c r="I69" i="17" a="1"/>
  <c r="I69" i="17" s="1"/>
  <c r="H69" i="17" s="1"/>
  <c r="I59" i="17" a="1"/>
  <c r="I59" i="17" s="1"/>
  <c r="H59" i="17" s="1"/>
  <c r="I38" i="17" a="1"/>
  <c r="I38" i="17" s="1"/>
  <c r="H38" i="17" s="1"/>
  <c r="I28" i="17" a="1"/>
  <c r="I28" i="17" s="1"/>
  <c r="H28" i="17" s="1"/>
  <c r="I18" i="17" a="1"/>
  <c r="I18" i="17" s="1"/>
  <c r="H18" i="17" s="1"/>
  <c r="F43" i="24"/>
  <c r="F57" i="24" s="1"/>
  <c r="R33" i="17"/>
  <c r="S33" i="17"/>
  <c r="R34" i="17"/>
  <c r="S34" i="17"/>
  <c r="R35" i="17"/>
  <c r="S35" i="17"/>
  <c r="R36" i="17"/>
  <c r="S36" i="17"/>
  <c r="R37" i="17"/>
  <c r="S37" i="17"/>
  <c r="R38" i="17"/>
  <c r="S38" i="17"/>
  <c r="R39" i="17"/>
  <c r="S39" i="17"/>
  <c r="R40" i="17"/>
  <c r="S40" i="17"/>
  <c r="R41" i="17"/>
  <c r="S41" i="17"/>
  <c r="R42" i="17"/>
  <c r="S42" i="17"/>
  <c r="R43" i="17"/>
  <c r="S43" i="17"/>
  <c r="R44" i="17"/>
  <c r="S44" i="17"/>
  <c r="R45" i="17"/>
  <c r="S45" i="17"/>
  <c r="R46" i="17"/>
  <c r="S46" i="17"/>
  <c r="R47" i="17"/>
  <c r="S47" i="17"/>
  <c r="R48" i="17"/>
  <c r="S48" i="17"/>
  <c r="R49" i="17"/>
  <c r="S49" i="17"/>
  <c r="R50" i="17"/>
  <c r="S50" i="17"/>
  <c r="R51" i="17"/>
  <c r="S51" i="17"/>
  <c r="R52" i="17"/>
  <c r="S52" i="17"/>
  <c r="R53" i="17"/>
  <c r="S53" i="17"/>
  <c r="R54" i="17"/>
  <c r="S54" i="17"/>
  <c r="R55" i="17"/>
  <c r="S55" i="17"/>
  <c r="R56" i="17"/>
  <c r="S56" i="17"/>
  <c r="R57" i="17"/>
  <c r="S57" i="17"/>
  <c r="R58" i="17"/>
  <c r="S58" i="17"/>
  <c r="R59" i="17"/>
  <c r="S59" i="17"/>
  <c r="R60" i="17"/>
  <c r="S60" i="17"/>
  <c r="R61" i="17"/>
  <c r="S61" i="17"/>
  <c r="R62" i="17"/>
  <c r="S62" i="17"/>
  <c r="R63" i="17"/>
  <c r="S63" i="17"/>
  <c r="R64" i="17"/>
  <c r="S64" i="17"/>
  <c r="R65" i="17"/>
  <c r="S65" i="17"/>
  <c r="R66" i="17"/>
  <c r="S66" i="17"/>
  <c r="R67" i="17"/>
  <c r="S67" i="17"/>
  <c r="R68" i="17"/>
  <c r="S68" i="17"/>
  <c r="R69" i="17"/>
  <c r="S69" i="17"/>
  <c r="R70" i="17"/>
  <c r="S70" i="17"/>
  <c r="R71" i="17"/>
  <c r="S71" i="17"/>
  <c r="R72" i="17"/>
  <c r="S72" i="17"/>
  <c r="R73" i="17"/>
  <c r="S73" i="17"/>
  <c r="R74" i="17"/>
  <c r="S74" i="17"/>
  <c r="R75" i="17"/>
  <c r="S75" i="17"/>
  <c r="R76" i="17"/>
  <c r="S76" i="17"/>
  <c r="R77" i="17"/>
  <c r="S77" i="17"/>
  <c r="R78" i="17"/>
  <c r="S78" i="17"/>
  <c r="R79" i="17"/>
  <c r="S79" i="17"/>
  <c r="R80" i="17"/>
  <c r="S80" i="17"/>
  <c r="R81" i="17"/>
  <c r="S81" i="17"/>
  <c r="R82" i="17"/>
  <c r="S82" i="17"/>
  <c r="R83" i="17"/>
  <c r="S83" i="17"/>
  <c r="R84" i="17"/>
  <c r="S84" i="17"/>
  <c r="R85" i="17"/>
  <c r="S85" i="17"/>
  <c r="R86" i="17"/>
  <c r="S86" i="17"/>
  <c r="R87" i="17"/>
  <c r="S87" i="17"/>
  <c r="R88" i="17"/>
  <c r="S88" i="17"/>
  <c r="R89" i="17"/>
  <c r="S89" i="17"/>
  <c r="R90" i="17"/>
  <c r="S90" i="17"/>
  <c r="R91" i="17"/>
  <c r="S91" i="17"/>
  <c r="R92" i="17"/>
  <c r="S92" i="17"/>
  <c r="R93" i="17"/>
  <c r="S93" i="17"/>
  <c r="R94" i="17"/>
  <c r="S94" i="17"/>
  <c r="R95" i="17"/>
  <c r="S95" i="17"/>
  <c r="R96" i="17"/>
  <c r="S96" i="17"/>
  <c r="R97" i="17"/>
  <c r="S97" i="17"/>
  <c r="R98" i="17"/>
  <c r="S98" i="17"/>
  <c r="R99" i="17"/>
  <c r="S99" i="17"/>
  <c r="R100" i="17"/>
  <c r="S100" i="17"/>
  <c r="R101" i="17"/>
  <c r="S101" i="17"/>
  <c r="R102" i="17"/>
  <c r="S102" i="17"/>
  <c r="R103" i="17"/>
  <c r="S103" i="17"/>
  <c r="R104" i="17"/>
  <c r="S104" i="17"/>
  <c r="R105" i="17"/>
  <c r="S105" i="17"/>
  <c r="R106" i="17"/>
  <c r="S106" i="17"/>
  <c r="R107" i="17"/>
  <c r="S107" i="17"/>
  <c r="R108" i="17"/>
  <c r="S108" i="17"/>
  <c r="R109" i="17"/>
  <c r="S109" i="17"/>
  <c r="R110" i="17"/>
  <c r="S110" i="17"/>
  <c r="R111" i="17"/>
  <c r="S111" i="17"/>
  <c r="R112" i="17"/>
  <c r="S112" i="17"/>
  <c r="R113" i="17"/>
  <c r="S113" i="17"/>
  <c r="R114" i="17"/>
  <c r="S114" i="17"/>
  <c r="R115" i="17"/>
  <c r="S115" i="17"/>
  <c r="R116" i="17"/>
  <c r="S116" i="17"/>
  <c r="R117" i="17"/>
  <c r="S117" i="17"/>
  <c r="R118" i="17"/>
  <c r="S118" i="17"/>
  <c r="R119" i="17"/>
  <c r="S119" i="17"/>
  <c r="R120" i="17"/>
  <c r="S120" i="17"/>
  <c r="R121" i="17"/>
  <c r="S121" i="17"/>
  <c r="R122" i="17"/>
  <c r="S122" i="17"/>
  <c r="R123" i="17"/>
  <c r="S123" i="17"/>
  <c r="R124" i="17"/>
  <c r="S124" i="17"/>
  <c r="R125" i="17"/>
  <c r="S125" i="17"/>
  <c r="R126" i="17"/>
  <c r="S126" i="17"/>
  <c r="R127" i="17"/>
  <c r="S127" i="17"/>
  <c r="R128" i="17"/>
  <c r="S128" i="17"/>
  <c r="R129" i="17"/>
  <c r="S129" i="17"/>
  <c r="R130" i="17"/>
  <c r="S130" i="17"/>
  <c r="R131" i="17"/>
  <c r="S131" i="17"/>
  <c r="R132" i="17"/>
  <c r="S132" i="17"/>
  <c r="R133" i="17"/>
  <c r="S133" i="17"/>
  <c r="R134" i="17"/>
  <c r="S134" i="17"/>
  <c r="R135" i="17"/>
  <c r="S135" i="17"/>
  <c r="R136" i="17"/>
  <c r="S136" i="17"/>
  <c r="R137" i="17"/>
  <c r="S137" i="17"/>
  <c r="R138" i="17"/>
  <c r="S138" i="17"/>
  <c r="R139" i="17"/>
  <c r="S139" i="17"/>
  <c r="R140" i="17"/>
  <c r="S140" i="17"/>
  <c r="R141" i="17"/>
  <c r="S141" i="17"/>
  <c r="R142" i="17"/>
  <c r="S142" i="17"/>
  <c r="R143" i="17"/>
  <c r="S143" i="17"/>
  <c r="R144" i="17"/>
  <c r="S144" i="17"/>
  <c r="R145" i="17"/>
  <c r="S145" i="17"/>
  <c r="R146" i="17"/>
  <c r="S146" i="17"/>
  <c r="R147" i="17"/>
  <c r="S147" i="17"/>
  <c r="R148" i="17"/>
  <c r="S148" i="17"/>
  <c r="R149" i="17"/>
  <c r="S149" i="17"/>
  <c r="R150" i="17"/>
  <c r="S150" i="17"/>
  <c r="R151" i="17"/>
  <c r="S151" i="17"/>
  <c r="R152" i="17"/>
  <c r="S152" i="17"/>
  <c r="R153" i="17"/>
  <c r="S153" i="17"/>
  <c r="R154" i="17"/>
  <c r="S154" i="17"/>
  <c r="R155" i="17"/>
  <c r="S155" i="17"/>
  <c r="R156" i="17"/>
  <c r="S156" i="17"/>
  <c r="R157" i="17"/>
  <c r="S157" i="17"/>
  <c r="R158" i="17"/>
  <c r="S158" i="17"/>
  <c r="R159" i="17"/>
  <c r="S159" i="17"/>
  <c r="R160" i="17"/>
  <c r="S160" i="17"/>
  <c r="R161" i="17"/>
  <c r="S161" i="17"/>
  <c r="R162" i="17"/>
  <c r="S162" i="17"/>
  <c r="R163" i="17"/>
  <c r="S163" i="17"/>
  <c r="R164" i="17"/>
  <c r="S164" i="17"/>
  <c r="R165" i="17"/>
  <c r="S165" i="17"/>
  <c r="R166" i="17"/>
  <c r="S166" i="17"/>
  <c r="R167" i="17"/>
  <c r="S167" i="17"/>
  <c r="R168" i="17"/>
  <c r="S168" i="17"/>
  <c r="R169" i="17"/>
  <c r="S169" i="17"/>
  <c r="R170" i="17"/>
  <c r="S170" i="17"/>
  <c r="R171" i="17"/>
  <c r="S171" i="17"/>
  <c r="R172" i="17"/>
  <c r="S172" i="17"/>
  <c r="R173" i="17"/>
  <c r="S173" i="17"/>
  <c r="R174" i="17"/>
  <c r="S174" i="17"/>
  <c r="R175" i="17"/>
  <c r="S175" i="17"/>
  <c r="R176" i="17"/>
  <c r="S176" i="17"/>
  <c r="R177" i="17"/>
  <c r="S177" i="17"/>
  <c r="R178" i="17"/>
  <c r="S178" i="17"/>
  <c r="R179" i="17"/>
  <c r="S179" i="17"/>
  <c r="R180" i="17"/>
  <c r="S180" i="17"/>
  <c r="R181" i="17"/>
  <c r="S181" i="17"/>
  <c r="R182" i="17"/>
  <c r="S182" i="17"/>
  <c r="R183" i="17"/>
  <c r="S183" i="17"/>
  <c r="S32" i="17"/>
  <c r="R32" i="17"/>
  <c r="M527" i="21" l="1"/>
  <c r="J523" i="21"/>
  <c r="K523" i="21" s="1"/>
  <c r="M542" i="21"/>
  <c r="J542" i="21"/>
  <c r="J545" i="21"/>
  <c r="M545" i="21"/>
  <c r="J548" i="21"/>
  <c r="M548" i="21"/>
  <c r="J539" i="21"/>
  <c r="M539" i="21"/>
  <c r="J538" i="21"/>
  <c r="M538" i="21"/>
  <c r="M541" i="21"/>
  <c r="J541" i="21"/>
  <c r="M544" i="21"/>
  <c r="J544" i="21"/>
  <c r="J551" i="21"/>
  <c r="M551" i="21"/>
  <c r="J550" i="21"/>
  <c r="M550" i="21"/>
  <c r="J537" i="21"/>
  <c r="M537" i="21"/>
  <c r="M540" i="21"/>
  <c r="J540" i="21"/>
  <c r="J547" i="21"/>
  <c r="M547" i="21"/>
  <c r="J546" i="21"/>
  <c r="M546" i="21"/>
  <c r="J549" i="21"/>
  <c r="M549" i="21"/>
  <c r="J536" i="21"/>
  <c r="M536" i="21"/>
  <c r="M543" i="21"/>
  <c r="J543" i="21"/>
  <c r="M52" i="21"/>
  <c r="D9" i="32"/>
  <c r="D12" i="32"/>
  <c r="J522" i="21"/>
  <c r="K522" i="21" s="1"/>
  <c r="AM27" i="13"/>
  <c r="D13" i="32"/>
  <c r="M531" i="21"/>
  <c r="J325" i="21"/>
  <c r="K325" i="21" s="1"/>
  <c r="J526" i="21"/>
  <c r="K526" i="21" s="1"/>
  <c r="J535" i="21"/>
  <c r="M535" i="21"/>
  <c r="J534" i="21"/>
  <c r="M534" i="21"/>
  <c r="J20" i="21"/>
  <c r="J533" i="21"/>
  <c r="J80" i="21"/>
  <c r="K80" i="21" s="1"/>
  <c r="J431" i="21"/>
  <c r="K431" i="21" s="1"/>
  <c r="J51" i="21"/>
  <c r="K51" i="21" s="1"/>
  <c r="J198" i="21"/>
  <c r="K198" i="21" s="1"/>
  <c r="J172" i="21"/>
  <c r="K172" i="21" s="1"/>
  <c r="J532" i="21"/>
  <c r="K532" i="21" s="1"/>
  <c r="M198" i="21"/>
  <c r="M172" i="21"/>
  <c r="M382" i="21"/>
  <c r="M528" i="21"/>
  <c r="M529" i="21"/>
  <c r="M525" i="21"/>
  <c r="J208" i="21"/>
  <c r="K208" i="21" s="1"/>
  <c r="M80" i="21"/>
  <c r="J524" i="21"/>
  <c r="K524" i="21" s="1"/>
  <c r="J527" i="21"/>
  <c r="K527" i="21" s="1"/>
  <c r="J531" i="21"/>
  <c r="J525" i="21"/>
  <c r="M208" i="21"/>
  <c r="M530" i="21"/>
  <c r="M524" i="21"/>
  <c r="M275" i="21"/>
  <c r="M51" i="21"/>
  <c r="J530" i="21"/>
  <c r="K530" i="21" s="1"/>
  <c r="M532" i="21"/>
  <c r="J52" i="21"/>
  <c r="K52" i="21" s="1"/>
  <c r="J275" i="21"/>
  <c r="K275" i="21" s="1"/>
  <c r="J529" i="21"/>
  <c r="K529" i="21" s="1"/>
  <c r="J53" i="21"/>
  <c r="K53" i="21" s="1"/>
  <c r="M526" i="21"/>
  <c r="L526" i="21" s="1"/>
  <c r="K20" i="21"/>
  <c r="K533" i="21"/>
  <c r="M523" i="21"/>
  <c r="L523" i="21" s="1"/>
  <c r="J382" i="21"/>
  <c r="J528" i="21"/>
  <c r="M20" i="21"/>
  <c r="M533" i="21"/>
  <c r="M522" i="21"/>
  <c r="M53" i="21"/>
  <c r="J321" i="21"/>
  <c r="K321" i="21" s="1"/>
  <c r="J429" i="21"/>
  <c r="K429" i="21" s="1"/>
  <c r="J327" i="21"/>
  <c r="K327" i="21" s="1"/>
  <c r="M429" i="21"/>
  <c r="M383" i="21"/>
  <c r="J383" i="21"/>
  <c r="K383" i="21" s="1"/>
  <c r="J381" i="21"/>
  <c r="K381" i="21" s="1"/>
  <c r="M327" i="21"/>
  <c r="M321" i="21"/>
  <c r="L321" i="21" s="1"/>
  <c r="M402" i="21"/>
  <c r="J402" i="21"/>
  <c r="K402" i="21" s="1"/>
  <c r="M431" i="21"/>
  <c r="M381" i="21"/>
  <c r="M427" i="21"/>
  <c r="M325" i="21"/>
  <c r="J427" i="21"/>
  <c r="K427" i="21" s="1"/>
  <c r="W16" i="17"/>
  <c r="W15" i="17"/>
  <c r="H9" i="17"/>
  <c r="Q13" i="17" s="1"/>
  <c r="V78" i="6"/>
  <c r="Y33" i="21"/>
  <c r="Y105" i="21"/>
  <c r="Y153" i="21"/>
  <c r="V195" i="6"/>
  <c r="Y200" i="21"/>
  <c r="Y241" i="21"/>
  <c r="V124" i="6"/>
  <c r="Y296" i="21"/>
  <c r="Y311" i="21"/>
  <c r="V184" i="6"/>
  <c r="Y283" i="21"/>
  <c r="V134" i="6"/>
  <c r="Y255" i="21"/>
  <c r="V123" i="6"/>
  <c r="V215" i="6"/>
  <c r="Y227" i="21"/>
  <c r="Y170" i="21"/>
  <c r="V110" i="6"/>
  <c r="Y131" i="21"/>
  <c r="V150" i="6"/>
  <c r="Y87" i="21"/>
  <c r="Y47" i="21"/>
  <c r="V75" i="6"/>
  <c r="Y295" i="21"/>
  <c r="Y299" i="21"/>
  <c r="V38" i="6"/>
  <c r="Y271" i="21"/>
  <c r="V26" i="6"/>
  <c r="Y245" i="21"/>
  <c r="Y237" i="21"/>
  <c r="V219" i="6"/>
  <c r="Y230" i="21"/>
  <c r="V165" i="6"/>
  <c r="Y188" i="21"/>
  <c r="V212" i="6"/>
  <c r="Y203" i="21"/>
  <c r="V160" i="6"/>
  <c r="Y164" i="21"/>
  <c r="V107" i="6"/>
  <c r="Y155" i="21"/>
  <c r="V105" i="6"/>
  <c r="Y134" i="21"/>
  <c r="V100" i="6"/>
  <c r="Y110" i="21"/>
  <c r="V48" i="6"/>
  <c r="Y97" i="21"/>
  <c r="Y83" i="21"/>
  <c r="V146" i="6"/>
  <c r="V143" i="6"/>
  <c r="Y64" i="21"/>
  <c r="V79" i="6"/>
  <c r="Y50" i="21"/>
  <c r="V9" i="6"/>
  <c r="Y29" i="21"/>
  <c r="V67" i="6"/>
  <c r="Y288" i="21"/>
  <c r="Y304" i="21"/>
  <c r="V204" i="6"/>
  <c r="Y264" i="21"/>
  <c r="Y240" i="21"/>
  <c r="V203" i="6"/>
  <c r="Y224" i="21"/>
  <c r="V31" i="6"/>
  <c r="Y211" i="21"/>
  <c r="Y190" i="21"/>
  <c r="V116" i="6"/>
  <c r="V20" i="6"/>
  <c r="Y191" i="21"/>
  <c r="V159" i="6"/>
  <c r="Y180" i="21"/>
  <c r="V7" i="6"/>
  <c r="Y138" i="21"/>
  <c r="V104" i="6"/>
  <c r="Y150" i="21"/>
  <c r="V151" i="6"/>
  <c r="Y109" i="21"/>
  <c r="Y94" i="21"/>
  <c r="Y96" i="21"/>
  <c r="V34" i="6"/>
  <c r="Y60" i="21"/>
  <c r="V82" i="6"/>
  <c r="Y37" i="21"/>
  <c r="Y46" i="21"/>
  <c r="V42" i="6"/>
  <c r="Y21" i="21"/>
  <c r="Y48" i="21"/>
  <c r="V15" i="6"/>
  <c r="Y95" i="21"/>
  <c r="V29" i="6"/>
  <c r="Y114" i="21"/>
  <c r="V158" i="6"/>
  <c r="Y159" i="21"/>
  <c r="V199" i="6"/>
  <c r="Y228" i="21"/>
  <c r="Y246" i="21"/>
  <c r="V129" i="6"/>
  <c r="V8" i="6"/>
  <c r="V81" i="6"/>
  <c r="Y41" i="21"/>
  <c r="Y104" i="21"/>
  <c r="V54" i="6"/>
  <c r="Y152" i="21"/>
  <c r="V111" i="6"/>
  <c r="Y167" i="21"/>
  <c r="Y232" i="21"/>
  <c r="V202" i="6"/>
  <c r="V108" i="6"/>
  <c r="Y156" i="21"/>
  <c r="V211" i="6"/>
  <c r="Y163" i="21"/>
  <c r="Y165" i="21"/>
  <c r="Y273" i="21"/>
  <c r="V206" i="6"/>
  <c r="Y238" i="21"/>
  <c r="V121" i="6"/>
  <c r="V112" i="6"/>
  <c r="Y202" i="21"/>
  <c r="V41" i="6"/>
  <c r="Y10" i="21"/>
  <c r="V187" i="6"/>
  <c r="Y58" i="21"/>
  <c r="V98" i="6"/>
  <c r="Y117" i="21"/>
  <c r="Y139" i="21"/>
  <c r="V109" i="6"/>
  <c r="Y206" i="21"/>
  <c r="Y250" i="21"/>
  <c r="V37" i="6"/>
  <c r="Y301" i="21"/>
  <c r="V63" i="6"/>
  <c r="Y308" i="21"/>
  <c r="V39" i="6"/>
  <c r="Y280" i="21"/>
  <c r="V178" i="6"/>
  <c r="Y234" i="21"/>
  <c r="V115" i="6"/>
  <c r="Y184" i="21"/>
  <c r="V157" i="6"/>
  <c r="Y179" i="21"/>
  <c r="V51" i="6"/>
  <c r="Y112" i="21"/>
  <c r="V95" i="6"/>
  <c r="Y85" i="21"/>
  <c r="V141" i="6"/>
  <c r="Y57" i="21"/>
  <c r="V72" i="6"/>
  <c r="Y9" i="21"/>
  <c r="V19" i="6"/>
  <c r="Y290" i="21"/>
  <c r="Y302" i="21"/>
  <c r="Y261" i="21"/>
  <c r="V132" i="6"/>
  <c r="Y249" i="21"/>
  <c r="V128" i="6"/>
  <c r="Y225" i="21"/>
  <c r="V171" i="6"/>
  <c r="Y222" i="21"/>
  <c r="V201" i="6"/>
  <c r="V197" i="6"/>
  <c r="Y207" i="21"/>
  <c r="V163" i="6"/>
  <c r="Y193" i="21"/>
  <c r="V194" i="6"/>
  <c r="Y173" i="21"/>
  <c r="V55" i="6"/>
  <c r="Y137" i="21"/>
  <c r="V16" i="6"/>
  <c r="Y135" i="21"/>
  <c r="Y124" i="21"/>
  <c r="V99" i="6"/>
  <c r="V94" i="6"/>
  <c r="Y103" i="21"/>
  <c r="V90" i="6"/>
  <c r="Y61" i="21"/>
  <c r="V140" i="6"/>
  <c r="Y75" i="21"/>
  <c r="V45" i="6"/>
  <c r="Y40" i="21"/>
  <c r="Y7" i="21"/>
  <c r="V33" i="6"/>
  <c r="V183" i="6"/>
  <c r="Y300" i="21"/>
  <c r="Y277" i="21"/>
  <c r="V208" i="6"/>
  <c r="Y281" i="21"/>
  <c r="V133" i="6"/>
  <c r="V175" i="6"/>
  <c r="Y258" i="21"/>
  <c r="Y218" i="21"/>
  <c r="V170" i="6"/>
  <c r="Y209" i="21"/>
  <c r="V217" i="6"/>
  <c r="V196" i="6"/>
  <c r="Y196" i="21"/>
  <c r="V162" i="6"/>
  <c r="Y182" i="21"/>
  <c r="V192" i="6"/>
  <c r="Y176" i="21"/>
  <c r="Y146" i="21"/>
  <c r="V102" i="6"/>
  <c r="Y147" i="21"/>
  <c r="Y118" i="21"/>
  <c r="Y91" i="21"/>
  <c r="V47" i="6"/>
  <c r="Y99" i="21"/>
  <c r="V142" i="6"/>
  <c r="Y59" i="21"/>
  <c r="Y34" i="21"/>
  <c r="V44" i="6"/>
  <c r="Y45" i="21"/>
  <c r="V66" i="6"/>
  <c r="V80" i="6"/>
  <c r="Y35" i="21"/>
  <c r="V92" i="6"/>
  <c r="Y102" i="21"/>
  <c r="V11" i="6"/>
  <c r="V58" i="6"/>
  <c r="Y181" i="21"/>
  <c r="Y210" i="21"/>
  <c r="V118" i="6"/>
  <c r="Y266" i="21"/>
  <c r="V61" i="6"/>
  <c r="V22" i="6"/>
  <c r="Y22" i="21"/>
  <c r="Y63" i="21"/>
  <c r="V35" i="6"/>
  <c r="Y107" i="21"/>
  <c r="V106" i="6"/>
  <c r="Y157" i="21"/>
  <c r="V164" i="6"/>
  <c r="Y189" i="21"/>
  <c r="V2" i="6"/>
  <c r="Y13" i="21"/>
  <c r="Y185" i="21"/>
  <c r="V213" i="6"/>
  <c r="Y201" i="21"/>
  <c r="V77" i="6"/>
  <c r="Y27" i="21"/>
  <c r="V167" i="6"/>
  <c r="Y229" i="21"/>
  <c r="Y291" i="21"/>
  <c r="V185" i="6"/>
  <c r="V179" i="6"/>
  <c r="Y272" i="21"/>
  <c r="Y217" i="21"/>
  <c r="V3" i="6"/>
  <c r="Y19" i="21"/>
  <c r="V85" i="6"/>
  <c r="Y68" i="21"/>
  <c r="V153" i="6"/>
  <c r="Y115" i="21"/>
  <c r="Y178" i="21"/>
  <c r="V193" i="6"/>
  <c r="Y223" i="21"/>
  <c r="V117" i="6"/>
  <c r="Y270" i="21"/>
  <c r="Y312" i="21"/>
  <c r="V136" i="6"/>
  <c r="Y5" i="21"/>
  <c r="V32" i="6"/>
  <c r="Y292" i="21"/>
  <c r="V181" i="6"/>
  <c r="Y259" i="21"/>
  <c r="V130" i="6"/>
  <c r="V168" i="6"/>
  <c r="Y231" i="21"/>
  <c r="V113" i="6"/>
  <c r="Y195" i="21"/>
  <c r="V191" i="6"/>
  <c r="Y175" i="21"/>
  <c r="V101" i="6"/>
  <c r="Y121" i="21"/>
  <c r="Y101" i="21"/>
  <c r="V139" i="6"/>
  <c r="Y42" i="21"/>
  <c r="V23" i="6"/>
  <c r="Y24" i="21"/>
  <c r="Y307" i="21"/>
  <c r="V180" i="6"/>
  <c r="Y297" i="21"/>
  <c r="V177" i="6"/>
  <c r="Y260" i="21"/>
  <c r="Y243" i="21"/>
  <c r="V125" i="6"/>
  <c r="Y219" i="21"/>
  <c r="V14" i="6"/>
  <c r="V114" i="6"/>
  <c r="Y192" i="21"/>
  <c r="Y171" i="21"/>
  <c r="V156" i="6"/>
  <c r="Y174" i="21"/>
  <c r="V154" i="6"/>
  <c r="V4" i="6"/>
  <c r="Y108" i="21"/>
  <c r="V40" i="6"/>
  <c r="Y128" i="21"/>
  <c r="V149" i="6"/>
  <c r="Y86" i="21"/>
  <c r="V46" i="6"/>
  <c r="Y66" i="21"/>
  <c r="V186" i="6"/>
  <c r="Y71" i="21"/>
  <c r="V76" i="6"/>
  <c r="Y32" i="21"/>
  <c r="V71" i="6"/>
  <c r="Y15" i="21"/>
  <c r="Y294" i="21"/>
  <c r="V64" i="6"/>
  <c r="V223" i="6"/>
  <c r="Y276" i="21"/>
  <c r="V131" i="6"/>
  <c r="Y279" i="21"/>
  <c r="Y244" i="21"/>
  <c r="Y226" i="21"/>
  <c r="V216" i="6"/>
  <c r="Y194" i="21"/>
  <c r="Y162" i="21"/>
  <c r="Y133" i="21"/>
  <c r="V6" i="6"/>
  <c r="Y140" i="21"/>
  <c r="V190" i="6"/>
  <c r="Y122" i="21"/>
  <c r="V49" i="6"/>
  <c r="Y113" i="21"/>
  <c r="V93" i="6"/>
  <c r="Y90" i="21"/>
  <c r="V89" i="6"/>
  <c r="Y67" i="21"/>
  <c r="Y56" i="21"/>
  <c r="V84" i="6"/>
  <c r="V138" i="6"/>
  <c r="Y49" i="21"/>
  <c r="Y16" i="21"/>
  <c r="V43" i="6"/>
  <c r="V83" i="6"/>
  <c r="Y74" i="21"/>
  <c r="V96" i="6"/>
  <c r="Y106" i="21"/>
  <c r="V56" i="6"/>
  <c r="Y144" i="21"/>
  <c r="V13" i="6"/>
  <c r="Y187" i="21"/>
  <c r="Y233" i="21"/>
  <c r="Y285" i="21"/>
  <c r="V62" i="6"/>
  <c r="V73" i="6"/>
  <c r="Y25" i="21"/>
  <c r="V88" i="6"/>
  <c r="Y77" i="21"/>
  <c r="Y119" i="21"/>
  <c r="V210" i="6"/>
  <c r="Y168" i="21"/>
  <c r="Y186" i="21"/>
  <c r="V144" i="6"/>
  <c r="Y65" i="21"/>
  <c r="Y239" i="21"/>
  <c r="V122" i="6"/>
  <c r="Y257" i="21"/>
  <c r="V91" i="6"/>
  <c r="Y84" i="21"/>
  <c r="Y269" i="21"/>
  <c r="Y310" i="21"/>
  <c r="V65" i="6"/>
  <c r="Y278" i="21"/>
  <c r="V176" i="6"/>
  <c r="V222" i="6"/>
  <c r="Y81" i="21"/>
  <c r="Y262" i="21"/>
  <c r="V17" i="6"/>
  <c r="Y17" i="21"/>
  <c r="V145" i="6"/>
  <c r="Y79" i="21"/>
  <c r="Y148" i="21"/>
  <c r="V52" i="6"/>
  <c r="V161" i="6"/>
  <c r="Y166" i="21"/>
  <c r="Y213" i="21"/>
  <c r="V169" i="6"/>
  <c r="V135" i="6"/>
  <c r="Y282" i="21"/>
  <c r="V224" i="6"/>
  <c r="Y268" i="21"/>
  <c r="Y236" i="21"/>
  <c r="V174" i="6"/>
  <c r="V218" i="6"/>
  <c r="Y220" i="21"/>
  <c r="Y183" i="21"/>
  <c r="V155" i="6"/>
  <c r="Y142" i="21"/>
  <c r="V50" i="6"/>
  <c r="Y127" i="21"/>
  <c r="Y98" i="21"/>
  <c r="Y44" i="21"/>
  <c r="V5" i="6"/>
  <c r="Y305" i="21"/>
  <c r="V182" i="6"/>
  <c r="V205" i="6"/>
  <c r="Y284" i="21"/>
  <c r="Y235" i="21"/>
  <c r="Y251" i="21"/>
  <c r="V173" i="6"/>
  <c r="Y221" i="21"/>
  <c r="V120" i="6"/>
  <c r="V214" i="6"/>
  <c r="Y199" i="21"/>
  <c r="V59" i="6"/>
  <c r="Y205" i="21"/>
  <c r="Y161" i="21"/>
  <c r="V12" i="6"/>
  <c r="Y145" i="21"/>
  <c r="V53" i="6"/>
  <c r="Y143" i="21"/>
  <c r="V152" i="6"/>
  <c r="Y125" i="21"/>
  <c r="V10" i="6"/>
  <c r="Y82" i="21"/>
  <c r="V221" i="6"/>
  <c r="Y89" i="21"/>
  <c r="V86" i="6"/>
  <c r="Y55" i="21"/>
  <c r="V220" i="6"/>
  <c r="Y43" i="21"/>
  <c r="Y26" i="21"/>
  <c r="V69" i="6"/>
  <c r="Y11" i="21"/>
  <c r="Y287" i="21"/>
  <c r="Y267" i="21"/>
  <c r="V225" i="6"/>
  <c r="Y248" i="21"/>
  <c r="V60" i="6"/>
  <c r="Y252" i="21"/>
  <c r="V172" i="6"/>
  <c r="Y212" i="21"/>
  <c r="V119" i="6"/>
  <c r="V166" i="6"/>
  <c r="Y214" i="21"/>
  <c r="V30" i="6"/>
  <c r="Y204" i="21"/>
  <c r="Y169" i="21"/>
  <c r="Y154" i="21"/>
  <c r="Y151" i="21"/>
  <c r="V24" i="6"/>
  <c r="Y111" i="21"/>
  <c r="V188" i="6"/>
  <c r="Y92" i="21"/>
  <c r="V148" i="6"/>
  <c r="Y100" i="21"/>
  <c r="V87" i="6"/>
  <c r="Y69" i="21"/>
  <c r="Y72" i="21"/>
  <c r="Y28" i="21"/>
  <c r="V28" i="6"/>
  <c r="V70" i="6"/>
  <c r="Y12" i="21"/>
  <c r="V21" i="6"/>
  <c r="Y6" i="21"/>
  <c r="V189" i="6"/>
  <c r="Y129" i="21"/>
  <c r="V57" i="6"/>
  <c r="Y158" i="21"/>
  <c r="V198" i="6"/>
  <c r="Y197" i="21"/>
  <c r="V126" i="6"/>
  <c r="Y253" i="21"/>
  <c r="Y298" i="21"/>
  <c r="V137" i="6"/>
  <c r="Y31" i="21"/>
  <c r="V147" i="6"/>
  <c r="Y88" i="21"/>
  <c r="V36" i="6"/>
  <c r="Y123" i="21"/>
  <c r="Y160" i="21"/>
  <c r="V200" i="6"/>
  <c r="Y215" i="21"/>
  <c r="V97" i="6"/>
  <c r="Y116" i="21"/>
  <c r="Y303" i="21"/>
  <c r="V207" i="6"/>
  <c r="Y120" i="21"/>
  <c r="Y306" i="21"/>
  <c r="V103" i="6"/>
  <c r="Y149" i="21"/>
  <c r="Y309" i="21"/>
  <c r="V27" i="6"/>
  <c r="Y286" i="21"/>
  <c r="V18" i="6"/>
  <c r="V127" i="6"/>
  <c r="Y242" i="21"/>
  <c r="V25" i="6"/>
  <c r="Y136" i="21"/>
  <c r="F119" i="24"/>
  <c r="F133" i="24"/>
  <c r="F93" i="24"/>
  <c r="F107" i="24" s="1"/>
  <c r="F358" i="24"/>
  <c r="F320" i="24"/>
  <c r="F505" i="24" s="1"/>
  <c r="AJ314" i="21"/>
  <c r="AN314" i="21"/>
  <c r="AR314" i="21"/>
  <c r="AV314" i="21"/>
  <c r="AZ314" i="21"/>
  <c r="BD314" i="21"/>
  <c r="BH314" i="21"/>
  <c r="AJ505" i="21"/>
  <c r="AN505" i="21"/>
  <c r="AR505" i="21"/>
  <c r="AV505" i="21"/>
  <c r="AZ505" i="21"/>
  <c r="BD505" i="21"/>
  <c r="BH505" i="21"/>
  <c r="AJ142" i="21"/>
  <c r="AN142" i="21"/>
  <c r="AR142" i="21"/>
  <c r="AV142" i="21"/>
  <c r="AZ142" i="21"/>
  <c r="BD142" i="21"/>
  <c r="BH142" i="21"/>
  <c r="AJ180" i="21"/>
  <c r="AN180" i="21"/>
  <c r="AR180" i="21"/>
  <c r="AV180" i="21"/>
  <c r="AZ180" i="21"/>
  <c r="BD180" i="21"/>
  <c r="BH180" i="21"/>
  <c r="AJ193" i="21"/>
  <c r="AN193" i="21"/>
  <c r="AR193" i="21"/>
  <c r="AV193" i="21"/>
  <c r="AZ193" i="21"/>
  <c r="BD193" i="21"/>
  <c r="BH193" i="21"/>
  <c r="AJ270" i="21"/>
  <c r="AN270" i="21"/>
  <c r="AR270" i="21"/>
  <c r="AV270" i="21"/>
  <c r="AZ270" i="21"/>
  <c r="BD270" i="21"/>
  <c r="BH270" i="21"/>
  <c r="AJ435" i="21"/>
  <c r="AN435" i="21"/>
  <c r="AR435" i="21"/>
  <c r="AV435" i="21"/>
  <c r="AZ435" i="21"/>
  <c r="BD435" i="21"/>
  <c r="BH435" i="21"/>
  <c r="AJ438" i="21"/>
  <c r="AN438" i="21"/>
  <c r="AR438" i="21"/>
  <c r="AV438" i="21"/>
  <c r="AZ438" i="21"/>
  <c r="BD438" i="21"/>
  <c r="BH438" i="21"/>
  <c r="AJ481" i="21"/>
  <c r="AN481" i="21"/>
  <c r="AH314" i="21"/>
  <c r="AM314" i="21"/>
  <c r="AS314" i="21"/>
  <c r="AX314" i="21"/>
  <c r="BC314" i="21"/>
  <c r="BI314" i="21"/>
  <c r="AK505" i="21"/>
  <c r="AP505" i="21"/>
  <c r="AU505" i="21"/>
  <c r="BA505" i="21"/>
  <c r="BF505" i="21"/>
  <c r="BK505" i="21"/>
  <c r="AL142" i="21"/>
  <c r="AQ142" i="21"/>
  <c r="AW142" i="21"/>
  <c r="BB142" i="21"/>
  <c r="BG142" i="21"/>
  <c r="AH180" i="21"/>
  <c r="AM180" i="21"/>
  <c r="AS180" i="21"/>
  <c r="AX180" i="21"/>
  <c r="BC180" i="21"/>
  <c r="BI180" i="21"/>
  <c r="AI193" i="21"/>
  <c r="AO193" i="21"/>
  <c r="AT193" i="21"/>
  <c r="AY193" i="21"/>
  <c r="BE193" i="21"/>
  <c r="BJ193" i="21"/>
  <c r="AK270" i="21"/>
  <c r="AP270" i="21"/>
  <c r="AU270" i="21"/>
  <c r="BA270" i="21"/>
  <c r="BF270" i="21"/>
  <c r="BK270" i="21"/>
  <c r="AL435" i="21"/>
  <c r="AQ435" i="21"/>
  <c r="AW435" i="21"/>
  <c r="BB435" i="21"/>
  <c r="BG435" i="21"/>
  <c r="AH438" i="21"/>
  <c r="AM438" i="21"/>
  <c r="AS438" i="21"/>
  <c r="AX438" i="21"/>
  <c r="BC438" i="21"/>
  <c r="BI438" i="21"/>
  <c r="AI481" i="21"/>
  <c r="AO481" i="21"/>
  <c r="AS481" i="21"/>
  <c r="AW481" i="21"/>
  <c r="BA481" i="21"/>
  <c r="BE481" i="21"/>
  <c r="BI481" i="21"/>
  <c r="AK120" i="21"/>
  <c r="AO120" i="21"/>
  <c r="AS120" i="21"/>
  <c r="AW120" i="21"/>
  <c r="BA120" i="21"/>
  <c r="BE120" i="21"/>
  <c r="BI120" i="21"/>
  <c r="AK132" i="21"/>
  <c r="AO132" i="21"/>
  <c r="AS132" i="21"/>
  <c r="AW132" i="21"/>
  <c r="BA132" i="21"/>
  <c r="BE132" i="21"/>
  <c r="BI132" i="21"/>
  <c r="AK375" i="21"/>
  <c r="AO375" i="21"/>
  <c r="AS375" i="21"/>
  <c r="AW375" i="21"/>
  <c r="BA375" i="21"/>
  <c r="BE375" i="21"/>
  <c r="BI375" i="21"/>
  <c r="AK50" i="21"/>
  <c r="AO50" i="21"/>
  <c r="AS50" i="21"/>
  <c r="AW50" i="21"/>
  <c r="BA50" i="21"/>
  <c r="BE50" i="21"/>
  <c r="BI50" i="21"/>
  <c r="AK41" i="21"/>
  <c r="AO41" i="21"/>
  <c r="AS41" i="21"/>
  <c r="AW41" i="21"/>
  <c r="BA41" i="21"/>
  <c r="BE41" i="21"/>
  <c r="BI41" i="21"/>
  <c r="AK100" i="21"/>
  <c r="AO100" i="21"/>
  <c r="AS100" i="21"/>
  <c r="AW100" i="21"/>
  <c r="BA100" i="21"/>
  <c r="BE100" i="21"/>
  <c r="BI100" i="21"/>
  <c r="AK153" i="21"/>
  <c r="AO153" i="21"/>
  <c r="AS153" i="21"/>
  <c r="AW153" i="21"/>
  <c r="BA153" i="21"/>
  <c r="BE153" i="21"/>
  <c r="BI153" i="21"/>
  <c r="AK159" i="21"/>
  <c r="AO159" i="21"/>
  <c r="AS159" i="21"/>
  <c r="AW159" i="21"/>
  <c r="BA159" i="21"/>
  <c r="BE159" i="21"/>
  <c r="BI159" i="21"/>
  <c r="AK169" i="21"/>
  <c r="AO169" i="21"/>
  <c r="AS169" i="21"/>
  <c r="AW169" i="21"/>
  <c r="BA169" i="21"/>
  <c r="BE169" i="21"/>
  <c r="BI169" i="21"/>
  <c r="AK232" i="21"/>
  <c r="AO232" i="21"/>
  <c r="AS232" i="21"/>
  <c r="AW232" i="21"/>
  <c r="BA232" i="21"/>
  <c r="BE232" i="21"/>
  <c r="BI232" i="21"/>
  <c r="AK314" i="21"/>
  <c r="AQ314" i="21"/>
  <c r="AY314" i="21"/>
  <c r="BF314" i="21"/>
  <c r="AI505" i="21"/>
  <c r="AQ505" i="21"/>
  <c r="AX505" i="21"/>
  <c r="BE505" i="21"/>
  <c r="AI142" i="21"/>
  <c r="AP142" i="21"/>
  <c r="AX142" i="21"/>
  <c r="BE142" i="21"/>
  <c r="BK142" i="21"/>
  <c r="AI180" i="21"/>
  <c r="AP180" i="21"/>
  <c r="AW180" i="21"/>
  <c r="BE180" i="21"/>
  <c r="BK180" i="21"/>
  <c r="AH193" i="21"/>
  <c r="AP193" i="21"/>
  <c r="AW193" i="21"/>
  <c r="BC193" i="21"/>
  <c r="BK193" i="21"/>
  <c r="AH270" i="21"/>
  <c r="AO270" i="21"/>
  <c r="AW270" i="21"/>
  <c r="BC270" i="21"/>
  <c r="BJ270" i="21"/>
  <c r="AH435" i="21"/>
  <c r="AO435" i="21"/>
  <c r="AU435" i="21"/>
  <c r="BC435" i="21"/>
  <c r="BJ435" i="21"/>
  <c r="AO438" i="21"/>
  <c r="AU438" i="21"/>
  <c r="BB438" i="21"/>
  <c r="BJ438" i="21"/>
  <c r="AM481" i="21"/>
  <c r="AT481" i="21"/>
  <c r="AY481" i="21"/>
  <c r="BD481" i="21"/>
  <c r="BJ481" i="21"/>
  <c r="AJ120" i="21"/>
  <c r="AP120" i="21"/>
  <c r="AU120" i="21"/>
  <c r="AZ120" i="21"/>
  <c r="BF120" i="21"/>
  <c r="BK120" i="21"/>
  <c r="AL132" i="21"/>
  <c r="AQ132" i="21"/>
  <c r="AV132" i="21"/>
  <c r="BB132" i="21"/>
  <c r="BG132" i="21"/>
  <c r="AH375" i="21"/>
  <c r="AM375" i="21"/>
  <c r="AR375" i="21"/>
  <c r="AX375" i="21"/>
  <c r="BC375" i="21"/>
  <c r="BH375" i="21"/>
  <c r="AI50" i="21"/>
  <c r="AN50" i="21"/>
  <c r="AT50" i="21"/>
  <c r="AY50" i="21"/>
  <c r="BD50" i="21"/>
  <c r="BJ50" i="21"/>
  <c r="AJ41" i="21"/>
  <c r="AP41" i="21"/>
  <c r="AU41" i="21"/>
  <c r="AZ41" i="21"/>
  <c r="BF41" i="21"/>
  <c r="BK41" i="21"/>
  <c r="AL100" i="21"/>
  <c r="AQ100" i="21"/>
  <c r="AV100" i="21"/>
  <c r="BB100" i="21"/>
  <c r="BG100" i="21"/>
  <c r="AI153" i="21"/>
  <c r="AN153" i="21"/>
  <c r="AT153" i="21"/>
  <c r="AY153" i="21"/>
  <c r="BD153" i="21"/>
  <c r="BJ153" i="21"/>
  <c r="AJ159" i="21"/>
  <c r="AP159" i="21"/>
  <c r="AU159" i="21"/>
  <c r="AZ159" i="21"/>
  <c r="BF159" i="21"/>
  <c r="BK159" i="21"/>
  <c r="AL169" i="21"/>
  <c r="AQ169" i="21"/>
  <c r="AV169" i="21"/>
  <c r="BB169" i="21"/>
  <c r="BG169" i="21"/>
  <c r="AH232" i="21"/>
  <c r="AM232" i="21"/>
  <c r="AR232" i="21"/>
  <c r="AX232" i="21"/>
  <c r="BC232" i="21"/>
  <c r="BH232" i="21"/>
  <c r="AI307" i="21"/>
  <c r="AM307" i="21"/>
  <c r="AQ307" i="21"/>
  <c r="AU307" i="21"/>
  <c r="AY307" i="21"/>
  <c r="BC307" i="21"/>
  <c r="BG307" i="21"/>
  <c r="BK307" i="21"/>
  <c r="AI456" i="21"/>
  <c r="AM456" i="21"/>
  <c r="AQ456" i="21"/>
  <c r="AU456" i="21"/>
  <c r="AY456" i="21"/>
  <c r="BC456" i="21"/>
  <c r="BG456" i="21"/>
  <c r="BK456" i="21"/>
  <c r="AI103" i="21"/>
  <c r="AM103" i="21"/>
  <c r="AQ103" i="21"/>
  <c r="AU103" i="21"/>
  <c r="AY103" i="21"/>
  <c r="BC103" i="21"/>
  <c r="BG103" i="21"/>
  <c r="BK103" i="21"/>
  <c r="AI107" i="21"/>
  <c r="AM107" i="21"/>
  <c r="AQ107" i="21"/>
  <c r="AU107" i="21"/>
  <c r="AY107" i="21"/>
  <c r="BC107" i="21"/>
  <c r="BG107" i="21"/>
  <c r="BK107" i="21"/>
  <c r="AI126" i="21"/>
  <c r="AM126" i="21"/>
  <c r="AQ126" i="21"/>
  <c r="AU126" i="21"/>
  <c r="AY126" i="21"/>
  <c r="BC126" i="21"/>
  <c r="BG126" i="21"/>
  <c r="BK126" i="21"/>
  <c r="AI118" i="21"/>
  <c r="AM118" i="21"/>
  <c r="AQ118" i="21"/>
  <c r="AU118" i="21"/>
  <c r="AY118" i="21"/>
  <c r="BC118" i="21"/>
  <c r="BG118" i="21"/>
  <c r="BK118" i="21"/>
  <c r="AI152" i="21"/>
  <c r="AM152" i="21"/>
  <c r="AQ152" i="21"/>
  <c r="AU152" i="21"/>
  <c r="AY152" i="21"/>
  <c r="BC152" i="21"/>
  <c r="BG152" i="21"/>
  <c r="BK152" i="21"/>
  <c r="AI154" i="21"/>
  <c r="AM154" i="21"/>
  <c r="AQ154" i="21"/>
  <c r="AU154" i="21"/>
  <c r="AY154" i="21"/>
  <c r="BC154" i="21"/>
  <c r="BG154" i="21"/>
  <c r="BK154" i="21"/>
  <c r="AI139" i="21"/>
  <c r="AM139" i="21"/>
  <c r="AQ139" i="21"/>
  <c r="AU139" i="21"/>
  <c r="AY139" i="21"/>
  <c r="BC139" i="21"/>
  <c r="BG139" i="21"/>
  <c r="BK139" i="21"/>
  <c r="AI158" i="21"/>
  <c r="AM158" i="21"/>
  <c r="AQ158" i="21"/>
  <c r="AU158" i="21"/>
  <c r="AY158" i="21"/>
  <c r="BC158" i="21"/>
  <c r="BG158" i="21"/>
  <c r="BK158" i="21"/>
  <c r="AI179" i="21"/>
  <c r="AM179" i="21"/>
  <c r="AQ179" i="21"/>
  <c r="AU179" i="21"/>
  <c r="AY179" i="21"/>
  <c r="BC179" i="21"/>
  <c r="BG179" i="21"/>
  <c r="BK179" i="21"/>
  <c r="AI202" i="21"/>
  <c r="AM202" i="21"/>
  <c r="AQ202" i="21"/>
  <c r="AU202" i="21"/>
  <c r="AY202" i="21"/>
  <c r="BC202" i="21"/>
  <c r="BG202" i="21"/>
  <c r="BK202" i="21"/>
  <c r="AI190" i="21"/>
  <c r="AM190" i="21"/>
  <c r="AQ190" i="21"/>
  <c r="AU190" i="21"/>
  <c r="AY190" i="21"/>
  <c r="BC190" i="21"/>
  <c r="BG190" i="21"/>
  <c r="BK190" i="21"/>
  <c r="AI188" i="21"/>
  <c r="AM188" i="21"/>
  <c r="AQ188" i="21"/>
  <c r="AU188" i="21"/>
  <c r="AY188" i="21"/>
  <c r="BC188" i="21"/>
  <c r="BG188" i="21"/>
  <c r="BK188" i="21"/>
  <c r="AI222" i="21"/>
  <c r="AM222" i="21"/>
  <c r="AQ222" i="21"/>
  <c r="AU222" i="21"/>
  <c r="AY222" i="21"/>
  <c r="BC222" i="21"/>
  <c r="BG222" i="21"/>
  <c r="BK222" i="21"/>
  <c r="AI225" i="21"/>
  <c r="AM225" i="21"/>
  <c r="AQ225" i="21"/>
  <c r="AU225" i="21"/>
  <c r="AY225" i="21"/>
  <c r="BC225" i="21"/>
  <c r="BG225" i="21"/>
  <c r="BK225" i="21"/>
  <c r="AI272" i="21"/>
  <c r="AM272" i="21"/>
  <c r="AQ272" i="21"/>
  <c r="AU272" i="21"/>
  <c r="AY272" i="21"/>
  <c r="BC272" i="21"/>
  <c r="BG272" i="21"/>
  <c r="BK272" i="21"/>
  <c r="AI276" i="21"/>
  <c r="AM276" i="21"/>
  <c r="AQ276" i="21"/>
  <c r="AU276" i="21"/>
  <c r="AY276" i="21"/>
  <c r="BC276" i="21"/>
  <c r="BG276" i="21"/>
  <c r="BK276" i="21"/>
  <c r="AI289" i="21"/>
  <c r="AM289" i="21"/>
  <c r="AQ289" i="21"/>
  <c r="AU289" i="21"/>
  <c r="AY289" i="21"/>
  <c r="BC289" i="21"/>
  <c r="BG289" i="21"/>
  <c r="BK289" i="21"/>
  <c r="AI385" i="21"/>
  <c r="AM385" i="21"/>
  <c r="AQ385" i="21"/>
  <c r="AU385" i="21"/>
  <c r="AY385" i="21"/>
  <c r="BC385" i="21"/>
  <c r="BG385" i="21"/>
  <c r="BK385" i="21"/>
  <c r="AI401" i="21"/>
  <c r="AM401" i="21"/>
  <c r="AQ401" i="21"/>
  <c r="AU401" i="21"/>
  <c r="AY401" i="21"/>
  <c r="BC401" i="21"/>
  <c r="BG401" i="21"/>
  <c r="BK401" i="21"/>
  <c r="AI442" i="21"/>
  <c r="AM442" i="21"/>
  <c r="AQ442" i="21"/>
  <c r="AU442" i="21"/>
  <c r="AY442" i="21"/>
  <c r="BC442" i="21"/>
  <c r="BG442" i="21"/>
  <c r="AO314" i="21"/>
  <c r="AW314" i="21"/>
  <c r="BG314" i="21"/>
  <c r="AH505" i="21"/>
  <c r="AS505" i="21"/>
  <c r="BB505" i="21"/>
  <c r="BJ505" i="21"/>
  <c r="AK142" i="21"/>
  <c r="AT142" i="21"/>
  <c r="BC142" i="21"/>
  <c r="AL180" i="21"/>
  <c r="AU180" i="21"/>
  <c r="BF180" i="21"/>
  <c r="AM193" i="21"/>
  <c r="AX193" i="21"/>
  <c r="BG193" i="21"/>
  <c r="AQ270" i="21"/>
  <c r="AY270" i="21"/>
  <c r="BI270" i="21"/>
  <c r="AI435" i="21"/>
  <c r="AS435" i="21"/>
  <c r="BA435" i="21"/>
  <c r="BK435" i="21"/>
  <c r="AK438" i="21"/>
  <c r="AT438" i="21"/>
  <c r="BE438" i="21"/>
  <c r="AL481" i="21"/>
  <c r="AU481" i="21"/>
  <c r="BB481" i="21"/>
  <c r="BH481" i="21"/>
  <c r="AM120" i="21"/>
  <c r="AT120" i="21"/>
  <c r="BB120" i="21"/>
  <c r="BH120" i="21"/>
  <c r="AM132" i="21"/>
  <c r="AT132" i="21"/>
  <c r="AZ132" i="21"/>
  <c r="BH132" i="21"/>
  <c r="AL375" i="21"/>
  <c r="AT375" i="21"/>
  <c r="AZ375" i="21"/>
  <c r="BG375" i="21"/>
  <c r="AL50" i="21"/>
  <c r="AR50" i="21"/>
  <c r="AZ50" i="21"/>
  <c r="BG50" i="21"/>
  <c r="AL41" i="21"/>
  <c r="AR41" i="21"/>
  <c r="AY41" i="21"/>
  <c r="BG41" i="21"/>
  <c r="AJ100" i="21"/>
  <c r="AR100" i="21"/>
  <c r="AY100" i="21"/>
  <c r="BF100" i="21"/>
  <c r="AJ153" i="21"/>
  <c r="AQ153" i="21"/>
  <c r="AX153" i="21"/>
  <c r="BF153" i="21"/>
  <c r="AI159" i="21"/>
  <c r="AQ159" i="21"/>
  <c r="AX159" i="21"/>
  <c r="BD159" i="21"/>
  <c r="AI169" i="21"/>
  <c r="AP169" i="21"/>
  <c r="AX169" i="21"/>
  <c r="BD169" i="21"/>
  <c r="BK169" i="21"/>
  <c r="AI232" i="21"/>
  <c r="AP232" i="21"/>
  <c r="AV232" i="21"/>
  <c r="BD232" i="21"/>
  <c r="BK232" i="21"/>
  <c r="AH307" i="21"/>
  <c r="AN307" i="21"/>
  <c r="AS307" i="21"/>
  <c r="AX307" i="21"/>
  <c r="BD307" i="21"/>
  <c r="BI307" i="21"/>
  <c r="AJ456" i="21"/>
  <c r="AO456" i="21"/>
  <c r="AT456" i="21"/>
  <c r="AZ456" i="21"/>
  <c r="BE456" i="21"/>
  <c r="BJ456" i="21"/>
  <c r="AH103" i="21"/>
  <c r="AN103" i="21"/>
  <c r="AS103" i="21"/>
  <c r="AX103" i="21"/>
  <c r="BD103" i="21"/>
  <c r="BI103" i="21"/>
  <c r="AJ107" i="21"/>
  <c r="AO107" i="21"/>
  <c r="AT107" i="21"/>
  <c r="AZ107" i="21"/>
  <c r="BE107" i="21"/>
  <c r="BJ107" i="21"/>
  <c r="AK126" i="21"/>
  <c r="AP126" i="21"/>
  <c r="AV126" i="21"/>
  <c r="BA126" i="21"/>
  <c r="BF126" i="21"/>
  <c r="AL118" i="21"/>
  <c r="AR118" i="21"/>
  <c r="AW118" i="21"/>
  <c r="BB118" i="21"/>
  <c r="BH118" i="21"/>
  <c r="AH152" i="21"/>
  <c r="AN152" i="21"/>
  <c r="AS152" i="21"/>
  <c r="AX152" i="21"/>
  <c r="BD152" i="21"/>
  <c r="BI152" i="21"/>
  <c r="AJ154" i="21"/>
  <c r="AO154" i="21"/>
  <c r="AT154" i="21"/>
  <c r="AZ154" i="21"/>
  <c r="BE154" i="21"/>
  <c r="BJ154" i="21"/>
  <c r="AK139" i="21"/>
  <c r="AP139" i="21"/>
  <c r="AV139" i="21"/>
  <c r="BA139" i="21"/>
  <c r="BF139" i="21"/>
  <c r="AL158" i="21"/>
  <c r="AR158" i="21"/>
  <c r="AW158" i="21"/>
  <c r="BB158" i="21"/>
  <c r="BH158" i="21"/>
  <c r="AH179" i="21"/>
  <c r="AN179" i="21"/>
  <c r="AS179" i="21"/>
  <c r="AX179" i="21"/>
  <c r="BD179" i="21"/>
  <c r="BI179" i="21"/>
  <c r="AJ202" i="21"/>
  <c r="AO202" i="21"/>
  <c r="AT202" i="21"/>
  <c r="AZ202" i="21"/>
  <c r="BE202" i="21"/>
  <c r="BJ202" i="21"/>
  <c r="AK190" i="21"/>
  <c r="AP190" i="21"/>
  <c r="AV190" i="21"/>
  <c r="BA190" i="21"/>
  <c r="BF190" i="21"/>
  <c r="AL188" i="21"/>
  <c r="AR188" i="21"/>
  <c r="AW188" i="21"/>
  <c r="BB188" i="21"/>
  <c r="BH188" i="21"/>
  <c r="AH222" i="21"/>
  <c r="AN222" i="21"/>
  <c r="AS222" i="21"/>
  <c r="AX222" i="21"/>
  <c r="BD222" i="21"/>
  <c r="BI222" i="21"/>
  <c r="AJ225" i="21"/>
  <c r="AO225" i="21"/>
  <c r="AT225" i="21"/>
  <c r="AZ225" i="21"/>
  <c r="BE225" i="21"/>
  <c r="BJ225" i="21"/>
  <c r="AK272" i="21"/>
  <c r="AP272" i="21"/>
  <c r="AV272" i="21"/>
  <c r="BA272" i="21"/>
  <c r="BF272" i="21"/>
  <c r="AL276" i="21"/>
  <c r="AR276" i="21"/>
  <c r="AW276" i="21"/>
  <c r="BB276" i="21"/>
  <c r="BH276" i="21"/>
  <c r="AH289" i="21"/>
  <c r="AN289" i="21"/>
  <c r="AS289" i="21"/>
  <c r="AX289" i="21"/>
  <c r="BD289" i="21"/>
  <c r="BI289" i="21"/>
  <c r="AJ385" i="21"/>
  <c r="AO385" i="21"/>
  <c r="AT385" i="21"/>
  <c r="AZ385" i="21"/>
  <c r="BE385" i="21"/>
  <c r="BJ385" i="21"/>
  <c r="AK401" i="21"/>
  <c r="AP401" i="21"/>
  <c r="AV401" i="21"/>
  <c r="BA401" i="21"/>
  <c r="BF401" i="21"/>
  <c r="AL442" i="21"/>
  <c r="AR442" i="21"/>
  <c r="AW442" i="21"/>
  <c r="BB442" i="21"/>
  <c r="BH442" i="21"/>
  <c r="AJ470" i="21"/>
  <c r="AN470" i="21"/>
  <c r="AR470" i="21"/>
  <c r="AV470" i="21"/>
  <c r="AZ470" i="21"/>
  <c r="BD470" i="21"/>
  <c r="BH470" i="21"/>
  <c r="AJ484" i="21"/>
  <c r="AN484" i="21"/>
  <c r="AR484" i="21"/>
  <c r="AV484" i="21"/>
  <c r="AZ484" i="21"/>
  <c r="BD484" i="21"/>
  <c r="BH484" i="21"/>
  <c r="AJ509" i="21"/>
  <c r="AN509" i="21"/>
  <c r="AR509" i="21"/>
  <c r="AV509" i="21"/>
  <c r="AZ509" i="21"/>
  <c r="BD509" i="21"/>
  <c r="BH509" i="21"/>
  <c r="AJ517" i="21"/>
  <c r="AN517" i="21"/>
  <c r="AR517" i="21"/>
  <c r="AV517" i="21"/>
  <c r="AZ517" i="21"/>
  <c r="BD517" i="21"/>
  <c r="BH517" i="21"/>
  <c r="AJ16" i="21"/>
  <c r="AN16" i="21"/>
  <c r="AR16" i="21"/>
  <c r="AV16" i="21"/>
  <c r="AZ16" i="21"/>
  <c r="BD16" i="21"/>
  <c r="BH16" i="21"/>
  <c r="AJ9" i="21"/>
  <c r="AN9" i="21"/>
  <c r="AR9" i="21"/>
  <c r="AV9" i="21"/>
  <c r="AZ9" i="21"/>
  <c r="BD9" i="21"/>
  <c r="BH9" i="21"/>
  <c r="AJ32" i="21"/>
  <c r="AN32" i="21"/>
  <c r="AR32" i="21"/>
  <c r="AV32" i="21"/>
  <c r="AZ32" i="21"/>
  <c r="BD32" i="21"/>
  <c r="BH32" i="21"/>
  <c r="AJ49" i="21"/>
  <c r="AN49" i="21"/>
  <c r="AR49" i="21"/>
  <c r="AV49" i="21"/>
  <c r="AZ49" i="21"/>
  <c r="BD49" i="21"/>
  <c r="BH49" i="21"/>
  <c r="AJ60" i="21"/>
  <c r="AN60" i="21"/>
  <c r="AR60" i="21"/>
  <c r="AV60" i="21"/>
  <c r="AZ60" i="21"/>
  <c r="BD60" i="21"/>
  <c r="BH60" i="21"/>
  <c r="AJ102" i="21"/>
  <c r="AN102" i="21"/>
  <c r="AR102" i="21"/>
  <c r="AV102" i="21"/>
  <c r="AZ102" i="21"/>
  <c r="BD102" i="21"/>
  <c r="BH102" i="21"/>
  <c r="AJ151" i="21"/>
  <c r="AN151" i="21"/>
  <c r="AR151" i="21"/>
  <c r="AV151" i="21"/>
  <c r="AZ151" i="21"/>
  <c r="BD151" i="21"/>
  <c r="BH151" i="21"/>
  <c r="AJ205" i="21"/>
  <c r="AN205" i="21"/>
  <c r="AR205" i="21"/>
  <c r="AV205" i="21"/>
  <c r="AZ205" i="21"/>
  <c r="BD205" i="21"/>
  <c r="BH205" i="21"/>
  <c r="AJ216" i="21"/>
  <c r="AN216" i="21"/>
  <c r="AR216" i="21"/>
  <c r="AV216" i="21"/>
  <c r="AZ216" i="21"/>
  <c r="BD216" i="21"/>
  <c r="BH216" i="21"/>
  <c r="AJ271" i="21"/>
  <c r="AN271" i="21"/>
  <c r="AR271" i="21"/>
  <c r="AV271" i="21"/>
  <c r="AZ271" i="21"/>
  <c r="BD271" i="21"/>
  <c r="BH271" i="21"/>
  <c r="AJ284" i="21"/>
  <c r="AN284" i="21"/>
  <c r="AR284" i="21"/>
  <c r="AV284" i="21"/>
  <c r="AZ284" i="21"/>
  <c r="BD284" i="21"/>
  <c r="BH284" i="21"/>
  <c r="AJ290" i="21"/>
  <c r="AN290" i="21"/>
  <c r="AR290" i="21"/>
  <c r="AV290" i="21"/>
  <c r="AZ290" i="21"/>
  <c r="BD290" i="21"/>
  <c r="BH290" i="21"/>
  <c r="AJ342" i="21"/>
  <c r="AN342" i="21"/>
  <c r="AR342" i="21"/>
  <c r="AV342" i="21"/>
  <c r="AZ342" i="21"/>
  <c r="BD342" i="21"/>
  <c r="BH342" i="21"/>
  <c r="AJ348" i="21"/>
  <c r="AN348" i="21"/>
  <c r="AR348" i="21"/>
  <c r="AV348" i="21"/>
  <c r="AZ348" i="21"/>
  <c r="BD348" i="21"/>
  <c r="BH348" i="21"/>
  <c r="AJ340" i="21"/>
  <c r="AN340" i="21"/>
  <c r="AR340" i="21"/>
  <c r="AV340" i="21"/>
  <c r="AZ340" i="21"/>
  <c r="BD340" i="21"/>
  <c r="BH340" i="21"/>
  <c r="AJ339" i="21"/>
  <c r="AN339" i="21"/>
  <c r="AR339" i="21"/>
  <c r="AV339" i="21"/>
  <c r="AZ339" i="21"/>
  <c r="BD339" i="21"/>
  <c r="BH339" i="21"/>
  <c r="AJ353" i="21"/>
  <c r="AN353" i="21"/>
  <c r="AR353" i="21"/>
  <c r="AV353" i="21"/>
  <c r="AZ353" i="21"/>
  <c r="BD353" i="21"/>
  <c r="BH353" i="21"/>
  <c r="AJ341" i="21"/>
  <c r="AN341" i="21"/>
  <c r="AR341" i="21"/>
  <c r="AV341" i="21"/>
  <c r="AZ341" i="21"/>
  <c r="BD341" i="21"/>
  <c r="BH341" i="21"/>
  <c r="AJ415" i="21"/>
  <c r="AN415" i="21"/>
  <c r="AR415" i="21"/>
  <c r="AV415" i="21"/>
  <c r="AZ415" i="21"/>
  <c r="BD415" i="21"/>
  <c r="BH415" i="21"/>
  <c r="AJ425" i="21"/>
  <c r="AN425" i="21"/>
  <c r="AR425" i="21"/>
  <c r="AV425" i="21"/>
  <c r="AZ425" i="21"/>
  <c r="BD425" i="21"/>
  <c r="BH425" i="21"/>
  <c r="AJ455" i="21"/>
  <c r="AN455" i="21"/>
  <c r="AR455" i="21"/>
  <c r="AV455" i="21"/>
  <c r="AZ455" i="21"/>
  <c r="BD455" i="21"/>
  <c r="BH455" i="21"/>
  <c r="AJ471" i="21"/>
  <c r="AN471" i="21"/>
  <c r="AR471" i="21"/>
  <c r="AV471" i="21"/>
  <c r="AZ471" i="21"/>
  <c r="BD471" i="21"/>
  <c r="BH471" i="21"/>
  <c r="AJ500" i="21"/>
  <c r="AN500" i="21"/>
  <c r="AR500" i="21"/>
  <c r="AV500" i="21"/>
  <c r="AZ500" i="21"/>
  <c r="BD500" i="21"/>
  <c r="BH500" i="21"/>
  <c r="AJ519" i="21"/>
  <c r="AN519" i="21"/>
  <c r="AR519" i="21"/>
  <c r="AV519" i="21"/>
  <c r="AZ519" i="21"/>
  <c r="BD519" i="21"/>
  <c r="BH519" i="21"/>
  <c r="AJ40" i="21"/>
  <c r="AN40" i="21"/>
  <c r="AR40" i="21"/>
  <c r="AV40" i="21"/>
  <c r="AZ40" i="21"/>
  <c r="BD40" i="21"/>
  <c r="BH40" i="21"/>
  <c r="AJ255" i="21"/>
  <c r="AN255" i="21"/>
  <c r="AR255" i="21"/>
  <c r="AV255" i="21"/>
  <c r="AZ255" i="21"/>
  <c r="BD255" i="21"/>
  <c r="BH255" i="21"/>
  <c r="AJ282" i="21"/>
  <c r="AN282" i="21"/>
  <c r="AR282" i="21"/>
  <c r="AV282" i="21"/>
  <c r="AZ282" i="21"/>
  <c r="BD282" i="21"/>
  <c r="BH282" i="21"/>
  <c r="AJ268" i="21"/>
  <c r="AN268" i="21"/>
  <c r="AR268" i="21"/>
  <c r="AV268" i="21"/>
  <c r="AZ268" i="21"/>
  <c r="BD268" i="21"/>
  <c r="BH268" i="21"/>
  <c r="AJ24" i="21"/>
  <c r="AN24" i="21"/>
  <c r="AR24" i="21"/>
  <c r="AV24" i="21"/>
  <c r="AZ24" i="21"/>
  <c r="BD24" i="21"/>
  <c r="BH24" i="21"/>
  <c r="AJ25" i="21"/>
  <c r="AN25" i="21"/>
  <c r="AR25" i="21"/>
  <c r="AV25" i="21"/>
  <c r="AZ25" i="21"/>
  <c r="BD25" i="21"/>
  <c r="BH25" i="21"/>
  <c r="AJ26" i="21"/>
  <c r="AN26" i="21"/>
  <c r="AR26" i="21"/>
  <c r="AV26" i="21"/>
  <c r="AZ26" i="21"/>
  <c r="BD26" i="21"/>
  <c r="BH26" i="21"/>
  <c r="AJ33" i="21"/>
  <c r="AN33" i="21"/>
  <c r="AR33" i="21"/>
  <c r="AV33" i="21"/>
  <c r="AZ33" i="21"/>
  <c r="BD33" i="21"/>
  <c r="BH33" i="21"/>
  <c r="AJ55" i="21"/>
  <c r="AN55" i="21"/>
  <c r="AR55" i="21"/>
  <c r="AV55" i="21"/>
  <c r="AZ55" i="21"/>
  <c r="BD55" i="21"/>
  <c r="BH55" i="21"/>
  <c r="AJ101" i="21"/>
  <c r="AN101" i="21"/>
  <c r="AR101" i="21"/>
  <c r="AV101" i="21"/>
  <c r="AZ101" i="21"/>
  <c r="BD101" i="21"/>
  <c r="BH101" i="21"/>
  <c r="AJ128" i="21"/>
  <c r="AN128" i="21"/>
  <c r="AR128" i="21"/>
  <c r="AV128" i="21"/>
  <c r="AZ128" i="21"/>
  <c r="BD128" i="21"/>
  <c r="BH128" i="21"/>
  <c r="AJ135" i="21"/>
  <c r="AN135" i="21"/>
  <c r="AR135" i="21"/>
  <c r="AV135" i="21"/>
  <c r="AZ135" i="21"/>
  <c r="BD135" i="21"/>
  <c r="BH135" i="21"/>
  <c r="AJ148" i="21"/>
  <c r="AN148" i="21"/>
  <c r="AR148" i="21"/>
  <c r="AV148" i="21"/>
  <c r="AZ148" i="21"/>
  <c r="BD148" i="21"/>
  <c r="BH148" i="21"/>
  <c r="AJ168" i="21"/>
  <c r="AN168" i="21"/>
  <c r="AR168" i="21"/>
  <c r="AV168" i="21"/>
  <c r="AZ168" i="21"/>
  <c r="BD168" i="21"/>
  <c r="BH168" i="21"/>
  <c r="AJ178" i="21"/>
  <c r="AN178" i="21"/>
  <c r="AR178" i="21"/>
  <c r="AV178" i="21"/>
  <c r="AZ178" i="21"/>
  <c r="BD178" i="21"/>
  <c r="BH178" i="21"/>
  <c r="AJ171" i="21"/>
  <c r="AN171" i="21"/>
  <c r="AR171" i="21"/>
  <c r="AV171" i="21"/>
  <c r="AZ171" i="21"/>
  <c r="BD171" i="21"/>
  <c r="BH171" i="21"/>
  <c r="AJ167" i="21"/>
  <c r="AN167" i="21"/>
  <c r="AR167" i="21"/>
  <c r="AV167" i="21"/>
  <c r="AZ167" i="21"/>
  <c r="BD167" i="21"/>
  <c r="BH167" i="21"/>
  <c r="AJ196" i="21"/>
  <c r="AT314" i="21"/>
  <c r="BE314" i="21"/>
  <c r="AL505" i="21"/>
  <c r="AW505" i="21"/>
  <c r="BI505" i="21"/>
  <c r="AM142" i="21"/>
  <c r="AY142" i="21"/>
  <c r="BJ142" i="21"/>
  <c r="AO180" i="21"/>
  <c r="BA180" i="21"/>
  <c r="AQ193" i="21"/>
  <c r="BB193" i="21"/>
  <c r="AS270" i="21"/>
  <c r="BE270" i="21"/>
  <c r="AT435" i="21"/>
  <c r="BF435" i="21"/>
  <c r="AI438" i="21"/>
  <c r="AW438" i="21"/>
  <c r="BG438" i="21"/>
  <c r="AK481" i="21"/>
  <c r="AV481" i="21"/>
  <c r="BF481" i="21"/>
  <c r="AN120" i="21"/>
  <c r="AX120" i="21"/>
  <c r="BG120" i="21"/>
  <c r="AH132" i="21"/>
  <c r="AP132" i="21"/>
  <c r="AY132" i="21"/>
  <c r="BJ132" i="21"/>
  <c r="AI375" i="21"/>
  <c r="AQ375" i="21"/>
  <c r="BB375" i="21"/>
  <c r="BK375" i="21"/>
  <c r="AJ50" i="21"/>
  <c r="AU50" i="21"/>
  <c r="BC50" i="21"/>
  <c r="AM41" i="21"/>
  <c r="AV41" i="21"/>
  <c r="BD41" i="21"/>
  <c r="AN100" i="21"/>
  <c r="AX100" i="21"/>
  <c r="BH100" i="21"/>
  <c r="AH153" i="21"/>
  <c r="AR153" i="21"/>
  <c r="BB153" i="21"/>
  <c r="BK153" i="21"/>
  <c r="AL159" i="21"/>
  <c r="AT159" i="21"/>
  <c r="BC159" i="21"/>
  <c r="AM169" i="21"/>
  <c r="AU169" i="21"/>
  <c r="BF169" i="21"/>
  <c r="AN232" i="21"/>
  <c r="AY232" i="21"/>
  <c r="BG232" i="21"/>
  <c r="AO307" i="21"/>
  <c r="AV307" i="21"/>
  <c r="BB307" i="21"/>
  <c r="BJ307" i="21"/>
  <c r="AN456" i="21"/>
  <c r="AV456" i="21"/>
  <c r="BB456" i="21"/>
  <c r="BI456" i="21"/>
  <c r="AL103" i="21"/>
  <c r="AT103" i="21"/>
  <c r="BA103" i="21"/>
  <c r="BH103" i="21"/>
  <c r="AL107" i="21"/>
  <c r="AS107" i="21"/>
  <c r="BA107" i="21"/>
  <c r="BH107" i="21"/>
  <c r="AL126" i="21"/>
  <c r="AS126" i="21"/>
  <c r="AZ126" i="21"/>
  <c r="BH126" i="21"/>
  <c r="AK118" i="21"/>
  <c r="AS118" i="21"/>
  <c r="AZ118" i="21"/>
  <c r="BF118" i="21"/>
  <c r="AK152" i="21"/>
  <c r="AR152" i="21"/>
  <c r="AZ152" i="21"/>
  <c r="BF152" i="21"/>
  <c r="AK154" i="21"/>
  <c r="AR154" i="21"/>
  <c r="AX154" i="21"/>
  <c r="BF154" i="21"/>
  <c r="AJ139" i="21"/>
  <c r="AR139" i="21"/>
  <c r="AX139" i="21"/>
  <c r="BE139" i="21"/>
  <c r="AJ158" i="21"/>
  <c r="AP158" i="21"/>
  <c r="AX158" i="21"/>
  <c r="BE158" i="21"/>
  <c r="AJ179" i="21"/>
  <c r="AP179" i="21"/>
  <c r="AW179" i="21"/>
  <c r="BE179" i="21"/>
  <c r="AH202" i="21"/>
  <c r="AP202" i="21"/>
  <c r="AW202" i="21"/>
  <c r="BD202" i="21"/>
  <c r="AH190" i="21"/>
  <c r="AO190" i="21"/>
  <c r="AW190" i="21"/>
  <c r="BD190" i="21"/>
  <c r="BJ190" i="21"/>
  <c r="AH188" i="21"/>
  <c r="AO188" i="21"/>
  <c r="AV188" i="21"/>
  <c r="BD188" i="21"/>
  <c r="BJ188" i="21"/>
  <c r="AO222" i="21"/>
  <c r="AV222" i="21"/>
  <c r="BB222" i="21"/>
  <c r="BJ222" i="21"/>
  <c r="AN225" i="21"/>
  <c r="AV225" i="21"/>
  <c r="BB225" i="21"/>
  <c r="BI225" i="21"/>
  <c r="AN272" i="21"/>
  <c r="AT272" i="21"/>
  <c r="BB272" i="21"/>
  <c r="BI272" i="21"/>
  <c r="AN276" i="21"/>
  <c r="AT276" i="21"/>
  <c r="BA276" i="21"/>
  <c r="BI276" i="21"/>
  <c r="AL289" i="21"/>
  <c r="AT289" i="21"/>
  <c r="BA289" i="21"/>
  <c r="BH289" i="21"/>
  <c r="AL385" i="21"/>
  <c r="AS385" i="21"/>
  <c r="BA385" i="21"/>
  <c r="BH385" i="21"/>
  <c r="AL401" i="21"/>
  <c r="AS401" i="21"/>
  <c r="AZ401" i="21"/>
  <c r="BH401" i="21"/>
  <c r="AK442" i="21"/>
  <c r="AS442" i="21"/>
  <c r="AZ442" i="21"/>
  <c r="BF442" i="21"/>
  <c r="AH470" i="21"/>
  <c r="AM470" i="21"/>
  <c r="AS470" i="21"/>
  <c r="AX470" i="21"/>
  <c r="BC470" i="21"/>
  <c r="BI470" i="21"/>
  <c r="AI484" i="21"/>
  <c r="AO484" i="21"/>
  <c r="AT484" i="21"/>
  <c r="AY484" i="21"/>
  <c r="BE484" i="21"/>
  <c r="BJ484" i="21"/>
  <c r="AK509" i="21"/>
  <c r="AP509" i="21"/>
  <c r="AU509" i="21"/>
  <c r="BA509" i="21"/>
  <c r="BF509" i="21"/>
  <c r="BK509" i="21"/>
  <c r="AL517" i="21"/>
  <c r="AQ517" i="21"/>
  <c r="AW517" i="21"/>
  <c r="BB517" i="21"/>
  <c r="BG517" i="21"/>
  <c r="AK16" i="21"/>
  <c r="AP16" i="21"/>
  <c r="AU16" i="21"/>
  <c r="BA16" i="21"/>
  <c r="BF16" i="21"/>
  <c r="BK16" i="21"/>
  <c r="AL9" i="21"/>
  <c r="AQ9" i="21"/>
  <c r="AW9" i="21"/>
  <c r="BB9" i="21"/>
  <c r="BG9" i="21"/>
  <c r="AH32" i="21"/>
  <c r="AM32" i="21"/>
  <c r="AS32" i="21"/>
  <c r="AX32" i="21"/>
  <c r="BC32" i="21"/>
  <c r="BI32" i="21"/>
  <c r="AI49" i="21"/>
  <c r="AO49" i="21"/>
  <c r="AT49" i="21"/>
  <c r="AY49" i="21"/>
  <c r="BE49" i="21"/>
  <c r="BJ49" i="21"/>
  <c r="AK60" i="21"/>
  <c r="AP60" i="21"/>
  <c r="AU60" i="21"/>
  <c r="BA60" i="21"/>
  <c r="BF60" i="21"/>
  <c r="BK60" i="21"/>
  <c r="AL102" i="21"/>
  <c r="AQ102" i="21"/>
  <c r="AW102" i="21"/>
  <c r="BB102" i="21"/>
  <c r="BG102" i="21"/>
  <c r="AH151" i="21"/>
  <c r="AM151" i="21"/>
  <c r="AS151" i="21"/>
  <c r="AX151" i="21"/>
  <c r="BC151" i="21"/>
  <c r="BI151" i="21"/>
  <c r="AI205" i="21"/>
  <c r="AO205" i="21"/>
  <c r="AT205" i="21"/>
  <c r="AY205" i="21"/>
  <c r="BE205" i="21"/>
  <c r="BJ205" i="21"/>
  <c r="AK216" i="21"/>
  <c r="AP216" i="21"/>
  <c r="AU216" i="21"/>
  <c r="BA216" i="21"/>
  <c r="BF216" i="21"/>
  <c r="BK216" i="21"/>
  <c r="AL271" i="21"/>
  <c r="AQ271" i="21"/>
  <c r="AW271" i="21"/>
  <c r="BB271" i="21"/>
  <c r="BG271" i="21"/>
  <c r="AH284" i="21"/>
  <c r="AM284" i="21"/>
  <c r="AS284" i="21"/>
  <c r="AX284" i="21"/>
  <c r="BC284" i="21"/>
  <c r="BI284" i="21"/>
  <c r="AI290" i="21"/>
  <c r="AO290" i="21"/>
  <c r="AT290" i="21"/>
  <c r="AY290" i="21"/>
  <c r="BE290" i="21"/>
  <c r="BJ290" i="21"/>
  <c r="AK342" i="21"/>
  <c r="AP342" i="21"/>
  <c r="AU342" i="21"/>
  <c r="BA342" i="21"/>
  <c r="BF342" i="21"/>
  <c r="BK342" i="21"/>
  <c r="AL348" i="21"/>
  <c r="AQ348" i="21"/>
  <c r="AW348" i="21"/>
  <c r="BB348" i="21"/>
  <c r="BG348" i="21"/>
  <c r="AH340" i="21"/>
  <c r="AM340" i="21"/>
  <c r="AS340" i="21"/>
  <c r="AX340" i="21"/>
  <c r="BC340" i="21"/>
  <c r="BI340" i="21"/>
  <c r="AI339" i="21"/>
  <c r="AO339" i="21"/>
  <c r="AT339" i="21"/>
  <c r="AY339" i="21"/>
  <c r="BE339" i="21"/>
  <c r="BJ339" i="21"/>
  <c r="AK353" i="21"/>
  <c r="AP353" i="21"/>
  <c r="AU353" i="21"/>
  <c r="BA353" i="21"/>
  <c r="BF353" i="21"/>
  <c r="BK353" i="21"/>
  <c r="AL341" i="21"/>
  <c r="AQ341" i="21"/>
  <c r="AW341" i="21"/>
  <c r="BB341" i="21"/>
  <c r="BG341" i="21"/>
  <c r="AH415" i="21"/>
  <c r="AM415" i="21"/>
  <c r="AS415" i="21"/>
  <c r="AX415" i="21"/>
  <c r="BC415" i="21"/>
  <c r="BI415" i="21"/>
  <c r="AI425" i="21"/>
  <c r="AO425" i="21"/>
  <c r="AT425" i="21"/>
  <c r="AY425" i="21"/>
  <c r="BE425" i="21"/>
  <c r="BJ425" i="21"/>
  <c r="AK455" i="21"/>
  <c r="AP455" i="21"/>
  <c r="AU455" i="21"/>
  <c r="BA455" i="21"/>
  <c r="BF455" i="21"/>
  <c r="BK455" i="21"/>
  <c r="AL471" i="21"/>
  <c r="AQ471" i="21"/>
  <c r="AW471" i="21"/>
  <c r="BB471" i="21"/>
  <c r="BG471" i="21"/>
  <c r="AH500" i="21"/>
  <c r="AM500" i="21"/>
  <c r="AS500" i="21"/>
  <c r="AX500" i="21"/>
  <c r="BC500" i="21"/>
  <c r="BI500" i="21"/>
  <c r="AI519" i="21"/>
  <c r="AO519" i="21"/>
  <c r="AT519" i="21"/>
  <c r="AY519" i="21"/>
  <c r="BE519" i="21"/>
  <c r="BJ519" i="21"/>
  <c r="AK40" i="21"/>
  <c r="AP40" i="21"/>
  <c r="AU40" i="21"/>
  <c r="BA40" i="21"/>
  <c r="BF40" i="21"/>
  <c r="BK40" i="21"/>
  <c r="AL255" i="21"/>
  <c r="AQ255" i="21"/>
  <c r="AW255" i="21"/>
  <c r="BB255" i="21"/>
  <c r="BG255" i="21"/>
  <c r="AH282" i="21"/>
  <c r="AM282" i="21"/>
  <c r="AS282" i="21"/>
  <c r="AX282" i="21"/>
  <c r="BC282" i="21"/>
  <c r="BI282" i="21"/>
  <c r="AI268" i="21"/>
  <c r="AO268" i="21"/>
  <c r="AT268" i="21"/>
  <c r="AY268" i="21"/>
  <c r="BE268" i="21"/>
  <c r="BJ268" i="21"/>
  <c r="AK24" i="21"/>
  <c r="AP24" i="21"/>
  <c r="AU24" i="21"/>
  <c r="BA24" i="21"/>
  <c r="BF24" i="21"/>
  <c r="BK24" i="21"/>
  <c r="AL25" i="21"/>
  <c r="AQ25" i="21"/>
  <c r="AW25" i="21"/>
  <c r="BB25" i="21"/>
  <c r="BG25" i="21"/>
  <c r="AH26" i="21"/>
  <c r="AM26" i="21"/>
  <c r="AS26" i="21"/>
  <c r="AX26" i="21"/>
  <c r="BC26" i="21"/>
  <c r="BI26" i="21"/>
  <c r="AI33" i="21"/>
  <c r="AO33" i="21"/>
  <c r="AT33" i="21"/>
  <c r="AY33" i="21"/>
  <c r="BE33" i="21"/>
  <c r="BJ33" i="21"/>
  <c r="AK55" i="21"/>
  <c r="AP55" i="21"/>
  <c r="AU55" i="21"/>
  <c r="BA55" i="21"/>
  <c r="BF55" i="21"/>
  <c r="BK55" i="21"/>
  <c r="AL101" i="21"/>
  <c r="AQ101" i="21"/>
  <c r="AW101" i="21"/>
  <c r="BB101" i="21"/>
  <c r="BG101" i="21"/>
  <c r="AH128" i="21"/>
  <c r="AM128" i="21"/>
  <c r="AS128" i="21"/>
  <c r="AX128" i="21"/>
  <c r="BC128" i="21"/>
  <c r="BI128" i="21"/>
  <c r="AI135" i="21"/>
  <c r="AO135" i="21"/>
  <c r="AT135" i="21"/>
  <c r="AY135" i="21"/>
  <c r="BE135" i="21"/>
  <c r="BJ135" i="21"/>
  <c r="AK148" i="21"/>
  <c r="AP148" i="21"/>
  <c r="AU148" i="21"/>
  <c r="BA148" i="21"/>
  <c r="BF148" i="21"/>
  <c r="BK148" i="21"/>
  <c r="AL168" i="21"/>
  <c r="AQ168" i="21"/>
  <c r="AW168" i="21"/>
  <c r="BB168" i="21"/>
  <c r="BG168" i="21"/>
  <c r="AH178" i="21"/>
  <c r="AM178" i="21"/>
  <c r="AS178" i="21"/>
  <c r="AX178" i="21"/>
  <c r="BC178" i="21"/>
  <c r="BI178" i="21"/>
  <c r="AI171" i="21"/>
  <c r="AO171" i="21"/>
  <c r="AT171" i="21"/>
  <c r="AY171" i="21"/>
  <c r="BE171" i="21"/>
  <c r="BJ171" i="21"/>
  <c r="AK167" i="21"/>
  <c r="AP167" i="21"/>
  <c r="AU167" i="21"/>
  <c r="BA167" i="21"/>
  <c r="BF167" i="21"/>
  <c r="BK167" i="21"/>
  <c r="AL196" i="21"/>
  <c r="AP196" i="21"/>
  <c r="AT196" i="21"/>
  <c r="AX196" i="21"/>
  <c r="BB196" i="21"/>
  <c r="BF196" i="21"/>
  <c r="BJ196" i="21"/>
  <c r="AH197" i="21"/>
  <c r="AL197" i="21"/>
  <c r="AP197" i="21"/>
  <c r="AT197" i="21"/>
  <c r="AX197" i="21"/>
  <c r="BB197" i="21"/>
  <c r="BF197" i="21"/>
  <c r="BJ197" i="21"/>
  <c r="AH258" i="21"/>
  <c r="AL258" i="21"/>
  <c r="AP258" i="21"/>
  <c r="AT258" i="21"/>
  <c r="AX258" i="21"/>
  <c r="BB258" i="21"/>
  <c r="BF258" i="21"/>
  <c r="BJ258" i="21"/>
  <c r="AH278" i="21"/>
  <c r="AL278" i="21"/>
  <c r="AP278" i="21"/>
  <c r="AT278" i="21"/>
  <c r="AX278" i="21"/>
  <c r="BB278" i="21"/>
  <c r="BF278" i="21"/>
  <c r="BJ278" i="21"/>
  <c r="AH358" i="21"/>
  <c r="AL358" i="21"/>
  <c r="AP358" i="21"/>
  <c r="AT358" i="21"/>
  <c r="AX358" i="21"/>
  <c r="BB358" i="21"/>
  <c r="BF358" i="21"/>
  <c r="BJ358" i="21"/>
  <c r="AH434" i="21"/>
  <c r="AL434" i="21"/>
  <c r="AP434" i="21"/>
  <c r="AT434" i="21"/>
  <c r="AX434" i="21"/>
  <c r="BB434" i="21"/>
  <c r="BF434" i="21"/>
  <c r="BJ434" i="21"/>
  <c r="AH436" i="21"/>
  <c r="AL436" i="21"/>
  <c r="AP436" i="21"/>
  <c r="AT436" i="21"/>
  <c r="AX436" i="21"/>
  <c r="BB436" i="21"/>
  <c r="BF436" i="21"/>
  <c r="BJ436" i="21"/>
  <c r="AH424" i="21"/>
  <c r="AL424" i="21"/>
  <c r="AP424" i="21"/>
  <c r="AT424" i="21"/>
  <c r="AX424" i="21"/>
  <c r="BB424" i="21"/>
  <c r="BF424" i="21"/>
  <c r="BJ424" i="21"/>
  <c r="AH454" i="21"/>
  <c r="AL454" i="21"/>
  <c r="AP454" i="21"/>
  <c r="AT454" i="21"/>
  <c r="AX454" i="21"/>
  <c r="BB454" i="21"/>
  <c r="BF454" i="21"/>
  <c r="BJ454" i="21"/>
  <c r="AH475" i="21"/>
  <c r="AL475" i="21"/>
  <c r="AP475" i="21"/>
  <c r="AT475" i="21"/>
  <c r="AX475" i="21"/>
  <c r="BB475" i="21"/>
  <c r="BF475" i="21"/>
  <c r="BJ475" i="21"/>
  <c r="AH22" i="21"/>
  <c r="AL22" i="21"/>
  <c r="AP22" i="21"/>
  <c r="AT22" i="21"/>
  <c r="AX22" i="21"/>
  <c r="BB22" i="21"/>
  <c r="BF22" i="21"/>
  <c r="BJ22" i="21"/>
  <c r="AH11" i="21"/>
  <c r="AL11" i="21"/>
  <c r="AP11" i="21"/>
  <c r="AT11" i="21"/>
  <c r="AX11" i="21"/>
  <c r="BB11" i="21"/>
  <c r="BF11" i="21"/>
  <c r="BJ11" i="21"/>
  <c r="AH47" i="21"/>
  <c r="AL47" i="21"/>
  <c r="AP47" i="21"/>
  <c r="AT47" i="21"/>
  <c r="AX47" i="21"/>
  <c r="BB47" i="21"/>
  <c r="BF47" i="21"/>
  <c r="BJ47" i="21"/>
  <c r="AH48" i="21"/>
  <c r="AL48" i="21"/>
  <c r="AP48" i="21"/>
  <c r="AT48" i="21"/>
  <c r="AX48" i="21"/>
  <c r="BB48" i="21"/>
  <c r="BF48" i="21"/>
  <c r="BJ48" i="21"/>
  <c r="AH75" i="21"/>
  <c r="AL75" i="21"/>
  <c r="AP75" i="21"/>
  <c r="AT75" i="21"/>
  <c r="AX75" i="21"/>
  <c r="BB75" i="21"/>
  <c r="BF75" i="21"/>
  <c r="BJ75" i="21"/>
  <c r="AH73" i="21"/>
  <c r="AL73" i="21"/>
  <c r="AP73" i="21"/>
  <c r="AT73" i="21"/>
  <c r="AX73" i="21"/>
  <c r="BB73" i="21"/>
  <c r="BF73" i="21"/>
  <c r="BJ73" i="21"/>
  <c r="AH57" i="21"/>
  <c r="AL57" i="21"/>
  <c r="AP57" i="21"/>
  <c r="AT57" i="21"/>
  <c r="AX57" i="21"/>
  <c r="BB57" i="21"/>
  <c r="BF57" i="21"/>
  <c r="BJ57" i="21"/>
  <c r="AH59" i="21"/>
  <c r="AL59" i="21"/>
  <c r="AP59" i="21"/>
  <c r="AT59" i="21"/>
  <c r="AX59" i="21"/>
  <c r="BB59" i="21"/>
  <c r="BF59" i="21"/>
  <c r="BJ59" i="21"/>
  <c r="AH65" i="21"/>
  <c r="AL65" i="21"/>
  <c r="AP65" i="21"/>
  <c r="AT65" i="21"/>
  <c r="AX65" i="21"/>
  <c r="BB65" i="21"/>
  <c r="BF65" i="21"/>
  <c r="BJ65" i="21"/>
  <c r="AH76" i="21"/>
  <c r="AL76" i="21"/>
  <c r="AP76" i="21"/>
  <c r="AT76" i="21"/>
  <c r="AX76" i="21"/>
  <c r="BB76" i="21"/>
  <c r="BF76" i="21"/>
  <c r="BJ76" i="21"/>
  <c r="AH66" i="21"/>
  <c r="AL66" i="21"/>
  <c r="AP66" i="21"/>
  <c r="AT66" i="21"/>
  <c r="AX66" i="21"/>
  <c r="BB66" i="21"/>
  <c r="BF66" i="21"/>
  <c r="BJ66" i="21"/>
  <c r="AH67" i="21"/>
  <c r="AL67" i="21"/>
  <c r="AP67" i="21"/>
  <c r="AT67" i="21"/>
  <c r="AX67" i="21"/>
  <c r="BB67" i="21"/>
  <c r="BF67" i="21"/>
  <c r="BJ67" i="21"/>
  <c r="AH78" i="21"/>
  <c r="AL78" i="21"/>
  <c r="AP78" i="21"/>
  <c r="AT78" i="21"/>
  <c r="AX78" i="21"/>
  <c r="BB78" i="21"/>
  <c r="BF78" i="21"/>
  <c r="BJ78" i="21"/>
  <c r="AH93" i="21"/>
  <c r="AL93" i="21"/>
  <c r="AP93" i="21"/>
  <c r="AT93" i="21"/>
  <c r="AX93" i="21"/>
  <c r="BB93" i="21"/>
  <c r="BF93" i="21"/>
  <c r="BJ93" i="21"/>
  <c r="AH95" i="21"/>
  <c r="AL95" i="21"/>
  <c r="AP95" i="21"/>
  <c r="AT95" i="21"/>
  <c r="AX95" i="21"/>
  <c r="BB95" i="21"/>
  <c r="BF95" i="21"/>
  <c r="BJ95" i="21"/>
  <c r="AH62" i="21"/>
  <c r="AL62" i="21"/>
  <c r="AP62" i="21"/>
  <c r="AT62" i="21"/>
  <c r="AX62" i="21"/>
  <c r="BB62" i="21"/>
  <c r="BF62" i="21"/>
  <c r="BJ62" i="21"/>
  <c r="AH85" i="21"/>
  <c r="AL85" i="21"/>
  <c r="AP85" i="21"/>
  <c r="AT85" i="21"/>
  <c r="AX85" i="21"/>
  <c r="BB85" i="21"/>
  <c r="BF85" i="21"/>
  <c r="BJ85" i="21"/>
  <c r="AH91" i="21"/>
  <c r="AL91" i="21"/>
  <c r="AP91" i="21"/>
  <c r="AT91" i="21"/>
  <c r="AX91" i="21"/>
  <c r="BB91" i="21"/>
  <c r="BF91" i="21"/>
  <c r="BJ91" i="21"/>
  <c r="AH94" i="21"/>
  <c r="AL94" i="21"/>
  <c r="AP94" i="21"/>
  <c r="AT94" i="21"/>
  <c r="AX94" i="21"/>
  <c r="BB94" i="21"/>
  <c r="BF94" i="21"/>
  <c r="BJ94" i="21"/>
  <c r="AH106" i="21"/>
  <c r="AL106" i="21"/>
  <c r="AP106" i="21"/>
  <c r="AT106" i="21"/>
  <c r="AX106" i="21"/>
  <c r="BB106" i="21"/>
  <c r="BF106" i="21"/>
  <c r="BJ106" i="21"/>
  <c r="AH82" i="21"/>
  <c r="AL82" i="21"/>
  <c r="AP82" i="21"/>
  <c r="AT82" i="21"/>
  <c r="AX82" i="21"/>
  <c r="BB82" i="21"/>
  <c r="BF82" i="21"/>
  <c r="BJ82" i="21"/>
  <c r="AH129" i="21"/>
  <c r="AL129" i="21"/>
  <c r="AP129" i="21"/>
  <c r="AT129" i="21"/>
  <c r="AX129" i="21"/>
  <c r="BB129" i="21"/>
  <c r="BF129" i="21"/>
  <c r="BJ129" i="21"/>
  <c r="AH112" i="21"/>
  <c r="AL112" i="21"/>
  <c r="AP112" i="21"/>
  <c r="AT112" i="21"/>
  <c r="AX112" i="21"/>
  <c r="BB112" i="21"/>
  <c r="BF112" i="21"/>
  <c r="BJ112" i="21"/>
  <c r="AH150" i="21"/>
  <c r="AL150" i="21"/>
  <c r="AP150" i="21"/>
  <c r="AT150" i="21"/>
  <c r="AX150" i="21"/>
  <c r="BB150" i="21"/>
  <c r="BF150" i="21"/>
  <c r="BJ150" i="21"/>
  <c r="AH134" i="21"/>
  <c r="AL134" i="21"/>
  <c r="AP134" i="21"/>
  <c r="AT134" i="21"/>
  <c r="AX134" i="21"/>
  <c r="BB134" i="21"/>
  <c r="BF134" i="21"/>
  <c r="BJ134" i="21"/>
  <c r="AH143" i="21"/>
  <c r="AL143" i="21"/>
  <c r="AP143" i="21"/>
  <c r="AT143" i="21"/>
  <c r="AX143" i="21"/>
  <c r="BB143" i="21"/>
  <c r="BF143" i="21"/>
  <c r="BJ143" i="21"/>
  <c r="AH137" i="21"/>
  <c r="AL137" i="21"/>
  <c r="AP137" i="21"/>
  <c r="AT137" i="21"/>
  <c r="AX137" i="21"/>
  <c r="BB137" i="21"/>
  <c r="BF137" i="21"/>
  <c r="BJ137" i="21"/>
  <c r="AH144" i="21"/>
  <c r="AL144" i="21"/>
  <c r="AP144" i="21"/>
  <c r="AT144" i="21"/>
  <c r="AX144" i="21"/>
  <c r="BB144" i="21"/>
  <c r="AI314" i="21"/>
  <c r="AU314" i="21"/>
  <c r="BJ314" i="21"/>
  <c r="AM505" i="21"/>
  <c r="AY505" i="21"/>
  <c r="AO142" i="21"/>
  <c r="BA142" i="21"/>
  <c r="AQ180" i="21"/>
  <c r="BB180" i="21"/>
  <c r="AS193" i="21"/>
  <c r="BF193" i="21"/>
  <c r="AI270" i="21"/>
  <c r="AT270" i="21"/>
  <c r="BG270" i="21"/>
  <c r="AK435" i="21"/>
  <c r="AX435" i="21"/>
  <c r="BI435" i="21"/>
  <c r="AL438" i="21"/>
  <c r="AY438" i="21"/>
  <c r="BK438" i="21"/>
  <c r="AP481" i="21"/>
  <c r="AX481" i="21"/>
  <c r="BG481" i="21"/>
  <c r="AH120" i="21"/>
  <c r="AQ120" i="21"/>
  <c r="AY120" i="21"/>
  <c r="BJ120" i="21"/>
  <c r="AI132" i="21"/>
  <c r="AR132" i="21"/>
  <c r="BC132" i="21"/>
  <c r="BK132" i="21"/>
  <c r="AJ375" i="21"/>
  <c r="AU375" i="21"/>
  <c r="BD375" i="21"/>
  <c r="AM50" i="21"/>
  <c r="AV50" i="21"/>
  <c r="BF50" i="21"/>
  <c r="AN41" i="21"/>
  <c r="AX41" i="21"/>
  <c r="BH41" i="21"/>
  <c r="AH100" i="21"/>
  <c r="AP100" i="21"/>
  <c r="AZ100" i="21"/>
  <c r="BJ100" i="21"/>
  <c r="AL153" i="21"/>
  <c r="AU153" i="21"/>
  <c r="BC153" i="21"/>
  <c r="AM159" i="21"/>
  <c r="AV159" i="21"/>
  <c r="BG159" i="21"/>
  <c r="AN169" i="21"/>
  <c r="AY169" i="21"/>
  <c r="BH169" i="21"/>
  <c r="AQ232" i="21"/>
  <c r="AZ232" i="21"/>
  <c r="BJ232" i="21"/>
  <c r="AJ307" i="21"/>
  <c r="AP307" i="21"/>
  <c r="AW307" i="21"/>
  <c r="BE307" i="21"/>
  <c r="AH456" i="21"/>
  <c r="AP456" i="21"/>
  <c r="AW456" i="21"/>
  <c r="BD456" i="21"/>
  <c r="AL314" i="21"/>
  <c r="BK314" i="21"/>
  <c r="AO505" i="21"/>
  <c r="BF142" i="21"/>
  <c r="AT180" i="21"/>
  <c r="AK193" i="21"/>
  <c r="BI193" i="21"/>
  <c r="AX270" i="21"/>
  <c r="AM435" i="21"/>
  <c r="BA438" i="21"/>
  <c r="AQ481" i="21"/>
  <c r="BK481" i="21"/>
  <c r="AR120" i="21"/>
  <c r="AU132" i="21"/>
  <c r="AV375" i="21"/>
  <c r="AX50" i="21"/>
  <c r="AH41" i="21"/>
  <c r="BB41" i="21"/>
  <c r="AI100" i="21"/>
  <c r="BC100" i="21"/>
  <c r="AM153" i="21"/>
  <c r="BG153" i="21"/>
  <c r="AN159" i="21"/>
  <c r="BH159" i="21"/>
  <c r="AR169" i="21"/>
  <c r="BJ169" i="21"/>
  <c r="AT232" i="21"/>
  <c r="AR307" i="21"/>
  <c r="BF307" i="21"/>
  <c r="AK456" i="21"/>
  <c r="AX456" i="21"/>
  <c r="AP103" i="21"/>
  <c r="AZ103" i="21"/>
  <c r="BJ103" i="21"/>
  <c r="AH107" i="21"/>
  <c r="AR107" i="21"/>
  <c r="BB107" i="21"/>
  <c r="AJ126" i="21"/>
  <c r="AT126" i="21"/>
  <c r="BD126" i="21"/>
  <c r="AN118" i="21"/>
  <c r="AV118" i="21"/>
  <c r="BE118" i="21"/>
  <c r="AO152" i="21"/>
  <c r="AW152" i="21"/>
  <c r="BH152" i="21"/>
  <c r="AP154" i="21"/>
  <c r="BA154" i="21"/>
  <c r="BI154" i="21"/>
  <c r="AH139" i="21"/>
  <c r="AS139" i="21"/>
  <c r="BB139" i="21"/>
  <c r="BJ139" i="21"/>
  <c r="AK158" i="21"/>
  <c r="AT158" i="21"/>
  <c r="BD158" i="21"/>
  <c r="AL179" i="21"/>
  <c r="AV179" i="21"/>
  <c r="BF179" i="21"/>
  <c r="AN202" i="21"/>
  <c r="AX202" i="21"/>
  <c r="BH202" i="21"/>
  <c r="AR190" i="21"/>
  <c r="AZ190" i="21"/>
  <c r="BI190" i="21"/>
  <c r="AJ188" i="21"/>
  <c r="AS188" i="21"/>
  <c r="BA188" i="21"/>
  <c r="AK222" i="21"/>
  <c r="AT222" i="21"/>
  <c r="BE222" i="21"/>
  <c r="AL225" i="21"/>
  <c r="AW225" i="21"/>
  <c r="BF225" i="21"/>
  <c r="AO272" i="21"/>
  <c r="AX272" i="21"/>
  <c r="BH272" i="21"/>
  <c r="AH276" i="21"/>
  <c r="AP276" i="21"/>
  <c r="AZ276" i="21"/>
  <c r="BJ276" i="21"/>
  <c r="AJ289" i="21"/>
  <c r="AR289" i="21"/>
  <c r="BB289" i="21"/>
  <c r="AK385" i="21"/>
  <c r="AV385" i="21"/>
  <c r="BD385" i="21"/>
  <c r="AN401" i="21"/>
  <c r="AW401" i="21"/>
  <c r="BE401" i="21"/>
  <c r="AO442" i="21"/>
  <c r="AX442" i="21"/>
  <c r="BI442" i="21"/>
  <c r="AL470" i="21"/>
  <c r="AT470" i="21"/>
  <c r="BA470" i="21"/>
  <c r="BG470" i="21"/>
  <c r="AL484" i="21"/>
  <c r="AS484" i="21"/>
  <c r="BA484" i="21"/>
  <c r="BG484" i="21"/>
  <c r="AL509" i="21"/>
  <c r="AS509" i="21"/>
  <c r="AY509" i="21"/>
  <c r="BG509" i="21"/>
  <c r="AK517" i="21"/>
  <c r="AS517" i="21"/>
  <c r="AY517" i="21"/>
  <c r="BF517" i="21"/>
  <c r="AI16" i="21"/>
  <c r="AQ16" i="21"/>
  <c r="AX16" i="21"/>
  <c r="AP314" i="21"/>
  <c r="AT505" i="21"/>
  <c r="AH142" i="21"/>
  <c r="BI142" i="21"/>
  <c r="AY180" i="21"/>
  <c r="AL193" i="21"/>
  <c r="BB270" i="21"/>
  <c r="AP435" i="21"/>
  <c r="BF438" i="21"/>
  <c r="AR481" i="21"/>
  <c r="AV120" i="21"/>
  <c r="AX132" i="21"/>
  <c r="AY375" i="21"/>
  <c r="AH50" i="21"/>
  <c r="BB50" i="21"/>
  <c r="AI41" i="21"/>
  <c r="BC41" i="21"/>
  <c r="AM100" i="21"/>
  <c r="BD100" i="21"/>
  <c r="AP153" i="21"/>
  <c r="BH153" i="21"/>
  <c r="AR159" i="21"/>
  <c r="BJ159" i="21"/>
  <c r="AT169" i="21"/>
  <c r="AU232" i="21"/>
  <c r="AT307" i="21"/>
  <c r="BH307" i="21"/>
  <c r="AL456" i="21"/>
  <c r="BA456" i="21"/>
  <c r="AJ103" i="21"/>
  <c r="AR103" i="21"/>
  <c r="BB103" i="21"/>
  <c r="AK107" i="21"/>
  <c r="AV107" i="21"/>
  <c r="BD107" i="21"/>
  <c r="AN126" i="21"/>
  <c r="AW126" i="21"/>
  <c r="BE126" i="21"/>
  <c r="AO118" i="21"/>
  <c r="AX118" i="21"/>
  <c r="BI118" i="21"/>
  <c r="AP152" i="21"/>
  <c r="BA152" i="21"/>
  <c r="BJ152" i="21"/>
  <c r="AH154" i="21"/>
  <c r="AS154" i="21"/>
  <c r="BB154" i="21"/>
  <c r="AL139" i="21"/>
  <c r="AT139" i="21"/>
  <c r="BD139" i="21"/>
  <c r="AN158" i="21"/>
  <c r="AV158" i="21"/>
  <c r="BF158" i="21"/>
  <c r="AO179" i="21"/>
  <c r="AZ179" i="21"/>
  <c r="BH179" i="21"/>
  <c r="AR202" i="21"/>
  <c r="BA202" i="21"/>
  <c r="BI202" i="21"/>
  <c r="AJ190" i="21"/>
  <c r="AS190" i="21"/>
  <c r="BB190" i="21"/>
  <c r="AK188" i="21"/>
  <c r="AT188" i="21"/>
  <c r="BE188" i="21"/>
  <c r="AL222" i="21"/>
  <c r="AW222" i="21"/>
  <c r="BF222" i="21"/>
  <c r="AP225" i="21"/>
  <c r="AX225" i="21"/>
  <c r="BH225" i="21"/>
  <c r="AH272" i="21"/>
  <c r="AR272" i="21"/>
  <c r="AZ272" i="21"/>
  <c r="BJ272" i="21"/>
  <c r="AJ276" i="21"/>
  <c r="AS276" i="21"/>
  <c r="BD276" i="21"/>
  <c r="AK289" i="21"/>
  <c r="AV289" i="21"/>
  <c r="BE289" i="21"/>
  <c r="AN385" i="21"/>
  <c r="AW385" i="21"/>
  <c r="BF385" i="21"/>
  <c r="AO401" i="21"/>
  <c r="AX401" i="21"/>
  <c r="BI401" i="21"/>
  <c r="AH442" i="21"/>
  <c r="AP442" i="21"/>
  <c r="BA442" i="21"/>
  <c r="BJ442" i="21"/>
  <c r="AO470" i="21"/>
  <c r="AU470" i="21"/>
  <c r="BB470" i="21"/>
  <c r="BJ470" i="21"/>
  <c r="AM484" i="21"/>
  <c r="AU484" i="21"/>
  <c r="BB484" i="21"/>
  <c r="BI484" i="21"/>
  <c r="AM509" i="21"/>
  <c r="AT509" i="21"/>
  <c r="BB509" i="21"/>
  <c r="BI509" i="21"/>
  <c r="AM517" i="21"/>
  <c r="AT517" i="21"/>
  <c r="BA517" i="21"/>
  <c r="BI517" i="21"/>
  <c r="AL16" i="21"/>
  <c r="AS16" i="21"/>
  <c r="AY16" i="21"/>
  <c r="BG16" i="21"/>
  <c r="AK9" i="21"/>
  <c r="AS9" i="21"/>
  <c r="AY9" i="21"/>
  <c r="BF9" i="21"/>
  <c r="AK32" i="21"/>
  <c r="AQ32" i="21"/>
  <c r="AY32" i="21"/>
  <c r="BF32" i="21"/>
  <c r="AK49" i="21"/>
  <c r="BA314" i="21"/>
  <c r="AS142" i="21"/>
  <c r="BG180" i="21"/>
  <c r="AL270" i="21"/>
  <c r="AY435" i="21"/>
  <c r="AI120" i="21"/>
  <c r="AJ132" i="21"/>
  <c r="AN375" i="21"/>
  <c r="AP50" i="21"/>
  <c r="AQ41" i="21"/>
  <c r="AT100" i="21"/>
  <c r="AV153" i="21"/>
  <c r="AY159" i="21"/>
  <c r="AZ169" i="21"/>
  <c r="BB232" i="21"/>
  <c r="AZ307" i="21"/>
  <c r="AR456" i="21"/>
  <c r="AV103" i="21"/>
  <c r="AW107" i="21"/>
  <c r="AX126" i="21"/>
  <c r="AH118" i="21"/>
  <c r="BA118" i="21"/>
  <c r="AJ152" i="21"/>
  <c r="BB152" i="21"/>
  <c r="AL154" i="21"/>
  <c r="BD154" i="21"/>
  <c r="AN139" i="21"/>
  <c r="BH139" i="21"/>
  <c r="AO158" i="21"/>
  <c r="BI158" i="21"/>
  <c r="AR179" i="21"/>
  <c r="BJ179" i="21"/>
  <c r="AS202" i="21"/>
  <c r="AT190" i="21"/>
  <c r="AX188" i="21"/>
  <c r="AZ222" i="21"/>
  <c r="AH225" i="21"/>
  <c r="BA225" i="21"/>
  <c r="AJ272" i="21"/>
  <c r="BD272" i="21"/>
  <c r="AK276" i="21"/>
  <c r="BE276" i="21"/>
  <c r="AO289" i="21"/>
  <c r="BF289" i="21"/>
  <c r="AP385" i="21"/>
  <c r="BI385" i="21"/>
  <c r="AR401" i="21"/>
  <c r="BJ401" i="21"/>
  <c r="AT442" i="21"/>
  <c r="BK442" i="21"/>
  <c r="AP470" i="21"/>
  <c r="BE470" i="21"/>
  <c r="AH484" i="21"/>
  <c r="AW484" i="21"/>
  <c r="BK484" i="21"/>
  <c r="AO509" i="21"/>
  <c r="BC509" i="21"/>
  <c r="AH517" i="21"/>
  <c r="AU517" i="21"/>
  <c r="BJ517" i="21"/>
  <c r="AM16" i="21"/>
  <c r="BB16" i="21"/>
  <c r="BJ16" i="21"/>
  <c r="AI9" i="21"/>
  <c r="AT9" i="21"/>
  <c r="BC9" i="21"/>
  <c r="BK9" i="21"/>
  <c r="AL32" i="21"/>
  <c r="AU32" i="21"/>
  <c r="BE32" i="21"/>
  <c r="AM49" i="21"/>
  <c r="AU49" i="21"/>
  <c r="BB49" i="21"/>
  <c r="BI49" i="21"/>
  <c r="AM60" i="21"/>
  <c r="AT60" i="21"/>
  <c r="BB60" i="21"/>
  <c r="BI60" i="21"/>
  <c r="AM102" i="21"/>
  <c r="AT102" i="21"/>
  <c r="BA102" i="21"/>
  <c r="BI102" i="21"/>
  <c r="AL151" i="21"/>
  <c r="AT151" i="21"/>
  <c r="BA151" i="21"/>
  <c r="BG151" i="21"/>
  <c r="AL205" i="21"/>
  <c r="AS205" i="21"/>
  <c r="BA205" i="21"/>
  <c r="BG205" i="21"/>
  <c r="AL216" i="21"/>
  <c r="AS216" i="21"/>
  <c r="AY216" i="21"/>
  <c r="BG216" i="21"/>
  <c r="AK271" i="21"/>
  <c r="AS271" i="21"/>
  <c r="AY271" i="21"/>
  <c r="BF271" i="21"/>
  <c r="AK284" i="21"/>
  <c r="AQ284" i="21"/>
  <c r="AY284" i="21"/>
  <c r="BF284" i="21"/>
  <c r="AK290" i="21"/>
  <c r="AQ290" i="21"/>
  <c r="AX290" i="21"/>
  <c r="BF290" i="21"/>
  <c r="AI342" i="21"/>
  <c r="AQ342" i="21"/>
  <c r="AX342" i="21"/>
  <c r="BE342" i="21"/>
  <c r="AI348" i="21"/>
  <c r="AP348" i="21"/>
  <c r="AX348" i="21"/>
  <c r="BE348" i="21"/>
  <c r="BK348" i="21"/>
  <c r="AI340" i="21"/>
  <c r="AP340" i="21"/>
  <c r="AW340" i="21"/>
  <c r="BE340" i="21"/>
  <c r="BK340" i="21"/>
  <c r="AH339" i="21"/>
  <c r="AP339" i="21"/>
  <c r="AW339" i="21"/>
  <c r="BC339" i="21"/>
  <c r="BK339" i="21"/>
  <c r="AH353" i="21"/>
  <c r="AO353" i="21"/>
  <c r="AW353" i="21"/>
  <c r="BC353" i="21"/>
  <c r="BJ353" i="21"/>
  <c r="AH341" i="21"/>
  <c r="AO341" i="21"/>
  <c r="AU341" i="21"/>
  <c r="BC341" i="21"/>
  <c r="BJ341" i="21"/>
  <c r="AO415" i="21"/>
  <c r="AU415" i="21"/>
  <c r="BB415" i="21"/>
  <c r="BJ415" i="21"/>
  <c r="AM425" i="21"/>
  <c r="AU425" i="21"/>
  <c r="BB425" i="21"/>
  <c r="BI425" i="21"/>
  <c r="AM455" i="21"/>
  <c r="AT455" i="21"/>
  <c r="BB455" i="21"/>
  <c r="BI455" i="21"/>
  <c r="AM471" i="21"/>
  <c r="AT471" i="21"/>
  <c r="BA471" i="21"/>
  <c r="BI471" i="21"/>
  <c r="AL500" i="21"/>
  <c r="AT500" i="21"/>
  <c r="BA500" i="21"/>
  <c r="BG500" i="21"/>
  <c r="AL519" i="21"/>
  <c r="AS519" i="21"/>
  <c r="BA519" i="21"/>
  <c r="BG519" i="21"/>
  <c r="AL40" i="21"/>
  <c r="AS40" i="21"/>
  <c r="AY40" i="21"/>
  <c r="BG40" i="21"/>
  <c r="AK255" i="21"/>
  <c r="AS255" i="21"/>
  <c r="AY255" i="21"/>
  <c r="BF255" i="21"/>
  <c r="AK282" i="21"/>
  <c r="AQ282" i="21"/>
  <c r="AY282" i="21"/>
  <c r="BF282" i="21"/>
  <c r="AK268" i="21"/>
  <c r="AQ268" i="21"/>
  <c r="AX268" i="21"/>
  <c r="BF268" i="21"/>
  <c r="AI24" i="21"/>
  <c r="AQ24" i="21"/>
  <c r="AX24" i="21"/>
  <c r="BE24" i="21"/>
  <c r="AI25" i="21"/>
  <c r="AP25" i="21"/>
  <c r="AX25" i="21"/>
  <c r="BE25" i="21"/>
  <c r="BK25" i="21"/>
  <c r="AI26" i="21"/>
  <c r="AP26" i="21"/>
  <c r="AW26" i="21"/>
  <c r="BE26" i="21"/>
  <c r="BK26" i="21"/>
  <c r="AH33" i="21"/>
  <c r="AP33" i="21"/>
  <c r="AW33" i="21"/>
  <c r="BC33" i="21"/>
  <c r="BK33" i="21"/>
  <c r="AH55" i="21"/>
  <c r="AO55" i="21"/>
  <c r="AW55" i="21"/>
  <c r="BC55" i="21"/>
  <c r="BJ55" i="21"/>
  <c r="AH101" i="21"/>
  <c r="AO101" i="21"/>
  <c r="AU101" i="21"/>
  <c r="BC101" i="21"/>
  <c r="BJ101" i="21"/>
  <c r="AO128" i="21"/>
  <c r="AU128" i="21"/>
  <c r="BB128" i="21"/>
  <c r="BJ128" i="21"/>
  <c r="AM135" i="21"/>
  <c r="AU135" i="21"/>
  <c r="BB135" i="21"/>
  <c r="BI135" i="21"/>
  <c r="AM148" i="21"/>
  <c r="AT148" i="21"/>
  <c r="BB148" i="21"/>
  <c r="BI148" i="21"/>
  <c r="AM168" i="21"/>
  <c r="AT168" i="21"/>
  <c r="BA168" i="21"/>
  <c r="BI168" i="21"/>
  <c r="AL178" i="21"/>
  <c r="AT178" i="21"/>
  <c r="BA178" i="21"/>
  <c r="BG178" i="21"/>
  <c r="AL171" i="21"/>
  <c r="AS171" i="21"/>
  <c r="BA171" i="21"/>
  <c r="BG171" i="21"/>
  <c r="AL167" i="21"/>
  <c r="AS167" i="21"/>
  <c r="AY167" i="21"/>
  <c r="BG167" i="21"/>
  <c r="AK196" i="21"/>
  <c r="AQ196" i="21"/>
  <c r="AV196" i="21"/>
  <c r="BA196" i="21"/>
  <c r="BG196" i="21"/>
  <c r="AM197" i="21"/>
  <c r="AR197" i="21"/>
  <c r="AW197" i="21"/>
  <c r="BC197" i="21"/>
  <c r="BH197" i="21"/>
  <c r="AI258" i="21"/>
  <c r="AN258" i="21"/>
  <c r="AS258" i="21"/>
  <c r="AY258" i="21"/>
  <c r="BD258" i="21"/>
  <c r="BI258" i="21"/>
  <c r="AJ278" i="21"/>
  <c r="AO278" i="21"/>
  <c r="AU278" i="21"/>
  <c r="AZ278" i="21"/>
  <c r="BE278" i="21"/>
  <c r="BK278" i="21"/>
  <c r="AK358" i="21"/>
  <c r="AQ358" i="21"/>
  <c r="AV358" i="21"/>
  <c r="BA358" i="21"/>
  <c r="BG358" i="21"/>
  <c r="AM434" i="21"/>
  <c r="AR434" i="21"/>
  <c r="AW434" i="21"/>
  <c r="BC434" i="21"/>
  <c r="BH434" i="21"/>
  <c r="AI436" i="21"/>
  <c r="AN436" i="21"/>
  <c r="AS436" i="21"/>
  <c r="AY436" i="21"/>
  <c r="BD436" i="21"/>
  <c r="BI436" i="21"/>
  <c r="AJ424" i="21"/>
  <c r="AO424" i="21"/>
  <c r="AU424" i="21"/>
  <c r="AZ424" i="21"/>
  <c r="BE424" i="21"/>
  <c r="BK424" i="21"/>
  <c r="AK454" i="21"/>
  <c r="AQ454" i="21"/>
  <c r="AV454" i="21"/>
  <c r="BA454" i="21"/>
  <c r="BG454" i="21"/>
  <c r="AM475" i="21"/>
  <c r="AR475" i="21"/>
  <c r="AW475" i="21"/>
  <c r="BC475" i="21"/>
  <c r="BH475" i="21"/>
  <c r="AI22" i="21"/>
  <c r="AN22" i="21"/>
  <c r="AS22" i="21"/>
  <c r="AY22" i="21"/>
  <c r="BD22" i="21"/>
  <c r="BI22" i="21"/>
  <c r="AJ11" i="21"/>
  <c r="AO11" i="21"/>
  <c r="AU11" i="21"/>
  <c r="AZ11" i="21"/>
  <c r="BE11" i="21"/>
  <c r="BK11" i="21"/>
  <c r="AK47" i="21"/>
  <c r="AQ47" i="21"/>
  <c r="AV47" i="21"/>
  <c r="BA47" i="21"/>
  <c r="BG47" i="21"/>
  <c r="AM48" i="21"/>
  <c r="AR48" i="21"/>
  <c r="AW48" i="21"/>
  <c r="BC48" i="21"/>
  <c r="BH48" i="21"/>
  <c r="AI75" i="21"/>
  <c r="AN75" i="21"/>
  <c r="AS75" i="21"/>
  <c r="AY75" i="21"/>
  <c r="BD75" i="21"/>
  <c r="BI75" i="21"/>
  <c r="AJ73" i="21"/>
  <c r="AO73" i="21"/>
  <c r="AU73" i="21"/>
  <c r="AZ73" i="21"/>
  <c r="BE73" i="21"/>
  <c r="BK73" i="21"/>
  <c r="AK57" i="21"/>
  <c r="AQ57" i="21"/>
  <c r="AV57" i="21"/>
  <c r="BA57" i="21"/>
  <c r="BG57" i="21"/>
  <c r="AM59" i="21"/>
  <c r="AR59" i="21"/>
  <c r="AW59" i="21"/>
  <c r="BC59" i="21"/>
  <c r="BH59" i="21"/>
  <c r="AI65" i="21"/>
  <c r="AN65" i="21"/>
  <c r="AS65" i="21"/>
  <c r="BB314" i="21"/>
  <c r="AU142" i="21"/>
  <c r="BJ180" i="21"/>
  <c r="AM270" i="21"/>
  <c r="BE435" i="21"/>
  <c r="AH481" i="21"/>
  <c r="AL120" i="21"/>
  <c r="AN132" i="21"/>
  <c r="AP375" i="21"/>
  <c r="AQ50" i="21"/>
  <c r="AT41" i="21"/>
  <c r="AU100" i="21"/>
  <c r="AZ153" i="21"/>
  <c r="BB159" i="21"/>
  <c r="BC169" i="21"/>
  <c r="BF232" i="21"/>
  <c r="BA307" i="21"/>
  <c r="AS456" i="21"/>
  <c r="AW103" i="21"/>
  <c r="AX107" i="21"/>
  <c r="AH126" i="21"/>
  <c r="BB126" i="21"/>
  <c r="AJ118" i="21"/>
  <c r="BD118" i="21"/>
  <c r="AL152" i="21"/>
  <c r="BE152" i="21"/>
  <c r="AN154" i="21"/>
  <c r="BH154" i="21"/>
  <c r="AO139" i="21"/>
  <c r="BI139" i="21"/>
  <c r="AS158" i="21"/>
  <c r="BJ158" i="21"/>
  <c r="AT179" i="21"/>
  <c r="AV202" i="21"/>
  <c r="AX190" i="21"/>
  <c r="AZ188" i="21"/>
  <c r="AJ222" i="21"/>
  <c r="BA222" i="21"/>
  <c r="AK225" i="21"/>
  <c r="BD225" i="21"/>
  <c r="AL272" i="21"/>
  <c r="BE272" i="21"/>
  <c r="AO276" i="21"/>
  <c r="BF276" i="21"/>
  <c r="AP289" i="21"/>
  <c r="BJ289" i="21"/>
  <c r="AR385" i="21"/>
  <c r="AT401" i="21"/>
  <c r="AV442" i="21"/>
  <c r="AQ470" i="21"/>
  <c r="BF470" i="21"/>
  <c r="AK484" i="21"/>
  <c r="AX484" i="21"/>
  <c r="AQ509" i="21"/>
  <c r="BE509" i="21"/>
  <c r="AI517" i="21"/>
  <c r="AX517" i="21"/>
  <c r="BK517" i="21"/>
  <c r="AO16" i="21"/>
  <c r="BC16" i="21"/>
  <c r="AM9" i="21"/>
  <c r="AU9" i="21"/>
  <c r="BE9" i="21"/>
  <c r="AO32" i="21"/>
  <c r="AW32" i="21"/>
  <c r="BG32" i="21"/>
  <c r="AP49" i="21"/>
  <c r="AW49" i="21"/>
  <c r="BC49" i="21"/>
  <c r="BK49" i="21"/>
  <c r="AH60" i="21"/>
  <c r="AO60" i="21"/>
  <c r="AW60" i="21"/>
  <c r="BC60" i="21"/>
  <c r="BJ60" i="21"/>
  <c r="AH102" i="21"/>
  <c r="AO102" i="21"/>
  <c r="AU102" i="21"/>
  <c r="BC102" i="21"/>
  <c r="BJ102" i="21"/>
  <c r="AO151" i="21"/>
  <c r="AU151" i="21"/>
  <c r="BB151" i="21"/>
  <c r="BJ151" i="21"/>
  <c r="AM205" i="21"/>
  <c r="AU205" i="21"/>
  <c r="BB205" i="21"/>
  <c r="BI205" i="21"/>
  <c r="AM216" i="21"/>
  <c r="AT216" i="21"/>
  <c r="BB216" i="21"/>
  <c r="BI216" i="21"/>
  <c r="AM271" i="21"/>
  <c r="AT271" i="21"/>
  <c r="BA271" i="21"/>
  <c r="BI271" i="21"/>
  <c r="AL284" i="21"/>
  <c r="AT284" i="21"/>
  <c r="BA284" i="21"/>
  <c r="BG284" i="21"/>
  <c r="AL290" i="21"/>
  <c r="AS290" i="21"/>
  <c r="BA290" i="21"/>
  <c r="BG290" i="21"/>
  <c r="AL342" i="21"/>
  <c r="AS342" i="21"/>
  <c r="AY342" i="21"/>
  <c r="BG342" i="21"/>
  <c r="AK348" i="21"/>
  <c r="AS348" i="21"/>
  <c r="AY348" i="21"/>
  <c r="BF348" i="21"/>
  <c r="AK340" i="21"/>
  <c r="AQ340" i="21"/>
  <c r="AY340" i="21"/>
  <c r="BF340" i="21"/>
  <c r="AK339" i="21"/>
  <c r="AQ339" i="21"/>
  <c r="AX339" i="21"/>
  <c r="BF339" i="21"/>
  <c r="AI353" i="21"/>
  <c r="AQ353" i="21"/>
  <c r="AX353" i="21"/>
  <c r="BE353" i="21"/>
  <c r="AI341" i="21"/>
  <c r="AP341" i="21"/>
  <c r="AX341" i="21"/>
  <c r="BE341" i="21"/>
  <c r="BK341" i="21"/>
  <c r="AI415" i="21"/>
  <c r="AP415" i="21"/>
  <c r="AW415" i="21"/>
  <c r="BE415" i="21"/>
  <c r="BK415" i="21"/>
  <c r="AH425" i="21"/>
  <c r="AP425" i="21"/>
  <c r="AW425" i="21"/>
  <c r="BC425" i="21"/>
  <c r="BK425" i="21"/>
  <c r="AH455" i="21"/>
  <c r="AO455" i="21"/>
  <c r="AW455" i="21"/>
  <c r="BC455" i="21"/>
  <c r="BJ455" i="21"/>
  <c r="AH471" i="21"/>
  <c r="AO471" i="21"/>
  <c r="AU471" i="21"/>
  <c r="BC471" i="21"/>
  <c r="BJ471" i="21"/>
  <c r="AO500" i="21"/>
  <c r="AU500" i="21"/>
  <c r="BB500" i="21"/>
  <c r="BJ500" i="21"/>
  <c r="AM519" i="21"/>
  <c r="AU519" i="21"/>
  <c r="BB519" i="21"/>
  <c r="BI519" i="21"/>
  <c r="AM40" i="21"/>
  <c r="AT40" i="21"/>
  <c r="BB40" i="21"/>
  <c r="BI40" i="21"/>
  <c r="AM255" i="21"/>
  <c r="AT255" i="21"/>
  <c r="BA255" i="21"/>
  <c r="BI255" i="21"/>
  <c r="AL282" i="21"/>
  <c r="AT282" i="21"/>
  <c r="BA282" i="21"/>
  <c r="BG282" i="21"/>
  <c r="AL268" i="21"/>
  <c r="AS268" i="21"/>
  <c r="BA268" i="21"/>
  <c r="BG268" i="21"/>
  <c r="AL24" i="21"/>
  <c r="AS24" i="21"/>
  <c r="AY24" i="21"/>
  <c r="BG24" i="21"/>
  <c r="AK25" i="21"/>
  <c r="AS25" i="21"/>
  <c r="AY25" i="21"/>
  <c r="BF25" i="21"/>
  <c r="AK26" i="21"/>
  <c r="AQ26" i="21"/>
  <c r="AY26" i="21"/>
  <c r="BF26" i="21"/>
  <c r="AK33" i="21"/>
  <c r="AQ33" i="21"/>
  <c r="AX33" i="21"/>
  <c r="BF33" i="21"/>
  <c r="AI55" i="21"/>
  <c r="AQ55" i="21"/>
  <c r="AX55" i="21"/>
  <c r="BE55" i="21"/>
  <c r="AI101" i="21"/>
  <c r="AP101" i="21"/>
  <c r="AX101" i="21"/>
  <c r="BE101" i="21"/>
  <c r="BK101" i="21"/>
  <c r="AI128" i="21"/>
  <c r="AP128" i="21"/>
  <c r="AW128" i="21"/>
  <c r="BE128" i="21"/>
  <c r="BK128" i="21"/>
  <c r="AH135" i="21"/>
  <c r="AP135" i="21"/>
  <c r="AW135" i="21"/>
  <c r="BC135" i="21"/>
  <c r="BK135" i="21"/>
  <c r="AH148" i="21"/>
  <c r="AO148" i="21"/>
  <c r="AW148" i="21"/>
  <c r="BC148" i="21"/>
  <c r="BJ148" i="21"/>
  <c r="AH168" i="21"/>
  <c r="AO168" i="21"/>
  <c r="AU168" i="21"/>
  <c r="BC168" i="21"/>
  <c r="BJ168" i="21"/>
  <c r="AO178" i="21"/>
  <c r="AU178" i="21"/>
  <c r="BB178" i="21"/>
  <c r="BJ178" i="21"/>
  <c r="AM171" i="21"/>
  <c r="AU171" i="21"/>
  <c r="BB171" i="21"/>
  <c r="BI171" i="21"/>
  <c r="AM167" i="21"/>
  <c r="AT167" i="21"/>
  <c r="BB167" i="21"/>
  <c r="BI167" i="21"/>
  <c r="AM196" i="21"/>
  <c r="AR196" i="21"/>
  <c r="AW196" i="21"/>
  <c r="BC196" i="21"/>
  <c r="BH196" i="21"/>
  <c r="AI197" i="21"/>
  <c r="AN197" i="21"/>
  <c r="AS197" i="21"/>
  <c r="AY197" i="21"/>
  <c r="BD197" i="21"/>
  <c r="BI197" i="21"/>
  <c r="AJ258" i="21"/>
  <c r="AO258" i="21"/>
  <c r="AU258" i="21"/>
  <c r="AZ258" i="21"/>
  <c r="BE258" i="21"/>
  <c r="BK258" i="21"/>
  <c r="AK278" i="21"/>
  <c r="AQ278" i="21"/>
  <c r="AV278" i="21"/>
  <c r="BA278" i="21"/>
  <c r="BG278" i="21"/>
  <c r="AM358" i="21"/>
  <c r="AR358" i="21"/>
  <c r="AW358" i="21"/>
  <c r="BC358" i="21"/>
  <c r="BH358" i="21"/>
  <c r="AI434" i="21"/>
  <c r="AN434" i="21"/>
  <c r="AS434" i="21"/>
  <c r="AY434" i="21"/>
  <c r="BD434" i="21"/>
  <c r="BI434" i="21"/>
  <c r="AJ436" i="21"/>
  <c r="AO436" i="21"/>
  <c r="AU436" i="21"/>
  <c r="AZ436" i="21"/>
  <c r="BE436" i="21"/>
  <c r="BK436" i="21"/>
  <c r="AK424" i="21"/>
  <c r="AQ424" i="21"/>
  <c r="AV424" i="21"/>
  <c r="BA424" i="21"/>
  <c r="BG424" i="21"/>
  <c r="AM454" i="21"/>
  <c r="AR454" i="21"/>
  <c r="AW454" i="21"/>
  <c r="BC454" i="21"/>
  <c r="BH454" i="21"/>
  <c r="AI475" i="21"/>
  <c r="AZ481" i="21"/>
  <c r="BD132" i="21"/>
  <c r="BH50" i="21"/>
  <c r="BK100" i="21"/>
  <c r="AJ232" i="21"/>
  <c r="BE103" i="21"/>
  <c r="BF107" i="21"/>
  <c r="BI126" i="21"/>
  <c r="BJ118" i="21"/>
  <c r="AK202" i="21"/>
  <c r="AL190" i="21"/>
  <c r="AN188" i="21"/>
  <c r="AP222" i="21"/>
  <c r="AR225" i="21"/>
  <c r="AS272" i="21"/>
  <c r="AV276" i="21"/>
  <c r="AW289" i="21"/>
  <c r="AX385" i="21"/>
  <c r="BB401" i="21"/>
  <c r="BD442" i="21"/>
  <c r="AW470" i="21"/>
  <c r="AP484" i="21"/>
  <c r="AH509" i="21"/>
  <c r="BJ509" i="21"/>
  <c r="BC517" i="21"/>
  <c r="BE16" i="21"/>
  <c r="AO9" i="21"/>
  <c r="BI9" i="21"/>
  <c r="AP32" i="21"/>
  <c r="BJ32" i="21"/>
  <c r="AQ49" i="21"/>
  <c r="BF49" i="21"/>
  <c r="AI60" i="21"/>
  <c r="AX60" i="21"/>
  <c r="AP102" i="21"/>
  <c r="BE102" i="21"/>
  <c r="AI151" i="21"/>
  <c r="AW151" i="21"/>
  <c r="BK151" i="21"/>
  <c r="AP205" i="21"/>
  <c r="BC205" i="21"/>
  <c r="AH216" i="21"/>
  <c r="AW216" i="21"/>
  <c r="BJ216" i="21"/>
  <c r="AO271" i="21"/>
  <c r="BC271" i="21"/>
  <c r="AU284" i="21"/>
  <c r="BJ284" i="21"/>
  <c r="AM290" i="21"/>
  <c r="BB290" i="21"/>
  <c r="AT342" i="21"/>
  <c r="BI342" i="21"/>
  <c r="AM348" i="21"/>
  <c r="BA348" i="21"/>
  <c r="AT340" i="21"/>
  <c r="BG340" i="21"/>
  <c r="AL339" i="21"/>
  <c r="BA339" i="21"/>
  <c r="AS353" i="21"/>
  <c r="BG353" i="21"/>
  <c r="AK341" i="21"/>
  <c r="AY341" i="21"/>
  <c r="AQ415" i="21"/>
  <c r="BF415" i="21"/>
  <c r="AK425" i="21"/>
  <c r="AX425" i="21"/>
  <c r="AQ455" i="21"/>
  <c r="BE455" i="21"/>
  <c r="AI471" i="21"/>
  <c r="AX471" i="21"/>
  <c r="BK471" i="21"/>
  <c r="AP500" i="21"/>
  <c r="BE500" i="21"/>
  <c r="AH519" i="21"/>
  <c r="AW519" i="21"/>
  <c r="BK519" i="21"/>
  <c r="AO40" i="21"/>
  <c r="BC40" i="21"/>
  <c r="AH255" i="21"/>
  <c r="AU255" i="21"/>
  <c r="BJ255" i="21"/>
  <c r="AO282" i="21"/>
  <c r="BB282" i="21"/>
  <c r="AU268" i="21"/>
  <c r="BI268" i="21"/>
  <c r="AM24" i="21"/>
  <c r="BB24" i="21"/>
  <c r="AT25" i="21"/>
  <c r="BI25" i="21"/>
  <c r="AL26" i="21"/>
  <c r="BA26" i="21"/>
  <c r="AS33" i="21"/>
  <c r="BG33" i="21"/>
  <c r="AL55" i="21"/>
  <c r="AY55" i="21"/>
  <c r="AS101" i="21"/>
  <c r="BF101" i="21"/>
  <c r="AK128" i="21"/>
  <c r="AY128" i="21"/>
  <c r="AQ135" i="21"/>
  <c r="BF135" i="21"/>
  <c r="AI148" i="21"/>
  <c r="AX148" i="21"/>
  <c r="AP168" i="21"/>
  <c r="BE168" i="21"/>
  <c r="AI178" i="21"/>
  <c r="AW178" i="21"/>
  <c r="BK178" i="21"/>
  <c r="AP171" i="21"/>
  <c r="BC171" i="21"/>
  <c r="AH167" i="21"/>
  <c r="AW167" i="21"/>
  <c r="BJ167" i="21"/>
  <c r="AN196" i="21"/>
  <c r="AY196" i="21"/>
  <c r="BI196" i="21"/>
  <c r="AJ197" i="21"/>
  <c r="AU197" i="21"/>
  <c r="BE197" i="21"/>
  <c r="AQ258" i="21"/>
  <c r="BA258" i="21"/>
  <c r="AM278" i="21"/>
  <c r="AW278" i="21"/>
  <c r="BH278" i="21"/>
  <c r="AI358" i="21"/>
  <c r="AS358" i="21"/>
  <c r="BD358" i="21"/>
  <c r="AO434" i="21"/>
  <c r="AZ434" i="21"/>
  <c r="BK434" i="21"/>
  <c r="AK436" i="21"/>
  <c r="AV436" i="21"/>
  <c r="BG436" i="21"/>
  <c r="AR424" i="21"/>
  <c r="BC424" i="21"/>
  <c r="AN454" i="21"/>
  <c r="AY454" i="21"/>
  <c r="BI454" i="21"/>
  <c r="AJ475" i="21"/>
  <c r="AQ475" i="21"/>
  <c r="AY475" i="21"/>
  <c r="BE475" i="21"/>
  <c r="AJ22" i="21"/>
  <c r="AQ22" i="21"/>
  <c r="AW22" i="21"/>
  <c r="BE22" i="21"/>
  <c r="AI11" i="21"/>
  <c r="AQ11" i="21"/>
  <c r="AW11" i="21"/>
  <c r="BD11" i="21"/>
  <c r="AI47" i="21"/>
  <c r="AO47" i="21"/>
  <c r="AW47" i="21"/>
  <c r="BD47" i="21"/>
  <c r="BK47" i="21"/>
  <c r="AI48" i="21"/>
  <c r="AO48" i="21"/>
  <c r="AV48" i="21"/>
  <c r="BD48" i="21"/>
  <c r="BK48" i="21"/>
  <c r="AO75" i="21"/>
  <c r="AV75" i="21"/>
  <c r="BC75" i="21"/>
  <c r="BK75" i="21"/>
  <c r="AN73" i="21"/>
  <c r="AV73" i="21"/>
  <c r="BC73" i="21"/>
  <c r="BI73" i="21"/>
  <c r="AN57" i="21"/>
  <c r="AU57" i="21"/>
  <c r="BC57" i="21"/>
  <c r="BI57" i="21"/>
  <c r="AN59" i="21"/>
  <c r="AU59" i="21"/>
  <c r="BA59" i="21"/>
  <c r="BI59" i="21"/>
  <c r="AM65" i="21"/>
  <c r="AU65" i="21"/>
  <c r="AZ65" i="21"/>
  <c r="BE65" i="21"/>
  <c r="BK65" i="21"/>
  <c r="AK76" i="21"/>
  <c r="AQ76" i="21"/>
  <c r="AV76" i="21"/>
  <c r="BA76" i="21"/>
  <c r="BG76" i="21"/>
  <c r="AM66" i="21"/>
  <c r="AR66" i="21"/>
  <c r="AW66" i="21"/>
  <c r="BC66" i="21"/>
  <c r="BH66" i="21"/>
  <c r="AI67" i="21"/>
  <c r="AN67" i="21"/>
  <c r="AS67" i="21"/>
  <c r="AY67" i="21"/>
  <c r="BD67" i="21"/>
  <c r="BI67" i="21"/>
  <c r="AJ78" i="21"/>
  <c r="AO78" i="21"/>
  <c r="AU78" i="21"/>
  <c r="AZ78" i="21"/>
  <c r="BE78" i="21"/>
  <c r="BK78" i="21"/>
  <c r="AK93" i="21"/>
  <c r="AQ93" i="21"/>
  <c r="AV93" i="21"/>
  <c r="BA93" i="21"/>
  <c r="BG93" i="21"/>
  <c r="AM95" i="21"/>
  <c r="AR95" i="21"/>
  <c r="AW95" i="21"/>
  <c r="BC95" i="21"/>
  <c r="BH95" i="21"/>
  <c r="AI62" i="21"/>
  <c r="AN62" i="21"/>
  <c r="AS62" i="21"/>
  <c r="AY62" i="21"/>
  <c r="BD62" i="21"/>
  <c r="BI62" i="21"/>
  <c r="AJ85" i="21"/>
  <c r="AO85" i="21"/>
  <c r="AU85" i="21"/>
  <c r="AZ85" i="21"/>
  <c r="BE85" i="21"/>
  <c r="BK85" i="21"/>
  <c r="AK91" i="21"/>
  <c r="AQ91" i="21"/>
  <c r="AV91" i="21"/>
  <c r="BA91" i="21"/>
  <c r="BG91" i="21"/>
  <c r="AM94" i="21"/>
  <c r="AR94" i="21"/>
  <c r="AW94" i="21"/>
  <c r="BC94" i="21"/>
  <c r="BH94" i="21"/>
  <c r="AI106" i="21"/>
  <c r="AN106" i="21"/>
  <c r="AS106" i="21"/>
  <c r="AY106" i="21"/>
  <c r="BD106" i="21"/>
  <c r="BI106" i="21"/>
  <c r="AJ82" i="21"/>
  <c r="AO82" i="21"/>
  <c r="AU82" i="21"/>
  <c r="AZ82" i="21"/>
  <c r="BE82" i="21"/>
  <c r="BK82" i="21"/>
  <c r="AK129" i="21"/>
  <c r="AQ129" i="21"/>
  <c r="AV129" i="21"/>
  <c r="BA129" i="21"/>
  <c r="BG129" i="21"/>
  <c r="AM112" i="21"/>
  <c r="AR112" i="21"/>
  <c r="AW112" i="21"/>
  <c r="BC112" i="21"/>
  <c r="BH112" i="21"/>
  <c r="AI150" i="21"/>
  <c r="AN150" i="21"/>
  <c r="AS150" i="21"/>
  <c r="AY150" i="21"/>
  <c r="BD150" i="21"/>
  <c r="BI150" i="21"/>
  <c r="AJ134" i="21"/>
  <c r="AO134" i="21"/>
  <c r="AU134" i="21"/>
  <c r="AZ134" i="21"/>
  <c r="BE134" i="21"/>
  <c r="BK134" i="21"/>
  <c r="AK143" i="21"/>
  <c r="AQ143" i="21"/>
  <c r="AV143" i="21"/>
  <c r="BA143" i="21"/>
  <c r="BG143" i="21"/>
  <c r="AM137" i="21"/>
  <c r="AR137" i="21"/>
  <c r="AW137" i="21"/>
  <c r="BC137" i="21"/>
  <c r="BH137" i="21"/>
  <c r="AI144" i="21"/>
  <c r="AN144" i="21"/>
  <c r="AS144" i="21"/>
  <c r="AY144" i="21"/>
  <c r="BD144" i="21"/>
  <c r="BH144" i="21"/>
  <c r="AJ175" i="21"/>
  <c r="AN175" i="21"/>
  <c r="AR175" i="21"/>
  <c r="AV175" i="21"/>
  <c r="AZ175" i="21"/>
  <c r="BD175" i="21"/>
  <c r="BH175" i="21"/>
  <c r="AJ174" i="21"/>
  <c r="AN174" i="21"/>
  <c r="AR174" i="21"/>
  <c r="AV174" i="21"/>
  <c r="AZ174" i="21"/>
  <c r="BD174" i="21"/>
  <c r="BH174" i="21"/>
  <c r="AJ166" i="21"/>
  <c r="AN166" i="21"/>
  <c r="AR166" i="21"/>
  <c r="AV166" i="21"/>
  <c r="AZ166" i="21"/>
  <c r="BD166" i="21"/>
  <c r="BH166" i="21"/>
  <c r="AJ162" i="21"/>
  <c r="AN162" i="21"/>
  <c r="AR162" i="21"/>
  <c r="AV162" i="21"/>
  <c r="AZ162" i="21"/>
  <c r="BD162" i="21"/>
  <c r="BH162" i="21"/>
  <c r="AJ181" i="21"/>
  <c r="AN181" i="21"/>
  <c r="AR181" i="21"/>
  <c r="AV181" i="21"/>
  <c r="AZ181" i="21"/>
  <c r="BD181" i="21"/>
  <c r="BH181" i="21"/>
  <c r="AJ200" i="21"/>
  <c r="AN200" i="21"/>
  <c r="AR200" i="21"/>
  <c r="AV200" i="21"/>
  <c r="AZ200" i="21"/>
  <c r="BD200" i="21"/>
  <c r="BH200" i="21"/>
  <c r="AJ206" i="21"/>
  <c r="AN206" i="21"/>
  <c r="AR206" i="21"/>
  <c r="AV206" i="21"/>
  <c r="AZ206" i="21"/>
  <c r="BD206" i="21"/>
  <c r="BH206" i="21"/>
  <c r="AJ184" i="21"/>
  <c r="AN184" i="21"/>
  <c r="AR184" i="21"/>
  <c r="AV184" i="21"/>
  <c r="AZ184" i="21"/>
  <c r="BD184" i="21"/>
  <c r="BH184" i="21"/>
  <c r="AJ186" i="21"/>
  <c r="AN186" i="21"/>
  <c r="AR186" i="21"/>
  <c r="AV186" i="21"/>
  <c r="AZ186" i="21"/>
  <c r="BD186" i="21"/>
  <c r="BH186" i="21"/>
  <c r="AJ233" i="21"/>
  <c r="AN233" i="21"/>
  <c r="AR233" i="21"/>
  <c r="AV233" i="21"/>
  <c r="AZ233" i="21"/>
  <c r="BD233" i="21"/>
  <c r="BH233" i="21"/>
  <c r="AJ238" i="21"/>
  <c r="AN238" i="21"/>
  <c r="AR238" i="21"/>
  <c r="AV238" i="21"/>
  <c r="AZ238" i="21"/>
  <c r="BD238" i="21"/>
  <c r="BH238" i="21"/>
  <c r="AJ251" i="21"/>
  <c r="AN251" i="21"/>
  <c r="AR251" i="21"/>
  <c r="AV251" i="21"/>
  <c r="AZ251" i="21"/>
  <c r="BD251" i="21"/>
  <c r="BH251" i="21"/>
  <c r="AJ249" i="21"/>
  <c r="AN249" i="21"/>
  <c r="AR249" i="21"/>
  <c r="AV249" i="21"/>
  <c r="AZ249" i="21"/>
  <c r="BD249" i="21"/>
  <c r="BH249" i="21"/>
  <c r="AJ245" i="21"/>
  <c r="AN245" i="21"/>
  <c r="AR245" i="21"/>
  <c r="AV245" i="21"/>
  <c r="AZ245" i="21"/>
  <c r="BD245" i="21"/>
  <c r="BH245" i="21"/>
  <c r="AJ259" i="21"/>
  <c r="AN259" i="21"/>
  <c r="AR259" i="21"/>
  <c r="AV259" i="21"/>
  <c r="AZ259" i="21"/>
  <c r="BD259" i="21"/>
  <c r="BH259" i="21"/>
  <c r="AJ248" i="21"/>
  <c r="AN248" i="21"/>
  <c r="AR248" i="21"/>
  <c r="AV248" i="21"/>
  <c r="AZ248" i="21"/>
  <c r="BD248" i="21"/>
  <c r="BH248" i="21"/>
  <c r="AJ260" i="21"/>
  <c r="AN260" i="21"/>
  <c r="AR260" i="21"/>
  <c r="AV260" i="21"/>
  <c r="AZ260" i="21"/>
  <c r="BD260" i="21"/>
  <c r="BH260" i="21"/>
  <c r="AJ281" i="21"/>
  <c r="AN281" i="21"/>
  <c r="AR281" i="21"/>
  <c r="AV281" i="21"/>
  <c r="AZ281" i="21"/>
  <c r="BD281" i="21"/>
  <c r="BH281" i="21"/>
  <c r="AJ299" i="21"/>
  <c r="AN299" i="21"/>
  <c r="AR299" i="21"/>
  <c r="AV299" i="21"/>
  <c r="AZ299" i="21"/>
  <c r="BD299" i="21"/>
  <c r="BH299" i="21"/>
  <c r="AJ305" i="21"/>
  <c r="AN305" i="21"/>
  <c r="AR305" i="21"/>
  <c r="AV305" i="21"/>
  <c r="AZ305" i="21"/>
  <c r="BD305" i="21"/>
  <c r="BH305" i="21"/>
  <c r="AJ301" i="21"/>
  <c r="AN301" i="21"/>
  <c r="AR301" i="21"/>
  <c r="AV301" i="21"/>
  <c r="AZ301" i="21"/>
  <c r="BD301" i="21"/>
  <c r="BH301" i="21"/>
  <c r="AJ309" i="21"/>
  <c r="AN309" i="21"/>
  <c r="AR309" i="21"/>
  <c r="AV309" i="21"/>
  <c r="AZ309" i="21"/>
  <c r="BD309" i="21"/>
  <c r="BH309" i="21"/>
  <c r="AJ288" i="21"/>
  <c r="AN288" i="21"/>
  <c r="AR288" i="21"/>
  <c r="AV288" i="21"/>
  <c r="AZ288" i="21"/>
  <c r="BD288" i="21"/>
  <c r="BH288" i="21"/>
  <c r="AJ311" i="21"/>
  <c r="AN311" i="21"/>
  <c r="AR311" i="21"/>
  <c r="AV311" i="21"/>
  <c r="AZ311" i="21"/>
  <c r="BD311" i="21"/>
  <c r="BH311" i="21"/>
  <c r="AJ330" i="21"/>
  <c r="AN330" i="21"/>
  <c r="AR330" i="21"/>
  <c r="AV330" i="21"/>
  <c r="AZ330" i="21"/>
  <c r="BD330" i="21"/>
  <c r="BH330" i="21"/>
  <c r="AJ322" i="21"/>
  <c r="AN322" i="21"/>
  <c r="AR322" i="21"/>
  <c r="AV322" i="21"/>
  <c r="AZ322" i="21"/>
  <c r="BD322" i="21"/>
  <c r="BH322" i="21"/>
  <c r="AJ323" i="21"/>
  <c r="AN323" i="21"/>
  <c r="AR323" i="21"/>
  <c r="AV323" i="21"/>
  <c r="AZ323" i="21"/>
  <c r="BD323" i="21"/>
  <c r="BH323" i="21"/>
  <c r="AJ317" i="21"/>
  <c r="AN317" i="21"/>
  <c r="AR317" i="21"/>
  <c r="AV317" i="21"/>
  <c r="AZ317" i="21"/>
  <c r="BD317" i="21"/>
  <c r="BH317" i="21"/>
  <c r="AJ335" i="21"/>
  <c r="AN335" i="21"/>
  <c r="AR335" i="21"/>
  <c r="AV335" i="21"/>
  <c r="AZ335" i="21"/>
  <c r="BD335" i="21"/>
  <c r="BH335" i="21"/>
  <c r="AJ313" i="21"/>
  <c r="AN313" i="21"/>
  <c r="AR313" i="21"/>
  <c r="AV313" i="21"/>
  <c r="AZ313" i="21"/>
  <c r="BD313" i="21"/>
  <c r="BH313" i="21"/>
  <c r="AJ346" i="21"/>
  <c r="AN346" i="21"/>
  <c r="AR346" i="21"/>
  <c r="AV346" i="21"/>
  <c r="AZ346" i="21"/>
  <c r="BD346" i="21"/>
  <c r="BH346" i="21"/>
  <c r="AJ320" i="21"/>
  <c r="AN320" i="21"/>
  <c r="AR320" i="21"/>
  <c r="AV320" i="21"/>
  <c r="AZ320" i="21"/>
  <c r="BD320" i="21"/>
  <c r="BH320" i="21"/>
  <c r="AJ343" i="21"/>
  <c r="AN343" i="21"/>
  <c r="AR343" i="21"/>
  <c r="AV343" i="21"/>
  <c r="AZ343" i="21"/>
  <c r="BD343" i="21"/>
  <c r="BH343" i="21"/>
  <c r="AJ349" i="21"/>
  <c r="AN349" i="21"/>
  <c r="AR349" i="21"/>
  <c r="AK180" i="21"/>
  <c r="BC481" i="21"/>
  <c r="BF132" i="21"/>
  <c r="BK50" i="21"/>
  <c r="AH159" i="21"/>
  <c r="AL232" i="21"/>
  <c r="BF103" i="21"/>
  <c r="BI107" i="21"/>
  <c r="BJ126" i="21"/>
  <c r="AH158" i="21"/>
  <c r="AK179" i="21"/>
  <c r="AL202" i="21"/>
  <c r="AN190" i="21"/>
  <c r="AP188" i="21"/>
  <c r="AR222" i="21"/>
  <c r="AS225" i="21"/>
  <c r="AW272" i="21"/>
  <c r="AX276" i="21"/>
  <c r="AZ289" i="21"/>
  <c r="BB385" i="21"/>
  <c r="BD401" i="21"/>
  <c r="BE442" i="21"/>
  <c r="AY470" i="21"/>
  <c r="AQ484" i="21"/>
  <c r="AI509" i="21"/>
  <c r="BE517" i="21"/>
  <c r="AH16" i="21"/>
  <c r="BI16" i="21"/>
  <c r="AP9" i="21"/>
  <c r="BJ9" i="21"/>
  <c r="AT32" i="21"/>
  <c r="BK32" i="21"/>
  <c r="AS49" i="21"/>
  <c r="BG49" i="21"/>
  <c r="AL60" i="21"/>
  <c r="AY60" i="21"/>
  <c r="AS102" i="21"/>
  <c r="BF102" i="21"/>
  <c r="AK151" i="21"/>
  <c r="AY151" i="21"/>
  <c r="AQ205" i="21"/>
  <c r="BF205" i="21"/>
  <c r="AI216" i="21"/>
  <c r="AX216" i="21"/>
  <c r="AP271" i="21"/>
  <c r="BE271" i="21"/>
  <c r="AI284" i="21"/>
  <c r="AW284" i="21"/>
  <c r="BK284" i="21"/>
  <c r="AP290" i="21"/>
  <c r="BC290" i="21"/>
  <c r="AH342" i="21"/>
  <c r="AW342" i="21"/>
  <c r="BJ342" i="21"/>
  <c r="AO348" i="21"/>
  <c r="BC348" i="21"/>
  <c r="AU340" i="21"/>
  <c r="BJ340" i="21"/>
  <c r="AM339" i="21"/>
  <c r="BB339" i="21"/>
  <c r="AT353" i="21"/>
  <c r="BI353" i="21"/>
  <c r="AM341" i="21"/>
  <c r="BA341" i="21"/>
  <c r="AT415" i="21"/>
  <c r="BG415" i="21"/>
  <c r="AL425" i="21"/>
  <c r="BA425" i="21"/>
  <c r="AS455" i="21"/>
  <c r="BG455" i="21"/>
  <c r="AK471" i="21"/>
  <c r="AY471" i="21"/>
  <c r="AQ500" i="21"/>
  <c r="BF500" i="21"/>
  <c r="AK519" i="21"/>
  <c r="AX519" i="21"/>
  <c r="AQ40" i="21"/>
  <c r="BE40" i="21"/>
  <c r="AI255" i="21"/>
  <c r="AX255" i="21"/>
  <c r="BK255" i="21"/>
  <c r="AP282" i="21"/>
  <c r="BE282" i="21"/>
  <c r="AH268" i="21"/>
  <c r="AW268" i="21"/>
  <c r="BK268" i="21"/>
  <c r="AO24" i="21"/>
  <c r="BC24" i="21"/>
  <c r="AH25" i="21"/>
  <c r="AU25" i="21"/>
  <c r="BJ25" i="21"/>
  <c r="AO26" i="21"/>
  <c r="BB26" i="21"/>
  <c r="AU33" i="21"/>
  <c r="BI33" i="21"/>
  <c r="AM55" i="21"/>
  <c r="BB55" i="21"/>
  <c r="AT101" i="21"/>
  <c r="BI101" i="21"/>
  <c r="AL128" i="21"/>
  <c r="BA128" i="21"/>
  <c r="AS135" i="21"/>
  <c r="BG135" i="21"/>
  <c r="AL148" i="21"/>
  <c r="AY148" i="21"/>
  <c r="AS168" i="21"/>
  <c r="BF168" i="21"/>
  <c r="AK178" i="21"/>
  <c r="AY178" i="21"/>
  <c r="AQ171" i="21"/>
  <c r="BF171" i="21"/>
  <c r="AI167" i="21"/>
  <c r="AX167" i="21"/>
  <c r="AO196" i="21"/>
  <c r="AZ196" i="21"/>
  <c r="BK196" i="21"/>
  <c r="AK197" i="21"/>
  <c r="AV197" i="21"/>
  <c r="BG197" i="21"/>
  <c r="AR258" i="21"/>
  <c r="BC258" i="21"/>
  <c r="AN278" i="21"/>
  <c r="AY278" i="21"/>
  <c r="BI278" i="21"/>
  <c r="AJ358" i="21"/>
  <c r="AU358" i="21"/>
  <c r="BE358" i="21"/>
  <c r="AQ434" i="21"/>
  <c r="BA434" i="21"/>
  <c r="AM436" i="21"/>
  <c r="AW436" i="21"/>
  <c r="BH436" i="21"/>
  <c r="AI424" i="21"/>
  <c r="AS424" i="21"/>
  <c r="BD424" i="21"/>
  <c r="AO454" i="21"/>
  <c r="AZ454" i="21"/>
  <c r="BK454" i="21"/>
  <c r="AK475" i="21"/>
  <c r="AS475" i="21"/>
  <c r="AZ475" i="21"/>
  <c r="BG475" i="21"/>
  <c r="AK22" i="21"/>
  <c r="AR22" i="21"/>
  <c r="AZ22" i="21"/>
  <c r="BG22" i="21"/>
  <c r="AK11" i="21"/>
  <c r="AR11" i="21"/>
  <c r="AY11" i="21"/>
  <c r="BG11" i="21"/>
  <c r="AJ47" i="21"/>
  <c r="AR47" i="21"/>
  <c r="AY47" i="21"/>
  <c r="BE47" i="21"/>
  <c r="AJ48" i="21"/>
  <c r="AQ48" i="21"/>
  <c r="AY48" i="21"/>
  <c r="BE48" i="21"/>
  <c r="AJ75" i="21"/>
  <c r="AQ75" i="21"/>
  <c r="AW75" i="21"/>
  <c r="BE75" i="21"/>
  <c r="AI73" i="21"/>
  <c r="AQ73" i="21"/>
  <c r="AW73" i="21"/>
  <c r="BD73" i="21"/>
  <c r="AI57" i="21"/>
  <c r="AO57" i="21"/>
  <c r="AW57" i="21"/>
  <c r="BD57" i="21"/>
  <c r="BK57" i="21"/>
  <c r="AI59" i="21"/>
  <c r="AO59" i="21"/>
  <c r="AV59" i="21"/>
  <c r="BD59" i="21"/>
  <c r="BK59" i="21"/>
  <c r="AO65" i="21"/>
  <c r="AV65" i="21"/>
  <c r="BA65" i="21"/>
  <c r="BG65" i="21"/>
  <c r="AM76" i="21"/>
  <c r="AR76" i="21"/>
  <c r="AW76" i="21"/>
  <c r="BC76" i="21"/>
  <c r="BH76" i="21"/>
  <c r="AI66" i="21"/>
  <c r="AN66" i="21"/>
  <c r="AS66" i="21"/>
  <c r="AY66" i="21"/>
  <c r="BD66" i="21"/>
  <c r="BI66" i="21"/>
  <c r="AJ67" i="21"/>
  <c r="AO67" i="21"/>
  <c r="AU67" i="21"/>
  <c r="AZ67" i="21"/>
  <c r="BE67" i="21"/>
  <c r="BK67" i="21"/>
  <c r="AK78" i="21"/>
  <c r="AQ78" i="21"/>
  <c r="AV78" i="21"/>
  <c r="BA78" i="21"/>
  <c r="BG78" i="21"/>
  <c r="AM93" i="21"/>
  <c r="AR93" i="21"/>
  <c r="AW93" i="21"/>
  <c r="BC93" i="21"/>
  <c r="BH93" i="21"/>
  <c r="AI95" i="21"/>
  <c r="AN95" i="21"/>
  <c r="AS95" i="21"/>
  <c r="AY95" i="21"/>
  <c r="BD95" i="21"/>
  <c r="BI95" i="21"/>
  <c r="AJ62" i="21"/>
  <c r="AO62" i="21"/>
  <c r="AU62" i="21"/>
  <c r="AZ62" i="21"/>
  <c r="BE62" i="21"/>
  <c r="BK62" i="21"/>
  <c r="AK85" i="21"/>
  <c r="AQ85" i="21"/>
  <c r="AV85" i="21"/>
  <c r="BA85" i="21"/>
  <c r="BG85" i="21"/>
  <c r="AM91" i="21"/>
  <c r="AR91" i="21"/>
  <c r="AW91" i="21"/>
  <c r="BC91" i="21"/>
  <c r="BH91" i="21"/>
  <c r="AI94" i="21"/>
  <c r="AN94" i="21"/>
  <c r="AS94" i="21"/>
  <c r="AY94" i="21"/>
  <c r="BD94" i="21"/>
  <c r="BI94" i="21"/>
  <c r="AJ106" i="21"/>
  <c r="AO106" i="21"/>
  <c r="AU106" i="21"/>
  <c r="AZ106" i="21"/>
  <c r="BE106" i="21"/>
  <c r="BK106" i="21"/>
  <c r="AK82" i="21"/>
  <c r="AQ82" i="21"/>
  <c r="AV82" i="21"/>
  <c r="BA82" i="21"/>
  <c r="BG82" i="21"/>
  <c r="AM129" i="21"/>
  <c r="AR129" i="21"/>
  <c r="AW129" i="21"/>
  <c r="BC129" i="21"/>
  <c r="BH129" i="21"/>
  <c r="AI112" i="21"/>
  <c r="AN112" i="21"/>
  <c r="AS112" i="21"/>
  <c r="AY112" i="21"/>
  <c r="BD112" i="21"/>
  <c r="BI112" i="21"/>
  <c r="AJ150" i="21"/>
  <c r="AO150" i="21"/>
  <c r="AU150" i="21"/>
  <c r="AZ150" i="21"/>
  <c r="BE150" i="21"/>
  <c r="BK150" i="21"/>
  <c r="AK134" i="21"/>
  <c r="AQ134" i="21"/>
  <c r="AV134" i="21"/>
  <c r="BA134" i="21"/>
  <c r="BG134" i="21"/>
  <c r="AM143" i="21"/>
  <c r="AR143" i="21"/>
  <c r="AW143" i="21"/>
  <c r="BC143" i="21"/>
  <c r="BH143" i="21"/>
  <c r="AI137" i="21"/>
  <c r="AN137" i="21"/>
  <c r="AS137" i="21"/>
  <c r="AY137" i="21"/>
  <c r="BD137" i="21"/>
  <c r="BI137" i="21"/>
  <c r="AJ144" i="21"/>
  <c r="AO144" i="21"/>
  <c r="AU144" i="21"/>
  <c r="AZ144" i="21"/>
  <c r="BE144" i="21"/>
  <c r="BI144" i="21"/>
  <c r="AK175" i="21"/>
  <c r="AO175" i="21"/>
  <c r="AS175" i="21"/>
  <c r="AW175" i="21"/>
  <c r="BA175" i="21"/>
  <c r="BE175" i="21"/>
  <c r="BI175" i="21"/>
  <c r="AK174" i="21"/>
  <c r="AO174" i="21"/>
  <c r="AS174" i="21"/>
  <c r="AW174" i="21"/>
  <c r="BA174" i="21"/>
  <c r="BE174" i="21"/>
  <c r="BI174" i="21"/>
  <c r="AK166" i="21"/>
  <c r="AO166" i="21"/>
  <c r="AS166" i="21"/>
  <c r="AW166" i="21"/>
  <c r="BA166" i="21"/>
  <c r="BE166" i="21"/>
  <c r="BI166" i="21"/>
  <c r="AK162" i="21"/>
  <c r="AO162" i="21"/>
  <c r="AS162" i="21"/>
  <c r="AW162" i="21"/>
  <c r="BA162" i="21"/>
  <c r="BE162" i="21"/>
  <c r="BI162" i="21"/>
  <c r="AK181" i="21"/>
  <c r="AO181" i="21"/>
  <c r="AS181" i="21"/>
  <c r="AW181" i="21"/>
  <c r="BA181" i="21"/>
  <c r="BE181" i="21"/>
  <c r="BI181" i="21"/>
  <c r="AK200" i="21"/>
  <c r="AO200" i="21"/>
  <c r="AS200" i="21"/>
  <c r="AW200" i="21"/>
  <c r="BA200" i="21"/>
  <c r="BE200" i="21"/>
  <c r="BI200" i="21"/>
  <c r="AK206" i="21"/>
  <c r="AO206" i="21"/>
  <c r="AS206" i="21"/>
  <c r="AW206" i="21"/>
  <c r="BA206" i="21"/>
  <c r="BE206" i="21"/>
  <c r="BI206" i="21"/>
  <c r="AK184" i="21"/>
  <c r="AO184" i="21"/>
  <c r="AS184" i="21"/>
  <c r="AW184" i="21"/>
  <c r="BA184" i="21"/>
  <c r="BE184" i="21"/>
  <c r="BI184" i="21"/>
  <c r="AK186" i="21"/>
  <c r="AO186" i="21"/>
  <c r="AS186" i="21"/>
  <c r="AW186" i="21"/>
  <c r="BA186" i="21"/>
  <c r="BE186" i="21"/>
  <c r="BI186" i="21"/>
  <c r="AK233" i="21"/>
  <c r="AO233" i="21"/>
  <c r="AS233" i="21"/>
  <c r="AW233" i="21"/>
  <c r="BA233" i="21"/>
  <c r="BE233" i="21"/>
  <c r="BI233" i="21"/>
  <c r="AK238" i="21"/>
  <c r="AO238" i="21"/>
  <c r="AS238" i="21"/>
  <c r="AW238" i="21"/>
  <c r="BA238" i="21"/>
  <c r="BE238" i="21"/>
  <c r="BI238" i="21"/>
  <c r="AK251" i="21"/>
  <c r="AO251" i="21"/>
  <c r="AS251" i="21"/>
  <c r="AW251" i="21"/>
  <c r="BA251" i="21"/>
  <c r="BE251" i="21"/>
  <c r="BI251" i="21"/>
  <c r="AK249" i="21"/>
  <c r="AO249" i="21"/>
  <c r="AS249" i="21"/>
  <c r="AW249" i="21"/>
  <c r="BA249" i="21"/>
  <c r="BE249" i="21"/>
  <c r="BI249" i="21"/>
  <c r="AK245" i="21"/>
  <c r="AO245" i="21"/>
  <c r="AS245" i="21"/>
  <c r="AW245" i="21"/>
  <c r="BA245" i="21"/>
  <c r="BE245" i="21"/>
  <c r="BI245" i="21"/>
  <c r="AK259" i="21"/>
  <c r="AO259" i="21"/>
  <c r="AS259" i="21"/>
  <c r="AW259" i="21"/>
  <c r="BA259" i="21"/>
  <c r="BE259" i="21"/>
  <c r="BI259" i="21"/>
  <c r="AK248" i="21"/>
  <c r="AO248" i="21"/>
  <c r="AS248" i="21"/>
  <c r="AW248" i="21"/>
  <c r="BA248" i="21"/>
  <c r="BE248" i="21"/>
  <c r="BI248" i="21"/>
  <c r="AK260" i="21"/>
  <c r="AO260" i="21"/>
  <c r="AS260" i="21"/>
  <c r="AW260" i="21"/>
  <c r="BA260" i="21"/>
  <c r="BE260" i="21"/>
  <c r="BI260" i="21"/>
  <c r="AK281" i="21"/>
  <c r="AO281" i="21"/>
  <c r="AS281" i="21"/>
  <c r="AW281" i="21"/>
  <c r="BA281" i="21"/>
  <c r="BE281" i="21"/>
  <c r="BI281" i="21"/>
  <c r="AK299" i="21"/>
  <c r="AO299" i="21"/>
  <c r="AS299" i="21"/>
  <c r="AW299" i="21"/>
  <c r="BA299" i="21"/>
  <c r="BE299" i="21"/>
  <c r="BI299" i="21"/>
  <c r="AK305" i="21"/>
  <c r="AO305" i="21"/>
  <c r="AS305" i="21"/>
  <c r="AW305" i="21"/>
  <c r="BA305" i="21"/>
  <c r="BE305" i="21"/>
  <c r="BI305" i="21"/>
  <c r="AK301" i="21"/>
  <c r="AO301" i="21"/>
  <c r="AS301" i="21"/>
  <c r="AW301" i="21"/>
  <c r="BA301" i="21"/>
  <c r="BE301" i="21"/>
  <c r="BI301" i="21"/>
  <c r="AK309" i="21"/>
  <c r="AO309" i="21"/>
  <c r="AS309" i="21"/>
  <c r="AW309" i="21"/>
  <c r="BA309" i="21"/>
  <c r="BE309" i="21"/>
  <c r="BI309" i="21"/>
  <c r="AK288" i="21"/>
  <c r="AO288" i="21"/>
  <c r="AS288" i="21"/>
  <c r="AW288" i="21"/>
  <c r="BA288" i="21"/>
  <c r="BE288" i="21"/>
  <c r="BI288" i="21"/>
  <c r="AK311" i="21"/>
  <c r="AO311" i="21"/>
  <c r="AS311" i="21"/>
  <c r="AW311" i="21"/>
  <c r="BA311" i="21"/>
  <c r="BE311" i="21"/>
  <c r="BI311" i="21"/>
  <c r="AK330" i="21"/>
  <c r="AO330" i="21"/>
  <c r="AS330" i="21"/>
  <c r="AW330" i="21"/>
  <c r="BA330" i="21"/>
  <c r="BE330" i="21"/>
  <c r="BI330" i="21"/>
  <c r="AK322" i="21"/>
  <c r="AO322" i="21"/>
  <c r="AS322" i="21"/>
  <c r="AW322" i="21"/>
  <c r="BA322" i="21"/>
  <c r="BE322" i="21"/>
  <c r="BI322" i="21"/>
  <c r="AK323" i="21"/>
  <c r="AO323" i="21"/>
  <c r="AS323" i="21"/>
  <c r="AW323" i="21"/>
  <c r="BA323" i="21"/>
  <c r="BE323" i="21"/>
  <c r="BI323" i="21"/>
  <c r="AK317" i="21"/>
  <c r="AO317" i="21"/>
  <c r="AS317" i="21"/>
  <c r="AW317" i="21"/>
  <c r="BA317" i="21"/>
  <c r="BE317" i="21"/>
  <c r="BI317" i="21"/>
  <c r="AK335" i="21"/>
  <c r="AO335" i="21"/>
  <c r="AS335" i="21"/>
  <c r="AW335" i="21"/>
  <c r="BA335" i="21"/>
  <c r="BE335" i="21"/>
  <c r="BI335" i="21"/>
  <c r="AK313" i="21"/>
  <c r="AO313" i="21"/>
  <c r="AS313" i="21"/>
  <c r="AW313" i="21"/>
  <c r="BA313" i="21"/>
  <c r="BE313" i="21"/>
  <c r="BI313" i="21"/>
  <c r="AK346" i="21"/>
  <c r="AO346" i="21"/>
  <c r="AS346" i="21"/>
  <c r="AW346" i="21"/>
  <c r="BC505" i="21"/>
  <c r="AU193" i="21"/>
  <c r="AP438" i="21"/>
  <c r="BC120" i="21"/>
  <c r="BF375" i="21"/>
  <c r="BJ41" i="21"/>
  <c r="AH169" i="21"/>
  <c r="AK307" i="21"/>
  <c r="BF456" i="21"/>
  <c r="AK103" i="21"/>
  <c r="AN107" i="21"/>
  <c r="AO126" i="21"/>
  <c r="AP118" i="21"/>
  <c r="AT152" i="21"/>
  <c r="AV154" i="21"/>
  <c r="AW139" i="21"/>
  <c r="AZ158" i="21"/>
  <c r="BA179" i="21"/>
  <c r="BB202" i="21"/>
  <c r="BE190" i="21"/>
  <c r="BF188" i="21"/>
  <c r="BH222" i="21"/>
  <c r="AH401" i="21"/>
  <c r="AJ442" i="21"/>
  <c r="AI470" i="21"/>
  <c r="BK470" i="21"/>
  <c r="BC484" i="21"/>
  <c r="AW509" i="21"/>
  <c r="AO517" i="21"/>
  <c r="AT16" i="21"/>
  <c r="AX9" i="21"/>
  <c r="BA32" i="21"/>
  <c r="AH49" i="21"/>
  <c r="AX49" i="21"/>
  <c r="AQ60" i="21"/>
  <c r="BE60" i="21"/>
  <c r="AI102" i="21"/>
  <c r="AX102" i="21"/>
  <c r="BK102" i="21"/>
  <c r="AP151" i="21"/>
  <c r="BE151" i="21"/>
  <c r="AH205" i="21"/>
  <c r="AW205" i="21"/>
  <c r="BK205" i="21"/>
  <c r="AO216" i="21"/>
  <c r="BC216" i="21"/>
  <c r="AH271" i="21"/>
  <c r="AU271" i="21"/>
  <c r="BJ271" i="21"/>
  <c r="AO284" i="21"/>
  <c r="BB284" i="21"/>
  <c r="AU290" i="21"/>
  <c r="BI290" i="21"/>
  <c r="AM342" i="21"/>
  <c r="BB342" i="21"/>
  <c r="AT348" i="21"/>
  <c r="BI348" i="21"/>
  <c r="AL340" i="21"/>
  <c r="BA340" i="21"/>
  <c r="AS339" i="21"/>
  <c r="BG339" i="21"/>
  <c r="AL353" i="21"/>
  <c r="AY353" i="21"/>
  <c r="AS341" i="21"/>
  <c r="BF341" i="21"/>
  <c r="AK415" i="21"/>
  <c r="AY415" i="21"/>
  <c r="AQ425" i="21"/>
  <c r="BG505" i="21"/>
  <c r="BJ375" i="21"/>
  <c r="AL307" i="21"/>
  <c r="AP107" i="21"/>
  <c r="AW154" i="21"/>
  <c r="BF202" i="21"/>
  <c r="AJ401" i="21"/>
  <c r="BF484" i="21"/>
  <c r="BA9" i="21"/>
  <c r="BA49" i="21"/>
  <c r="AK102" i="21"/>
  <c r="BF151" i="21"/>
  <c r="AQ216" i="21"/>
  <c r="BK271" i="21"/>
  <c r="AW290" i="21"/>
  <c r="AH348" i="21"/>
  <c r="BB340" i="21"/>
  <c r="AM353" i="21"/>
  <c r="BI341" i="21"/>
  <c r="AS425" i="21"/>
  <c r="AL455" i="21"/>
  <c r="BF471" i="21"/>
  <c r="AY500" i="21"/>
  <c r="AQ519" i="21"/>
  <c r="AI40" i="21"/>
  <c r="BE255" i="21"/>
  <c r="AW282" i="21"/>
  <c r="AP268" i="21"/>
  <c r="AH24" i="21"/>
  <c r="BJ24" i="21"/>
  <c r="BC25" i="21"/>
  <c r="AU26" i="21"/>
  <c r="AM33" i="21"/>
  <c r="BI55" i="21"/>
  <c r="BA101" i="21"/>
  <c r="AT128" i="21"/>
  <c r="AL135" i="21"/>
  <c r="BG148" i="21"/>
  <c r="AY168" i="21"/>
  <c r="AQ178" i="21"/>
  <c r="AK171" i="21"/>
  <c r="BE167" i="21"/>
  <c r="AU196" i="21"/>
  <c r="BA197" i="21"/>
  <c r="AM258" i="21"/>
  <c r="BH258" i="21"/>
  <c r="AS278" i="21"/>
  <c r="AZ358" i="21"/>
  <c r="AK434" i="21"/>
  <c r="BG434" i="21"/>
  <c r="AR436" i="21"/>
  <c r="AY424" i="21"/>
  <c r="AJ454" i="21"/>
  <c r="BE454" i="21"/>
  <c r="AO475" i="21"/>
  <c r="BD475" i="21"/>
  <c r="AV22" i="21"/>
  <c r="BK22" i="21"/>
  <c r="AN11" i="21"/>
  <c r="BC11" i="21"/>
  <c r="AU47" i="21"/>
  <c r="BI47" i="21"/>
  <c r="AN48" i="21"/>
  <c r="BA48" i="21"/>
  <c r="AU75" i="21"/>
  <c r="BH75" i="21"/>
  <c r="AM73" i="21"/>
  <c r="BA73" i="21"/>
  <c r="AS57" i="21"/>
  <c r="BH57" i="21"/>
  <c r="AK59" i="21"/>
  <c r="AZ59" i="21"/>
  <c r="AR65" i="21"/>
  <c r="BD65" i="21"/>
  <c r="AO76" i="21"/>
  <c r="AZ76" i="21"/>
  <c r="BK76" i="21"/>
  <c r="AK66" i="21"/>
  <c r="AV66" i="21"/>
  <c r="BG66" i="21"/>
  <c r="AR67" i="21"/>
  <c r="BC67" i="21"/>
  <c r="AN78" i="21"/>
  <c r="AY78" i="21"/>
  <c r="BI78" i="21"/>
  <c r="AJ93" i="21"/>
  <c r="AU93" i="21"/>
  <c r="BE93" i="21"/>
  <c r="AQ95" i="21"/>
  <c r="BA95" i="21"/>
  <c r="AM62" i="21"/>
  <c r="AW62" i="21"/>
  <c r="BH62" i="21"/>
  <c r="AI85" i="21"/>
  <c r="AS85" i="21"/>
  <c r="BD85" i="21"/>
  <c r="AO91" i="21"/>
  <c r="AZ91" i="21"/>
  <c r="BK91" i="21"/>
  <c r="AK94" i="21"/>
  <c r="AV94" i="21"/>
  <c r="BG94" i="21"/>
  <c r="AR106" i="21"/>
  <c r="BC106" i="21"/>
  <c r="AN82" i="21"/>
  <c r="AY82" i="21"/>
  <c r="BI82" i="21"/>
  <c r="AJ129" i="21"/>
  <c r="AU129" i="21"/>
  <c r="BE129" i="21"/>
  <c r="AQ112" i="21"/>
  <c r="BA112" i="21"/>
  <c r="AM150" i="21"/>
  <c r="AW150" i="21"/>
  <c r="BH150" i="21"/>
  <c r="AI134" i="21"/>
  <c r="AS134" i="21"/>
  <c r="BD134" i="21"/>
  <c r="AO143" i="21"/>
  <c r="AZ143" i="21"/>
  <c r="BK143" i="21"/>
  <c r="AK137" i="21"/>
  <c r="AV137" i="21"/>
  <c r="BG137" i="21"/>
  <c r="AR144" i="21"/>
  <c r="BC144" i="21"/>
  <c r="BK144" i="21"/>
  <c r="AI175" i="21"/>
  <c r="AQ175" i="21"/>
  <c r="AY175" i="21"/>
  <c r="BG175" i="21"/>
  <c r="AM174" i="21"/>
  <c r="AU174" i="21"/>
  <c r="BC174" i="21"/>
  <c r="BK174" i="21"/>
  <c r="AI166" i="21"/>
  <c r="AQ166" i="21"/>
  <c r="AY166" i="21"/>
  <c r="BG166" i="21"/>
  <c r="AM162" i="21"/>
  <c r="AU162" i="21"/>
  <c r="BC162" i="21"/>
  <c r="BA193" i="21"/>
  <c r="BH456" i="21"/>
  <c r="AR126" i="21"/>
  <c r="AZ139" i="21"/>
  <c r="BH190" i="21"/>
  <c r="AN442" i="21"/>
  <c r="AX509" i="21"/>
  <c r="AI32" i="21"/>
  <c r="AY102" i="21"/>
  <c r="AK205" i="21"/>
  <c r="BE216" i="21"/>
  <c r="AP284" i="21"/>
  <c r="BK290" i="21"/>
  <c r="AU348" i="21"/>
  <c r="BB353" i="21"/>
  <c r="AL415" i="21"/>
  <c r="BF425" i="21"/>
  <c r="AX455" i="21"/>
  <c r="AP471" i="21"/>
  <c r="AI500" i="21"/>
  <c r="BK500" i="21"/>
  <c r="BC519" i="21"/>
  <c r="AW40" i="21"/>
  <c r="AO255" i="21"/>
  <c r="BJ282" i="21"/>
  <c r="BB268" i="21"/>
  <c r="AT24" i="21"/>
  <c r="AM25" i="21"/>
  <c r="BG26" i="21"/>
  <c r="BA33" i="21"/>
  <c r="AS55" i="21"/>
  <c r="AK101" i="21"/>
  <c r="BF128" i="21"/>
  <c r="AX135" i="21"/>
  <c r="AQ148" i="21"/>
  <c r="AI168" i="21"/>
  <c r="BK168" i="21"/>
  <c r="BE178" i="21"/>
  <c r="AW171" i="21"/>
  <c r="AO167" i="21"/>
  <c r="AH196" i="21"/>
  <c r="BD196" i="21"/>
  <c r="AO197" i="21"/>
  <c r="BK197" i="21"/>
  <c r="AV258" i="21"/>
  <c r="BC278" i="21"/>
  <c r="AN358" i="21"/>
  <c r="BI358" i="21"/>
  <c r="AU434" i="21"/>
  <c r="BA436" i="21"/>
  <c r="AM424" i="21"/>
  <c r="BH424" i="21"/>
  <c r="AS454" i="21"/>
  <c r="AU475" i="21"/>
  <c r="BI475" i="21"/>
  <c r="AM22" i="21"/>
  <c r="BA22" i="21"/>
  <c r="AS11" i="21"/>
  <c r="BH11" i="21"/>
  <c r="AM47" i="21"/>
  <c r="AZ47" i="21"/>
  <c r="AS48" i="21"/>
  <c r="BG48" i="21"/>
  <c r="AK75" i="21"/>
  <c r="AZ75" i="21"/>
  <c r="AR73" i="21"/>
  <c r="BG73" i="21"/>
  <c r="AJ57" i="21"/>
  <c r="AY57" i="21"/>
  <c r="AQ59" i="21"/>
  <c r="BE59" i="21"/>
  <c r="AJ65" i="21"/>
  <c r="AW65" i="21"/>
  <c r="BH65" i="21"/>
  <c r="AI76" i="21"/>
  <c r="AS76" i="21"/>
  <c r="BD76" i="21"/>
  <c r="AO66" i="21"/>
  <c r="AZ66" i="21"/>
  <c r="BK66" i="21"/>
  <c r="AK67" i="21"/>
  <c r="AV67" i="21"/>
  <c r="BG67" i="21"/>
  <c r="AR78" i="21"/>
  <c r="BC78" i="21"/>
  <c r="AN93" i="21"/>
  <c r="AY93" i="21"/>
  <c r="BI93" i="21"/>
  <c r="AJ95" i="21"/>
  <c r="AU95" i="21"/>
  <c r="BE95" i="21"/>
  <c r="AQ62" i="21"/>
  <c r="BA62" i="21"/>
  <c r="AM85" i="21"/>
  <c r="AW85" i="21"/>
  <c r="BH85" i="21"/>
  <c r="AI91" i="21"/>
  <c r="AS91" i="21"/>
  <c r="BD91" i="21"/>
  <c r="AO94" i="21"/>
  <c r="AZ94" i="21"/>
  <c r="BK94" i="21"/>
  <c r="AK106" i="21"/>
  <c r="AV106" i="21"/>
  <c r="BG106" i="21"/>
  <c r="AR82" i="21"/>
  <c r="BC82" i="21"/>
  <c r="AN129" i="21"/>
  <c r="AY129" i="21"/>
  <c r="BI129" i="21"/>
  <c r="AJ112" i="21"/>
  <c r="AU112" i="21"/>
  <c r="BE112" i="21"/>
  <c r="AQ150" i="21"/>
  <c r="BA150" i="21"/>
  <c r="AM134" i="21"/>
  <c r="AW134" i="21"/>
  <c r="BH134" i="21"/>
  <c r="AI143" i="21"/>
  <c r="AS143" i="21"/>
  <c r="BD143" i="21"/>
  <c r="AO137" i="21"/>
  <c r="AZ137" i="21"/>
  <c r="BK137" i="21"/>
  <c r="AK144" i="21"/>
  <c r="AV144" i="21"/>
  <c r="BF144" i="21"/>
  <c r="AL175" i="21"/>
  <c r="AT175" i="21"/>
  <c r="BB175" i="21"/>
  <c r="BJ175" i="21"/>
  <c r="AH174" i="21"/>
  <c r="AP174" i="21"/>
  <c r="AX174" i="21"/>
  <c r="BF174" i="21"/>
  <c r="AL166" i="21"/>
  <c r="AT166" i="21"/>
  <c r="BB166" i="21"/>
  <c r="BJ166" i="21"/>
  <c r="AH162" i="21"/>
  <c r="AP162" i="21"/>
  <c r="AX162" i="21"/>
  <c r="BF162" i="21"/>
  <c r="AL181" i="21"/>
  <c r="AT181" i="21"/>
  <c r="BB181" i="21"/>
  <c r="BJ181" i="21"/>
  <c r="AH200" i="21"/>
  <c r="AP200" i="21"/>
  <c r="AX200" i="21"/>
  <c r="BF200" i="21"/>
  <c r="AL206" i="21"/>
  <c r="AT206" i="21"/>
  <c r="BB206" i="21"/>
  <c r="BJ206" i="21"/>
  <c r="AH184" i="21"/>
  <c r="AP184" i="21"/>
  <c r="AX184" i="21"/>
  <c r="BF184" i="21"/>
  <c r="AL186" i="21"/>
  <c r="AQ438" i="21"/>
  <c r="AT118" i="21"/>
  <c r="BA158" i="21"/>
  <c r="BI188" i="21"/>
  <c r="AK470" i="21"/>
  <c r="AP517" i="21"/>
  <c r="AW16" i="21"/>
  <c r="BB32" i="21"/>
  <c r="AS60" i="21"/>
  <c r="AX205" i="21"/>
  <c r="AI271" i="21"/>
  <c r="BE284" i="21"/>
  <c r="AO342" i="21"/>
  <c r="BJ348" i="21"/>
  <c r="AU339" i="21"/>
  <c r="BA415" i="21"/>
  <c r="BG425" i="21"/>
  <c r="AY455" i="21"/>
  <c r="AS471" i="21"/>
  <c r="AK500" i="21"/>
  <c r="BF519" i="21"/>
  <c r="AX40" i="21"/>
  <c r="AP255" i="21"/>
  <c r="AI282" i="21"/>
  <c r="BK282" i="21"/>
  <c r="BC268" i="21"/>
  <c r="AW24" i="21"/>
  <c r="AO25" i="21"/>
  <c r="BJ26" i="21"/>
  <c r="BB33" i="21"/>
  <c r="AT55" i="21"/>
  <c r="AM101" i="21"/>
  <c r="BG128" i="21"/>
  <c r="BA135" i="21"/>
  <c r="AS148" i="21"/>
  <c r="AK168" i="21"/>
  <c r="BF178" i="21"/>
  <c r="AX171" i="21"/>
  <c r="AQ167" i="21"/>
  <c r="AI196" i="21"/>
  <c r="BE196" i="21"/>
  <c r="AQ197" i="21"/>
  <c r="AW258" i="21"/>
  <c r="AI278" i="21"/>
  <c r="BD278" i="21"/>
  <c r="AO358" i="21"/>
  <c r="BK358" i="21"/>
  <c r="AV434" i="21"/>
  <c r="BC436" i="21"/>
  <c r="AN424" i="21"/>
  <c r="BI424" i="21"/>
  <c r="AU454" i="21"/>
  <c r="AV475" i="21"/>
  <c r="BK475" i="21"/>
  <c r="AO22" i="21"/>
  <c r="BC22" i="21"/>
  <c r="AV11" i="21"/>
  <c r="BI11" i="21"/>
  <c r="AN47" i="21"/>
  <c r="BC47" i="21"/>
  <c r="AU48" i="21"/>
  <c r="BI48" i="21"/>
  <c r="AM75" i="21"/>
  <c r="BA75" i="21"/>
  <c r="AS73" i="21"/>
  <c r="BH73" i="21"/>
  <c r="AM57" i="21"/>
  <c r="AZ57" i="21"/>
  <c r="AS59" i="21"/>
  <c r="BG59" i="21"/>
  <c r="AK65" i="21"/>
  <c r="AY65" i="21"/>
  <c r="BI65" i="21"/>
  <c r="AJ76" i="21"/>
  <c r="AU76" i="21"/>
  <c r="BE76" i="21"/>
  <c r="AQ66" i="21"/>
  <c r="BA66" i="21"/>
  <c r="AM67" i="21"/>
  <c r="AW67" i="21"/>
  <c r="BH67" i="21"/>
  <c r="AI78" i="21"/>
  <c r="AS78" i="21"/>
  <c r="BD78" i="21"/>
  <c r="AO93" i="21"/>
  <c r="AZ93" i="21"/>
  <c r="BK93" i="21"/>
  <c r="AK95" i="21"/>
  <c r="AV95" i="21"/>
  <c r="BG95" i="21"/>
  <c r="AR62" i="21"/>
  <c r="BC62" i="21"/>
  <c r="AN85" i="21"/>
  <c r="AY85" i="21"/>
  <c r="BI85" i="21"/>
  <c r="AJ91" i="21"/>
  <c r="AU91" i="21"/>
  <c r="BE91" i="21"/>
  <c r="AQ94" i="21"/>
  <c r="BA94" i="21"/>
  <c r="AM106" i="21"/>
  <c r="AW106" i="21"/>
  <c r="BH106" i="21"/>
  <c r="AI82" i="21"/>
  <c r="AS82" i="21"/>
  <c r="BD82" i="21"/>
  <c r="AO129" i="21"/>
  <c r="AZ129" i="21"/>
  <c r="BK129" i="21"/>
  <c r="AK112" i="21"/>
  <c r="AV112" i="21"/>
  <c r="BG112" i="21"/>
  <c r="AR150" i="21"/>
  <c r="BC150" i="21"/>
  <c r="AN134" i="21"/>
  <c r="AY134" i="21"/>
  <c r="BI134" i="21"/>
  <c r="AJ143" i="21"/>
  <c r="AU143" i="21"/>
  <c r="BE143" i="21"/>
  <c r="AQ137" i="21"/>
  <c r="BA137" i="21"/>
  <c r="AM144" i="21"/>
  <c r="AW144" i="21"/>
  <c r="BG144" i="21"/>
  <c r="AM175" i="21"/>
  <c r="AU175" i="21"/>
  <c r="BC175" i="21"/>
  <c r="BK175" i="21"/>
  <c r="AI174" i="21"/>
  <c r="AQ174" i="21"/>
  <c r="AY174" i="21"/>
  <c r="BG174" i="21"/>
  <c r="AM166" i="21"/>
  <c r="AU166" i="21"/>
  <c r="BC166" i="21"/>
  <c r="BK166" i="21"/>
  <c r="AI162" i="21"/>
  <c r="AQ162" i="21"/>
  <c r="AY162" i="21"/>
  <c r="BD120" i="21"/>
  <c r="BB179" i="21"/>
  <c r="AQ151" i="21"/>
  <c r="BC342" i="21"/>
  <c r="AW500" i="21"/>
  <c r="BC255" i="21"/>
  <c r="BI24" i="21"/>
  <c r="AK135" i="21"/>
  <c r="AP178" i="21"/>
  <c r="AS196" i="21"/>
  <c r="BG258" i="21"/>
  <c r="AJ434" i="21"/>
  <c r="AW424" i="21"/>
  <c r="BA475" i="21"/>
  <c r="AM11" i="21"/>
  <c r="BH47" i="21"/>
  <c r="AR75" i="21"/>
  <c r="AY59" i="21"/>
  <c r="AJ66" i="21"/>
  <c r="AQ67" i="21"/>
  <c r="AW78" i="21"/>
  <c r="BD93" i="21"/>
  <c r="BK95" i="21"/>
  <c r="AN91" i="21"/>
  <c r="AU94" i="21"/>
  <c r="BA106" i="21"/>
  <c r="BH82" i="21"/>
  <c r="AK150" i="21"/>
  <c r="AR134" i="21"/>
  <c r="AY143" i="21"/>
  <c r="BE137" i="21"/>
  <c r="BJ144" i="21"/>
  <c r="BF175" i="21"/>
  <c r="BB174" i="21"/>
  <c r="AX166" i="21"/>
  <c r="AT162" i="21"/>
  <c r="BK162" i="21"/>
  <c r="AM181" i="21"/>
  <c r="AX181" i="21"/>
  <c r="BG181" i="21"/>
  <c r="AI200" i="21"/>
  <c r="AT200" i="21"/>
  <c r="BC200" i="21"/>
  <c r="AP206" i="21"/>
  <c r="AY206" i="21"/>
  <c r="BK206" i="21"/>
  <c r="AL184" i="21"/>
  <c r="AU184" i="21"/>
  <c r="BG184" i="21"/>
  <c r="AH186" i="21"/>
  <c r="AQ186" i="21"/>
  <c r="AY186" i="21"/>
  <c r="BG186" i="21"/>
  <c r="AM233" i="21"/>
  <c r="AU233" i="21"/>
  <c r="BC233" i="21"/>
  <c r="BK233" i="21"/>
  <c r="AI238" i="21"/>
  <c r="AQ238" i="21"/>
  <c r="AY238" i="21"/>
  <c r="BG238" i="21"/>
  <c r="AM251" i="21"/>
  <c r="AU251" i="21"/>
  <c r="BC251" i="21"/>
  <c r="BK251" i="21"/>
  <c r="AI249" i="21"/>
  <c r="AQ249" i="21"/>
  <c r="AY249" i="21"/>
  <c r="BG249" i="21"/>
  <c r="AM245" i="21"/>
  <c r="AU245" i="21"/>
  <c r="BC245" i="21"/>
  <c r="BK245" i="21"/>
  <c r="AI259" i="21"/>
  <c r="AQ259" i="21"/>
  <c r="AY259" i="21"/>
  <c r="BG259" i="21"/>
  <c r="AM248" i="21"/>
  <c r="AU248" i="21"/>
  <c r="BC248" i="21"/>
  <c r="BK248" i="21"/>
  <c r="AI260" i="21"/>
  <c r="AQ260" i="21"/>
  <c r="AY260" i="21"/>
  <c r="BG260" i="21"/>
  <c r="AM281" i="21"/>
  <c r="AU281" i="21"/>
  <c r="BC281" i="21"/>
  <c r="BK281" i="21"/>
  <c r="AI299" i="21"/>
  <c r="AQ299" i="21"/>
  <c r="AY299" i="21"/>
  <c r="BG299" i="21"/>
  <c r="AM305" i="21"/>
  <c r="AU305" i="21"/>
  <c r="BC305" i="21"/>
  <c r="BK305" i="21"/>
  <c r="AI301" i="21"/>
  <c r="AQ301" i="21"/>
  <c r="AY301" i="21"/>
  <c r="BG301" i="21"/>
  <c r="AM309" i="21"/>
  <c r="AU309" i="21"/>
  <c r="BC309" i="21"/>
  <c r="BK309" i="21"/>
  <c r="AI288" i="21"/>
  <c r="AQ288" i="21"/>
  <c r="AY288" i="21"/>
  <c r="BG288" i="21"/>
  <c r="AM311" i="21"/>
  <c r="AU311" i="21"/>
  <c r="BC311" i="21"/>
  <c r="BK311" i="21"/>
  <c r="AI330" i="21"/>
  <c r="AQ330" i="21"/>
  <c r="AY330" i="21"/>
  <c r="BG330" i="21"/>
  <c r="AM322" i="21"/>
  <c r="AU322" i="21"/>
  <c r="BC322" i="21"/>
  <c r="BK322" i="21"/>
  <c r="AI323" i="21"/>
  <c r="AQ323" i="21"/>
  <c r="AY323" i="21"/>
  <c r="BG323" i="21"/>
  <c r="AM317" i="21"/>
  <c r="AU317" i="21"/>
  <c r="BC317" i="21"/>
  <c r="BK317" i="21"/>
  <c r="AI335" i="21"/>
  <c r="AQ335" i="21"/>
  <c r="AY335" i="21"/>
  <c r="BG335" i="21"/>
  <c r="AM313" i="21"/>
  <c r="AU313" i="21"/>
  <c r="BC313" i="21"/>
  <c r="BK313" i="21"/>
  <c r="AI346" i="21"/>
  <c r="AQ346" i="21"/>
  <c r="AY346" i="21"/>
  <c r="BE346" i="21"/>
  <c r="BJ346" i="21"/>
  <c r="AK320" i="21"/>
  <c r="AP320" i="21"/>
  <c r="AU320" i="21"/>
  <c r="BA320" i="21"/>
  <c r="BF320" i="21"/>
  <c r="BK320" i="21"/>
  <c r="AL343" i="21"/>
  <c r="AQ343" i="21"/>
  <c r="AW343" i="21"/>
  <c r="BB343" i="21"/>
  <c r="BG343" i="21"/>
  <c r="AH349" i="21"/>
  <c r="AM349" i="21"/>
  <c r="AS349" i="21"/>
  <c r="AW349" i="21"/>
  <c r="BA349" i="21"/>
  <c r="BE349" i="21"/>
  <c r="BI349" i="21"/>
  <c r="AK351" i="21"/>
  <c r="AO351" i="21"/>
  <c r="AS351" i="21"/>
  <c r="AW351" i="21"/>
  <c r="BA351" i="21"/>
  <c r="BE351" i="21"/>
  <c r="BI351" i="21"/>
  <c r="AK350" i="21"/>
  <c r="AO350" i="21"/>
  <c r="AS350" i="21"/>
  <c r="AW350" i="21"/>
  <c r="BA350" i="21"/>
  <c r="BE350" i="21"/>
  <c r="BI350" i="21"/>
  <c r="AK368" i="21"/>
  <c r="AO368" i="21"/>
  <c r="AS368" i="21"/>
  <c r="AW368" i="21"/>
  <c r="BA368" i="21"/>
  <c r="BE368" i="21"/>
  <c r="BI368" i="21"/>
  <c r="AK408" i="21"/>
  <c r="AO408" i="21"/>
  <c r="AS408" i="21"/>
  <c r="AW408" i="21"/>
  <c r="BA408" i="21"/>
  <c r="BE408" i="21"/>
  <c r="BI408" i="21"/>
  <c r="AK406" i="21"/>
  <c r="AO406" i="21"/>
  <c r="AS406" i="21"/>
  <c r="AW406" i="21"/>
  <c r="BA406" i="21"/>
  <c r="BE406" i="21"/>
  <c r="BI406" i="21"/>
  <c r="AK411" i="21"/>
  <c r="AO411" i="21"/>
  <c r="AS411" i="21"/>
  <c r="AW411" i="21"/>
  <c r="BA411" i="21"/>
  <c r="BE411" i="21"/>
  <c r="BI411" i="21"/>
  <c r="AK413" i="21"/>
  <c r="AO413" i="21"/>
  <c r="AS413" i="21"/>
  <c r="AW413" i="21"/>
  <c r="BA413" i="21"/>
  <c r="BE413" i="21"/>
  <c r="BI413" i="21"/>
  <c r="AK392" i="21"/>
  <c r="AO392" i="21"/>
  <c r="AS392" i="21"/>
  <c r="AW392" i="21"/>
  <c r="BA392" i="21"/>
  <c r="BE392" i="21"/>
  <c r="BI392" i="21"/>
  <c r="AK391" i="21"/>
  <c r="AO391" i="21"/>
  <c r="AS391" i="21"/>
  <c r="AW391" i="21"/>
  <c r="BA391" i="21"/>
  <c r="BE391" i="21"/>
  <c r="BI391" i="21"/>
  <c r="AK423" i="21"/>
  <c r="AO423" i="21"/>
  <c r="AS423" i="21"/>
  <c r="AW423" i="21"/>
  <c r="BA423" i="21"/>
  <c r="BE423" i="21"/>
  <c r="BI423" i="21"/>
  <c r="AK419" i="21"/>
  <c r="AO419" i="21"/>
  <c r="AS419" i="21"/>
  <c r="AW419" i="21"/>
  <c r="BA419" i="21"/>
  <c r="BE419" i="21"/>
  <c r="BI419" i="21"/>
  <c r="AK426" i="21"/>
  <c r="AO426" i="21"/>
  <c r="AS426" i="21"/>
  <c r="AW426" i="21"/>
  <c r="BA426" i="21"/>
  <c r="BE426" i="21"/>
  <c r="BI426" i="21"/>
  <c r="AK463" i="21"/>
  <c r="AO463" i="21"/>
  <c r="AS463" i="21"/>
  <c r="AW463" i="21"/>
  <c r="BA463" i="21"/>
  <c r="BE463" i="21"/>
  <c r="BI463" i="21"/>
  <c r="AK446" i="21"/>
  <c r="AO446" i="21"/>
  <c r="AS446" i="21"/>
  <c r="AW446" i="21"/>
  <c r="BA446" i="21"/>
  <c r="BE446" i="21"/>
  <c r="BI446" i="21"/>
  <c r="AK461" i="21"/>
  <c r="AO461" i="21"/>
  <c r="AS461" i="21"/>
  <c r="AW461" i="21"/>
  <c r="BA461" i="21"/>
  <c r="BE461" i="21"/>
  <c r="BI461" i="21"/>
  <c r="AK452" i="21"/>
  <c r="AO452" i="21"/>
  <c r="AS452" i="21"/>
  <c r="AW452" i="21"/>
  <c r="BA452" i="21"/>
  <c r="BE452" i="21"/>
  <c r="BI452" i="21"/>
  <c r="AK274" i="21"/>
  <c r="AO274" i="21"/>
  <c r="AS274" i="21"/>
  <c r="AW274" i="21"/>
  <c r="BA274" i="21"/>
  <c r="BE274" i="21"/>
  <c r="BI274" i="21"/>
  <c r="AK444" i="21"/>
  <c r="AO444" i="21"/>
  <c r="AS444" i="21"/>
  <c r="AW444" i="21"/>
  <c r="BA444" i="21"/>
  <c r="AJ169" i="21"/>
  <c r="AH9" i="21"/>
  <c r="AO340" i="21"/>
  <c r="AI455" i="21"/>
  <c r="AP519" i="21"/>
  <c r="AU282" i="21"/>
  <c r="BA25" i="21"/>
  <c r="BG55" i="21"/>
  <c r="AH171" i="21"/>
  <c r="AR278" i="21"/>
  <c r="BE434" i="21"/>
  <c r="AI454" i="21"/>
  <c r="BA11" i="21"/>
  <c r="AK48" i="21"/>
  <c r="BG75" i="21"/>
  <c r="AR57" i="21"/>
  <c r="AN76" i="21"/>
  <c r="AU66" i="21"/>
  <c r="BA67" i="21"/>
  <c r="BH78" i="21"/>
  <c r="AK62" i="21"/>
  <c r="AR85" i="21"/>
  <c r="AY91" i="21"/>
  <c r="BE94" i="21"/>
  <c r="AI129" i="21"/>
  <c r="AO112" i="21"/>
  <c r="AV150" i="21"/>
  <c r="BC134" i="21"/>
  <c r="BI143" i="21"/>
  <c r="AH175" i="21"/>
  <c r="BJ174" i="21"/>
  <c r="BF166" i="21"/>
  <c r="BB162" i="21"/>
  <c r="AP181" i="21"/>
  <c r="AY181" i="21"/>
  <c r="BK181" i="21"/>
  <c r="AL200" i="21"/>
  <c r="AU200" i="21"/>
  <c r="BG200" i="21"/>
  <c r="AH206" i="21"/>
  <c r="AQ206" i="21"/>
  <c r="BC206" i="21"/>
  <c r="AM184" i="21"/>
  <c r="AY184" i="21"/>
  <c r="BJ184" i="21"/>
  <c r="AI186" i="21"/>
  <c r="AT186" i="21"/>
  <c r="BB186" i="21"/>
  <c r="BJ186" i="21"/>
  <c r="AH233" i="21"/>
  <c r="AP233" i="21"/>
  <c r="AX233" i="21"/>
  <c r="BF233" i="21"/>
  <c r="AL238" i="21"/>
  <c r="AT238" i="21"/>
  <c r="BB238" i="21"/>
  <c r="BJ238" i="21"/>
  <c r="AH251" i="21"/>
  <c r="AP251" i="21"/>
  <c r="AX251" i="21"/>
  <c r="BF251" i="21"/>
  <c r="AL249" i="21"/>
  <c r="AT249" i="21"/>
  <c r="BB249" i="21"/>
  <c r="BJ249" i="21"/>
  <c r="AH245" i="21"/>
  <c r="AP245" i="21"/>
  <c r="AX245" i="21"/>
  <c r="BF245" i="21"/>
  <c r="AL259" i="21"/>
  <c r="AT259" i="21"/>
  <c r="BB259" i="21"/>
  <c r="BJ259" i="21"/>
  <c r="AH248" i="21"/>
  <c r="AP248" i="21"/>
  <c r="AX248" i="21"/>
  <c r="BF248" i="21"/>
  <c r="AL260" i="21"/>
  <c r="AT260" i="21"/>
  <c r="BB260" i="21"/>
  <c r="BJ260" i="21"/>
  <c r="AH281" i="21"/>
  <c r="AP281" i="21"/>
  <c r="AX281" i="21"/>
  <c r="BF281" i="21"/>
  <c r="AL299" i="21"/>
  <c r="AT299" i="21"/>
  <c r="BB299" i="21"/>
  <c r="BJ299" i="21"/>
  <c r="AH305" i="21"/>
  <c r="AP305" i="21"/>
  <c r="AX305" i="21"/>
  <c r="BF305" i="21"/>
  <c r="AL301" i="21"/>
  <c r="AT301" i="21"/>
  <c r="BB301" i="21"/>
  <c r="BJ301" i="21"/>
  <c r="AH309" i="21"/>
  <c r="AP309" i="21"/>
  <c r="AX309" i="21"/>
  <c r="BF309" i="21"/>
  <c r="AL288" i="21"/>
  <c r="AT288" i="21"/>
  <c r="BB288" i="21"/>
  <c r="BJ288" i="21"/>
  <c r="AH311" i="21"/>
  <c r="AP311" i="21"/>
  <c r="AX311" i="21"/>
  <c r="BF311" i="21"/>
  <c r="AL330" i="21"/>
  <c r="AT330" i="21"/>
  <c r="BB330" i="21"/>
  <c r="BJ330" i="21"/>
  <c r="AH322" i="21"/>
  <c r="AP322" i="21"/>
  <c r="AX322" i="21"/>
  <c r="BF322" i="21"/>
  <c r="AL323" i="21"/>
  <c r="AT323" i="21"/>
  <c r="BB323" i="21"/>
  <c r="BJ323" i="21"/>
  <c r="AH317" i="21"/>
  <c r="AP317" i="21"/>
  <c r="AX317" i="21"/>
  <c r="BF317" i="21"/>
  <c r="AL335" i="21"/>
  <c r="AT335" i="21"/>
  <c r="BB335" i="21"/>
  <c r="BJ335" i="21"/>
  <c r="AH313" i="21"/>
  <c r="AP313" i="21"/>
  <c r="AX313" i="21"/>
  <c r="BF313" i="21"/>
  <c r="AL346" i="21"/>
  <c r="AT346" i="21"/>
  <c r="BA346" i="21"/>
  <c r="BF346" i="21"/>
  <c r="BK346" i="21"/>
  <c r="AL320" i="21"/>
  <c r="AQ320" i="21"/>
  <c r="AW320" i="21"/>
  <c r="BB320" i="21"/>
  <c r="BG320" i="21"/>
  <c r="AH343" i="21"/>
  <c r="AM343" i="21"/>
  <c r="AS343" i="21"/>
  <c r="AX343" i="21"/>
  <c r="BC343" i="21"/>
  <c r="BI343" i="21"/>
  <c r="AI349" i="21"/>
  <c r="AO349" i="21"/>
  <c r="AT349" i="21"/>
  <c r="AX349" i="21"/>
  <c r="BB349" i="21"/>
  <c r="BF349" i="21"/>
  <c r="BJ349" i="21"/>
  <c r="AH351" i="21"/>
  <c r="AL351" i="21"/>
  <c r="AP351" i="21"/>
  <c r="AT351" i="21"/>
  <c r="AX351" i="21"/>
  <c r="BB351" i="21"/>
  <c r="BF351" i="21"/>
  <c r="BJ351" i="21"/>
  <c r="AH350" i="21"/>
  <c r="AL350" i="21"/>
  <c r="AP350" i="21"/>
  <c r="AT350" i="21"/>
  <c r="AX350" i="21"/>
  <c r="BB350" i="21"/>
  <c r="BF350" i="21"/>
  <c r="BJ350" i="21"/>
  <c r="AH368" i="21"/>
  <c r="AL368" i="21"/>
  <c r="AP368" i="21"/>
  <c r="AT368" i="21"/>
  <c r="AX368" i="21"/>
  <c r="BB368" i="21"/>
  <c r="BF368" i="21"/>
  <c r="BJ368" i="21"/>
  <c r="AH408" i="21"/>
  <c r="AL408" i="21"/>
  <c r="AP408" i="21"/>
  <c r="AT408" i="21"/>
  <c r="AX408" i="21"/>
  <c r="BB408" i="21"/>
  <c r="BF408" i="21"/>
  <c r="BJ408" i="21"/>
  <c r="AH406" i="21"/>
  <c r="AL406" i="21"/>
  <c r="AP406" i="21"/>
  <c r="AT406" i="21"/>
  <c r="AX406" i="21"/>
  <c r="BB406" i="21"/>
  <c r="BF406" i="21"/>
  <c r="BJ406" i="21"/>
  <c r="AH411" i="21"/>
  <c r="AL411" i="21"/>
  <c r="AP411" i="21"/>
  <c r="AT411" i="21"/>
  <c r="AX411" i="21"/>
  <c r="BB411" i="21"/>
  <c r="BF411" i="21"/>
  <c r="BJ411" i="21"/>
  <c r="AH413" i="21"/>
  <c r="AL413" i="21"/>
  <c r="AP413" i="21"/>
  <c r="AT413" i="21"/>
  <c r="AX413" i="21"/>
  <c r="BB413" i="21"/>
  <c r="BF413" i="21"/>
  <c r="BJ413" i="21"/>
  <c r="AH392" i="21"/>
  <c r="AL392" i="21"/>
  <c r="AP392" i="21"/>
  <c r="AT392" i="21"/>
  <c r="AX392" i="21"/>
  <c r="BB392" i="21"/>
  <c r="BF392" i="21"/>
  <c r="BJ392" i="21"/>
  <c r="AH391" i="21"/>
  <c r="AL391" i="21"/>
  <c r="AP391" i="21"/>
  <c r="AT391" i="21"/>
  <c r="AX391" i="21"/>
  <c r="BB391" i="21"/>
  <c r="BF391" i="21"/>
  <c r="BJ391" i="21"/>
  <c r="AH423" i="21"/>
  <c r="AL423" i="21"/>
  <c r="AP423" i="21"/>
  <c r="AT423" i="21"/>
  <c r="AX423" i="21"/>
  <c r="BB423" i="21"/>
  <c r="BF423" i="21"/>
  <c r="BJ423" i="21"/>
  <c r="AH419" i="21"/>
  <c r="AL419" i="21"/>
  <c r="AP419" i="21"/>
  <c r="AT419" i="21"/>
  <c r="AX419" i="21"/>
  <c r="BB419" i="21"/>
  <c r="BF419" i="21"/>
  <c r="BJ419" i="21"/>
  <c r="AH426" i="21"/>
  <c r="AL426" i="21"/>
  <c r="AP426" i="21"/>
  <c r="AT426" i="21"/>
  <c r="AX426" i="21"/>
  <c r="BB426" i="21"/>
  <c r="BF426" i="21"/>
  <c r="BJ426" i="21"/>
  <c r="AH463" i="21"/>
  <c r="AL463" i="21"/>
  <c r="AP463" i="21"/>
  <c r="AT463" i="21"/>
  <c r="AX463" i="21"/>
  <c r="BB463" i="21"/>
  <c r="BF463" i="21"/>
  <c r="BJ463" i="21"/>
  <c r="AH446" i="21"/>
  <c r="AL446" i="21"/>
  <c r="AP446" i="21"/>
  <c r="AT446" i="21"/>
  <c r="AX446" i="21"/>
  <c r="BB446" i="21"/>
  <c r="BF446" i="21"/>
  <c r="BJ446" i="21"/>
  <c r="AH461" i="21"/>
  <c r="AL461" i="21"/>
  <c r="AP461" i="21"/>
  <c r="AT461" i="21"/>
  <c r="AX461" i="21"/>
  <c r="BB461" i="21"/>
  <c r="BF461" i="21"/>
  <c r="BJ461" i="21"/>
  <c r="AH452" i="21"/>
  <c r="AL452" i="21"/>
  <c r="AP452" i="21"/>
  <c r="AT452" i="21"/>
  <c r="AX452" i="21"/>
  <c r="BB452" i="21"/>
  <c r="BF452" i="21"/>
  <c r="BJ452" i="21"/>
  <c r="AH274" i="21"/>
  <c r="AL274" i="21"/>
  <c r="AP274" i="21"/>
  <c r="AT274" i="21"/>
  <c r="AX274" i="21"/>
  <c r="BB274" i="21"/>
  <c r="BF274" i="21"/>
  <c r="BJ274" i="21"/>
  <c r="AH444" i="21"/>
  <c r="AL444" i="21"/>
  <c r="AP444" i="21"/>
  <c r="AT444" i="21"/>
  <c r="AX444" i="21"/>
  <c r="BB444" i="21"/>
  <c r="AO103" i="21"/>
  <c r="AH385" i="21"/>
  <c r="AL49" i="21"/>
  <c r="AX271" i="21"/>
  <c r="BI339" i="21"/>
  <c r="AH40" i="21"/>
  <c r="AM268" i="21"/>
  <c r="AT26" i="21"/>
  <c r="AY101" i="21"/>
  <c r="BE148" i="21"/>
  <c r="BK171" i="21"/>
  <c r="AZ197" i="21"/>
  <c r="AQ436" i="21"/>
  <c r="BD454" i="21"/>
  <c r="AU22" i="21"/>
  <c r="AZ48" i="21"/>
  <c r="AK73" i="21"/>
  <c r="BE57" i="21"/>
  <c r="AQ65" i="21"/>
  <c r="AY76" i="21"/>
  <c r="BE66" i="21"/>
  <c r="AI93" i="21"/>
  <c r="AO95" i="21"/>
  <c r="AV62" i="21"/>
  <c r="BC85" i="21"/>
  <c r="BI91" i="21"/>
  <c r="AM82" i="21"/>
  <c r="AS129" i="21"/>
  <c r="AZ112" i="21"/>
  <c r="BG150" i="21"/>
  <c r="AJ137" i="21"/>
  <c r="AQ144" i="21"/>
  <c r="AP175" i="21"/>
  <c r="AL174" i="21"/>
  <c r="AH166" i="21"/>
  <c r="BG162" i="21"/>
  <c r="AH181" i="21"/>
  <c r="AQ181" i="21"/>
  <c r="BC181" i="21"/>
  <c r="AM200" i="21"/>
  <c r="AY200" i="21"/>
  <c r="BJ200" i="21"/>
  <c r="AI206" i="21"/>
  <c r="AU206" i="21"/>
  <c r="BF206" i="21"/>
  <c r="AQ184" i="21"/>
  <c r="BB184" i="21"/>
  <c r="BK184" i="21"/>
  <c r="AM186" i="21"/>
  <c r="AU186" i="21"/>
  <c r="BC186" i="21"/>
  <c r="BK186" i="21"/>
  <c r="AI233" i="21"/>
  <c r="AQ233" i="21"/>
  <c r="AY233" i="21"/>
  <c r="BG233" i="21"/>
  <c r="AM238" i="21"/>
  <c r="AU238" i="21"/>
  <c r="BC238" i="21"/>
  <c r="BK238" i="21"/>
  <c r="AI251" i="21"/>
  <c r="AQ251" i="21"/>
  <c r="AY251" i="21"/>
  <c r="BG251" i="21"/>
  <c r="AM249" i="21"/>
  <c r="AU249" i="21"/>
  <c r="BC249" i="21"/>
  <c r="BK249" i="21"/>
  <c r="AI245" i="21"/>
  <c r="AQ245" i="21"/>
  <c r="AY245" i="21"/>
  <c r="BG245" i="21"/>
  <c r="AM259" i="21"/>
  <c r="AU259" i="21"/>
  <c r="BC259" i="21"/>
  <c r="BK259" i="21"/>
  <c r="AI248" i="21"/>
  <c r="AQ248" i="21"/>
  <c r="AY248" i="21"/>
  <c r="BG248" i="21"/>
  <c r="AM260" i="21"/>
  <c r="AU260" i="21"/>
  <c r="BC260" i="21"/>
  <c r="BK260" i="21"/>
  <c r="AI281" i="21"/>
  <c r="AQ281" i="21"/>
  <c r="AY281" i="21"/>
  <c r="BG281" i="21"/>
  <c r="AM299" i="21"/>
  <c r="AU299" i="21"/>
  <c r="BC299" i="21"/>
  <c r="BK299" i="21"/>
  <c r="AI305" i="21"/>
  <c r="AQ305" i="21"/>
  <c r="AY305" i="21"/>
  <c r="BG305" i="21"/>
  <c r="AM301" i="21"/>
  <c r="AU301" i="21"/>
  <c r="BC301" i="21"/>
  <c r="BK301" i="21"/>
  <c r="AI309" i="21"/>
  <c r="AQ309" i="21"/>
  <c r="AY309" i="21"/>
  <c r="BG309" i="21"/>
  <c r="AM288" i="21"/>
  <c r="AU288" i="21"/>
  <c r="BC288" i="21"/>
  <c r="BK288" i="21"/>
  <c r="AI311" i="21"/>
  <c r="AQ311" i="21"/>
  <c r="AY311" i="21"/>
  <c r="BG311" i="21"/>
  <c r="AM330" i="21"/>
  <c r="AU330" i="21"/>
  <c r="BC330" i="21"/>
  <c r="BK330" i="21"/>
  <c r="AI322" i="21"/>
  <c r="AQ322" i="21"/>
  <c r="AY322" i="21"/>
  <c r="BG322" i="21"/>
  <c r="AM323" i="21"/>
  <c r="AU323" i="21"/>
  <c r="BC323" i="21"/>
  <c r="BK323" i="21"/>
  <c r="AI317" i="21"/>
  <c r="AQ317" i="21"/>
  <c r="AY317" i="21"/>
  <c r="BG317" i="21"/>
  <c r="AM335" i="21"/>
  <c r="AU335" i="21"/>
  <c r="BC335" i="21"/>
  <c r="BK335" i="21"/>
  <c r="AI313" i="21"/>
  <c r="AQ313" i="21"/>
  <c r="AY313" i="21"/>
  <c r="BG313" i="21"/>
  <c r="AM346" i="21"/>
  <c r="AU346" i="21"/>
  <c r="BB346" i="21"/>
  <c r="BG346" i="21"/>
  <c r="AH320" i="21"/>
  <c r="AM320" i="21"/>
  <c r="AS320" i="21"/>
  <c r="AX320" i="21"/>
  <c r="BC320" i="21"/>
  <c r="BI320" i="21"/>
  <c r="AI343" i="21"/>
  <c r="AO343" i="21"/>
  <c r="AT343" i="21"/>
  <c r="AY343" i="21"/>
  <c r="BE343" i="21"/>
  <c r="BJ343" i="21"/>
  <c r="AK349" i="21"/>
  <c r="AP349" i="21"/>
  <c r="AU349" i="21"/>
  <c r="AY349" i="21"/>
  <c r="BC349" i="21"/>
  <c r="BG349" i="21"/>
  <c r="BK349" i="21"/>
  <c r="AI351" i="21"/>
  <c r="AM351" i="21"/>
  <c r="AQ351" i="21"/>
  <c r="AU351" i="21"/>
  <c r="AY351" i="21"/>
  <c r="BC351" i="21"/>
  <c r="BG351" i="21"/>
  <c r="BK351" i="21"/>
  <c r="AI350" i="21"/>
  <c r="AM350" i="21"/>
  <c r="AQ350" i="21"/>
  <c r="AU350" i="21"/>
  <c r="AY350" i="21"/>
  <c r="BC350" i="21"/>
  <c r="BG350" i="21"/>
  <c r="BK350" i="21"/>
  <c r="AI368" i="21"/>
  <c r="AM368" i="21"/>
  <c r="AQ368" i="21"/>
  <c r="AU368" i="21"/>
  <c r="AY368" i="21"/>
  <c r="BC368" i="21"/>
  <c r="BG368" i="21"/>
  <c r="BK368" i="21"/>
  <c r="AI408" i="21"/>
  <c r="AM408" i="21"/>
  <c r="AQ408" i="21"/>
  <c r="AU408" i="21"/>
  <c r="AY408" i="21"/>
  <c r="BC408" i="21"/>
  <c r="BG408" i="21"/>
  <c r="BK408" i="21"/>
  <c r="AI406" i="21"/>
  <c r="AM406" i="21"/>
  <c r="AQ406" i="21"/>
  <c r="AU406" i="21"/>
  <c r="AY406" i="21"/>
  <c r="BC406" i="21"/>
  <c r="BG406" i="21"/>
  <c r="BK406" i="21"/>
  <c r="AI411" i="21"/>
  <c r="AM411" i="21"/>
  <c r="AQ411" i="21"/>
  <c r="AU411" i="21"/>
  <c r="AY411" i="21"/>
  <c r="BC411" i="21"/>
  <c r="BG411" i="21"/>
  <c r="BK411" i="21"/>
  <c r="AI413" i="21"/>
  <c r="AM413" i="21"/>
  <c r="AQ413" i="21"/>
  <c r="AU413" i="21"/>
  <c r="AY413" i="21"/>
  <c r="BC413" i="21"/>
  <c r="BG413" i="21"/>
  <c r="BK413" i="21"/>
  <c r="AI392" i="21"/>
  <c r="AM392" i="21"/>
  <c r="AQ392" i="21"/>
  <c r="AU392" i="21"/>
  <c r="AY392" i="21"/>
  <c r="BC392" i="21"/>
  <c r="BG392" i="21"/>
  <c r="BK392" i="21"/>
  <c r="AI391" i="21"/>
  <c r="AM391" i="21"/>
  <c r="AQ391" i="21"/>
  <c r="AU391" i="21"/>
  <c r="AY391" i="21"/>
  <c r="BC391" i="21"/>
  <c r="BG391" i="21"/>
  <c r="BK391" i="21"/>
  <c r="AI423" i="21"/>
  <c r="AM423" i="21"/>
  <c r="AQ423" i="21"/>
  <c r="AU423" i="21"/>
  <c r="AY423" i="21"/>
  <c r="BC423" i="21"/>
  <c r="BG423" i="21"/>
  <c r="BK423" i="21"/>
  <c r="AI419" i="21"/>
  <c r="AM419" i="21"/>
  <c r="AQ419" i="21"/>
  <c r="AU419" i="21"/>
  <c r="AY419" i="21"/>
  <c r="BC419" i="21"/>
  <c r="BG419" i="21"/>
  <c r="BK419" i="21"/>
  <c r="AI426" i="21"/>
  <c r="AM426" i="21"/>
  <c r="AQ426" i="21"/>
  <c r="AU426" i="21"/>
  <c r="AY426" i="21"/>
  <c r="BC426" i="21"/>
  <c r="BG426" i="21"/>
  <c r="BK426" i="21"/>
  <c r="AI463" i="21"/>
  <c r="AM463" i="21"/>
  <c r="AQ463" i="21"/>
  <c r="AU463" i="21"/>
  <c r="AY463" i="21"/>
  <c r="BC463" i="21"/>
  <c r="BG463" i="21"/>
  <c r="BK463" i="21"/>
  <c r="AI446" i="21"/>
  <c r="AM446" i="21"/>
  <c r="AQ446" i="21"/>
  <c r="AU446" i="21"/>
  <c r="AY446" i="21"/>
  <c r="BC446" i="21"/>
  <c r="BG446" i="21"/>
  <c r="BK446" i="21"/>
  <c r="AI461" i="21"/>
  <c r="AM461" i="21"/>
  <c r="AQ461" i="21"/>
  <c r="AU461" i="21"/>
  <c r="AY461" i="21"/>
  <c r="BC461" i="21"/>
  <c r="BG461" i="21"/>
  <c r="BK461" i="21"/>
  <c r="AI452" i="21"/>
  <c r="AM452" i="21"/>
  <c r="AQ452" i="21"/>
  <c r="AU452" i="21"/>
  <c r="AY452" i="21"/>
  <c r="BC452" i="21"/>
  <c r="BG452" i="21"/>
  <c r="BK452" i="21"/>
  <c r="AI274" i="21"/>
  <c r="AM274" i="21"/>
  <c r="AQ274" i="21"/>
  <c r="AU274" i="21"/>
  <c r="AY274" i="21"/>
  <c r="BC274" i="21"/>
  <c r="BG274" i="21"/>
  <c r="BK274" i="21"/>
  <c r="AI444" i="21"/>
  <c r="AM444" i="21"/>
  <c r="AQ444" i="21"/>
  <c r="AU444" i="21"/>
  <c r="AY444" i="21"/>
  <c r="AV152" i="21"/>
  <c r="AT341" i="21"/>
  <c r="AL33" i="21"/>
  <c r="AK258" i="21"/>
  <c r="BH22" i="21"/>
  <c r="AJ59" i="21"/>
  <c r="AM78" i="21"/>
  <c r="BD129" i="21"/>
  <c r="AU137" i="21"/>
  <c r="AP166" i="21"/>
  <c r="AU181" i="21"/>
  <c r="BB200" i="21"/>
  <c r="BG206" i="21"/>
  <c r="BJ233" i="21"/>
  <c r="BF238" i="21"/>
  <c r="BB251" i="21"/>
  <c r="AX249" i="21"/>
  <c r="AT245" i="21"/>
  <c r="AP259" i="21"/>
  <c r="AL248" i="21"/>
  <c r="AH260" i="21"/>
  <c r="BJ281" i="21"/>
  <c r="BF299" i="21"/>
  <c r="BB305" i="21"/>
  <c r="AX301" i="21"/>
  <c r="AT309" i="21"/>
  <c r="AP288" i="21"/>
  <c r="AL311" i="21"/>
  <c r="AH330" i="21"/>
  <c r="BJ322" i="21"/>
  <c r="BF323" i="21"/>
  <c r="BB317" i="21"/>
  <c r="AX335" i="21"/>
  <c r="AT313" i="21"/>
  <c r="AP346" i="21"/>
  <c r="AY320" i="21"/>
  <c r="AK343" i="21"/>
  <c r="BF343" i="21"/>
  <c r="AQ349" i="21"/>
  <c r="BH349" i="21"/>
  <c r="AN351" i="21"/>
  <c r="BD351" i="21"/>
  <c r="AJ350" i="21"/>
  <c r="AZ350" i="21"/>
  <c r="AV368" i="21"/>
  <c r="AR408" i="21"/>
  <c r="BH408" i="21"/>
  <c r="AN406" i="21"/>
  <c r="BD406" i="21"/>
  <c r="AJ411" i="21"/>
  <c r="AZ411" i="21"/>
  <c r="AV413" i="21"/>
  <c r="AR392" i="21"/>
  <c r="BH392" i="21"/>
  <c r="AN391" i="21"/>
  <c r="BD391" i="21"/>
  <c r="AJ423" i="21"/>
  <c r="AZ423" i="21"/>
  <c r="AV419" i="21"/>
  <c r="AR426" i="21"/>
  <c r="BH426" i="21"/>
  <c r="AN463" i="21"/>
  <c r="BD463" i="21"/>
  <c r="AJ446" i="21"/>
  <c r="AZ446" i="21"/>
  <c r="AV461" i="21"/>
  <c r="AR452" i="21"/>
  <c r="BH452" i="21"/>
  <c r="AN274" i="21"/>
  <c r="BD274" i="21"/>
  <c r="AJ444" i="21"/>
  <c r="AZ444" i="21"/>
  <c r="BF444" i="21"/>
  <c r="BJ444" i="21"/>
  <c r="AH478" i="21"/>
  <c r="AL478" i="21"/>
  <c r="AP478" i="21"/>
  <c r="AT478" i="21"/>
  <c r="AX478" i="21"/>
  <c r="BB478" i="21"/>
  <c r="BF478" i="21"/>
  <c r="BJ478" i="21"/>
  <c r="AH469" i="21"/>
  <c r="AL469" i="21"/>
  <c r="AP469" i="21"/>
  <c r="AT469" i="21"/>
  <c r="AX469" i="21"/>
  <c r="BB469" i="21"/>
  <c r="BF469" i="21"/>
  <c r="BJ469" i="21"/>
  <c r="AH474" i="21"/>
  <c r="AL474" i="21"/>
  <c r="AP474" i="21"/>
  <c r="AT474" i="21"/>
  <c r="AX474" i="21"/>
  <c r="BB474" i="21"/>
  <c r="BF474" i="21"/>
  <c r="BJ474" i="21"/>
  <c r="AH508" i="21"/>
  <c r="AL508" i="21"/>
  <c r="AP508" i="21"/>
  <c r="AT508" i="21"/>
  <c r="AX508" i="21"/>
  <c r="BB508" i="21"/>
  <c r="BF508" i="21"/>
  <c r="BJ508" i="21"/>
  <c r="AH511" i="21"/>
  <c r="AL511" i="21"/>
  <c r="AP511" i="21"/>
  <c r="AT511" i="21"/>
  <c r="AX511" i="21"/>
  <c r="BB511" i="21"/>
  <c r="BF511" i="21"/>
  <c r="BJ511" i="21"/>
  <c r="AH513" i="21"/>
  <c r="AL513" i="21"/>
  <c r="AP513" i="21"/>
  <c r="AT513" i="21"/>
  <c r="AX513" i="21"/>
  <c r="BB513" i="21"/>
  <c r="BF513" i="21"/>
  <c r="BJ513" i="21"/>
  <c r="AH17" i="21"/>
  <c r="AL17" i="21"/>
  <c r="AP17" i="21"/>
  <c r="AT17" i="21"/>
  <c r="AX17" i="21"/>
  <c r="BB17" i="21"/>
  <c r="BF17" i="21"/>
  <c r="BJ17" i="21"/>
  <c r="AH39" i="21"/>
  <c r="AL39" i="21"/>
  <c r="AP39" i="21"/>
  <c r="AT39" i="21"/>
  <c r="AX39" i="21"/>
  <c r="BB39" i="21"/>
  <c r="BF39" i="21"/>
  <c r="BJ39" i="21"/>
  <c r="AH31" i="21"/>
  <c r="AL31" i="21"/>
  <c r="AP31" i="21"/>
  <c r="AT31" i="21"/>
  <c r="AX31" i="21"/>
  <c r="BB31" i="21"/>
  <c r="BF31" i="21"/>
  <c r="BJ31" i="21"/>
  <c r="AH56" i="21"/>
  <c r="AL56" i="21"/>
  <c r="AP56" i="21"/>
  <c r="AT56" i="21"/>
  <c r="AX56" i="21"/>
  <c r="BB56" i="21"/>
  <c r="BF56" i="21"/>
  <c r="BJ56" i="21"/>
  <c r="AH98" i="21"/>
  <c r="AL98" i="21"/>
  <c r="AP98" i="21"/>
  <c r="AT98" i="21"/>
  <c r="AX98" i="21"/>
  <c r="BB98" i="21"/>
  <c r="BF98" i="21"/>
  <c r="BJ98" i="21"/>
  <c r="AH84" i="21"/>
  <c r="AL84" i="21"/>
  <c r="AP84" i="21"/>
  <c r="AT84" i="21"/>
  <c r="AX84" i="21"/>
  <c r="BB84" i="21"/>
  <c r="BF84" i="21"/>
  <c r="BJ84" i="21"/>
  <c r="AH109" i="21"/>
  <c r="AL109" i="21"/>
  <c r="AP109" i="21"/>
  <c r="AT109" i="21"/>
  <c r="AX109" i="21"/>
  <c r="BB109" i="21"/>
  <c r="BF109" i="21"/>
  <c r="BJ109" i="21"/>
  <c r="AH111" i="21"/>
  <c r="AL111" i="21"/>
  <c r="AP111" i="21"/>
  <c r="AT111" i="21"/>
  <c r="AX111" i="21"/>
  <c r="BB111" i="21"/>
  <c r="BF111" i="21"/>
  <c r="BJ111" i="21"/>
  <c r="AH136" i="21"/>
  <c r="AL136" i="21"/>
  <c r="AP136" i="21"/>
  <c r="AT136" i="21"/>
  <c r="AX136" i="21"/>
  <c r="BB136" i="21"/>
  <c r="BF136" i="21"/>
  <c r="BJ136" i="21"/>
  <c r="AH173" i="21"/>
  <c r="AL173" i="21"/>
  <c r="AP173" i="21"/>
  <c r="AT173" i="21"/>
  <c r="AX173" i="21"/>
  <c r="BB173" i="21"/>
  <c r="BF173" i="21"/>
  <c r="BJ173" i="21"/>
  <c r="AH204" i="21"/>
  <c r="AL204" i="21"/>
  <c r="AP204" i="21"/>
  <c r="AT204" i="21"/>
  <c r="AX204" i="21"/>
  <c r="BB204" i="21"/>
  <c r="BF204" i="21"/>
  <c r="BJ204" i="21"/>
  <c r="AH185" i="21"/>
  <c r="AL185" i="21"/>
  <c r="AP185" i="21"/>
  <c r="AT185" i="21"/>
  <c r="AX185" i="21"/>
  <c r="BB185" i="21"/>
  <c r="BF185" i="21"/>
  <c r="BJ185" i="21"/>
  <c r="AH214" i="21"/>
  <c r="AL214" i="21"/>
  <c r="AP214" i="21"/>
  <c r="AT214" i="21"/>
  <c r="AX214" i="21"/>
  <c r="BB214" i="21"/>
  <c r="BF214" i="21"/>
  <c r="BJ214" i="21"/>
  <c r="AH254" i="21"/>
  <c r="AL254" i="21"/>
  <c r="AP254" i="21"/>
  <c r="AT254" i="21"/>
  <c r="AX254" i="21"/>
  <c r="BB254" i="21"/>
  <c r="BF254" i="21"/>
  <c r="BJ254" i="21"/>
  <c r="AH250" i="21"/>
  <c r="AL250" i="21"/>
  <c r="AP250" i="21"/>
  <c r="AT250" i="21"/>
  <c r="AX250" i="21"/>
  <c r="BB250" i="21"/>
  <c r="BF250" i="21"/>
  <c r="BJ250" i="21"/>
  <c r="AH269" i="21"/>
  <c r="AL269" i="21"/>
  <c r="AP269" i="21"/>
  <c r="AT269" i="21"/>
  <c r="AX269" i="21"/>
  <c r="BB269" i="21"/>
  <c r="BF269" i="21"/>
  <c r="BJ269" i="21"/>
  <c r="AH296" i="21"/>
  <c r="AL296" i="21"/>
  <c r="AP296" i="21"/>
  <c r="AT296" i="21"/>
  <c r="AX296" i="21"/>
  <c r="BB296" i="21"/>
  <c r="BF296" i="21"/>
  <c r="BJ296" i="21"/>
  <c r="AH292" i="21"/>
  <c r="AL292" i="21"/>
  <c r="AP292" i="21"/>
  <c r="AT292" i="21"/>
  <c r="AX292" i="21"/>
  <c r="BB292" i="21"/>
  <c r="BF292" i="21"/>
  <c r="BJ292" i="21"/>
  <c r="AH293" i="21"/>
  <c r="AL293" i="21"/>
  <c r="AP293" i="21"/>
  <c r="AT293" i="21"/>
  <c r="AX293" i="21"/>
  <c r="BB293" i="21"/>
  <c r="BF293" i="21"/>
  <c r="BJ293" i="21"/>
  <c r="AH294" i="21"/>
  <c r="AL294" i="21"/>
  <c r="AP294" i="21"/>
  <c r="AT294" i="21"/>
  <c r="AX294" i="21"/>
  <c r="BB294" i="21"/>
  <c r="BF294" i="21"/>
  <c r="BJ294" i="21"/>
  <c r="AH295" i="21"/>
  <c r="AL295" i="21"/>
  <c r="AP295" i="21"/>
  <c r="AT295" i="21"/>
  <c r="AX295" i="21"/>
  <c r="BB295" i="21"/>
  <c r="BF295" i="21"/>
  <c r="BJ295" i="21"/>
  <c r="AH312" i="21"/>
  <c r="AL312" i="21"/>
  <c r="AP312" i="21"/>
  <c r="AT312" i="21"/>
  <c r="AX312" i="21"/>
  <c r="BB312" i="21"/>
  <c r="BF312" i="21"/>
  <c r="BJ312" i="21"/>
  <c r="AH331" i="21"/>
  <c r="AL331" i="21"/>
  <c r="AP331" i="21"/>
  <c r="AT331" i="21"/>
  <c r="AX331" i="21"/>
  <c r="BB331" i="21"/>
  <c r="BF331" i="21"/>
  <c r="BJ331" i="21"/>
  <c r="AH326" i="21"/>
  <c r="AL326" i="21"/>
  <c r="AP326" i="21"/>
  <c r="AT326" i="21"/>
  <c r="AX326" i="21"/>
  <c r="BB326" i="21"/>
  <c r="BF326" i="21"/>
  <c r="BJ326" i="21"/>
  <c r="AH319" i="21"/>
  <c r="AL319" i="21"/>
  <c r="AP319" i="21"/>
  <c r="AT319" i="21"/>
  <c r="AX319" i="21"/>
  <c r="BB319" i="21"/>
  <c r="BF319" i="21"/>
  <c r="BJ319" i="21"/>
  <c r="AH345" i="21"/>
  <c r="AL345" i="21"/>
  <c r="AP345" i="21"/>
  <c r="AT345" i="21"/>
  <c r="AX345" i="21"/>
  <c r="BB345" i="21"/>
  <c r="BF345" i="21"/>
  <c r="BJ345" i="21"/>
  <c r="AH376" i="21"/>
  <c r="AL376" i="21"/>
  <c r="AP376" i="21"/>
  <c r="AT376" i="21"/>
  <c r="AX376" i="21"/>
  <c r="BB376" i="21"/>
  <c r="BF376" i="21"/>
  <c r="BJ376" i="21"/>
  <c r="AH370" i="21"/>
  <c r="AL370" i="21"/>
  <c r="AP370" i="21"/>
  <c r="AT370" i="21"/>
  <c r="AX370" i="21"/>
  <c r="BB370" i="21"/>
  <c r="BF370" i="21"/>
  <c r="BJ370" i="21"/>
  <c r="AH372" i="21"/>
  <c r="AL372" i="21"/>
  <c r="AP372" i="21"/>
  <c r="AT372" i="21"/>
  <c r="AX372" i="21"/>
  <c r="BB372" i="21"/>
  <c r="BF372" i="21"/>
  <c r="BJ372" i="21"/>
  <c r="AH393" i="21"/>
  <c r="AL393" i="21"/>
  <c r="AP393" i="21"/>
  <c r="AT393" i="21"/>
  <c r="AX393" i="21"/>
  <c r="BB393" i="21"/>
  <c r="BF393" i="21"/>
  <c r="BJ393" i="21"/>
  <c r="AH399" i="21"/>
  <c r="AL399" i="21"/>
  <c r="AP399" i="21"/>
  <c r="AT399" i="21"/>
  <c r="AX399" i="21"/>
  <c r="BB399" i="21"/>
  <c r="BF399" i="21"/>
  <c r="BJ399" i="21"/>
  <c r="AH414" i="21"/>
  <c r="AL414" i="21"/>
  <c r="AP414" i="21"/>
  <c r="AT414" i="21"/>
  <c r="AX414" i="21"/>
  <c r="BB414" i="21"/>
  <c r="BF414" i="21"/>
  <c r="BJ414" i="21"/>
  <c r="AH432" i="21"/>
  <c r="AL432" i="21"/>
  <c r="AP432" i="21"/>
  <c r="AT432" i="21"/>
  <c r="AX432" i="21"/>
  <c r="BB432" i="21"/>
  <c r="BF432" i="21"/>
  <c r="BJ432" i="21"/>
  <c r="AH417" i="21"/>
  <c r="AL417" i="21"/>
  <c r="AP417" i="21"/>
  <c r="AT417" i="21"/>
  <c r="AX417" i="21"/>
  <c r="BB417" i="21"/>
  <c r="BF417" i="21"/>
  <c r="BJ417" i="21"/>
  <c r="AH416" i="21"/>
  <c r="AL416" i="21"/>
  <c r="AP416" i="21"/>
  <c r="AT416" i="21"/>
  <c r="AX416" i="21"/>
  <c r="BB416" i="21"/>
  <c r="BF416" i="21"/>
  <c r="BJ416" i="21"/>
  <c r="AH420" i="21"/>
  <c r="AL420" i="21"/>
  <c r="AP420" i="21"/>
  <c r="AT420" i="21"/>
  <c r="AX420" i="21"/>
  <c r="BB420" i="21"/>
  <c r="BF420" i="21"/>
  <c r="BJ420" i="21"/>
  <c r="AH490" i="21"/>
  <c r="AL490" i="21"/>
  <c r="AP490" i="21"/>
  <c r="AT490" i="21"/>
  <c r="AX490" i="21"/>
  <c r="BB490" i="21"/>
  <c r="BF490" i="21"/>
  <c r="BJ490" i="21"/>
  <c r="AH477" i="21"/>
  <c r="AL477" i="21"/>
  <c r="AP477" i="21"/>
  <c r="AT477" i="21"/>
  <c r="AX477" i="21"/>
  <c r="BB477" i="21"/>
  <c r="BF477" i="21"/>
  <c r="BJ477" i="21"/>
  <c r="AH495" i="21"/>
  <c r="AL495" i="21"/>
  <c r="AP495" i="21"/>
  <c r="AT495" i="21"/>
  <c r="AX495" i="21"/>
  <c r="BB495" i="21"/>
  <c r="BF495" i="21"/>
  <c r="BJ495" i="21"/>
  <c r="AH38" i="21"/>
  <c r="AL38" i="21"/>
  <c r="AP38" i="21"/>
  <c r="AT38" i="21"/>
  <c r="AX38" i="21"/>
  <c r="BB38" i="21"/>
  <c r="BF38" i="21"/>
  <c r="BJ38" i="21"/>
  <c r="AH37" i="21"/>
  <c r="AL37" i="21"/>
  <c r="AP37" i="21"/>
  <c r="AT37" i="21"/>
  <c r="AX37" i="21"/>
  <c r="BB37" i="21"/>
  <c r="BF37" i="21"/>
  <c r="BJ37" i="21"/>
  <c r="AH127" i="21"/>
  <c r="AL127" i="21"/>
  <c r="AP127" i="21"/>
  <c r="AT127" i="21"/>
  <c r="AX127" i="21"/>
  <c r="BB127" i="21"/>
  <c r="BF127" i="21"/>
  <c r="BJ127" i="21"/>
  <c r="AH124" i="21"/>
  <c r="AL124" i="21"/>
  <c r="AP124" i="21"/>
  <c r="AT124" i="21"/>
  <c r="AX124" i="21"/>
  <c r="BB124" i="21"/>
  <c r="BF124" i="21"/>
  <c r="BJ124" i="21"/>
  <c r="BE471" i="21"/>
  <c r="AQ128" i="21"/>
  <c r="AY358" i="21"/>
  <c r="AS47" i="21"/>
  <c r="BC65" i="21"/>
  <c r="AS93" i="21"/>
  <c r="AJ94" i="21"/>
  <c r="BK112" i="21"/>
  <c r="BA144" i="21"/>
  <c r="AL162" i="21"/>
  <c r="BF181" i="21"/>
  <c r="BK200" i="21"/>
  <c r="AI184" i="21"/>
  <c r="AP186" i="21"/>
  <c r="AL233" i="21"/>
  <c r="AH238" i="21"/>
  <c r="BJ251" i="21"/>
  <c r="BF249" i="21"/>
  <c r="BB245" i="21"/>
  <c r="AX259" i="21"/>
  <c r="AT248" i="21"/>
  <c r="AP260" i="21"/>
  <c r="AL281" i="21"/>
  <c r="AH299" i="21"/>
  <c r="BJ305" i="21"/>
  <c r="BF301" i="21"/>
  <c r="BB309" i="21"/>
  <c r="AX288" i="21"/>
  <c r="AT311" i="21"/>
  <c r="AP330" i="21"/>
  <c r="AL322" i="21"/>
  <c r="AH323" i="21"/>
  <c r="BJ317" i="21"/>
  <c r="BF335" i="21"/>
  <c r="BB313" i="21"/>
  <c r="AX346" i="21"/>
  <c r="AI320" i="21"/>
  <c r="BE320" i="21"/>
  <c r="AP343" i="21"/>
  <c r="BK343" i="21"/>
  <c r="AV349" i="21"/>
  <c r="AR351" i="21"/>
  <c r="BH351" i="21"/>
  <c r="AN350" i="21"/>
  <c r="BD350" i="21"/>
  <c r="AJ368" i="21"/>
  <c r="AZ368" i="21"/>
  <c r="AV408" i="21"/>
  <c r="AR406" i="21"/>
  <c r="BH406" i="21"/>
  <c r="AN411" i="21"/>
  <c r="BD411" i="21"/>
  <c r="AJ413" i="21"/>
  <c r="AZ413" i="21"/>
  <c r="AV392" i="21"/>
  <c r="AR391" i="21"/>
  <c r="BH391" i="21"/>
  <c r="AN423" i="21"/>
  <c r="BD423" i="21"/>
  <c r="AJ419" i="21"/>
  <c r="AZ419" i="21"/>
  <c r="AV426" i="21"/>
  <c r="AR463" i="21"/>
  <c r="BH463" i="21"/>
  <c r="AN446" i="21"/>
  <c r="BD446" i="21"/>
  <c r="AJ461" i="21"/>
  <c r="AZ461" i="21"/>
  <c r="AV452" i="21"/>
  <c r="AR274" i="21"/>
  <c r="BH274" i="21"/>
  <c r="AN444" i="21"/>
  <c r="BC444" i="21"/>
  <c r="BG444" i="21"/>
  <c r="BK444" i="21"/>
  <c r="AI478" i="21"/>
  <c r="AM478" i="21"/>
  <c r="AQ478" i="21"/>
  <c r="AU478" i="21"/>
  <c r="AY478" i="21"/>
  <c r="BC478" i="21"/>
  <c r="BG478" i="21"/>
  <c r="BK478" i="21"/>
  <c r="AI469" i="21"/>
  <c r="AM469" i="21"/>
  <c r="AQ469" i="21"/>
  <c r="AU469" i="21"/>
  <c r="AY469" i="21"/>
  <c r="BC469" i="21"/>
  <c r="BG469" i="21"/>
  <c r="BK469" i="21"/>
  <c r="AI474" i="21"/>
  <c r="AM474" i="21"/>
  <c r="AQ474" i="21"/>
  <c r="AU474" i="21"/>
  <c r="AY474" i="21"/>
  <c r="BC474" i="21"/>
  <c r="BG474" i="21"/>
  <c r="BK474" i="21"/>
  <c r="AI508" i="21"/>
  <c r="AM508" i="21"/>
  <c r="AQ508" i="21"/>
  <c r="AU508" i="21"/>
  <c r="AY508" i="21"/>
  <c r="BC508" i="21"/>
  <c r="BG508" i="21"/>
  <c r="BK508" i="21"/>
  <c r="AI511" i="21"/>
  <c r="AM511" i="21"/>
  <c r="AQ511" i="21"/>
  <c r="AU511" i="21"/>
  <c r="AY511" i="21"/>
  <c r="BC511" i="21"/>
  <c r="BG511" i="21"/>
  <c r="BK511" i="21"/>
  <c r="AI513" i="21"/>
  <c r="AM513" i="21"/>
  <c r="AQ513" i="21"/>
  <c r="AU513" i="21"/>
  <c r="AY513" i="21"/>
  <c r="BC513" i="21"/>
  <c r="BG513" i="21"/>
  <c r="BK513" i="21"/>
  <c r="AI17" i="21"/>
  <c r="AM17" i="21"/>
  <c r="AQ17" i="21"/>
  <c r="AU17" i="21"/>
  <c r="AY17" i="21"/>
  <c r="BC17" i="21"/>
  <c r="BG17" i="21"/>
  <c r="BK17" i="21"/>
  <c r="AI39" i="21"/>
  <c r="AM39" i="21"/>
  <c r="AQ39" i="21"/>
  <c r="AU39" i="21"/>
  <c r="AY39" i="21"/>
  <c r="BC39" i="21"/>
  <c r="BG39" i="21"/>
  <c r="BK39" i="21"/>
  <c r="AI31" i="21"/>
  <c r="AM31" i="21"/>
  <c r="AQ31" i="21"/>
  <c r="AU31" i="21"/>
  <c r="AY31" i="21"/>
  <c r="BC31" i="21"/>
  <c r="BG31" i="21"/>
  <c r="BK31" i="21"/>
  <c r="AI56" i="21"/>
  <c r="AM56" i="21"/>
  <c r="AQ56" i="21"/>
  <c r="AU56" i="21"/>
  <c r="AY56" i="21"/>
  <c r="BC56" i="21"/>
  <c r="BG56" i="21"/>
  <c r="BK56" i="21"/>
  <c r="AI98" i="21"/>
  <c r="AM98" i="21"/>
  <c r="AQ98" i="21"/>
  <c r="AU98" i="21"/>
  <c r="AY98" i="21"/>
  <c r="BC98" i="21"/>
  <c r="BG98" i="21"/>
  <c r="BK98" i="21"/>
  <c r="AI84" i="21"/>
  <c r="AM84" i="21"/>
  <c r="AQ84" i="21"/>
  <c r="AU84" i="21"/>
  <c r="AY84" i="21"/>
  <c r="BC84" i="21"/>
  <c r="BG84" i="21"/>
  <c r="BK84" i="21"/>
  <c r="AI109" i="21"/>
  <c r="AM109" i="21"/>
  <c r="AQ109" i="21"/>
  <c r="AU109" i="21"/>
  <c r="AY109" i="21"/>
  <c r="BC109" i="21"/>
  <c r="BG109" i="21"/>
  <c r="BK109" i="21"/>
  <c r="AI111" i="21"/>
  <c r="AM111" i="21"/>
  <c r="AQ111" i="21"/>
  <c r="AU111" i="21"/>
  <c r="AY111" i="21"/>
  <c r="BC111" i="21"/>
  <c r="BG111" i="21"/>
  <c r="BK111" i="21"/>
  <c r="AI136" i="21"/>
  <c r="AM136" i="21"/>
  <c r="AQ136" i="21"/>
  <c r="AU136" i="21"/>
  <c r="AY136" i="21"/>
  <c r="BC136" i="21"/>
  <c r="BG136" i="21"/>
  <c r="BK136" i="21"/>
  <c r="AI173" i="21"/>
  <c r="AM173" i="21"/>
  <c r="AQ173" i="21"/>
  <c r="AU173" i="21"/>
  <c r="AY173" i="21"/>
  <c r="BC173" i="21"/>
  <c r="BG173" i="21"/>
  <c r="BK173" i="21"/>
  <c r="AI204" i="21"/>
  <c r="AM204" i="21"/>
  <c r="AQ204" i="21"/>
  <c r="AU204" i="21"/>
  <c r="AY204" i="21"/>
  <c r="BC204" i="21"/>
  <c r="BG204" i="21"/>
  <c r="BK204" i="21"/>
  <c r="AI185" i="21"/>
  <c r="AM185" i="21"/>
  <c r="AQ185" i="21"/>
  <c r="AU185" i="21"/>
  <c r="AY185" i="21"/>
  <c r="BC185" i="21"/>
  <c r="BG185" i="21"/>
  <c r="BK185" i="21"/>
  <c r="AI214" i="21"/>
  <c r="AM214" i="21"/>
  <c r="AQ214" i="21"/>
  <c r="AU214" i="21"/>
  <c r="AY214" i="21"/>
  <c r="BC214" i="21"/>
  <c r="BG214" i="21"/>
  <c r="BK214" i="21"/>
  <c r="AI254" i="21"/>
  <c r="AM254" i="21"/>
  <c r="AQ254" i="21"/>
  <c r="AU254" i="21"/>
  <c r="AY254" i="21"/>
  <c r="BC254" i="21"/>
  <c r="BG254" i="21"/>
  <c r="BK254" i="21"/>
  <c r="AI250" i="21"/>
  <c r="AM250" i="21"/>
  <c r="AQ250" i="21"/>
  <c r="AU250" i="21"/>
  <c r="AY250" i="21"/>
  <c r="BC250" i="21"/>
  <c r="BG250" i="21"/>
  <c r="BK250" i="21"/>
  <c r="AI269" i="21"/>
  <c r="AM269" i="21"/>
  <c r="AQ269" i="21"/>
  <c r="AU269" i="21"/>
  <c r="AY269" i="21"/>
  <c r="BC269" i="21"/>
  <c r="BG269" i="21"/>
  <c r="BK269" i="21"/>
  <c r="AI296" i="21"/>
  <c r="AM296" i="21"/>
  <c r="AQ296" i="21"/>
  <c r="AU296" i="21"/>
  <c r="AY296" i="21"/>
  <c r="BC296" i="21"/>
  <c r="BG296" i="21"/>
  <c r="BK296" i="21"/>
  <c r="AI292" i="21"/>
  <c r="AM292" i="21"/>
  <c r="AQ292" i="21"/>
  <c r="AU292" i="21"/>
  <c r="AY292" i="21"/>
  <c r="BC292" i="21"/>
  <c r="BG292" i="21"/>
  <c r="BK292" i="21"/>
  <c r="AI293" i="21"/>
  <c r="AM293" i="21"/>
  <c r="AQ293" i="21"/>
  <c r="AU293" i="21"/>
  <c r="AY293" i="21"/>
  <c r="BC293" i="21"/>
  <c r="BG293" i="21"/>
  <c r="BK293" i="21"/>
  <c r="AI294" i="21"/>
  <c r="AM294" i="21"/>
  <c r="AQ294" i="21"/>
  <c r="AU294" i="21"/>
  <c r="AY294" i="21"/>
  <c r="BC294" i="21"/>
  <c r="BG294" i="21"/>
  <c r="BK294" i="21"/>
  <c r="AI295" i="21"/>
  <c r="AM295" i="21"/>
  <c r="AQ295" i="21"/>
  <c r="AU295" i="21"/>
  <c r="AY295" i="21"/>
  <c r="BC295" i="21"/>
  <c r="BG295" i="21"/>
  <c r="BK295" i="21"/>
  <c r="AI312" i="21"/>
  <c r="AM312" i="21"/>
  <c r="AQ312" i="21"/>
  <c r="AU312" i="21"/>
  <c r="AY312" i="21"/>
  <c r="BC312" i="21"/>
  <c r="BG312" i="21"/>
  <c r="BK312" i="21"/>
  <c r="AI331" i="21"/>
  <c r="AM331" i="21"/>
  <c r="AQ331" i="21"/>
  <c r="AU331" i="21"/>
  <c r="AY331" i="21"/>
  <c r="BC331" i="21"/>
  <c r="BG331" i="21"/>
  <c r="BK331" i="21"/>
  <c r="AI326" i="21"/>
  <c r="AM326" i="21"/>
  <c r="AQ326" i="21"/>
  <c r="AU326" i="21"/>
  <c r="AY326" i="21"/>
  <c r="BC326" i="21"/>
  <c r="BG326" i="21"/>
  <c r="BK326" i="21"/>
  <c r="AI319" i="21"/>
  <c r="AM319" i="21"/>
  <c r="AQ319" i="21"/>
  <c r="AU319" i="21"/>
  <c r="AY319" i="21"/>
  <c r="BC319" i="21"/>
  <c r="BG319" i="21"/>
  <c r="BK319" i="21"/>
  <c r="AI345" i="21"/>
  <c r="AM345" i="21"/>
  <c r="AQ345" i="21"/>
  <c r="AU345" i="21"/>
  <c r="AY345" i="21"/>
  <c r="BC345" i="21"/>
  <c r="BG345" i="21"/>
  <c r="BK345" i="21"/>
  <c r="AI376" i="21"/>
  <c r="AM376" i="21"/>
  <c r="AQ376" i="21"/>
  <c r="AU376" i="21"/>
  <c r="AY376" i="21"/>
  <c r="BC376" i="21"/>
  <c r="BG376" i="21"/>
  <c r="BK376" i="21"/>
  <c r="AI370" i="21"/>
  <c r="AM370" i="21"/>
  <c r="AQ370" i="21"/>
  <c r="AU370" i="21"/>
  <c r="AY370" i="21"/>
  <c r="BC370" i="21"/>
  <c r="BG370" i="21"/>
  <c r="BK370" i="21"/>
  <c r="AI372" i="21"/>
  <c r="AM372" i="21"/>
  <c r="AQ372" i="21"/>
  <c r="AU372" i="21"/>
  <c r="AY372" i="21"/>
  <c r="BC372" i="21"/>
  <c r="BG372" i="21"/>
  <c r="BK372" i="21"/>
  <c r="AI393" i="21"/>
  <c r="AM393" i="21"/>
  <c r="AQ393" i="21"/>
  <c r="AU393" i="21"/>
  <c r="AY393" i="21"/>
  <c r="BC393" i="21"/>
  <c r="BG393" i="21"/>
  <c r="BK393" i="21"/>
  <c r="AI399" i="21"/>
  <c r="AM399" i="21"/>
  <c r="AQ399" i="21"/>
  <c r="AU399" i="21"/>
  <c r="AY399" i="21"/>
  <c r="BC399" i="21"/>
  <c r="BG399" i="21"/>
  <c r="BK399" i="21"/>
  <c r="AI414" i="21"/>
  <c r="AM414" i="21"/>
  <c r="AQ414" i="21"/>
  <c r="AU414" i="21"/>
  <c r="AY414" i="21"/>
  <c r="BC414" i="21"/>
  <c r="BG414" i="21"/>
  <c r="BK414" i="21"/>
  <c r="AI432" i="21"/>
  <c r="AM432" i="21"/>
  <c r="AQ432" i="21"/>
  <c r="AU432" i="21"/>
  <c r="AY432" i="21"/>
  <c r="BC432" i="21"/>
  <c r="BG432" i="21"/>
  <c r="BK432" i="21"/>
  <c r="AI417" i="21"/>
  <c r="AM417" i="21"/>
  <c r="AQ417" i="21"/>
  <c r="AU417" i="21"/>
  <c r="AY417" i="21"/>
  <c r="BC417" i="21"/>
  <c r="BG417" i="21"/>
  <c r="BK417" i="21"/>
  <c r="AI416" i="21"/>
  <c r="AM416" i="21"/>
  <c r="AQ416" i="21"/>
  <c r="AU416" i="21"/>
  <c r="AY416" i="21"/>
  <c r="BC416" i="21"/>
  <c r="BG416" i="21"/>
  <c r="BK416" i="21"/>
  <c r="AI420" i="21"/>
  <c r="AM420" i="21"/>
  <c r="AQ420" i="21"/>
  <c r="AU420" i="21"/>
  <c r="AY420" i="21"/>
  <c r="BC420" i="21"/>
  <c r="BG420" i="21"/>
  <c r="BK420" i="21"/>
  <c r="AI490" i="21"/>
  <c r="AM490" i="21"/>
  <c r="AQ490" i="21"/>
  <c r="AU490" i="21"/>
  <c r="AY490" i="21"/>
  <c r="BC490" i="21"/>
  <c r="BG490" i="21"/>
  <c r="BK490" i="21"/>
  <c r="AI477" i="21"/>
  <c r="AM477" i="21"/>
  <c r="AQ477" i="21"/>
  <c r="AU477" i="21"/>
  <c r="AY477" i="21"/>
  <c r="BC477" i="21"/>
  <c r="BG477" i="21"/>
  <c r="BK477" i="21"/>
  <c r="AI495" i="21"/>
  <c r="AM495" i="21"/>
  <c r="AQ495" i="21"/>
  <c r="AU495" i="21"/>
  <c r="AY495" i="21"/>
  <c r="BC495" i="21"/>
  <c r="BG495" i="21"/>
  <c r="BK495" i="21"/>
  <c r="AI38" i="21"/>
  <c r="AM38" i="21"/>
  <c r="AQ38" i="21"/>
  <c r="AU38" i="21"/>
  <c r="AY38" i="21"/>
  <c r="BC38" i="21"/>
  <c r="BG38" i="21"/>
  <c r="BK38" i="21"/>
  <c r="AI37" i="21"/>
  <c r="AM37" i="21"/>
  <c r="AQ37" i="21"/>
  <c r="AU37" i="21"/>
  <c r="AY37" i="21"/>
  <c r="BC37" i="21"/>
  <c r="BG37" i="21"/>
  <c r="BK37" i="21"/>
  <c r="AI127" i="21"/>
  <c r="AM127" i="21"/>
  <c r="AQ127" i="21"/>
  <c r="AU127" i="21"/>
  <c r="AY127" i="21"/>
  <c r="BC127" i="21"/>
  <c r="BG127" i="21"/>
  <c r="BK127" i="21"/>
  <c r="AI124" i="21"/>
  <c r="AM124" i="21"/>
  <c r="AQ124" i="21"/>
  <c r="AU124" i="21"/>
  <c r="AY124" i="21"/>
  <c r="BC124" i="21"/>
  <c r="BG124" i="21"/>
  <c r="BK124" i="21"/>
  <c r="AI163" i="21"/>
  <c r="AM163" i="21"/>
  <c r="AQ163" i="21"/>
  <c r="AU163" i="21"/>
  <c r="AY163" i="21"/>
  <c r="BC163" i="21"/>
  <c r="BG163" i="21"/>
  <c r="BK163" i="21"/>
  <c r="AI191" i="21"/>
  <c r="AM191" i="21"/>
  <c r="AQ191" i="21"/>
  <c r="AU191" i="21"/>
  <c r="AY191" i="21"/>
  <c r="BC191" i="21"/>
  <c r="BG191" i="21"/>
  <c r="BK191" i="21"/>
  <c r="AI229" i="21"/>
  <c r="AM229" i="21"/>
  <c r="AQ229" i="21"/>
  <c r="AU229" i="21"/>
  <c r="AY229" i="21"/>
  <c r="BC229" i="21"/>
  <c r="BG229" i="21"/>
  <c r="BK229" i="21"/>
  <c r="AI253" i="21"/>
  <c r="AM253" i="21"/>
  <c r="AQ253" i="21"/>
  <c r="AU253" i="21"/>
  <c r="AY253" i="21"/>
  <c r="BC253" i="21"/>
  <c r="BG253" i="21"/>
  <c r="BK253" i="21"/>
  <c r="AI244" i="21"/>
  <c r="AM244" i="21"/>
  <c r="AQ244" i="21"/>
  <c r="AU244" i="21"/>
  <c r="AY244" i="21"/>
  <c r="BC244" i="21"/>
  <c r="BG244" i="21"/>
  <c r="BK244" i="21"/>
  <c r="AI247" i="21"/>
  <c r="AM247" i="21"/>
  <c r="AQ247" i="21"/>
  <c r="AU247" i="21"/>
  <c r="AY247" i="21"/>
  <c r="BC247" i="21"/>
  <c r="BG247" i="21"/>
  <c r="BK247" i="21"/>
  <c r="AI316" i="21"/>
  <c r="AM316" i="21"/>
  <c r="AQ316" i="21"/>
  <c r="AU316" i="21"/>
  <c r="AY316" i="21"/>
  <c r="BC316" i="21"/>
  <c r="BG316" i="21"/>
  <c r="BK316" i="21"/>
  <c r="BG60" i="21"/>
  <c r="BJ40" i="21"/>
  <c r="AX168" i="21"/>
  <c r="BI76" i="21"/>
  <c r="AZ95" i="21"/>
  <c r="AQ106" i="21"/>
  <c r="AX175" i="21"/>
  <c r="BJ162" i="21"/>
  <c r="AM206" i="21"/>
  <c r="AT184" i="21"/>
  <c r="AX186" i="21"/>
  <c r="AT233" i="21"/>
  <c r="AP238" i="21"/>
  <c r="AL251" i="21"/>
  <c r="AH249" i="21"/>
  <c r="BJ245" i="21"/>
  <c r="BF259" i="21"/>
  <c r="BB248" i="21"/>
  <c r="AX260" i="21"/>
  <c r="AT281" i="21"/>
  <c r="AP299" i="21"/>
  <c r="AL305" i="21"/>
  <c r="AH301" i="21"/>
  <c r="BJ309" i="21"/>
  <c r="BF288" i="21"/>
  <c r="BB311" i="21"/>
  <c r="AX330" i="21"/>
  <c r="AT322" i="21"/>
  <c r="AP323" i="21"/>
  <c r="AL317" i="21"/>
  <c r="AH335" i="21"/>
  <c r="BJ313" i="21"/>
  <c r="BC346" i="21"/>
  <c r="AO320" i="21"/>
  <c r="BJ320" i="21"/>
  <c r="AU343" i="21"/>
  <c r="AZ349" i="21"/>
  <c r="AV351" i="21"/>
  <c r="AR350" i="21"/>
  <c r="BH350" i="21"/>
  <c r="AN368" i="21"/>
  <c r="BD368" i="21"/>
  <c r="AJ408" i="21"/>
  <c r="AZ408" i="21"/>
  <c r="AV406" i="21"/>
  <c r="AR411" i="21"/>
  <c r="BH411" i="21"/>
  <c r="AN413" i="21"/>
  <c r="BD413" i="21"/>
  <c r="AJ392" i="21"/>
  <c r="AZ392" i="21"/>
  <c r="AV391" i="21"/>
  <c r="AR423" i="21"/>
  <c r="BH423" i="21"/>
  <c r="AN419" i="21"/>
  <c r="BD419" i="21"/>
  <c r="AJ426" i="21"/>
  <c r="AZ426" i="21"/>
  <c r="AV463" i="21"/>
  <c r="AR446" i="21"/>
  <c r="BH446" i="21"/>
  <c r="AN461" i="21"/>
  <c r="BD461" i="21"/>
  <c r="AJ452" i="21"/>
  <c r="AZ452" i="21"/>
  <c r="AV274" i="21"/>
  <c r="AR444" i="21"/>
  <c r="BD444" i="21"/>
  <c r="BH444" i="21"/>
  <c r="AJ478" i="21"/>
  <c r="AN478" i="21"/>
  <c r="AR478" i="21"/>
  <c r="AV478" i="21"/>
  <c r="AZ478" i="21"/>
  <c r="BD478" i="21"/>
  <c r="BH478" i="21"/>
  <c r="AJ469" i="21"/>
  <c r="AN469" i="21"/>
  <c r="AR469" i="21"/>
  <c r="AV469" i="21"/>
  <c r="AZ469" i="21"/>
  <c r="BD469" i="21"/>
  <c r="BH469" i="21"/>
  <c r="AJ474" i="21"/>
  <c r="AN474" i="21"/>
  <c r="AR474" i="21"/>
  <c r="AV474" i="21"/>
  <c r="AZ474" i="21"/>
  <c r="BD474" i="21"/>
  <c r="BH474" i="21"/>
  <c r="AJ508" i="21"/>
  <c r="AN508" i="21"/>
  <c r="AR508" i="21"/>
  <c r="AV508" i="21"/>
  <c r="AZ508" i="21"/>
  <c r="BD508" i="21"/>
  <c r="BH508" i="21"/>
  <c r="AJ511" i="21"/>
  <c r="AN511" i="21"/>
  <c r="AR511" i="21"/>
  <c r="AV511" i="21"/>
  <c r="AZ511" i="21"/>
  <c r="BD511" i="21"/>
  <c r="BH511" i="21"/>
  <c r="AJ513" i="21"/>
  <c r="AN513" i="21"/>
  <c r="AR513" i="21"/>
  <c r="AV513" i="21"/>
  <c r="AZ513" i="21"/>
  <c r="BD513" i="21"/>
  <c r="BH513" i="21"/>
  <c r="AJ17" i="21"/>
  <c r="AN17" i="21"/>
  <c r="AR17" i="21"/>
  <c r="AV17" i="21"/>
  <c r="AZ17" i="21"/>
  <c r="BD17" i="21"/>
  <c r="BH17" i="21"/>
  <c r="AJ39" i="21"/>
  <c r="AN39" i="21"/>
  <c r="AR39" i="21"/>
  <c r="AV39" i="21"/>
  <c r="AZ39" i="21"/>
  <c r="BD39" i="21"/>
  <c r="BH39" i="21"/>
  <c r="AJ31" i="21"/>
  <c r="AN31" i="21"/>
  <c r="AR31" i="21"/>
  <c r="AV31" i="21"/>
  <c r="AZ31" i="21"/>
  <c r="BD31" i="21"/>
  <c r="BH31" i="21"/>
  <c r="AJ56" i="21"/>
  <c r="AN56" i="21"/>
  <c r="AR56" i="21"/>
  <c r="AV56" i="21"/>
  <c r="AZ56" i="21"/>
  <c r="BD56" i="21"/>
  <c r="BH56" i="21"/>
  <c r="AJ98" i="21"/>
  <c r="AN98" i="21"/>
  <c r="AR98" i="21"/>
  <c r="AV98" i="21"/>
  <c r="AZ98" i="21"/>
  <c r="BD98" i="21"/>
  <c r="BH98" i="21"/>
  <c r="AJ84" i="21"/>
  <c r="AN84" i="21"/>
  <c r="AR84" i="21"/>
  <c r="AV84" i="21"/>
  <c r="AZ84" i="21"/>
  <c r="BD84" i="21"/>
  <c r="BH84" i="21"/>
  <c r="AJ109" i="21"/>
  <c r="AN109" i="21"/>
  <c r="AR109" i="21"/>
  <c r="AV109" i="21"/>
  <c r="AZ109" i="21"/>
  <c r="BD109" i="21"/>
  <c r="BH109" i="21"/>
  <c r="AJ111" i="21"/>
  <c r="AN111" i="21"/>
  <c r="AR111" i="21"/>
  <c r="AV111" i="21"/>
  <c r="AZ111" i="21"/>
  <c r="BD111" i="21"/>
  <c r="BH111" i="21"/>
  <c r="AJ136" i="21"/>
  <c r="AN136" i="21"/>
  <c r="AR136" i="21"/>
  <c r="AV136" i="21"/>
  <c r="AZ136" i="21"/>
  <c r="BD136" i="21"/>
  <c r="BH136" i="21"/>
  <c r="AJ173" i="21"/>
  <c r="AN173" i="21"/>
  <c r="AR173" i="21"/>
  <c r="AV173" i="21"/>
  <c r="AZ173" i="21"/>
  <c r="BD173" i="21"/>
  <c r="BH173" i="21"/>
  <c r="AJ204" i="21"/>
  <c r="AN204" i="21"/>
  <c r="AR204" i="21"/>
  <c r="AV204" i="21"/>
  <c r="AZ204" i="21"/>
  <c r="BD204" i="21"/>
  <c r="BH204" i="21"/>
  <c r="AJ185" i="21"/>
  <c r="AN185" i="21"/>
  <c r="AR185" i="21"/>
  <c r="AV185" i="21"/>
  <c r="AZ185" i="21"/>
  <c r="BD185" i="21"/>
  <c r="BH185" i="21"/>
  <c r="AJ214" i="21"/>
  <c r="AN214" i="21"/>
  <c r="AR214" i="21"/>
  <c r="AV214" i="21"/>
  <c r="AZ214" i="21"/>
  <c r="BD214" i="21"/>
  <c r="BH214" i="21"/>
  <c r="AJ254" i="21"/>
  <c r="AN254" i="21"/>
  <c r="AR254" i="21"/>
  <c r="AV254" i="21"/>
  <c r="AZ254" i="21"/>
  <c r="BD254" i="21"/>
  <c r="BH254" i="21"/>
  <c r="AJ250" i="21"/>
  <c r="AN250" i="21"/>
  <c r="AR250" i="21"/>
  <c r="AV250" i="21"/>
  <c r="AZ250" i="21"/>
  <c r="BD250" i="21"/>
  <c r="BH250" i="21"/>
  <c r="AJ269" i="21"/>
  <c r="AN269" i="21"/>
  <c r="AR269" i="21"/>
  <c r="AV269" i="21"/>
  <c r="AZ269" i="21"/>
  <c r="BD269" i="21"/>
  <c r="BH269" i="21"/>
  <c r="AJ296" i="21"/>
  <c r="AN296" i="21"/>
  <c r="AR296" i="21"/>
  <c r="AV296" i="21"/>
  <c r="AZ296" i="21"/>
  <c r="BD296" i="21"/>
  <c r="BH296" i="21"/>
  <c r="AJ292" i="21"/>
  <c r="AN292" i="21"/>
  <c r="AR292" i="21"/>
  <c r="AV292" i="21"/>
  <c r="AZ292" i="21"/>
  <c r="BD292" i="21"/>
  <c r="BH292" i="21"/>
  <c r="AJ293" i="21"/>
  <c r="AN293" i="21"/>
  <c r="AR293" i="21"/>
  <c r="AV293" i="21"/>
  <c r="AZ293" i="21"/>
  <c r="BD293" i="21"/>
  <c r="BH293" i="21"/>
  <c r="AJ294" i="21"/>
  <c r="AN294" i="21"/>
  <c r="AR294" i="21"/>
  <c r="AV294" i="21"/>
  <c r="AZ294" i="21"/>
  <c r="BD294" i="21"/>
  <c r="BH294" i="21"/>
  <c r="AJ295" i="21"/>
  <c r="AN295" i="21"/>
  <c r="AR295" i="21"/>
  <c r="AV295" i="21"/>
  <c r="AZ295" i="21"/>
  <c r="BD295" i="21"/>
  <c r="BH295" i="21"/>
  <c r="AJ312" i="21"/>
  <c r="AN312" i="21"/>
  <c r="AR312" i="21"/>
  <c r="AV312" i="21"/>
  <c r="AZ312" i="21"/>
  <c r="BD312" i="21"/>
  <c r="BH312" i="21"/>
  <c r="AJ331" i="21"/>
  <c r="AN331" i="21"/>
  <c r="AR331" i="21"/>
  <c r="AV331" i="21"/>
  <c r="AZ331" i="21"/>
  <c r="BD331" i="21"/>
  <c r="BH331" i="21"/>
  <c r="AJ326" i="21"/>
  <c r="AN326" i="21"/>
  <c r="AR326" i="21"/>
  <c r="AV326" i="21"/>
  <c r="AZ326" i="21"/>
  <c r="BD326" i="21"/>
  <c r="BH326" i="21"/>
  <c r="AJ319" i="21"/>
  <c r="AN319" i="21"/>
  <c r="AR319" i="21"/>
  <c r="AV319" i="21"/>
  <c r="AZ319" i="21"/>
  <c r="BD319" i="21"/>
  <c r="BH319" i="21"/>
  <c r="AJ345" i="21"/>
  <c r="AN345" i="21"/>
  <c r="AR345" i="21"/>
  <c r="AV345" i="21"/>
  <c r="AZ345" i="21"/>
  <c r="BD345" i="21"/>
  <c r="BH345" i="21"/>
  <c r="AJ376" i="21"/>
  <c r="AN376" i="21"/>
  <c r="AR376" i="21"/>
  <c r="AV376" i="21"/>
  <c r="AZ376" i="21"/>
  <c r="BD376" i="21"/>
  <c r="BH376" i="21"/>
  <c r="AJ370" i="21"/>
  <c r="AN370" i="21"/>
  <c r="AR370" i="21"/>
  <c r="AV370" i="21"/>
  <c r="AZ370" i="21"/>
  <c r="BD370" i="21"/>
  <c r="BH370" i="21"/>
  <c r="AJ372" i="21"/>
  <c r="AN372" i="21"/>
  <c r="AR372" i="21"/>
  <c r="AV372" i="21"/>
  <c r="AZ372" i="21"/>
  <c r="BD372" i="21"/>
  <c r="BH372" i="21"/>
  <c r="AJ393" i="21"/>
  <c r="AN393" i="21"/>
  <c r="AR393" i="21"/>
  <c r="AV393" i="21"/>
  <c r="AZ393" i="21"/>
  <c r="BD393" i="21"/>
  <c r="BH393" i="21"/>
  <c r="AJ399" i="21"/>
  <c r="AN399" i="21"/>
  <c r="AR399" i="21"/>
  <c r="AV399" i="21"/>
  <c r="AZ399" i="21"/>
  <c r="BD399" i="21"/>
  <c r="BH399" i="21"/>
  <c r="AJ414" i="21"/>
  <c r="AN414" i="21"/>
  <c r="AR414" i="21"/>
  <c r="AV414" i="21"/>
  <c r="AZ414" i="21"/>
  <c r="BD414" i="21"/>
  <c r="BH414" i="21"/>
  <c r="AJ432" i="21"/>
  <c r="AN432" i="21"/>
  <c r="AR432" i="21"/>
  <c r="AV432" i="21"/>
  <c r="AZ432" i="21"/>
  <c r="BD432" i="21"/>
  <c r="BH432" i="21"/>
  <c r="AJ417" i="21"/>
  <c r="AN417" i="21"/>
  <c r="AR417" i="21"/>
  <c r="AV417" i="21"/>
  <c r="AZ417" i="21"/>
  <c r="BD417" i="21"/>
  <c r="BH417" i="21"/>
  <c r="AJ416" i="21"/>
  <c r="AN416" i="21"/>
  <c r="AR416" i="21"/>
  <c r="AV416" i="21"/>
  <c r="AZ416" i="21"/>
  <c r="BD416" i="21"/>
  <c r="BH416" i="21"/>
  <c r="AJ420" i="21"/>
  <c r="AN420" i="21"/>
  <c r="AR420" i="21"/>
  <c r="AV420" i="21"/>
  <c r="AZ420" i="21"/>
  <c r="BD420" i="21"/>
  <c r="BH420" i="21"/>
  <c r="AJ490" i="21"/>
  <c r="AN490" i="21"/>
  <c r="AR490" i="21"/>
  <c r="AV490" i="21"/>
  <c r="AZ490" i="21"/>
  <c r="BD490" i="21"/>
  <c r="BH490" i="21"/>
  <c r="AJ477" i="21"/>
  <c r="AN477" i="21"/>
  <c r="AR477" i="21"/>
  <c r="AV477" i="21"/>
  <c r="AZ477" i="21"/>
  <c r="BD477" i="21"/>
  <c r="BH477" i="21"/>
  <c r="AJ495" i="21"/>
  <c r="AN495" i="21"/>
  <c r="AR495" i="21"/>
  <c r="AV495" i="21"/>
  <c r="AZ495" i="21"/>
  <c r="BD495" i="21"/>
  <c r="BH495" i="21"/>
  <c r="AH290" i="21"/>
  <c r="AY73" i="21"/>
  <c r="AN143" i="21"/>
  <c r="AX206" i="21"/>
  <c r="AX238" i="21"/>
  <c r="AH259" i="21"/>
  <c r="BB281" i="21"/>
  <c r="AL309" i="21"/>
  <c r="BF330" i="21"/>
  <c r="AP335" i="21"/>
  <c r="AT320" i="21"/>
  <c r="BD349" i="21"/>
  <c r="AV350" i="21"/>
  <c r="AN408" i="21"/>
  <c r="BH413" i="21"/>
  <c r="AZ391" i="21"/>
  <c r="AR419" i="21"/>
  <c r="AJ463" i="21"/>
  <c r="BD452" i="21"/>
  <c r="AV444" i="21"/>
  <c r="AW478" i="21"/>
  <c r="AS469" i="21"/>
  <c r="BI469" i="21"/>
  <c r="AK474" i="21"/>
  <c r="BA474" i="21"/>
  <c r="AW508" i="21"/>
  <c r="AS511" i="21"/>
  <c r="BI511" i="21"/>
  <c r="AO513" i="21"/>
  <c r="BE513" i="21"/>
  <c r="AS17" i="21"/>
  <c r="BI17" i="21"/>
  <c r="AO39" i="21"/>
  <c r="BE39" i="21"/>
  <c r="AK31" i="21"/>
  <c r="BA31" i="21"/>
  <c r="AW56" i="21"/>
  <c r="AS98" i="21"/>
  <c r="BI98" i="21"/>
  <c r="AO84" i="21"/>
  <c r="BE84" i="21"/>
  <c r="AK109" i="21"/>
  <c r="BA109" i="21"/>
  <c r="AW111" i="21"/>
  <c r="AS136" i="21"/>
  <c r="BI136" i="21"/>
  <c r="AO173" i="21"/>
  <c r="BE173" i="21"/>
  <c r="AK204" i="21"/>
  <c r="BA204" i="21"/>
  <c r="AW185" i="21"/>
  <c r="AS214" i="21"/>
  <c r="BI214" i="21"/>
  <c r="AO254" i="21"/>
  <c r="BE254" i="21"/>
  <c r="AK250" i="21"/>
  <c r="BA250" i="21"/>
  <c r="AW269" i="21"/>
  <c r="AS296" i="21"/>
  <c r="BI296" i="21"/>
  <c r="AO292" i="21"/>
  <c r="BE292" i="21"/>
  <c r="AK293" i="21"/>
  <c r="BA293" i="21"/>
  <c r="AW294" i="21"/>
  <c r="AS295" i="21"/>
  <c r="BI295" i="21"/>
  <c r="AO312" i="21"/>
  <c r="BE312" i="21"/>
  <c r="AK331" i="21"/>
  <c r="BA331" i="21"/>
  <c r="AW326" i="21"/>
  <c r="AS319" i="21"/>
  <c r="BI319" i="21"/>
  <c r="AO345" i="21"/>
  <c r="BE345" i="21"/>
  <c r="AK376" i="21"/>
  <c r="BA376" i="21"/>
  <c r="AW370" i="21"/>
  <c r="AS372" i="21"/>
  <c r="BI372" i="21"/>
  <c r="AO393" i="21"/>
  <c r="BE393" i="21"/>
  <c r="AK399" i="21"/>
  <c r="BA399" i="21"/>
  <c r="AW414" i="21"/>
  <c r="AS432" i="21"/>
  <c r="BI432" i="21"/>
  <c r="AO417" i="21"/>
  <c r="BE417" i="21"/>
  <c r="AK416" i="21"/>
  <c r="BA416" i="21"/>
  <c r="AW420" i="21"/>
  <c r="AS490" i="21"/>
  <c r="BI490" i="21"/>
  <c r="AO477" i="21"/>
  <c r="BE477" i="21"/>
  <c r="AK495" i="21"/>
  <c r="BA495" i="21"/>
  <c r="AJ38" i="21"/>
  <c r="AR38" i="21"/>
  <c r="AZ38" i="21"/>
  <c r="BH38" i="21"/>
  <c r="AN37" i="21"/>
  <c r="AV37" i="21"/>
  <c r="BD37" i="21"/>
  <c r="AJ127" i="21"/>
  <c r="AR127" i="21"/>
  <c r="AZ127" i="21"/>
  <c r="BH127" i="21"/>
  <c r="AN124" i="21"/>
  <c r="AV124" i="21"/>
  <c r="BD124" i="21"/>
  <c r="AH163" i="21"/>
  <c r="AN163" i="21"/>
  <c r="AS163" i="21"/>
  <c r="AX163" i="21"/>
  <c r="BD163" i="21"/>
  <c r="BI163" i="21"/>
  <c r="AJ191" i="21"/>
  <c r="AO191" i="21"/>
  <c r="AT191" i="21"/>
  <c r="AZ191" i="21"/>
  <c r="BE191" i="21"/>
  <c r="BJ191" i="21"/>
  <c r="AK229" i="21"/>
  <c r="AP229" i="21"/>
  <c r="AV229" i="21"/>
  <c r="BA229" i="21"/>
  <c r="BF229" i="21"/>
  <c r="AL253" i="21"/>
  <c r="AR253" i="21"/>
  <c r="AW253" i="21"/>
  <c r="BB253" i="21"/>
  <c r="BH253" i="21"/>
  <c r="AH244" i="21"/>
  <c r="AN244" i="21"/>
  <c r="AS244" i="21"/>
  <c r="AX244" i="21"/>
  <c r="BD244" i="21"/>
  <c r="BI244" i="21"/>
  <c r="AJ247" i="21"/>
  <c r="AO247" i="21"/>
  <c r="AT247" i="21"/>
  <c r="AZ247" i="21"/>
  <c r="BE247" i="21"/>
  <c r="BJ247" i="21"/>
  <c r="AK316" i="21"/>
  <c r="AP316" i="21"/>
  <c r="AV316" i="21"/>
  <c r="BA316" i="21"/>
  <c r="BF316" i="21"/>
  <c r="AJ361" i="21"/>
  <c r="AN361" i="21"/>
  <c r="AR361" i="21"/>
  <c r="AV361" i="21"/>
  <c r="AZ361" i="21"/>
  <c r="BD361" i="21"/>
  <c r="BH361" i="21"/>
  <c r="AJ409" i="21"/>
  <c r="AN409" i="21"/>
  <c r="AR409" i="21"/>
  <c r="AV409" i="21"/>
  <c r="AZ409" i="21"/>
  <c r="BD409" i="21"/>
  <c r="BH409" i="21"/>
  <c r="AJ396" i="21"/>
  <c r="AN396" i="21"/>
  <c r="AR396" i="21"/>
  <c r="AV396" i="21"/>
  <c r="AZ396" i="21"/>
  <c r="BD396" i="21"/>
  <c r="BH396" i="21"/>
  <c r="AJ398" i="21"/>
  <c r="AN398" i="21"/>
  <c r="AR398" i="21"/>
  <c r="AV398" i="21"/>
  <c r="AZ398" i="21"/>
  <c r="BD398" i="21"/>
  <c r="BH398" i="21"/>
  <c r="AJ407" i="21"/>
  <c r="AN407" i="21"/>
  <c r="AR407" i="21"/>
  <c r="AV407" i="21"/>
  <c r="AZ407" i="21"/>
  <c r="BD407" i="21"/>
  <c r="BH407" i="21"/>
  <c r="AJ451" i="21"/>
  <c r="AN451" i="21"/>
  <c r="AR451" i="21"/>
  <c r="AV451" i="21"/>
  <c r="AZ451" i="21"/>
  <c r="BD451" i="21"/>
  <c r="BH451" i="21"/>
  <c r="AJ458" i="21"/>
  <c r="AN458" i="21"/>
  <c r="AR458" i="21"/>
  <c r="AV458" i="21"/>
  <c r="AZ458" i="21"/>
  <c r="BD458" i="21"/>
  <c r="BH458" i="21"/>
  <c r="AJ472" i="21"/>
  <c r="AN472" i="21"/>
  <c r="AR472" i="21"/>
  <c r="AV472" i="21"/>
  <c r="AZ472" i="21"/>
  <c r="BD472" i="21"/>
  <c r="BH472" i="21"/>
  <c r="AJ496" i="21"/>
  <c r="AN496" i="21"/>
  <c r="AR496" i="21"/>
  <c r="AV496" i="21"/>
  <c r="AZ496" i="21"/>
  <c r="BD496" i="21"/>
  <c r="BH496" i="21"/>
  <c r="AJ512" i="21"/>
  <c r="AN512" i="21"/>
  <c r="AR512" i="21"/>
  <c r="AV512" i="21"/>
  <c r="AZ512" i="21"/>
  <c r="BD512" i="21"/>
  <c r="BH512" i="21"/>
  <c r="AJ501" i="21"/>
  <c r="AN501" i="21"/>
  <c r="AR501" i="21"/>
  <c r="AV501" i="21"/>
  <c r="AZ501" i="21"/>
  <c r="BD501" i="21"/>
  <c r="BH501" i="21"/>
  <c r="AJ46" i="21"/>
  <c r="AN46" i="21"/>
  <c r="AR46" i="21"/>
  <c r="AV46" i="21"/>
  <c r="AZ46" i="21"/>
  <c r="BD46" i="21"/>
  <c r="BH46" i="21"/>
  <c r="AJ58" i="21"/>
  <c r="AN58" i="21"/>
  <c r="AR58" i="21"/>
  <c r="AV58" i="21"/>
  <c r="AZ58" i="21"/>
  <c r="BD58" i="21"/>
  <c r="BH58" i="21"/>
  <c r="AJ83" i="21"/>
  <c r="AN83" i="21"/>
  <c r="AR83" i="21"/>
  <c r="AV83" i="21"/>
  <c r="AZ83" i="21"/>
  <c r="BD83" i="21"/>
  <c r="BH83" i="21"/>
  <c r="AJ105" i="21"/>
  <c r="AN105" i="21"/>
  <c r="AR105" i="21"/>
  <c r="AV105" i="21"/>
  <c r="AZ105" i="21"/>
  <c r="BD105" i="21"/>
  <c r="BH105" i="21"/>
  <c r="AJ145" i="21"/>
  <c r="AN145" i="21"/>
  <c r="AR145" i="21"/>
  <c r="AV145" i="21"/>
  <c r="AZ145" i="21"/>
  <c r="BD145" i="21"/>
  <c r="BH145" i="21"/>
  <c r="AJ177" i="21"/>
  <c r="AN177" i="21"/>
  <c r="AR177" i="21"/>
  <c r="AV177" i="21"/>
  <c r="AZ177" i="21"/>
  <c r="BD177" i="21"/>
  <c r="BH177" i="21"/>
  <c r="AJ164" i="21"/>
  <c r="AN164" i="21"/>
  <c r="AR164" i="21"/>
  <c r="AV164" i="21"/>
  <c r="AZ164" i="21"/>
  <c r="BD164" i="21"/>
  <c r="BH164" i="21"/>
  <c r="AJ189" i="21"/>
  <c r="AN189" i="21"/>
  <c r="AR189" i="21"/>
  <c r="AV189" i="21"/>
  <c r="AZ189" i="21"/>
  <c r="BD189" i="21"/>
  <c r="BH189" i="21"/>
  <c r="AJ209" i="21"/>
  <c r="AN209" i="21"/>
  <c r="AR209" i="21"/>
  <c r="AV209" i="21"/>
  <c r="AZ209" i="21"/>
  <c r="BD209" i="21"/>
  <c r="BH209" i="21"/>
  <c r="AJ304" i="21"/>
  <c r="AN304" i="21"/>
  <c r="AR304" i="21"/>
  <c r="AV304" i="21"/>
  <c r="AZ304" i="21"/>
  <c r="BD304" i="21"/>
  <c r="BH304" i="21"/>
  <c r="AJ334" i="21"/>
  <c r="AN334" i="21"/>
  <c r="AR334" i="21"/>
  <c r="AV334" i="21"/>
  <c r="AZ334" i="21"/>
  <c r="BD334" i="21"/>
  <c r="BH334" i="21"/>
  <c r="AJ337" i="21"/>
  <c r="AN337" i="21"/>
  <c r="AR337" i="21"/>
  <c r="AV337" i="21"/>
  <c r="AZ337" i="21"/>
  <c r="BD337" i="21"/>
  <c r="BH337" i="21"/>
  <c r="AJ374" i="21"/>
  <c r="AN374" i="21"/>
  <c r="AR374" i="21"/>
  <c r="AV374" i="21"/>
  <c r="AZ374" i="21"/>
  <c r="BD374" i="21"/>
  <c r="BH374" i="21"/>
  <c r="AJ371" i="21"/>
  <c r="AN371" i="21"/>
  <c r="AR371" i="21"/>
  <c r="AV371" i="21"/>
  <c r="AZ371" i="21"/>
  <c r="BD371" i="21"/>
  <c r="BH371" i="21"/>
  <c r="AJ390" i="21"/>
  <c r="AN390" i="21"/>
  <c r="AR390" i="21"/>
  <c r="AV390" i="21"/>
  <c r="AZ390" i="21"/>
  <c r="BD390" i="21"/>
  <c r="BH390" i="21"/>
  <c r="AJ404" i="21"/>
  <c r="AN404" i="21"/>
  <c r="AR404" i="21"/>
  <c r="AV404" i="21"/>
  <c r="AZ404" i="21"/>
  <c r="BD404" i="21"/>
  <c r="BH404" i="21"/>
  <c r="AJ397" i="21"/>
  <c r="AN397" i="21"/>
  <c r="AR397" i="21"/>
  <c r="AV397" i="21"/>
  <c r="AZ397" i="21"/>
  <c r="BD397" i="21"/>
  <c r="BH397" i="21"/>
  <c r="AJ437" i="21"/>
  <c r="AN437" i="21"/>
  <c r="AR437" i="21"/>
  <c r="AV437" i="21"/>
  <c r="AZ437" i="21"/>
  <c r="BD437" i="21"/>
  <c r="BH437" i="21"/>
  <c r="AJ440" i="21"/>
  <c r="AN440" i="21"/>
  <c r="AR440" i="21"/>
  <c r="AV440" i="21"/>
  <c r="AZ440" i="21"/>
  <c r="BD440" i="21"/>
  <c r="BH440" i="21"/>
  <c r="AJ443" i="21"/>
  <c r="AN443" i="21"/>
  <c r="AR443" i="21"/>
  <c r="AV443" i="21"/>
  <c r="AZ443" i="21"/>
  <c r="BD443" i="21"/>
  <c r="BH443" i="21"/>
  <c r="AJ447" i="21"/>
  <c r="AN447" i="21"/>
  <c r="AR447" i="21"/>
  <c r="AV447" i="21"/>
  <c r="AZ447" i="21"/>
  <c r="BD447" i="21"/>
  <c r="BH447" i="21"/>
  <c r="AJ487" i="21"/>
  <c r="AN487" i="21"/>
  <c r="AR487" i="21"/>
  <c r="AV487" i="21"/>
  <c r="AZ487" i="21"/>
  <c r="BD487" i="21"/>
  <c r="BH487" i="21"/>
  <c r="AJ483" i="21"/>
  <c r="AN483" i="21"/>
  <c r="AR483" i="21"/>
  <c r="AV483" i="21"/>
  <c r="AZ483" i="21"/>
  <c r="BD483" i="21"/>
  <c r="BH483" i="21"/>
  <c r="AJ493" i="21"/>
  <c r="AN493" i="21"/>
  <c r="AR493" i="21"/>
  <c r="AV493" i="21"/>
  <c r="AZ493" i="21"/>
  <c r="BD493" i="21"/>
  <c r="BH493" i="21"/>
  <c r="AJ520" i="21"/>
  <c r="AN520" i="21"/>
  <c r="AR520" i="21"/>
  <c r="AV520" i="21"/>
  <c r="AZ520" i="21"/>
  <c r="BD520" i="21"/>
  <c r="BH520" i="21"/>
  <c r="AJ14" i="21"/>
  <c r="AN14" i="21"/>
  <c r="AR14" i="21"/>
  <c r="AV14" i="21"/>
  <c r="AZ14" i="21"/>
  <c r="BD14" i="21"/>
  <c r="BH14" i="21"/>
  <c r="AJ36" i="21"/>
  <c r="AN36" i="21"/>
  <c r="AR36" i="21"/>
  <c r="AV36" i="21"/>
  <c r="AZ36" i="21"/>
  <c r="BD36" i="21"/>
  <c r="BH36" i="21"/>
  <c r="AJ71" i="21"/>
  <c r="AN71" i="21"/>
  <c r="AR71" i="21"/>
  <c r="AV71" i="21"/>
  <c r="AZ71" i="21"/>
  <c r="BD71" i="21"/>
  <c r="BH71" i="21"/>
  <c r="AJ68" i="21"/>
  <c r="AN68" i="21"/>
  <c r="AR68" i="21"/>
  <c r="AV68" i="21"/>
  <c r="AZ68" i="21"/>
  <c r="BD68" i="21"/>
  <c r="BH68" i="21"/>
  <c r="AJ90" i="21"/>
  <c r="AN90" i="21"/>
  <c r="AR90" i="21"/>
  <c r="AV90" i="21"/>
  <c r="AZ90" i="21"/>
  <c r="BD90" i="21"/>
  <c r="BH90" i="21"/>
  <c r="AJ121" i="21"/>
  <c r="AN121" i="21"/>
  <c r="AR121" i="21"/>
  <c r="AV121" i="21"/>
  <c r="AZ121" i="21"/>
  <c r="BD121" i="21"/>
  <c r="BH121" i="21"/>
  <c r="AJ115" i="21"/>
  <c r="AN115" i="21"/>
  <c r="AR115" i="21"/>
  <c r="AV115" i="21"/>
  <c r="AZ115" i="21"/>
  <c r="BD115" i="21"/>
  <c r="BH115" i="21"/>
  <c r="AJ114" i="21"/>
  <c r="AN114" i="21"/>
  <c r="AR114" i="21"/>
  <c r="AV114" i="21"/>
  <c r="AZ114" i="21"/>
  <c r="BD114" i="21"/>
  <c r="BH114" i="21"/>
  <c r="AJ183" i="21"/>
  <c r="AN183" i="21"/>
  <c r="AR183" i="21"/>
  <c r="AV183" i="21"/>
  <c r="AZ183" i="21"/>
  <c r="BD183" i="21"/>
  <c r="BH183" i="21"/>
  <c r="AJ187" i="21"/>
  <c r="AN187" i="21"/>
  <c r="AR187" i="21"/>
  <c r="AV187" i="21"/>
  <c r="AZ187" i="21"/>
  <c r="BD187" i="21"/>
  <c r="BH187" i="21"/>
  <c r="AJ221" i="21"/>
  <c r="AN221" i="21"/>
  <c r="AR221" i="21"/>
  <c r="AV221" i="21"/>
  <c r="AZ221" i="21"/>
  <c r="BD221" i="21"/>
  <c r="BH221" i="21"/>
  <c r="AJ219" i="21"/>
  <c r="AN219" i="21"/>
  <c r="AR219" i="21"/>
  <c r="AV219" i="21"/>
  <c r="AZ219" i="21"/>
  <c r="BD219" i="21"/>
  <c r="BH219" i="21"/>
  <c r="AJ234" i="21"/>
  <c r="AN234" i="21"/>
  <c r="AR234" i="21"/>
  <c r="AV234" i="21"/>
  <c r="AZ234" i="21"/>
  <c r="BD234" i="21"/>
  <c r="BH234" i="21"/>
  <c r="AT174" i="21"/>
  <c r="BC184" i="21"/>
  <c r="AT251" i="21"/>
  <c r="AX299" i="21"/>
  <c r="AH288" i="21"/>
  <c r="BB322" i="21"/>
  <c r="AL313" i="21"/>
  <c r="AJ351" i="21"/>
  <c r="BD408" i="21"/>
  <c r="AV411" i="21"/>
  <c r="AN392" i="21"/>
  <c r="BH419" i="21"/>
  <c r="AZ463" i="21"/>
  <c r="AR461" i="21"/>
  <c r="AJ274" i="21"/>
  <c r="BE444" i="21"/>
  <c r="AK478" i="21"/>
  <c r="BA478" i="21"/>
  <c r="AW469" i="21"/>
  <c r="AO474" i="21"/>
  <c r="BE474" i="21"/>
  <c r="AK508" i="21"/>
  <c r="BA508" i="21"/>
  <c r="AW511" i="21"/>
  <c r="AS513" i="21"/>
  <c r="BI513" i="21"/>
  <c r="AW17" i="21"/>
  <c r="AS39" i="21"/>
  <c r="BI39" i="21"/>
  <c r="AO31" i="21"/>
  <c r="BE31" i="21"/>
  <c r="AK56" i="21"/>
  <c r="BA56" i="21"/>
  <c r="AW98" i="21"/>
  <c r="AS84" i="21"/>
  <c r="BI84" i="21"/>
  <c r="AO109" i="21"/>
  <c r="BE109" i="21"/>
  <c r="AK111" i="21"/>
  <c r="BA111" i="21"/>
  <c r="AW136" i="21"/>
  <c r="AS173" i="21"/>
  <c r="BI173" i="21"/>
  <c r="AO204" i="21"/>
  <c r="BE204" i="21"/>
  <c r="AK185" i="21"/>
  <c r="BA185" i="21"/>
  <c r="AW214" i="21"/>
  <c r="AS254" i="21"/>
  <c r="BI254" i="21"/>
  <c r="AO250" i="21"/>
  <c r="BE250" i="21"/>
  <c r="AK269" i="21"/>
  <c r="BA269" i="21"/>
  <c r="AW296" i="21"/>
  <c r="AS292" i="21"/>
  <c r="BI292" i="21"/>
  <c r="AO293" i="21"/>
  <c r="BE293" i="21"/>
  <c r="AK294" i="21"/>
  <c r="BA294" i="21"/>
  <c r="AW295" i="21"/>
  <c r="AS312" i="21"/>
  <c r="BI312" i="21"/>
  <c r="AO331" i="21"/>
  <c r="BE331" i="21"/>
  <c r="AK326" i="21"/>
  <c r="BA326" i="21"/>
  <c r="AW319" i="21"/>
  <c r="AS345" i="21"/>
  <c r="BI345" i="21"/>
  <c r="AO376" i="21"/>
  <c r="BE376" i="21"/>
  <c r="AK370" i="21"/>
  <c r="BA370" i="21"/>
  <c r="AW372" i="21"/>
  <c r="AS393" i="21"/>
  <c r="BI393" i="21"/>
  <c r="AO399" i="21"/>
  <c r="BE399" i="21"/>
  <c r="AK414" i="21"/>
  <c r="BA414" i="21"/>
  <c r="AW432" i="21"/>
  <c r="AS417" i="21"/>
  <c r="BI417" i="21"/>
  <c r="AO416" i="21"/>
  <c r="BE416" i="21"/>
  <c r="AK420" i="21"/>
  <c r="BA420" i="21"/>
  <c r="AW490" i="21"/>
  <c r="AS477" i="21"/>
  <c r="BI477" i="21"/>
  <c r="AO495" i="21"/>
  <c r="BE495" i="21"/>
  <c r="AK38" i="21"/>
  <c r="AS38" i="21"/>
  <c r="BA38" i="21"/>
  <c r="BI38" i="21"/>
  <c r="AO37" i="21"/>
  <c r="AW37" i="21"/>
  <c r="BE37" i="21"/>
  <c r="AK127" i="21"/>
  <c r="AS127" i="21"/>
  <c r="BA127" i="21"/>
  <c r="BI127" i="21"/>
  <c r="AO124" i="21"/>
  <c r="AW124" i="21"/>
  <c r="BE124" i="21"/>
  <c r="AJ163" i="21"/>
  <c r="AO163" i="21"/>
  <c r="AT163" i="21"/>
  <c r="AZ163" i="21"/>
  <c r="BE163" i="21"/>
  <c r="BJ163" i="21"/>
  <c r="AK191" i="21"/>
  <c r="AP191" i="21"/>
  <c r="AV191" i="21"/>
  <c r="BA191" i="21"/>
  <c r="BF191" i="21"/>
  <c r="AL229" i="21"/>
  <c r="AR229" i="21"/>
  <c r="AW229" i="21"/>
  <c r="BB229" i="21"/>
  <c r="BH229" i="21"/>
  <c r="AH253" i="21"/>
  <c r="AN253" i="21"/>
  <c r="AS253" i="21"/>
  <c r="AX253" i="21"/>
  <c r="BD253" i="21"/>
  <c r="BI253" i="21"/>
  <c r="AJ244" i="21"/>
  <c r="AO244" i="21"/>
  <c r="AT244" i="21"/>
  <c r="AZ244" i="21"/>
  <c r="BE244" i="21"/>
  <c r="BJ244" i="21"/>
  <c r="AK247" i="21"/>
  <c r="AP247" i="21"/>
  <c r="AV247" i="21"/>
  <c r="BA247" i="21"/>
  <c r="BF247" i="21"/>
  <c r="AL316" i="21"/>
  <c r="AR316" i="21"/>
  <c r="AW316" i="21"/>
  <c r="BB316" i="21"/>
  <c r="BH316" i="21"/>
  <c r="AK361" i="21"/>
  <c r="AO361" i="21"/>
  <c r="AS361" i="21"/>
  <c r="AW361" i="21"/>
  <c r="BA361" i="21"/>
  <c r="BE361" i="21"/>
  <c r="BI361" i="21"/>
  <c r="AK409" i="21"/>
  <c r="AO409" i="21"/>
  <c r="AS409" i="21"/>
  <c r="AW409" i="21"/>
  <c r="BA409" i="21"/>
  <c r="BE409" i="21"/>
  <c r="BI409" i="21"/>
  <c r="AK396" i="21"/>
  <c r="AO396" i="21"/>
  <c r="AS396" i="21"/>
  <c r="AW396" i="21"/>
  <c r="BA396" i="21"/>
  <c r="BE396" i="21"/>
  <c r="BI396" i="21"/>
  <c r="AK398" i="21"/>
  <c r="AO398" i="21"/>
  <c r="AS398" i="21"/>
  <c r="AW398" i="21"/>
  <c r="BA398" i="21"/>
  <c r="BE398" i="21"/>
  <c r="BI398" i="21"/>
  <c r="AK407" i="21"/>
  <c r="AO407" i="21"/>
  <c r="AS407" i="21"/>
  <c r="AW407" i="21"/>
  <c r="BA407" i="21"/>
  <c r="BE407" i="21"/>
  <c r="BI407" i="21"/>
  <c r="AK451" i="21"/>
  <c r="AO451" i="21"/>
  <c r="AS451" i="21"/>
  <c r="AW451" i="21"/>
  <c r="BA451" i="21"/>
  <c r="BE451" i="21"/>
  <c r="BI451" i="21"/>
  <c r="AK458" i="21"/>
  <c r="AO458" i="21"/>
  <c r="AS458" i="21"/>
  <c r="AW458" i="21"/>
  <c r="BA458" i="21"/>
  <c r="BE458" i="21"/>
  <c r="BI458" i="21"/>
  <c r="AK472" i="21"/>
  <c r="AO472" i="21"/>
  <c r="AS472" i="21"/>
  <c r="AW472" i="21"/>
  <c r="BA472" i="21"/>
  <c r="BE472" i="21"/>
  <c r="BI472" i="21"/>
  <c r="AK496" i="21"/>
  <c r="AO496" i="21"/>
  <c r="AS496" i="21"/>
  <c r="AW496" i="21"/>
  <c r="BA496" i="21"/>
  <c r="BE496" i="21"/>
  <c r="BI496" i="21"/>
  <c r="AK512" i="21"/>
  <c r="AO512" i="21"/>
  <c r="AS512" i="21"/>
  <c r="AW512" i="21"/>
  <c r="BA512" i="21"/>
  <c r="BE512" i="21"/>
  <c r="BI512" i="21"/>
  <c r="AK501" i="21"/>
  <c r="AO501" i="21"/>
  <c r="AS501" i="21"/>
  <c r="AW501" i="21"/>
  <c r="BA501" i="21"/>
  <c r="BE501" i="21"/>
  <c r="BI501" i="21"/>
  <c r="AK46" i="21"/>
  <c r="AO46" i="21"/>
  <c r="AS46" i="21"/>
  <c r="AW46" i="21"/>
  <c r="BA46" i="21"/>
  <c r="BE46" i="21"/>
  <c r="BI46" i="21"/>
  <c r="AK58" i="21"/>
  <c r="AO58" i="21"/>
  <c r="AS58" i="21"/>
  <c r="AW58" i="21"/>
  <c r="BA58" i="21"/>
  <c r="BE58" i="21"/>
  <c r="BI58" i="21"/>
  <c r="AK83" i="21"/>
  <c r="AO83" i="21"/>
  <c r="AS83" i="21"/>
  <c r="AW83" i="21"/>
  <c r="BA83" i="21"/>
  <c r="BE83" i="21"/>
  <c r="BI83" i="21"/>
  <c r="AK105" i="21"/>
  <c r="AO105" i="21"/>
  <c r="AS105" i="21"/>
  <c r="AW105" i="21"/>
  <c r="BA105" i="21"/>
  <c r="BE105" i="21"/>
  <c r="BI105" i="21"/>
  <c r="AK145" i="21"/>
  <c r="AO145" i="21"/>
  <c r="AS145" i="21"/>
  <c r="AW145" i="21"/>
  <c r="BA145" i="21"/>
  <c r="BE145" i="21"/>
  <c r="BI145" i="21"/>
  <c r="AK177" i="21"/>
  <c r="AO177" i="21"/>
  <c r="AS177" i="21"/>
  <c r="AW177" i="21"/>
  <c r="BA177" i="21"/>
  <c r="BE177" i="21"/>
  <c r="BI177" i="21"/>
  <c r="AK164" i="21"/>
  <c r="AO164" i="21"/>
  <c r="AS164" i="21"/>
  <c r="AW164" i="21"/>
  <c r="BA164" i="21"/>
  <c r="BE164" i="21"/>
  <c r="BI164" i="21"/>
  <c r="AK189" i="21"/>
  <c r="AO189" i="21"/>
  <c r="AS189" i="21"/>
  <c r="AW189" i="21"/>
  <c r="BA189" i="21"/>
  <c r="BE189" i="21"/>
  <c r="BI189" i="21"/>
  <c r="AK209" i="21"/>
  <c r="AO209" i="21"/>
  <c r="AS209" i="21"/>
  <c r="AW209" i="21"/>
  <c r="BA209" i="21"/>
  <c r="BE209" i="21"/>
  <c r="BI209" i="21"/>
  <c r="AK304" i="21"/>
  <c r="AO304" i="21"/>
  <c r="AS304" i="21"/>
  <c r="AW304" i="21"/>
  <c r="BA304" i="21"/>
  <c r="BE304" i="21"/>
  <c r="BI304" i="21"/>
  <c r="AK334" i="21"/>
  <c r="AO334" i="21"/>
  <c r="AS334" i="21"/>
  <c r="AW334" i="21"/>
  <c r="BA334" i="21"/>
  <c r="BE334" i="21"/>
  <c r="BI334" i="21"/>
  <c r="AK337" i="21"/>
  <c r="AO337" i="21"/>
  <c r="AS337" i="21"/>
  <c r="AW337" i="21"/>
  <c r="BA337" i="21"/>
  <c r="BE337" i="21"/>
  <c r="BI337" i="21"/>
  <c r="AK374" i="21"/>
  <c r="AO374" i="21"/>
  <c r="AS374" i="21"/>
  <c r="AW374" i="21"/>
  <c r="BA374" i="21"/>
  <c r="BE374" i="21"/>
  <c r="BI374" i="21"/>
  <c r="AK371" i="21"/>
  <c r="AO371" i="21"/>
  <c r="AS371" i="21"/>
  <c r="AW371" i="21"/>
  <c r="BA371" i="21"/>
  <c r="BE371" i="21"/>
  <c r="BI371" i="21"/>
  <c r="AK390" i="21"/>
  <c r="AO390" i="21"/>
  <c r="AS390" i="21"/>
  <c r="AW390" i="21"/>
  <c r="BA390" i="21"/>
  <c r="BE390" i="21"/>
  <c r="BI390" i="21"/>
  <c r="AK404" i="21"/>
  <c r="AO404" i="21"/>
  <c r="AS404" i="21"/>
  <c r="AW404" i="21"/>
  <c r="BA404" i="21"/>
  <c r="BE404" i="21"/>
  <c r="BI404" i="21"/>
  <c r="AK397" i="21"/>
  <c r="AO397" i="21"/>
  <c r="AS397" i="21"/>
  <c r="AW397" i="21"/>
  <c r="BA397" i="21"/>
  <c r="BE397" i="21"/>
  <c r="BI397" i="21"/>
  <c r="AK437" i="21"/>
  <c r="AO437" i="21"/>
  <c r="AS437" i="21"/>
  <c r="AW437" i="21"/>
  <c r="BA437" i="21"/>
  <c r="BE437" i="21"/>
  <c r="BI437" i="21"/>
  <c r="AK440" i="21"/>
  <c r="AO440" i="21"/>
  <c r="AS440" i="21"/>
  <c r="AW440" i="21"/>
  <c r="BA440" i="21"/>
  <c r="BE440" i="21"/>
  <c r="BI440" i="21"/>
  <c r="AK443" i="21"/>
  <c r="AO443" i="21"/>
  <c r="AS443" i="21"/>
  <c r="AW443" i="21"/>
  <c r="BA443" i="21"/>
  <c r="BE443" i="21"/>
  <c r="BI443" i="21"/>
  <c r="AK447" i="21"/>
  <c r="AO447" i="21"/>
  <c r="AS447" i="21"/>
  <c r="AW447" i="21"/>
  <c r="BA447" i="21"/>
  <c r="BE447" i="21"/>
  <c r="BI447" i="21"/>
  <c r="AK487" i="21"/>
  <c r="AO487" i="21"/>
  <c r="AS487" i="21"/>
  <c r="AW487" i="21"/>
  <c r="BA487" i="21"/>
  <c r="BE487" i="21"/>
  <c r="BI487" i="21"/>
  <c r="AK483" i="21"/>
  <c r="AO483" i="21"/>
  <c r="AS483" i="21"/>
  <c r="AW483" i="21"/>
  <c r="BA483" i="21"/>
  <c r="BE483" i="21"/>
  <c r="BI483" i="21"/>
  <c r="AK493" i="21"/>
  <c r="AO493" i="21"/>
  <c r="AS493" i="21"/>
  <c r="AW493" i="21"/>
  <c r="BA493" i="21"/>
  <c r="BE493" i="21"/>
  <c r="BI493" i="21"/>
  <c r="AK520" i="21"/>
  <c r="AO520" i="21"/>
  <c r="AS520" i="21"/>
  <c r="AW520" i="21"/>
  <c r="BA520" i="21"/>
  <c r="BE520" i="21"/>
  <c r="BI520" i="21"/>
  <c r="AK14" i="21"/>
  <c r="AO14" i="21"/>
  <c r="AS14" i="21"/>
  <c r="AW14" i="21"/>
  <c r="BA14" i="21"/>
  <c r="BE14" i="21"/>
  <c r="BI14" i="21"/>
  <c r="AK36" i="21"/>
  <c r="AO36" i="21"/>
  <c r="AS36" i="21"/>
  <c r="AW36" i="21"/>
  <c r="BA36" i="21"/>
  <c r="BE36" i="21"/>
  <c r="BI36" i="21"/>
  <c r="AK71" i="21"/>
  <c r="AO71" i="21"/>
  <c r="AS71" i="21"/>
  <c r="AW71" i="21"/>
  <c r="BA71" i="21"/>
  <c r="BE71" i="21"/>
  <c r="BI71" i="21"/>
  <c r="AK68" i="21"/>
  <c r="AO68" i="21"/>
  <c r="AS68" i="21"/>
  <c r="AW68" i="21"/>
  <c r="BA68" i="21"/>
  <c r="BE68" i="21"/>
  <c r="BI68" i="21"/>
  <c r="AK90" i="21"/>
  <c r="AO90" i="21"/>
  <c r="AS90" i="21"/>
  <c r="AW90" i="21"/>
  <c r="BA90" i="21"/>
  <c r="BE90" i="21"/>
  <c r="BI90" i="21"/>
  <c r="AK121" i="21"/>
  <c r="AO121" i="21"/>
  <c r="AS121" i="21"/>
  <c r="AW121" i="21"/>
  <c r="BA121" i="21"/>
  <c r="BE121" i="21"/>
  <c r="BI121" i="21"/>
  <c r="AK115" i="21"/>
  <c r="AO115" i="21"/>
  <c r="AS115" i="21"/>
  <c r="AW115" i="21"/>
  <c r="BA115" i="21"/>
  <c r="BE115" i="21"/>
  <c r="BI115" i="21"/>
  <c r="AK114" i="21"/>
  <c r="AO114" i="21"/>
  <c r="AS114" i="21"/>
  <c r="AW114" i="21"/>
  <c r="BA114" i="21"/>
  <c r="BE114" i="21"/>
  <c r="BI114" i="21"/>
  <c r="AK183" i="21"/>
  <c r="AO183" i="21"/>
  <c r="AS183" i="21"/>
  <c r="AW183" i="21"/>
  <c r="BA183" i="21"/>
  <c r="BE183" i="21"/>
  <c r="BI183" i="21"/>
  <c r="AK187" i="21"/>
  <c r="AO187" i="21"/>
  <c r="AS187" i="21"/>
  <c r="AW187" i="21"/>
  <c r="BA187" i="21"/>
  <c r="BE187" i="21"/>
  <c r="BI187" i="21"/>
  <c r="AK221" i="21"/>
  <c r="AO221" i="21"/>
  <c r="AS221" i="21"/>
  <c r="AW221" i="21"/>
  <c r="BA221" i="21"/>
  <c r="BE221" i="21"/>
  <c r="BI221" i="21"/>
  <c r="AK219" i="21"/>
  <c r="AO219" i="21"/>
  <c r="AS219" i="21"/>
  <c r="AW219" i="21"/>
  <c r="BA219" i="21"/>
  <c r="BE219" i="21"/>
  <c r="BI219" i="21"/>
  <c r="AK234" i="21"/>
  <c r="AO234" i="21"/>
  <c r="AS234" i="21"/>
  <c r="AW234" i="21"/>
  <c r="BA234" i="21"/>
  <c r="BE234" i="21"/>
  <c r="BI234" i="21"/>
  <c r="AK252" i="21"/>
  <c r="AO252" i="21"/>
  <c r="AS252" i="21"/>
  <c r="AW252" i="21"/>
  <c r="BA252" i="21"/>
  <c r="BE252" i="21"/>
  <c r="BI252" i="21"/>
  <c r="AK243" i="21"/>
  <c r="AO243" i="21"/>
  <c r="AS243" i="21"/>
  <c r="AW243" i="21"/>
  <c r="BA243" i="21"/>
  <c r="BE243" i="21"/>
  <c r="BI243" i="21"/>
  <c r="AK242" i="21"/>
  <c r="AO242" i="21"/>
  <c r="AS242" i="21"/>
  <c r="AW242" i="21"/>
  <c r="BA242" i="21"/>
  <c r="BE242" i="21"/>
  <c r="BI242" i="21"/>
  <c r="AK263" i="21"/>
  <c r="AO263" i="21"/>
  <c r="AS263" i="21"/>
  <c r="AW263" i="21"/>
  <c r="BA263" i="21"/>
  <c r="BE263" i="21"/>
  <c r="BI263" i="21"/>
  <c r="AK264" i="21"/>
  <c r="AO264" i="21"/>
  <c r="AS264" i="21"/>
  <c r="AW264" i="21"/>
  <c r="BA264" i="21"/>
  <c r="BE264" i="21"/>
  <c r="BI264" i="21"/>
  <c r="AK267" i="21"/>
  <c r="AO267" i="21"/>
  <c r="AS267" i="21"/>
  <c r="AW267" i="21"/>
  <c r="BA267" i="21"/>
  <c r="BE267" i="21"/>
  <c r="BC167" i="21"/>
  <c r="BG62" i="21"/>
  <c r="AI181" i="21"/>
  <c r="BF186" i="21"/>
  <c r="AP249" i="21"/>
  <c r="BJ248" i="21"/>
  <c r="AT305" i="21"/>
  <c r="AX323" i="21"/>
  <c r="AH346" i="21"/>
  <c r="BA343" i="21"/>
  <c r="AZ351" i="21"/>
  <c r="AR368" i="21"/>
  <c r="AJ406" i="21"/>
  <c r="BD392" i="21"/>
  <c r="AV423" i="21"/>
  <c r="AN426" i="21"/>
  <c r="BH461" i="21"/>
  <c r="AZ274" i="21"/>
  <c r="BI444" i="21"/>
  <c r="AO478" i="21"/>
  <c r="BE478" i="21"/>
  <c r="AK469" i="21"/>
  <c r="BA469" i="21"/>
  <c r="AS474" i="21"/>
  <c r="BI474" i="21"/>
  <c r="AO508" i="21"/>
  <c r="BE508" i="21"/>
  <c r="AK511" i="21"/>
  <c r="BA511" i="21"/>
  <c r="AW513" i="21"/>
  <c r="AK17" i="21"/>
  <c r="BA17" i="21"/>
  <c r="AW39" i="21"/>
  <c r="AS31" i="21"/>
  <c r="BI31" i="21"/>
  <c r="AO56" i="21"/>
  <c r="BE56" i="21"/>
  <c r="AK98" i="21"/>
  <c r="BA98" i="21"/>
  <c r="AW84" i="21"/>
  <c r="AS109" i="21"/>
  <c r="BI109" i="21"/>
  <c r="AO111" i="21"/>
  <c r="BE111" i="21"/>
  <c r="AK136" i="21"/>
  <c r="BA136" i="21"/>
  <c r="AW173" i="21"/>
  <c r="AS204" i="21"/>
  <c r="BI204" i="21"/>
  <c r="AO185" i="21"/>
  <c r="BE185" i="21"/>
  <c r="AK214" i="21"/>
  <c r="BA214" i="21"/>
  <c r="AW254" i="21"/>
  <c r="AS250" i="21"/>
  <c r="BI250" i="21"/>
  <c r="AO269" i="21"/>
  <c r="BE269" i="21"/>
  <c r="AK296" i="21"/>
  <c r="BA296" i="21"/>
  <c r="AW292" i="21"/>
  <c r="AS293" i="21"/>
  <c r="BI293" i="21"/>
  <c r="AO294" i="21"/>
  <c r="BE294" i="21"/>
  <c r="AK295" i="21"/>
  <c r="BA295" i="21"/>
  <c r="AW312" i="21"/>
  <c r="AS331" i="21"/>
  <c r="BI331" i="21"/>
  <c r="AO326" i="21"/>
  <c r="BE326" i="21"/>
  <c r="AK319" i="21"/>
  <c r="BA319" i="21"/>
  <c r="AW345" i="21"/>
  <c r="AS376" i="21"/>
  <c r="BI376" i="21"/>
  <c r="AO370" i="21"/>
  <c r="BE370" i="21"/>
  <c r="AK372" i="21"/>
  <c r="BA372" i="21"/>
  <c r="AW393" i="21"/>
  <c r="AS399" i="21"/>
  <c r="BI399" i="21"/>
  <c r="AO414" i="21"/>
  <c r="BE414" i="21"/>
  <c r="AK432" i="21"/>
  <c r="BA432" i="21"/>
  <c r="AW417" i="21"/>
  <c r="AS416" i="21"/>
  <c r="BI416" i="21"/>
  <c r="AO420" i="21"/>
  <c r="BE420" i="21"/>
  <c r="AK490" i="21"/>
  <c r="BA490" i="21"/>
  <c r="AW477" i="21"/>
  <c r="AS495" i="21"/>
  <c r="BI495" i="21"/>
  <c r="AN38" i="21"/>
  <c r="AV38" i="21"/>
  <c r="BD38" i="21"/>
  <c r="AJ37" i="21"/>
  <c r="AR37" i="21"/>
  <c r="AZ37" i="21"/>
  <c r="BH37" i="21"/>
  <c r="AN127" i="21"/>
  <c r="AV127" i="21"/>
  <c r="BD127" i="21"/>
  <c r="AJ124" i="21"/>
  <c r="AR124" i="21"/>
  <c r="AZ124" i="21"/>
  <c r="BH124" i="21"/>
  <c r="AK163" i="21"/>
  <c r="AP163" i="21"/>
  <c r="AV163" i="21"/>
  <c r="BA163" i="21"/>
  <c r="BF163" i="21"/>
  <c r="AL191" i="21"/>
  <c r="AR191" i="21"/>
  <c r="AW191" i="21"/>
  <c r="BB191" i="21"/>
  <c r="BH191" i="21"/>
  <c r="AH229" i="21"/>
  <c r="AN229" i="21"/>
  <c r="AS229" i="21"/>
  <c r="AX229" i="21"/>
  <c r="BD229" i="21"/>
  <c r="BI229" i="21"/>
  <c r="AJ253" i="21"/>
  <c r="AO253" i="21"/>
  <c r="AT253" i="21"/>
  <c r="AZ253" i="21"/>
  <c r="BE253" i="21"/>
  <c r="BJ253" i="21"/>
  <c r="AK244" i="21"/>
  <c r="AP244" i="21"/>
  <c r="AV244" i="21"/>
  <c r="BA244" i="21"/>
  <c r="BF244" i="21"/>
  <c r="AL247" i="21"/>
  <c r="AR247" i="21"/>
  <c r="AW247" i="21"/>
  <c r="BB247" i="21"/>
  <c r="BH247" i="21"/>
  <c r="AH316" i="21"/>
  <c r="AN316" i="21"/>
  <c r="AS316" i="21"/>
  <c r="AX316" i="21"/>
  <c r="BD316" i="21"/>
  <c r="BI316" i="21"/>
  <c r="AH361" i="21"/>
  <c r="AL361" i="21"/>
  <c r="AP361" i="21"/>
  <c r="AT361" i="21"/>
  <c r="AX361" i="21"/>
  <c r="BB361" i="21"/>
  <c r="BF361" i="21"/>
  <c r="BJ361" i="21"/>
  <c r="AH409" i="21"/>
  <c r="AL409" i="21"/>
  <c r="AP409" i="21"/>
  <c r="AT409" i="21"/>
  <c r="AX409" i="21"/>
  <c r="BB409" i="21"/>
  <c r="BF409" i="21"/>
  <c r="BJ409" i="21"/>
  <c r="AH396" i="21"/>
  <c r="AL396" i="21"/>
  <c r="AP396" i="21"/>
  <c r="AT396" i="21"/>
  <c r="AX396" i="21"/>
  <c r="BB396" i="21"/>
  <c r="BF396" i="21"/>
  <c r="BJ396" i="21"/>
  <c r="AH398" i="21"/>
  <c r="AL398" i="21"/>
  <c r="AP398" i="21"/>
  <c r="AT398" i="21"/>
  <c r="AX398" i="21"/>
  <c r="BB398" i="21"/>
  <c r="BF398" i="21"/>
  <c r="BJ398" i="21"/>
  <c r="AH407" i="21"/>
  <c r="AL407" i="21"/>
  <c r="AP407" i="21"/>
  <c r="AT407" i="21"/>
  <c r="AX407" i="21"/>
  <c r="BB407" i="21"/>
  <c r="BF407" i="21"/>
  <c r="BJ407" i="21"/>
  <c r="AH451" i="21"/>
  <c r="AL451" i="21"/>
  <c r="AP451" i="21"/>
  <c r="AT451" i="21"/>
  <c r="AX451" i="21"/>
  <c r="BB451" i="21"/>
  <c r="BF451" i="21"/>
  <c r="BJ451" i="21"/>
  <c r="AH458" i="21"/>
  <c r="AL458" i="21"/>
  <c r="AP458" i="21"/>
  <c r="AT458" i="21"/>
  <c r="AX458" i="21"/>
  <c r="BB458" i="21"/>
  <c r="BF458" i="21"/>
  <c r="BJ458" i="21"/>
  <c r="AH472" i="21"/>
  <c r="AL472" i="21"/>
  <c r="AP472" i="21"/>
  <c r="AT472" i="21"/>
  <c r="AX472" i="21"/>
  <c r="BB472" i="21"/>
  <c r="BF472" i="21"/>
  <c r="BJ472" i="21"/>
  <c r="AH496" i="21"/>
  <c r="AL496" i="21"/>
  <c r="AP496" i="21"/>
  <c r="AT496" i="21"/>
  <c r="AX496" i="21"/>
  <c r="BB496" i="21"/>
  <c r="BF496" i="21"/>
  <c r="BJ496" i="21"/>
  <c r="AH512" i="21"/>
  <c r="AL512" i="21"/>
  <c r="AP512" i="21"/>
  <c r="AT512" i="21"/>
  <c r="AX512" i="21"/>
  <c r="BB512" i="21"/>
  <c r="BF512" i="21"/>
  <c r="BJ512" i="21"/>
  <c r="AH501" i="21"/>
  <c r="AL501" i="21"/>
  <c r="AP501" i="21"/>
  <c r="AT501" i="21"/>
  <c r="AX501" i="21"/>
  <c r="BB501" i="21"/>
  <c r="BF501" i="21"/>
  <c r="BJ501" i="21"/>
  <c r="AH46" i="21"/>
  <c r="AL46" i="21"/>
  <c r="AP46" i="21"/>
  <c r="AT46" i="21"/>
  <c r="AX46" i="21"/>
  <c r="BB46" i="21"/>
  <c r="BF46" i="21"/>
  <c r="BJ46" i="21"/>
  <c r="AH58" i="21"/>
  <c r="AL58" i="21"/>
  <c r="AP58" i="21"/>
  <c r="AT58" i="21"/>
  <c r="AX58" i="21"/>
  <c r="BB58" i="21"/>
  <c r="BF58" i="21"/>
  <c r="BJ58" i="21"/>
  <c r="AH83" i="21"/>
  <c r="AL83" i="21"/>
  <c r="AP83" i="21"/>
  <c r="AT83" i="21"/>
  <c r="AX83" i="21"/>
  <c r="BB83" i="21"/>
  <c r="BF83" i="21"/>
  <c r="BJ83" i="21"/>
  <c r="AH105" i="21"/>
  <c r="AL105" i="21"/>
  <c r="AP105" i="21"/>
  <c r="AT105" i="21"/>
  <c r="AX105" i="21"/>
  <c r="BB105" i="21"/>
  <c r="BF105" i="21"/>
  <c r="BJ105" i="21"/>
  <c r="AH145" i="21"/>
  <c r="AL145" i="21"/>
  <c r="AP145" i="21"/>
  <c r="AT145" i="21"/>
  <c r="AX145" i="21"/>
  <c r="BB145" i="21"/>
  <c r="BF145" i="21"/>
  <c r="BJ145" i="21"/>
  <c r="AH177" i="21"/>
  <c r="AL177" i="21"/>
  <c r="AP177" i="21"/>
  <c r="AT177" i="21"/>
  <c r="AX177" i="21"/>
  <c r="BB177" i="21"/>
  <c r="BF177" i="21"/>
  <c r="BJ177" i="21"/>
  <c r="AH164" i="21"/>
  <c r="AL164" i="21"/>
  <c r="AP164" i="21"/>
  <c r="AT164" i="21"/>
  <c r="AX164" i="21"/>
  <c r="BB164" i="21"/>
  <c r="BF164" i="21"/>
  <c r="BJ164" i="21"/>
  <c r="AH189" i="21"/>
  <c r="AL189" i="21"/>
  <c r="AP189" i="21"/>
  <c r="AT189" i="21"/>
  <c r="AX189" i="21"/>
  <c r="BB189" i="21"/>
  <c r="BF189" i="21"/>
  <c r="BJ189" i="21"/>
  <c r="AH209" i="21"/>
  <c r="AL209" i="21"/>
  <c r="AP209" i="21"/>
  <c r="AT209" i="21"/>
  <c r="AX209" i="21"/>
  <c r="BB209" i="21"/>
  <c r="BF209" i="21"/>
  <c r="BJ209" i="21"/>
  <c r="AH304" i="21"/>
  <c r="AL304" i="21"/>
  <c r="AP304" i="21"/>
  <c r="AT304" i="21"/>
  <c r="AX304" i="21"/>
  <c r="BB304" i="21"/>
  <c r="BF304" i="21"/>
  <c r="BJ304" i="21"/>
  <c r="AH334" i="21"/>
  <c r="AL334" i="21"/>
  <c r="AP334" i="21"/>
  <c r="AT334" i="21"/>
  <c r="AX334" i="21"/>
  <c r="BB334" i="21"/>
  <c r="BF334" i="21"/>
  <c r="BJ334" i="21"/>
  <c r="AH337" i="21"/>
  <c r="AL337" i="21"/>
  <c r="AP337" i="21"/>
  <c r="AT337" i="21"/>
  <c r="AX337" i="21"/>
  <c r="BB337" i="21"/>
  <c r="BF337" i="21"/>
  <c r="BJ337" i="21"/>
  <c r="AH374" i="21"/>
  <c r="AL374" i="21"/>
  <c r="AP374" i="21"/>
  <c r="AT374" i="21"/>
  <c r="AX374" i="21"/>
  <c r="BB374" i="21"/>
  <c r="BF374" i="21"/>
  <c r="BJ374" i="21"/>
  <c r="AH371" i="21"/>
  <c r="AL371" i="21"/>
  <c r="AP371" i="21"/>
  <c r="AT371" i="21"/>
  <c r="AX371" i="21"/>
  <c r="BB371" i="21"/>
  <c r="BF371" i="21"/>
  <c r="BJ371" i="21"/>
  <c r="AH390" i="21"/>
  <c r="AL390" i="21"/>
  <c r="AP390" i="21"/>
  <c r="AT390" i="21"/>
  <c r="AX390" i="21"/>
  <c r="BB390" i="21"/>
  <c r="BF390" i="21"/>
  <c r="BJ390" i="21"/>
  <c r="AH404" i="21"/>
  <c r="AL404" i="21"/>
  <c r="AP404" i="21"/>
  <c r="AT404" i="21"/>
  <c r="AX404" i="21"/>
  <c r="BB404" i="21"/>
  <c r="BF404" i="21"/>
  <c r="BJ404" i="21"/>
  <c r="AH397" i="21"/>
  <c r="AL397" i="21"/>
  <c r="AP397" i="21"/>
  <c r="AT397" i="21"/>
  <c r="AX397" i="21"/>
  <c r="BB397" i="21"/>
  <c r="BF397" i="21"/>
  <c r="BJ397" i="21"/>
  <c r="AH437" i="21"/>
  <c r="AL437" i="21"/>
  <c r="AP437" i="21"/>
  <c r="AT437" i="21"/>
  <c r="AX437" i="21"/>
  <c r="BB437" i="21"/>
  <c r="BF437" i="21"/>
  <c r="BJ437" i="21"/>
  <c r="AH440" i="21"/>
  <c r="AL440" i="21"/>
  <c r="AP440" i="21"/>
  <c r="AT440" i="21"/>
  <c r="AX440" i="21"/>
  <c r="BB440" i="21"/>
  <c r="BF440" i="21"/>
  <c r="BJ440" i="21"/>
  <c r="AH443" i="21"/>
  <c r="AL443" i="21"/>
  <c r="AP443" i="21"/>
  <c r="AT443" i="21"/>
  <c r="AX443" i="21"/>
  <c r="BB443" i="21"/>
  <c r="BF443" i="21"/>
  <c r="BJ443" i="21"/>
  <c r="AH447" i="21"/>
  <c r="AL447" i="21"/>
  <c r="AP447" i="21"/>
  <c r="AT447" i="21"/>
  <c r="AX447" i="21"/>
  <c r="BB447" i="21"/>
  <c r="BF447" i="21"/>
  <c r="BJ447" i="21"/>
  <c r="AH487" i="21"/>
  <c r="AL487" i="21"/>
  <c r="AP487" i="21"/>
  <c r="AT487" i="21"/>
  <c r="AX487" i="21"/>
  <c r="BB487" i="21"/>
  <c r="BF487" i="21"/>
  <c r="BJ487" i="21"/>
  <c r="AH483" i="21"/>
  <c r="AL483" i="21"/>
  <c r="AP483" i="21"/>
  <c r="AT483" i="21"/>
  <c r="AX483" i="21"/>
  <c r="BB483" i="21"/>
  <c r="BF483" i="21"/>
  <c r="BJ483" i="21"/>
  <c r="AH493" i="21"/>
  <c r="AL493" i="21"/>
  <c r="AP493" i="21"/>
  <c r="AT493" i="21"/>
  <c r="AX493" i="21"/>
  <c r="BB493" i="21"/>
  <c r="BF493" i="21"/>
  <c r="BJ493" i="21"/>
  <c r="AH520" i="21"/>
  <c r="AL520" i="21"/>
  <c r="AP520" i="21"/>
  <c r="AT520" i="21"/>
  <c r="AX520" i="21"/>
  <c r="BB520" i="21"/>
  <c r="BF520" i="21"/>
  <c r="BJ520" i="21"/>
  <c r="AH14" i="21"/>
  <c r="AL14" i="21"/>
  <c r="AP14" i="21"/>
  <c r="AT14" i="21"/>
  <c r="AX14" i="21"/>
  <c r="BB14" i="21"/>
  <c r="BF14" i="21"/>
  <c r="BJ14" i="21"/>
  <c r="AH36" i="21"/>
  <c r="AL36" i="21"/>
  <c r="AP36" i="21"/>
  <c r="AT36" i="21"/>
  <c r="AX36" i="21"/>
  <c r="BB36" i="21"/>
  <c r="BF36" i="21"/>
  <c r="BJ36" i="21"/>
  <c r="AH71" i="21"/>
  <c r="AL71" i="21"/>
  <c r="AP71" i="21"/>
  <c r="AT71" i="21"/>
  <c r="AX71" i="21"/>
  <c r="BB71" i="21"/>
  <c r="BF71" i="21"/>
  <c r="BJ71" i="21"/>
  <c r="AH68" i="21"/>
  <c r="AL68" i="21"/>
  <c r="AP68" i="21"/>
  <c r="AT68" i="21"/>
  <c r="AX68" i="21"/>
  <c r="BB68" i="21"/>
  <c r="BF68" i="21"/>
  <c r="BJ68" i="21"/>
  <c r="AH90" i="21"/>
  <c r="AL90" i="21"/>
  <c r="AP90" i="21"/>
  <c r="AT90" i="21"/>
  <c r="AX90" i="21"/>
  <c r="BB90" i="21"/>
  <c r="BF90" i="21"/>
  <c r="BJ90" i="21"/>
  <c r="AH121" i="21"/>
  <c r="AL121" i="21"/>
  <c r="AP121" i="21"/>
  <c r="AT121" i="21"/>
  <c r="AX121" i="21"/>
  <c r="BB121" i="21"/>
  <c r="BF121" i="21"/>
  <c r="BJ121" i="21"/>
  <c r="AH115" i="21"/>
  <c r="AL115" i="21"/>
  <c r="AP115" i="21"/>
  <c r="AT115" i="21"/>
  <c r="AX115" i="21"/>
  <c r="BB115" i="21"/>
  <c r="BF115" i="21"/>
  <c r="BJ115" i="21"/>
  <c r="AH114" i="21"/>
  <c r="AL114" i="21"/>
  <c r="AP114" i="21"/>
  <c r="AT114" i="21"/>
  <c r="AX114" i="21"/>
  <c r="BB114" i="21"/>
  <c r="BF114" i="21"/>
  <c r="BJ114" i="21"/>
  <c r="AH183" i="21"/>
  <c r="AL183" i="21"/>
  <c r="AP183" i="21"/>
  <c r="AT183" i="21"/>
  <c r="AX183" i="21"/>
  <c r="BB183" i="21"/>
  <c r="BF183" i="21"/>
  <c r="BJ183" i="21"/>
  <c r="AH187" i="21"/>
  <c r="AL187" i="21"/>
  <c r="AP187" i="21"/>
  <c r="AT187" i="21"/>
  <c r="AX187" i="21"/>
  <c r="BB187" i="21"/>
  <c r="BF187" i="21"/>
  <c r="BJ187" i="21"/>
  <c r="AH221" i="21"/>
  <c r="AL221" i="21"/>
  <c r="AP221" i="21"/>
  <c r="AT221" i="21"/>
  <c r="AX221" i="21"/>
  <c r="BB221" i="21"/>
  <c r="BF221" i="21"/>
  <c r="BJ221" i="21"/>
  <c r="AH219" i="21"/>
  <c r="AL219" i="21"/>
  <c r="AP219" i="21"/>
  <c r="AT219" i="21"/>
  <c r="AX219" i="21"/>
  <c r="BB219" i="21"/>
  <c r="AN475" i="21"/>
  <c r="AL245" i="21"/>
  <c r="AT317" i="21"/>
  <c r="BH368" i="21"/>
  <c r="AO469" i="21"/>
  <c r="BI508" i="21"/>
  <c r="BA513" i="21"/>
  <c r="BE17" i="21"/>
  <c r="AW31" i="21"/>
  <c r="AO98" i="21"/>
  <c r="BI111" i="21"/>
  <c r="BA173" i="21"/>
  <c r="AS185" i="21"/>
  <c r="AK254" i="21"/>
  <c r="BE296" i="21"/>
  <c r="AW293" i="21"/>
  <c r="AO295" i="21"/>
  <c r="BI326" i="21"/>
  <c r="BA345" i="21"/>
  <c r="AS370" i="21"/>
  <c r="AK393" i="21"/>
  <c r="BE432" i="21"/>
  <c r="AW416" i="21"/>
  <c r="AO490" i="21"/>
  <c r="AO38" i="21"/>
  <c r="AK37" i="21"/>
  <c r="BI124" i="21"/>
  <c r="AW163" i="21"/>
  <c r="AH191" i="21"/>
  <c r="BD191" i="21"/>
  <c r="AO229" i="21"/>
  <c r="BJ229" i="21"/>
  <c r="AV253" i="21"/>
  <c r="BB244" i="21"/>
  <c r="AN247" i="21"/>
  <c r="BI247" i="21"/>
  <c r="AT316" i="21"/>
  <c r="AU361" i="21"/>
  <c r="BK361" i="21"/>
  <c r="AQ409" i="21"/>
  <c r="BG409" i="21"/>
  <c r="AM396" i="21"/>
  <c r="BC396" i="21"/>
  <c r="AI398" i="21"/>
  <c r="AY398" i="21"/>
  <c r="AU407" i="21"/>
  <c r="BK407" i="21"/>
  <c r="AQ451" i="21"/>
  <c r="BG451" i="21"/>
  <c r="AM458" i="21"/>
  <c r="BC458" i="21"/>
  <c r="AI472" i="21"/>
  <c r="AY472" i="21"/>
  <c r="AU496" i="21"/>
  <c r="BK496" i="21"/>
  <c r="AQ512" i="21"/>
  <c r="BG512" i="21"/>
  <c r="AM501" i="21"/>
  <c r="BC501" i="21"/>
  <c r="AI46" i="21"/>
  <c r="AY46" i="21"/>
  <c r="AU58" i="21"/>
  <c r="BK58" i="21"/>
  <c r="AQ83" i="21"/>
  <c r="BG83" i="21"/>
  <c r="AM105" i="21"/>
  <c r="BC105" i="21"/>
  <c r="AI145" i="21"/>
  <c r="AY145" i="21"/>
  <c r="AU177" i="21"/>
  <c r="BK177" i="21"/>
  <c r="AQ164" i="21"/>
  <c r="BG164" i="21"/>
  <c r="AM189" i="21"/>
  <c r="BC189" i="21"/>
  <c r="AI209" i="21"/>
  <c r="AY209" i="21"/>
  <c r="AU304" i="21"/>
  <c r="BK304" i="21"/>
  <c r="AQ334" i="21"/>
  <c r="BG334" i="21"/>
  <c r="AM337" i="21"/>
  <c r="BC337" i="21"/>
  <c r="AI374" i="21"/>
  <c r="AY374" i="21"/>
  <c r="AU371" i="21"/>
  <c r="BK371" i="21"/>
  <c r="AQ390" i="21"/>
  <c r="BG390" i="21"/>
  <c r="AM404" i="21"/>
  <c r="BC404" i="21"/>
  <c r="AI397" i="21"/>
  <c r="AY397" i="21"/>
  <c r="AU437" i="21"/>
  <c r="BK437" i="21"/>
  <c r="AQ440" i="21"/>
  <c r="BG440" i="21"/>
  <c r="AM443" i="21"/>
  <c r="BC443" i="21"/>
  <c r="AI447" i="21"/>
  <c r="AY447" i="21"/>
  <c r="AU487" i="21"/>
  <c r="BK487" i="21"/>
  <c r="AQ483" i="21"/>
  <c r="BG483" i="21"/>
  <c r="AM493" i="21"/>
  <c r="BC493" i="21"/>
  <c r="AI520" i="21"/>
  <c r="AY520" i="21"/>
  <c r="AI14" i="21"/>
  <c r="AY14" i="21"/>
  <c r="AU36" i="21"/>
  <c r="BK36" i="21"/>
  <c r="AQ71" i="21"/>
  <c r="BG71" i="21"/>
  <c r="AM68" i="21"/>
  <c r="BC68" i="21"/>
  <c r="AI90" i="21"/>
  <c r="AY90" i="21"/>
  <c r="AU121" i="21"/>
  <c r="BK121" i="21"/>
  <c r="AQ115" i="21"/>
  <c r="BG115" i="21"/>
  <c r="AM114" i="21"/>
  <c r="BC114" i="21"/>
  <c r="AI183" i="21"/>
  <c r="AY183" i="21"/>
  <c r="AU187" i="21"/>
  <c r="BK187" i="21"/>
  <c r="AM221" i="21"/>
  <c r="BC221" i="21"/>
  <c r="AI219" i="21"/>
  <c r="AY219" i="21"/>
  <c r="BJ219" i="21"/>
  <c r="AH234" i="21"/>
  <c r="AP234" i="21"/>
  <c r="AX234" i="21"/>
  <c r="BF234" i="21"/>
  <c r="AJ252" i="21"/>
  <c r="AP252" i="21"/>
  <c r="AU252" i="21"/>
  <c r="AZ252" i="21"/>
  <c r="BF252" i="21"/>
  <c r="BK252" i="21"/>
  <c r="AL243" i="21"/>
  <c r="AQ243" i="21"/>
  <c r="AV243" i="21"/>
  <c r="BB243" i="21"/>
  <c r="BG243" i="21"/>
  <c r="AH242" i="21"/>
  <c r="AM242" i="21"/>
  <c r="AR242" i="21"/>
  <c r="AX242" i="21"/>
  <c r="BC242" i="21"/>
  <c r="BH242" i="21"/>
  <c r="AI263" i="21"/>
  <c r="AN263" i="21"/>
  <c r="AT263" i="21"/>
  <c r="AY263" i="21"/>
  <c r="BD263" i="21"/>
  <c r="BJ263" i="21"/>
  <c r="AJ264" i="21"/>
  <c r="AP264" i="21"/>
  <c r="AU264" i="21"/>
  <c r="AZ264" i="21"/>
  <c r="BF264" i="21"/>
  <c r="BK264" i="21"/>
  <c r="AL267" i="21"/>
  <c r="AQ267" i="21"/>
  <c r="AV267" i="21"/>
  <c r="BB267" i="21"/>
  <c r="BG267" i="21"/>
  <c r="BK267" i="21"/>
  <c r="AI265" i="21"/>
  <c r="AM265" i="21"/>
  <c r="AQ265" i="21"/>
  <c r="AU265" i="21"/>
  <c r="AY265" i="21"/>
  <c r="BC265" i="21"/>
  <c r="BG265" i="21"/>
  <c r="BK265" i="21"/>
  <c r="AI277" i="21"/>
  <c r="AM277" i="21"/>
  <c r="AQ277" i="21"/>
  <c r="AU277" i="21"/>
  <c r="AY277" i="21"/>
  <c r="BC277" i="21"/>
  <c r="BG277" i="21"/>
  <c r="BK277" i="21"/>
  <c r="AI286" i="21"/>
  <c r="AM286" i="21"/>
  <c r="AQ286" i="21"/>
  <c r="AU286" i="21"/>
  <c r="AY286" i="21"/>
  <c r="BC286" i="21"/>
  <c r="BG286" i="21"/>
  <c r="BK286" i="21"/>
  <c r="AI310" i="21"/>
  <c r="AM310" i="21"/>
  <c r="AQ310" i="21"/>
  <c r="AU310" i="21"/>
  <c r="AY310" i="21"/>
  <c r="BC310" i="21"/>
  <c r="BG310" i="21"/>
  <c r="BK310" i="21"/>
  <c r="AI338" i="21"/>
  <c r="AM338" i="21"/>
  <c r="AQ338" i="21"/>
  <c r="AU338" i="21"/>
  <c r="AY338" i="21"/>
  <c r="BC338" i="21"/>
  <c r="BG338" i="21"/>
  <c r="BK338" i="21"/>
  <c r="AI357" i="21"/>
  <c r="AM357" i="21"/>
  <c r="AQ357" i="21"/>
  <c r="AU357" i="21"/>
  <c r="AY357" i="21"/>
  <c r="BC357" i="21"/>
  <c r="BG357" i="21"/>
  <c r="BK357" i="21"/>
  <c r="AI354" i="21"/>
  <c r="AM354" i="21"/>
  <c r="AQ354" i="21"/>
  <c r="AU354" i="21"/>
  <c r="AY354" i="21"/>
  <c r="BC354" i="21"/>
  <c r="BG354" i="21"/>
  <c r="BK354" i="21"/>
  <c r="AI362" i="21"/>
  <c r="AM362" i="21"/>
  <c r="AQ362" i="21"/>
  <c r="AU362" i="21"/>
  <c r="AY362" i="21"/>
  <c r="BC362" i="21"/>
  <c r="BG362" i="21"/>
  <c r="BK362" i="21"/>
  <c r="AI384" i="21"/>
  <c r="AM384" i="21"/>
  <c r="AQ384" i="21"/>
  <c r="AU384" i="21"/>
  <c r="AY384" i="21"/>
  <c r="BC384" i="21"/>
  <c r="BG384" i="21"/>
  <c r="BK384" i="21"/>
  <c r="AI366" i="21"/>
  <c r="AM366" i="21"/>
  <c r="AQ366" i="21"/>
  <c r="AU366" i="21"/>
  <c r="AY366" i="21"/>
  <c r="BC366" i="21"/>
  <c r="BG366" i="21"/>
  <c r="BK366" i="21"/>
  <c r="AI365" i="21"/>
  <c r="AM365" i="21"/>
  <c r="AQ365" i="21"/>
  <c r="AU365" i="21"/>
  <c r="AY365" i="21"/>
  <c r="BC365" i="21"/>
  <c r="BG365" i="21"/>
  <c r="BK365" i="21"/>
  <c r="AI380" i="21"/>
  <c r="AM380" i="21"/>
  <c r="AQ380" i="21"/>
  <c r="AU380" i="21"/>
  <c r="AY380" i="21"/>
  <c r="BC380" i="21"/>
  <c r="BG380" i="21"/>
  <c r="BK380" i="21"/>
  <c r="AI394" i="21"/>
  <c r="AM394" i="21"/>
  <c r="AQ394" i="21"/>
  <c r="AU394" i="21"/>
  <c r="AY394" i="21"/>
  <c r="BC394" i="21"/>
  <c r="BG394" i="21"/>
  <c r="BK394" i="21"/>
  <c r="AI445" i="21"/>
  <c r="AM445" i="21"/>
  <c r="AQ445" i="21"/>
  <c r="AU445" i="21"/>
  <c r="AY445" i="21"/>
  <c r="BC445" i="21"/>
  <c r="BG445" i="21"/>
  <c r="BK445" i="21"/>
  <c r="AI459" i="21"/>
  <c r="AM459" i="21"/>
  <c r="AQ459" i="21"/>
  <c r="AU459" i="21"/>
  <c r="AY459" i="21"/>
  <c r="BC459" i="21"/>
  <c r="BG459" i="21"/>
  <c r="BK459" i="21"/>
  <c r="AI476" i="21"/>
  <c r="AM476" i="21"/>
  <c r="AQ476" i="21"/>
  <c r="AU476" i="21"/>
  <c r="AY476" i="21"/>
  <c r="BC476" i="21"/>
  <c r="BG476" i="21"/>
  <c r="BK476" i="21"/>
  <c r="AI502" i="21"/>
  <c r="AM502" i="21"/>
  <c r="AQ502" i="21"/>
  <c r="AU502" i="21"/>
  <c r="AY502" i="21"/>
  <c r="BC502" i="21"/>
  <c r="BG502" i="21"/>
  <c r="BK502" i="21"/>
  <c r="AI497" i="21"/>
  <c r="AM497" i="21"/>
  <c r="AQ497" i="21"/>
  <c r="AU497" i="21"/>
  <c r="AY497" i="21"/>
  <c r="BC497" i="21"/>
  <c r="BG497" i="21"/>
  <c r="BK497" i="21"/>
  <c r="AI70" i="21"/>
  <c r="AM70" i="21"/>
  <c r="AQ70" i="21"/>
  <c r="AU70" i="21"/>
  <c r="AY70" i="21"/>
  <c r="BC70" i="21"/>
  <c r="BG70" i="21"/>
  <c r="BK70" i="21"/>
  <c r="AI212" i="21"/>
  <c r="AM212" i="21"/>
  <c r="AQ212" i="21"/>
  <c r="AU212" i="21"/>
  <c r="AY212" i="21"/>
  <c r="BC212" i="21"/>
  <c r="BG212" i="21"/>
  <c r="BK212" i="21"/>
  <c r="AI300" i="21"/>
  <c r="AM300" i="21"/>
  <c r="AQ300" i="21"/>
  <c r="AU300" i="21"/>
  <c r="AY300" i="21"/>
  <c r="BC300" i="21"/>
  <c r="BG300" i="21"/>
  <c r="BK300" i="21"/>
  <c r="AI291" i="21"/>
  <c r="AM291" i="21"/>
  <c r="AQ291" i="21"/>
  <c r="AU291" i="21"/>
  <c r="AY291" i="21"/>
  <c r="BC291" i="21"/>
  <c r="BG291" i="21"/>
  <c r="BK291" i="21"/>
  <c r="AI315" i="21"/>
  <c r="AM315" i="21"/>
  <c r="AQ315" i="21"/>
  <c r="AU315" i="21"/>
  <c r="AY315" i="21"/>
  <c r="BC315" i="21"/>
  <c r="BG315" i="21"/>
  <c r="BK315" i="21"/>
  <c r="AI510" i="21"/>
  <c r="AM510" i="21"/>
  <c r="AQ510" i="21"/>
  <c r="AU510" i="21"/>
  <c r="AY510" i="21"/>
  <c r="BC510" i="21"/>
  <c r="BG510" i="21"/>
  <c r="BK510" i="21"/>
  <c r="AI96" i="21"/>
  <c r="AM96" i="21"/>
  <c r="AQ96" i="21"/>
  <c r="AU96" i="21"/>
  <c r="AY96" i="21"/>
  <c r="BC96" i="21"/>
  <c r="BG96" i="21"/>
  <c r="BK96" i="21"/>
  <c r="AI176" i="21"/>
  <c r="AM176" i="21"/>
  <c r="AQ176" i="21"/>
  <c r="AU176" i="21"/>
  <c r="AY176" i="21"/>
  <c r="BC176" i="21"/>
  <c r="BG176" i="21"/>
  <c r="BK176" i="21"/>
  <c r="AI165" i="21"/>
  <c r="AM165" i="21"/>
  <c r="AQ165" i="21"/>
  <c r="AU165" i="21"/>
  <c r="AY165" i="21"/>
  <c r="BC165" i="21"/>
  <c r="BG165" i="21"/>
  <c r="BK165" i="21"/>
  <c r="AI210" i="21"/>
  <c r="AM210" i="21"/>
  <c r="AQ210" i="21"/>
  <c r="AU210" i="21"/>
  <c r="AY210" i="21"/>
  <c r="BC210" i="21"/>
  <c r="BG210" i="21"/>
  <c r="BK210" i="21"/>
  <c r="AI439" i="21"/>
  <c r="AM439" i="21"/>
  <c r="AQ439" i="21"/>
  <c r="AU439" i="21"/>
  <c r="AY439" i="21"/>
  <c r="BC439" i="21"/>
  <c r="BG439" i="21"/>
  <c r="BK439" i="21"/>
  <c r="AI89" i="21"/>
  <c r="AM89" i="21"/>
  <c r="AQ89" i="21"/>
  <c r="AU89" i="21"/>
  <c r="AY89" i="21"/>
  <c r="BC89" i="21"/>
  <c r="BG89" i="21"/>
  <c r="BK89" i="21"/>
  <c r="AI81" i="21"/>
  <c r="AM81" i="21"/>
  <c r="AQ81" i="21"/>
  <c r="AU81" i="21"/>
  <c r="AY81" i="21"/>
  <c r="BC81" i="21"/>
  <c r="BG81" i="21"/>
  <c r="BK81" i="21"/>
  <c r="AI521" i="21"/>
  <c r="AM521" i="21"/>
  <c r="AQ521" i="21"/>
  <c r="AU521" i="21"/>
  <c r="AY521" i="21"/>
  <c r="BC521" i="21"/>
  <c r="BG521" i="21"/>
  <c r="BK521" i="21"/>
  <c r="AI256" i="21"/>
  <c r="AM256" i="21"/>
  <c r="AQ256" i="21"/>
  <c r="AU256" i="21"/>
  <c r="AY256" i="21"/>
  <c r="BC256" i="21"/>
  <c r="BG256" i="21"/>
  <c r="BK256" i="21"/>
  <c r="AI287" i="21"/>
  <c r="AM287" i="21"/>
  <c r="AQ287" i="21"/>
  <c r="AU287" i="21"/>
  <c r="AY287" i="21"/>
  <c r="BC287" i="21"/>
  <c r="BG287" i="21"/>
  <c r="BK287" i="21"/>
  <c r="AI333" i="21"/>
  <c r="AM333" i="21"/>
  <c r="AQ333" i="21"/>
  <c r="AU333" i="21"/>
  <c r="AY333" i="21"/>
  <c r="BC333" i="21"/>
  <c r="BG333" i="21"/>
  <c r="BK333" i="21"/>
  <c r="AI410" i="21"/>
  <c r="AM410" i="21"/>
  <c r="AQ410" i="21"/>
  <c r="AU410" i="21"/>
  <c r="AY410" i="21"/>
  <c r="BC410" i="21"/>
  <c r="BG410" i="21"/>
  <c r="BK410" i="21"/>
  <c r="AI117" i="21"/>
  <c r="AM117" i="21"/>
  <c r="AQ117" i="21"/>
  <c r="AU117" i="21"/>
  <c r="AY117" i="21"/>
  <c r="BC117" i="21"/>
  <c r="BG117" i="21"/>
  <c r="BK117" i="21"/>
  <c r="AI10" i="21"/>
  <c r="AM10" i="21"/>
  <c r="AQ10" i="21"/>
  <c r="AU10" i="21"/>
  <c r="AY10" i="21"/>
  <c r="BC10" i="21"/>
  <c r="BG10" i="21"/>
  <c r="BK10" i="21"/>
  <c r="AI21" i="21"/>
  <c r="AM21" i="21"/>
  <c r="AQ21" i="21"/>
  <c r="AU21" i="21"/>
  <c r="AY21" i="21"/>
  <c r="BC21" i="21"/>
  <c r="BG21" i="21"/>
  <c r="BK21" i="21"/>
  <c r="AI18" i="21"/>
  <c r="AM18" i="21"/>
  <c r="AQ18" i="21"/>
  <c r="AU18" i="21"/>
  <c r="AY18" i="21"/>
  <c r="BC18" i="21"/>
  <c r="BG18" i="21"/>
  <c r="BK18" i="21"/>
  <c r="AI13" i="21"/>
  <c r="AM13" i="21"/>
  <c r="AQ13" i="21"/>
  <c r="AU13" i="21"/>
  <c r="AY13" i="21"/>
  <c r="BC13" i="21"/>
  <c r="BG13" i="21"/>
  <c r="BK13" i="21"/>
  <c r="AI12" i="21"/>
  <c r="AM12" i="21"/>
  <c r="AQ12" i="21"/>
  <c r="AU12" i="21"/>
  <c r="AY12" i="21"/>
  <c r="BC12" i="21"/>
  <c r="BG12" i="21"/>
  <c r="BK12" i="21"/>
  <c r="AI23" i="21"/>
  <c r="AM23" i="21"/>
  <c r="AQ23" i="21"/>
  <c r="AU23" i="21"/>
  <c r="AY23" i="21"/>
  <c r="BC23" i="21"/>
  <c r="BG23" i="21"/>
  <c r="BK23" i="21"/>
  <c r="AI15" i="21"/>
  <c r="AM15" i="21"/>
  <c r="AQ15" i="21"/>
  <c r="AU15" i="21"/>
  <c r="AY15" i="21"/>
  <c r="BC15" i="21"/>
  <c r="BG15" i="21"/>
  <c r="BK15" i="21"/>
  <c r="AI19" i="21"/>
  <c r="AM19" i="21"/>
  <c r="AQ19" i="21"/>
  <c r="AU19" i="21"/>
  <c r="AY19" i="21"/>
  <c r="BC19" i="21"/>
  <c r="BG19" i="21"/>
  <c r="BK19" i="21"/>
  <c r="AI6" i="21"/>
  <c r="AM6" i="21"/>
  <c r="AQ6" i="21"/>
  <c r="AU6" i="21"/>
  <c r="AY6" i="21"/>
  <c r="BC6" i="21"/>
  <c r="BG6" i="21"/>
  <c r="BK6" i="21"/>
  <c r="AI8" i="21"/>
  <c r="AM8" i="21"/>
  <c r="AQ8" i="21"/>
  <c r="AU8" i="21"/>
  <c r="AY8" i="21"/>
  <c r="BC8" i="21"/>
  <c r="BG8" i="21"/>
  <c r="BK8" i="21"/>
  <c r="AI7" i="21"/>
  <c r="AM7" i="21"/>
  <c r="AQ7" i="21"/>
  <c r="AU7" i="21"/>
  <c r="AY7" i="21"/>
  <c r="BC7" i="21"/>
  <c r="BG7" i="21"/>
  <c r="BK7" i="21"/>
  <c r="AI45" i="21"/>
  <c r="AM45" i="21"/>
  <c r="AQ45" i="21"/>
  <c r="AU45" i="21"/>
  <c r="AY45" i="21"/>
  <c r="BC45" i="21"/>
  <c r="BG45" i="21"/>
  <c r="BK45" i="21"/>
  <c r="AI29" i="21"/>
  <c r="AM29" i="21"/>
  <c r="AQ29" i="21"/>
  <c r="AU29" i="21"/>
  <c r="AY29" i="21"/>
  <c r="BC29" i="21"/>
  <c r="BG29" i="21"/>
  <c r="BK29" i="21"/>
  <c r="AI30" i="21"/>
  <c r="AM30" i="21"/>
  <c r="AQ30" i="21"/>
  <c r="AU30" i="21"/>
  <c r="AY30" i="21"/>
  <c r="BC30" i="21"/>
  <c r="BG30" i="21"/>
  <c r="BK30" i="21"/>
  <c r="AI28" i="21"/>
  <c r="AM28" i="21"/>
  <c r="AQ28" i="21"/>
  <c r="AU28" i="21"/>
  <c r="AY28" i="21"/>
  <c r="BC28" i="21"/>
  <c r="BG28" i="21"/>
  <c r="BK28" i="21"/>
  <c r="AI27" i="21"/>
  <c r="AM27" i="21"/>
  <c r="AQ27" i="21"/>
  <c r="AU27" i="21"/>
  <c r="AY27" i="21"/>
  <c r="BC27" i="21"/>
  <c r="BG27" i="21"/>
  <c r="BK27" i="21"/>
  <c r="AI44" i="21"/>
  <c r="AM44" i="21"/>
  <c r="AQ44" i="21"/>
  <c r="AU44" i="21"/>
  <c r="AY44" i="21"/>
  <c r="BC44" i="21"/>
  <c r="BG44" i="21"/>
  <c r="BK44" i="21"/>
  <c r="AI34" i="21"/>
  <c r="AM34" i="21"/>
  <c r="AQ34" i="21"/>
  <c r="AU34" i="21"/>
  <c r="AY34" i="21"/>
  <c r="BC34" i="21"/>
  <c r="BG34" i="21"/>
  <c r="BK34" i="21"/>
  <c r="AI35" i="21"/>
  <c r="AM35" i="21"/>
  <c r="AQ35" i="21"/>
  <c r="AU35" i="21"/>
  <c r="AY35" i="21"/>
  <c r="BC35" i="21"/>
  <c r="BG35" i="21"/>
  <c r="BK35" i="21"/>
  <c r="AI43" i="21"/>
  <c r="AM43" i="21"/>
  <c r="AQ43" i="21"/>
  <c r="AU43" i="21"/>
  <c r="AY43" i="21"/>
  <c r="BC43" i="21"/>
  <c r="BG43" i="21"/>
  <c r="BK43" i="21"/>
  <c r="AI42" i="21"/>
  <c r="AM42" i="21"/>
  <c r="AQ42" i="21"/>
  <c r="AU42" i="21"/>
  <c r="AY42" i="21"/>
  <c r="BC42" i="21"/>
  <c r="BG42" i="21"/>
  <c r="BK42" i="21"/>
  <c r="AI72" i="21"/>
  <c r="AM72" i="21"/>
  <c r="AQ72" i="21"/>
  <c r="AU72" i="21"/>
  <c r="AY72" i="21"/>
  <c r="BC72" i="21"/>
  <c r="BG72" i="21"/>
  <c r="BK72" i="21"/>
  <c r="AI74" i="21"/>
  <c r="AM74" i="21"/>
  <c r="AQ74" i="21"/>
  <c r="AU74" i="21"/>
  <c r="AY74" i="21"/>
  <c r="BC74" i="21"/>
  <c r="BG74" i="21"/>
  <c r="BK74" i="21"/>
  <c r="AI63" i="21"/>
  <c r="AM63" i="21"/>
  <c r="AQ63" i="21"/>
  <c r="AU63" i="21"/>
  <c r="AY63" i="21"/>
  <c r="BC63" i="21"/>
  <c r="BG63" i="21"/>
  <c r="BK63" i="21"/>
  <c r="AI64" i="21"/>
  <c r="AM64" i="21"/>
  <c r="AQ64" i="21"/>
  <c r="AU64" i="21"/>
  <c r="AY64" i="21"/>
  <c r="BC64" i="21"/>
  <c r="BG64" i="21"/>
  <c r="BK64" i="21"/>
  <c r="AI69" i="21"/>
  <c r="AM69" i="21"/>
  <c r="AQ69" i="21"/>
  <c r="AU69" i="21"/>
  <c r="AY69" i="21"/>
  <c r="BC69" i="21"/>
  <c r="BG69" i="21"/>
  <c r="BK69" i="21"/>
  <c r="AI77" i="21"/>
  <c r="AM77" i="21"/>
  <c r="AQ77" i="21"/>
  <c r="AU77" i="21"/>
  <c r="AY77" i="21"/>
  <c r="BC77" i="21"/>
  <c r="BG77" i="21"/>
  <c r="BK77" i="21"/>
  <c r="AI61" i="21"/>
  <c r="AM61" i="21"/>
  <c r="AQ61" i="21"/>
  <c r="AU61" i="21"/>
  <c r="AY61" i="21"/>
  <c r="BC61" i="21"/>
  <c r="BG61" i="21"/>
  <c r="BK61" i="21"/>
  <c r="AI79" i="21"/>
  <c r="AM79" i="21"/>
  <c r="AQ79" i="21"/>
  <c r="AU79" i="21"/>
  <c r="AY79" i="21"/>
  <c r="BC79" i="21"/>
  <c r="BG79" i="21"/>
  <c r="BK79" i="21"/>
  <c r="AI99" i="21"/>
  <c r="AM99" i="21"/>
  <c r="AQ99" i="21"/>
  <c r="AU99" i="21"/>
  <c r="AY99" i="21"/>
  <c r="BC99" i="21"/>
  <c r="BG99" i="21"/>
  <c r="BK99" i="21"/>
  <c r="AI88" i="21"/>
  <c r="AM88" i="21"/>
  <c r="AQ88" i="21"/>
  <c r="AU88" i="21"/>
  <c r="AY88" i="21"/>
  <c r="BC88" i="21"/>
  <c r="BG88" i="21"/>
  <c r="BK88" i="21"/>
  <c r="AI86" i="21"/>
  <c r="AM86" i="21"/>
  <c r="AQ86" i="21"/>
  <c r="AU86" i="21"/>
  <c r="AY86" i="21"/>
  <c r="BC86" i="21"/>
  <c r="BG86" i="21"/>
  <c r="BK86" i="21"/>
  <c r="AI104" i="21"/>
  <c r="AM104" i="21"/>
  <c r="AQ104" i="21"/>
  <c r="AU104" i="21"/>
  <c r="AY104" i="21"/>
  <c r="BC104" i="21"/>
  <c r="BG104" i="21"/>
  <c r="BK104" i="21"/>
  <c r="AI97" i="21"/>
  <c r="AM97" i="21"/>
  <c r="AQ97" i="21"/>
  <c r="AU97" i="21"/>
  <c r="AY97" i="21"/>
  <c r="BC97" i="21"/>
  <c r="BG97" i="21"/>
  <c r="BK97" i="21"/>
  <c r="AI87" i="21"/>
  <c r="AM87" i="21"/>
  <c r="AQ87" i="21"/>
  <c r="AU87" i="21"/>
  <c r="AY87" i="21"/>
  <c r="BC87" i="21"/>
  <c r="BG87" i="21"/>
  <c r="BK87" i="21"/>
  <c r="AI92" i="21"/>
  <c r="AM92" i="21"/>
  <c r="AQ92" i="21"/>
  <c r="AU92" i="21"/>
  <c r="AY92" i="21"/>
  <c r="BC92" i="21"/>
  <c r="BG92" i="21"/>
  <c r="BK92" i="21"/>
  <c r="AI116" i="21"/>
  <c r="AM116" i="21"/>
  <c r="AQ116" i="21"/>
  <c r="AU116" i="21"/>
  <c r="AY116" i="21"/>
  <c r="BC116" i="21"/>
  <c r="BG116" i="21"/>
  <c r="BK116" i="21"/>
  <c r="AI113" i="21"/>
  <c r="AM113" i="21"/>
  <c r="AQ113" i="21"/>
  <c r="AU113" i="21"/>
  <c r="AY113" i="21"/>
  <c r="BC113" i="21"/>
  <c r="BG113" i="21"/>
  <c r="BK113" i="21"/>
  <c r="AI119" i="21"/>
  <c r="AM119" i="21"/>
  <c r="AQ119" i="21"/>
  <c r="AU119" i="21"/>
  <c r="AY119" i="21"/>
  <c r="BC119" i="21"/>
  <c r="BG119" i="21"/>
  <c r="BK119" i="21"/>
  <c r="AI110" i="21"/>
  <c r="AM110" i="21"/>
  <c r="AQ110" i="21"/>
  <c r="AU110" i="21"/>
  <c r="AY110" i="21"/>
  <c r="BC110" i="21"/>
  <c r="BG110" i="21"/>
  <c r="BK110" i="21"/>
  <c r="AI125" i="21"/>
  <c r="AM125" i="21"/>
  <c r="AQ125" i="21"/>
  <c r="AU125" i="21"/>
  <c r="AY125" i="21"/>
  <c r="BC125" i="21"/>
  <c r="BG125" i="21"/>
  <c r="BK125" i="21"/>
  <c r="AI130" i="21"/>
  <c r="AM130" i="21"/>
  <c r="AQ130" i="21"/>
  <c r="AU130" i="21"/>
  <c r="AY130" i="21"/>
  <c r="BC130" i="21"/>
  <c r="BG130" i="21"/>
  <c r="BK130" i="21"/>
  <c r="AI122" i="21"/>
  <c r="AM122" i="21"/>
  <c r="AQ122" i="21"/>
  <c r="AU122" i="21"/>
  <c r="AY122" i="21"/>
  <c r="BC122" i="21"/>
  <c r="BG122" i="21"/>
  <c r="BK122" i="21"/>
  <c r="AI108" i="21"/>
  <c r="AM108" i="21"/>
  <c r="AQ108" i="21"/>
  <c r="AU108" i="21"/>
  <c r="AY108" i="21"/>
  <c r="BC108" i="21"/>
  <c r="BG108" i="21"/>
  <c r="BK108" i="21"/>
  <c r="AI123" i="21"/>
  <c r="AM123" i="21"/>
  <c r="AQ123" i="21"/>
  <c r="AU123" i="21"/>
  <c r="AY123" i="21"/>
  <c r="BC123" i="21"/>
  <c r="BG123" i="21"/>
  <c r="BK123" i="21"/>
  <c r="AI147" i="21"/>
  <c r="AM147" i="21"/>
  <c r="AQ147" i="21"/>
  <c r="AU147" i="21"/>
  <c r="AY147" i="21"/>
  <c r="BC147" i="21"/>
  <c r="BG147" i="21"/>
  <c r="BK147" i="21"/>
  <c r="AI149" i="21"/>
  <c r="AM149" i="21"/>
  <c r="AQ149" i="21"/>
  <c r="AU149" i="21"/>
  <c r="AY149" i="21"/>
  <c r="BC149" i="21"/>
  <c r="BG149" i="21"/>
  <c r="BK149" i="21"/>
  <c r="AI131" i="21"/>
  <c r="AM131" i="21"/>
  <c r="AQ131" i="21"/>
  <c r="AU131" i="21"/>
  <c r="AY131" i="21"/>
  <c r="BC131" i="21"/>
  <c r="BG131" i="21"/>
  <c r="BK131" i="21"/>
  <c r="AI140" i="21"/>
  <c r="AM140" i="21"/>
  <c r="AQ140" i="21"/>
  <c r="AU140" i="21"/>
  <c r="AY140" i="21"/>
  <c r="BC140" i="21"/>
  <c r="BG140" i="21"/>
  <c r="BK140" i="21"/>
  <c r="AI146" i="21"/>
  <c r="AM146" i="21"/>
  <c r="AQ146" i="21"/>
  <c r="AU146" i="21"/>
  <c r="AY146" i="21"/>
  <c r="BC146" i="21"/>
  <c r="BG146" i="21"/>
  <c r="BK146" i="21"/>
  <c r="AI157" i="21"/>
  <c r="AM157" i="21"/>
  <c r="AQ157" i="21"/>
  <c r="AU157" i="21"/>
  <c r="AY157" i="21"/>
  <c r="BC157" i="21"/>
  <c r="BG157" i="21"/>
  <c r="BK157" i="21"/>
  <c r="AI138" i="21"/>
  <c r="AM138" i="21"/>
  <c r="AQ138" i="21"/>
  <c r="AU138" i="21"/>
  <c r="AY138" i="21"/>
  <c r="BC138" i="21"/>
  <c r="BG138" i="21"/>
  <c r="BK138" i="21"/>
  <c r="AI155" i="21"/>
  <c r="AM155" i="21"/>
  <c r="AQ155" i="21"/>
  <c r="AU155" i="21"/>
  <c r="AY155" i="21"/>
  <c r="BC155" i="21"/>
  <c r="BG155" i="21"/>
  <c r="BK155" i="21"/>
  <c r="AI141" i="21"/>
  <c r="AM141" i="21"/>
  <c r="AQ141" i="21"/>
  <c r="AU141" i="21"/>
  <c r="AY141" i="21"/>
  <c r="BC141" i="21"/>
  <c r="BG141" i="21"/>
  <c r="BK141" i="21"/>
  <c r="AI156" i="21"/>
  <c r="AM156" i="21"/>
  <c r="AQ156" i="21"/>
  <c r="AU156" i="21"/>
  <c r="AY156" i="21"/>
  <c r="BC156" i="21"/>
  <c r="BG156" i="21"/>
  <c r="BK156" i="21"/>
  <c r="AI133" i="21"/>
  <c r="AM133" i="21"/>
  <c r="AQ133" i="21"/>
  <c r="AU133" i="21"/>
  <c r="AY133" i="21"/>
  <c r="BC133" i="21"/>
  <c r="BG133" i="21"/>
  <c r="BK133" i="21"/>
  <c r="AI160" i="21"/>
  <c r="AM160" i="21"/>
  <c r="AQ160" i="21"/>
  <c r="AU160" i="21"/>
  <c r="AY160" i="21"/>
  <c r="BC160" i="21"/>
  <c r="BG160" i="21"/>
  <c r="BK160" i="21"/>
  <c r="AI161" i="21"/>
  <c r="AM161" i="21"/>
  <c r="AQ161" i="21"/>
  <c r="AU161" i="21"/>
  <c r="AY161" i="21"/>
  <c r="BC161" i="21"/>
  <c r="BG161" i="21"/>
  <c r="BK161" i="21"/>
  <c r="AI170" i="21"/>
  <c r="AM170" i="21"/>
  <c r="AQ170" i="21"/>
  <c r="AU170" i="21"/>
  <c r="AY170" i="21"/>
  <c r="BC170" i="21"/>
  <c r="BG170" i="21"/>
  <c r="BK170" i="21"/>
  <c r="AI182" i="21"/>
  <c r="AM182" i="21"/>
  <c r="AQ182" i="21"/>
  <c r="AU182" i="21"/>
  <c r="AY182" i="21"/>
  <c r="BC182" i="21"/>
  <c r="BG182" i="21"/>
  <c r="BK182" i="21"/>
  <c r="AI203" i="21"/>
  <c r="AM203" i="21"/>
  <c r="AQ203" i="21"/>
  <c r="AU203" i="21"/>
  <c r="AY203" i="21"/>
  <c r="BC203" i="21"/>
  <c r="BG203" i="21"/>
  <c r="BK203" i="21"/>
  <c r="AI195" i="21"/>
  <c r="AM195" i="21"/>
  <c r="AQ195" i="21"/>
  <c r="AU195" i="21"/>
  <c r="AY195" i="21"/>
  <c r="BC195" i="21"/>
  <c r="BG195" i="21"/>
  <c r="BK195" i="21"/>
  <c r="AI194" i="21"/>
  <c r="AM194" i="21"/>
  <c r="AQ194" i="21"/>
  <c r="AU194" i="21"/>
  <c r="AY194" i="21"/>
  <c r="BC194" i="21"/>
  <c r="BG194" i="21"/>
  <c r="BK194" i="21"/>
  <c r="AI192" i="21"/>
  <c r="AM192" i="21"/>
  <c r="AQ192" i="21"/>
  <c r="AU192" i="21"/>
  <c r="AY192" i="21"/>
  <c r="BC192" i="21"/>
  <c r="BG192" i="21"/>
  <c r="BK192" i="21"/>
  <c r="AI207" i="21"/>
  <c r="AM207" i="21"/>
  <c r="AQ207" i="21"/>
  <c r="AU207" i="21"/>
  <c r="AY207" i="21"/>
  <c r="BC207" i="21"/>
  <c r="BG207" i="21"/>
  <c r="BK207" i="21"/>
  <c r="AI201" i="21"/>
  <c r="AM201" i="21"/>
  <c r="AQ201" i="21"/>
  <c r="AU201" i="21"/>
  <c r="AY201" i="21"/>
  <c r="BC201" i="21"/>
  <c r="BG201" i="21"/>
  <c r="BK201" i="21"/>
  <c r="AI199" i="21"/>
  <c r="AM199" i="21"/>
  <c r="AQ199" i="21"/>
  <c r="AU199" i="21"/>
  <c r="AY199" i="21"/>
  <c r="BC199" i="21"/>
  <c r="BG199" i="21"/>
  <c r="BK199" i="21"/>
  <c r="AI227" i="21"/>
  <c r="AM227" i="21"/>
  <c r="AQ227" i="21"/>
  <c r="AU227" i="21"/>
  <c r="AY227" i="21"/>
  <c r="BC227" i="21"/>
  <c r="BG227" i="21"/>
  <c r="BK227" i="21"/>
  <c r="AI228" i="21"/>
  <c r="AM228" i="21"/>
  <c r="AQ228" i="21"/>
  <c r="AU228" i="21"/>
  <c r="AY228" i="21"/>
  <c r="BC228" i="21"/>
  <c r="BG228" i="21"/>
  <c r="BK228" i="21"/>
  <c r="AW82" i="21"/>
  <c r="BF260" i="21"/>
  <c r="BI346" i="21"/>
  <c r="AZ406" i="21"/>
  <c r="BD426" i="21"/>
  <c r="BE469" i="21"/>
  <c r="AW474" i="21"/>
  <c r="AO511" i="21"/>
  <c r="AK39" i="21"/>
  <c r="BE98" i="21"/>
  <c r="AW109" i="21"/>
  <c r="AO136" i="21"/>
  <c r="BI185" i="21"/>
  <c r="BA254" i="21"/>
  <c r="AS269" i="21"/>
  <c r="AK292" i="21"/>
  <c r="BE295" i="21"/>
  <c r="AW331" i="21"/>
  <c r="AO319" i="21"/>
  <c r="BI370" i="21"/>
  <c r="BA393" i="21"/>
  <c r="AS414" i="21"/>
  <c r="AK417" i="21"/>
  <c r="BE490" i="21"/>
  <c r="AW495" i="21"/>
  <c r="AW38" i="21"/>
  <c r="AS37" i="21"/>
  <c r="AO127" i="21"/>
  <c r="AK124" i="21"/>
  <c r="BB163" i="21"/>
  <c r="AN191" i="21"/>
  <c r="BI191" i="21"/>
  <c r="AT229" i="21"/>
  <c r="BA253" i="21"/>
  <c r="AL244" i="21"/>
  <c r="BH244" i="21"/>
  <c r="AS247" i="21"/>
  <c r="AZ316" i="21"/>
  <c r="AI361" i="21"/>
  <c r="AY361" i="21"/>
  <c r="AU409" i="21"/>
  <c r="BK409" i="21"/>
  <c r="AQ396" i="21"/>
  <c r="BG396" i="21"/>
  <c r="AM398" i="21"/>
  <c r="BC398" i="21"/>
  <c r="AI407" i="21"/>
  <c r="AY407" i="21"/>
  <c r="AU451" i="21"/>
  <c r="BK451" i="21"/>
  <c r="AQ458" i="21"/>
  <c r="BG458" i="21"/>
  <c r="AM472" i="21"/>
  <c r="BC472" i="21"/>
  <c r="AI496" i="21"/>
  <c r="AY496" i="21"/>
  <c r="AU512" i="21"/>
  <c r="BK512" i="21"/>
  <c r="AQ501" i="21"/>
  <c r="BG501" i="21"/>
  <c r="AM46" i="21"/>
  <c r="BC46" i="21"/>
  <c r="AI58" i="21"/>
  <c r="AY58" i="21"/>
  <c r="AU83" i="21"/>
  <c r="BK83" i="21"/>
  <c r="AQ105" i="21"/>
  <c r="BG105" i="21"/>
  <c r="AM145" i="21"/>
  <c r="BC145" i="21"/>
  <c r="AI177" i="21"/>
  <c r="AY177" i="21"/>
  <c r="AU164" i="21"/>
  <c r="BK164" i="21"/>
  <c r="AQ189" i="21"/>
  <c r="BG189" i="21"/>
  <c r="AM209" i="21"/>
  <c r="BC209" i="21"/>
  <c r="AI304" i="21"/>
  <c r="AY304" i="21"/>
  <c r="AU334" i="21"/>
  <c r="BK334" i="21"/>
  <c r="AQ337" i="21"/>
  <c r="BG337" i="21"/>
  <c r="AM374" i="21"/>
  <c r="BC374" i="21"/>
  <c r="AI371" i="21"/>
  <c r="AY371" i="21"/>
  <c r="AU390" i="21"/>
  <c r="BK390" i="21"/>
  <c r="AQ404" i="21"/>
  <c r="BG404" i="21"/>
  <c r="AM397" i="21"/>
  <c r="BC397" i="21"/>
  <c r="AI437" i="21"/>
  <c r="AY437" i="21"/>
  <c r="AU440" i="21"/>
  <c r="BK440" i="21"/>
  <c r="AQ443" i="21"/>
  <c r="BG443" i="21"/>
  <c r="AM447" i="21"/>
  <c r="BC447" i="21"/>
  <c r="AI487" i="21"/>
  <c r="AY487" i="21"/>
  <c r="AU483" i="21"/>
  <c r="BK483" i="21"/>
  <c r="AQ493" i="21"/>
  <c r="BG493" i="21"/>
  <c r="AM520" i="21"/>
  <c r="BC520" i="21"/>
  <c r="AM14" i="21"/>
  <c r="BC14" i="21"/>
  <c r="AI36" i="21"/>
  <c r="AY36" i="21"/>
  <c r="AU71" i="21"/>
  <c r="BK71" i="21"/>
  <c r="AQ68" i="21"/>
  <c r="BG68" i="21"/>
  <c r="AM90" i="21"/>
  <c r="BC90" i="21"/>
  <c r="AI121" i="21"/>
  <c r="AY121" i="21"/>
  <c r="AU115" i="21"/>
  <c r="BK115" i="21"/>
  <c r="AQ114" i="21"/>
  <c r="BG114" i="21"/>
  <c r="AM183" i="21"/>
  <c r="BC183" i="21"/>
  <c r="AI187" i="21"/>
  <c r="AY187" i="21"/>
  <c r="AQ221" i="21"/>
  <c r="BG221" i="21"/>
  <c r="AM219" i="21"/>
  <c r="BC219" i="21"/>
  <c r="BK219" i="21"/>
  <c r="AI234" i="21"/>
  <c r="AQ234" i="21"/>
  <c r="AY234" i="21"/>
  <c r="BG234" i="21"/>
  <c r="AL252" i="21"/>
  <c r="AQ252" i="21"/>
  <c r="AV252" i="21"/>
  <c r="BB252" i="21"/>
  <c r="BG252" i="21"/>
  <c r="AH243" i="21"/>
  <c r="AM243" i="21"/>
  <c r="AR243" i="21"/>
  <c r="AX243" i="21"/>
  <c r="BC243" i="21"/>
  <c r="BH243" i="21"/>
  <c r="AI242" i="21"/>
  <c r="AN242" i="21"/>
  <c r="AT242" i="21"/>
  <c r="AY242" i="21"/>
  <c r="BD242" i="21"/>
  <c r="BJ242" i="21"/>
  <c r="AJ263" i="21"/>
  <c r="AP263" i="21"/>
  <c r="AU263" i="21"/>
  <c r="AZ263" i="21"/>
  <c r="BF263" i="21"/>
  <c r="BK263" i="21"/>
  <c r="AL264" i="21"/>
  <c r="AQ264" i="21"/>
  <c r="AV264" i="21"/>
  <c r="BB264" i="21"/>
  <c r="BG264" i="21"/>
  <c r="AH267" i="21"/>
  <c r="AM267" i="21"/>
  <c r="AR267" i="21"/>
  <c r="AX267" i="21"/>
  <c r="BC267" i="21"/>
  <c r="BH267" i="21"/>
  <c r="AJ265" i="21"/>
  <c r="AN265" i="21"/>
  <c r="AR265" i="21"/>
  <c r="AV265" i="21"/>
  <c r="AZ265" i="21"/>
  <c r="BD265" i="21"/>
  <c r="BH265" i="21"/>
  <c r="AJ277" i="21"/>
  <c r="AN277" i="21"/>
  <c r="AR277" i="21"/>
  <c r="AV277" i="21"/>
  <c r="AZ277" i="21"/>
  <c r="BD277" i="21"/>
  <c r="BH277" i="21"/>
  <c r="AJ286" i="21"/>
  <c r="AN286" i="21"/>
  <c r="AR286" i="21"/>
  <c r="AV286" i="21"/>
  <c r="AZ286" i="21"/>
  <c r="BD286" i="21"/>
  <c r="BH286" i="21"/>
  <c r="AJ310" i="21"/>
  <c r="AN310" i="21"/>
  <c r="AR310" i="21"/>
  <c r="AV310" i="21"/>
  <c r="AZ310" i="21"/>
  <c r="BD310" i="21"/>
  <c r="BH310" i="21"/>
  <c r="AJ338" i="21"/>
  <c r="AN338" i="21"/>
  <c r="AR338" i="21"/>
  <c r="AV338" i="21"/>
  <c r="AZ338" i="21"/>
  <c r="BD338" i="21"/>
  <c r="BH338" i="21"/>
  <c r="AJ357" i="21"/>
  <c r="AN357" i="21"/>
  <c r="AR357" i="21"/>
  <c r="AV357" i="21"/>
  <c r="AZ357" i="21"/>
  <c r="BD357" i="21"/>
  <c r="BH357" i="21"/>
  <c r="AJ354" i="21"/>
  <c r="AN354" i="21"/>
  <c r="AR354" i="21"/>
  <c r="AV354" i="21"/>
  <c r="AZ354" i="21"/>
  <c r="BD354" i="21"/>
  <c r="BH354" i="21"/>
  <c r="AJ362" i="21"/>
  <c r="AN362" i="21"/>
  <c r="AR362" i="21"/>
  <c r="AV362" i="21"/>
  <c r="AZ362" i="21"/>
  <c r="BD362" i="21"/>
  <c r="BH362" i="21"/>
  <c r="AJ384" i="21"/>
  <c r="AN384" i="21"/>
  <c r="AR384" i="21"/>
  <c r="AV384" i="21"/>
  <c r="AZ384" i="21"/>
  <c r="BD384" i="21"/>
  <c r="BH384" i="21"/>
  <c r="AJ366" i="21"/>
  <c r="AN366" i="21"/>
  <c r="AR366" i="21"/>
  <c r="AV366" i="21"/>
  <c r="AZ366" i="21"/>
  <c r="BD366" i="21"/>
  <c r="BH366" i="21"/>
  <c r="AJ365" i="21"/>
  <c r="AN365" i="21"/>
  <c r="AR365" i="21"/>
  <c r="AV365" i="21"/>
  <c r="AZ365" i="21"/>
  <c r="BD365" i="21"/>
  <c r="BH365" i="21"/>
  <c r="AJ380" i="21"/>
  <c r="AN380" i="21"/>
  <c r="AR380" i="21"/>
  <c r="AV380" i="21"/>
  <c r="AZ380" i="21"/>
  <c r="BD380" i="21"/>
  <c r="BH380" i="21"/>
  <c r="AJ394" i="21"/>
  <c r="AN394" i="21"/>
  <c r="AR394" i="21"/>
  <c r="AV394" i="21"/>
  <c r="AZ394" i="21"/>
  <c r="BD394" i="21"/>
  <c r="BH394" i="21"/>
  <c r="AJ445" i="21"/>
  <c r="AN445" i="21"/>
  <c r="AR445" i="21"/>
  <c r="AV445" i="21"/>
  <c r="AZ445" i="21"/>
  <c r="BD445" i="21"/>
  <c r="BH445" i="21"/>
  <c r="AJ459" i="21"/>
  <c r="AN459" i="21"/>
  <c r="AR459" i="21"/>
  <c r="AV459" i="21"/>
  <c r="AZ459" i="21"/>
  <c r="BD459" i="21"/>
  <c r="BH459" i="21"/>
  <c r="AJ476" i="21"/>
  <c r="AN476" i="21"/>
  <c r="AR476" i="21"/>
  <c r="AV476" i="21"/>
  <c r="AZ476" i="21"/>
  <c r="BD476" i="21"/>
  <c r="BH476" i="21"/>
  <c r="AJ502" i="21"/>
  <c r="AN502" i="21"/>
  <c r="AR502" i="21"/>
  <c r="AV502" i="21"/>
  <c r="AZ502" i="21"/>
  <c r="BD502" i="21"/>
  <c r="BH502" i="21"/>
  <c r="AJ497" i="21"/>
  <c r="AN497" i="21"/>
  <c r="AR497" i="21"/>
  <c r="AV497" i="21"/>
  <c r="AZ497" i="21"/>
  <c r="BD497" i="21"/>
  <c r="BH497" i="21"/>
  <c r="AJ70" i="21"/>
  <c r="AN70" i="21"/>
  <c r="AR70" i="21"/>
  <c r="AV70" i="21"/>
  <c r="AZ70" i="21"/>
  <c r="BD70" i="21"/>
  <c r="BH70" i="21"/>
  <c r="AJ212" i="21"/>
  <c r="AN212" i="21"/>
  <c r="AR212" i="21"/>
  <c r="AV212" i="21"/>
  <c r="AZ212" i="21"/>
  <c r="BD212" i="21"/>
  <c r="BH212" i="21"/>
  <c r="AJ300" i="21"/>
  <c r="AN300" i="21"/>
  <c r="AR300" i="21"/>
  <c r="AV300" i="21"/>
  <c r="AZ300" i="21"/>
  <c r="BD300" i="21"/>
  <c r="BH300" i="21"/>
  <c r="AJ291" i="21"/>
  <c r="AN291" i="21"/>
  <c r="AR291" i="21"/>
  <c r="AV291" i="21"/>
  <c r="AZ291" i="21"/>
  <c r="BD291" i="21"/>
  <c r="BH291" i="21"/>
  <c r="AJ315" i="21"/>
  <c r="AN315" i="21"/>
  <c r="AR315" i="21"/>
  <c r="AV315" i="21"/>
  <c r="AZ315" i="21"/>
  <c r="BD315" i="21"/>
  <c r="BH315" i="21"/>
  <c r="AJ510" i="21"/>
  <c r="AN510" i="21"/>
  <c r="AR510" i="21"/>
  <c r="AV510" i="21"/>
  <c r="AZ510" i="21"/>
  <c r="BD510" i="21"/>
  <c r="BH510" i="21"/>
  <c r="AJ96" i="21"/>
  <c r="AN96" i="21"/>
  <c r="AR96" i="21"/>
  <c r="AV96" i="21"/>
  <c r="AZ96" i="21"/>
  <c r="BD96" i="21"/>
  <c r="BH96" i="21"/>
  <c r="AJ176" i="21"/>
  <c r="AN176" i="21"/>
  <c r="AR176" i="21"/>
  <c r="AV176" i="21"/>
  <c r="AZ176" i="21"/>
  <c r="BD176" i="21"/>
  <c r="BH176" i="21"/>
  <c r="AJ165" i="21"/>
  <c r="AN165" i="21"/>
  <c r="AR165" i="21"/>
  <c r="AV165" i="21"/>
  <c r="AZ165" i="21"/>
  <c r="BD165" i="21"/>
  <c r="BH165" i="21"/>
  <c r="AJ210" i="21"/>
  <c r="AN210" i="21"/>
  <c r="AR210" i="21"/>
  <c r="AV210" i="21"/>
  <c r="AZ210" i="21"/>
  <c r="BD210" i="21"/>
  <c r="BH210" i="21"/>
  <c r="AJ439" i="21"/>
  <c r="AN439" i="21"/>
  <c r="AR439" i="21"/>
  <c r="AV439" i="21"/>
  <c r="AZ439" i="21"/>
  <c r="BD439" i="21"/>
  <c r="BH439" i="21"/>
  <c r="AJ89" i="21"/>
  <c r="AN89" i="21"/>
  <c r="AR89" i="21"/>
  <c r="AV89" i="21"/>
  <c r="AZ89" i="21"/>
  <c r="BD89" i="21"/>
  <c r="BH89" i="21"/>
  <c r="AJ81" i="21"/>
  <c r="AN81" i="21"/>
  <c r="AR81" i="21"/>
  <c r="AV81" i="21"/>
  <c r="AZ81" i="21"/>
  <c r="BD81" i="21"/>
  <c r="BH81" i="21"/>
  <c r="AJ521" i="21"/>
  <c r="AN521" i="21"/>
  <c r="AR521" i="21"/>
  <c r="AV521" i="21"/>
  <c r="AZ521" i="21"/>
  <c r="BD521" i="21"/>
  <c r="BH521" i="21"/>
  <c r="AJ256" i="21"/>
  <c r="AN256" i="21"/>
  <c r="AR256" i="21"/>
  <c r="AV256" i="21"/>
  <c r="AZ256" i="21"/>
  <c r="BD256" i="21"/>
  <c r="BH256" i="21"/>
  <c r="AJ287" i="21"/>
  <c r="AN287" i="21"/>
  <c r="AR287" i="21"/>
  <c r="AV287" i="21"/>
  <c r="AZ287" i="21"/>
  <c r="BD287" i="21"/>
  <c r="BH287" i="21"/>
  <c r="AJ333" i="21"/>
  <c r="AN333" i="21"/>
  <c r="AR333" i="21"/>
  <c r="AV333" i="21"/>
  <c r="AZ333" i="21"/>
  <c r="BD333" i="21"/>
  <c r="BH333" i="21"/>
  <c r="AJ410" i="21"/>
  <c r="AN410" i="21"/>
  <c r="AR410" i="21"/>
  <c r="AV410" i="21"/>
  <c r="AZ410" i="21"/>
  <c r="BD410" i="21"/>
  <c r="BH410" i="21"/>
  <c r="AJ117" i="21"/>
  <c r="AN117" i="21"/>
  <c r="AR117" i="21"/>
  <c r="AV117" i="21"/>
  <c r="AZ117" i="21"/>
  <c r="BD117" i="21"/>
  <c r="BH117" i="21"/>
  <c r="AJ10" i="21"/>
  <c r="AN10" i="21"/>
  <c r="AR10" i="21"/>
  <c r="AV10" i="21"/>
  <c r="AZ10" i="21"/>
  <c r="BD10" i="21"/>
  <c r="BH10" i="21"/>
  <c r="AJ21" i="21"/>
  <c r="AN21" i="21"/>
  <c r="AR21" i="21"/>
  <c r="AV21" i="21"/>
  <c r="AZ21" i="21"/>
  <c r="BD21" i="21"/>
  <c r="BH21" i="21"/>
  <c r="AJ18" i="21"/>
  <c r="AN18" i="21"/>
  <c r="AR18" i="21"/>
  <c r="AV18" i="21"/>
  <c r="AZ18" i="21"/>
  <c r="BD18" i="21"/>
  <c r="BH18" i="21"/>
  <c r="AJ13" i="21"/>
  <c r="AN13" i="21"/>
  <c r="AR13" i="21"/>
  <c r="AV13" i="21"/>
  <c r="AZ13" i="21"/>
  <c r="BD13" i="21"/>
  <c r="BH13" i="21"/>
  <c r="AJ12" i="21"/>
  <c r="AN12" i="21"/>
  <c r="AR12" i="21"/>
  <c r="AV12" i="21"/>
  <c r="AZ12" i="21"/>
  <c r="BD12" i="21"/>
  <c r="BH12" i="21"/>
  <c r="AJ23" i="21"/>
  <c r="AN23" i="21"/>
  <c r="AR23" i="21"/>
  <c r="AV23" i="21"/>
  <c r="AZ23" i="21"/>
  <c r="BD23" i="21"/>
  <c r="BH23" i="21"/>
  <c r="AJ15" i="21"/>
  <c r="AN15" i="21"/>
  <c r="AR15" i="21"/>
  <c r="AV15" i="21"/>
  <c r="AZ15" i="21"/>
  <c r="BD15" i="21"/>
  <c r="BH15" i="21"/>
  <c r="AJ19" i="21"/>
  <c r="AN19" i="21"/>
  <c r="AR19" i="21"/>
  <c r="AV19" i="21"/>
  <c r="AZ19" i="21"/>
  <c r="BD19" i="21"/>
  <c r="BH19" i="21"/>
  <c r="AJ6" i="21"/>
  <c r="AN6" i="21"/>
  <c r="AR6" i="21"/>
  <c r="AV6" i="21"/>
  <c r="AZ6" i="21"/>
  <c r="BD6" i="21"/>
  <c r="BH6" i="21"/>
  <c r="AJ8" i="21"/>
  <c r="AN8" i="21"/>
  <c r="AR8" i="21"/>
  <c r="AV8" i="21"/>
  <c r="AZ8" i="21"/>
  <c r="BD8" i="21"/>
  <c r="BH8" i="21"/>
  <c r="AJ7" i="21"/>
  <c r="AN7" i="21"/>
  <c r="AR7" i="21"/>
  <c r="AV7" i="21"/>
  <c r="AZ7" i="21"/>
  <c r="BD7" i="21"/>
  <c r="BH7" i="21"/>
  <c r="AJ45" i="21"/>
  <c r="AN45" i="21"/>
  <c r="AR45" i="21"/>
  <c r="AV45" i="21"/>
  <c r="AZ45" i="21"/>
  <c r="BD45" i="21"/>
  <c r="BH45" i="21"/>
  <c r="AJ29" i="21"/>
  <c r="AN29" i="21"/>
  <c r="AR29" i="21"/>
  <c r="AV29" i="21"/>
  <c r="AZ29" i="21"/>
  <c r="BD29" i="21"/>
  <c r="BH29" i="21"/>
  <c r="AJ30" i="21"/>
  <c r="AN30" i="21"/>
  <c r="AR30" i="21"/>
  <c r="AV30" i="21"/>
  <c r="AZ30" i="21"/>
  <c r="BD30" i="21"/>
  <c r="BH30" i="21"/>
  <c r="AJ28" i="21"/>
  <c r="AN28" i="21"/>
  <c r="AR28" i="21"/>
  <c r="AV28" i="21"/>
  <c r="AZ28" i="21"/>
  <c r="BD28" i="21"/>
  <c r="BH28" i="21"/>
  <c r="AJ27" i="21"/>
  <c r="AN27" i="21"/>
  <c r="AR27" i="21"/>
  <c r="AV27" i="21"/>
  <c r="AZ27" i="21"/>
  <c r="BD27" i="21"/>
  <c r="BH27" i="21"/>
  <c r="AJ44" i="21"/>
  <c r="AN44" i="21"/>
  <c r="AR44" i="21"/>
  <c r="AV44" i="21"/>
  <c r="AZ44" i="21"/>
  <c r="BD44" i="21"/>
  <c r="BH44" i="21"/>
  <c r="AJ34" i="21"/>
  <c r="AN34" i="21"/>
  <c r="AR34" i="21"/>
  <c r="AV34" i="21"/>
  <c r="AZ34" i="21"/>
  <c r="BD34" i="21"/>
  <c r="BH34" i="21"/>
  <c r="AJ35" i="21"/>
  <c r="AN35" i="21"/>
  <c r="AR35" i="21"/>
  <c r="AV35" i="21"/>
  <c r="AZ35" i="21"/>
  <c r="BD35" i="21"/>
  <c r="BH35" i="21"/>
  <c r="AJ43" i="21"/>
  <c r="AN43" i="21"/>
  <c r="AR43" i="21"/>
  <c r="AV43" i="21"/>
  <c r="AZ43" i="21"/>
  <c r="BD43" i="21"/>
  <c r="BH43" i="21"/>
  <c r="AJ42" i="21"/>
  <c r="AN42" i="21"/>
  <c r="AR42" i="21"/>
  <c r="AV42" i="21"/>
  <c r="AZ42" i="21"/>
  <c r="BD42" i="21"/>
  <c r="BH42" i="21"/>
  <c r="AJ72" i="21"/>
  <c r="AN72" i="21"/>
  <c r="AR72" i="21"/>
  <c r="AV72" i="21"/>
  <c r="AZ72" i="21"/>
  <c r="BD72" i="21"/>
  <c r="BH72" i="21"/>
  <c r="AJ74" i="21"/>
  <c r="AN74" i="21"/>
  <c r="AR74" i="21"/>
  <c r="AV74" i="21"/>
  <c r="AZ74" i="21"/>
  <c r="BD74" i="21"/>
  <c r="BH74" i="21"/>
  <c r="AJ63" i="21"/>
  <c r="AN63" i="21"/>
  <c r="AR63" i="21"/>
  <c r="AV63" i="21"/>
  <c r="AZ63" i="21"/>
  <c r="BD63" i="21"/>
  <c r="BH63" i="21"/>
  <c r="AJ64" i="21"/>
  <c r="AN64" i="21"/>
  <c r="AR64" i="21"/>
  <c r="AV64" i="21"/>
  <c r="AZ64" i="21"/>
  <c r="BD64" i="21"/>
  <c r="BH64" i="21"/>
  <c r="AJ69" i="21"/>
  <c r="AN69" i="21"/>
  <c r="AR69" i="21"/>
  <c r="AV69" i="21"/>
  <c r="AZ69" i="21"/>
  <c r="BD69" i="21"/>
  <c r="BH69" i="21"/>
  <c r="AJ77" i="21"/>
  <c r="AN77" i="21"/>
  <c r="AR77" i="21"/>
  <c r="AV77" i="21"/>
  <c r="AZ77" i="21"/>
  <c r="BD77" i="21"/>
  <c r="BH77" i="21"/>
  <c r="AJ61" i="21"/>
  <c r="AN61" i="21"/>
  <c r="AR61" i="21"/>
  <c r="AV61" i="21"/>
  <c r="AZ61" i="21"/>
  <c r="BD61" i="21"/>
  <c r="BH61" i="21"/>
  <c r="AJ79" i="21"/>
  <c r="AN79" i="21"/>
  <c r="AR79" i="21"/>
  <c r="AV79" i="21"/>
  <c r="AZ79" i="21"/>
  <c r="BD79" i="21"/>
  <c r="BH79" i="21"/>
  <c r="AJ99" i="21"/>
  <c r="AN99" i="21"/>
  <c r="AR99" i="21"/>
  <c r="AV99" i="21"/>
  <c r="AZ99" i="21"/>
  <c r="BD99" i="21"/>
  <c r="BH99" i="21"/>
  <c r="AJ88" i="21"/>
  <c r="AN88" i="21"/>
  <c r="AR88" i="21"/>
  <c r="AV88" i="21"/>
  <c r="AZ88" i="21"/>
  <c r="BD88" i="21"/>
  <c r="BH88" i="21"/>
  <c r="AJ86" i="21"/>
  <c r="AN86" i="21"/>
  <c r="AR86" i="21"/>
  <c r="AV86" i="21"/>
  <c r="AZ86" i="21"/>
  <c r="BD86" i="21"/>
  <c r="BH86" i="21"/>
  <c r="AJ104" i="21"/>
  <c r="AN104" i="21"/>
  <c r="AR104" i="21"/>
  <c r="AV104" i="21"/>
  <c r="AZ104" i="21"/>
  <c r="BD104" i="21"/>
  <c r="BH104" i="21"/>
  <c r="AJ97" i="21"/>
  <c r="AN97" i="21"/>
  <c r="AR97" i="21"/>
  <c r="AV97" i="21"/>
  <c r="AZ97" i="21"/>
  <c r="BD97" i="21"/>
  <c r="BH97" i="21"/>
  <c r="AJ87" i="21"/>
  <c r="AN87" i="21"/>
  <c r="AR87" i="21"/>
  <c r="AV87" i="21"/>
  <c r="AZ87" i="21"/>
  <c r="BD87" i="21"/>
  <c r="BH87" i="21"/>
  <c r="AJ92" i="21"/>
  <c r="AN92" i="21"/>
  <c r="AR92" i="21"/>
  <c r="AV92" i="21"/>
  <c r="AZ92" i="21"/>
  <c r="BD92" i="21"/>
  <c r="BH92" i="21"/>
  <c r="AJ116" i="21"/>
  <c r="AN116" i="21"/>
  <c r="AR116" i="21"/>
  <c r="AV116" i="21"/>
  <c r="AZ116" i="21"/>
  <c r="BD116" i="21"/>
  <c r="BH116" i="21"/>
  <c r="AJ113" i="21"/>
  <c r="AN113" i="21"/>
  <c r="AR113" i="21"/>
  <c r="AV113" i="21"/>
  <c r="AZ113" i="21"/>
  <c r="BD113" i="21"/>
  <c r="BH113" i="21"/>
  <c r="AJ119" i="21"/>
  <c r="AN119" i="21"/>
  <c r="AR119" i="21"/>
  <c r="AV119" i="21"/>
  <c r="AZ119" i="21"/>
  <c r="BD119" i="21"/>
  <c r="BH119" i="21"/>
  <c r="AJ110" i="21"/>
  <c r="AN110" i="21"/>
  <c r="AR110" i="21"/>
  <c r="AV110" i="21"/>
  <c r="AZ110" i="21"/>
  <c r="BD110" i="21"/>
  <c r="BH110" i="21"/>
  <c r="AJ125" i="21"/>
  <c r="AN125" i="21"/>
  <c r="AR125" i="21"/>
  <c r="AV125" i="21"/>
  <c r="AZ125" i="21"/>
  <c r="BD125" i="21"/>
  <c r="BH125" i="21"/>
  <c r="AJ130" i="21"/>
  <c r="AN130" i="21"/>
  <c r="AR130" i="21"/>
  <c r="AV130" i="21"/>
  <c r="AZ130" i="21"/>
  <c r="BD130" i="21"/>
  <c r="BH130" i="21"/>
  <c r="AJ122" i="21"/>
  <c r="AN122" i="21"/>
  <c r="AR122" i="21"/>
  <c r="AV122" i="21"/>
  <c r="AZ122" i="21"/>
  <c r="BD122" i="21"/>
  <c r="BH122" i="21"/>
  <c r="AJ108" i="21"/>
  <c r="AN108" i="21"/>
  <c r="AR108" i="21"/>
  <c r="AV108" i="21"/>
  <c r="AZ108" i="21"/>
  <c r="BD108" i="21"/>
  <c r="BH108" i="21"/>
  <c r="AJ123" i="21"/>
  <c r="AN123" i="21"/>
  <c r="AR123" i="21"/>
  <c r="AV123" i="21"/>
  <c r="AZ123" i="21"/>
  <c r="BD123" i="21"/>
  <c r="BH123" i="21"/>
  <c r="AJ147" i="21"/>
  <c r="AN147" i="21"/>
  <c r="AR147" i="21"/>
  <c r="AV147" i="21"/>
  <c r="AZ147" i="21"/>
  <c r="BD147" i="21"/>
  <c r="BH147" i="21"/>
  <c r="AJ149" i="21"/>
  <c r="AN149" i="21"/>
  <c r="AR149" i="21"/>
  <c r="AV149" i="21"/>
  <c r="AZ149" i="21"/>
  <c r="BD149" i="21"/>
  <c r="BH149" i="21"/>
  <c r="AJ131" i="21"/>
  <c r="AN131" i="21"/>
  <c r="AR131" i="21"/>
  <c r="AV131" i="21"/>
  <c r="AZ131" i="21"/>
  <c r="BD131" i="21"/>
  <c r="BH131" i="21"/>
  <c r="AJ140" i="21"/>
  <c r="AN140" i="21"/>
  <c r="AR140" i="21"/>
  <c r="AV140" i="21"/>
  <c r="AZ140" i="21"/>
  <c r="BD140" i="21"/>
  <c r="BH140" i="21"/>
  <c r="AJ146" i="21"/>
  <c r="AN146" i="21"/>
  <c r="AR146" i="21"/>
  <c r="AV146" i="21"/>
  <c r="AZ146" i="21"/>
  <c r="BD146" i="21"/>
  <c r="BH146" i="21"/>
  <c r="AJ157" i="21"/>
  <c r="AN157" i="21"/>
  <c r="AR157" i="21"/>
  <c r="AV157" i="21"/>
  <c r="AZ157" i="21"/>
  <c r="BD157" i="21"/>
  <c r="BH157" i="21"/>
  <c r="AJ138" i="21"/>
  <c r="AN138" i="21"/>
  <c r="AR138" i="21"/>
  <c r="AV138" i="21"/>
  <c r="AZ138" i="21"/>
  <c r="BD138" i="21"/>
  <c r="BH138" i="21"/>
  <c r="AJ155" i="21"/>
  <c r="AN155" i="21"/>
  <c r="AR155" i="21"/>
  <c r="AV155" i="21"/>
  <c r="AZ155" i="21"/>
  <c r="BD155" i="21"/>
  <c r="BH155" i="21"/>
  <c r="AJ141" i="21"/>
  <c r="AN141" i="21"/>
  <c r="AR141" i="21"/>
  <c r="AV141" i="21"/>
  <c r="AZ141" i="21"/>
  <c r="BD141" i="21"/>
  <c r="BH141" i="21"/>
  <c r="AJ156" i="21"/>
  <c r="AN156" i="21"/>
  <c r="AR156" i="21"/>
  <c r="AV156" i="21"/>
  <c r="AZ156" i="21"/>
  <c r="BD156" i="21"/>
  <c r="BH156" i="21"/>
  <c r="AJ133" i="21"/>
  <c r="AN133" i="21"/>
  <c r="AR133" i="21"/>
  <c r="AV133" i="21"/>
  <c r="AZ133" i="21"/>
  <c r="BD133" i="21"/>
  <c r="BH133" i="21"/>
  <c r="AJ160" i="21"/>
  <c r="AN160" i="21"/>
  <c r="AR160" i="21"/>
  <c r="AV160" i="21"/>
  <c r="AZ160" i="21"/>
  <c r="BD160" i="21"/>
  <c r="BH160" i="21"/>
  <c r="AJ161" i="21"/>
  <c r="AN161" i="21"/>
  <c r="AR161" i="21"/>
  <c r="AV161" i="21"/>
  <c r="AZ161" i="21"/>
  <c r="BD161" i="21"/>
  <c r="BH161" i="21"/>
  <c r="AJ170" i="21"/>
  <c r="AN170" i="21"/>
  <c r="AR170" i="21"/>
  <c r="AV170" i="21"/>
  <c r="AZ170" i="21"/>
  <c r="BD170" i="21"/>
  <c r="BH170" i="21"/>
  <c r="AJ182" i="21"/>
  <c r="AN182" i="21"/>
  <c r="AR182" i="21"/>
  <c r="AV182" i="21"/>
  <c r="AZ182" i="21"/>
  <c r="BD182" i="21"/>
  <c r="BH182" i="21"/>
  <c r="AJ203" i="21"/>
  <c r="AN203" i="21"/>
  <c r="AR203" i="21"/>
  <c r="AV203" i="21"/>
  <c r="AZ203" i="21"/>
  <c r="BD203" i="21"/>
  <c r="BH203" i="21"/>
  <c r="AJ195" i="21"/>
  <c r="AN195" i="21"/>
  <c r="AR195" i="21"/>
  <c r="AV195" i="21"/>
  <c r="AZ195" i="21"/>
  <c r="BD195" i="21"/>
  <c r="BH195" i="21"/>
  <c r="AJ194" i="21"/>
  <c r="AN194" i="21"/>
  <c r="AR194" i="21"/>
  <c r="AV194" i="21"/>
  <c r="AZ194" i="21"/>
  <c r="BD194" i="21"/>
  <c r="BH194" i="21"/>
  <c r="AJ192" i="21"/>
  <c r="AN192" i="21"/>
  <c r="AR192" i="21"/>
  <c r="AV192" i="21"/>
  <c r="AZ192" i="21"/>
  <c r="BD192" i="21"/>
  <c r="BH192" i="21"/>
  <c r="AJ207" i="21"/>
  <c r="AN207" i="21"/>
  <c r="AR207" i="21"/>
  <c r="AV207" i="21"/>
  <c r="AZ207" i="21"/>
  <c r="BD207" i="21"/>
  <c r="BH207" i="21"/>
  <c r="AJ201" i="21"/>
  <c r="AN201" i="21"/>
  <c r="AR201" i="21"/>
  <c r="AV201" i="21"/>
  <c r="AZ201" i="21"/>
  <c r="BD201" i="21"/>
  <c r="BH201" i="21"/>
  <c r="AJ199" i="21"/>
  <c r="AN199" i="21"/>
  <c r="AR199" i="21"/>
  <c r="AV199" i="21"/>
  <c r="AZ199" i="21"/>
  <c r="BD199" i="21"/>
  <c r="BH199" i="21"/>
  <c r="AJ227" i="21"/>
  <c r="AN227" i="21"/>
  <c r="AR227" i="21"/>
  <c r="AV227" i="21"/>
  <c r="AZ227" i="21"/>
  <c r="BD227" i="21"/>
  <c r="BH227" i="21"/>
  <c r="AJ228" i="21"/>
  <c r="AN228" i="21"/>
  <c r="AR228" i="21"/>
  <c r="AV228" i="21"/>
  <c r="AZ228" i="21"/>
  <c r="BD228" i="21"/>
  <c r="BH228" i="21"/>
  <c r="AJ215" i="21"/>
  <c r="AN215" i="21"/>
  <c r="AR215" i="21"/>
  <c r="AV215" i="21"/>
  <c r="AZ215" i="21"/>
  <c r="BD215" i="21"/>
  <c r="BH215" i="21"/>
  <c r="AJ220" i="21"/>
  <c r="AN220" i="21"/>
  <c r="AR220" i="21"/>
  <c r="AV220" i="21"/>
  <c r="AZ220" i="21"/>
  <c r="BD220" i="21"/>
  <c r="BH220" i="21"/>
  <c r="AJ211" i="21"/>
  <c r="AN211" i="21"/>
  <c r="AR211" i="21"/>
  <c r="AV211" i="21"/>
  <c r="AZ211" i="21"/>
  <c r="BD211" i="21"/>
  <c r="BH211" i="21"/>
  <c r="AJ230" i="21"/>
  <c r="AN230" i="21"/>
  <c r="AR230" i="21"/>
  <c r="AV230" i="21"/>
  <c r="AZ230" i="21"/>
  <c r="BD230" i="21"/>
  <c r="BH230" i="21"/>
  <c r="AJ223" i="21"/>
  <c r="AN223" i="21"/>
  <c r="AR223" i="21"/>
  <c r="AV223" i="21"/>
  <c r="AZ223" i="21"/>
  <c r="BD223" i="21"/>
  <c r="BH223" i="21"/>
  <c r="AJ231" i="21"/>
  <c r="AN231" i="21"/>
  <c r="AR231" i="21"/>
  <c r="AV231" i="21"/>
  <c r="AZ231" i="21"/>
  <c r="BD231" i="21"/>
  <c r="BH231" i="21"/>
  <c r="AJ226" i="21"/>
  <c r="AN226" i="21"/>
  <c r="AR226" i="21"/>
  <c r="AV226" i="21"/>
  <c r="AZ226" i="21"/>
  <c r="BD226" i="21"/>
  <c r="BH226" i="21"/>
  <c r="AJ217" i="21"/>
  <c r="AN217" i="21"/>
  <c r="AR217" i="21"/>
  <c r="AV217" i="21"/>
  <c r="AZ217" i="21"/>
  <c r="BD217" i="21"/>
  <c r="BH217" i="21"/>
  <c r="AJ213" i="21"/>
  <c r="AN213" i="21"/>
  <c r="AR213" i="21"/>
  <c r="AV213" i="21"/>
  <c r="AZ213" i="21"/>
  <c r="BD213" i="21"/>
  <c r="BH213" i="21"/>
  <c r="AJ218" i="21"/>
  <c r="AN218" i="21"/>
  <c r="AR218" i="21"/>
  <c r="AV218" i="21"/>
  <c r="AZ218" i="21"/>
  <c r="BD218" i="21"/>
  <c r="BH218" i="21"/>
  <c r="AJ224" i="21"/>
  <c r="AN224" i="21"/>
  <c r="AR224" i="21"/>
  <c r="AV224" i="21"/>
  <c r="AZ224" i="21"/>
  <c r="BD224" i="21"/>
  <c r="BH224" i="21"/>
  <c r="AJ237" i="21"/>
  <c r="AN237" i="21"/>
  <c r="AR237" i="21"/>
  <c r="AV237" i="21"/>
  <c r="AZ237" i="21"/>
  <c r="BD237" i="21"/>
  <c r="BH237" i="21"/>
  <c r="AJ239" i="21"/>
  <c r="AN239" i="21"/>
  <c r="AR239" i="21"/>
  <c r="AV239" i="21"/>
  <c r="AQ200" i="21"/>
  <c r="AP301" i="21"/>
  <c r="AL349" i="21"/>
  <c r="AR413" i="21"/>
  <c r="AV446" i="21"/>
  <c r="AS478" i="21"/>
  <c r="BE511" i="21"/>
  <c r="BA39" i="21"/>
  <c r="AS56" i="21"/>
  <c r="AK84" i="21"/>
  <c r="BE136" i="21"/>
  <c r="AW204" i="21"/>
  <c r="AO214" i="21"/>
  <c r="BI269" i="21"/>
  <c r="BA292" i="21"/>
  <c r="AS294" i="21"/>
  <c r="AK312" i="21"/>
  <c r="BE319" i="21"/>
  <c r="AW376" i="21"/>
  <c r="AO372" i="21"/>
  <c r="BI414" i="21"/>
  <c r="BA417" i="21"/>
  <c r="AS420" i="21"/>
  <c r="AK477" i="21"/>
  <c r="BE38" i="21"/>
  <c r="BA37" i="21"/>
  <c r="AW127" i="21"/>
  <c r="AS124" i="21"/>
  <c r="AL163" i="21"/>
  <c r="BH163" i="21"/>
  <c r="AS191" i="21"/>
  <c r="AZ229" i="21"/>
  <c r="AK253" i="21"/>
  <c r="BF253" i="21"/>
  <c r="AR244" i="21"/>
  <c r="AX247" i="21"/>
  <c r="AJ316" i="21"/>
  <c r="BE316" i="21"/>
  <c r="AM361" i="21"/>
  <c r="BC361" i="21"/>
  <c r="AI409" i="21"/>
  <c r="AY409" i="21"/>
  <c r="AU396" i="21"/>
  <c r="BK396" i="21"/>
  <c r="AQ398" i="21"/>
  <c r="BG398" i="21"/>
  <c r="AM407" i="21"/>
  <c r="BC407" i="21"/>
  <c r="AI451" i="21"/>
  <c r="AY451" i="21"/>
  <c r="AU458" i="21"/>
  <c r="BK458" i="21"/>
  <c r="AQ472" i="21"/>
  <c r="BG472" i="21"/>
  <c r="AM496" i="21"/>
  <c r="BC496" i="21"/>
  <c r="AI512" i="21"/>
  <c r="AY512" i="21"/>
  <c r="AU501" i="21"/>
  <c r="BK501" i="21"/>
  <c r="AQ46" i="21"/>
  <c r="BG46" i="21"/>
  <c r="AM58" i="21"/>
  <c r="BC58" i="21"/>
  <c r="AI83" i="21"/>
  <c r="AY83" i="21"/>
  <c r="AU105" i="21"/>
  <c r="BK105" i="21"/>
  <c r="AQ145" i="21"/>
  <c r="BG145" i="21"/>
  <c r="AM177" i="21"/>
  <c r="BC177" i="21"/>
  <c r="AI164" i="21"/>
  <c r="AY164" i="21"/>
  <c r="AU189" i="21"/>
  <c r="BK189" i="21"/>
  <c r="AQ209" i="21"/>
  <c r="BG209" i="21"/>
  <c r="AM304" i="21"/>
  <c r="BC304" i="21"/>
  <c r="AI334" i="21"/>
  <c r="AY334" i="21"/>
  <c r="AU337" i="21"/>
  <c r="BK337" i="21"/>
  <c r="AQ374" i="21"/>
  <c r="BG374" i="21"/>
  <c r="AM371" i="21"/>
  <c r="BC371" i="21"/>
  <c r="AI390" i="21"/>
  <c r="AY390" i="21"/>
  <c r="AU404" i="21"/>
  <c r="BK404" i="21"/>
  <c r="AQ397" i="21"/>
  <c r="BG397" i="21"/>
  <c r="AM437" i="21"/>
  <c r="BC437" i="21"/>
  <c r="AI440" i="21"/>
  <c r="AY440" i="21"/>
  <c r="AU443" i="21"/>
  <c r="BK443" i="21"/>
  <c r="AQ447" i="21"/>
  <c r="BG447" i="21"/>
  <c r="AM487" i="21"/>
  <c r="BC487" i="21"/>
  <c r="AI483" i="21"/>
  <c r="AY483" i="21"/>
  <c r="AU493" i="21"/>
  <c r="BK493" i="21"/>
  <c r="AQ520" i="21"/>
  <c r="BG520" i="21"/>
  <c r="AQ14" i="21"/>
  <c r="BG14" i="21"/>
  <c r="AM36" i="21"/>
  <c r="BC36" i="21"/>
  <c r="AI71" i="21"/>
  <c r="AY71" i="21"/>
  <c r="AU68" i="21"/>
  <c r="BK68" i="21"/>
  <c r="AQ90" i="21"/>
  <c r="BG90" i="21"/>
  <c r="AM121" i="21"/>
  <c r="BC121" i="21"/>
  <c r="AI115" i="21"/>
  <c r="AY115" i="21"/>
  <c r="AU114" i="21"/>
  <c r="BK114" i="21"/>
  <c r="AQ183" i="21"/>
  <c r="BG183" i="21"/>
  <c r="AM187" i="21"/>
  <c r="BC187" i="21"/>
  <c r="AU221" i="21"/>
  <c r="BK221" i="21"/>
  <c r="AQ219" i="21"/>
  <c r="BF219" i="21"/>
  <c r="AL234" i="21"/>
  <c r="AT234" i="21"/>
  <c r="BB234" i="21"/>
  <c r="BJ234" i="21"/>
  <c r="AH252" i="21"/>
  <c r="AM252" i="21"/>
  <c r="AR252" i="21"/>
  <c r="AX252" i="21"/>
  <c r="BC252" i="21"/>
  <c r="BH252" i="21"/>
  <c r="AI243" i="21"/>
  <c r="AN243" i="21"/>
  <c r="AT243" i="21"/>
  <c r="AY243" i="21"/>
  <c r="BD243" i="21"/>
  <c r="BJ243" i="21"/>
  <c r="AJ242" i="21"/>
  <c r="AP242" i="21"/>
  <c r="AU242" i="21"/>
  <c r="AZ242" i="21"/>
  <c r="BF242" i="21"/>
  <c r="BK242" i="21"/>
  <c r="AL263" i="21"/>
  <c r="AQ263" i="21"/>
  <c r="AV263" i="21"/>
  <c r="BB263" i="21"/>
  <c r="BG263" i="21"/>
  <c r="AH264" i="21"/>
  <c r="AM264" i="21"/>
  <c r="AR264" i="21"/>
  <c r="AX264" i="21"/>
  <c r="BC264" i="21"/>
  <c r="BH264" i="21"/>
  <c r="AI267" i="21"/>
  <c r="AN267" i="21"/>
  <c r="AT267" i="21"/>
  <c r="AY267" i="21"/>
  <c r="BD267" i="21"/>
  <c r="BI267" i="21"/>
  <c r="AK265" i="21"/>
  <c r="AO265" i="21"/>
  <c r="AS265" i="21"/>
  <c r="AW265" i="21"/>
  <c r="BA265" i="21"/>
  <c r="BE265" i="21"/>
  <c r="BI265" i="21"/>
  <c r="AK277" i="21"/>
  <c r="AO277" i="21"/>
  <c r="AS277" i="21"/>
  <c r="AW277" i="21"/>
  <c r="BA277" i="21"/>
  <c r="BE277" i="21"/>
  <c r="BI277" i="21"/>
  <c r="AK286" i="21"/>
  <c r="AO286" i="21"/>
  <c r="AS286" i="21"/>
  <c r="AW286" i="21"/>
  <c r="BA286" i="21"/>
  <c r="BE286" i="21"/>
  <c r="BI286" i="21"/>
  <c r="AK310" i="21"/>
  <c r="AO310" i="21"/>
  <c r="AS310" i="21"/>
  <c r="AW310" i="21"/>
  <c r="BA310" i="21"/>
  <c r="BE310" i="21"/>
  <c r="BI310" i="21"/>
  <c r="AK338" i="21"/>
  <c r="AO338" i="21"/>
  <c r="AS338" i="21"/>
  <c r="AW338" i="21"/>
  <c r="BA338" i="21"/>
  <c r="BE338" i="21"/>
  <c r="BI338" i="21"/>
  <c r="AK357" i="21"/>
  <c r="AO357" i="21"/>
  <c r="AS357" i="21"/>
  <c r="AW357" i="21"/>
  <c r="BA357" i="21"/>
  <c r="BE357" i="21"/>
  <c r="BI357" i="21"/>
  <c r="AK354" i="21"/>
  <c r="AO354" i="21"/>
  <c r="AS354" i="21"/>
  <c r="AW354" i="21"/>
  <c r="BA354" i="21"/>
  <c r="BE354" i="21"/>
  <c r="BI354" i="21"/>
  <c r="AK362" i="21"/>
  <c r="AO362" i="21"/>
  <c r="AS362" i="21"/>
  <c r="AW362" i="21"/>
  <c r="BA362" i="21"/>
  <c r="BE362" i="21"/>
  <c r="BI362" i="21"/>
  <c r="AK384" i="21"/>
  <c r="AO384" i="21"/>
  <c r="AS384" i="21"/>
  <c r="AW384" i="21"/>
  <c r="BA384" i="21"/>
  <c r="BE384" i="21"/>
  <c r="BI384" i="21"/>
  <c r="AK366" i="21"/>
  <c r="AO366" i="21"/>
  <c r="AS366" i="21"/>
  <c r="AW366" i="21"/>
  <c r="BA366" i="21"/>
  <c r="BE366" i="21"/>
  <c r="BI366" i="21"/>
  <c r="AK365" i="21"/>
  <c r="AO365" i="21"/>
  <c r="AS365" i="21"/>
  <c r="AW365" i="21"/>
  <c r="BA365" i="21"/>
  <c r="BE365" i="21"/>
  <c r="BI365" i="21"/>
  <c r="AK380" i="21"/>
  <c r="AO380" i="21"/>
  <c r="AS380" i="21"/>
  <c r="AW380" i="21"/>
  <c r="BA380" i="21"/>
  <c r="BE380" i="21"/>
  <c r="BI380" i="21"/>
  <c r="AK394" i="21"/>
  <c r="AO394" i="21"/>
  <c r="AS394" i="21"/>
  <c r="AW394" i="21"/>
  <c r="BA394" i="21"/>
  <c r="BE394" i="21"/>
  <c r="BI394" i="21"/>
  <c r="AK445" i="21"/>
  <c r="AO445" i="21"/>
  <c r="AS445" i="21"/>
  <c r="AW445" i="21"/>
  <c r="BA445" i="21"/>
  <c r="BE445" i="21"/>
  <c r="BI445" i="21"/>
  <c r="AK459" i="21"/>
  <c r="AO459" i="21"/>
  <c r="AS459" i="21"/>
  <c r="AW459" i="21"/>
  <c r="BA459" i="21"/>
  <c r="BE459" i="21"/>
  <c r="BI459" i="21"/>
  <c r="AK476" i="21"/>
  <c r="AO476" i="21"/>
  <c r="AS476" i="21"/>
  <c r="AW476" i="21"/>
  <c r="BA476" i="21"/>
  <c r="BE476" i="21"/>
  <c r="BI476" i="21"/>
  <c r="AK502" i="21"/>
  <c r="AO502" i="21"/>
  <c r="AS502" i="21"/>
  <c r="AW502" i="21"/>
  <c r="BA502" i="21"/>
  <c r="BE502" i="21"/>
  <c r="BI502" i="21"/>
  <c r="AK497" i="21"/>
  <c r="AO497" i="21"/>
  <c r="AS497" i="21"/>
  <c r="AW497" i="21"/>
  <c r="BA497" i="21"/>
  <c r="BE497" i="21"/>
  <c r="BI497" i="21"/>
  <c r="AK70" i="21"/>
  <c r="AO70" i="21"/>
  <c r="AS70" i="21"/>
  <c r="AW70" i="21"/>
  <c r="BA70" i="21"/>
  <c r="BE70" i="21"/>
  <c r="BI70" i="21"/>
  <c r="AK212" i="21"/>
  <c r="AO212" i="21"/>
  <c r="AS212" i="21"/>
  <c r="AW212" i="21"/>
  <c r="BA212" i="21"/>
  <c r="BE212" i="21"/>
  <c r="BI212" i="21"/>
  <c r="AK300" i="21"/>
  <c r="AO300" i="21"/>
  <c r="AS300" i="21"/>
  <c r="AW300" i="21"/>
  <c r="BA300" i="21"/>
  <c r="BE300" i="21"/>
  <c r="BI300" i="21"/>
  <c r="AK291" i="21"/>
  <c r="AO291" i="21"/>
  <c r="AS291" i="21"/>
  <c r="AW291" i="21"/>
  <c r="BA291" i="21"/>
  <c r="BE291" i="21"/>
  <c r="BI291" i="21"/>
  <c r="AK315" i="21"/>
  <c r="AO315" i="21"/>
  <c r="AS315" i="21"/>
  <c r="AW315" i="21"/>
  <c r="BA315" i="21"/>
  <c r="BE315" i="21"/>
  <c r="BI315" i="21"/>
  <c r="AK510" i="21"/>
  <c r="AO510" i="21"/>
  <c r="AS510" i="21"/>
  <c r="AW510" i="21"/>
  <c r="BA510" i="21"/>
  <c r="BE510" i="21"/>
  <c r="BI510" i="21"/>
  <c r="AK96" i="21"/>
  <c r="AO96" i="21"/>
  <c r="AS96" i="21"/>
  <c r="AW96" i="21"/>
  <c r="BA96" i="21"/>
  <c r="BE96" i="21"/>
  <c r="BI96" i="21"/>
  <c r="AK176" i="21"/>
  <c r="AO176" i="21"/>
  <c r="AS176" i="21"/>
  <c r="AW176" i="21"/>
  <c r="BA176" i="21"/>
  <c r="BE176" i="21"/>
  <c r="BI176" i="21"/>
  <c r="AK165" i="21"/>
  <c r="AO165" i="21"/>
  <c r="AS165" i="21"/>
  <c r="AW165" i="21"/>
  <c r="BA165" i="21"/>
  <c r="BE165" i="21"/>
  <c r="BI165" i="21"/>
  <c r="AK210" i="21"/>
  <c r="AO210" i="21"/>
  <c r="AS210" i="21"/>
  <c r="AW210" i="21"/>
  <c r="BA210" i="21"/>
  <c r="BE210" i="21"/>
  <c r="BI210" i="21"/>
  <c r="AK439" i="21"/>
  <c r="AO439" i="21"/>
  <c r="AS439" i="21"/>
  <c r="AW439" i="21"/>
  <c r="BA439" i="21"/>
  <c r="BE439" i="21"/>
  <c r="BI439" i="21"/>
  <c r="AK89" i="21"/>
  <c r="AO89" i="21"/>
  <c r="AS89" i="21"/>
  <c r="AW89" i="21"/>
  <c r="BA89" i="21"/>
  <c r="BE89" i="21"/>
  <c r="BI89" i="21"/>
  <c r="AK81" i="21"/>
  <c r="AO81" i="21"/>
  <c r="AS81" i="21"/>
  <c r="AW81" i="21"/>
  <c r="BA81" i="21"/>
  <c r="BE81" i="21"/>
  <c r="BI81" i="21"/>
  <c r="AK521" i="21"/>
  <c r="AO521" i="21"/>
  <c r="AS521" i="21"/>
  <c r="AW521" i="21"/>
  <c r="BA521" i="21"/>
  <c r="BE521" i="21"/>
  <c r="BI521" i="21"/>
  <c r="AK256" i="21"/>
  <c r="AO256" i="21"/>
  <c r="AS256" i="21"/>
  <c r="AW256" i="21"/>
  <c r="BA256" i="21"/>
  <c r="BE256" i="21"/>
  <c r="BI256" i="21"/>
  <c r="AK287" i="21"/>
  <c r="AO287" i="21"/>
  <c r="AS287" i="21"/>
  <c r="AW287" i="21"/>
  <c r="BA287" i="21"/>
  <c r="BE287" i="21"/>
  <c r="BI287" i="21"/>
  <c r="AK333" i="21"/>
  <c r="AO333" i="21"/>
  <c r="AS333" i="21"/>
  <c r="AW333" i="21"/>
  <c r="BA333" i="21"/>
  <c r="BE333" i="21"/>
  <c r="BI333" i="21"/>
  <c r="AK410" i="21"/>
  <c r="AO410" i="21"/>
  <c r="AS410" i="21"/>
  <c r="AW410" i="21"/>
  <c r="BA410" i="21"/>
  <c r="BE410" i="21"/>
  <c r="BI410" i="21"/>
  <c r="AK117" i="21"/>
  <c r="AO117" i="21"/>
  <c r="AS117" i="21"/>
  <c r="AW117" i="21"/>
  <c r="BA117" i="21"/>
  <c r="BE117" i="21"/>
  <c r="BI117" i="21"/>
  <c r="AK10" i="21"/>
  <c r="AO10" i="21"/>
  <c r="AS10" i="21"/>
  <c r="AW10" i="21"/>
  <c r="BA10" i="21"/>
  <c r="BE10" i="21"/>
  <c r="BI10" i="21"/>
  <c r="AK21" i="21"/>
  <c r="AO21" i="21"/>
  <c r="AS21" i="21"/>
  <c r="AW21" i="21"/>
  <c r="BA21" i="21"/>
  <c r="BE21" i="21"/>
  <c r="BI21" i="21"/>
  <c r="AK18" i="21"/>
  <c r="AO18" i="21"/>
  <c r="AS18" i="21"/>
  <c r="AW18" i="21"/>
  <c r="BA18" i="21"/>
  <c r="BE18" i="21"/>
  <c r="BI18" i="21"/>
  <c r="AK13" i="21"/>
  <c r="AO13" i="21"/>
  <c r="AS13" i="21"/>
  <c r="AW13" i="21"/>
  <c r="BA13" i="21"/>
  <c r="BE13" i="21"/>
  <c r="BI13" i="21"/>
  <c r="AK12" i="21"/>
  <c r="AO12" i="21"/>
  <c r="AS12" i="21"/>
  <c r="AW12" i="21"/>
  <c r="BA12" i="21"/>
  <c r="BE12" i="21"/>
  <c r="BI12" i="21"/>
  <c r="AK23" i="21"/>
  <c r="AO23" i="21"/>
  <c r="AS23" i="21"/>
  <c r="AW23" i="21"/>
  <c r="BA23" i="21"/>
  <c r="BE23" i="21"/>
  <c r="BI23" i="21"/>
  <c r="AK15" i="21"/>
  <c r="AO15" i="21"/>
  <c r="AS15" i="21"/>
  <c r="AW15" i="21"/>
  <c r="BA15" i="21"/>
  <c r="BE15" i="21"/>
  <c r="BI15" i="21"/>
  <c r="AK19" i="21"/>
  <c r="AO19" i="21"/>
  <c r="AS19" i="21"/>
  <c r="AW19" i="21"/>
  <c r="BA19" i="21"/>
  <c r="BE19" i="21"/>
  <c r="BI19" i="21"/>
  <c r="AK6" i="21"/>
  <c r="AO6" i="21"/>
  <c r="AS6" i="21"/>
  <c r="AW6" i="21"/>
  <c r="BA6" i="21"/>
  <c r="BE6" i="21"/>
  <c r="BI6" i="21"/>
  <c r="AK8" i="21"/>
  <c r="AO8" i="21"/>
  <c r="AS8" i="21"/>
  <c r="AW8" i="21"/>
  <c r="BA8" i="21"/>
  <c r="BE8" i="21"/>
  <c r="BI8" i="21"/>
  <c r="AK7" i="21"/>
  <c r="AO7" i="21"/>
  <c r="AS7" i="21"/>
  <c r="AW7" i="21"/>
  <c r="BA7" i="21"/>
  <c r="BE7" i="21"/>
  <c r="BI7" i="21"/>
  <c r="AK45" i="21"/>
  <c r="AO45" i="21"/>
  <c r="AS45" i="21"/>
  <c r="AW45" i="21"/>
  <c r="BA45" i="21"/>
  <c r="BE45" i="21"/>
  <c r="BI45" i="21"/>
  <c r="AK29" i="21"/>
  <c r="AO29" i="21"/>
  <c r="AS29" i="21"/>
  <c r="AW29" i="21"/>
  <c r="BA29" i="21"/>
  <c r="BE29" i="21"/>
  <c r="BI29" i="21"/>
  <c r="AK30" i="21"/>
  <c r="AO30" i="21"/>
  <c r="AS30" i="21"/>
  <c r="AW30" i="21"/>
  <c r="BA30" i="21"/>
  <c r="BE30" i="21"/>
  <c r="BI30" i="21"/>
  <c r="AK28" i="21"/>
  <c r="AO28" i="21"/>
  <c r="AS28" i="21"/>
  <c r="AW28" i="21"/>
  <c r="BA28" i="21"/>
  <c r="BE28" i="21"/>
  <c r="BI28" i="21"/>
  <c r="AK27" i="21"/>
  <c r="AO27" i="21"/>
  <c r="AS27" i="21"/>
  <c r="AW27" i="21"/>
  <c r="BA27" i="21"/>
  <c r="BE27" i="21"/>
  <c r="BI27" i="21"/>
  <c r="AK44" i="21"/>
  <c r="AO44" i="21"/>
  <c r="AS44" i="21"/>
  <c r="AW44" i="21"/>
  <c r="BA44" i="21"/>
  <c r="BE44" i="21"/>
  <c r="BI44" i="21"/>
  <c r="AK34" i="21"/>
  <c r="AO34" i="21"/>
  <c r="AS34" i="21"/>
  <c r="AW34" i="21"/>
  <c r="BA34" i="21"/>
  <c r="BE34" i="21"/>
  <c r="BI34" i="21"/>
  <c r="AK35" i="21"/>
  <c r="AO35" i="21"/>
  <c r="AS35" i="21"/>
  <c r="AW35" i="21"/>
  <c r="BA35" i="21"/>
  <c r="BE35" i="21"/>
  <c r="BI35" i="21"/>
  <c r="AK43" i="21"/>
  <c r="AO43" i="21"/>
  <c r="AS43" i="21"/>
  <c r="AW43" i="21"/>
  <c r="BA43" i="21"/>
  <c r="BE43" i="21"/>
  <c r="BI43" i="21"/>
  <c r="AK42" i="21"/>
  <c r="AO42" i="21"/>
  <c r="AS42" i="21"/>
  <c r="AW42" i="21"/>
  <c r="BA42" i="21"/>
  <c r="BE42" i="21"/>
  <c r="BI42" i="21"/>
  <c r="AK72" i="21"/>
  <c r="AO72" i="21"/>
  <c r="AS72" i="21"/>
  <c r="AW72" i="21"/>
  <c r="BA72" i="21"/>
  <c r="BE72" i="21"/>
  <c r="BI72" i="21"/>
  <c r="AK74" i="21"/>
  <c r="AO74" i="21"/>
  <c r="AS74" i="21"/>
  <c r="AW74" i="21"/>
  <c r="BA74" i="21"/>
  <c r="BE74" i="21"/>
  <c r="BI74" i="21"/>
  <c r="AK63" i="21"/>
  <c r="AO63" i="21"/>
  <c r="AS63" i="21"/>
  <c r="AW63" i="21"/>
  <c r="BA63" i="21"/>
  <c r="BE63" i="21"/>
  <c r="BI63" i="21"/>
  <c r="AK64" i="21"/>
  <c r="AO64" i="21"/>
  <c r="AS64" i="21"/>
  <c r="AW64" i="21"/>
  <c r="BA64" i="21"/>
  <c r="BE64" i="21"/>
  <c r="BI64" i="21"/>
  <c r="AK69" i="21"/>
  <c r="AO69" i="21"/>
  <c r="AS69" i="21"/>
  <c r="AW69" i="21"/>
  <c r="BA69" i="21"/>
  <c r="BE69" i="21"/>
  <c r="BI69" i="21"/>
  <c r="AK77" i="21"/>
  <c r="AO77" i="21"/>
  <c r="AS77" i="21"/>
  <c r="AW77" i="21"/>
  <c r="BA77" i="21"/>
  <c r="BE77" i="21"/>
  <c r="BI77" i="21"/>
  <c r="AK61" i="21"/>
  <c r="AO61" i="21"/>
  <c r="AS61" i="21"/>
  <c r="AW61" i="21"/>
  <c r="BA61" i="21"/>
  <c r="BE61" i="21"/>
  <c r="BI61" i="21"/>
  <c r="AK79" i="21"/>
  <c r="AO79" i="21"/>
  <c r="AS79" i="21"/>
  <c r="AW79" i="21"/>
  <c r="BA79" i="21"/>
  <c r="BE79" i="21"/>
  <c r="BI79" i="21"/>
  <c r="AK99" i="21"/>
  <c r="AO99" i="21"/>
  <c r="AS99" i="21"/>
  <c r="AW99" i="21"/>
  <c r="BA99" i="21"/>
  <c r="BE99" i="21"/>
  <c r="BI99" i="21"/>
  <c r="AK88" i="21"/>
  <c r="AO88" i="21"/>
  <c r="AS88" i="21"/>
  <c r="AW88" i="21"/>
  <c r="BA88" i="21"/>
  <c r="BE88" i="21"/>
  <c r="BI88" i="21"/>
  <c r="AK86" i="21"/>
  <c r="AO86" i="21"/>
  <c r="AS86" i="21"/>
  <c r="AW86" i="21"/>
  <c r="BA86" i="21"/>
  <c r="BE86" i="21"/>
  <c r="BI86" i="21"/>
  <c r="AK104" i="21"/>
  <c r="AO104" i="21"/>
  <c r="AS104" i="21"/>
  <c r="AW104" i="21"/>
  <c r="BA104" i="21"/>
  <c r="BE104" i="21"/>
  <c r="BI104" i="21"/>
  <c r="AK97" i="21"/>
  <c r="AO97" i="21"/>
  <c r="AS97" i="21"/>
  <c r="AW97" i="21"/>
  <c r="BA97" i="21"/>
  <c r="BE97" i="21"/>
  <c r="BI97" i="21"/>
  <c r="AK87" i="21"/>
  <c r="AO87" i="21"/>
  <c r="AS87" i="21"/>
  <c r="AW87" i="21"/>
  <c r="BA87" i="21"/>
  <c r="BE87" i="21"/>
  <c r="BI87" i="21"/>
  <c r="AK92" i="21"/>
  <c r="AO92" i="21"/>
  <c r="AS92" i="21"/>
  <c r="AW92" i="21"/>
  <c r="BA92" i="21"/>
  <c r="BE92" i="21"/>
  <c r="BI92" i="21"/>
  <c r="AK116" i="21"/>
  <c r="AO116" i="21"/>
  <c r="AS116" i="21"/>
  <c r="AW116" i="21"/>
  <c r="BA116" i="21"/>
  <c r="BE116" i="21"/>
  <c r="BI116" i="21"/>
  <c r="AK113" i="21"/>
  <c r="AO113" i="21"/>
  <c r="AS113" i="21"/>
  <c r="AW113" i="21"/>
  <c r="BA113" i="21"/>
  <c r="BE113" i="21"/>
  <c r="BI113" i="21"/>
  <c r="AK119" i="21"/>
  <c r="AO119" i="21"/>
  <c r="AS119" i="21"/>
  <c r="AW119" i="21"/>
  <c r="BA119" i="21"/>
  <c r="BE119" i="21"/>
  <c r="BI119" i="21"/>
  <c r="AK110" i="21"/>
  <c r="AO110" i="21"/>
  <c r="AS110" i="21"/>
  <c r="AW110" i="21"/>
  <c r="BA110" i="21"/>
  <c r="BE110" i="21"/>
  <c r="BI110" i="21"/>
  <c r="AK125" i="21"/>
  <c r="AO125" i="21"/>
  <c r="AS125" i="21"/>
  <c r="AW125" i="21"/>
  <c r="BA125" i="21"/>
  <c r="BE125" i="21"/>
  <c r="BI125" i="21"/>
  <c r="AK130" i="21"/>
  <c r="AO130" i="21"/>
  <c r="AS130" i="21"/>
  <c r="AW130" i="21"/>
  <c r="BA130" i="21"/>
  <c r="BE130" i="21"/>
  <c r="BI130" i="21"/>
  <c r="AK122" i="21"/>
  <c r="AO122" i="21"/>
  <c r="AS122" i="21"/>
  <c r="AW122" i="21"/>
  <c r="BA122" i="21"/>
  <c r="BE122" i="21"/>
  <c r="BI122" i="21"/>
  <c r="AK108" i="21"/>
  <c r="AO108" i="21"/>
  <c r="AS108" i="21"/>
  <c r="AW108" i="21"/>
  <c r="BA108" i="21"/>
  <c r="BE108" i="21"/>
  <c r="BI108" i="21"/>
  <c r="AK123" i="21"/>
  <c r="AO123" i="21"/>
  <c r="AS123" i="21"/>
  <c r="AW123" i="21"/>
  <c r="BA123" i="21"/>
  <c r="BE123" i="21"/>
  <c r="BI123" i="21"/>
  <c r="AK147" i="21"/>
  <c r="AO147" i="21"/>
  <c r="AS147" i="21"/>
  <c r="AW147" i="21"/>
  <c r="BA147" i="21"/>
  <c r="BE147" i="21"/>
  <c r="BI147" i="21"/>
  <c r="AK149" i="21"/>
  <c r="AO149" i="21"/>
  <c r="AS149" i="21"/>
  <c r="AW149" i="21"/>
  <c r="BA149" i="21"/>
  <c r="BE149" i="21"/>
  <c r="BI149" i="21"/>
  <c r="AK131" i="21"/>
  <c r="AO131" i="21"/>
  <c r="AS131" i="21"/>
  <c r="AW131" i="21"/>
  <c r="BA131" i="21"/>
  <c r="BE131" i="21"/>
  <c r="BI131" i="21"/>
  <c r="AK140" i="21"/>
  <c r="AO140" i="21"/>
  <c r="AS140" i="21"/>
  <c r="AW140" i="21"/>
  <c r="BA140" i="21"/>
  <c r="BE140" i="21"/>
  <c r="BI140" i="21"/>
  <c r="AK146" i="21"/>
  <c r="AO146" i="21"/>
  <c r="AS146" i="21"/>
  <c r="AW146" i="21"/>
  <c r="BA146" i="21"/>
  <c r="BE146" i="21"/>
  <c r="BI146" i="21"/>
  <c r="AK157" i="21"/>
  <c r="AO157" i="21"/>
  <c r="AS157" i="21"/>
  <c r="AW157" i="21"/>
  <c r="BA157" i="21"/>
  <c r="BE157" i="21"/>
  <c r="BI157" i="21"/>
  <c r="AK138" i="21"/>
  <c r="AO138" i="21"/>
  <c r="AS138" i="21"/>
  <c r="AW138" i="21"/>
  <c r="BA138" i="21"/>
  <c r="BE138" i="21"/>
  <c r="BI138" i="21"/>
  <c r="AK155" i="21"/>
  <c r="AO155" i="21"/>
  <c r="AS155" i="21"/>
  <c r="AW155" i="21"/>
  <c r="BA155" i="21"/>
  <c r="BE155" i="21"/>
  <c r="BI155" i="21"/>
  <c r="AK141" i="21"/>
  <c r="AO141" i="21"/>
  <c r="AS141" i="21"/>
  <c r="AW141" i="21"/>
  <c r="BA141" i="21"/>
  <c r="BE141" i="21"/>
  <c r="BI141" i="21"/>
  <c r="AK156" i="21"/>
  <c r="AO156" i="21"/>
  <c r="AS156" i="21"/>
  <c r="AW156" i="21"/>
  <c r="BA156" i="21"/>
  <c r="BE156" i="21"/>
  <c r="BI156" i="21"/>
  <c r="AK133" i="21"/>
  <c r="AO133" i="21"/>
  <c r="AS133" i="21"/>
  <c r="AW133" i="21"/>
  <c r="BA133" i="21"/>
  <c r="BE133" i="21"/>
  <c r="BI133" i="21"/>
  <c r="AK160" i="21"/>
  <c r="AO160" i="21"/>
  <c r="AS160" i="21"/>
  <c r="AW160" i="21"/>
  <c r="BA160" i="21"/>
  <c r="BE160" i="21"/>
  <c r="BI160" i="21"/>
  <c r="BB233" i="21"/>
  <c r="AN452" i="21"/>
  <c r="AK513" i="21"/>
  <c r="AO17" i="21"/>
  <c r="AS111" i="21"/>
  <c r="AW250" i="21"/>
  <c r="BA312" i="21"/>
  <c r="BE372" i="21"/>
  <c r="BI420" i="21"/>
  <c r="BE127" i="21"/>
  <c r="AX191" i="21"/>
  <c r="AO316" i="21"/>
  <c r="AM409" i="21"/>
  <c r="BG407" i="21"/>
  <c r="AY458" i="21"/>
  <c r="AQ496" i="21"/>
  <c r="AI501" i="21"/>
  <c r="BK46" i="21"/>
  <c r="BC83" i="21"/>
  <c r="AU145" i="21"/>
  <c r="AM164" i="21"/>
  <c r="BG304" i="21"/>
  <c r="AY337" i="21"/>
  <c r="AQ371" i="21"/>
  <c r="AI404" i="21"/>
  <c r="BK397" i="21"/>
  <c r="BC440" i="21"/>
  <c r="AU447" i="21"/>
  <c r="AM483" i="21"/>
  <c r="AQ36" i="21"/>
  <c r="AI68" i="21"/>
  <c r="BK90" i="21"/>
  <c r="BC115" i="21"/>
  <c r="AU183" i="21"/>
  <c r="AM234" i="21"/>
  <c r="AI252" i="21"/>
  <c r="BD252" i="21"/>
  <c r="AP243" i="21"/>
  <c r="BK243" i="21"/>
  <c r="AV242" i="21"/>
  <c r="AH263" i="21"/>
  <c r="BC263" i="21"/>
  <c r="AN264" i="21"/>
  <c r="BJ264" i="21"/>
  <c r="AU267" i="21"/>
  <c r="AT265" i="21"/>
  <c r="BJ265" i="21"/>
  <c r="AP277" i="21"/>
  <c r="BF277" i="21"/>
  <c r="AL286" i="21"/>
  <c r="BB286" i="21"/>
  <c r="AH310" i="21"/>
  <c r="AX310" i="21"/>
  <c r="AT338" i="21"/>
  <c r="BJ338" i="21"/>
  <c r="AP357" i="21"/>
  <c r="BF357" i="21"/>
  <c r="AL354" i="21"/>
  <c r="BB354" i="21"/>
  <c r="AH362" i="21"/>
  <c r="AX362" i="21"/>
  <c r="AT384" i="21"/>
  <c r="BJ384" i="21"/>
  <c r="AP366" i="21"/>
  <c r="BF366" i="21"/>
  <c r="AL365" i="21"/>
  <c r="BB365" i="21"/>
  <c r="AH380" i="21"/>
  <c r="AX380" i="21"/>
  <c r="AT394" i="21"/>
  <c r="BJ394" i="21"/>
  <c r="AP445" i="21"/>
  <c r="BF445" i="21"/>
  <c r="AL459" i="21"/>
  <c r="BB459" i="21"/>
  <c r="AH476" i="21"/>
  <c r="AX476" i="21"/>
  <c r="AT502" i="21"/>
  <c r="BJ502" i="21"/>
  <c r="AP497" i="21"/>
  <c r="BF497" i="21"/>
  <c r="AL70" i="21"/>
  <c r="BB70" i="21"/>
  <c r="AH212" i="21"/>
  <c r="AX212" i="21"/>
  <c r="AT300" i="21"/>
  <c r="BJ300" i="21"/>
  <c r="AP291" i="21"/>
  <c r="BF291" i="21"/>
  <c r="AL315" i="21"/>
  <c r="BB315" i="21"/>
  <c r="AH510" i="21"/>
  <c r="AX510" i="21"/>
  <c r="AT96" i="21"/>
  <c r="BJ96" i="21"/>
  <c r="AP176" i="21"/>
  <c r="BF176" i="21"/>
  <c r="AL165" i="21"/>
  <c r="BB165" i="21"/>
  <c r="AH210" i="21"/>
  <c r="AX210" i="21"/>
  <c r="AT439" i="21"/>
  <c r="BJ439" i="21"/>
  <c r="AP89" i="21"/>
  <c r="BF89" i="21"/>
  <c r="AL81" i="21"/>
  <c r="BB81" i="21"/>
  <c r="AH521" i="21"/>
  <c r="AX521" i="21"/>
  <c r="AT256" i="21"/>
  <c r="BJ256" i="21"/>
  <c r="AP287" i="21"/>
  <c r="BF287" i="21"/>
  <c r="AH333" i="21"/>
  <c r="AX333" i="21"/>
  <c r="AT410" i="21"/>
  <c r="BJ410" i="21"/>
  <c r="AH117" i="21"/>
  <c r="AX117" i="21"/>
  <c r="AP10" i="21"/>
  <c r="BF10" i="21"/>
  <c r="AT21" i="21"/>
  <c r="BJ21" i="21"/>
  <c r="AP18" i="21"/>
  <c r="BF18" i="21"/>
  <c r="AL13" i="21"/>
  <c r="BB13" i="21"/>
  <c r="AH12" i="21"/>
  <c r="AX12" i="21"/>
  <c r="AT23" i="21"/>
  <c r="BJ23" i="21"/>
  <c r="AP15" i="21"/>
  <c r="BF15" i="21"/>
  <c r="AL19" i="21"/>
  <c r="BB19" i="21"/>
  <c r="AH6" i="21"/>
  <c r="AX6" i="21"/>
  <c r="AT8" i="21"/>
  <c r="BJ8" i="21"/>
  <c r="AP7" i="21"/>
  <c r="BF7" i="21"/>
  <c r="AL45" i="21"/>
  <c r="BB45" i="21"/>
  <c r="AH29" i="21"/>
  <c r="AX29" i="21"/>
  <c r="AT30" i="21"/>
  <c r="BJ30" i="21"/>
  <c r="AP28" i="21"/>
  <c r="BF28" i="21"/>
  <c r="AL27" i="21"/>
  <c r="BB27" i="21"/>
  <c r="AH44" i="21"/>
  <c r="AX44" i="21"/>
  <c r="AT34" i="21"/>
  <c r="BJ34" i="21"/>
  <c r="AP35" i="21"/>
  <c r="BF35" i="21"/>
  <c r="AL43" i="21"/>
  <c r="BB43" i="21"/>
  <c r="AH42" i="21"/>
  <c r="AX42" i="21"/>
  <c r="AT72" i="21"/>
  <c r="BJ72" i="21"/>
  <c r="AP74" i="21"/>
  <c r="BF74" i="21"/>
  <c r="AL63" i="21"/>
  <c r="BB63" i="21"/>
  <c r="AH64" i="21"/>
  <c r="AX64" i="21"/>
  <c r="AL69" i="21"/>
  <c r="BB69" i="21"/>
  <c r="AH77" i="21"/>
  <c r="AX77" i="21"/>
  <c r="AT61" i="21"/>
  <c r="BJ61" i="21"/>
  <c r="AP79" i="21"/>
  <c r="BF79" i="21"/>
  <c r="AL99" i="21"/>
  <c r="BB99" i="21"/>
  <c r="AH88" i="21"/>
  <c r="AX88" i="21"/>
  <c r="AT86" i="21"/>
  <c r="BJ86" i="21"/>
  <c r="AP104" i="21"/>
  <c r="BF104" i="21"/>
  <c r="AL97" i="21"/>
  <c r="BB97" i="21"/>
  <c r="AH87" i="21"/>
  <c r="AX87" i="21"/>
  <c r="AT92" i="21"/>
  <c r="BJ92" i="21"/>
  <c r="AP116" i="21"/>
  <c r="BF116" i="21"/>
  <c r="AL113" i="21"/>
  <c r="BB113" i="21"/>
  <c r="AH119" i="21"/>
  <c r="AX119" i="21"/>
  <c r="AT110" i="21"/>
  <c r="BJ110" i="21"/>
  <c r="AP125" i="21"/>
  <c r="BF125" i="21"/>
  <c r="AL130" i="21"/>
  <c r="BB130" i="21"/>
  <c r="AH122" i="21"/>
  <c r="AX122" i="21"/>
  <c r="AT108" i="21"/>
  <c r="BJ108" i="21"/>
  <c r="AP123" i="21"/>
  <c r="BF123" i="21"/>
  <c r="AL147" i="21"/>
  <c r="BB147" i="21"/>
  <c r="AH149" i="21"/>
  <c r="AX149" i="21"/>
  <c r="AT131" i="21"/>
  <c r="BJ131" i="21"/>
  <c r="AP140" i="21"/>
  <c r="BF140" i="21"/>
  <c r="AH146" i="21"/>
  <c r="AX146" i="21"/>
  <c r="AT157" i="21"/>
  <c r="BJ157" i="21"/>
  <c r="AP138" i="21"/>
  <c r="BF138" i="21"/>
  <c r="AL155" i="21"/>
  <c r="BB155" i="21"/>
  <c r="AH141" i="21"/>
  <c r="AX141" i="21"/>
  <c r="AT156" i="21"/>
  <c r="BJ156" i="21"/>
  <c r="AP133" i="21"/>
  <c r="BF133" i="21"/>
  <c r="AL160" i="21"/>
  <c r="BB160" i="21"/>
  <c r="AO161" i="21"/>
  <c r="AW161" i="21"/>
  <c r="BE161" i="21"/>
  <c r="AK170" i="21"/>
  <c r="AS170" i="21"/>
  <c r="BA170" i="21"/>
  <c r="BI170" i="21"/>
  <c r="AO182" i="21"/>
  <c r="AW182" i="21"/>
  <c r="BE182" i="21"/>
  <c r="AK203" i="21"/>
  <c r="AS203" i="21"/>
  <c r="BA203" i="21"/>
  <c r="BI203" i="21"/>
  <c r="AO195" i="21"/>
  <c r="AW195" i="21"/>
  <c r="BE195" i="21"/>
  <c r="AK194" i="21"/>
  <c r="AS194" i="21"/>
  <c r="BA194" i="21"/>
  <c r="BI194" i="21"/>
  <c r="AO192" i="21"/>
  <c r="AW192" i="21"/>
  <c r="BE192" i="21"/>
  <c r="AK207" i="21"/>
  <c r="AS207" i="21"/>
  <c r="BA207" i="21"/>
  <c r="BI207" i="21"/>
  <c r="AO201" i="21"/>
  <c r="AW201" i="21"/>
  <c r="BE201" i="21"/>
  <c r="AK199" i="21"/>
  <c r="AS199" i="21"/>
  <c r="BA199" i="21"/>
  <c r="BI199" i="21"/>
  <c r="AO227" i="21"/>
  <c r="AW227" i="21"/>
  <c r="BE227" i="21"/>
  <c r="AK228" i="21"/>
  <c r="AS228" i="21"/>
  <c r="BA228" i="21"/>
  <c r="BI228" i="21"/>
  <c r="AK215" i="21"/>
  <c r="AP215" i="21"/>
  <c r="AU215" i="21"/>
  <c r="BA215" i="21"/>
  <c r="BF215" i="21"/>
  <c r="BK215" i="21"/>
  <c r="AL220" i="21"/>
  <c r="AQ220" i="21"/>
  <c r="AW220" i="21"/>
  <c r="BB220" i="21"/>
  <c r="BG220" i="21"/>
  <c r="AH211" i="21"/>
  <c r="AM211" i="21"/>
  <c r="AS211" i="21"/>
  <c r="AX211" i="21"/>
  <c r="BC211" i="21"/>
  <c r="BI211" i="21"/>
  <c r="AI230" i="21"/>
  <c r="AO230" i="21"/>
  <c r="AT230" i="21"/>
  <c r="AY230" i="21"/>
  <c r="BE230" i="21"/>
  <c r="BJ230" i="21"/>
  <c r="AK223" i="21"/>
  <c r="AP223" i="21"/>
  <c r="AU223" i="21"/>
  <c r="BA223" i="21"/>
  <c r="BF223" i="21"/>
  <c r="BK223" i="21"/>
  <c r="AL231" i="21"/>
  <c r="AQ231" i="21"/>
  <c r="AW231" i="21"/>
  <c r="BB231" i="21"/>
  <c r="BG231" i="21"/>
  <c r="AH226" i="21"/>
  <c r="AM226" i="21"/>
  <c r="AS226" i="21"/>
  <c r="AX226" i="21"/>
  <c r="BC226" i="21"/>
  <c r="BI226" i="21"/>
  <c r="AI217" i="21"/>
  <c r="AO217" i="21"/>
  <c r="AT217" i="21"/>
  <c r="AY217" i="21"/>
  <c r="BE217" i="21"/>
  <c r="BJ217" i="21"/>
  <c r="AK213" i="21"/>
  <c r="AP213" i="21"/>
  <c r="AU213" i="21"/>
  <c r="BA213" i="21"/>
  <c r="BF213" i="21"/>
  <c r="BK213" i="21"/>
  <c r="AL218" i="21"/>
  <c r="AQ218" i="21"/>
  <c r="AW218" i="21"/>
  <c r="BB218" i="21"/>
  <c r="BG218" i="21"/>
  <c r="AH224" i="21"/>
  <c r="AM224" i="21"/>
  <c r="AS224" i="21"/>
  <c r="AX224" i="21"/>
  <c r="BC224" i="21"/>
  <c r="BI224" i="21"/>
  <c r="AI237" i="21"/>
  <c r="AO237" i="21"/>
  <c r="AT237" i="21"/>
  <c r="AY237" i="21"/>
  <c r="BE237" i="21"/>
  <c r="BJ237" i="21"/>
  <c r="AK239" i="21"/>
  <c r="AP239" i="21"/>
  <c r="AU239" i="21"/>
  <c r="AZ239" i="21"/>
  <c r="BD239" i="21"/>
  <c r="BH239" i="21"/>
  <c r="AJ241" i="21"/>
  <c r="AN241" i="21"/>
  <c r="AR241" i="21"/>
  <c r="AV241" i="21"/>
  <c r="AZ241" i="21"/>
  <c r="BD241" i="21"/>
  <c r="BH241" i="21"/>
  <c r="AJ236" i="21"/>
  <c r="AN236" i="21"/>
  <c r="AR236" i="21"/>
  <c r="AV236" i="21"/>
  <c r="AZ236" i="21"/>
  <c r="BD236" i="21"/>
  <c r="BH236" i="21"/>
  <c r="AJ257" i="21"/>
  <c r="AN257" i="21"/>
  <c r="AR257" i="21"/>
  <c r="AV257" i="21"/>
  <c r="AZ257" i="21"/>
  <c r="BD257" i="21"/>
  <c r="BH257" i="21"/>
  <c r="AJ246" i="21"/>
  <c r="AN246" i="21"/>
  <c r="AR246" i="21"/>
  <c r="AV246" i="21"/>
  <c r="AZ246" i="21"/>
  <c r="BD246" i="21"/>
  <c r="BH246" i="21"/>
  <c r="AJ240" i="21"/>
  <c r="AN240" i="21"/>
  <c r="AR240" i="21"/>
  <c r="AV240" i="21"/>
  <c r="AZ240" i="21"/>
  <c r="BD240" i="21"/>
  <c r="BH240" i="21"/>
  <c r="AJ235" i="21"/>
  <c r="AN235" i="21"/>
  <c r="AR235" i="21"/>
  <c r="AV235" i="21"/>
  <c r="AZ235" i="21"/>
  <c r="BD235" i="21"/>
  <c r="BH235" i="21"/>
  <c r="AJ279" i="21"/>
  <c r="AN279" i="21"/>
  <c r="AR279" i="21"/>
  <c r="AV279" i="21"/>
  <c r="AZ279" i="21"/>
  <c r="BD279" i="21"/>
  <c r="BH279" i="21"/>
  <c r="AJ261" i="21"/>
  <c r="AN261" i="21"/>
  <c r="AR261" i="21"/>
  <c r="AV261" i="21"/>
  <c r="AZ261" i="21"/>
  <c r="BD261" i="21"/>
  <c r="BH261" i="21"/>
  <c r="AJ280" i="21"/>
  <c r="AN280" i="21"/>
  <c r="AR280" i="21"/>
  <c r="AV280" i="21"/>
  <c r="AZ280" i="21"/>
  <c r="BD280" i="21"/>
  <c r="BH280" i="21"/>
  <c r="AJ266" i="21"/>
  <c r="AN266" i="21"/>
  <c r="AR266" i="21"/>
  <c r="AV266" i="21"/>
  <c r="AZ266" i="21"/>
  <c r="BD266" i="21"/>
  <c r="BH266" i="21"/>
  <c r="AJ262" i="21"/>
  <c r="AN262" i="21"/>
  <c r="AR262" i="21"/>
  <c r="AV262" i="21"/>
  <c r="AZ262" i="21"/>
  <c r="BD262" i="21"/>
  <c r="BH262" i="21"/>
  <c r="AJ283" i="21"/>
  <c r="AN283" i="21"/>
  <c r="AR283" i="21"/>
  <c r="AV283" i="21"/>
  <c r="AZ283" i="21"/>
  <c r="BD283" i="21"/>
  <c r="BH283" i="21"/>
  <c r="AJ285" i="21"/>
  <c r="AN285" i="21"/>
  <c r="AR285" i="21"/>
  <c r="AV285" i="21"/>
  <c r="AZ285" i="21"/>
  <c r="BD285" i="21"/>
  <c r="BH285" i="21"/>
  <c r="AJ273" i="21"/>
  <c r="AN273" i="21"/>
  <c r="AR273" i="21"/>
  <c r="AV273" i="21"/>
  <c r="AZ273" i="21"/>
  <c r="BD273" i="21"/>
  <c r="BH273" i="21"/>
  <c r="AJ297" i="21"/>
  <c r="AN297" i="21"/>
  <c r="AR297" i="21"/>
  <c r="AV297" i="21"/>
  <c r="AZ297" i="21"/>
  <c r="BD297" i="21"/>
  <c r="BH297" i="21"/>
  <c r="AJ303" i="21"/>
  <c r="AN303" i="21"/>
  <c r="AR303" i="21"/>
  <c r="AV303" i="21"/>
  <c r="AZ303" i="21"/>
  <c r="BD303" i="21"/>
  <c r="BH303" i="21"/>
  <c r="AJ302" i="21"/>
  <c r="AN302" i="21"/>
  <c r="AR302" i="21"/>
  <c r="AV302" i="21"/>
  <c r="AZ302" i="21"/>
  <c r="BD302" i="21"/>
  <c r="BH302" i="21"/>
  <c r="AJ298" i="21"/>
  <c r="AN298" i="21"/>
  <c r="AR298" i="21"/>
  <c r="AV298" i="21"/>
  <c r="AZ298" i="21"/>
  <c r="BD298" i="21"/>
  <c r="BH298" i="21"/>
  <c r="AJ306" i="21"/>
  <c r="AN306" i="21"/>
  <c r="AR306" i="21"/>
  <c r="AV306" i="21"/>
  <c r="AZ306" i="21"/>
  <c r="BD306" i="21"/>
  <c r="BH306" i="21"/>
  <c r="AJ308" i="21"/>
  <c r="AN308" i="21"/>
  <c r="AR308" i="21"/>
  <c r="AV308" i="21"/>
  <c r="AZ308" i="21"/>
  <c r="BD308" i="21"/>
  <c r="BH308" i="21"/>
  <c r="AJ329" i="21"/>
  <c r="AN329" i="21"/>
  <c r="AR329" i="21"/>
  <c r="AV329" i="21"/>
  <c r="AZ329" i="21"/>
  <c r="BD329" i="21"/>
  <c r="BH329" i="21"/>
  <c r="AJ332" i="21"/>
  <c r="AN332" i="21"/>
  <c r="AR332" i="21"/>
  <c r="AV332" i="21"/>
  <c r="AZ332" i="21"/>
  <c r="BD332" i="21"/>
  <c r="BH332" i="21"/>
  <c r="AJ328" i="21"/>
  <c r="AN328" i="21"/>
  <c r="AR328" i="21"/>
  <c r="AV328" i="21"/>
  <c r="AZ328" i="21"/>
  <c r="BD328" i="21"/>
  <c r="BH328" i="21"/>
  <c r="AJ324" i="21"/>
  <c r="AN324" i="21"/>
  <c r="AR324" i="21"/>
  <c r="AV324" i="21"/>
  <c r="AZ324" i="21"/>
  <c r="BD324" i="21"/>
  <c r="BH324" i="21"/>
  <c r="AJ318" i="21"/>
  <c r="AN318" i="21"/>
  <c r="AR318" i="21"/>
  <c r="AV318" i="21"/>
  <c r="AZ318" i="21"/>
  <c r="BD318" i="21"/>
  <c r="BH318" i="21"/>
  <c r="AJ336" i="21"/>
  <c r="AN336" i="21"/>
  <c r="AR336" i="21"/>
  <c r="AV336" i="21"/>
  <c r="AZ336" i="21"/>
  <c r="BD336" i="21"/>
  <c r="BH336" i="21"/>
  <c r="AJ355" i="21"/>
  <c r="AN355" i="21"/>
  <c r="AR355" i="21"/>
  <c r="AV355" i="21"/>
  <c r="AZ355" i="21"/>
  <c r="BD355" i="21"/>
  <c r="BH355" i="21"/>
  <c r="AJ356" i="21"/>
  <c r="AN356" i="21"/>
  <c r="AR356" i="21"/>
  <c r="AV356" i="21"/>
  <c r="AZ356" i="21"/>
  <c r="BD356" i="21"/>
  <c r="BH356" i="21"/>
  <c r="AJ359" i="21"/>
  <c r="AN359" i="21"/>
  <c r="AR359" i="21"/>
  <c r="AV359" i="21"/>
  <c r="AZ359" i="21"/>
  <c r="BD359" i="21"/>
  <c r="BH359" i="21"/>
  <c r="AJ360" i="21"/>
  <c r="AN360" i="21"/>
  <c r="AR360" i="21"/>
  <c r="AV360" i="21"/>
  <c r="AZ360" i="21"/>
  <c r="BD360" i="21"/>
  <c r="BH360" i="21"/>
  <c r="AJ352" i="21"/>
  <c r="AN352" i="21"/>
  <c r="AR352" i="21"/>
  <c r="AV352" i="21"/>
  <c r="AZ352" i="21"/>
  <c r="BD352" i="21"/>
  <c r="BH352" i="21"/>
  <c r="AJ363" i="21"/>
  <c r="AN363" i="21"/>
  <c r="AR363" i="21"/>
  <c r="AV363" i="21"/>
  <c r="AZ363" i="21"/>
  <c r="BD363" i="21"/>
  <c r="BH363" i="21"/>
  <c r="AJ344" i="21"/>
  <c r="AN344" i="21"/>
  <c r="AR344" i="21"/>
  <c r="AV344" i="21"/>
  <c r="AZ344" i="21"/>
  <c r="BD344" i="21"/>
  <c r="BH344" i="21"/>
  <c r="AJ364" i="21"/>
  <c r="AN364" i="21"/>
  <c r="AR364" i="21"/>
  <c r="AV364" i="21"/>
  <c r="AZ364" i="21"/>
  <c r="BD364" i="21"/>
  <c r="BH364" i="21"/>
  <c r="AJ347" i="21"/>
  <c r="AN347" i="21"/>
  <c r="AR347" i="21"/>
  <c r="AV347" i="21"/>
  <c r="AZ347" i="21"/>
  <c r="BD347" i="21"/>
  <c r="BH347" i="21"/>
  <c r="AJ367" i="21"/>
  <c r="AN367" i="21"/>
  <c r="AR367" i="21"/>
  <c r="AV367" i="21"/>
  <c r="AZ367" i="21"/>
  <c r="BD367" i="21"/>
  <c r="BH367" i="21"/>
  <c r="AJ369" i="21"/>
  <c r="AN369" i="21"/>
  <c r="AR369" i="21"/>
  <c r="AV369" i="21"/>
  <c r="AZ369" i="21"/>
  <c r="BD369" i="21"/>
  <c r="BH369" i="21"/>
  <c r="AJ386" i="21"/>
  <c r="AN386" i="21"/>
  <c r="AR386" i="21"/>
  <c r="AV386" i="21"/>
  <c r="AZ386" i="21"/>
  <c r="BD386" i="21"/>
  <c r="BH386" i="21"/>
  <c r="AJ377" i="21"/>
  <c r="AN377" i="21"/>
  <c r="AR377" i="21"/>
  <c r="AV377" i="21"/>
  <c r="AZ377" i="21"/>
  <c r="BD377" i="21"/>
  <c r="BH377" i="21"/>
  <c r="AJ378" i="21"/>
  <c r="AN378" i="21"/>
  <c r="AR378" i="21"/>
  <c r="AV378" i="21"/>
  <c r="AZ378" i="21"/>
  <c r="BD378" i="21"/>
  <c r="BH378" i="21"/>
  <c r="AJ387" i="21"/>
  <c r="AN387" i="21"/>
  <c r="AR387" i="21"/>
  <c r="AV387" i="21"/>
  <c r="AZ387" i="21"/>
  <c r="BD387" i="21"/>
  <c r="BH387" i="21"/>
  <c r="AJ373" i="21"/>
  <c r="AN373" i="21"/>
  <c r="AR373" i="21"/>
  <c r="AV373" i="21"/>
  <c r="AZ373" i="21"/>
  <c r="BD373" i="21"/>
  <c r="BH373" i="21"/>
  <c r="AJ388" i="21"/>
  <c r="AN388" i="21"/>
  <c r="AR388" i="21"/>
  <c r="AV388" i="21"/>
  <c r="AZ388" i="21"/>
  <c r="BD388" i="21"/>
  <c r="BH388" i="21"/>
  <c r="AJ389" i="21"/>
  <c r="AN389" i="21"/>
  <c r="AR389" i="21"/>
  <c r="AV389" i="21"/>
  <c r="AZ389" i="21"/>
  <c r="BD389" i="21"/>
  <c r="BH389" i="21"/>
  <c r="AJ379" i="21"/>
  <c r="AN379" i="21"/>
  <c r="AR379" i="21"/>
  <c r="AV379" i="21"/>
  <c r="AZ379" i="21"/>
  <c r="BD379" i="21"/>
  <c r="BH379" i="21"/>
  <c r="AJ403" i="21"/>
  <c r="AN403" i="21"/>
  <c r="AR403" i="21"/>
  <c r="AV403" i="21"/>
  <c r="AZ403" i="21"/>
  <c r="BD403" i="21"/>
  <c r="BH403" i="21"/>
  <c r="AJ405" i="21"/>
  <c r="AN405" i="21"/>
  <c r="AR405" i="21"/>
  <c r="AV405" i="21"/>
  <c r="AZ405" i="21"/>
  <c r="BD405" i="21"/>
  <c r="BH405" i="21"/>
  <c r="AJ412" i="21"/>
  <c r="AN412" i="21"/>
  <c r="AR412" i="21"/>
  <c r="AV412" i="21"/>
  <c r="AZ412" i="21"/>
  <c r="BD412" i="21"/>
  <c r="BH412" i="21"/>
  <c r="AJ395" i="21"/>
  <c r="AN395" i="21"/>
  <c r="AR395" i="21"/>
  <c r="AV395" i="21"/>
  <c r="AZ395" i="21"/>
  <c r="BD395" i="21"/>
  <c r="BH395" i="21"/>
  <c r="AJ400" i="21"/>
  <c r="AN400" i="21"/>
  <c r="AR400" i="21"/>
  <c r="AV400" i="21"/>
  <c r="AZ400" i="21"/>
  <c r="BD400" i="21"/>
  <c r="BH400" i="21"/>
  <c r="AJ418" i="21"/>
  <c r="AN418" i="21"/>
  <c r="AR418" i="21"/>
  <c r="AV418" i="21"/>
  <c r="AZ418" i="21"/>
  <c r="BD418" i="21"/>
  <c r="BH418" i="21"/>
  <c r="AJ433" i="21"/>
  <c r="AN433" i="21"/>
  <c r="AR433" i="21"/>
  <c r="AV433" i="21"/>
  <c r="AZ433" i="21"/>
  <c r="BD433" i="21"/>
  <c r="BH433" i="21"/>
  <c r="AJ421" i="21"/>
  <c r="AN421" i="21"/>
  <c r="AR421" i="21"/>
  <c r="AV421" i="21"/>
  <c r="AZ421" i="21"/>
  <c r="BD421" i="21"/>
  <c r="BH421" i="21"/>
  <c r="AJ422" i="21"/>
  <c r="AN422" i="21"/>
  <c r="AR422" i="21"/>
  <c r="AV422" i="21"/>
  <c r="AZ422" i="21"/>
  <c r="BD422" i="21"/>
  <c r="BH422" i="21"/>
  <c r="AJ428" i="21"/>
  <c r="AN428" i="21"/>
  <c r="AR428" i="21"/>
  <c r="AV428" i="21"/>
  <c r="AZ428" i="21"/>
  <c r="BD428" i="21"/>
  <c r="BH428" i="21"/>
  <c r="AJ441" i="21"/>
  <c r="AN441" i="21"/>
  <c r="AR441" i="21"/>
  <c r="AV441" i="21"/>
  <c r="AZ441" i="21"/>
  <c r="BD441" i="21"/>
  <c r="BH441" i="21"/>
  <c r="AJ430" i="21"/>
  <c r="AN430" i="21"/>
  <c r="AR430" i="21"/>
  <c r="AV430" i="21"/>
  <c r="AZ430" i="21"/>
  <c r="BD430" i="21"/>
  <c r="BH430" i="21"/>
  <c r="AJ453" i="21"/>
  <c r="AN453" i="21"/>
  <c r="AR453" i="21"/>
  <c r="AV453" i="21"/>
  <c r="AZ453" i="21"/>
  <c r="BD453" i="21"/>
  <c r="BH453" i="21"/>
  <c r="AJ462" i="21"/>
  <c r="AN462" i="21"/>
  <c r="AR462" i="21"/>
  <c r="AV462" i="21"/>
  <c r="AZ462" i="21"/>
  <c r="BD462" i="21"/>
  <c r="BH462" i="21"/>
  <c r="AJ464" i="21"/>
  <c r="AN464" i="21"/>
  <c r="AR464" i="21"/>
  <c r="AV464" i="21"/>
  <c r="AZ464" i="21"/>
  <c r="BD464" i="21"/>
  <c r="BH464" i="21"/>
  <c r="AJ448" i="21"/>
  <c r="AN448" i="21"/>
  <c r="AR448" i="21"/>
  <c r="AV448" i="21"/>
  <c r="AZ448" i="21"/>
  <c r="BD448" i="21"/>
  <c r="BH448" i="21"/>
  <c r="AJ449" i="21"/>
  <c r="AN449" i="21"/>
  <c r="AR449" i="21"/>
  <c r="AV449" i="21"/>
  <c r="AZ449" i="21"/>
  <c r="BD449" i="21"/>
  <c r="BH449" i="21"/>
  <c r="AJ450" i="21"/>
  <c r="AN450" i="21"/>
  <c r="AR450" i="21"/>
  <c r="AV450" i="21"/>
  <c r="AZ450" i="21"/>
  <c r="BD450" i="21"/>
  <c r="BH450" i="21"/>
  <c r="AJ465" i="21"/>
  <c r="AN465" i="21"/>
  <c r="AR465" i="21"/>
  <c r="AV465" i="21"/>
  <c r="AZ465" i="21"/>
  <c r="BD465" i="21"/>
  <c r="BH465" i="21"/>
  <c r="AJ457" i="21"/>
  <c r="AN457" i="21"/>
  <c r="AR457" i="21"/>
  <c r="AV457" i="21"/>
  <c r="AZ457" i="21"/>
  <c r="BD457" i="21"/>
  <c r="BH457" i="21"/>
  <c r="AJ466" i="21"/>
  <c r="AN466" i="21"/>
  <c r="AR466" i="21"/>
  <c r="AV466" i="21"/>
  <c r="AZ466" i="21"/>
  <c r="BD466" i="21"/>
  <c r="BH466" i="21"/>
  <c r="AJ460" i="21"/>
  <c r="AN460" i="21"/>
  <c r="AR460" i="21"/>
  <c r="AV460" i="21"/>
  <c r="AZ460" i="21"/>
  <c r="BD460" i="21"/>
  <c r="BH460" i="21"/>
  <c r="AJ467" i="21"/>
  <c r="AN467" i="21"/>
  <c r="AR467" i="21"/>
  <c r="AV467" i="21"/>
  <c r="AZ467" i="21"/>
  <c r="BD467" i="21"/>
  <c r="BH467" i="21"/>
  <c r="AJ486" i="21"/>
  <c r="AN486" i="21"/>
  <c r="AR486" i="21"/>
  <c r="AV486" i="21"/>
  <c r="AZ486" i="21"/>
  <c r="BD486" i="21"/>
  <c r="BH486" i="21"/>
  <c r="AJ488" i="21"/>
  <c r="AN488" i="21"/>
  <c r="AR488" i="21"/>
  <c r="AV488" i="21"/>
  <c r="AZ488" i="21"/>
  <c r="BD488" i="21"/>
  <c r="BH488" i="21"/>
  <c r="AJ482" i="21"/>
  <c r="AN482" i="21"/>
  <c r="AR482" i="21"/>
  <c r="AV482" i="21"/>
  <c r="AZ482" i="21"/>
  <c r="BD482" i="21"/>
  <c r="BH482" i="21"/>
  <c r="AJ489" i="21"/>
  <c r="AN489" i="21"/>
  <c r="AR489" i="21"/>
  <c r="AV489" i="21"/>
  <c r="AZ489" i="21"/>
  <c r="BD489" i="21"/>
  <c r="BH489" i="21"/>
  <c r="AJ468" i="21"/>
  <c r="AN468" i="21"/>
  <c r="AR468" i="21"/>
  <c r="AV468" i="21"/>
  <c r="AZ468" i="21"/>
  <c r="BD468" i="21"/>
  <c r="BH468" i="21"/>
  <c r="AJ479" i="21"/>
  <c r="AN479" i="21"/>
  <c r="AR479" i="21"/>
  <c r="AV479" i="21"/>
  <c r="AZ479" i="21"/>
  <c r="BD479" i="21"/>
  <c r="BH479" i="21"/>
  <c r="AJ491" i="21"/>
  <c r="AN491" i="21"/>
  <c r="AR491" i="21"/>
  <c r="AV491" i="21"/>
  <c r="AZ491" i="21"/>
  <c r="BD491" i="21"/>
  <c r="BH491" i="21"/>
  <c r="AJ492" i="21"/>
  <c r="AN492" i="21"/>
  <c r="AR492" i="21"/>
  <c r="AV492" i="21"/>
  <c r="AZ492" i="21"/>
  <c r="BD492" i="21"/>
  <c r="BH492" i="21"/>
  <c r="AJ480" i="21"/>
  <c r="AN480" i="21"/>
  <c r="AR480" i="21"/>
  <c r="AV480" i="21"/>
  <c r="AZ480" i="21"/>
  <c r="BD480" i="21"/>
  <c r="BH480" i="21"/>
  <c r="AJ473" i="21"/>
  <c r="AN473" i="21"/>
  <c r="AR473" i="21"/>
  <c r="AV473" i="21"/>
  <c r="AZ473" i="21"/>
  <c r="BD473" i="21"/>
  <c r="BH473" i="21"/>
  <c r="AJ485" i="21"/>
  <c r="AN485" i="21"/>
  <c r="AR485" i="21"/>
  <c r="AV485" i="21"/>
  <c r="AZ485" i="21"/>
  <c r="BD485" i="21"/>
  <c r="BH485" i="21"/>
  <c r="AJ498" i="21"/>
  <c r="AN498" i="21"/>
  <c r="AR498" i="21"/>
  <c r="AV498" i="21"/>
  <c r="AZ498" i="21"/>
  <c r="BD498" i="21"/>
  <c r="BH498" i="21"/>
  <c r="AJ499" i="21"/>
  <c r="AN499" i="21"/>
  <c r="AR499" i="21"/>
  <c r="AV499" i="21"/>
  <c r="AZ499" i="21"/>
  <c r="BD499" i="21"/>
  <c r="BH499" i="21"/>
  <c r="AJ506" i="21"/>
  <c r="AN506" i="21"/>
  <c r="AR506" i="21"/>
  <c r="AV506" i="21"/>
  <c r="AZ506" i="21"/>
  <c r="BD506" i="21"/>
  <c r="BH506" i="21"/>
  <c r="AJ503" i="21"/>
  <c r="AN503" i="21"/>
  <c r="AR503" i="21"/>
  <c r="AV503" i="21"/>
  <c r="AZ503" i="21"/>
  <c r="BD503" i="21"/>
  <c r="BH503" i="21"/>
  <c r="AJ514" i="21"/>
  <c r="AN514" i="21"/>
  <c r="AR514" i="21"/>
  <c r="AV514" i="21"/>
  <c r="AZ514" i="21"/>
  <c r="BD514" i="21"/>
  <c r="BH514" i="21"/>
  <c r="AJ507" i="21"/>
  <c r="AN507" i="21"/>
  <c r="AR507" i="21"/>
  <c r="AV507" i="21"/>
  <c r="AZ507" i="21"/>
  <c r="BD507" i="21"/>
  <c r="BH507" i="21"/>
  <c r="AJ515" i="21"/>
  <c r="AN515" i="21"/>
  <c r="AR515" i="21"/>
  <c r="AV515" i="21"/>
  <c r="AZ515" i="21"/>
  <c r="BD515" i="21"/>
  <c r="BH515" i="21"/>
  <c r="AJ516" i="21"/>
  <c r="AN516" i="21"/>
  <c r="AR516" i="21"/>
  <c r="AV516" i="21"/>
  <c r="AZ516" i="21"/>
  <c r="BD516" i="21"/>
  <c r="BH516" i="21"/>
  <c r="AJ504" i="21"/>
  <c r="AN504" i="21"/>
  <c r="AR504" i="21"/>
  <c r="AV504" i="21"/>
  <c r="AZ504" i="21"/>
  <c r="BD504" i="21"/>
  <c r="BH504" i="21"/>
  <c r="AJ518" i="21"/>
  <c r="AN518" i="21"/>
  <c r="AR518" i="21"/>
  <c r="AV518" i="21"/>
  <c r="AZ518" i="21"/>
  <c r="BD518" i="21"/>
  <c r="BH518" i="21"/>
  <c r="AJ494" i="21"/>
  <c r="AN494" i="21"/>
  <c r="AR494" i="21"/>
  <c r="AV494" i="21"/>
  <c r="AZ494" i="21"/>
  <c r="BD494" i="21"/>
  <c r="BH494" i="21"/>
  <c r="BJ311" i="21"/>
  <c r="BI478" i="21"/>
  <c r="AK173" i="21"/>
  <c r="AO296" i="21"/>
  <c r="AS326" i="21"/>
  <c r="AW399" i="21"/>
  <c r="BA477" i="21"/>
  <c r="BA124" i="21"/>
  <c r="AJ229" i="21"/>
  <c r="AW244" i="21"/>
  <c r="BJ316" i="21"/>
  <c r="BC409" i="21"/>
  <c r="AU398" i="21"/>
  <c r="AM451" i="21"/>
  <c r="BG496" i="21"/>
  <c r="AY501" i="21"/>
  <c r="AQ58" i="21"/>
  <c r="AI105" i="21"/>
  <c r="BK145" i="21"/>
  <c r="BC164" i="21"/>
  <c r="AU209" i="21"/>
  <c r="AM334" i="21"/>
  <c r="BG371" i="21"/>
  <c r="AY404" i="21"/>
  <c r="AQ437" i="21"/>
  <c r="AI443" i="21"/>
  <c r="BK447" i="21"/>
  <c r="BC483" i="21"/>
  <c r="AU520" i="21"/>
  <c r="BG36" i="21"/>
  <c r="AY68" i="21"/>
  <c r="AQ121" i="21"/>
  <c r="AI114" i="21"/>
  <c r="BK183" i="21"/>
  <c r="AU219" i="21"/>
  <c r="AU234" i="21"/>
  <c r="AN252" i="21"/>
  <c r="BJ252" i="21"/>
  <c r="AU243" i="21"/>
  <c r="BB242" i="21"/>
  <c r="AM263" i="21"/>
  <c r="BH263" i="21"/>
  <c r="AT264" i="21"/>
  <c r="AZ267" i="21"/>
  <c r="AH265" i="21"/>
  <c r="AX265" i="21"/>
  <c r="AT277" i="21"/>
  <c r="BJ277" i="21"/>
  <c r="AP286" i="21"/>
  <c r="BF286" i="21"/>
  <c r="AL310" i="21"/>
  <c r="BB310" i="21"/>
  <c r="AH338" i="21"/>
  <c r="AX338" i="21"/>
  <c r="AT357" i="21"/>
  <c r="BJ357" i="21"/>
  <c r="AP354" i="21"/>
  <c r="BF354" i="21"/>
  <c r="AL362" i="21"/>
  <c r="BB362" i="21"/>
  <c r="AH384" i="21"/>
  <c r="AX384" i="21"/>
  <c r="AT366" i="21"/>
  <c r="BJ366" i="21"/>
  <c r="AP365" i="21"/>
  <c r="BF365" i="21"/>
  <c r="AL380" i="21"/>
  <c r="BB380" i="21"/>
  <c r="AH394" i="21"/>
  <c r="AX394" i="21"/>
  <c r="AT445" i="21"/>
  <c r="BJ445" i="21"/>
  <c r="AP459" i="21"/>
  <c r="BF459" i="21"/>
  <c r="AL476" i="21"/>
  <c r="BB476" i="21"/>
  <c r="AH502" i="21"/>
  <c r="AX502" i="21"/>
  <c r="AT497" i="21"/>
  <c r="BJ497" i="21"/>
  <c r="AP70" i="21"/>
  <c r="BF70" i="21"/>
  <c r="AL212" i="21"/>
  <c r="BB212" i="21"/>
  <c r="AH300" i="21"/>
  <c r="AX300" i="21"/>
  <c r="AT291" i="21"/>
  <c r="BJ291" i="21"/>
  <c r="AP315" i="21"/>
  <c r="BF315" i="21"/>
  <c r="AL510" i="21"/>
  <c r="BB510" i="21"/>
  <c r="AH96" i="21"/>
  <c r="AX96" i="21"/>
  <c r="AT176" i="21"/>
  <c r="BJ176" i="21"/>
  <c r="AP165" i="21"/>
  <c r="BF165" i="21"/>
  <c r="AL210" i="21"/>
  <c r="BB210" i="21"/>
  <c r="AH439" i="21"/>
  <c r="AX439" i="21"/>
  <c r="AT89" i="21"/>
  <c r="BJ89" i="21"/>
  <c r="AP81" i="21"/>
  <c r="BF81" i="21"/>
  <c r="AL521" i="21"/>
  <c r="BB521" i="21"/>
  <c r="AH256" i="21"/>
  <c r="AX256" i="21"/>
  <c r="AT287" i="21"/>
  <c r="BJ287" i="21"/>
  <c r="AL333" i="21"/>
  <c r="BB333" i="21"/>
  <c r="AH410" i="21"/>
  <c r="AX410" i="21"/>
  <c r="AL117" i="21"/>
  <c r="BB117" i="21"/>
  <c r="AT10" i="21"/>
  <c r="BJ10" i="21"/>
  <c r="AH21" i="21"/>
  <c r="AX21" i="21"/>
  <c r="AT18" i="21"/>
  <c r="BJ18" i="21"/>
  <c r="AP13" i="21"/>
  <c r="BF13" i="21"/>
  <c r="AL12" i="21"/>
  <c r="BB12" i="21"/>
  <c r="AH23" i="21"/>
  <c r="AX23" i="21"/>
  <c r="AT15" i="21"/>
  <c r="BJ15" i="21"/>
  <c r="AP19" i="21"/>
  <c r="BF19" i="21"/>
  <c r="AL6" i="21"/>
  <c r="BB6" i="21"/>
  <c r="AH8" i="21"/>
  <c r="AX8" i="21"/>
  <c r="AT7" i="21"/>
  <c r="BJ7" i="21"/>
  <c r="AP45" i="21"/>
  <c r="BF45" i="21"/>
  <c r="AL29" i="21"/>
  <c r="BB29" i="21"/>
  <c r="AH30" i="21"/>
  <c r="AX30" i="21"/>
  <c r="AT28" i="21"/>
  <c r="BJ28" i="21"/>
  <c r="AP27" i="21"/>
  <c r="BF27" i="21"/>
  <c r="AL44" i="21"/>
  <c r="BB44" i="21"/>
  <c r="AH34" i="21"/>
  <c r="AX34" i="21"/>
  <c r="AT35" i="21"/>
  <c r="BJ35" i="21"/>
  <c r="AP43" i="21"/>
  <c r="BF43" i="21"/>
  <c r="AL42" i="21"/>
  <c r="BB42" i="21"/>
  <c r="AH72" i="21"/>
  <c r="AX72" i="21"/>
  <c r="AT74" i="21"/>
  <c r="BJ74" i="21"/>
  <c r="AP63" i="21"/>
  <c r="BF63" i="21"/>
  <c r="AL64" i="21"/>
  <c r="BB64" i="21"/>
  <c r="AP69" i="21"/>
  <c r="BF69" i="21"/>
  <c r="AL77" i="21"/>
  <c r="BB77" i="21"/>
  <c r="AH61" i="21"/>
  <c r="AX61" i="21"/>
  <c r="AT79" i="21"/>
  <c r="BJ79" i="21"/>
  <c r="AP99" i="21"/>
  <c r="BF99" i="21"/>
  <c r="AL88" i="21"/>
  <c r="BB88" i="21"/>
  <c r="AH86" i="21"/>
  <c r="AX86" i="21"/>
  <c r="AT104" i="21"/>
  <c r="BJ104" i="21"/>
  <c r="AP97" i="21"/>
  <c r="BF97" i="21"/>
  <c r="AL87" i="21"/>
  <c r="BB87" i="21"/>
  <c r="AH92" i="21"/>
  <c r="AX92" i="21"/>
  <c r="AT116" i="21"/>
  <c r="BJ116" i="21"/>
  <c r="AP113" i="21"/>
  <c r="BF113" i="21"/>
  <c r="AL119" i="21"/>
  <c r="BB119" i="21"/>
  <c r="AH110" i="21"/>
  <c r="AX110" i="21"/>
  <c r="AT125" i="21"/>
  <c r="BJ125" i="21"/>
  <c r="AP130" i="21"/>
  <c r="BF130" i="21"/>
  <c r="AL122" i="21"/>
  <c r="BB122" i="21"/>
  <c r="AH108" i="21"/>
  <c r="AX108" i="21"/>
  <c r="AT123" i="21"/>
  <c r="BJ123" i="21"/>
  <c r="AP147" i="21"/>
  <c r="BF147" i="21"/>
  <c r="AL149" i="21"/>
  <c r="BB149" i="21"/>
  <c r="AH131" i="21"/>
  <c r="AX131" i="21"/>
  <c r="AT140" i="21"/>
  <c r="BJ140" i="21"/>
  <c r="AL146" i="21"/>
  <c r="BB146" i="21"/>
  <c r="AH157" i="21"/>
  <c r="AX157" i="21"/>
  <c r="AT138" i="21"/>
  <c r="BJ138" i="21"/>
  <c r="AP155" i="21"/>
  <c r="BF155" i="21"/>
  <c r="AL141" i="21"/>
  <c r="BB141" i="21"/>
  <c r="AH156" i="21"/>
  <c r="AX156" i="21"/>
  <c r="AT133" i="21"/>
  <c r="BJ133" i="21"/>
  <c r="AP160" i="21"/>
  <c r="BF160" i="21"/>
  <c r="AH161" i="21"/>
  <c r="AP161" i="21"/>
  <c r="AX161" i="21"/>
  <c r="BF161" i="21"/>
  <c r="AL170" i="21"/>
  <c r="AT170" i="21"/>
  <c r="BB170" i="21"/>
  <c r="BJ170" i="21"/>
  <c r="AH182" i="21"/>
  <c r="AP182" i="21"/>
  <c r="AX182" i="21"/>
  <c r="BF182" i="21"/>
  <c r="AL203" i="21"/>
  <c r="AT203" i="21"/>
  <c r="BB203" i="21"/>
  <c r="BJ203" i="21"/>
  <c r="AH195" i="21"/>
  <c r="AP195" i="21"/>
  <c r="AX195" i="21"/>
  <c r="BF195" i="21"/>
  <c r="AL194" i="21"/>
  <c r="AT194" i="21"/>
  <c r="BB194" i="21"/>
  <c r="BJ194" i="21"/>
  <c r="AH192" i="21"/>
  <c r="AP192" i="21"/>
  <c r="AX192" i="21"/>
  <c r="BF192" i="21"/>
  <c r="AL207" i="21"/>
  <c r="AT207" i="21"/>
  <c r="BB207" i="21"/>
  <c r="BJ207" i="21"/>
  <c r="AH201" i="21"/>
  <c r="AP201" i="21"/>
  <c r="AX201" i="21"/>
  <c r="BF201" i="21"/>
  <c r="AL199" i="21"/>
  <c r="AT199" i="21"/>
  <c r="BB199" i="21"/>
  <c r="BJ199" i="21"/>
  <c r="AH227" i="21"/>
  <c r="AP227" i="21"/>
  <c r="AX227" i="21"/>
  <c r="BF227" i="21"/>
  <c r="AL228" i="21"/>
  <c r="AT228" i="21"/>
  <c r="BB228" i="21"/>
  <c r="BJ228" i="21"/>
  <c r="AL215" i="21"/>
  <c r="AQ215" i="21"/>
  <c r="AW215" i="21"/>
  <c r="BB215" i="21"/>
  <c r="BG215" i="21"/>
  <c r="AH220" i="21"/>
  <c r="AM220" i="21"/>
  <c r="AS220" i="21"/>
  <c r="AX220" i="21"/>
  <c r="BC220" i="21"/>
  <c r="BI220" i="21"/>
  <c r="AI211" i="21"/>
  <c r="AO211" i="21"/>
  <c r="AT211" i="21"/>
  <c r="AY211" i="21"/>
  <c r="BE211" i="21"/>
  <c r="BJ211" i="21"/>
  <c r="AK230" i="21"/>
  <c r="AP230" i="21"/>
  <c r="AU230" i="21"/>
  <c r="BA230" i="21"/>
  <c r="BF230" i="21"/>
  <c r="BK230" i="21"/>
  <c r="AL223" i="21"/>
  <c r="AQ223" i="21"/>
  <c r="AW223" i="21"/>
  <c r="BB223" i="21"/>
  <c r="BG223" i="21"/>
  <c r="AH231" i="21"/>
  <c r="AM231" i="21"/>
  <c r="AS231" i="21"/>
  <c r="AX231" i="21"/>
  <c r="BC231" i="21"/>
  <c r="BI231" i="21"/>
  <c r="AI226" i="21"/>
  <c r="AO226" i="21"/>
  <c r="AT226" i="21"/>
  <c r="AY226" i="21"/>
  <c r="BE226" i="21"/>
  <c r="BJ226" i="21"/>
  <c r="AK217" i="21"/>
  <c r="AP217" i="21"/>
  <c r="AU217" i="21"/>
  <c r="BA217" i="21"/>
  <c r="BF217" i="21"/>
  <c r="BK217" i="21"/>
  <c r="AL213" i="21"/>
  <c r="AQ213" i="21"/>
  <c r="AW213" i="21"/>
  <c r="BB213" i="21"/>
  <c r="BG213" i="21"/>
  <c r="AH218" i="21"/>
  <c r="AM218" i="21"/>
  <c r="AS218" i="21"/>
  <c r="AX218" i="21"/>
  <c r="BC218" i="21"/>
  <c r="BI218" i="21"/>
  <c r="AI224" i="21"/>
  <c r="AO224" i="21"/>
  <c r="AT224" i="21"/>
  <c r="AY224" i="21"/>
  <c r="BE224" i="21"/>
  <c r="BJ224" i="21"/>
  <c r="AK237" i="21"/>
  <c r="AP237" i="21"/>
  <c r="AU237" i="21"/>
  <c r="BA237" i="21"/>
  <c r="BF237" i="21"/>
  <c r="BK237" i="21"/>
  <c r="AL239" i="21"/>
  <c r="AQ239" i="21"/>
  <c r="AW239" i="21"/>
  <c r="BA239" i="21"/>
  <c r="BE239" i="21"/>
  <c r="BI239" i="21"/>
  <c r="AK241" i="21"/>
  <c r="AO241" i="21"/>
  <c r="AS241" i="21"/>
  <c r="AW241" i="21"/>
  <c r="BA241" i="21"/>
  <c r="BE241" i="21"/>
  <c r="BI241" i="21"/>
  <c r="AK236" i="21"/>
  <c r="AO236" i="21"/>
  <c r="AS236" i="21"/>
  <c r="AW236" i="21"/>
  <c r="BA236" i="21"/>
  <c r="BE236" i="21"/>
  <c r="BI236" i="21"/>
  <c r="AK257" i="21"/>
  <c r="AO257" i="21"/>
  <c r="AS257" i="21"/>
  <c r="AW257" i="21"/>
  <c r="BA257" i="21"/>
  <c r="BE257" i="21"/>
  <c r="BI257" i="21"/>
  <c r="AK246" i="21"/>
  <c r="AO246" i="21"/>
  <c r="AS246" i="21"/>
  <c r="AW246" i="21"/>
  <c r="BA246" i="21"/>
  <c r="BE246" i="21"/>
  <c r="BI246" i="21"/>
  <c r="AK240" i="21"/>
  <c r="AO240" i="21"/>
  <c r="AS240" i="21"/>
  <c r="AW240" i="21"/>
  <c r="BA240" i="21"/>
  <c r="BE240" i="21"/>
  <c r="BI240" i="21"/>
  <c r="AK235" i="21"/>
  <c r="AO235" i="21"/>
  <c r="AS235" i="21"/>
  <c r="AW235" i="21"/>
  <c r="BA235" i="21"/>
  <c r="BE235" i="21"/>
  <c r="BI235" i="21"/>
  <c r="AK279" i="21"/>
  <c r="AO279" i="21"/>
  <c r="AS279" i="21"/>
  <c r="AW279" i="21"/>
  <c r="BA279" i="21"/>
  <c r="BE279" i="21"/>
  <c r="BI279" i="21"/>
  <c r="AK261" i="21"/>
  <c r="AO261" i="21"/>
  <c r="AS261" i="21"/>
  <c r="AW261" i="21"/>
  <c r="BA261" i="21"/>
  <c r="BE261" i="21"/>
  <c r="BI261" i="21"/>
  <c r="AK280" i="21"/>
  <c r="AO280" i="21"/>
  <c r="AS280" i="21"/>
  <c r="AW280" i="21"/>
  <c r="BA280" i="21"/>
  <c r="BE280" i="21"/>
  <c r="BI280" i="21"/>
  <c r="AK266" i="21"/>
  <c r="AO266" i="21"/>
  <c r="AS266" i="21"/>
  <c r="AW266" i="21"/>
  <c r="BA266" i="21"/>
  <c r="BE266" i="21"/>
  <c r="BI266" i="21"/>
  <c r="AK262" i="21"/>
  <c r="AO262" i="21"/>
  <c r="AS262" i="21"/>
  <c r="AW262" i="21"/>
  <c r="BA262" i="21"/>
  <c r="BE262" i="21"/>
  <c r="BI262" i="21"/>
  <c r="AK283" i="21"/>
  <c r="AO283" i="21"/>
  <c r="AS283" i="21"/>
  <c r="AW283" i="21"/>
  <c r="BA283" i="21"/>
  <c r="BE283" i="21"/>
  <c r="BI283" i="21"/>
  <c r="AK285" i="21"/>
  <c r="AO285" i="21"/>
  <c r="AS285" i="21"/>
  <c r="AW285" i="21"/>
  <c r="BA285" i="21"/>
  <c r="BE285" i="21"/>
  <c r="BI285" i="21"/>
  <c r="AK273" i="21"/>
  <c r="AO273" i="21"/>
  <c r="AS273" i="21"/>
  <c r="AW273" i="21"/>
  <c r="BA273" i="21"/>
  <c r="BE273" i="21"/>
  <c r="BI273" i="21"/>
  <c r="AK297" i="21"/>
  <c r="AO297" i="21"/>
  <c r="AS297" i="21"/>
  <c r="AW297" i="21"/>
  <c r="BA297" i="21"/>
  <c r="BE297" i="21"/>
  <c r="BI297" i="21"/>
  <c r="AK303" i="21"/>
  <c r="AO303" i="21"/>
  <c r="AS303" i="21"/>
  <c r="AW303" i="21"/>
  <c r="BA303" i="21"/>
  <c r="BE303" i="21"/>
  <c r="BI303" i="21"/>
  <c r="AK302" i="21"/>
  <c r="AO302" i="21"/>
  <c r="AS302" i="21"/>
  <c r="AW302" i="21"/>
  <c r="BA302" i="21"/>
  <c r="BE302" i="21"/>
  <c r="BI302" i="21"/>
  <c r="AK298" i="21"/>
  <c r="AO298" i="21"/>
  <c r="AS298" i="21"/>
  <c r="AW298" i="21"/>
  <c r="BA298" i="21"/>
  <c r="BE298" i="21"/>
  <c r="BI298" i="21"/>
  <c r="AK306" i="21"/>
  <c r="AO306" i="21"/>
  <c r="AS306" i="21"/>
  <c r="AW306" i="21"/>
  <c r="BA306" i="21"/>
  <c r="BE306" i="21"/>
  <c r="BI306" i="21"/>
  <c r="AK308" i="21"/>
  <c r="AO308" i="21"/>
  <c r="AS308" i="21"/>
  <c r="AW308" i="21"/>
  <c r="BA308" i="21"/>
  <c r="BE308" i="21"/>
  <c r="BI308" i="21"/>
  <c r="AK329" i="21"/>
  <c r="AO329" i="21"/>
  <c r="AS329" i="21"/>
  <c r="AW329" i="21"/>
  <c r="BA329" i="21"/>
  <c r="BE329" i="21"/>
  <c r="BI329" i="21"/>
  <c r="AK332" i="21"/>
  <c r="AO332" i="21"/>
  <c r="AS332" i="21"/>
  <c r="AW332" i="21"/>
  <c r="BA332" i="21"/>
  <c r="BE332" i="21"/>
  <c r="BI332" i="21"/>
  <c r="AK328" i="21"/>
  <c r="AO328" i="21"/>
  <c r="AS328" i="21"/>
  <c r="AW328" i="21"/>
  <c r="BA328" i="21"/>
  <c r="BE328" i="21"/>
  <c r="BI328" i="21"/>
  <c r="AK324" i="21"/>
  <c r="AO324" i="21"/>
  <c r="AS324" i="21"/>
  <c r="AW324" i="21"/>
  <c r="BA324" i="21"/>
  <c r="BE324" i="21"/>
  <c r="BI324" i="21"/>
  <c r="AK318" i="21"/>
  <c r="AO318" i="21"/>
  <c r="AS318" i="21"/>
  <c r="AW318" i="21"/>
  <c r="BA318" i="21"/>
  <c r="BE318" i="21"/>
  <c r="BI318" i="21"/>
  <c r="AK336" i="21"/>
  <c r="AO336" i="21"/>
  <c r="AS336" i="21"/>
  <c r="AW336" i="21"/>
  <c r="BA336" i="21"/>
  <c r="BE336" i="21"/>
  <c r="BI336" i="21"/>
  <c r="AK355" i="21"/>
  <c r="AO355" i="21"/>
  <c r="AS355" i="21"/>
  <c r="AW355" i="21"/>
  <c r="BA355" i="21"/>
  <c r="BE355" i="21"/>
  <c r="BI355" i="21"/>
  <c r="AK356" i="21"/>
  <c r="AO356" i="21"/>
  <c r="AS356" i="21"/>
  <c r="AW356" i="21"/>
  <c r="BA356" i="21"/>
  <c r="BE356" i="21"/>
  <c r="BI356" i="21"/>
  <c r="AK359" i="21"/>
  <c r="AO359" i="21"/>
  <c r="AS359" i="21"/>
  <c r="AW359" i="21"/>
  <c r="BA359" i="21"/>
  <c r="BE359" i="21"/>
  <c r="BI359" i="21"/>
  <c r="AK360" i="21"/>
  <c r="AO360" i="21"/>
  <c r="AS360" i="21"/>
  <c r="AW360" i="21"/>
  <c r="BA360" i="21"/>
  <c r="BE360" i="21"/>
  <c r="BI360" i="21"/>
  <c r="AK352" i="21"/>
  <c r="AO352" i="21"/>
  <c r="AS352" i="21"/>
  <c r="AW352" i="21"/>
  <c r="BA352" i="21"/>
  <c r="BE352" i="21"/>
  <c r="BI352" i="21"/>
  <c r="AK363" i="21"/>
  <c r="AO363" i="21"/>
  <c r="AS363" i="21"/>
  <c r="AW363" i="21"/>
  <c r="BA363" i="21"/>
  <c r="BE363" i="21"/>
  <c r="BI363" i="21"/>
  <c r="AK344" i="21"/>
  <c r="AO344" i="21"/>
  <c r="AS344" i="21"/>
  <c r="AW344" i="21"/>
  <c r="BA344" i="21"/>
  <c r="BE344" i="21"/>
  <c r="BI344" i="21"/>
  <c r="AK364" i="21"/>
  <c r="AO364" i="21"/>
  <c r="AS364" i="21"/>
  <c r="AW364" i="21"/>
  <c r="BA364" i="21"/>
  <c r="BE364" i="21"/>
  <c r="BI364" i="21"/>
  <c r="AK347" i="21"/>
  <c r="AO347" i="21"/>
  <c r="AS347" i="21"/>
  <c r="AW347" i="21"/>
  <c r="BA347" i="21"/>
  <c r="BE347" i="21"/>
  <c r="BI347" i="21"/>
  <c r="AK367" i="21"/>
  <c r="AO367" i="21"/>
  <c r="AS367" i="21"/>
  <c r="AW367" i="21"/>
  <c r="BA367" i="21"/>
  <c r="BE367" i="21"/>
  <c r="BI367" i="21"/>
  <c r="AK369" i="21"/>
  <c r="AO369" i="21"/>
  <c r="AS369" i="21"/>
  <c r="AW369" i="21"/>
  <c r="BA369" i="21"/>
  <c r="BE369" i="21"/>
  <c r="BI369" i="21"/>
  <c r="AK386" i="21"/>
  <c r="AO386" i="21"/>
  <c r="AS386" i="21"/>
  <c r="AW386" i="21"/>
  <c r="BA386" i="21"/>
  <c r="BE386" i="21"/>
  <c r="BI386" i="21"/>
  <c r="AK377" i="21"/>
  <c r="AO377" i="21"/>
  <c r="AS377" i="21"/>
  <c r="AW377" i="21"/>
  <c r="BA377" i="21"/>
  <c r="BE377" i="21"/>
  <c r="BI377" i="21"/>
  <c r="AK378" i="21"/>
  <c r="AO378" i="21"/>
  <c r="AS378" i="21"/>
  <c r="AW378" i="21"/>
  <c r="BA378" i="21"/>
  <c r="BE378" i="21"/>
  <c r="BI378" i="21"/>
  <c r="AK387" i="21"/>
  <c r="AO387" i="21"/>
  <c r="AS387" i="21"/>
  <c r="AW387" i="21"/>
  <c r="BA387" i="21"/>
  <c r="BE387" i="21"/>
  <c r="BI387" i="21"/>
  <c r="AK373" i="21"/>
  <c r="AO373" i="21"/>
  <c r="AS373" i="21"/>
  <c r="AW373" i="21"/>
  <c r="BA373" i="21"/>
  <c r="BE373" i="21"/>
  <c r="BI373" i="21"/>
  <c r="AK388" i="21"/>
  <c r="AO388" i="21"/>
  <c r="AS388" i="21"/>
  <c r="AW388" i="21"/>
  <c r="BA388" i="21"/>
  <c r="BE388" i="21"/>
  <c r="BI388" i="21"/>
  <c r="AK389" i="21"/>
  <c r="AO389" i="21"/>
  <c r="AS389" i="21"/>
  <c r="AW389" i="21"/>
  <c r="BA389" i="21"/>
  <c r="BE389" i="21"/>
  <c r="BI389" i="21"/>
  <c r="AK379" i="21"/>
  <c r="AO379" i="21"/>
  <c r="AS379" i="21"/>
  <c r="AW379" i="21"/>
  <c r="BA379" i="21"/>
  <c r="BE379" i="21"/>
  <c r="BI379" i="21"/>
  <c r="AK403" i="21"/>
  <c r="AO403" i="21"/>
  <c r="AS403" i="21"/>
  <c r="AW403" i="21"/>
  <c r="BA403" i="21"/>
  <c r="BE403" i="21"/>
  <c r="BI403" i="21"/>
  <c r="AK405" i="21"/>
  <c r="AO405" i="21"/>
  <c r="AS405" i="21"/>
  <c r="AW405" i="21"/>
  <c r="BA405" i="21"/>
  <c r="BE405" i="21"/>
  <c r="BI405" i="21"/>
  <c r="AK412" i="21"/>
  <c r="AO412" i="21"/>
  <c r="AS412" i="21"/>
  <c r="AW412" i="21"/>
  <c r="BA412" i="21"/>
  <c r="BE412" i="21"/>
  <c r="BI412" i="21"/>
  <c r="AK395" i="21"/>
  <c r="AO395" i="21"/>
  <c r="AS395" i="21"/>
  <c r="AW395" i="21"/>
  <c r="BA395" i="21"/>
  <c r="BE395" i="21"/>
  <c r="BI395" i="21"/>
  <c r="AK400" i="21"/>
  <c r="AO400" i="21"/>
  <c r="AS400" i="21"/>
  <c r="AW400" i="21"/>
  <c r="BA400" i="21"/>
  <c r="BE400" i="21"/>
  <c r="BI400" i="21"/>
  <c r="AK418" i="21"/>
  <c r="AO418" i="21"/>
  <c r="AS418" i="21"/>
  <c r="AW418" i="21"/>
  <c r="BA418" i="21"/>
  <c r="BE418" i="21"/>
  <c r="BI418" i="21"/>
  <c r="AK433" i="21"/>
  <c r="AO433" i="21"/>
  <c r="AS433" i="21"/>
  <c r="AW433" i="21"/>
  <c r="BA433" i="21"/>
  <c r="BE433" i="21"/>
  <c r="BI433" i="21"/>
  <c r="AK421" i="21"/>
  <c r="AO421" i="21"/>
  <c r="AS421" i="21"/>
  <c r="AW421" i="21"/>
  <c r="BA421" i="21"/>
  <c r="BE421" i="21"/>
  <c r="BI421" i="21"/>
  <c r="AK422" i="21"/>
  <c r="AO422" i="21"/>
  <c r="AS422" i="21"/>
  <c r="AW422" i="21"/>
  <c r="BA422" i="21"/>
  <c r="BE422" i="21"/>
  <c r="BI422" i="21"/>
  <c r="AK428" i="21"/>
  <c r="AO428" i="21"/>
  <c r="AS428" i="21"/>
  <c r="AW428" i="21"/>
  <c r="BA428" i="21"/>
  <c r="BE428" i="21"/>
  <c r="BI428" i="21"/>
  <c r="AK441" i="21"/>
  <c r="AO441" i="21"/>
  <c r="AS441" i="21"/>
  <c r="AW441" i="21"/>
  <c r="BA441" i="21"/>
  <c r="BE441" i="21"/>
  <c r="BI441" i="21"/>
  <c r="AK430" i="21"/>
  <c r="AO430" i="21"/>
  <c r="AS430" i="21"/>
  <c r="AW430" i="21"/>
  <c r="BA430" i="21"/>
  <c r="BE430" i="21"/>
  <c r="BI430" i="21"/>
  <c r="AK453" i="21"/>
  <c r="AO453" i="21"/>
  <c r="AS453" i="21"/>
  <c r="AW453" i="21"/>
  <c r="BA453" i="21"/>
  <c r="BE453" i="21"/>
  <c r="BI453" i="21"/>
  <c r="AK462" i="21"/>
  <c r="AO462" i="21"/>
  <c r="AS462" i="21"/>
  <c r="AW462" i="21"/>
  <c r="BA462" i="21"/>
  <c r="BE462" i="21"/>
  <c r="BI462" i="21"/>
  <c r="AK464" i="21"/>
  <c r="AO464" i="21"/>
  <c r="AS464" i="21"/>
  <c r="AW464" i="21"/>
  <c r="BA464" i="21"/>
  <c r="BE464" i="21"/>
  <c r="BI464" i="21"/>
  <c r="AK448" i="21"/>
  <c r="AO448" i="21"/>
  <c r="AS448" i="21"/>
  <c r="AW448" i="21"/>
  <c r="BA448" i="21"/>
  <c r="BE448" i="21"/>
  <c r="BI448" i="21"/>
  <c r="AK449" i="21"/>
  <c r="AO449" i="21"/>
  <c r="AS449" i="21"/>
  <c r="AW449" i="21"/>
  <c r="BA449" i="21"/>
  <c r="BE449" i="21"/>
  <c r="BI449" i="21"/>
  <c r="AK450" i="21"/>
  <c r="AO450" i="21"/>
  <c r="AS450" i="21"/>
  <c r="AW450" i="21"/>
  <c r="BA450" i="21"/>
  <c r="BE450" i="21"/>
  <c r="BI450" i="21"/>
  <c r="AK465" i="21"/>
  <c r="AO465" i="21"/>
  <c r="AS465" i="21"/>
  <c r="AW465" i="21"/>
  <c r="BA465" i="21"/>
  <c r="BE465" i="21"/>
  <c r="BI465" i="21"/>
  <c r="AK457" i="21"/>
  <c r="AO457" i="21"/>
  <c r="AS457" i="21"/>
  <c r="AW457" i="21"/>
  <c r="BA457" i="21"/>
  <c r="BE457" i="21"/>
  <c r="BI457" i="21"/>
  <c r="AK466" i="21"/>
  <c r="AO466" i="21"/>
  <c r="AS466" i="21"/>
  <c r="AW466" i="21"/>
  <c r="BA466" i="21"/>
  <c r="BE466" i="21"/>
  <c r="BI466" i="21"/>
  <c r="AK460" i="21"/>
  <c r="AO460" i="21"/>
  <c r="AS460" i="21"/>
  <c r="AW460" i="21"/>
  <c r="BA460" i="21"/>
  <c r="BE460" i="21"/>
  <c r="BI460" i="21"/>
  <c r="AK467" i="21"/>
  <c r="AO467" i="21"/>
  <c r="AS467" i="21"/>
  <c r="AW467" i="21"/>
  <c r="BA467" i="21"/>
  <c r="BE467" i="21"/>
  <c r="BI467" i="21"/>
  <c r="AK486" i="21"/>
  <c r="AO486" i="21"/>
  <c r="AS486" i="21"/>
  <c r="AW486" i="21"/>
  <c r="BA486" i="21"/>
  <c r="BE486" i="21"/>
  <c r="BI486" i="21"/>
  <c r="AK488" i="21"/>
  <c r="AO488" i="21"/>
  <c r="AS488" i="21"/>
  <c r="AW488" i="21"/>
  <c r="BA488" i="21"/>
  <c r="BE488" i="21"/>
  <c r="BI488" i="21"/>
  <c r="AK482" i="21"/>
  <c r="AO482" i="21"/>
  <c r="AS482" i="21"/>
  <c r="AW482" i="21"/>
  <c r="BA482" i="21"/>
  <c r="BE482" i="21"/>
  <c r="BI482" i="21"/>
  <c r="AK489" i="21"/>
  <c r="AO489" i="21"/>
  <c r="AS489" i="21"/>
  <c r="AW489" i="21"/>
  <c r="BA489" i="21"/>
  <c r="BE489" i="21"/>
  <c r="BI489" i="21"/>
  <c r="AK468" i="21"/>
  <c r="AO468" i="21"/>
  <c r="AS468" i="21"/>
  <c r="AW468" i="21"/>
  <c r="BA468" i="21"/>
  <c r="BE468" i="21"/>
  <c r="BI468" i="21"/>
  <c r="AK479" i="21"/>
  <c r="AO479" i="21"/>
  <c r="AS479" i="21"/>
  <c r="AW479" i="21"/>
  <c r="BA479" i="21"/>
  <c r="BE479" i="21"/>
  <c r="BI479" i="21"/>
  <c r="AK491" i="21"/>
  <c r="AO491" i="21"/>
  <c r="AS491" i="21"/>
  <c r="AW491" i="21"/>
  <c r="BA491" i="21"/>
  <c r="BE491" i="21"/>
  <c r="BI491" i="21"/>
  <c r="AK492" i="21"/>
  <c r="AO492" i="21"/>
  <c r="AS492" i="21"/>
  <c r="AW492" i="21"/>
  <c r="BA492" i="21"/>
  <c r="BE492" i="21"/>
  <c r="BI492" i="21"/>
  <c r="AK480" i="21"/>
  <c r="AO480" i="21"/>
  <c r="AS480" i="21"/>
  <c r="AW480" i="21"/>
  <c r="BA480" i="21"/>
  <c r="BE480" i="21"/>
  <c r="BI480" i="21"/>
  <c r="AK473" i="21"/>
  <c r="AO473" i="21"/>
  <c r="AS473" i="21"/>
  <c r="AW473" i="21"/>
  <c r="BA473" i="21"/>
  <c r="BE473" i="21"/>
  <c r="BI473" i="21"/>
  <c r="AK485" i="21"/>
  <c r="AO485" i="21"/>
  <c r="AS485" i="21"/>
  <c r="AW485" i="21"/>
  <c r="BA485" i="21"/>
  <c r="BE485" i="21"/>
  <c r="BI485" i="21"/>
  <c r="AK498" i="21"/>
  <c r="AO498" i="21"/>
  <c r="AS498" i="21"/>
  <c r="AW498" i="21"/>
  <c r="BA498" i="21"/>
  <c r="BE498" i="21"/>
  <c r="BI498" i="21"/>
  <c r="AK499" i="21"/>
  <c r="AO499" i="21"/>
  <c r="AS499" i="21"/>
  <c r="AW499" i="21"/>
  <c r="BA499" i="21"/>
  <c r="BE499" i="21"/>
  <c r="BI499" i="21"/>
  <c r="AK506" i="21"/>
  <c r="AO506" i="21"/>
  <c r="AS506" i="21"/>
  <c r="AW506" i="21"/>
  <c r="BA506" i="21"/>
  <c r="BE506" i="21"/>
  <c r="BI506" i="21"/>
  <c r="AK503" i="21"/>
  <c r="AO503" i="21"/>
  <c r="AS503" i="21"/>
  <c r="AW503" i="21"/>
  <c r="BA503" i="21"/>
  <c r="BE503" i="21"/>
  <c r="BI503" i="21"/>
  <c r="AK514" i="21"/>
  <c r="AO514" i="21"/>
  <c r="AS514" i="21"/>
  <c r="AW514" i="21"/>
  <c r="BA514" i="21"/>
  <c r="BE514" i="21"/>
  <c r="BI514" i="21"/>
  <c r="AK507" i="21"/>
  <c r="AO507" i="21"/>
  <c r="AS507" i="21"/>
  <c r="AW507" i="21"/>
  <c r="BA507" i="21"/>
  <c r="BE507" i="21"/>
  <c r="BI507" i="21"/>
  <c r="AK515" i="21"/>
  <c r="AO515" i="21"/>
  <c r="AS515" i="21"/>
  <c r="AW515" i="21"/>
  <c r="BA515" i="21"/>
  <c r="BE515" i="21"/>
  <c r="BI515" i="21"/>
  <c r="AK516" i="21"/>
  <c r="AO516" i="21"/>
  <c r="AS516" i="21"/>
  <c r="AW516" i="21"/>
  <c r="BA516" i="21"/>
  <c r="BE516" i="21"/>
  <c r="BI516" i="21"/>
  <c r="AK504" i="21"/>
  <c r="AO504" i="21"/>
  <c r="AS504" i="21"/>
  <c r="AW504" i="21"/>
  <c r="BA504" i="21"/>
  <c r="BE504" i="21"/>
  <c r="BI504" i="21"/>
  <c r="AK518" i="21"/>
  <c r="AO518" i="21"/>
  <c r="AS518" i="21"/>
  <c r="AW518" i="21"/>
  <c r="BA518" i="21"/>
  <c r="BE518" i="21"/>
  <c r="BI518" i="21"/>
  <c r="AK494" i="21"/>
  <c r="AO494" i="21"/>
  <c r="AS494" i="21"/>
  <c r="AW494" i="21"/>
  <c r="BA494" i="21"/>
  <c r="BE494" i="21"/>
  <c r="BI494" i="21"/>
  <c r="BI56" i="21"/>
  <c r="AK345" i="21"/>
  <c r="AO432" i="21"/>
  <c r="AR163" i="21"/>
  <c r="BE229" i="21"/>
  <c r="AH247" i="21"/>
  <c r="AQ361" i="21"/>
  <c r="AI396" i="21"/>
  <c r="BK398" i="21"/>
  <c r="BC451" i="21"/>
  <c r="AU472" i="21"/>
  <c r="AM512" i="21"/>
  <c r="BG58" i="21"/>
  <c r="AY105" i="21"/>
  <c r="AQ177" i="21"/>
  <c r="AI189" i="21"/>
  <c r="BK209" i="21"/>
  <c r="BC334" i="21"/>
  <c r="AU374" i="21"/>
  <c r="AM390" i="21"/>
  <c r="BG437" i="21"/>
  <c r="AY443" i="21"/>
  <c r="AQ487" i="21"/>
  <c r="AI493" i="21"/>
  <c r="BK520" i="21"/>
  <c r="AU14" i="21"/>
  <c r="AM71" i="21"/>
  <c r="BG121" i="21"/>
  <c r="AY114" i="21"/>
  <c r="AQ187" i="21"/>
  <c r="AI221" i="21"/>
  <c r="BG219" i="21"/>
  <c r="BC234" i="21"/>
  <c r="AT252" i="21"/>
  <c r="AZ243" i="21"/>
  <c r="AL242" i="21"/>
  <c r="BG242" i="21"/>
  <c r="AR263" i="21"/>
  <c r="AY264" i="21"/>
  <c r="AJ267" i="21"/>
  <c r="BF267" i="21"/>
  <c r="AL265" i="21"/>
  <c r="BB265" i="21"/>
  <c r="AH277" i="21"/>
  <c r="AX277" i="21"/>
  <c r="AT286" i="21"/>
  <c r="BJ286" i="21"/>
  <c r="AP310" i="21"/>
  <c r="BF310" i="21"/>
  <c r="AL338" i="21"/>
  <c r="BB338" i="21"/>
  <c r="AH357" i="21"/>
  <c r="AX357" i="21"/>
  <c r="AT354" i="21"/>
  <c r="BJ354" i="21"/>
  <c r="AP362" i="21"/>
  <c r="BF362" i="21"/>
  <c r="AL384" i="21"/>
  <c r="BB384" i="21"/>
  <c r="AH366" i="21"/>
  <c r="AX366" i="21"/>
  <c r="AT365" i="21"/>
  <c r="BJ365" i="21"/>
  <c r="AP380" i="21"/>
  <c r="BF380" i="21"/>
  <c r="AL394" i="21"/>
  <c r="BB394" i="21"/>
  <c r="AH445" i="21"/>
  <c r="AX445" i="21"/>
  <c r="AT459" i="21"/>
  <c r="BJ459" i="21"/>
  <c r="AP476" i="21"/>
  <c r="BF476" i="21"/>
  <c r="AL502" i="21"/>
  <c r="BB502" i="21"/>
  <c r="AH497" i="21"/>
  <c r="AX497" i="21"/>
  <c r="AT70" i="21"/>
  <c r="BJ70" i="21"/>
  <c r="AP212" i="21"/>
  <c r="BF212" i="21"/>
  <c r="AL300" i="21"/>
  <c r="BB300" i="21"/>
  <c r="AH291" i="21"/>
  <c r="AX291" i="21"/>
  <c r="AT315" i="21"/>
  <c r="BJ315" i="21"/>
  <c r="AP510" i="21"/>
  <c r="BF510" i="21"/>
  <c r="AL96" i="21"/>
  <c r="BB96" i="21"/>
  <c r="AH176" i="21"/>
  <c r="AX176" i="21"/>
  <c r="AT165" i="21"/>
  <c r="BJ165" i="21"/>
  <c r="AP210" i="21"/>
  <c r="BF210" i="21"/>
  <c r="AL439" i="21"/>
  <c r="BB439" i="21"/>
  <c r="AH89" i="21"/>
  <c r="AX89" i="21"/>
  <c r="AT81" i="21"/>
  <c r="BJ81" i="21"/>
  <c r="AP521" i="21"/>
  <c r="BF521" i="21"/>
  <c r="AL256" i="21"/>
  <c r="BB256" i="21"/>
  <c r="AH287" i="21"/>
  <c r="AX287" i="21"/>
  <c r="AP333" i="21"/>
  <c r="BF333" i="21"/>
  <c r="AL410" i="21"/>
  <c r="BB410" i="21"/>
  <c r="AP117" i="21"/>
  <c r="BF117" i="21"/>
  <c r="AH10" i="21"/>
  <c r="AX10" i="21"/>
  <c r="AL21" i="21"/>
  <c r="BB21" i="21"/>
  <c r="AH18" i="21"/>
  <c r="AX18" i="21"/>
  <c r="AT13" i="21"/>
  <c r="BJ13" i="21"/>
  <c r="AP12" i="21"/>
  <c r="BF12" i="21"/>
  <c r="AL23" i="21"/>
  <c r="BB23" i="21"/>
  <c r="AH15" i="21"/>
  <c r="AX15" i="21"/>
  <c r="AT19" i="21"/>
  <c r="BJ19" i="21"/>
  <c r="AP6" i="21"/>
  <c r="BF6" i="21"/>
  <c r="AL8" i="21"/>
  <c r="BB8" i="21"/>
  <c r="AH7" i="21"/>
  <c r="AX7" i="21"/>
  <c r="AT45" i="21"/>
  <c r="BJ45" i="21"/>
  <c r="AP29" i="21"/>
  <c r="BF29" i="21"/>
  <c r="AL30" i="21"/>
  <c r="BB30" i="21"/>
  <c r="AH28" i="21"/>
  <c r="AX28" i="21"/>
  <c r="AT27" i="21"/>
  <c r="BJ27" i="21"/>
  <c r="AP44" i="21"/>
  <c r="BF44" i="21"/>
  <c r="AL34" i="21"/>
  <c r="BB34" i="21"/>
  <c r="AH35" i="21"/>
  <c r="AX35" i="21"/>
  <c r="AT43" i="21"/>
  <c r="BJ43" i="21"/>
  <c r="AP42" i="21"/>
  <c r="BF42" i="21"/>
  <c r="AL72" i="21"/>
  <c r="BB72" i="21"/>
  <c r="AH74" i="21"/>
  <c r="AX74" i="21"/>
  <c r="AT63" i="21"/>
  <c r="BJ63" i="21"/>
  <c r="AP64" i="21"/>
  <c r="BF64" i="21"/>
  <c r="AT69" i="21"/>
  <c r="BJ69" i="21"/>
  <c r="AP77" i="21"/>
  <c r="BF77" i="21"/>
  <c r="AL61" i="21"/>
  <c r="BB61" i="21"/>
  <c r="AH79" i="21"/>
  <c r="AX79" i="21"/>
  <c r="AT99" i="21"/>
  <c r="BJ99" i="21"/>
  <c r="AP88" i="21"/>
  <c r="BF88" i="21"/>
  <c r="AL86" i="21"/>
  <c r="BB86" i="21"/>
  <c r="AH104" i="21"/>
  <c r="AX104" i="21"/>
  <c r="AT97" i="21"/>
  <c r="BJ97" i="21"/>
  <c r="AP87" i="21"/>
  <c r="BF87" i="21"/>
  <c r="AL92" i="21"/>
  <c r="BB92" i="21"/>
  <c r="AH116" i="21"/>
  <c r="AX116" i="21"/>
  <c r="AT113" i="21"/>
  <c r="BJ113" i="21"/>
  <c r="AP119" i="21"/>
  <c r="BF119" i="21"/>
  <c r="AL110" i="21"/>
  <c r="BB110" i="21"/>
  <c r="AH125" i="21"/>
  <c r="AX125" i="21"/>
  <c r="AT130" i="21"/>
  <c r="BJ130" i="21"/>
  <c r="AP122" i="21"/>
  <c r="BF122" i="21"/>
  <c r="AL108" i="21"/>
  <c r="BB108" i="21"/>
  <c r="AH123" i="21"/>
  <c r="AX123" i="21"/>
  <c r="AT147" i="21"/>
  <c r="BJ147" i="21"/>
  <c r="AP149" i="21"/>
  <c r="BF149" i="21"/>
  <c r="AL131" i="21"/>
  <c r="BB131" i="21"/>
  <c r="AH140" i="21"/>
  <c r="AX140" i="21"/>
  <c r="AP146" i="21"/>
  <c r="BF146" i="21"/>
  <c r="AL157" i="21"/>
  <c r="BB157" i="21"/>
  <c r="AH138" i="21"/>
  <c r="AX138" i="21"/>
  <c r="AT155" i="21"/>
  <c r="BJ155" i="21"/>
  <c r="AP141" i="21"/>
  <c r="BF141" i="21"/>
  <c r="AL156" i="21"/>
  <c r="BB156" i="21"/>
  <c r="AH133" i="21"/>
  <c r="AX133" i="21"/>
  <c r="AT160" i="21"/>
  <c r="BJ160" i="21"/>
  <c r="AK161" i="21"/>
  <c r="AS161" i="21"/>
  <c r="BA161" i="21"/>
  <c r="BI161" i="21"/>
  <c r="AO170" i="21"/>
  <c r="AW170" i="21"/>
  <c r="BE170" i="21"/>
  <c r="AK182" i="21"/>
  <c r="AS182" i="21"/>
  <c r="BA182" i="21"/>
  <c r="BI182" i="21"/>
  <c r="AO203" i="21"/>
  <c r="AW203" i="21"/>
  <c r="BE203" i="21"/>
  <c r="AK195" i="21"/>
  <c r="AS195" i="21"/>
  <c r="BA195" i="21"/>
  <c r="BI195" i="21"/>
  <c r="AO194" i="21"/>
  <c r="AW194" i="21"/>
  <c r="BE194" i="21"/>
  <c r="AK192" i="21"/>
  <c r="AS192" i="21"/>
  <c r="BA192" i="21"/>
  <c r="BI192" i="21"/>
  <c r="AO207" i="21"/>
  <c r="AW207" i="21"/>
  <c r="BE207" i="21"/>
  <c r="AK201" i="21"/>
  <c r="AS201" i="21"/>
  <c r="BA201" i="21"/>
  <c r="BI201" i="21"/>
  <c r="AO199" i="21"/>
  <c r="AW199" i="21"/>
  <c r="BE199" i="21"/>
  <c r="AK227" i="21"/>
  <c r="AS227" i="21"/>
  <c r="BA227" i="21"/>
  <c r="BI227" i="21"/>
  <c r="AO228" i="21"/>
  <c r="AW228" i="21"/>
  <c r="BE228" i="21"/>
  <c r="AH215" i="21"/>
  <c r="AM215" i="21"/>
  <c r="AS215" i="21"/>
  <c r="AX215" i="21"/>
  <c r="BC215" i="21"/>
  <c r="BI215" i="21"/>
  <c r="AI220" i="21"/>
  <c r="AO220" i="21"/>
  <c r="AT220" i="21"/>
  <c r="AY220" i="21"/>
  <c r="BE220" i="21"/>
  <c r="BJ220" i="21"/>
  <c r="AK211" i="21"/>
  <c r="AP211" i="21"/>
  <c r="AU211" i="21"/>
  <c r="BA211" i="21"/>
  <c r="BF211" i="21"/>
  <c r="BK211" i="21"/>
  <c r="AL230" i="21"/>
  <c r="AQ230" i="21"/>
  <c r="AW230" i="21"/>
  <c r="BB230" i="21"/>
  <c r="BG230" i="21"/>
  <c r="AH223" i="21"/>
  <c r="AM223" i="21"/>
  <c r="AS223" i="21"/>
  <c r="AX223" i="21"/>
  <c r="BC223" i="21"/>
  <c r="BI223" i="21"/>
  <c r="AI231" i="21"/>
  <c r="AO231" i="21"/>
  <c r="AT231" i="21"/>
  <c r="AY231" i="21"/>
  <c r="BE231" i="21"/>
  <c r="BJ231" i="21"/>
  <c r="AK226" i="21"/>
  <c r="AP226" i="21"/>
  <c r="AU226" i="21"/>
  <c r="BA226" i="21"/>
  <c r="BF226" i="21"/>
  <c r="BK226" i="21"/>
  <c r="AL217" i="21"/>
  <c r="AQ217" i="21"/>
  <c r="AW217" i="21"/>
  <c r="BB217" i="21"/>
  <c r="BG217" i="21"/>
  <c r="AH213" i="21"/>
  <c r="AM213" i="21"/>
  <c r="AS213" i="21"/>
  <c r="AX213" i="21"/>
  <c r="BC213" i="21"/>
  <c r="BI213" i="21"/>
  <c r="AI218" i="21"/>
  <c r="AO218" i="21"/>
  <c r="AT218" i="21"/>
  <c r="AY218" i="21"/>
  <c r="BE218" i="21"/>
  <c r="BJ218" i="21"/>
  <c r="AK224" i="21"/>
  <c r="AP224" i="21"/>
  <c r="AU224" i="21"/>
  <c r="BA224" i="21"/>
  <c r="BF224" i="21"/>
  <c r="BK224" i="21"/>
  <c r="AL237" i="21"/>
  <c r="AQ237" i="21"/>
  <c r="AW237" i="21"/>
  <c r="BB237" i="21"/>
  <c r="BG237" i="21"/>
  <c r="AH239" i="21"/>
  <c r="AM239" i="21"/>
  <c r="AS239" i="21"/>
  <c r="AX239" i="21"/>
  <c r="BB239" i="21"/>
  <c r="BF239" i="21"/>
  <c r="BJ239" i="21"/>
  <c r="AH241" i="21"/>
  <c r="AL241" i="21"/>
  <c r="AP241" i="21"/>
  <c r="AT241" i="21"/>
  <c r="AX241" i="21"/>
  <c r="BB241" i="21"/>
  <c r="BF241" i="21"/>
  <c r="BJ241" i="21"/>
  <c r="AH236" i="21"/>
  <c r="AL236" i="21"/>
  <c r="AP236" i="21"/>
  <c r="AT236" i="21"/>
  <c r="AX236" i="21"/>
  <c r="BB236" i="21"/>
  <c r="BF236" i="21"/>
  <c r="BJ236" i="21"/>
  <c r="AH257" i="21"/>
  <c r="AL257" i="21"/>
  <c r="AP257" i="21"/>
  <c r="AT257" i="21"/>
  <c r="AX257" i="21"/>
  <c r="BB257" i="21"/>
  <c r="BF257" i="21"/>
  <c r="BJ257" i="21"/>
  <c r="AH246" i="21"/>
  <c r="AL246" i="21"/>
  <c r="AP246" i="21"/>
  <c r="AT246" i="21"/>
  <c r="AX246" i="21"/>
  <c r="BB246" i="21"/>
  <c r="BF246" i="21"/>
  <c r="BJ246" i="21"/>
  <c r="AH240" i="21"/>
  <c r="AL240" i="21"/>
  <c r="AP240" i="21"/>
  <c r="AT240" i="21"/>
  <c r="AX240" i="21"/>
  <c r="BB240" i="21"/>
  <c r="BF240" i="21"/>
  <c r="BJ240" i="21"/>
  <c r="AH235" i="21"/>
  <c r="AL235" i="21"/>
  <c r="AP235" i="21"/>
  <c r="AT235" i="21"/>
  <c r="AX235" i="21"/>
  <c r="BB235" i="21"/>
  <c r="BF235" i="21"/>
  <c r="BJ235" i="21"/>
  <c r="AH279" i="21"/>
  <c r="AL279" i="21"/>
  <c r="AP279" i="21"/>
  <c r="AT279" i="21"/>
  <c r="AX279" i="21"/>
  <c r="BB279" i="21"/>
  <c r="BF279" i="21"/>
  <c r="BJ279" i="21"/>
  <c r="AH261" i="21"/>
  <c r="AL261" i="21"/>
  <c r="AP261" i="21"/>
  <c r="AT261" i="21"/>
  <c r="AX261" i="21"/>
  <c r="BB261" i="21"/>
  <c r="BF261" i="21"/>
  <c r="BJ261" i="21"/>
  <c r="AH280" i="21"/>
  <c r="AL280" i="21"/>
  <c r="AP280" i="21"/>
  <c r="AT280" i="21"/>
  <c r="AX280" i="21"/>
  <c r="BB280" i="21"/>
  <c r="BF280" i="21"/>
  <c r="BJ280" i="21"/>
  <c r="AH266" i="21"/>
  <c r="AL266" i="21"/>
  <c r="AP266" i="21"/>
  <c r="AT266" i="21"/>
  <c r="AX266" i="21"/>
  <c r="BB266" i="21"/>
  <c r="BF266" i="21"/>
  <c r="BJ266" i="21"/>
  <c r="AH262" i="21"/>
  <c r="AL262" i="21"/>
  <c r="AP262" i="21"/>
  <c r="AT262" i="21"/>
  <c r="AX262" i="21"/>
  <c r="BB262" i="21"/>
  <c r="BF262" i="21"/>
  <c r="BJ262" i="21"/>
  <c r="AH283" i="21"/>
  <c r="AL283" i="21"/>
  <c r="AP283" i="21"/>
  <c r="AT283" i="21"/>
  <c r="AX283" i="21"/>
  <c r="BB283" i="21"/>
  <c r="BF283" i="21"/>
  <c r="BJ283" i="21"/>
  <c r="AH285" i="21"/>
  <c r="AL285" i="21"/>
  <c r="AP285" i="21"/>
  <c r="AT285" i="21"/>
  <c r="AX285" i="21"/>
  <c r="BB285" i="21"/>
  <c r="BF285" i="21"/>
  <c r="BJ285" i="21"/>
  <c r="AH273" i="21"/>
  <c r="AL273" i="21"/>
  <c r="AP273" i="21"/>
  <c r="AT273" i="21"/>
  <c r="AX273" i="21"/>
  <c r="BB273" i="21"/>
  <c r="BF273" i="21"/>
  <c r="BJ273" i="21"/>
  <c r="AH297" i="21"/>
  <c r="AL297" i="21"/>
  <c r="AP297" i="21"/>
  <c r="AT297" i="21"/>
  <c r="AX297" i="21"/>
  <c r="BB297" i="21"/>
  <c r="BF297" i="21"/>
  <c r="BJ297" i="21"/>
  <c r="AH303" i="21"/>
  <c r="AL303" i="21"/>
  <c r="AP303" i="21"/>
  <c r="AT303" i="21"/>
  <c r="AX303" i="21"/>
  <c r="BB303" i="21"/>
  <c r="BF303" i="21"/>
  <c r="BJ303" i="21"/>
  <c r="AH302" i="21"/>
  <c r="AL302" i="21"/>
  <c r="AP302" i="21"/>
  <c r="AT302" i="21"/>
  <c r="AX302" i="21"/>
  <c r="BB302" i="21"/>
  <c r="BF302" i="21"/>
  <c r="BJ302" i="21"/>
  <c r="AH298" i="21"/>
  <c r="AL298" i="21"/>
  <c r="AP298" i="21"/>
  <c r="AT298" i="21"/>
  <c r="AX298" i="21"/>
  <c r="BB298" i="21"/>
  <c r="BF298" i="21"/>
  <c r="BJ298" i="21"/>
  <c r="AH306" i="21"/>
  <c r="AL306" i="21"/>
  <c r="AP306" i="21"/>
  <c r="AT306" i="21"/>
  <c r="AX306" i="21"/>
  <c r="BB306" i="21"/>
  <c r="BF306" i="21"/>
  <c r="BJ306" i="21"/>
  <c r="AH308" i="21"/>
  <c r="AL308" i="21"/>
  <c r="AP308" i="21"/>
  <c r="AT308" i="21"/>
  <c r="AX308" i="21"/>
  <c r="BB308" i="21"/>
  <c r="BF308" i="21"/>
  <c r="BJ308" i="21"/>
  <c r="AH329" i="21"/>
  <c r="AL329" i="21"/>
  <c r="AP329" i="21"/>
  <c r="AT329" i="21"/>
  <c r="AX329" i="21"/>
  <c r="BB329" i="21"/>
  <c r="BF329" i="21"/>
  <c r="BJ329" i="21"/>
  <c r="AH332" i="21"/>
  <c r="AL332" i="21"/>
  <c r="AP332" i="21"/>
  <c r="AT332" i="21"/>
  <c r="AX332" i="21"/>
  <c r="BB332" i="21"/>
  <c r="BF332" i="21"/>
  <c r="BJ332" i="21"/>
  <c r="AH328" i="21"/>
  <c r="AL328" i="21"/>
  <c r="AP328" i="21"/>
  <c r="AT328" i="21"/>
  <c r="AX328" i="21"/>
  <c r="BB328" i="21"/>
  <c r="BF328" i="21"/>
  <c r="BJ328" i="21"/>
  <c r="AH324" i="21"/>
  <c r="AL324" i="21"/>
  <c r="AP324" i="21"/>
  <c r="AT324" i="21"/>
  <c r="AX324" i="21"/>
  <c r="BB324" i="21"/>
  <c r="BF324" i="21"/>
  <c r="BJ324" i="21"/>
  <c r="AH318" i="21"/>
  <c r="AL318" i="21"/>
  <c r="AP318" i="21"/>
  <c r="AT318" i="21"/>
  <c r="AX318" i="21"/>
  <c r="BB318" i="21"/>
  <c r="BF318" i="21"/>
  <c r="BJ318" i="21"/>
  <c r="AH336" i="21"/>
  <c r="AL336" i="21"/>
  <c r="AP336" i="21"/>
  <c r="AT336" i="21"/>
  <c r="AX336" i="21"/>
  <c r="BB336" i="21"/>
  <c r="BF336" i="21"/>
  <c r="BJ336" i="21"/>
  <c r="AH355" i="21"/>
  <c r="AL355" i="21"/>
  <c r="AP355" i="21"/>
  <c r="AT355" i="21"/>
  <c r="AX355" i="21"/>
  <c r="BB355" i="21"/>
  <c r="BF355" i="21"/>
  <c r="BJ355" i="21"/>
  <c r="AH356" i="21"/>
  <c r="AL356" i="21"/>
  <c r="AP356" i="21"/>
  <c r="AT356" i="21"/>
  <c r="AX356" i="21"/>
  <c r="BB356" i="21"/>
  <c r="BF356" i="21"/>
  <c r="BJ356" i="21"/>
  <c r="AH359" i="21"/>
  <c r="AL359" i="21"/>
  <c r="AP359" i="21"/>
  <c r="AT359" i="21"/>
  <c r="AX359" i="21"/>
  <c r="BB359" i="21"/>
  <c r="BF359" i="21"/>
  <c r="BJ359" i="21"/>
  <c r="AH360" i="21"/>
  <c r="AL360" i="21"/>
  <c r="AP360" i="21"/>
  <c r="AT360" i="21"/>
  <c r="AX360" i="21"/>
  <c r="BB360" i="21"/>
  <c r="BF360" i="21"/>
  <c r="BJ360" i="21"/>
  <c r="AH352" i="21"/>
  <c r="AL352" i="21"/>
  <c r="AP352" i="21"/>
  <c r="AT352" i="21"/>
  <c r="AX352" i="21"/>
  <c r="BB352" i="21"/>
  <c r="BF352" i="21"/>
  <c r="BJ352" i="21"/>
  <c r="AH363" i="21"/>
  <c r="AL363" i="21"/>
  <c r="AP363" i="21"/>
  <c r="AT363" i="21"/>
  <c r="AX363" i="21"/>
  <c r="BB363" i="21"/>
  <c r="BF363" i="21"/>
  <c r="BJ363" i="21"/>
  <c r="AH344" i="21"/>
  <c r="AL344" i="21"/>
  <c r="AP344" i="21"/>
  <c r="AT344" i="21"/>
  <c r="AX344" i="21"/>
  <c r="BB344" i="21"/>
  <c r="BF344" i="21"/>
  <c r="BJ344" i="21"/>
  <c r="AH364" i="21"/>
  <c r="AL364" i="21"/>
  <c r="AP364" i="21"/>
  <c r="AT364" i="21"/>
  <c r="AX364" i="21"/>
  <c r="BB364" i="21"/>
  <c r="BF364" i="21"/>
  <c r="BJ364" i="21"/>
  <c r="AH347" i="21"/>
  <c r="AL347" i="21"/>
  <c r="AP347" i="21"/>
  <c r="AT347" i="21"/>
  <c r="AX347" i="21"/>
  <c r="BB347" i="21"/>
  <c r="BF347" i="21"/>
  <c r="BJ347" i="21"/>
  <c r="AH367" i="21"/>
  <c r="AL367" i="21"/>
  <c r="AP367" i="21"/>
  <c r="AT367" i="21"/>
  <c r="AX367" i="21"/>
  <c r="BB367" i="21"/>
  <c r="BF367" i="21"/>
  <c r="BJ367" i="21"/>
  <c r="AH369" i="21"/>
  <c r="AL369" i="21"/>
  <c r="AP369" i="21"/>
  <c r="AT369" i="21"/>
  <c r="AX369" i="21"/>
  <c r="BB369" i="21"/>
  <c r="BF369" i="21"/>
  <c r="BJ369" i="21"/>
  <c r="AH386" i="21"/>
  <c r="AL386" i="21"/>
  <c r="AP386" i="21"/>
  <c r="AT386" i="21"/>
  <c r="AX386" i="21"/>
  <c r="BB386" i="21"/>
  <c r="BF386" i="21"/>
  <c r="BJ386" i="21"/>
  <c r="AH377" i="21"/>
  <c r="AL377" i="21"/>
  <c r="AP377" i="21"/>
  <c r="AT377" i="21"/>
  <c r="AX377" i="21"/>
  <c r="BB377" i="21"/>
  <c r="BF377" i="21"/>
  <c r="BJ377" i="21"/>
  <c r="AH378" i="21"/>
  <c r="AL378" i="21"/>
  <c r="AP378" i="21"/>
  <c r="AT378" i="21"/>
  <c r="AX378" i="21"/>
  <c r="BB378" i="21"/>
  <c r="BF378" i="21"/>
  <c r="BJ378" i="21"/>
  <c r="AH387" i="21"/>
  <c r="AL387" i="21"/>
  <c r="AP387" i="21"/>
  <c r="AT387" i="21"/>
  <c r="AX387" i="21"/>
  <c r="BB387" i="21"/>
  <c r="BF387" i="21"/>
  <c r="BJ387" i="21"/>
  <c r="AH373" i="21"/>
  <c r="AL373" i="21"/>
  <c r="AP373" i="21"/>
  <c r="AT373" i="21"/>
  <c r="AX373" i="21"/>
  <c r="BB373" i="21"/>
  <c r="BF373" i="21"/>
  <c r="BJ373" i="21"/>
  <c r="AH388" i="21"/>
  <c r="AL388" i="21"/>
  <c r="AP388" i="21"/>
  <c r="AT388" i="21"/>
  <c r="AX388" i="21"/>
  <c r="BB388" i="21"/>
  <c r="BF388" i="21"/>
  <c r="BJ388" i="21"/>
  <c r="AH389" i="21"/>
  <c r="AL389" i="21"/>
  <c r="AP389" i="21"/>
  <c r="AT389" i="21"/>
  <c r="AX389" i="21"/>
  <c r="BB389" i="21"/>
  <c r="BF389" i="21"/>
  <c r="BJ389" i="21"/>
  <c r="AH379" i="21"/>
  <c r="AL379" i="21"/>
  <c r="AP379" i="21"/>
  <c r="AT379" i="21"/>
  <c r="AX379" i="21"/>
  <c r="BB379" i="21"/>
  <c r="BF379" i="21"/>
  <c r="BJ379" i="21"/>
  <c r="AH403" i="21"/>
  <c r="AL403" i="21"/>
  <c r="AP403" i="21"/>
  <c r="AT403" i="21"/>
  <c r="AX403" i="21"/>
  <c r="BB403" i="21"/>
  <c r="BF403" i="21"/>
  <c r="BJ403" i="21"/>
  <c r="AH405" i="21"/>
  <c r="AL405" i="21"/>
  <c r="AP405" i="21"/>
  <c r="AT405" i="21"/>
  <c r="AX405" i="21"/>
  <c r="BB405" i="21"/>
  <c r="BF405" i="21"/>
  <c r="BJ405" i="21"/>
  <c r="AH412" i="21"/>
  <c r="AL412" i="21"/>
  <c r="AP412" i="21"/>
  <c r="AT412" i="21"/>
  <c r="AX412" i="21"/>
  <c r="BB412" i="21"/>
  <c r="BF412" i="21"/>
  <c r="BJ412" i="21"/>
  <c r="AH395" i="21"/>
  <c r="AL395" i="21"/>
  <c r="AP395" i="21"/>
  <c r="AT395" i="21"/>
  <c r="AX395" i="21"/>
  <c r="BB395" i="21"/>
  <c r="BF395" i="21"/>
  <c r="BJ395" i="21"/>
  <c r="AH400" i="21"/>
  <c r="AL400" i="21"/>
  <c r="AP400" i="21"/>
  <c r="AT400" i="21"/>
  <c r="AX400" i="21"/>
  <c r="BB400" i="21"/>
  <c r="BF400" i="21"/>
  <c r="BJ400" i="21"/>
  <c r="AH418" i="21"/>
  <c r="AL418" i="21"/>
  <c r="AP418" i="21"/>
  <c r="AT418" i="21"/>
  <c r="AX418" i="21"/>
  <c r="BB418" i="21"/>
  <c r="BF418" i="21"/>
  <c r="BJ418" i="21"/>
  <c r="AH433" i="21"/>
  <c r="AL433" i="21"/>
  <c r="AP433" i="21"/>
  <c r="AT433" i="21"/>
  <c r="AX433" i="21"/>
  <c r="BB433" i="21"/>
  <c r="BF433" i="21"/>
  <c r="BJ433" i="21"/>
  <c r="AH421" i="21"/>
  <c r="AL421" i="21"/>
  <c r="AP421" i="21"/>
  <c r="AT421" i="21"/>
  <c r="AX421" i="21"/>
  <c r="BB421" i="21"/>
  <c r="BF421" i="21"/>
  <c r="BJ421" i="21"/>
  <c r="AH422" i="21"/>
  <c r="AL422" i="21"/>
  <c r="AP422" i="21"/>
  <c r="AT422" i="21"/>
  <c r="AX422" i="21"/>
  <c r="BB422" i="21"/>
  <c r="BF422" i="21"/>
  <c r="BJ422" i="21"/>
  <c r="AH428" i="21"/>
  <c r="AL428" i="21"/>
  <c r="AP428" i="21"/>
  <c r="AT428" i="21"/>
  <c r="AX428" i="21"/>
  <c r="BB428" i="21"/>
  <c r="BF428" i="21"/>
  <c r="BJ428" i="21"/>
  <c r="AH441" i="21"/>
  <c r="AL441" i="21"/>
  <c r="AP441" i="21"/>
  <c r="AT441" i="21"/>
  <c r="AX441" i="21"/>
  <c r="BB441" i="21"/>
  <c r="BF441" i="21"/>
  <c r="BJ441" i="21"/>
  <c r="AH430" i="21"/>
  <c r="AL430" i="21"/>
  <c r="AP430" i="21"/>
  <c r="AT430" i="21"/>
  <c r="AX430" i="21"/>
  <c r="BB430" i="21"/>
  <c r="BF430" i="21"/>
  <c r="BJ430" i="21"/>
  <c r="AH453" i="21"/>
  <c r="AL453" i="21"/>
  <c r="AP453" i="21"/>
  <c r="AT453" i="21"/>
  <c r="AX453" i="21"/>
  <c r="BB453" i="21"/>
  <c r="BF453" i="21"/>
  <c r="BJ453" i="21"/>
  <c r="AH462" i="21"/>
  <c r="AL462" i="21"/>
  <c r="AP462" i="21"/>
  <c r="AT462" i="21"/>
  <c r="AX462" i="21"/>
  <c r="BB462" i="21"/>
  <c r="BF462" i="21"/>
  <c r="BJ462" i="21"/>
  <c r="AH464" i="21"/>
  <c r="AL464" i="21"/>
  <c r="AP464" i="21"/>
  <c r="AT464" i="21"/>
  <c r="AX464" i="21"/>
  <c r="BB464" i="21"/>
  <c r="BF464" i="21"/>
  <c r="BJ464" i="21"/>
  <c r="AH448" i="21"/>
  <c r="AL448" i="21"/>
  <c r="AP448" i="21"/>
  <c r="AT448" i="21"/>
  <c r="AX448" i="21"/>
  <c r="BB448" i="21"/>
  <c r="BF448" i="21"/>
  <c r="BJ448" i="21"/>
  <c r="AH449" i="21"/>
  <c r="AL449" i="21"/>
  <c r="AP449" i="21"/>
  <c r="AT449" i="21"/>
  <c r="AX449" i="21"/>
  <c r="BB449" i="21"/>
  <c r="BF449" i="21"/>
  <c r="BJ449" i="21"/>
  <c r="AH450" i="21"/>
  <c r="AL450" i="21"/>
  <c r="AP450" i="21"/>
  <c r="AT450" i="21"/>
  <c r="AX450" i="21"/>
  <c r="BB450" i="21"/>
  <c r="BF450" i="21"/>
  <c r="BJ450" i="21"/>
  <c r="AH465" i="21"/>
  <c r="AL465" i="21"/>
  <c r="AP465" i="21"/>
  <c r="AT465" i="21"/>
  <c r="AX465" i="21"/>
  <c r="BB465" i="21"/>
  <c r="BF465" i="21"/>
  <c r="BJ465" i="21"/>
  <c r="AH457" i="21"/>
  <c r="AL457" i="21"/>
  <c r="AP457" i="21"/>
  <c r="AT457" i="21"/>
  <c r="AX457" i="21"/>
  <c r="BB457" i="21"/>
  <c r="BF457" i="21"/>
  <c r="BJ457" i="21"/>
  <c r="AH466" i="21"/>
  <c r="AL466" i="21"/>
  <c r="AP466" i="21"/>
  <c r="AT466" i="21"/>
  <c r="AX466" i="21"/>
  <c r="BB466" i="21"/>
  <c r="BF466" i="21"/>
  <c r="BJ466" i="21"/>
  <c r="AH460" i="21"/>
  <c r="AL460" i="21"/>
  <c r="AP460" i="21"/>
  <c r="AT460" i="21"/>
  <c r="AX460" i="21"/>
  <c r="BB460" i="21"/>
  <c r="BF460" i="21"/>
  <c r="BJ460" i="21"/>
  <c r="AH467" i="21"/>
  <c r="AL467" i="21"/>
  <c r="AP467" i="21"/>
  <c r="AT467" i="21"/>
  <c r="AX467" i="21"/>
  <c r="BB467" i="21"/>
  <c r="BF467" i="21"/>
  <c r="BJ467" i="21"/>
  <c r="AH486" i="21"/>
  <c r="AL486" i="21"/>
  <c r="AP486" i="21"/>
  <c r="AT486" i="21"/>
  <c r="AX486" i="21"/>
  <c r="BB486" i="21"/>
  <c r="BF486" i="21"/>
  <c r="BJ486" i="21"/>
  <c r="AH488" i="21"/>
  <c r="AL488" i="21"/>
  <c r="AP488" i="21"/>
  <c r="AT488" i="21"/>
  <c r="AX488" i="21"/>
  <c r="BB488" i="21"/>
  <c r="BF488" i="21"/>
  <c r="BJ488" i="21"/>
  <c r="AH482" i="21"/>
  <c r="AL482" i="21"/>
  <c r="AP482" i="21"/>
  <c r="AT482" i="21"/>
  <c r="AX482" i="21"/>
  <c r="BB482" i="21"/>
  <c r="BF482" i="21"/>
  <c r="BJ482" i="21"/>
  <c r="AH489" i="21"/>
  <c r="AL489" i="21"/>
  <c r="AP489" i="21"/>
  <c r="AT489" i="21"/>
  <c r="AX489" i="21"/>
  <c r="BB489" i="21"/>
  <c r="BF489" i="21"/>
  <c r="BJ489" i="21"/>
  <c r="AH468" i="21"/>
  <c r="AL468" i="21"/>
  <c r="AP468" i="21"/>
  <c r="AT468" i="21"/>
  <c r="AX468" i="21"/>
  <c r="BB468" i="21"/>
  <c r="BF468" i="21"/>
  <c r="BJ468" i="21"/>
  <c r="AH479" i="21"/>
  <c r="AL479" i="21"/>
  <c r="AP479" i="21"/>
  <c r="AT479" i="21"/>
  <c r="AX479" i="21"/>
  <c r="BB479" i="21"/>
  <c r="BF479" i="21"/>
  <c r="BJ479" i="21"/>
  <c r="AH491" i="21"/>
  <c r="AL491" i="21"/>
  <c r="AP491" i="21"/>
  <c r="AT491" i="21"/>
  <c r="AX491" i="21"/>
  <c r="BB491" i="21"/>
  <c r="BF491" i="21"/>
  <c r="BJ491" i="21"/>
  <c r="AH492" i="21"/>
  <c r="AL492" i="21"/>
  <c r="AP492" i="21"/>
  <c r="AT492" i="21"/>
  <c r="AX492" i="21"/>
  <c r="BB492" i="21"/>
  <c r="BF492" i="21"/>
  <c r="BJ492" i="21"/>
  <c r="AH480" i="21"/>
  <c r="AL480" i="21"/>
  <c r="AP480" i="21"/>
  <c r="AT480" i="21"/>
  <c r="AX480" i="21"/>
  <c r="BB480" i="21"/>
  <c r="BF480" i="21"/>
  <c r="BJ480" i="21"/>
  <c r="AH473" i="21"/>
  <c r="AL473" i="21"/>
  <c r="AP473" i="21"/>
  <c r="AT473" i="21"/>
  <c r="AX473" i="21"/>
  <c r="BB473" i="21"/>
  <c r="BF473" i="21"/>
  <c r="BJ473" i="21"/>
  <c r="AH485" i="21"/>
  <c r="AL485" i="21"/>
  <c r="AP485" i="21"/>
  <c r="AT485" i="21"/>
  <c r="AX485" i="21"/>
  <c r="BB485" i="21"/>
  <c r="BF485" i="21"/>
  <c r="BJ485" i="21"/>
  <c r="AH498" i="21"/>
  <c r="AL498" i="21"/>
  <c r="AP498" i="21"/>
  <c r="AT498" i="21"/>
  <c r="AX498" i="21"/>
  <c r="BB498" i="21"/>
  <c r="BF498" i="21"/>
  <c r="BJ498" i="21"/>
  <c r="AH499" i="21"/>
  <c r="AL499" i="21"/>
  <c r="AP499" i="21"/>
  <c r="AT499" i="21"/>
  <c r="AX499" i="21"/>
  <c r="BB499" i="21"/>
  <c r="BF499" i="21"/>
  <c r="BJ499" i="21"/>
  <c r="AH506" i="21"/>
  <c r="AL506" i="21"/>
  <c r="AP506" i="21"/>
  <c r="AT506" i="21"/>
  <c r="AX506" i="21"/>
  <c r="BB506" i="21"/>
  <c r="BF506" i="21"/>
  <c r="BJ506" i="21"/>
  <c r="AH503" i="21"/>
  <c r="AL503" i="21"/>
  <c r="AP503" i="21"/>
  <c r="AT503" i="21"/>
  <c r="AX503" i="21"/>
  <c r="BB503" i="21"/>
  <c r="BF503" i="21"/>
  <c r="BJ503" i="21"/>
  <c r="AH514" i="21"/>
  <c r="AL514" i="21"/>
  <c r="AP514" i="21"/>
  <c r="AT514" i="21"/>
  <c r="AX514" i="21"/>
  <c r="BB514" i="21"/>
  <c r="BF514" i="21"/>
  <c r="BJ514" i="21"/>
  <c r="AH507" i="21"/>
  <c r="AL507" i="21"/>
  <c r="AP507" i="21"/>
  <c r="AT507" i="21"/>
  <c r="AX507" i="21"/>
  <c r="BB507" i="21"/>
  <c r="BF507" i="21"/>
  <c r="BJ507" i="21"/>
  <c r="AH515" i="21"/>
  <c r="AL515" i="21"/>
  <c r="AP515" i="21"/>
  <c r="AT515" i="21"/>
  <c r="AX515" i="21"/>
  <c r="BB515" i="21"/>
  <c r="BF515" i="21"/>
  <c r="BJ515" i="21"/>
  <c r="AH516" i="21"/>
  <c r="AL516" i="21"/>
  <c r="AP516" i="21"/>
  <c r="AT516" i="21"/>
  <c r="AX516" i="21"/>
  <c r="BB516" i="21"/>
  <c r="BF516" i="21"/>
  <c r="BJ516" i="21"/>
  <c r="AH504" i="21"/>
  <c r="AL504" i="21"/>
  <c r="AP504" i="21"/>
  <c r="AT504" i="21"/>
  <c r="AX504" i="21"/>
  <c r="BB504" i="21"/>
  <c r="BF504" i="21"/>
  <c r="BJ504" i="21"/>
  <c r="AH518" i="21"/>
  <c r="AL518" i="21"/>
  <c r="AP518" i="21"/>
  <c r="AT518" i="21"/>
  <c r="AX518" i="21"/>
  <c r="BB518" i="21"/>
  <c r="BF518" i="21"/>
  <c r="BJ518" i="21"/>
  <c r="AH494" i="21"/>
  <c r="AL494" i="21"/>
  <c r="AP494" i="21"/>
  <c r="AT494" i="21"/>
  <c r="AX494" i="21"/>
  <c r="BB494" i="21"/>
  <c r="BF494" i="21"/>
  <c r="BJ494" i="21"/>
  <c r="AI54" i="21"/>
  <c r="AM54" i="21"/>
  <c r="AQ54" i="21"/>
  <c r="AU54" i="21"/>
  <c r="AY54" i="21"/>
  <c r="BC54" i="21"/>
  <c r="BG54" i="21"/>
  <c r="BK54" i="21"/>
  <c r="AJ391" i="21"/>
  <c r="BE214" i="21"/>
  <c r="BD247" i="21"/>
  <c r="AI458" i="21"/>
  <c r="AM83" i="21"/>
  <c r="AQ304" i="21"/>
  <c r="AU397" i="21"/>
  <c r="AY493" i="21"/>
  <c r="BC71" i="21"/>
  <c r="BG187" i="21"/>
  <c r="AY252" i="21"/>
  <c r="AP267" i="21"/>
  <c r="AL277" i="21"/>
  <c r="BF338" i="21"/>
  <c r="AX354" i="21"/>
  <c r="AP384" i="21"/>
  <c r="AH365" i="21"/>
  <c r="BJ380" i="21"/>
  <c r="BB445" i="21"/>
  <c r="AT476" i="21"/>
  <c r="AL497" i="21"/>
  <c r="BF300" i="21"/>
  <c r="AX315" i="21"/>
  <c r="AP96" i="21"/>
  <c r="AH165" i="21"/>
  <c r="BJ210" i="21"/>
  <c r="BB89" i="21"/>
  <c r="AT521" i="21"/>
  <c r="AL287" i="21"/>
  <c r="BF410" i="21"/>
  <c r="BB18" i="21"/>
  <c r="AT12" i="21"/>
  <c r="AL15" i="21"/>
  <c r="BF8" i="21"/>
  <c r="AX45" i="21"/>
  <c r="AP30" i="21"/>
  <c r="AH27" i="21"/>
  <c r="BJ44" i="21"/>
  <c r="BB35" i="21"/>
  <c r="AT42" i="21"/>
  <c r="AL74" i="21"/>
  <c r="AX69" i="21"/>
  <c r="AP61" i="21"/>
  <c r="AH99" i="21"/>
  <c r="BJ88" i="21"/>
  <c r="BB104" i="21"/>
  <c r="AT87" i="21"/>
  <c r="AL116" i="21"/>
  <c r="BF110" i="21"/>
  <c r="AX130" i="21"/>
  <c r="AP108" i="21"/>
  <c r="AH147" i="21"/>
  <c r="BJ149" i="21"/>
  <c r="BB140" i="21"/>
  <c r="AT146" i="21"/>
  <c r="AL138" i="21"/>
  <c r="BF156" i="21"/>
  <c r="AX160" i="21"/>
  <c r="BB161" i="21"/>
  <c r="AX170" i="21"/>
  <c r="AT182" i="21"/>
  <c r="AP203" i="21"/>
  <c r="AL195" i="21"/>
  <c r="AH194" i="21"/>
  <c r="BJ192" i="21"/>
  <c r="BF207" i="21"/>
  <c r="BB201" i="21"/>
  <c r="AX199" i="21"/>
  <c r="AT227" i="21"/>
  <c r="AP228" i="21"/>
  <c r="AI215" i="21"/>
  <c r="BE215" i="21"/>
  <c r="AP220" i="21"/>
  <c r="BK220" i="21"/>
  <c r="AW211" i="21"/>
  <c r="AH230" i="21"/>
  <c r="BC230" i="21"/>
  <c r="AO223" i="21"/>
  <c r="BJ223" i="21"/>
  <c r="AU231" i="21"/>
  <c r="BB226" i="21"/>
  <c r="AM217" i="21"/>
  <c r="BI217" i="21"/>
  <c r="AT213" i="21"/>
  <c r="BA218" i="21"/>
  <c r="AL224" i="21"/>
  <c r="BG224" i="21"/>
  <c r="AS237" i="21"/>
  <c r="AY239" i="21"/>
  <c r="AU241" i="21"/>
  <c r="BK241" i="21"/>
  <c r="AQ236" i="21"/>
  <c r="BG236" i="21"/>
  <c r="AM257" i="21"/>
  <c r="BC257" i="21"/>
  <c r="AI246" i="21"/>
  <c r="AY246" i="21"/>
  <c r="AU240" i="21"/>
  <c r="BK240" i="21"/>
  <c r="AQ235" i="21"/>
  <c r="BG235" i="21"/>
  <c r="AM279" i="21"/>
  <c r="BC279" i="21"/>
  <c r="AI261" i="21"/>
  <c r="AY261" i="21"/>
  <c r="AU280" i="21"/>
  <c r="BK280" i="21"/>
  <c r="AQ266" i="21"/>
  <c r="BG266" i="21"/>
  <c r="AM262" i="21"/>
  <c r="BC262" i="21"/>
  <c r="AI283" i="21"/>
  <c r="AY283" i="21"/>
  <c r="AU285" i="21"/>
  <c r="BK285" i="21"/>
  <c r="AQ273" i="21"/>
  <c r="BG273" i="21"/>
  <c r="AM297" i="21"/>
  <c r="BC297" i="21"/>
  <c r="AI303" i="21"/>
  <c r="AY303" i="21"/>
  <c r="AU302" i="21"/>
  <c r="BK302" i="21"/>
  <c r="AQ298" i="21"/>
  <c r="BG298" i="21"/>
  <c r="AM306" i="21"/>
  <c r="BC306" i="21"/>
  <c r="AI308" i="21"/>
  <c r="AY308" i="21"/>
  <c r="AQ329" i="21"/>
  <c r="BG329" i="21"/>
  <c r="AM332" i="21"/>
  <c r="BC332" i="21"/>
  <c r="AI328" i="21"/>
  <c r="AY328" i="21"/>
  <c r="AU324" i="21"/>
  <c r="BK324" i="21"/>
  <c r="AQ318" i="21"/>
  <c r="BG318" i="21"/>
  <c r="AM336" i="21"/>
  <c r="BC336" i="21"/>
  <c r="AI355" i="21"/>
  <c r="AY355" i="21"/>
  <c r="AU356" i="21"/>
  <c r="BK356" i="21"/>
  <c r="AQ359" i="21"/>
  <c r="BG359" i="21"/>
  <c r="AM360" i="21"/>
  <c r="BC360" i="21"/>
  <c r="AI352" i="21"/>
  <c r="AY352" i="21"/>
  <c r="AU363" i="21"/>
  <c r="BK363" i="21"/>
  <c r="AQ344" i="21"/>
  <c r="BG344" i="21"/>
  <c r="AM364" i="21"/>
  <c r="BC364" i="21"/>
  <c r="AI347" i="21"/>
  <c r="AY347" i="21"/>
  <c r="AU367" i="21"/>
  <c r="BK367" i="21"/>
  <c r="AQ369" i="21"/>
  <c r="BG369" i="21"/>
  <c r="AM386" i="21"/>
  <c r="BC386" i="21"/>
  <c r="AI377" i="21"/>
  <c r="AY377" i="21"/>
  <c r="AU378" i="21"/>
  <c r="BK378" i="21"/>
  <c r="AQ387" i="21"/>
  <c r="BG387" i="21"/>
  <c r="AM373" i="21"/>
  <c r="BC373" i="21"/>
  <c r="AI388" i="21"/>
  <c r="AY388" i="21"/>
  <c r="AU389" i="21"/>
  <c r="BK389" i="21"/>
  <c r="AQ379" i="21"/>
  <c r="BG379" i="21"/>
  <c r="AM403" i="21"/>
  <c r="BC403" i="21"/>
  <c r="AI405" i="21"/>
  <c r="AY405" i="21"/>
  <c r="AU412" i="21"/>
  <c r="BK412" i="21"/>
  <c r="AQ395" i="21"/>
  <c r="BG395" i="21"/>
  <c r="AM400" i="21"/>
  <c r="BC400" i="21"/>
  <c r="AI418" i="21"/>
  <c r="AY418" i="21"/>
  <c r="AU433" i="21"/>
  <c r="BK433" i="21"/>
  <c r="AQ421" i="21"/>
  <c r="BG421" i="21"/>
  <c r="AM422" i="21"/>
  <c r="BC422" i="21"/>
  <c r="AI428" i="21"/>
  <c r="AY428" i="21"/>
  <c r="AU441" i="21"/>
  <c r="BK441" i="21"/>
  <c r="AQ430" i="21"/>
  <c r="BG430" i="21"/>
  <c r="AM453" i="21"/>
  <c r="BC453" i="21"/>
  <c r="AI462" i="21"/>
  <c r="AY462" i="21"/>
  <c r="AU464" i="21"/>
  <c r="BK464" i="21"/>
  <c r="AQ448" i="21"/>
  <c r="BG448" i="21"/>
  <c r="AM449" i="21"/>
  <c r="BC449" i="21"/>
  <c r="AI450" i="21"/>
  <c r="AY450" i="21"/>
  <c r="AU465" i="21"/>
  <c r="BK465" i="21"/>
  <c r="AQ457" i="21"/>
  <c r="BG457" i="21"/>
  <c r="AM466" i="21"/>
  <c r="BC466" i="21"/>
  <c r="AI460" i="21"/>
  <c r="AY460" i="21"/>
  <c r="AU467" i="21"/>
  <c r="BK467" i="21"/>
  <c r="AQ486" i="21"/>
  <c r="BG486" i="21"/>
  <c r="AM488" i="21"/>
  <c r="BC488" i="21"/>
  <c r="AI482" i="21"/>
  <c r="AY482" i="21"/>
  <c r="AU489" i="21"/>
  <c r="BK489" i="21"/>
  <c r="AQ468" i="21"/>
  <c r="BG468" i="21"/>
  <c r="AM479" i="21"/>
  <c r="BC479" i="21"/>
  <c r="AI491" i="21"/>
  <c r="AY491" i="21"/>
  <c r="AQ492" i="21"/>
  <c r="BG492" i="21"/>
  <c r="AM480" i="21"/>
  <c r="BC480" i="21"/>
  <c r="AI473" i="21"/>
  <c r="AY473" i="21"/>
  <c r="AU485" i="21"/>
  <c r="BK485" i="21"/>
  <c r="AQ498" i="21"/>
  <c r="BG498" i="21"/>
  <c r="AM499" i="21"/>
  <c r="BC499" i="21"/>
  <c r="AI506" i="21"/>
  <c r="AY506" i="21"/>
  <c r="AU503" i="21"/>
  <c r="BK503" i="21"/>
  <c r="AQ514" i="21"/>
  <c r="BG514" i="21"/>
  <c r="AM507" i="21"/>
  <c r="BC507" i="21"/>
  <c r="AI515" i="21"/>
  <c r="AY515" i="21"/>
  <c r="AU516" i="21"/>
  <c r="BK516" i="21"/>
  <c r="AQ504" i="21"/>
  <c r="BG504" i="21"/>
  <c r="AM518" i="21"/>
  <c r="BC518" i="21"/>
  <c r="AI494" i="21"/>
  <c r="AY494" i="21"/>
  <c r="AJ54" i="21"/>
  <c r="AO54" i="21"/>
  <c r="AT54" i="21"/>
  <c r="AZ54" i="21"/>
  <c r="BE54" i="21"/>
  <c r="BJ54" i="21"/>
  <c r="BG487" i="21"/>
  <c r="AQ242" i="21"/>
  <c r="AX286" i="21"/>
  <c r="BJ362" i="21"/>
  <c r="AL445" i="21"/>
  <c r="AP300" i="21"/>
  <c r="BB176" i="21"/>
  <c r="BF256" i="21"/>
  <c r="BJ117" i="21"/>
  <c r="AP8" i="21"/>
  <c r="BB28" i="21"/>
  <c r="BF72" i="21"/>
  <c r="BJ77" i="21"/>
  <c r="AP110" i="21"/>
  <c r="AT149" i="21"/>
  <c r="AX155" i="21"/>
  <c r="AP170" i="21"/>
  <c r="BJ195" i="21"/>
  <c r="AX207" i="21"/>
  <c r="AH228" i="21"/>
  <c r="AK220" i="21"/>
  <c r="AX230" i="21"/>
  <c r="BK231" i="21"/>
  <c r="AO213" i="21"/>
  <c r="BB224" i="21"/>
  <c r="BK239" i="21"/>
  <c r="BC236" i="21"/>
  <c r="AU246" i="21"/>
  <c r="BG240" i="21"/>
  <c r="AI279" i="21"/>
  <c r="BK261" i="21"/>
  <c r="BC266" i="21"/>
  <c r="AU283" i="21"/>
  <c r="AM273" i="21"/>
  <c r="AY297" i="21"/>
  <c r="AQ302" i="21"/>
  <c r="AI306" i="21"/>
  <c r="BK308" i="21"/>
  <c r="BC329" i="21"/>
  <c r="AY332" i="21"/>
  <c r="AQ324" i="21"/>
  <c r="AI336" i="21"/>
  <c r="BK355" i="21"/>
  <c r="BC359" i="21"/>
  <c r="AU352" i="21"/>
  <c r="AM344" i="21"/>
  <c r="BG367" i="21"/>
  <c r="AY386" i="21"/>
  <c r="AQ378" i="21"/>
  <c r="AI373" i="21"/>
  <c r="BK388" i="21"/>
  <c r="BC379" i="21"/>
  <c r="AU405" i="21"/>
  <c r="AM395" i="21"/>
  <c r="BG433" i="21"/>
  <c r="AY422" i="21"/>
  <c r="AQ441" i="21"/>
  <c r="AI453" i="21"/>
  <c r="BK462" i="21"/>
  <c r="AM448" i="21"/>
  <c r="BG465" i="21"/>
  <c r="AY466" i="21"/>
  <c r="AQ467" i="21"/>
  <c r="AI488" i="21"/>
  <c r="BK482" i="21"/>
  <c r="BC468" i="21"/>
  <c r="AU491" i="21"/>
  <c r="AM492" i="21"/>
  <c r="BG485" i="21"/>
  <c r="AY499" i="21"/>
  <c r="AQ503" i="21"/>
  <c r="AI507" i="21"/>
  <c r="BK515" i="21"/>
  <c r="BC504" i="21"/>
  <c r="AU494" i="21"/>
  <c r="AH54" i="21"/>
  <c r="AX54" i="21"/>
  <c r="AS508" i="21"/>
  <c r="BI294" i="21"/>
  <c r="BI37" i="21"/>
  <c r="BG361" i="21"/>
  <c r="BK472" i="21"/>
  <c r="AI337" i="21"/>
  <c r="AM440" i="21"/>
  <c r="AU90" i="21"/>
  <c r="AY221" i="21"/>
  <c r="AJ243" i="21"/>
  <c r="AX263" i="21"/>
  <c r="BJ267" i="21"/>
  <c r="BB277" i="21"/>
  <c r="AT310" i="21"/>
  <c r="AL357" i="21"/>
  <c r="BF384" i="21"/>
  <c r="AX365" i="21"/>
  <c r="AP394" i="21"/>
  <c r="AH459" i="21"/>
  <c r="BJ476" i="21"/>
  <c r="BB497" i="21"/>
  <c r="AT212" i="21"/>
  <c r="AL291" i="21"/>
  <c r="BF96" i="21"/>
  <c r="AX165" i="21"/>
  <c r="AP439" i="21"/>
  <c r="AH81" i="21"/>
  <c r="BJ521" i="21"/>
  <c r="BB287" i="21"/>
  <c r="AT333" i="21"/>
  <c r="AP21" i="21"/>
  <c r="AH13" i="21"/>
  <c r="BJ12" i="21"/>
  <c r="BB15" i="21"/>
  <c r="AT6" i="21"/>
  <c r="AL7" i="21"/>
  <c r="BF30" i="21"/>
  <c r="AX27" i="21"/>
  <c r="AP34" i="21"/>
  <c r="AH43" i="21"/>
  <c r="BJ42" i="21"/>
  <c r="BB74" i="21"/>
  <c r="AT64" i="21"/>
  <c r="BF61" i="21"/>
  <c r="AX99" i="21"/>
  <c r="AP86" i="21"/>
  <c r="AH97" i="21"/>
  <c r="BJ87" i="21"/>
  <c r="BB116" i="21"/>
  <c r="AT119" i="21"/>
  <c r="AL125" i="21"/>
  <c r="BF108" i="21"/>
  <c r="AX147" i="21"/>
  <c r="AP131" i="21"/>
  <c r="BJ146" i="21"/>
  <c r="BB138" i="21"/>
  <c r="AT141" i="21"/>
  <c r="AL133" i="21"/>
  <c r="BJ161" i="21"/>
  <c r="BF170" i="21"/>
  <c r="BB182" i="21"/>
  <c r="AX203" i="21"/>
  <c r="AT195" i="21"/>
  <c r="AP194" i="21"/>
  <c r="AL192" i="21"/>
  <c r="AH207" i="21"/>
  <c r="BJ201" i="21"/>
  <c r="BF199" i="21"/>
  <c r="BB227" i="21"/>
  <c r="AX228" i="21"/>
  <c r="AO215" i="21"/>
  <c r="BJ215" i="21"/>
  <c r="AU220" i="21"/>
  <c r="BB211" i="21"/>
  <c r="AM230" i="21"/>
  <c r="BI230" i="21"/>
  <c r="AT223" i="21"/>
  <c r="BA231" i="21"/>
  <c r="AL226" i="21"/>
  <c r="BG226" i="21"/>
  <c r="AS217" i="21"/>
  <c r="AY213" i="21"/>
  <c r="AK218" i="21"/>
  <c r="BF218" i="21"/>
  <c r="AQ224" i="21"/>
  <c r="AX237" i="21"/>
  <c r="AI239" i="21"/>
  <c r="BC239" i="21"/>
  <c r="AI241" i="21"/>
  <c r="AY241" i="21"/>
  <c r="AU236" i="21"/>
  <c r="BK236" i="21"/>
  <c r="AQ257" i="21"/>
  <c r="BG257" i="21"/>
  <c r="AM246" i="21"/>
  <c r="BC246" i="21"/>
  <c r="AI240" i="21"/>
  <c r="AY240" i="21"/>
  <c r="AU235" i="21"/>
  <c r="BK235" i="21"/>
  <c r="AQ279" i="21"/>
  <c r="BG279" i="21"/>
  <c r="AM261" i="21"/>
  <c r="BC261" i="21"/>
  <c r="AI280" i="21"/>
  <c r="AY280" i="21"/>
  <c r="AU266" i="21"/>
  <c r="BK266" i="21"/>
  <c r="AQ262" i="21"/>
  <c r="BG262" i="21"/>
  <c r="AM283" i="21"/>
  <c r="BC283" i="21"/>
  <c r="AI285" i="21"/>
  <c r="AY285" i="21"/>
  <c r="AU273" i="21"/>
  <c r="BK273" i="21"/>
  <c r="AQ297" i="21"/>
  <c r="BG297" i="21"/>
  <c r="AM303" i="21"/>
  <c r="BC303" i="21"/>
  <c r="AI302" i="21"/>
  <c r="AY302" i="21"/>
  <c r="AU298" i="21"/>
  <c r="BK298" i="21"/>
  <c r="AQ306" i="21"/>
  <c r="BG306" i="21"/>
  <c r="AM308" i="21"/>
  <c r="BC308" i="21"/>
  <c r="AU329" i="21"/>
  <c r="BK329" i="21"/>
  <c r="AQ332" i="21"/>
  <c r="BG332" i="21"/>
  <c r="AM328" i="21"/>
  <c r="BC328" i="21"/>
  <c r="AI324" i="21"/>
  <c r="AY324" i="21"/>
  <c r="AU318" i="21"/>
  <c r="BK318" i="21"/>
  <c r="AQ336" i="21"/>
  <c r="BG336" i="21"/>
  <c r="AM355" i="21"/>
  <c r="BC355" i="21"/>
  <c r="AI356" i="21"/>
  <c r="AY356" i="21"/>
  <c r="AU359" i="21"/>
  <c r="BK359" i="21"/>
  <c r="AQ360" i="21"/>
  <c r="BG360" i="21"/>
  <c r="AM352" i="21"/>
  <c r="BC352" i="21"/>
  <c r="AI363" i="21"/>
  <c r="AY363" i="21"/>
  <c r="AU344" i="21"/>
  <c r="BK344" i="21"/>
  <c r="AQ364" i="21"/>
  <c r="BG364" i="21"/>
  <c r="AM347" i="21"/>
  <c r="BC347" i="21"/>
  <c r="AI367" i="21"/>
  <c r="AY367" i="21"/>
  <c r="AU369" i="21"/>
  <c r="BK369" i="21"/>
  <c r="AQ386" i="21"/>
  <c r="BG386" i="21"/>
  <c r="AM377" i="21"/>
  <c r="BC377" i="21"/>
  <c r="AI378" i="21"/>
  <c r="AY378" i="21"/>
  <c r="AU387" i="21"/>
  <c r="BK387" i="21"/>
  <c r="AQ373" i="21"/>
  <c r="BG373" i="21"/>
  <c r="AM388" i="21"/>
  <c r="BC388" i="21"/>
  <c r="AI389" i="21"/>
  <c r="AY389" i="21"/>
  <c r="AU379" i="21"/>
  <c r="BK379" i="21"/>
  <c r="AQ403" i="21"/>
  <c r="BG403" i="21"/>
  <c r="AM405" i="21"/>
  <c r="BC405" i="21"/>
  <c r="AI412" i="21"/>
  <c r="AY412" i="21"/>
  <c r="AU395" i="21"/>
  <c r="BK395" i="21"/>
  <c r="AQ400" i="21"/>
  <c r="BG400" i="21"/>
  <c r="AM418" i="21"/>
  <c r="BC418" i="21"/>
  <c r="AI433" i="21"/>
  <c r="AY433" i="21"/>
  <c r="AU421" i="21"/>
  <c r="BK421" i="21"/>
  <c r="AQ422" i="21"/>
  <c r="BG422" i="21"/>
  <c r="AM428" i="21"/>
  <c r="BC428" i="21"/>
  <c r="AI441" i="21"/>
  <c r="AY441" i="21"/>
  <c r="AU430" i="21"/>
  <c r="BK430" i="21"/>
  <c r="AQ453" i="21"/>
  <c r="BG453" i="21"/>
  <c r="AM462" i="21"/>
  <c r="BC462" i="21"/>
  <c r="AI464" i="21"/>
  <c r="AY464" i="21"/>
  <c r="AU448" i="21"/>
  <c r="BK448" i="21"/>
  <c r="AQ449" i="21"/>
  <c r="BG449" i="21"/>
  <c r="AM450" i="21"/>
  <c r="BC450" i="21"/>
  <c r="AI465" i="21"/>
  <c r="AY465" i="21"/>
  <c r="AU457" i="21"/>
  <c r="BK457" i="21"/>
  <c r="AQ466" i="21"/>
  <c r="BG466" i="21"/>
  <c r="AM460" i="21"/>
  <c r="BC460" i="21"/>
  <c r="AI467" i="21"/>
  <c r="AY467" i="21"/>
  <c r="AU486" i="21"/>
  <c r="BK486" i="21"/>
  <c r="AQ488" i="21"/>
  <c r="BG488" i="21"/>
  <c r="AM482" i="21"/>
  <c r="BC482" i="21"/>
  <c r="AI489" i="21"/>
  <c r="AY489" i="21"/>
  <c r="AU468" i="21"/>
  <c r="BK468" i="21"/>
  <c r="AQ479" i="21"/>
  <c r="BG479" i="21"/>
  <c r="AM491" i="21"/>
  <c r="BC491" i="21"/>
  <c r="AU492" i="21"/>
  <c r="BK492" i="21"/>
  <c r="AQ480" i="21"/>
  <c r="BG480" i="21"/>
  <c r="AM473" i="21"/>
  <c r="BC473" i="21"/>
  <c r="AI485" i="21"/>
  <c r="AY485" i="21"/>
  <c r="AU498" i="21"/>
  <c r="BK498" i="21"/>
  <c r="AQ499" i="21"/>
  <c r="BG499" i="21"/>
  <c r="AM506" i="21"/>
  <c r="BC506" i="21"/>
  <c r="AI503" i="21"/>
  <c r="AY503" i="21"/>
  <c r="AU514" i="21"/>
  <c r="BK514" i="21"/>
  <c r="AQ507" i="21"/>
  <c r="BG507" i="21"/>
  <c r="AM515" i="21"/>
  <c r="BC515" i="21"/>
  <c r="AI516" i="21"/>
  <c r="AY516" i="21"/>
  <c r="AU504" i="21"/>
  <c r="BK504" i="21"/>
  <c r="AQ518" i="21"/>
  <c r="BG518" i="21"/>
  <c r="AM494" i="21"/>
  <c r="BC494" i="21"/>
  <c r="AK54" i="21"/>
  <c r="AP54" i="21"/>
  <c r="AV54" i="21"/>
  <c r="BA54" i="21"/>
  <c r="BF54" i="21"/>
  <c r="AQ407" i="21"/>
  <c r="AY189" i="21"/>
  <c r="BK14" i="21"/>
  <c r="BD264" i="21"/>
  <c r="AP338" i="21"/>
  <c r="BB366" i="21"/>
  <c r="AH315" i="21"/>
  <c r="AL89" i="21"/>
  <c r="BB10" i="21"/>
  <c r="BF23" i="21"/>
  <c r="BJ29" i="21"/>
  <c r="AT88" i="21"/>
  <c r="AX113" i="21"/>
  <c r="BB123" i="21"/>
  <c r="AH160" i="21"/>
  <c r="AH203" i="21"/>
  <c r="BB192" i="21"/>
  <c r="AL227" i="21"/>
  <c r="BF220" i="21"/>
  <c r="AP231" i="21"/>
  <c r="BC217" i="21"/>
  <c r="AT239" i="21"/>
  <c r="BG241" i="21"/>
  <c r="AY257" i="21"/>
  <c r="AQ240" i="21"/>
  <c r="BC235" i="21"/>
  <c r="AQ280" i="21"/>
  <c r="AY262" i="21"/>
  <c r="BK283" i="21"/>
  <c r="BC273" i="21"/>
  <c r="AU303" i="21"/>
  <c r="AM298" i="21"/>
  <c r="BG324" i="21"/>
  <c r="BC318" i="21"/>
  <c r="AU355" i="21"/>
  <c r="AM359" i="21"/>
  <c r="BG363" i="21"/>
  <c r="AY364" i="21"/>
  <c r="AQ367" i="21"/>
  <c r="BC369" i="21"/>
  <c r="AU377" i="21"/>
  <c r="AM387" i="21"/>
  <c r="AM379" i="21"/>
  <c r="AQ412" i="21"/>
  <c r="AI400" i="21"/>
  <c r="BK418" i="21"/>
  <c r="BC421" i="21"/>
  <c r="BG441" i="21"/>
  <c r="AY453" i="21"/>
  <c r="AQ464" i="21"/>
  <c r="AI449" i="21"/>
  <c r="BK450" i="21"/>
  <c r="BC457" i="21"/>
  <c r="AU460" i="21"/>
  <c r="AM486" i="21"/>
  <c r="BG489" i="21"/>
  <c r="AY479" i="21"/>
  <c r="AI480" i="21"/>
  <c r="BK473" i="21"/>
  <c r="BC498" i="21"/>
  <c r="AU506" i="21"/>
  <c r="AM514" i="21"/>
  <c r="AU515" i="21"/>
  <c r="BG516" i="21"/>
  <c r="AY518" i="21"/>
  <c r="AN54" i="21"/>
  <c r="AY396" i="21"/>
  <c r="BC512" i="21"/>
  <c r="BG177" i="21"/>
  <c r="BK374" i="21"/>
  <c r="AM115" i="21"/>
  <c r="BF243" i="21"/>
  <c r="AI264" i="21"/>
  <c r="AP265" i="21"/>
  <c r="AH286" i="21"/>
  <c r="BJ310" i="21"/>
  <c r="BB357" i="21"/>
  <c r="AT362" i="21"/>
  <c r="AL366" i="21"/>
  <c r="BF394" i="21"/>
  <c r="AX459" i="21"/>
  <c r="AP502" i="21"/>
  <c r="AH70" i="21"/>
  <c r="BJ212" i="21"/>
  <c r="BB291" i="21"/>
  <c r="AT510" i="21"/>
  <c r="AL176" i="21"/>
  <c r="BF439" i="21"/>
  <c r="AX81" i="21"/>
  <c r="AP256" i="21"/>
  <c r="BJ333" i="21"/>
  <c r="AT117" i="21"/>
  <c r="AL10" i="21"/>
  <c r="BF21" i="21"/>
  <c r="AX13" i="21"/>
  <c r="AP23" i="21"/>
  <c r="AH19" i="21"/>
  <c r="BJ6" i="21"/>
  <c r="BB7" i="21"/>
  <c r="AT29" i="21"/>
  <c r="AL28" i="21"/>
  <c r="BF34" i="21"/>
  <c r="AX43" i="21"/>
  <c r="AP72" i="21"/>
  <c r="AH63" i="21"/>
  <c r="BJ64" i="21"/>
  <c r="AT77" i="21"/>
  <c r="AL79" i="21"/>
  <c r="BF86" i="21"/>
  <c r="AX97" i="21"/>
  <c r="AP92" i="21"/>
  <c r="AH113" i="21"/>
  <c r="BJ119" i="21"/>
  <c r="BB125" i="21"/>
  <c r="AT122" i="21"/>
  <c r="AL123" i="21"/>
  <c r="BF131" i="21"/>
  <c r="AP157" i="21"/>
  <c r="AH155" i="21"/>
  <c r="BJ141" i="21"/>
  <c r="BB133" i="21"/>
  <c r="AL161" i="21"/>
  <c r="AH170" i="21"/>
  <c r="BJ182" i="21"/>
  <c r="BF203" i="21"/>
  <c r="BB195" i="21"/>
  <c r="AX194" i="21"/>
  <c r="AT192" i="21"/>
  <c r="AP207" i="21"/>
  <c r="AL201" i="21"/>
  <c r="AH199" i="21"/>
  <c r="BJ227" i="21"/>
  <c r="BF228" i="21"/>
  <c r="AT215" i="21"/>
  <c r="BA220" i="21"/>
  <c r="AL211" i="21"/>
  <c r="BG211" i="21"/>
  <c r="AS230" i="21"/>
  <c r="AY223" i="21"/>
  <c r="AK231" i="21"/>
  <c r="BF231" i="21"/>
  <c r="AQ226" i="21"/>
  <c r="AX217" i="21"/>
  <c r="AI213" i="21"/>
  <c r="BE213" i="21"/>
  <c r="AP218" i="21"/>
  <c r="BK218" i="21"/>
  <c r="AW224" i="21"/>
  <c r="AH237" i="21"/>
  <c r="BC237" i="21"/>
  <c r="AO239" i="21"/>
  <c r="BG239" i="21"/>
  <c r="AM241" i="21"/>
  <c r="BC241" i="21"/>
  <c r="AI236" i="21"/>
  <c r="AY236" i="21"/>
  <c r="AU257" i="21"/>
  <c r="BK257" i="21"/>
  <c r="AQ246" i="21"/>
  <c r="BG246" i="21"/>
  <c r="AM240" i="21"/>
  <c r="BC240" i="21"/>
  <c r="AI235" i="21"/>
  <c r="AY235" i="21"/>
  <c r="AU279" i="21"/>
  <c r="BK279" i="21"/>
  <c r="AQ261" i="21"/>
  <c r="BG261" i="21"/>
  <c r="AM280" i="21"/>
  <c r="BC280" i="21"/>
  <c r="AI266" i="21"/>
  <c r="AY266" i="21"/>
  <c r="AU262" i="21"/>
  <c r="BK262" i="21"/>
  <c r="AQ283" i="21"/>
  <c r="BG283" i="21"/>
  <c r="AM285" i="21"/>
  <c r="BC285" i="21"/>
  <c r="AI273" i="21"/>
  <c r="AY273" i="21"/>
  <c r="AU297" i="21"/>
  <c r="BK297" i="21"/>
  <c r="AQ303" i="21"/>
  <c r="BG303" i="21"/>
  <c r="AM302" i="21"/>
  <c r="BC302" i="21"/>
  <c r="AI298" i="21"/>
  <c r="AY298" i="21"/>
  <c r="AU306" i="21"/>
  <c r="BK306" i="21"/>
  <c r="AQ308" i="21"/>
  <c r="BG308" i="21"/>
  <c r="AI329" i="21"/>
  <c r="AY329" i="21"/>
  <c r="AU332" i="21"/>
  <c r="BK332" i="21"/>
  <c r="AQ328" i="21"/>
  <c r="BG328" i="21"/>
  <c r="AM324" i="21"/>
  <c r="BC324" i="21"/>
  <c r="AI318" i="21"/>
  <c r="AY318" i="21"/>
  <c r="AU336" i="21"/>
  <c r="BK336" i="21"/>
  <c r="AQ355" i="21"/>
  <c r="BG355" i="21"/>
  <c r="AM356" i="21"/>
  <c r="BC356" i="21"/>
  <c r="AI359" i="21"/>
  <c r="AY359" i="21"/>
  <c r="AU360" i="21"/>
  <c r="BK360" i="21"/>
  <c r="AQ352" i="21"/>
  <c r="BG352" i="21"/>
  <c r="AM363" i="21"/>
  <c r="BC363" i="21"/>
  <c r="AI344" i="21"/>
  <c r="AY344" i="21"/>
  <c r="AU364" i="21"/>
  <c r="BK364" i="21"/>
  <c r="AQ347" i="21"/>
  <c r="BG347" i="21"/>
  <c r="AM367" i="21"/>
  <c r="BC367" i="21"/>
  <c r="AI369" i="21"/>
  <c r="AY369" i="21"/>
  <c r="AU386" i="21"/>
  <c r="BK386" i="21"/>
  <c r="AQ377" i="21"/>
  <c r="BG377" i="21"/>
  <c r="AM378" i="21"/>
  <c r="BC378" i="21"/>
  <c r="AI387" i="21"/>
  <c r="AY387" i="21"/>
  <c r="AU373" i="21"/>
  <c r="BK373" i="21"/>
  <c r="AQ388" i="21"/>
  <c r="BG388" i="21"/>
  <c r="AM389" i="21"/>
  <c r="BC389" i="21"/>
  <c r="AI379" i="21"/>
  <c r="AY379" i="21"/>
  <c r="AU403" i="21"/>
  <c r="BK403" i="21"/>
  <c r="AQ405" i="21"/>
  <c r="BG405" i="21"/>
  <c r="AM412" i="21"/>
  <c r="BC412" i="21"/>
  <c r="AI395" i="21"/>
  <c r="AY395" i="21"/>
  <c r="AU400" i="21"/>
  <c r="BK400" i="21"/>
  <c r="AQ418" i="21"/>
  <c r="BG418" i="21"/>
  <c r="AM433" i="21"/>
  <c r="BC433" i="21"/>
  <c r="AI421" i="21"/>
  <c r="AY421" i="21"/>
  <c r="AU422" i="21"/>
  <c r="BK422" i="21"/>
  <c r="AQ428" i="21"/>
  <c r="BG428" i="21"/>
  <c r="AM441" i="21"/>
  <c r="BC441" i="21"/>
  <c r="AI430" i="21"/>
  <c r="AY430" i="21"/>
  <c r="AU453" i="21"/>
  <c r="BK453" i="21"/>
  <c r="AQ462" i="21"/>
  <c r="BG462" i="21"/>
  <c r="AM464" i="21"/>
  <c r="BC464" i="21"/>
  <c r="AI448" i="21"/>
  <c r="AY448" i="21"/>
  <c r="AU449" i="21"/>
  <c r="BK449" i="21"/>
  <c r="AQ450" i="21"/>
  <c r="BG450" i="21"/>
  <c r="AM465" i="21"/>
  <c r="BC465" i="21"/>
  <c r="AI457" i="21"/>
  <c r="AY457" i="21"/>
  <c r="AU466" i="21"/>
  <c r="BK466" i="21"/>
  <c r="AQ460" i="21"/>
  <c r="BG460" i="21"/>
  <c r="AM467" i="21"/>
  <c r="BC467" i="21"/>
  <c r="AI486" i="21"/>
  <c r="AY486" i="21"/>
  <c r="AU488" i="21"/>
  <c r="BK488" i="21"/>
  <c r="AQ482" i="21"/>
  <c r="BG482" i="21"/>
  <c r="AM489" i="21"/>
  <c r="BC489" i="21"/>
  <c r="AI468" i="21"/>
  <c r="AY468" i="21"/>
  <c r="AU479" i="21"/>
  <c r="BK479" i="21"/>
  <c r="AQ491" i="21"/>
  <c r="BG491" i="21"/>
  <c r="AI492" i="21"/>
  <c r="AY492" i="21"/>
  <c r="AU480" i="21"/>
  <c r="BK480" i="21"/>
  <c r="AQ473" i="21"/>
  <c r="BG473" i="21"/>
  <c r="AM485" i="21"/>
  <c r="BC485" i="21"/>
  <c r="AI498" i="21"/>
  <c r="AY498" i="21"/>
  <c r="AU499" i="21"/>
  <c r="BK499" i="21"/>
  <c r="AQ506" i="21"/>
  <c r="BG506" i="21"/>
  <c r="AM503" i="21"/>
  <c r="BC503" i="21"/>
  <c r="AI514" i="21"/>
  <c r="AY514" i="21"/>
  <c r="AU507" i="21"/>
  <c r="BK507" i="21"/>
  <c r="AQ515" i="21"/>
  <c r="BG515" i="21"/>
  <c r="AM516" i="21"/>
  <c r="BC516" i="21"/>
  <c r="AI504" i="21"/>
  <c r="AY504" i="21"/>
  <c r="AU518" i="21"/>
  <c r="BK518" i="21"/>
  <c r="AQ494" i="21"/>
  <c r="BG494" i="21"/>
  <c r="AL54" i="21"/>
  <c r="AR54" i="21"/>
  <c r="AW54" i="21"/>
  <c r="BB54" i="21"/>
  <c r="BH54" i="21"/>
  <c r="BA84" i="21"/>
  <c r="AP253" i="21"/>
  <c r="AU46" i="21"/>
  <c r="BC390" i="21"/>
  <c r="BF265" i="21"/>
  <c r="AH354" i="21"/>
  <c r="AT380" i="21"/>
  <c r="BF502" i="21"/>
  <c r="BJ510" i="21"/>
  <c r="AL18" i="21"/>
  <c r="AH45" i="21"/>
  <c r="AT44" i="21"/>
  <c r="AX63" i="21"/>
  <c r="BB79" i="21"/>
  <c r="BF92" i="21"/>
  <c r="BJ122" i="21"/>
  <c r="BF157" i="21"/>
  <c r="AT161" i="21"/>
  <c r="AT201" i="21"/>
  <c r="AQ211" i="21"/>
  <c r="BE223" i="21"/>
  <c r="AH217" i="21"/>
  <c r="AU218" i="21"/>
  <c r="BI237" i="21"/>
  <c r="AM236" i="21"/>
  <c r="AY279" i="21"/>
  <c r="BG280" i="21"/>
  <c r="AI262" i="21"/>
  <c r="AQ285" i="21"/>
  <c r="AI297" i="21"/>
  <c r="BK303" i="21"/>
  <c r="BC298" i="21"/>
  <c r="AU308" i="21"/>
  <c r="AM329" i="21"/>
  <c r="AU328" i="21"/>
  <c r="AM318" i="21"/>
  <c r="BG356" i="21"/>
  <c r="AY360" i="21"/>
  <c r="AQ363" i="21"/>
  <c r="AI364" i="21"/>
  <c r="BK347" i="21"/>
  <c r="AI386" i="21"/>
  <c r="BK377" i="21"/>
  <c r="BC387" i="21"/>
  <c r="AU388" i="21"/>
  <c r="BG389" i="21"/>
  <c r="AY403" i="21"/>
  <c r="BG412" i="21"/>
  <c r="AY400" i="21"/>
  <c r="AQ433" i="21"/>
  <c r="AI422" i="21"/>
  <c r="BK428" i="21"/>
  <c r="BC430" i="21"/>
  <c r="BG464" i="21"/>
  <c r="AY449" i="21"/>
  <c r="AQ465" i="21"/>
  <c r="AI466" i="21"/>
  <c r="BK460" i="21"/>
  <c r="BC486" i="21"/>
  <c r="AU482" i="21"/>
  <c r="AM468" i="21"/>
  <c r="AY480" i="21"/>
  <c r="AQ485" i="21"/>
  <c r="AI499" i="21"/>
  <c r="BK506" i="21"/>
  <c r="BC514" i="21"/>
  <c r="AM504" i="21"/>
  <c r="AS54" i="21"/>
  <c r="BI54" i="21"/>
  <c r="BK234" i="21"/>
  <c r="AX70" i="21"/>
  <c r="AT210" i="21"/>
  <c r="AP410" i="21"/>
  <c r="AX19" i="21"/>
  <c r="AL35" i="21"/>
  <c r="AH69" i="21"/>
  <c r="AL104" i="21"/>
  <c r="AH130" i="21"/>
  <c r="AL140" i="21"/>
  <c r="AP156" i="21"/>
  <c r="AL182" i="21"/>
  <c r="BF194" i="21"/>
  <c r="AP199" i="21"/>
  <c r="AY215" i="21"/>
  <c r="AI223" i="21"/>
  <c r="AW226" i="21"/>
  <c r="BJ213" i="21"/>
  <c r="AM237" i="21"/>
  <c r="AQ241" i="21"/>
  <c r="AI257" i="21"/>
  <c r="BK246" i="21"/>
  <c r="AM235" i="21"/>
  <c r="AU261" i="21"/>
  <c r="AM266" i="21"/>
  <c r="BG285" i="21"/>
  <c r="BG302" i="21"/>
  <c r="AY306" i="21"/>
  <c r="AI332" i="21"/>
  <c r="BK328" i="21"/>
  <c r="AY336" i="21"/>
  <c r="AQ356" i="21"/>
  <c r="AI360" i="21"/>
  <c r="BK352" i="21"/>
  <c r="BC344" i="21"/>
  <c r="AU347" i="21"/>
  <c r="AM369" i="21"/>
  <c r="BG378" i="21"/>
  <c r="AY373" i="21"/>
  <c r="AQ389" i="21"/>
  <c r="AI403" i="21"/>
  <c r="BK405" i="21"/>
  <c r="BC395" i="21"/>
  <c r="AU418" i="21"/>
  <c r="AM421" i="21"/>
  <c r="AU428" i="21"/>
  <c r="AM430" i="21"/>
  <c r="AU462" i="21"/>
  <c r="BC448" i="21"/>
  <c r="AU450" i="21"/>
  <c r="AM457" i="21"/>
  <c r="BG467" i="21"/>
  <c r="AY488" i="21"/>
  <c r="AQ489" i="21"/>
  <c r="AI479" i="21"/>
  <c r="BK491" i="21"/>
  <c r="BC492" i="21"/>
  <c r="AU473" i="21"/>
  <c r="AM498" i="21"/>
  <c r="BG503" i="21"/>
  <c r="AY507" i="21"/>
  <c r="AQ516" i="21"/>
  <c r="AI518" i="21"/>
  <c r="BK494" i="21"/>
  <c r="BD54" i="21"/>
  <c r="AH24" i="13"/>
  <c r="AI24" i="13"/>
  <c r="AK24" i="13"/>
  <c r="AL24" i="13"/>
  <c r="AM24" i="13"/>
  <c r="AN24" i="13"/>
  <c r="AO24" i="13"/>
  <c r="AP24" i="13"/>
  <c r="AQ24" i="13"/>
  <c r="AR24" i="13"/>
  <c r="AS24" i="13"/>
  <c r="AT24" i="13"/>
  <c r="AU24" i="13"/>
  <c r="AV24" i="13"/>
  <c r="AW24" i="13"/>
  <c r="AX24" i="13"/>
  <c r="AY24" i="13"/>
  <c r="AZ24" i="13"/>
  <c r="BA24" i="13"/>
  <c r="BB24" i="13"/>
  <c r="BC24" i="13"/>
  <c r="BD24" i="13"/>
  <c r="AH25" i="13"/>
  <c r="AI25" i="13"/>
  <c r="AK25" i="13"/>
  <c r="AL25" i="13"/>
  <c r="AM25" i="13"/>
  <c r="AN25" i="13"/>
  <c r="AO25" i="13"/>
  <c r="AP25" i="13"/>
  <c r="AQ25" i="13"/>
  <c r="AR25" i="13"/>
  <c r="AS25" i="13"/>
  <c r="AT25" i="13"/>
  <c r="AU25" i="13"/>
  <c r="AV25" i="13"/>
  <c r="AW25" i="13"/>
  <c r="AX25" i="13"/>
  <c r="AY25" i="13"/>
  <c r="AZ25" i="13"/>
  <c r="BA25" i="13"/>
  <c r="BB25" i="13"/>
  <c r="BC25" i="13"/>
  <c r="BD25" i="13"/>
  <c r="S13" i="17"/>
  <c r="W13" i="17"/>
  <c r="T14" i="17"/>
  <c r="W14" i="17"/>
  <c r="I201" i="21"/>
  <c r="I418" i="21"/>
  <c r="I274" i="21"/>
  <c r="I473" i="21"/>
  <c r="I73" i="21"/>
  <c r="I331" i="21"/>
  <c r="I386" i="21"/>
  <c r="I121" i="21"/>
  <c r="I101" i="21"/>
  <c r="I516" i="21"/>
  <c r="C74" i="26"/>
  <c r="D74" i="26"/>
  <c r="F74" i="26"/>
  <c r="C72" i="26"/>
  <c r="D72" i="26"/>
  <c r="F72" i="26"/>
  <c r="C73" i="26"/>
  <c r="D73" i="26"/>
  <c r="F73" i="26"/>
  <c r="C71" i="26"/>
  <c r="D71" i="26"/>
  <c r="F71" i="26"/>
  <c r="N85" i="21"/>
  <c r="N454" i="21"/>
  <c r="N121" i="21"/>
  <c r="K543" i="21" l="1"/>
  <c r="L543" i="21"/>
  <c r="K541" i="21"/>
  <c r="L541" i="21"/>
  <c r="K549" i="21"/>
  <c r="L549" i="21"/>
  <c r="K547" i="21"/>
  <c r="L547" i="21"/>
  <c r="K537" i="21"/>
  <c r="L537" i="21"/>
  <c r="K551" i="21"/>
  <c r="L551" i="21"/>
  <c r="K539" i="21"/>
  <c r="L539" i="21"/>
  <c r="K545" i="21"/>
  <c r="L545" i="21"/>
  <c r="K540" i="21"/>
  <c r="L540" i="21"/>
  <c r="K544" i="21"/>
  <c r="L544" i="21"/>
  <c r="K542" i="21"/>
  <c r="L542" i="21"/>
  <c r="K536" i="21"/>
  <c r="L536" i="21"/>
  <c r="K546" i="21"/>
  <c r="L546" i="21"/>
  <c r="K550" i="21"/>
  <c r="L550" i="21"/>
  <c r="K538" i="21"/>
  <c r="L538" i="21"/>
  <c r="K548" i="21"/>
  <c r="L548" i="21"/>
  <c r="L325" i="21"/>
  <c r="L522" i="21"/>
  <c r="L531" i="21"/>
  <c r="K534" i="21"/>
  <c r="L534" i="21"/>
  <c r="K535" i="21"/>
  <c r="L535" i="21"/>
  <c r="L20" i="21"/>
  <c r="L533" i="21"/>
  <c r="L51" i="21"/>
  <c r="L431" i="21"/>
  <c r="L198" i="21"/>
  <c r="L80" i="21"/>
  <c r="L524" i="21"/>
  <c r="K531" i="21"/>
  <c r="L527" i="21"/>
  <c r="L532" i="21"/>
  <c r="L208" i="21"/>
  <c r="L172" i="21"/>
  <c r="L529" i="21"/>
  <c r="L53" i="21"/>
  <c r="L525" i="21"/>
  <c r="K525" i="21"/>
  <c r="L530" i="21"/>
  <c r="L275" i="21"/>
  <c r="L52" i="21"/>
  <c r="L528" i="21"/>
  <c r="K528" i="21"/>
  <c r="L382" i="21"/>
  <c r="K382" i="21"/>
  <c r="L429" i="21"/>
  <c r="L327" i="21"/>
  <c r="L381" i="21"/>
  <c r="L383" i="21"/>
  <c r="L402" i="21"/>
  <c r="L427" i="21"/>
  <c r="P13" i="17"/>
  <c r="V13" i="17" s="1"/>
  <c r="Q14" i="17"/>
  <c r="T13" i="17"/>
  <c r="U13" i="17" s="1"/>
  <c r="R14" i="17"/>
  <c r="P14" i="17"/>
  <c r="R13" i="17"/>
  <c r="S14" i="17"/>
  <c r="U14" i="17" s="1"/>
  <c r="P15" i="17"/>
  <c r="P16" i="17"/>
  <c r="T16" i="17"/>
  <c r="Q15" i="17"/>
  <c r="Q16" i="17"/>
  <c r="R15" i="17"/>
  <c r="R16" i="17"/>
  <c r="S15" i="17"/>
  <c r="T15" i="17"/>
  <c r="S16" i="17"/>
  <c r="F202" i="24"/>
  <c r="F218" i="24"/>
  <c r="F525" i="24"/>
  <c r="M73" i="21"/>
  <c r="M121" i="21"/>
  <c r="J85" i="21"/>
  <c r="K85" i="21" s="1"/>
  <c r="M331" i="21"/>
  <c r="M101" i="21"/>
  <c r="J274" i="21"/>
  <c r="K274" i="21" s="1"/>
  <c r="M201" i="21"/>
  <c r="M85" i="21"/>
  <c r="M516" i="21"/>
  <c r="M386" i="21"/>
  <c r="M473" i="21"/>
  <c r="J418" i="21"/>
  <c r="K418" i="21" s="1"/>
  <c r="M274" i="21"/>
  <c r="J201" i="21"/>
  <c r="M418" i="21"/>
  <c r="J473" i="21"/>
  <c r="J73" i="21"/>
  <c r="J331" i="21"/>
  <c r="J386" i="21"/>
  <c r="J121" i="21"/>
  <c r="J101" i="21"/>
  <c r="J516" i="21"/>
  <c r="G74" i="26"/>
  <c r="E74" i="26"/>
  <c r="E73" i="26"/>
  <c r="E72" i="26"/>
  <c r="G73" i="26"/>
  <c r="G72" i="26"/>
  <c r="E71" i="26"/>
  <c r="G71" i="26"/>
  <c r="M393" i="21"/>
  <c r="I393" i="21"/>
  <c r="I95" i="21"/>
  <c r="M95" i="21"/>
  <c r="C69" i="26"/>
  <c r="D69" i="26"/>
  <c r="F69" i="26"/>
  <c r="C70" i="26"/>
  <c r="D70" i="26"/>
  <c r="F70" i="26"/>
  <c r="I137" i="21"/>
  <c r="J137" i="21"/>
  <c r="M137" i="21"/>
  <c r="N444" i="21"/>
  <c r="N331" i="21"/>
  <c r="N274" i="21"/>
  <c r="N516" i="21"/>
  <c r="N473" i="21"/>
  <c r="N263" i="21"/>
  <c r="N95" i="21"/>
  <c r="N136" i="21"/>
  <c r="N418" i="21"/>
  <c r="N100" i="21"/>
  <c r="N73" i="21"/>
  <c r="N519" i="21"/>
  <c r="N271" i="21"/>
  <c r="N386" i="21"/>
  <c r="N101" i="21"/>
  <c r="N278" i="21"/>
  <c r="N393" i="21"/>
  <c r="N201" i="21"/>
  <c r="N355" i="21"/>
  <c r="O13" i="17" l="1"/>
  <c r="V14" i="17"/>
  <c r="X14" i="17" s="1"/>
  <c r="O14" i="17"/>
  <c r="U16" i="17"/>
  <c r="U15" i="17"/>
  <c r="V16" i="17"/>
  <c r="O16" i="17"/>
  <c r="O15" i="17"/>
  <c r="V15" i="17"/>
  <c r="F219" i="24"/>
  <c r="L274" i="21"/>
  <c r="L85" i="21"/>
  <c r="L418" i="21"/>
  <c r="X13" i="17"/>
  <c r="L201" i="21"/>
  <c r="K201" i="21"/>
  <c r="K473" i="21"/>
  <c r="L473" i="21"/>
  <c r="K73" i="21"/>
  <c r="L73" i="21"/>
  <c r="K331" i="21"/>
  <c r="L331" i="21"/>
  <c r="K386" i="21"/>
  <c r="L386" i="21"/>
  <c r="L121" i="21"/>
  <c r="K121" i="21"/>
  <c r="L101" i="21"/>
  <c r="K101" i="21"/>
  <c r="K516" i="21"/>
  <c r="L516" i="21"/>
  <c r="J393" i="21"/>
  <c r="J95" i="21"/>
  <c r="L137" i="21"/>
  <c r="E70" i="26"/>
  <c r="G70" i="26"/>
  <c r="G69" i="26"/>
  <c r="E69" i="26"/>
  <c r="K137" i="21"/>
  <c r="I507" i="21"/>
  <c r="M507" i="21"/>
  <c r="N311" i="21"/>
  <c r="N137" i="21"/>
  <c r="N507" i="21"/>
  <c r="N432" i="21"/>
  <c r="X15" i="17" l="1"/>
  <c r="X16" i="17"/>
  <c r="F246" i="24"/>
  <c r="F256" i="24"/>
  <c r="K393" i="21"/>
  <c r="L393" i="21"/>
  <c r="L95" i="21"/>
  <c r="K95" i="21"/>
  <c r="J507" i="21"/>
  <c r="I364" i="21"/>
  <c r="M364" i="21"/>
  <c r="C68" i="26"/>
  <c r="D68" i="26"/>
  <c r="F68" i="26"/>
  <c r="I249" i="21"/>
  <c r="M249" i="21"/>
  <c r="C67" i="26"/>
  <c r="D67" i="26"/>
  <c r="F67" i="26"/>
  <c r="I280" i="21"/>
  <c r="M280" i="21"/>
  <c r="C66" i="26"/>
  <c r="D66" i="26"/>
  <c r="F66" i="26"/>
  <c r="N61" i="21"/>
  <c r="N67" i="21"/>
  <c r="N364" i="21"/>
  <c r="N453" i="21"/>
  <c r="N28" i="21"/>
  <c r="N211" i="21"/>
  <c r="N426" i="21"/>
  <c r="N370" i="21"/>
  <c r="N462" i="21"/>
  <c r="N450" i="21"/>
  <c r="N280" i="21"/>
  <c r="F314" i="24" l="1"/>
  <c r="F257" i="24"/>
  <c r="K507" i="21"/>
  <c r="L507" i="21"/>
  <c r="J364" i="21"/>
  <c r="E68" i="26"/>
  <c r="G68" i="26"/>
  <c r="J249" i="21"/>
  <c r="E67" i="26"/>
  <c r="G67" i="26"/>
  <c r="J280" i="21"/>
  <c r="E66" i="26"/>
  <c r="G66" i="26"/>
  <c r="C64" i="26"/>
  <c r="D64" i="26"/>
  <c r="F64" i="26"/>
  <c r="C65" i="26"/>
  <c r="D65" i="26"/>
  <c r="F65" i="26"/>
  <c r="I99" i="21"/>
  <c r="M99" i="21"/>
  <c r="I363" i="21"/>
  <c r="M363" i="21"/>
  <c r="I251" i="21"/>
  <c r="M251" i="21"/>
  <c r="I411" i="21"/>
  <c r="M411" i="21"/>
  <c r="I456" i="21"/>
  <c r="M456" i="21"/>
  <c r="I167" i="21"/>
  <c r="M167" i="21"/>
  <c r="I225" i="21"/>
  <c r="M225" i="21"/>
  <c r="C63" i="26"/>
  <c r="D63" i="26"/>
  <c r="F63" i="26"/>
  <c r="I254" i="21"/>
  <c r="M254" i="21"/>
  <c r="I67" i="21"/>
  <c r="I346" i="21"/>
  <c r="J346" i="21"/>
  <c r="I362" i="21"/>
  <c r="M362" i="21"/>
  <c r="I438" i="21"/>
  <c r="M438" i="21"/>
  <c r="I229" i="21"/>
  <c r="M229" i="21"/>
  <c r="I23" i="21"/>
  <c r="M23" i="21"/>
  <c r="I157" i="21"/>
  <c r="M157" i="21"/>
  <c r="D62" i="26"/>
  <c r="F62" i="26"/>
  <c r="C62" i="26"/>
  <c r="M5" i="25"/>
  <c r="N5" i="25"/>
  <c r="M6" i="25"/>
  <c r="N6" i="25"/>
  <c r="M7" i="25"/>
  <c r="N7" i="25"/>
  <c r="M8" i="25"/>
  <c r="N8" i="25"/>
  <c r="M9" i="25"/>
  <c r="T26" i="25" s="1"/>
  <c r="N9" i="25"/>
  <c r="U26" i="25" s="1"/>
  <c r="M10" i="25"/>
  <c r="N10" i="25"/>
  <c r="M11" i="25"/>
  <c r="N11" i="25"/>
  <c r="M12" i="25"/>
  <c r="N12" i="25"/>
  <c r="M13" i="25"/>
  <c r="N13" i="25"/>
  <c r="M14" i="25"/>
  <c r="N14" i="25"/>
  <c r="M15" i="25"/>
  <c r="N15" i="25"/>
  <c r="M16" i="25"/>
  <c r="N16" i="25"/>
  <c r="M17" i="25"/>
  <c r="T30" i="25" s="1"/>
  <c r="N17" i="25"/>
  <c r="U30" i="25" s="1"/>
  <c r="M18" i="25"/>
  <c r="N18" i="25"/>
  <c r="M19" i="25"/>
  <c r="N19" i="25"/>
  <c r="M20" i="25"/>
  <c r="N20" i="25"/>
  <c r="M21" i="25"/>
  <c r="N21" i="25"/>
  <c r="M22" i="25"/>
  <c r="N22" i="25"/>
  <c r="M23" i="25"/>
  <c r="N23" i="25"/>
  <c r="M24" i="25"/>
  <c r="N24" i="25"/>
  <c r="M25" i="25"/>
  <c r="N25" i="25"/>
  <c r="M26" i="25"/>
  <c r="N26" i="25"/>
  <c r="M27" i="25"/>
  <c r="N27" i="25"/>
  <c r="M28" i="25"/>
  <c r="T34" i="25" s="1"/>
  <c r="N28" i="25"/>
  <c r="I459" i="21"/>
  <c r="I351" i="21"/>
  <c r="M351" i="21"/>
  <c r="I483" i="21"/>
  <c r="M483" i="21"/>
  <c r="I282" i="21"/>
  <c r="M282" i="21"/>
  <c r="I118" i="21"/>
  <c r="M118" i="21"/>
  <c r="I313" i="21"/>
  <c r="M313" i="21"/>
  <c r="I190" i="21"/>
  <c r="M190" i="21"/>
  <c r="M459" i="21"/>
  <c r="C61" i="26"/>
  <c r="D61" i="26"/>
  <c r="F61" i="26"/>
  <c r="I460" i="21"/>
  <c r="I152" i="21"/>
  <c r="C60" i="26"/>
  <c r="D60" i="26"/>
  <c r="F60" i="26"/>
  <c r="C59" i="26"/>
  <c r="D59" i="26"/>
  <c r="F59" i="26"/>
  <c r="C58" i="26"/>
  <c r="D58" i="26"/>
  <c r="F58" i="26"/>
  <c r="G58" i="26" s="1"/>
  <c r="I164" i="21"/>
  <c r="I287" i="21"/>
  <c r="I75" i="21"/>
  <c r="I384" i="21"/>
  <c r="I387" i="21"/>
  <c r="I248" i="21"/>
  <c r="I344" i="21"/>
  <c r="M258" i="21"/>
  <c r="J258" i="21"/>
  <c r="I258" i="21"/>
  <c r="I439" i="21"/>
  <c r="I13" i="21"/>
  <c r="C57" i="26"/>
  <c r="D57" i="26"/>
  <c r="E57" i="26" s="1"/>
  <c r="F57" i="26"/>
  <c r="G57" i="26" s="1"/>
  <c r="I79" i="21"/>
  <c r="I160" i="21"/>
  <c r="I269" i="21"/>
  <c r="I181" i="21"/>
  <c r="I6" i="21"/>
  <c r="I323" i="21"/>
  <c r="I399" i="21"/>
  <c r="C56" i="26"/>
  <c r="E56" i="26" s="1"/>
  <c r="D56" i="26"/>
  <c r="F56" i="26"/>
  <c r="N74" i="21"/>
  <c r="N448" i="21"/>
  <c r="F309" i="24" l="1"/>
  <c r="F349" i="24" s="1"/>
  <c r="F350" i="24" s="1"/>
  <c r="F351" i="24" s="1"/>
  <c r="F352" i="24" s="1"/>
  <c r="F353" i="24" s="1"/>
  <c r="F275" i="24"/>
  <c r="F315" i="24"/>
  <c r="F373" i="24"/>
  <c r="F382" i="24" s="1"/>
  <c r="F399" i="24" s="1"/>
  <c r="F430" i="24" s="1"/>
  <c r="F490" i="24" s="1"/>
  <c r="F491" i="24" s="1"/>
  <c r="F492" i="24" s="1"/>
  <c r="F493" i="24" s="1"/>
  <c r="F494" i="24" s="1"/>
  <c r="F495" i="24" s="1"/>
  <c r="F496" i="24" s="1"/>
  <c r="F497" i="24" s="1"/>
  <c r="F498" i="24" s="1"/>
  <c r="E58" i="26"/>
  <c r="U33" i="25"/>
  <c r="K364" i="21"/>
  <c r="L364" i="21"/>
  <c r="T33" i="25"/>
  <c r="U32" i="25"/>
  <c r="L249" i="21"/>
  <c r="K249" i="21"/>
  <c r="T32" i="25"/>
  <c r="L280" i="21"/>
  <c r="K280" i="21"/>
  <c r="U34" i="25"/>
  <c r="U25" i="25"/>
  <c r="U27" i="25"/>
  <c r="T25" i="25"/>
  <c r="T27" i="25"/>
  <c r="U31" i="25"/>
  <c r="T31" i="25"/>
  <c r="E64" i="26"/>
  <c r="G64" i="26"/>
  <c r="G56" i="26"/>
  <c r="E65" i="26"/>
  <c r="G65" i="26"/>
  <c r="J99" i="21"/>
  <c r="J363" i="21"/>
  <c r="J251" i="21"/>
  <c r="J411" i="21"/>
  <c r="J456" i="21"/>
  <c r="U28" i="25"/>
  <c r="T28" i="25"/>
  <c r="J167" i="21"/>
  <c r="J225" i="21"/>
  <c r="U29" i="25"/>
  <c r="T29" i="25"/>
  <c r="G63" i="26"/>
  <c r="E63" i="26"/>
  <c r="J254" i="21"/>
  <c r="M346" i="21"/>
  <c r="L346" i="21" s="1"/>
  <c r="K346" i="21"/>
  <c r="J362" i="21"/>
  <c r="J438" i="21"/>
  <c r="J229" i="21"/>
  <c r="J23" i="21"/>
  <c r="J157" i="21"/>
  <c r="G62" i="26"/>
  <c r="E62" i="26"/>
  <c r="J459" i="21"/>
  <c r="J351" i="21"/>
  <c r="J483" i="21"/>
  <c r="J282" i="21"/>
  <c r="J118" i="21"/>
  <c r="J313" i="21"/>
  <c r="J190" i="21"/>
  <c r="E59" i="26"/>
  <c r="G59" i="26"/>
  <c r="E60" i="26"/>
  <c r="G60" i="26"/>
  <c r="G61" i="26"/>
  <c r="E61" i="26"/>
  <c r="J460" i="21"/>
  <c r="M460" i="21"/>
  <c r="J152" i="21"/>
  <c r="M152" i="21"/>
  <c r="J164" i="21"/>
  <c r="M164" i="21"/>
  <c r="J287" i="21"/>
  <c r="M287" i="21"/>
  <c r="J75" i="21"/>
  <c r="M75" i="21"/>
  <c r="J384" i="21"/>
  <c r="M384" i="21"/>
  <c r="J387" i="21"/>
  <c r="M387" i="21"/>
  <c r="J248" i="21"/>
  <c r="M248" i="21"/>
  <c r="J344" i="21"/>
  <c r="M344" i="21"/>
  <c r="L258" i="21"/>
  <c r="K258" i="21"/>
  <c r="J439" i="21"/>
  <c r="M439" i="21"/>
  <c r="J13" i="21"/>
  <c r="M13" i="21"/>
  <c r="J160" i="21"/>
  <c r="M160" i="21"/>
  <c r="J79" i="21"/>
  <c r="M79" i="21"/>
  <c r="J269" i="21"/>
  <c r="M269" i="21"/>
  <c r="J181" i="21"/>
  <c r="M181" i="21"/>
  <c r="J6" i="21"/>
  <c r="M6" i="21"/>
  <c r="J323" i="21"/>
  <c r="M323" i="21"/>
  <c r="J399" i="21"/>
  <c r="M399" i="21"/>
  <c r="I288" i="21"/>
  <c r="C55" i="26"/>
  <c r="D55" i="26"/>
  <c r="F55" i="26"/>
  <c r="I487" i="21"/>
  <c r="M487" i="21"/>
  <c r="I138" i="21"/>
  <c r="I401" i="21"/>
  <c r="J138" i="21"/>
  <c r="J401" i="21"/>
  <c r="I376" i="21"/>
  <c r="M376" i="21"/>
  <c r="I315" i="21"/>
  <c r="M315" i="21"/>
  <c r="I134" i="21"/>
  <c r="M134" i="21"/>
  <c r="I314" i="21"/>
  <c r="M314" i="21"/>
  <c r="N229" i="21"/>
  <c r="N167" i="21"/>
  <c r="N160" i="21"/>
  <c r="N24" i="21"/>
  <c r="N472" i="21"/>
  <c r="N438" i="21"/>
  <c r="N313" i="21"/>
  <c r="N140" i="21"/>
  <c r="N190" i="21"/>
  <c r="N181" i="21"/>
  <c r="N217" i="21"/>
  <c r="N157" i="21"/>
  <c r="N222" i="21"/>
  <c r="N464" i="21"/>
  <c r="N150" i="21"/>
  <c r="N488" i="21"/>
  <c r="N8" i="21"/>
  <c r="N99" i="21"/>
  <c r="N249" i="21"/>
  <c r="N244" i="21"/>
  <c r="N204" i="21"/>
  <c r="N75" i="21"/>
  <c r="N474" i="21"/>
  <c r="N186" i="21"/>
  <c r="N456" i="21"/>
  <c r="N344" i="21"/>
  <c r="N362" i="21"/>
  <c r="N60" i="21"/>
  <c r="N118" i="21"/>
  <c r="N215" i="21"/>
  <c r="N205" i="21"/>
  <c r="N43" i="21"/>
  <c r="N391" i="21"/>
  <c r="F503" i="24" l="1"/>
  <c r="E55" i="26"/>
  <c r="G55" i="26"/>
  <c r="L99" i="21"/>
  <c r="K99" i="21"/>
  <c r="K363" i="21"/>
  <c r="L363" i="21"/>
  <c r="K251" i="21"/>
  <c r="L251" i="21"/>
  <c r="L411" i="21"/>
  <c r="K411" i="21"/>
  <c r="L456" i="21"/>
  <c r="K456" i="21"/>
  <c r="L167" i="21"/>
  <c r="K167" i="21"/>
  <c r="L225" i="21"/>
  <c r="K225" i="21"/>
  <c r="L254" i="21"/>
  <c r="K254" i="21"/>
  <c r="L362" i="21"/>
  <c r="K362" i="21"/>
  <c r="K438" i="21"/>
  <c r="L438" i="21"/>
  <c r="K229" i="21"/>
  <c r="L229" i="21"/>
  <c r="L23" i="21"/>
  <c r="K23" i="21"/>
  <c r="L157" i="21"/>
  <c r="K157" i="21"/>
  <c r="L459" i="21"/>
  <c r="K459" i="21"/>
  <c r="K351" i="21"/>
  <c r="L351" i="21"/>
  <c r="K483" i="21"/>
  <c r="L483" i="21"/>
  <c r="K282" i="21"/>
  <c r="L282" i="21"/>
  <c r="L118" i="21"/>
  <c r="K118" i="21"/>
  <c r="K313" i="21"/>
  <c r="L313" i="21"/>
  <c r="L190" i="21"/>
  <c r="K190" i="21"/>
  <c r="K460" i="21"/>
  <c r="L460" i="21"/>
  <c r="K152" i="21"/>
  <c r="L152" i="21"/>
  <c r="K164" i="21"/>
  <c r="L164" i="21"/>
  <c r="K287" i="21"/>
  <c r="L287" i="21"/>
  <c r="K75" i="21"/>
  <c r="L75" i="21"/>
  <c r="K384" i="21"/>
  <c r="L384" i="21"/>
  <c r="K387" i="21"/>
  <c r="L387" i="21"/>
  <c r="K248" i="21"/>
  <c r="L248" i="21"/>
  <c r="K344" i="21"/>
  <c r="L344" i="21"/>
  <c r="K439" i="21"/>
  <c r="L439" i="21"/>
  <c r="K13" i="21"/>
  <c r="L13" i="21"/>
  <c r="K79" i="21"/>
  <c r="L79" i="21"/>
  <c r="K160" i="21"/>
  <c r="L160" i="21"/>
  <c r="K269" i="21"/>
  <c r="L269" i="21"/>
  <c r="K181" i="21"/>
  <c r="L181" i="21"/>
  <c r="K6" i="21"/>
  <c r="L6" i="21"/>
  <c r="K323" i="21"/>
  <c r="L323" i="21"/>
  <c r="K399" i="21"/>
  <c r="L399" i="21"/>
  <c r="J288" i="21"/>
  <c r="M288" i="21"/>
  <c r="J487" i="21"/>
  <c r="K401" i="21"/>
  <c r="K138" i="21"/>
  <c r="M401" i="21"/>
  <c r="L401" i="21" s="1"/>
  <c r="M138" i="21"/>
  <c r="L138" i="21" s="1"/>
  <c r="J376" i="21"/>
  <c r="J315" i="21"/>
  <c r="J134" i="21"/>
  <c r="J314" i="21"/>
  <c r="N459" i="21"/>
  <c r="N287" i="21"/>
  <c r="N387" i="21"/>
  <c r="N164" i="21"/>
  <c r="N129" i="21"/>
  <c r="N258" i="21"/>
  <c r="N269" i="21"/>
  <c r="N6" i="21"/>
  <c r="N251" i="21"/>
  <c r="N411" i="21"/>
  <c r="N69" i="21"/>
  <c r="N346" i="21"/>
  <c r="N363" i="21"/>
  <c r="N428" i="21"/>
  <c r="N399" i="21"/>
  <c r="N254" i="21"/>
  <c r="N503" i="21"/>
  <c r="N439" i="21"/>
  <c r="F524" i="24" l="1"/>
  <c r="F541" i="24" s="1"/>
  <c r="J35" i="24" s="1"/>
  <c r="F518" i="24"/>
  <c r="K288" i="21"/>
  <c r="L288" i="21"/>
  <c r="K487" i="21"/>
  <c r="L487" i="21"/>
  <c r="K376" i="21"/>
  <c r="L376" i="21"/>
  <c r="K315" i="21"/>
  <c r="L315" i="21"/>
  <c r="K134" i="21"/>
  <c r="L134" i="21"/>
  <c r="K314" i="21"/>
  <c r="L314" i="21"/>
  <c r="C54" i="26"/>
  <c r="D54" i="26"/>
  <c r="F54" i="26"/>
  <c r="N384" i="21"/>
  <c r="G54" i="26" l="1"/>
  <c r="E54" i="26"/>
  <c r="I109" i="21"/>
  <c r="M109" i="21"/>
  <c r="N216" i="21"/>
  <c r="N315" i="21"/>
  <c r="N23" i="21"/>
  <c r="N282" i="21"/>
  <c r="N490" i="21"/>
  <c r="N348" i="21"/>
  <c r="N128" i="21"/>
  <c r="N460" i="21"/>
  <c r="N351" i="21"/>
  <c r="N376" i="21"/>
  <c r="N314" i="21"/>
  <c r="N288" i="21"/>
  <c r="N134" i="21"/>
  <c r="J109" i="21" l="1"/>
  <c r="N219" i="21"/>
  <c r="N380" i="21"/>
  <c r="N225" i="21"/>
  <c r="N512" i="21"/>
  <c r="N152" i="21"/>
  <c r="N483" i="21"/>
  <c r="N443" i="21"/>
  <c r="N248" i="21"/>
  <c r="N79" i="21"/>
  <c r="N401" i="21"/>
  <c r="N107" i="21"/>
  <c r="N109" i="21"/>
  <c r="N487" i="21"/>
  <c r="N323" i="21"/>
  <c r="N138" i="21"/>
  <c r="N13" i="21"/>
  <c r="K109" i="21" l="1"/>
  <c r="L109" i="21"/>
  <c r="D53" i="26"/>
  <c r="F53" i="26"/>
  <c r="C53" i="26"/>
  <c r="N511" i="21"/>
  <c r="E53" i="26" l="1"/>
  <c r="G53" i="26"/>
  <c r="I194" i="21"/>
  <c r="M194" i="21"/>
  <c r="I293" i="21"/>
  <c r="M293" i="21"/>
  <c r="I368" i="21"/>
  <c r="I124" i="21"/>
  <c r="M124" i="21"/>
  <c r="M368" i="21"/>
  <c r="C52" i="26"/>
  <c r="D52" i="26"/>
  <c r="F52" i="26"/>
  <c r="N368" i="21"/>
  <c r="E52" i="26" l="1"/>
  <c r="J194" i="21"/>
  <c r="J293" i="21"/>
  <c r="J368" i="21"/>
  <c r="J124" i="21"/>
  <c r="G52" i="26"/>
  <c r="I442" i="21"/>
  <c r="I31" i="21"/>
  <c r="M31" i="21"/>
  <c r="I308" i="21"/>
  <c r="M308" i="21"/>
  <c r="I452" i="21"/>
  <c r="M452" i="21"/>
  <c r="M442" i="21"/>
  <c r="N37" i="21"/>
  <c r="L194" i="21" l="1"/>
  <c r="K194" i="21"/>
  <c r="L293" i="21"/>
  <c r="K293" i="21"/>
  <c r="L368" i="21"/>
  <c r="K368" i="21"/>
  <c r="L124" i="21"/>
  <c r="K124" i="21"/>
  <c r="J442" i="21"/>
  <c r="J31" i="21"/>
  <c r="J308" i="21"/>
  <c r="J452" i="21"/>
  <c r="I256" i="21"/>
  <c r="M256" i="21"/>
  <c r="I422" i="21"/>
  <c r="M422" i="21"/>
  <c r="I297" i="21"/>
  <c r="M297" i="21"/>
  <c r="I385" i="21"/>
  <c r="M385" i="21"/>
  <c r="I57" i="21"/>
  <c r="M57" i="21"/>
  <c r="I261" i="21"/>
  <c r="M261" i="21"/>
  <c r="I361" i="21"/>
  <c r="M361" i="21"/>
  <c r="C51" i="26"/>
  <c r="D51" i="26"/>
  <c r="F51" i="26"/>
  <c r="N4" i="25"/>
  <c r="U24" i="25" s="1"/>
  <c r="M4" i="25"/>
  <c r="T24" i="25" s="1"/>
  <c r="D50" i="26"/>
  <c r="F50" i="26"/>
  <c r="W37" i="25"/>
  <c r="N293" i="21"/>
  <c r="N124" i="21"/>
  <c r="N194" i="21"/>
  <c r="T16" i="25" l="1"/>
  <c r="S16" i="25" s="1"/>
  <c r="K442" i="21"/>
  <c r="L442" i="21"/>
  <c r="L31" i="21"/>
  <c r="K31" i="21"/>
  <c r="L308" i="21"/>
  <c r="K308" i="21"/>
  <c r="L452" i="21"/>
  <c r="K452" i="21"/>
  <c r="J256" i="21"/>
  <c r="G51" i="26"/>
  <c r="E51" i="26"/>
  <c r="J422" i="21"/>
  <c r="J297" i="21"/>
  <c r="J385" i="21"/>
  <c r="J57" i="21"/>
  <c r="J261" i="21"/>
  <c r="J361" i="21"/>
  <c r="C50" i="26"/>
  <c r="E50" i="26" s="1"/>
  <c r="I400" i="21"/>
  <c r="M400" i="21"/>
  <c r="D49" i="26"/>
  <c r="F49" i="26"/>
  <c r="C49" i="26"/>
  <c r="I276" i="21"/>
  <c r="J276" i="21"/>
  <c r="I306" i="21"/>
  <c r="M306" i="21"/>
  <c r="I42" i="21"/>
  <c r="M42" i="21"/>
  <c r="I317" i="21"/>
  <c r="M317" i="21"/>
  <c r="I81" i="21"/>
  <c r="M81" i="21"/>
  <c r="I300" i="21"/>
  <c r="M300" i="21"/>
  <c r="C37" i="26"/>
  <c r="C38" i="26"/>
  <c r="C39" i="26"/>
  <c r="C40" i="26"/>
  <c r="C41" i="26"/>
  <c r="C42" i="26"/>
  <c r="C43" i="26"/>
  <c r="C44" i="26"/>
  <c r="C45" i="26"/>
  <c r="C46" i="26"/>
  <c r="C47" i="26"/>
  <c r="C48" i="26"/>
  <c r="D48" i="26"/>
  <c r="F48" i="26"/>
  <c r="G88" i="26"/>
  <c r="F88" i="26"/>
  <c r="E88" i="26"/>
  <c r="D88" i="26"/>
  <c r="G87" i="26"/>
  <c r="F87" i="26"/>
  <c r="E87" i="26"/>
  <c r="D87" i="26"/>
  <c r="G86" i="26"/>
  <c r="F86" i="26"/>
  <c r="E86" i="26"/>
  <c r="D86" i="26"/>
  <c r="G85" i="26"/>
  <c r="F85" i="26"/>
  <c r="E85" i="26"/>
  <c r="D85" i="26"/>
  <c r="G84" i="26"/>
  <c r="F84" i="26"/>
  <c r="E84" i="26"/>
  <c r="D84" i="26"/>
  <c r="G83" i="26"/>
  <c r="F83" i="26"/>
  <c r="E83" i="26"/>
  <c r="D83" i="26"/>
  <c r="F42" i="26"/>
  <c r="F43" i="26"/>
  <c r="F44" i="26"/>
  <c r="F45" i="26"/>
  <c r="F46" i="26"/>
  <c r="F47" i="26"/>
  <c r="D43" i="26"/>
  <c r="D44" i="26"/>
  <c r="D45" i="26"/>
  <c r="D46" i="26"/>
  <c r="E46" i="26" s="1"/>
  <c r="D47" i="26"/>
  <c r="D42" i="26"/>
  <c r="E42" i="26" s="1"/>
  <c r="D38" i="26"/>
  <c r="F38" i="26"/>
  <c r="G38" i="26" s="1"/>
  <c r="D39" i="26"/>
  <c r="F39" i="26"/>
  <c r="G39" i="26" s="1"/>
  <c r="D40" i="26"/>
  <c r="F40" i="26"/>
  <c r="G40" i="26" s="1"/>
  <c r="D41" i="26"/>
  <c r="F41" i="26"/>
  <c r="F37" i="26"/>
  <c r="D37" i="26"/>
  <c r="E37" i="26" s="1"/>
  <c r="N385" i="21"/>
  <c r="E38" i="26" l="1"/>
  <c r="E40" i="26"/>
  <c r="G46" i="26"/>
  <c r="G42" i="26"/>
  <c r="E44" i="26"/>
  <c r="G44" i="26"/>
  <c r="G37" i="26"/>
  <c r="E45" i="26"/>
  <c r="G41" i="26"/>
  <c r="G45" i="26"/>
  <c r="E41" i="26"/>
  <c r="G48" i="26"/>
  <c r="E48" i="26"/>
  <c r="E39" i="26"/>
  <c r="E47" i="26"/>
  <c r="E43" i="26"/>
  <c r="G47" i="26"/>
  <c r="G43" i="26"/>
  <c r="K256" i="21"/>
  <c r="L256" i="21"/>
  <c r="K422" i="21"/>
  <c r="L422" i="21"/>
  <c r="L297" i="21"/>
  <c r="K297" i="21"/>
  <c r="L385" i="21"/>
  <c r="K385" i="21"/>
  <c r="K57" i="21"/>
  <c r="L57" i="21"/>
  <c r="L261" i="21"/>
  <c r="K261" i="21"/>
  <c r="K361" i="21"/>
  <c r="L361" i="21"/>
  <c r="G50" i="26"/>
  <c r="G49" i="26"/>
  <c r="J400" i="21"/>
  <c r="E49" i="26"/>
  <c r="K276" i="21"/>
  <c r="M276" i="21"/>
  <c r="L276" i="21" s="1"/>
  <c r="J306" i="21"/>
  <c r="J42" i="21"/>
  <c r="J317" i="21"/>
  <c r="J81" i="21"/>
  <c r="J300" i="21"/>
  <c r="T15" i="25"/>
  <c r="S15" i="25" s="1"/>
  <c r="I390" i="21"/>
  <c r="M390" i="21"/>
  <c r="I322" i="21"/>
  <c r="M322" i="21"/>
  <c r="I15" i="21"/>
  <c r="M15" i="21"/>
  <c r="I294" i="21"/>
  <c r="M294" i="21"/>
  <c r="I185" i="21"/>
  <c r="M185" i="21"/>
  <c r="I192" i="21"/>
  <c r="M192" i="21"/>
  <c r="I434" i="21"/>
  <c r="M434" i="21"/>
  <c r="I188" i="21"/>
  <c r="I22" i="21"/>
  <c r="M22" i="21"/>
  <c r="M188" i="21"/>
  <c r="T17" i="25"/>
  <c r="S17" i="25" s="1"/>
  <c r="T14" i="25"/>
  <c r="T9" i="25"/>
  <c r="S9" i="25" s="1"/>
  <c r="N14" i="21"/>
  <c r="N98" i="21"/>
  <c r="N306" i="21"/>
  <c r="N452" i="21"/>
  <c r="N256" i="21"/>
  <c r="N308" i="21"/>
  <c r="N102" i="21"/>
  <c r="L400" i="21" l="1"/>
  <c r="K400" i="21"/>
  <c r="L306" i="21"/>
  <c r="K306" i="21"/>
  <c r="L42" i="21"/>
  <c r="K42" i="21"/>
  <c r="L317" i="21"/>
  <c r="K317" i="21"/>
  <c r="L81" i="21"/>
  <c r="K81" i="21"/>
  <c r="L300" i="21"/>
  <c r="K300" i="21"/>
  <c r="J390" i="21"/>
  <c r="J322" i="21"/>
  <c r="J15" i="21"/>
  <c r="J294" i="21"/>
  <c r="J185" i="21"/>
  <c r="J192" i="21"/>
  <c r="J434" i="21"/>
  <c r="J188" i="21"/>
  <c r="J22" i="21"/>
  <c r="L5" i="25"/>
  <c r="L6" i="25"/>
  <c r="L7" i="25"/>
  <c r="L8" i="25"/>
  <c r="L9" i="25"/>
  <c r="L10" i="25"/>
  <c r="L11" i="25"/>
  <c r="L12" i="25"/>
  <c r="L13" i="25"/>
  <c r="L14" i="25"/>
  <c r="L15" i="25"/>
  <c r="L16" i="25"/>
  <c r="L17" i="25"/>
  <c r="L18" i="25"/>
  <c r="L19" i="25"/>
  <c r="L20" i="25"/>
  <c r="L21" i="25"/>
  <c r="L22" i="25"/>
  <c r="L23" i="25"/>
  <c r="L24" i="25"/>
  <c r="L25" i="25"/>
  <c r="L26" i="25"/>
  <c r="L27" i="25"/>
  <c r="L28" i="25"/>
  <c r="L4" i="25"/>
  <c r="I455" i="21"/>
  <c r="M455" i="21"/>
  <c r="I108" i="21"/>
  <c r="M108" i="21"/>
  <c r="I139" i="21"/>
  <c r="M139" i="21"/>
  <c r="I234" i="21"/>
  <c r="M234" i="21"/>
  <c r="I159" i="21"/>
  <c r="M159" i="21"/>
  <c r="I27" i="21"/>
  <c r="J27" i="21"/>
  <c r="I147" i="21"/>
  <c r="M147" i="21"/>
  <c r="M235" i="21"/>
  <c r="I218" i="21"/>
  <c r="M218" i="21"/>
  <c r="I228" i="21"/>
  <c r="M228" i="21"/>
  <c r="I440" i="21"/>
  <c r="M440" i="21"/>
  <c r="I505" i="21"/>
  <c r="M505" i="21"/>
  <c r="I312" i="21"/>
  <c r="M312" i="21"/>
  <c r="I416" i="21"/>
  <c r="M416" i="21"/>
  <c r="I171" i="21"/>
  <c r="M171" i="21"/>
  <c r="I132" i="21"/>
  <c r="M132" i="21"/>
  <c r="I481" i="21"/>
  <c r="M481" i="21"/>
  <c r="I151" i="21"/>
  <c r="M151" i="21"/>
  <c r="I158" i="21"/>
  <c r="M158" i="21"/>
  <c r="I448" i="21"/>
  <c r="M448" i="21"/>
  <c r="I92" i="21"/>
  <c r="BC19" i="13"/>
  <c r="BD19" i="13"/>
  <c r="BC20" i="13"/>
  <c r="BD20" i="13"/>
  <c r="BC21" i="13"/>
  <c r="BD21" i="13"/>
  <c r="BC22" i="13"/>
  <c r="BD22" i="13"/>
  <c r="BC23" i="13"/>
  <c r="BD23" i="13"/>
  <c r="BC18" i="13"/>
  <c r="BD18" i="13"/>
  <c r="AY18" i="13"/>
  <c r="AL19" i="13"/>
  <c r="AM19" i="13"/>
  <c r="AN19" i="13"/>
  <c r="AO19" i="13"/>
  <c r="AP19" i="13"/>
  <c r="AQ19" i="13"/>
  <c r="AR19" i="13"/>
  <c r="AS19" i="13"/>
  <c r="AT19" i="13"/>
  <c r="AU19" i="13"/>
  <c r="AV19" i="13"/>
  <c r="AW19" i="13"/>
  <c r="AX19" i="13"/>
  <c r="AY19" i="13"/>
  <c r="AZ19" i="13"/>
  <c r="BA19" i="13"/>
  <c r="BB19" i="13"/>
  <c r="AL20" i="13"/>
  <c r="AM20" i="13"/>
  <c r="AN20" i="13"/>
  <c r="AO20" i="13"/>
  <c r="AP20" i="13"/>
  <c r="AQ20" i="13"/>
  <c r="AR20" i="13"/>
  <c r="AS20" i="13"/>
  <c r="AT20" i="13"/>
  <c r="AU20" i="13"/>
  <c r="AV20" i="13"/>
  <c r="AW20" i="13"/>
  <c r="AX20" i="13"/>
  <c r="AY20" i="13"/>
  <c r="AZ20" i="13"/>
  <c r="BA20" i="13"/>
  <c r="BB20" i="13"/>
  <c r="AL21" i="13"/>
  <c r="AM21" i="13"/>
  <c r="AN21" i="13"/>
  <c r="AO21" i="13"/>
  <c r="AP21" i="13"/>
  <c r="AQ21" i="13"/>
  <c r="AR21" i="13"/>
  <c r="AS21" i="13"/>
  <c r="AT21" i="13"/>
  <c r="AU21" i="13"/>
  <c r="AV21" i="13"/>
  <c r="AW21" i="13"/>
  <c r="AX21" i="13"/>
  <c r="AY21" i="13"/>
  <c r="AZ21" i="13"/>
  <c r="BA21" i="13"/>
  <c r="BB21" i="13"/>
  <c r="AL22" i="13"/>
  <c r="AM22" i="13"/>
  <c r="AN22" i="13"/>
  <c r="AO22" i="13"/>
  <c r="AP22" i="13"/>
  <c r="AQ22" i="13"/>
  <c r="AR22" i="13"/>
  <c r="AS22" i="13"/>
  <c r="AT22" i="13"/>
  <c r="AU22" i="13"/>
  <c r="AV22" i="13"/>
  <c r="AW22" i="13"/>
  <c r="AX22" i="13"/>
  <c r="AY22" i="13"/>
  <c r="AZ22" i="13"/>
  <c r="BA22" i="13"/>
  <c r="BB22" i="13"/>
  <c r="AL23" i="13"/>
  <c r="AM23" i="13"/>
  <c r="AN23" i="13"/>
  <c r="AO23" i="13"/>
  <c r="AP23" i="13"/>
  <c r="AQ23" i="13"/>
  <c r="AR23" i="13"/>
  <c r="AS23" i="13"/>
  <c r="AT23" i="13"/>
  <c r="AU23" i="13"/>
  <c r="AV23" i="13"/>
  <c r="AW23" i="13"/>
  <c r="AX23" i="13"/>
  <c r="AY23" i="13"/>
  <c r="AZ23" i="13"/>
  <c r="BA23" i="13"/>
  <c r="BB23" i="13"/>
  <c r="AM18" i="13"/>
  <c r="AN18" i="13"/>
  <c r="AO18" i="13"/>
  <c r="AP18" i="13"/>
  <c r="AQ18" i="13"/>
  <c r="AR18" i="13"/>
  <c r="AS18" i="13"/>
  <c r="AT18" i="13"/>
  <c r="AU18" i="13"/>
  <c r="AV18" i="13"/>
  <c r="AW18" i="13"/>
  <c r="AX18" i="13"/>
  <c r="AZ18" i="13"/>
  <c r="BA18" i="13"/>
  <c r="BB18" i="13"/>
  <c r="AL18" i="13"/>
  <c r="AI18" i="13"/>
  <c r="AI19" i="13"/>
  <c r="AI20" i="13"/>
  <c r="AI21" i="13"/>
  <c r="AI22" i="13"/>
  <c r="AI23" i="13"/>
  <c r="AH19" i="13"/>
  <c r="AH20" i="13"/>
  <c r="AH21" i="13"/>
  <c r="AH22" i="13"/>
  <c r="AH23" i="13"/>
  <c r="AH18" i="13"/>
  <c r="I433" i="21"/>
  <c r="I489" i="21"/>
  <c r="M489" i="21"/>
  <c r="I259" i="21"/>
  <c r="M259" i="21"/>
  <c r="I292" i="21"/>
  <c r="M292" i="21"/>
  <c r="I106" i="21"/>
  <c r="M106" i="21"/>
  <c r="I145" i="21"/>
  <c r="M145" i="21"/>
  <c r="I432" i="21"/>
  <c r="M432" i="21"/>
  <c r="M433" i="21"/>
  <c r="I161" i="21"/>
  <c r="M161" i="21"/>
  <c r="I484" i="21"/>
  <c r="M484" i="21"/>
  <c r="I5" i="21"/>
  <c r="M5" i="21"/>
  <c r="I206" i="21"/>
  <c r="J206" i="21"/>
  <c r="I410" i="21"/>
  <c r="M410" i="21"/>
  <c r="I341" i="21"/>
  <c r="I210" i="21"/>
  <c r="M341" i="21"/>
  <c r="M210" i="21"/>
  <c r="I320" i="21"/>
  <c r="M320" i="21"/>
  <c r="I141" i="21"/>
  <c r="M141" i="21"/>
  <c r="I153" i="21"/>
  <c r="M153" i="21"/>
  <c r="I136" i="21"/>
  <c r="M136" i="21"/>
  <c r="I337" i="21"/>
  <c r="M337" i="21"/>
  <c r="I87" i="21"/>
  <c r="M87" i="21"/>
  <c r="I392" i="21"/>
  <c r="M392" i="21"/>
  <c r="I488" i="21"/>
  <c r="M488" i="21"/>
  <c r="I267" i="21"/>
  <c r="M267" i="21"/>
  <c r="O552" i="21"/>
  <c r="P552" i="21"/>
  <c r="R552" i="21"/>
  <c r="S552" i="21"/>
  <c r="T552" i="21"/>
  <c r="U552" i="21"/>
  <c r="V552" i="21"/>
  <c r="W552" i="21"/>
  <c r="X552" i="21"/>
  <c r="Y552" i="21"/>
  <c r="N276" i="21"/>
  <c r="N261" i="21"/>
  <c r="AI2" i="13" l="1"/>
  <c r="AI3" i="13"/>
  <c r="AI4" i="13"/>
  <c r="AI5" i="13"/>
  <c r="AI6" i="13"/>
  <c r="AI7" i="13"/>
  <c r="AI8" i="13"/>
  <c r="AI9" i="13"/>
  <c r="AI10" i="13"/>
  <c r="AI11" i="13"/>
  <c r="AL2" i="13"/>
  <c r="AL3" i="13"/>
  <c r="AL4" i="13"/>
  <c r="AL5" i="13"/>
  <c r="AL6" i="13"/>
  <c r="AL8" i="13"/>
  <c r="AL10" i="13"/>
  <c r="AL7" i="13"/>
  <c r="AL9" i="13"/>
  <c r="AL11" i="13"/>
  <c r="BB2" i="13"/>
  <c r="BB3" i="13"/>
  <c r="BB4" i="13"/>
  <c r="BB5" i="13"/>
  <c r="BB6" i="13"/>
  <c r="BB8" i="13"/>
  <c r="BB10" i="13"/>
  <c r="BB7" i="13"/>
  <c r="BB9" i="13"/>
  <c r="BB11" i="13"/>
  <c r="BA2" i="13"/>
  <c r="BA3" i="13"/>
  <c r="BA4" i="13"/>
  <c r="BA5" i="13"/>
  <c r="BA6" i="13"/>
  <c r="BA8" i="13"/>
  <c r="BA10" i="13"/>
  <c r="BA7" i="13"/>
  <c r="BA9" i="13"/>
  <c r="BA11" i="13"/>
  <c r="AZ2" i="13"/>
  <c r="AZ3" i="13"/>
  <c r="AZ4" i="13"/>
  <c r="AZ5" i="13"/>
  <c r="AZ7" i="13"/>
  <c r="AZ9" i="13"/>
  <c r="AZ11" i="13"/>
  <c r="AZ6" i="13"/>
  <c r="AZ8" i="13"/>
  <c r="AZ10" i="13"/>
  <c r="AX7" i="13"/>
  <c r="AX9" i="13"/>
  <c r="AX11" i="13"/>
  <c r="AX6" i="13"/>
  <c r="AX8" i="13"/>
  <c r="AX10" i="13"/>
  <c r="AX2" i="13"/>
  <c r="AX3" i="13"/>
  <c r="AX4" i="13"/>
  <c r="AX5" i="13"/>
  <c r="AW6" i="13"/>
  <c r="AW8" i="13"/>
  <c r="AW10" i="13"/>
  <c r="AW2" i="13"/>
  <c r="AW3" i="13"/>
  <c r="AW4" i="13"/>
  <c r="AW5" i="13"/>
  <c r="AW7" i="13"/>
  <c r="AW9" i="13"/>
  <c r="AW11" i="13"/>
  <c r="AV2" i="13"/>
  <c r="AV3" i="13"/>
  <c r="AV4" i="13"/>
  <c r="AV5" i="13"/>
  <c r="AV6" i="13"/>
  <c r="AV8" i="13"/>
  <c r="AV10" i="13"/>
  <c r="AV7" i="13"/>
  <c r="AV9" i="13"/>
  <c r="AV11" i="13"/>
  <c r="AU2" i="13"/>
  <c r="AU3" i="13"/>
  <c r="AU4" i="13"/>
  <c r="AU5" i="13"/>
  <c r="AU6" i="13"/>
  <c r="AU7" i="13"/>
  <c r="AU8" i="13"/>
  <c r="AU9" i="13"/>
  <c r="AU10" i="13"/>
  <c r="AU11" i="13"/>
  <c r="AT2" i="13"/>
  <c r="AT3" i="13"/>
  <c r="AT4" i="13"/>
  <c r="AT5" i="13"/>
  <c r="AT7" i="13"/>
  <c r="AT9" i="13"/>
  <c r="AT11" i="13"/>
  <c r="AT6" i="13"/>
  <c r="AT8" i="13"/>
  <c r="AT10" i="13"/>
  <c r="AS2" i="13"/>
  <c r="AS3" i="13"/>
  <c r="AS4" i="13"/>
  <c r="AS5" i="13"/>
  <c r="AS7" i="13"/>
  <c r="AS9" i="13"/>
  <c r="AS11" i="13"/>
  <c r="AS6" i="13"/>
  <c r="AS8" i="13"/>
  <c r="AS10" i="13"/>
  <c r="AR2" i="13"/>
  <c r="AR3" i="13"/>
  <c r="AR4" i="13"/>
  <c r="AR5" i="13"/>
  <c r="AR6" i="13"/>
  <c r="AR8" i="13"/>
  <c r="AR10" i="13"/>
  <c r="AR7" i="13"/>
  <c r="AR9" i="13"/>
  <c r="AR11" i="13"/>
  <c r="AQ2" i="13"/>
  <c r="AQ3" i="13"/>
  <c r="AQ4" i="13"/>
  <c r="AQ5" i="13"/>
  <c r="AQ6" i="13"/>
  <c r="AQ7" i="13"/>
  <c r="AQ8" i="13"/>
  <c r="AQ9" i="13"/>
  <c r="AQ10" i="13"/>
  <c r="AQ11" i="13"/>
  <c r="AP6" i="13"/>
  <c r="AP8" i="13"/>
  <c r="AP10" i="13"/>
  <c r="AP7" i="13"/>
  <c r="AP9" i="13"/>
  <c r="AP11" i="13"/>
  <c r="AP2" i="13"/>
  <c r="AP3" i="13"/>
  <c r="AP4" i="13"/>
  <c r="AP5" i="13"/>
  <c r="AO7" i="13"/>
  <c r="AO9" i="13"/>
  <c r="AO11" i="13"/>
  <c r="AO2" i="13"/>
  <c r="AO3" i="13"/>
  <c r="AO4" i="13"/>
  <c r="AO5" i="13"/>
  <c r="AO6" i="13"/>
  <c r="AO8" i="13"/>
  <c r="AO10" i="13"/>
  <c r="AN2" i="13"/>
  <c r="AN3" i="13"/>
  <c r="AN4" i="13"/>
  <c r="AN5" i="13"/>
  <c r="AN7" i="13"/>
  <c r="AN9" i="13"/>
  <c r="AN11" i="13"/>
  <c r="AN6" i="13"/>
  <c r="AN8" i="13"/>
  <c r="AN10" i="13"/>
  <c r="AM2" i="13"/>
  <c r="AM3" i="13"/>
  <c r="AM4" i="13"/>
  <c r="AM5" i="13"/>
  <c r="AM6" i="13"/>
  <c r="AM7" i="13"/>
  <c r="AM8" i="13"/>
  <c r="AM9" i="13"/>
  <c r="AM10" i="13"/>
  <c r="AM11" i="13"/>
  <c r="AY2" i="13"/>
  <c r="AY3" i="13"/>
  <c r="AY4" i="13"/>
  <c r="AY5" i="13"/>
  <c r="AY6" i="13"/>
  <c r="AY7" i="13"/>
  <c r="AY8" i="13"/>
  <c r="AY9" i="13"/>
  <c r="AY10" i="13"/>
  <c r="AY11" i="13"/>
  <c r="BD2" i="13"/>
  <c r="BD3" i="13"/>
  <c r="BD4" i="13"/>
  <c r="BD5" i="13"/>
  <c r="BD7" i="13"/>
  <c r="BD9" i="13"/>
  <c r="BD11" i="13"/>
  <c r="BD6" i="13"/>
  <c r="BD8" i="13"/>
  <c r="BD10" i="13"/>
  <c r="BC2" i="13"/>
  <c r="BC3" i="13"/>
  <c r="BC4" i="13"/>
  <c r="BC5" i="13"/>
  <c r="BC6" i="13"/>
  <c r="BC7" i="13"/>
  <c r="BC8" i="13"/>
  <c r="BC9" i="13"/>
  <c r="BC10" i="13"/>
  <c r="BC11" i="13"/>
  <c r="AH4" i="13"/>
  <c r="AH7" i="13"/>
  <c r="AH6" i="13"/>
  <c r="AH3" i="13"/>
  <c r="AH5" i="13"/>
  <c r="AH2" i="13"/>
  <c r="AH11" i="13"/>
  <c r="AH10" i="13"/>
  <c r="AH9" i="13"/>
  <c r="AH8" i="13"/>
  <c r="J31" i="24"/>
  <c r="X24" i="25"/>
  <c r="U37" i="25"/>
  <c r="U35" i="25"/>
  <c r="T12" i="25"/>
  <c r="S12" i="25" s="1"/>
  <c r="T10" i="25"/>
  <c r="S10" i="25" s="1"/>
  <c r="T13" i="25"/>
  <c r="S13" i="25" s="1"/>
  <c r="T11" i="25"/>
  <c r="S11" i="25" s="1"/>
  <c r="K390" i="21"/>
  <c r="L390" i="21"/>
  <c r="L322" i="21"/>
  <c r="K322" i="21"/>
  <c r="L15" i="21"/>
  <c r="K15" i="21"/>
  <c r="L294" i="21"/>
  <c r="K294" i="21"/>
  <c r="L185" i="21"/>
  <c r="K185" i="21"/>
  <c r="K192" i="21"/>
  <c r="L192" i="21"/>
  <c r="K434" i="21"/>
  <c r="L434" i="21"/>
  <c r="K188" i="21"/>
  <c r="L188" i="21"/>
  <c r="L22" i="21"/>
  <c r="K22" i="21"/>
  <c r="X4" i="25"/>
  <c r="X8" i="25"/>
  <c r="W8" i="25" s="1"/>
  <c r="X7" i="25"/>
  <c r="W7" i="25" s="1"/>
  <c r="X6" i="25"/>
  <c r="W6" i="25" s="1"/>
  <c r="X5" i="25"/>
  <c r="W5" i="25" s="1"/>
  <c r="T7" i="25"/>
  <c r="S7" i="25" s="1"/>
  <c r="T6" i="25"/>
  <c r="S6" i="25" s="1"/>
  <c r="T5" i="25"/>
  <c r="S5" i="25" s="1"/>
  <c r="T4" i="25"/>
  <c r="S4" i="25" s="1"/>
  <c r="J455" i="21"/>
  <c r="J108" i="21"/>
  <c r="J139" i="21"/>
  <c r="J234" i="21"/>
  <c r="J159" i="21"/>
  <c r="M27" i="21"/>
  <c r="L27" i="21" s="1"/>
  <c r="K27" i="21"/>
  <c r="J147" i="21"/>
  <c r="J235" i="21"/>
  <c r="J218" i="21"/>
  <c r="J228" i="21"/>
  <c r="J440" i="21"/>
  <c r="J505" i="21"/>
  <c r="J312" i="21"/>
  <c r="J416" i="21"/>
  <c r="J171" i="21"/>
  <c r="J132" i="21"/>
  <c r="J481" i="21"/>
  <c r="J151" i="21"/>
  <c r="J158" i="21"/>
  <c r="J448" i="21"/>
  <c r="J92" i="21"/>
  <c r="AK22" i="13"/>
  <c r="AK18" i="13"/>
  <c r="AK20" i="13"/>
  <c r="AK23" i="13"/>
  <c r="AK19" i="13"/>
  <c r="AK21" i="13"/>
  <c r="J433" i="21"/>
  <c r="J489" i="21"/>
  <c r="J259" i="21"/>
  <c r="J292" i="21"/>
  <c r="J106" i="21"/>
  <c r="J145" i="21"/>
  <c r="J432" i="21"/>
  <c r="J161" i="21"/>
  <c r="J484" i="21"/>
  <c r="J5" i="21"/>
  <c r="M206" i="21"/>
  <c r="L206" i="21" s="1"/>
  <c r="K206" i="21"/>
  <c r="J410" i="21"/>
  <c r="J210" i="21"/>
  <c r="J341" i="21"/>
  <c r="J320" i="21"/>
  <c r="J141" i="21"/>
  <c r="J153" i="21"/>
  <c r="J136" i="21"/>
  <c r="J337" i="21"/>
  <c r="J87" i="21"/>
  <c r="J392" i="21"/>
  <c r="J488" i="21"/>
  <c r="J267" i="21"/>
  <c r="I59" i="21"/>
  <c r="M59" i="21"/>
  <c r="I480" i="21"/>
  <c r="M480" i="21"/>
  <c r="I417" i="21"/>
  <c r="M417" i="21"/>
  <c r="I54" i="21"/>
  <c r="M54" i="21"/>
  <c r="I279" i="21"/>
  <c r="M279" i="21"/>
  <c r="I148" i="21"/>
  <c r="M148" i="21"/>
  <c r="I178" i="21"/>
  <c r="M178" i="21"/>
  <c r="J178" i="21"/>
  <c r="I358" i="21"/>
  <c r="M358" i="21"/>
  <c r="I37" i="21"/>
  <c r="M380" i="21"/>
  <c r="I380" i="21"/>
  <c r="I150" i="21"/>
  <c r="M150" i="21"/>
  <c r="I84" i="21"/>
  <c r="M84" i="21"/>
  <c r="I310" i="21"/>
  <c r="M310" i="21"/>
  <c r="I396" i="21"/>
  <c r="M396" i="21"/>
  <c r="O212" i="13"/>
  <c r="I227" i="21"/>
  <c r="M227" i="21"/>
  <c r="I120" i="21"/>
  <c r="M120" i="21"/>
  <c r="I115" i="21"/>
  <c r="M115" i="21"/>
  <c r="I232" i="21"/>
  <c r="M232" i="21"/>
  <c r="N78" i="21"/>
  <c r="N400" i="21"/>
  <c r="AK2" i="13" l="1"/>
  <c r="BE2" i="13" s="1"/>
  <c r="AK3" i="13"/>
  <c r="BE3" i="13" s="1"/>
  <c r="AK4" i="13"/>
  <c r="BE4" i="13" s="1"/>
  <c r="AK5" i="13"/>
  <c r="BE5" i="13" s="1"/>
  <c r="AK6" i="13"/>
  <c r="BE6" i="13" s="1"/>
  <c r="AK8" i="13"/>
  <c r="BE8" i="13" s="1"/>
  <c r="AK10" i="13"/>
  <c r="BE10" i="13" s="1"/>
  <c r="AK7" i="13"/>
  <c r="BE7" i="13" s="1"/>
  <c r="AK9" i="13"/>
  <c r="BE9" i="13" s="1"/>
  <c r="AK11" i="13"/>
  <c r="BE11" i="13" s="1"/>
  <c r="Z1179" i="6"/>
  <c r="T20" i="25"/>
  <c r="X11" i="25"/>
  <c r="T19" i="25" s="1"/>
  <c r="L455" i="21"/>
  <c r="K455" i="21"/>
  <c r="L108" i="21"/>
  <c r="K108" i="21"/>
  <c r="K139" i="21"/>
  <c r="L139" i="21"/>
  <c r="K234" i="21"/>
  <c r="L234" i="21"/>
  <c r="L159" i="21"/>
  <c r="K159" i="21"/>
  <c r="K147" i="21"/>
  <c r="L147" i="21"/>
  <c r="L235" i="21"/>
  <c r="K235" i="21"/>
  <c r="L218" i="21"/>
  <c r="K218" i="21"/>
  <c r="L228" i="21"/>
  <c r="K228" i="21"/>
  <c r="K440" i="21"/>
  <c r="L440" i="21"/>
  <c r="L505" i="21"/>
  <c r="K505" i="21"/>
  <c r="K312" i="21"/>
  <c r="L312" i="21"/>
  <c r="K416" i="21"/>
  <c r="L416" i="21"/>
  <c r="L171" i="21"/>
  <c r="K171" i="21"/>
  <c r="L132" i="21"/>
  <c r="K132" i="21"/>
  <c r="K481" i="21"/>
  <c r="L481" i="21"/>
  <c r="L151" i="21"/>
  <c r="K151" i="21"/>
  <c r="K158" i="21"/>
  <c r="L158" i="21"/>
  <c r="L448" i="21"/>
  <c r="K448" i="21"/>
  <c r="K92" i="21"/>
  <c r="K433" i="21"/>
  <c r="L433" i="21"/>
  <c r="L489" i="21"/>
  <c r="K489" i="21"/>
  <c r="L259" i="21"/>
  <c r="K259" i="21"/>
  <c r="L292" i="21"/>
  <c r="K292" i="21"/>
  <c r="K106" i="21"/>
  <c r="L106" i="21"/>
  <c r="K145" i="21"/>
  <c r="L145" i="21"/>
  <c r="L432" i="21"/>
  <c r="K432" i="21"/>
  <c r="K161" i="21"/>
  <c r="L161" i="21"/>
  <c r="K484" i="21"/>
  <c r="L484" i="21"/>
  <c r="L5" i="21"/>
  <c r="K5" i="21"/>
  <c r="L410" i="21"/>
  <c r="K410" i="21"/>
  <c r="K210" i="21"/>
  <c r="L210" i="21"/>
  <c r="K341" i="21"/>
  <c r="L341" i="21"/>
  <c r="L320" i="21"/>
  <c r="K320" i="21"/>
  <c r="L141" i="21"/>
  <c r="K141" i="21"/>
  <c r="K153" i="21"/>
  <c r="L153" i="21"/>
  <c r="K136" i="21"/>
  <c r="L136" i="21"/>
  <c r="K337" i="21"/>
  <c r="L337" i="21"/>
  <c r="K87" i="21"/>
  <c r="L87" i="21"/>
  <c r="L392" i="21"/>
  <c r="K392" i="21"/>
  <c r="K488" i="21"/>
  <c r="L488" i="21"/>
  <c r="L267" i="21"/>
  <c r="K267" i="21"/>
  <c r="J59" i="21"/>
  <c r="J480" i="21"/>
  <c r="J417" i="21"/>
  <c r="J54" i="21"/>
  <c r="J279" i="21"/>
  <c r="J148" i="21"/>
  <c r="L178" i="21"/>
  <c r="K178" i="21"/>
  <c r="J358" i="21"/>
  <c r="J380" i="21"/>
  <c r="J150" i="21"/>
  <c r="J84" i="21"/>
  <c r="J310" i="21"/>
  <c r="J396" i="21"/>
  <c r="J227" i="21"/>
  <c r="J120" i="21"/>
  <c r="J115" i="21"/>
  <c r="J232" i="21"/>
  <c r="N42" i="21"/>
  <c r="N442" i="21"/>
  <c r="N159" i="21"/>
  <c r="N481" i="21"/>
  <c r="N132" i="21"/>
  <c r="N361" i="21"/>
  <c r="N64" i="21"/>
  <c r="N286" i="21"/>
  <c r="N505" i="21"/>
  <c r="N57" i="21"/>
  <c r="N232" i="21"/>
  <c r="N33" i="21"/>
  <c r="N27" i="21"/>
  <c r="N297" i="21"/>
  <c r="N139" i="21"/>
  <c r="N424" i="21"/>
  <c r="N482" i="21"/>
  <c r="N294" i="21"/>
  <c r="J32" i="24" l="1"/>
  <c r="X1179" i="6"/>
  <c r="K59" i="21"/>
  <c r="L59" i="21"/>
  <c r="K480" i="21"/>
  <c r="L480" i="21"/>
  <c r="K417" i="21"/>
  <c r="L417" i="21"/>
  <c r="K54" i="21"/>
  <c r="L54" i="21"/>
  <c r="K279" i="21"/>
  <c r="L279" i="21"/>
  <c r="K148" i="21"/>
  <c r="L148" i="21"/>
  <c r="L358" i="21"/>
  <c r="K358" i="21"/>
  <c r="L380" i="21"/>
  <c r="K380" i="21"/>
  <c r="L150" i="21"/>
  <c r="K150" i="21"/>
  <c r="L84" i="21"/>
  <c r="K84" i="21"/>
  <c r="L310" i="21"/>
  <c r="K310" i="21"/>
  <c r="L396" i="21"/>
  <c r="K396" i="21"/>
  <c r="K227" i="21"/>
  <c r="L227" i="21"/>
  <c r="L120" i="21"/>
  <c r="K120" i="21"/>
  <c r="K115" i="21"/>
  <c r="L115" i="21"/>
  <c r="L232" i="21"/>
  <c r="K232" i="21"/>
  <c r="N257" i="21"/>
  <c r="N81" i="21"/>
  <c r="N434" i="21"/>
  <c r="N300" i="21"/>
  <c r="N317" i="21"/>
  <c r="N188" i="21"/>
  <c r="N390" i="21"/>
  <c r="N480" i="21"/>
  <c r="N151" i="21"/>
  <c r="N493" i="21"/>
  <c r="N234" i="21"/>
  <c r="N31" i="21"/>
  <c r="N330" i="21"/>
  <c r="N126" i="21"/>
  <c r="N395" i="21"/>
  <c r="N440" i="21"/>
  <c r="N46" i="21"/>
  <c r="I397" i="21" l="1"/>
  <c r="M397" i="21"/>
  <c r="I299" i="21"/>
  <c r="J299" i="21"/>
  <c r="I304" i="21"/>
  <c r="M304" i="21"/>
  <c r="I278" i="21"/>
  <c r="M278" i="21"/>
  <c r="I220" i="21"/>
  <c r="M220" i="21"/>
  <c r="I332" i="21"/>
  <c r="M332" i="21"/>
  <c r="I420" i="21"/>
  <c r="M420" i="21"/>
  <c r="I191" i="21"/>
  <c r="I66" i="21"/>
  <c r="I298" i="21"/>
  <c r="J191" i="21"/>
  <c r="J66" i="21"/>
  <c r="J298" i="21"/>
  <c r="I223" i="21"/>
  <c r="M223" i="21"/>
  <c r="I359" i="21"/>
  <c r="M359" i="21"/>
  <c r="I270" i="21"/>
  <c r="M270" i="21"/>
  <c r="I285" i="21"/>
  <c r="M285" i="21"/>
  <c r="I72" i="21"/>
  <c r="M72" i="21"/>
  <c r="I360" i="21"/>
  <c r="M360" i="21"/>
  <c r="I404" i="21"/>
  <c r="M404" i="21"/>
  <c r="I214" i="21"/>
  <c r="M214" i="21"/>
  <c r="I177" i="21"/>
  <c r="M177" i="21"/>
  <c r="I407" i="21"/>
  <c r="M407" i="21"/>
  <c r="I144" i="21"/>
  <c r="M144" i="21"/>
  <c r="M197" i="21"/>
  <c r="I197" i="21"/>
  <c r="T1177" i="6"/>
  <c r="I69" i="21"/>
  <c r="N469" i="21"/>
  <c r="N22" i="21"/>
  <c r="N192" i="21"/>
  <c r="N296" i="21"/>
  <c r="N422" i="21"/>
  <c r="N144" i="21"/>
  <c r="G4" i="26" l="1"/>
  <c r="J4" i="26"/>
  <c r="D4" i="26"/>
  <c r="E4" i="26"/>
  <c r="F4" i="26"/>
  <c r="I4" i="26"/>
  <c r="J8" i="26"/>
  <c r="J12" i="26"/>
  <c r="J16" i="26"/>
  <c r="J20" i="26"/>
  <c r="J24" i="26"/>
  <c r="J28" i="26"/>
  <c r="J7" i="26"/>
  <c r="J23" i="26"/>
  <c r="J5" i="26"/>
  <c r="J9" i="26"/>
  <c r="J13" i="26"/>
  <c r="J17" i="26"/>
  <c r="J21" i="26"/>
  <c r="J25" i="26"/>
  <c r="J11" i="26"/>
  <c r="J19" i="26"/>
  <c r="J6" i="26"/>
  <c r="J10" i="26"/>
  <c r="J14" i="26"/>
  <c r="J18" i="26"/>
  <c r="J22" i="26"/>
  <c r="J26" i="26"/>
  <c r="J15" i="26"/>
  <c r="J27" i="26"/>
  <c r="G7" i="26"/>
  <c r="G11" i="26"/>
  <c r="G15" i="26"/>
  <c r="G19" i="26"/>
  <c r="G23" i="26"/>
  <c r="G27" i="26"/>
  <c r="G8" i="26"/>
  <c r="G12" i="26"/>
  <c r="G16" i="26"/>
  <c r="G20" i="26"/>
  <c r="G24" i="26"/>
  <c r="G28" i="26"/>
  <c r="G5" i="26"/>
  <c r="G9" i="26"/>
  <c r="G13" i="26"/>
  <c r="G17" i="26"/>
  <c r="G21" i="26"/>
  <c r="G25" i="26"/>
  <c r="G6" i="26"/>
  <c r="G10" i="26"/>
  <c r="G14" i="26"/>
  <c r="G18" i="26"/>
  <c r="G22" i="26"/>
  <c r="G26" i="26"/>
  <c r="I5" i="26"/>
  <c r="I9" i="26"/>
  <c r="I13" i="26"/>
  <c r="I17" i="26"/>
  <c r="I21" i="26"/>
  <c r="I25" i="26"/>
  <c r="F6" i="26"/>
  <c r="F10" i="26"/>
  <c r="F14" i="26"/>
  <c r="F18" i="26"/>
  <c r="F22" i="26"/>
  <c r="F26" i="26"/>
  <c r="D8" i="26"/>
  <c r="D12" i="26"/>
  <c r="D16" i="26"/>
  <c r="D20" i="26"/>
  <c r="D24" i="26"/>
  <c r="D28" i="26"/>
  <c r="E7" i="26"/>
  <c r="E11" i="26"/>
  <c r="E15" i="26"/>
  <c r="E19" i="26"/>
  <c r="E23" i="26"/>
  <c r="E27" i="26"/>
  <c r="I6" i="26"/>
  <c r="I10" i="26"/>
  <c r="I14" i="26"/>
  <c r="I18" i="26"/>
  <c r="I22" i="26"/>
  <c r="I26" i="26"/>
  <c r="F7" i="26"/>
  <c r="F11" i="26"/>
  <c r="F15" i="26"/>
  <c r="F19" i="26"/>
  <c r="F23" i="26"/>
  <c r="F27" i="26"/>
  <c r="D5" i="26"/>
  <c r="D9" i="26"/>
  <c r="D13" i="26"/>
  <c r="D17" i="26"/>
  <c r="D21" i="26"/>
  <c r="D25" i="26"/>
  <c r="E8" i="26"/>
  <c r="E12" i="26"/>
  <c r="E16" i="26"/>
  <c r="E20" i="26"/>
  <c r="E24" i="26"/>
  <c r="E28" i="26"/>
  <c r="E10" i="26"/>
  <c r="E18" i="26"/>
  <c r="E26" i="26"/>
  <c r="I7" i="26"/>
  <c r="I11" i="26"/>
  <c r="I15" i="26"/>
  <c r="I19" i="26"/>
  <c r="I23" i="26"/>
  <c r="I27" i="26"/>
  <c r="F8" i="26"/>
  <c r="F12" i="26"/>
  <c r="F16" i="26"/>
  <c r="F20" i="26"/>
  <c r="F24" i="26"/>
  <c r="F28" i="26"/>
  <c r="D6" i="26"/>
  <c r="D10" i="26"/>
  <c r="D14" i="26"/>
  <c r="D18" i="26"/>
  <c r="D22" i="26"/>
  <c r="D26" i="26"/>
  <c r="E5" i="26"/>
  <c r="E9" i="26"/>
  <c r="E13" i="26"/>
  <c r="E17" i="26"/>
  <c r="E21" i="26"/>
  <c r="E25" i="26"/>
  <c r="E14" i="26"/>
  <c r="E22" i="26"/>
  <c r="I8" i="26"/>
  <c r="I12" i="26"/>
  <c r="I16" i="26"/>
  <c r="I20" i="26"/>
  <c r="I24" i="26"/>
  <c r="I28" i="26"/>
  <c r="F5" i="26"/>
  <c r="F9" i="26"/>
  <c r="F13" i="26"/>
  <c r="F17" i="26"/>
  <c r="F21" i="26"/>
  <c r="F25" i="26"/>
  <c r="D7" i="26"/>
  <c r="D11" i="26"/>
  <c r="D15" i="26"/>
  <c r="D19" i="26"/>
  <c r="D23" i="26"/>
  <c r="D27" i="26"/>
  <c r="E6" i="26"/>
  <c r="J397" i="21"/>
  <c r="M299" i="21"/>
  <c r="L299" i="21" s="1"/>
  <c r="K299" i="21"/>
  <c r="J304" i="21"/>
  <c r="J278" i="21"/>
  <c r="J220" i="21"/>
  <c r="J332" i="21"/>
  <c r="J420" i="21"/>
  <c r="K298" i="21"/>
  <c r="K66" i="21"/>
  <c r="K191" i="21"/>
  <c r="M298" i="21"/>
  <c r="L298" i="21" s="1"/>
  <c r="M66" i="21"/>
  <c r="L66" i="21" s="1"/>
  <c r="M191" i="21"/>
  <c r="L191" i="21" s="1"/>
  <c r="J223" i="21"/>
  <c r="J359" i="21"/>
  <c r="J270" i="21"/>
  <c r="J285" i="21"/>
  <c r="J72" i="21"/>
  <c r="J360" i="21"/>
  <c r="J404" i="21"/>
  <c r="J214" i="21"/>
  <c r="J177" i="21"/>
  <c r="J407" i="21"/>
  <c r="J144" i="21"/>
  <c r="J197" i="21"/>
  <c r="N290" i="21"/>
  <c r="N255" i="21"/>
  <c r="N233" i="21"/>
  <c r="N349" i="21"/>
  <c r="N40" i="21"/>
  <c r="N210" i="21"/>
  <c r="N341" i="21"/>
  <c r="N489" i="21"/>
  <c r="N147" i="21"/>
  <c r="N292" i="21"/>
  <c r="N153" i="21"/>
  <c r="N158" i="21"/>
  <c r="N185" i="21"/>
  <c r="N455" i="21"/>
  <c r="N322" i="21"/>
  <c r="N54" i="21"/>
  <c r="L397" i="21" l="1"/>
  <c r="K397" i="21"/>
  <c r="K304" i="21"/>
  <c r="L304" i="21"/>
  <c r="L278" i="21"/>
  <c r="K278" i="21"/>
  <c r="L220" i="21"/>
  <c r="K220" i="21"/>
  <c r="L332" i="21"/>
  <c r="K332" i="21"/>
  <c r="L420" i="21"/>
  <c r="K420" i="21"/>
  <c r="L223" i="21"/>
  <c r="K223" i="21"/>
  <c r="L359" i="21"/>
  <c r="K359" i="21"/>
  <c r="L270" i="21"/>
  <c r="K270" i="21"/>
  <c r="L285" i="21"/>
  <c r="K285" i="21"/>
  <c r="K72" i="21"/>
  <c r="L72" i="21"/>
  <c r="L360" i="21"/>
  <c r="K360" i="21"/>
  <c r="L404" i="21"/>
  <c r="K404" i="21"/>
  <c r="L214" i="21"/>
  <c r="K214" i="21"/>
  <c r="K177" i="21"/>
  <c r="L177" i="21"/>
  <c r="L407" i="21"/>
  <c r="K407" i="21"/>
  <c r="L144" i="21"/>
  <c r="K144" i="21"/>
  <c r="K197" i="21"/>
  <c r="L197" i="21"/>
  <c r="N228" i="21"/>
  <c r="N171" i="21"/>
  <c r="N108" i="21"/>
  <c r="N235" i="21"/>
  <c r="N123" i="21"/>
  <c r="N416" i="21"/>
  <c r="N409" i="21"/>
  <c r="N310" i="21"/>
  <c r="N145" i="21"/>
  <c r="M69" i="21" l="1"/>
  <c r="J69" i="21"/>
  <c r="I131" i="21"/>
  <c r="M131" i="21"/>
  <c r="I61" i="21"/>
  <c r="N106" i="21"/>
  <c r="N218" i="21"/>
  <c r="N485" i="21"/>
  <c r="N312" i="21"/>
  <c r="N392" i="21"/>
  <c r="N227" i="21"/>
  <c r="N209" i="21"/>
  <c r="N433" i="21"/>
  <c r="K69" i="21" l="1"/>
  <c r="L69" i="21"/>
  <c r="J131" i="21"/>
  <c r="K131" i="21" l="1"/>
  <c r="L131" i="21"/>
  <c r="I352" i="21"/>
  <c r="I50" i="21"/>
  <c r="N484" i="21"/>
  <c r="J45" i="24" l="1"/>
  <c r="J46" i="24"/>
  <c r="J43" i="24"/>
  <c r="J48" i="24"/>
  <c r="J44" i="24"/>
  <c r="J49" i="24"/>
  <c r="J51" i="24"/>
  <c r="M133" i="21"/>
  <c r="J133" i="21"/>
  <c r="I133" i="21"/>
  <c r="I174" i="21"/>
  <c r="M174" i="21"/>
  <c r="N92" i="21"/>
  <c r="N84" i="21"/>
  <c r="N259" i="21"/>
  <c r="N169" i="21"/>
  <c r="J50" i="24" l="1"/>
  <c r="J36" i="24"/>
  <c r="J37" i="24"/>
  <c r="J40" i="24"/>
  <c r="J38" i="24"/>
  <c r="J39" i="24"/>
  <c r="J33" i="24"/>
  <c r="J34" i="24"/>
  <c r="J42" i="24"/>
  <c r="J52" i="24"/>
  <c r="J41" i="24"/>
  <c r="J47" i="24"/>
  <c r="K133" i="21"/>
  <c r="L133" i="21"/>
  <c r="J174" i="21"/>
  <c r="M508" i="21"/>
  <c r="J508" i="21"/>
  <c r="M110" i="21"/>
  <c r="J110" i="21"/>
  <c r="M467" i="21"/>
  <c r="J467" i="21"/>
  <c r="M32" i="21"/>
  <c r="J32" i="21"/>
  <c r="M462" i="21"/>
  <c r="J462" i="21"/>
  <c r="M377" i="21"/>
  <c r="J377" i="21"/>
  <c r="M305" i="21"/>
  <c r="J305" i="21"/>
  <c r="M470" i="21"/>
  <c r="J470" i="21"/>
  <c r="M495" i="21"/>
  <c r="J495" i="21"/>
  <c r="M189" i="21"/>
  <c r="J189" i="21"/>
  <c r="M230" i="21"/>
  <c r="J230" i="21"/>
  <c r="M474" i="21"/>
  <c r="J474" i="21"/>
  <c r="M125" i="21"/>
  <c r="J125" i="21"/>
  <c r="M56" i="21"/>
  <c r="J56" i="21"/>
  <c r="M412" i="21"/>
  <c r="J412" i="21"/>
  <c r="M500" i="21"/>
  <c r="J500" i="21"/>
  <c r="M250" i="21"/>
  <c r="J250" i="21"/>
  <c r="M104" i="21"/>
  <c r="J104" i="21"/>
  <c r="M444" i="21"/>
  <c r="J444" i="21"/>
  <c r="K444" i="21" s="1"/>
  <c r="M514" i="21"/>
  <c r="J514" i="21"/>
  <c r="M443" i="21"/>
  <c r="J443" i="21"/>
  <c r="M116" i="21"/>
  <c r="J116" i="21"/>
  <c r="K116" i="21" s="1"/>
  <c r="M370" i="21"/>
  <c r="J370" i="21"/>
  <c r="M71" i="21"/>
  <c r="J71" i="21"/>
  <c r="M501" i="21"/>
  <c r="J501" i="21"/>
  <c r="M461" i="21"/>
  <c r="J461" i="21"/>
  <c r="M353" i="21"/>
  <c r="J353" i="21"/>
  <c r="M342" i="21"/>
  <c r="J342" i="21"/>
  <c r="M302" i="21"/>
  <c r="J302" i="21"/>
  <c r="M244" i="21"/>
  <c r="J244" i="21"/>
  <c r="M246" i="21"/>
  <c r="J246" i="21"/>
  <c r="M60" i="21"/>
  <c r="J60" i="21"/>
  <c r="M21" i="21"/>
  <c r="J21" i="21"/>
  <c r="M435" i="21"/>
  <c r="J435" i="21"/>
  <c r="M187" i="21"/>
  <c r="J187" i="21"/>
  <c r="M199" i="21"/>
  <c r="J199" i="21"/>
  <c r="M55" i="21"/>
  <c r="J55" i="21"/>
  <c r="M296" i="21"/>
  <c r="J296" i="21"/>
  <c r="M451" i="21"/>
  <c r="J451" i="21"/>
  <c r="M29" i="21"/>
  <c r="J29" i="21"/>
  <c r="M241" i="21"/>
  <c r="J241" i="21"/>
  <c r="M520" i="21"/>
  <c r="J520" i="21"/>
  <c r="M179" i="21"/>
  <c r="J179" i="21"/>
  <c r="M515" i="21"/>
  <c r="J515" i="21"/>
  <c r="M415" i="21"/>
  <c r="J415" i="21"/>
  <c r="M245" i="21"/>
  <c r="J245" i="21"/>
  <c r="M316" i="21"/>
  <c r="J316" i="21"/>
  <c r="M226" i="21"/>
  <c r="J226" i="21"/>
  <c r="M255" i="21"/>
  <c r="J255" i="21"/>
  <c r="I255" i="21"/>
  <c r="N328" i="21"/>
  <c r="N70" i="21"/>
  <c r="N182" i="21"/>
  <c r="K255" i="21" l="1"/>
  <c r="K451" i="21"/>
  <c r="K187" i="21"/>
  <c r="K241" i="21"/>
  <c r="K55" i="21"/>
  <c r="K342" i="21"/>
  <c r="K370" i="21"/>
  <c r="K443" i="21"/>
  <c r="K32" i="21"/>
  <c r="K110" i="21"/>
  <c r="K508" i="21"/>
  <c r="K296" i="21"/>
  <c r="K60" i="21"/>
  <c r="K353" i="21"/>
  <c r="K71" i="21"/>
  <c r="K514" i="21"/>
  <c r="K462" i="21"/>
  <c r="K467" i="21"/>
  <c r="K501" i="21"/>
  <c r="K415" i="21"/>
  <c r="K520" i="21"/>
  <c r="K461" i="21"/>
  <c r="K189" i="21"/>
  <c r="K377" i="21"/>
  <c r="K245" i="21"/>
  <c r="K515" i="21"/>
  <c r="K179" i="21"/>
  <c r="K199" i="21"/>
  <c r="K435" i="21"/>
  <c r="K104" i="21"/>
  <c r="K230" i="21"/>
  <c r="K495" i="21"/>
  <c r="K305" i="21"/>
  <c r="K56" i="21"/>
  <c r="K470" i="21"/>
  <c r="K250" i="21"/>
  <c r="K21" i="21"/>
  <c r="K29" i="21"/>
  <c r="K500" i="21"/>
  <c r="K125" i="21"/>
  <c r="K316" i="21"/>
  <c r="K246" i="21"/>
  <c r="K226" i="21"/>
  <c r="K244" i="21"/>
  <c r="K302" i="21"/>
  <c r="K412" i="21"/>
  <c r="M50" i="21"/>
  <c r="J50" i="21"/>
  <c r="K174" i="21"/>
  <c r="L174" i="21"/>
  <c r="L241" i="21"/>
  <c r="L255" i="21"/>
  <c r="L435" i="21"/>
  <c r="L443" i="21"/>
  <c r="L296" i="21"/>
  <c r="L104" i="21"/>
  <c r="L226" i="21"/>
  <c r="L199" i="21"/>
  <c r="L246" i="21"/>
  <c r="L353" i="21"/>
  <c r="L501" i="21"/>
  <c r="L514" i="21"/>
  <c r="L56" i="21"/>
  <c r="L500" i="21"/>
  <c r="L370" i="21"/>
  <c r="L342" i="21"/>
  <c r="L60" i="21"/>
  <c r="L520" i="21"/>
  <c r="L415" i="21"/>
  <c r="K474" i="21"/>
  <c r="L474" i="21"/>
  <c r="L316" i="21"/>
  <c r="L245" i="21"/>
  <c r="L515" i="21"/>
  <c r="L179" i="21"/>
  <c r="L29" i="21"/>
  <c r="L451" i="21"/>
  <c r="L55" i="21"/>
  <c r="L187" i="21"/>
  <c r="L21" i="21"/>
  <c r="L244" i="21"/>
  <c r="L302" i="21"/>
  <c r="L461" i="21"/>
  <c r="L71" i="21"/>
  <c r="L116" i="21"/>
  <c r="L444" i="21"/>
  <c r="L250" i="21"/>
  <c r="L412" i="21"/>
  <c r="L125" i="21"/>
  <c r="L230" i="21"/>
  <c r="L189" i="21"/>
  <c r="L495" i="21"/>
  <c r="L470" i="21"/>
  <c r="L305" i="21"/>
  <c r="L377" i="21"/>
  <c r="L462" i="21"/>
  <c r="L32" i="21"/>
  <c r="L467" i="21"/>
  <c r="L110" i="21"/>
  <c r="L508" i="21"/>
  <c r="I226" i="21"/>
  <c r="I316" i="21"/>
  <c r="I245" i="21"/>
  <c r="I415" i="21"/>
  <c r="I515" i="21"/>
  <c r="I179" i="21"/>
  <c r="I520" i="21"/>
  <c r="I241" i="21"/>
  <c r="I29" i="21"/>
  <c r="I451" i="21"/>
  <c r="I296" i="21"/>
  <c r="I55" i="21"/>
  <c r="I199" i="21"/>
  <c r="I187" i="21"/>
  <c r="I435" i="21"/>
  <c r="I21" i="21"/>
  <c r="I60" i="21"/>
  <c r="I246" i="21"/>
  <c r="I244" i="21"/>
  <c r="I302" i="21"/>
  <c r="I342" i="21"/>
  <c r="I353" i="21"/>
  <c r="I461" i="21"/>
  <c r="I501" i="21"/>
  <c r="I71" i="21"/>
  <c r="I370" i="21"/>
  <c r="I116" i="21"/>
  <c r="I443" i="21"/>
  <c r="I514" i="21"/>
  <c r="I444" i="21"/>
  <c r="I104" i="21"/>
  <c r="I250" i="21"/>
  <c r="I500" i="21"/>
  <c r="I412" i="21"/>
  <c r="I56" i="21"/>
  <c r="I125" i="21"/>
  <c r="I474" i="21"/>
  <c r="I230" i="21"/>
  <c r="I189" i="21"/>
  <c r="I495" i="21"/>
  <c r="I470" i="21"/>
  <c r="I305" i="21"/>
  <c r="I377" i="21"/>
  <c r="I462" i="21"/>
  <c r="I32" i="21"/>
  <c r="I467" i="21"/>
  <c r="I110" i="21"/>
  <c r="I508" i="21"/>
  <c r="M12" i="21"/>
  <c r="J12" i="21"/>
  <c r="K12" i="21" s="1"/>
  <c r="I19" i="21"/>
  <c r="I18" i="21"/>
  <c r="I494" i="21"/>
  <c r="I91" i="21"/>
  <c r="I478" i="21"/>
  <c r="I182" i="21"/>
  <c r="I102" i="21"/>
  <c r="I491" i="21"/>
  <c r="I347" i="21"/>
  <c r="I39" i="21"/>
  <c r="I414" i="21"/>
  <c r="I490" i="21"/>
  <c r="I511" i="21"/>
  <c r="I219" i="21"/>
  <c r="I48" i="21"/>
  <c r="I426" i="21"/>
  <c r="I78" i="21"/>
  <c r="I176" i="21"/>
  <c r="I260" i="21"/>
  <c r="I263" i="21"/>
  <c r="I236" i="21"/>
  <c r="I76" i="21"/>
  <c r="I389" i="21"/>
  <c r="I330" i="21"/>
  <c r="I252" i="21"/>
  <c r="I142" i="21"/>
  <c r="I239" i="21"/>
  <c r="I45" i="21"/>
  <c r="I286" i="21"/>
  <c r="I409" i="21"/>
  <c r="I12" i="21"/>
  <c r="I446" i="21"/>
  <c r="I430" i="21"/>
  <c r="I272" i="21"/>
  <c r="I112" i="21"/>
  <c r="I168" i="21"/>
  <c r="I379" i="21"/>
  <c r="I498" i="21"/>
  <c r="I237" i="21"/>
  <c r="I499" i="21"/>
  <c r="I349" i="21"/>
  <c r="I41" i="21"/>
  <c r="I135" i="21"/>
  <c r="I26" i="21"/>
  <c r="I309" i="21"/>
  <c r="I395" i="21"/>
  <c r="I482" i="21"/>
  <c r="I207" i="21"/>
  <c r="I366" i="21"/>
  <c r="I46" i="21"/>
  <c r="I224" i="21"/>
  <c r="I454" i="21"/>
  <c r="I24" i="21"/>
  <c r="I98" i="21"/>
  <c r="I335" i="21"/>
  <c r="I348" i="21"/>
  <c r="I129" i="21"/>
  <c r="I303" i="21"/>
  <c r="I211" i="21"/>
  <c r="I16" i="21"/>
  <c r="I9" i="21"/>
  <c r="I485" i="21"/>
  <c r="I130" i="21"/>
  <c r="I318" i="21"/>
  <c r="I83" i="21"/>
  <c r="I394" i="21"/>
  <c r="I93" i="21"/>
  <c r="I122" i="21"/>
  <c r="I356" i="21"/>
  <c r="I215" i="21"/>
  <c r="I166" i="21"/>
  <c r="I464" i="21"/>
  <c r="I328" i="21"/>
  <c r="I155" i="21"/>
  <c r="I183" i="21"/>
  <c r="I204" i="21"/>
  <c r="I156" i="21"/>
  <c r="I373" i="21"/>
  <c r="I355" i="21"/>
  <c r="I475" i="21"/>
  <c r="I301" i="21"/>
  <c r="I58" i="21"/>
  <c r="I184" i="21"/>
  <c r="I450" i="21"/>
  <c r="I163" i="21"/>
  <c r="I428" i="21"/>
  <c r="I25" i="21"/>
  <c r="I193" i="21"/>
  <c r="I216" i="21"/>
  <c r="I111" i="21"/>
  <c r="I113" i="21"/>
  <c r="I43" i="21"/>
  <c r="I354" i="21"/>
  <c r="I240" i="21"/>
  <c r="I212" i="21"/>
  <c r="I266" i="21"/>
  <c r="I479" i="21"/>
  <c r="I374" i="21"/>
  <c r="I40" i="21"/>
  <c r="I100" i="21"/>
  <c r="I149" i="21"/>
  <c r="I8" i="21"/>
  <c r="I96" i="21"/>
  <c r="I268" i="21"/>
  <c r="I424" i="21"/>
  <c r="I107" i="21"/>
  <c r="I343" i="21"/>
  <c r="I221" i="21"/>
  <c r="I338" i="21"/>
  <c r="I333" i="21"/>
  <c r="I506" i="21"/>
  <c r="I70" i="21"/>
  <c r="I421" i="21"/>
  <c r="I44" i="21"/>
  <c r="I519" i="21"/>
  <c r="I425" i="21"/>
  <c r="I283" i="21"/>
  <c r="I357" i="21"/>
  <c r="I119" i="21"/>
  <c r="I504" i="21"/>
  <c r="I64" i="21"/>
  <c r="I49" i="21"/>
  <c r="I319" i="21"/>
  <c r="I281" i="21"/>
  <c r="I326" i="21"/>
  <c r="I11" i="21"/>
  <c r="I486" i="21"/>
  <c r="I209" i="21"/>
  <c r="I378" i="21"/>
  <c r="I329" i="21"/>
  <c r="I222" i="21"/>
  <c r="I140" i="21"/>
  <c r="I90" i="21"/>
  <c r="I128" i="21"/>
  <c r="I33" i="21"/>
  <c r="I180" i="21"/>
  <c r="I28" i="21"/>
  <c r="I509" i="21"/>
  <c r="I311" i="21"/>
  <c r="I114" i="21"/>
  <c r="I340" i="21"/>
  <c r="I403" i="21"/>
  <c r="I14" i="21"/>
  <c r="I243" i="21"/>
  <c r="I247" i="21"/>
  <c r="I94" i="21"/>
  <c r="I30" i="21"/>
  <c r="I367" i="21"/>
  <c r="I233" i="21"/>
  <c r="I458" i="21"/>
  <c r="I371" i="21"/>
  <c r="I468" i="21"/>
  <c r="I469" i="21"/>
  <c r="I512" i="21"/>
  <c r="I502" i="21"/>
  <c r="I242" i="21"/>
  <c r="I277" i="21"/>
  <c r="I453" i="21"/>
  <c r="I117" i="21"/>
  <c r="I86" i="21"/>
  <c r="I217" i="21"/>
  <c r="I169" i="21"/>
  <c r="I423" i="21"/>
  <c r="I447" i="21"/>
  <c r="I339" i="21"/>
  <c r="I195" i="21"/>
  <c r="I375" i="21"/>
  <c r="I510" i="21"/>
  <c r="I476" i="21"/>
  <c r="I406" i="21"/>
  <c r="I89" i="21"/>
  <c r="I497" i="21"/>
  <c r="I202" i="21"/>
  <c r="I521" i="21"/>
  <c r="I65" i="21"/>
  <c r="I350" i="21"/>
  <c r="I253" i="21"/>
  <c r="I264" i="21"/>
  <c r="I47" i="21"/>
  <c r="I105" i="21"/>
  <c r="I334" i="21"/>
  <c r="I63" i="21"/>
  <c r="I372" i="21"/>
  <c r="I477" i="21"/>
  <c r="I238" i="21"/>
  <c r="I77" i="21"/>
  <c r="I200" i="21"/>
  <c r="I445" i="21"/>
  <c r="I457" i="21"/>
  <c r="I449" i="21"/>
  <c r="I257" i="21"/>
  <c r="I517" i="21"/>
  <c r="I68" i="21"/>
  <c r="I408" i="21"/>
  <c r="I289" i="21"/>
  <c r="I345" i="21"/>
  <c r="I265" i="21"/>
  <c r="I97" i="21"/>
  <c r="I493" i="21"/>
  <c r="I38" i="21"/>
  <c r="I437" i="21"/>
  <c r="I62" i="21"/>
  <c r="I7" i="21"/>
  <c r="I162" i="21"/>
  <c r="I413" i="21"/>
  <c r="I391" i="21"/>
  <c r="I307" i="21"/>
  <c r="I10" i="21"/>
  <c r="I472" i="21"/>
  <c r="I518" i="21"/>
  <c r="I35" i="21"/>
  <c r="I441" i="21"/>
  <c r="I213" i="21"/>
  <c r="I471" i="21"/>
  <c r="I369" i="21"/>
  <c r="I170" i="21"/>
  <c r="I271" i="21"/>
  <c r="I175" i="21"/>
  <c r="I273" i="21"/>
  <c r="I127" i="21"/>
  <c r="I17" i="21"/>
  <c r="I165" i="21"/>
  <c r="I143" i="21"/>
  <c r="I82" i="21"/>
  <c r="I513" i="21"/>
  <c r="I324" i="21"/>
  <c r="I123" i="21"/>
  <c r="I173" i="21"/>
  <c r="I492" i="21"/>
  <c r="I405" i="21"/>
  <c r="I398" i="21"/>
  <c r="I503" i="21"/>
  <c r="I291" i="21"/>
  <c r="I34" i="21"/>
  <c r="I336" i="21"/>
  <c r="I419" i="21"/>
  <c r="I295" i="21"/>
  <c r="I262" i="21"/>
  <c r="I231" i="21"/>
  <c r="I186" i="21"/>
  <c r="I466" i="21"/>
  <c r="I103" i="21"/>
  <c r="I146" i="21"/>
  <c r="I74" i="21"/>
  <c r="I465" i="21"/>
  <c r="I388" i="21"/>
  <c r="I463" i="21"/>
  <c r="I88" i="21"/>
  <c r="I203" i="21"/>
  <c r="I36" i="21"/>
  <c r="I496" i="21"/>
  <c r="I290" i="21"/>
  <c r="I154" i="21"/>
  <c r="I196" i="21"/>
  <c r="I436" i="21"/>
  <c r="I126" i="21"/>
  <c r="I365" i="21"/>
  <c r="I205" i="21"/>
  <c r="I284" i="21"/>
  <c r="M257" i="21"/>
  <c r="M70" i="21"/>
  <c r="J70" i="21"/>
  <c r="M117" i="21"/>
  <c r="J117" i="21"/>
  <c r="M335" i="21"/>
  <c r="J335" i="21"/>
  <c r="M424" i="21"/>
  <c r="J424" i="21"/>
  <c r="M236" i="21"/>
  <c r="J236" i="21"/>
  <c r="M284" i="21"/>
  <c r="J284" i="21"/>
  <c r="M426" i="21"/>
  <c r="J426" i="21"/>
  <c r="M47" i="21"/>
  <c r="J47" i="21"/>
  <c r="M173" i="21"/>
  <c r="J173" i="21"/>
  <c r="M504" i="21"/>
  <c r="J504" i="21"/>
  <c r="M89" i="21"/>
  <c r="J89" i="21"/>
  <c r="M96" i="21"/>
  <c r="J96" i="21"/>
  <c r="M170" i="21"/>
  <c r="J170" i="21"/>
  <c r="M355" i="21"/>
  <c r="J355" i="21"/>
  <c r="M38" i="21"/>
  <c r="J38" i="21"/>
  <c r="M207" i="21"/>
  <c r="J207" i="21"/>
  <c r="M391" i="21"/>
  <c r="J391" i="21"/>
  <c r="M102" i="21"/>
  <c r="J102" i="21"/>
  <c r="M379" i="21"/>
  <c r="J379" i="21"/>
  <c r="M283" i="21"/>
  <c r="J283" i="21"/>
  <c r="M502" i="21"/>
  <c r="J502" i="21"/>
  <c r="M90" i="21"/>
  <c r="J90" i="21"/>
  <c r="M428" i="21"/>
  <c r="J428" i="21"/>
  <c r="M485" i="21"/>
  <c r="J485" i="21"/>
  <c r="M262" i="21"/>
  <c r="J262" i="21"/>
  <c r="M77" i="21"/>
  <c r="J77" i="21"/>
  <c r="M408" i="21"/>
  <c r="J408" i="21"/>
  <c r="M247" i="21"/>
  <c r="J247" i="21"/>
  <c r="M58" i="21"/>
  <c r="J58" i="21"/>
  <c r="M333" i="21"/>
  <c r="J333" i="21"/>
  <c r="M371" i="21"/>
  <c r="J371" i="21"/>
  <c r="M509" i="21"/>
  <c r="J509" i="21"/>
  <c r="M37" i="21"/>
  <c r="J37" i="21"/>
  <c r="M286" i="21"/>
  <c r="J286" i="21"/>
  <c r="M354" i="21"/>
  <c r="J354" i="21"/>
  <c r="M252" i="21"/>
  <c r="J252" i="21"/>
  <c r="M128" i="21"/>
  <c r="J128" i="21"/>
  <c r="M114" i="21"/>
  <c r="J114" i="21"/>
  <c r="M100" i="21"/>
  <c r="J100" i="21"/>
  <c r="M175" i="21"/>
  <c r="J175" i="21"/>
  <c r="M176" i="21"/>
  <c r="J176" i="21"/>
  <c r="M350" i="21"/>
  <c r="J350" i="21"/>
  <c r="M343" i="21"/>
  <c r="J343" i="21"/>
  <c r="M497" i="21"/>
  <c r="J497" i="21"/>
  <c r="M200" i="21"/>
  <c r="J200" i="21"/>
  <c r="M183" i="21"/>
  <c r="J183" i="21"/>
  <c r="M494" i="21"/>
  <c r="J494" i="21"/>
  <c r="M26" i="21"/>
  <c r="J26" i="21"/>
  <c r="M414" i="21"/>
  <c r="J414" i="21"/>
  <c r="M216" i="21"/>
  <c r="J216" i="21"/>
  <c r="M264" i="21"/>
  <c r="J264" i="21"/>
  <c r="M195" i="21"/>
  <c r="J195" i="21"/>
  <c r="M168" i="21"/>
  <c r="J168" i="21"/>
  <c r="M519" i="21"/>
  <c r="J519" i="21"/>
  <c r="M142" i="21"/>
  <c r="J142" i="21"/>
  <c r="M307" i="21"/>
  <c r="J307" i="21"/>
  <c r="M347" i="21"/>
  <c r="J347" i="21"/>
  <c r="M477" i="21"/>
  <c r="J477" i="21"/>
  <c r="M74" i="21"/>
  <c r="J74" i="21"/>
  <c r="M447" i="21"/>
  <c r="J447" i="21"/>
  <c r="M425" i="21"/>
  <c r="J425" i="21"/>
  <c r="M272" i="21"/>
  <c r="J272" i="21"/>
  <c r="M41" i="21"/>
  <c r="J41" i="21"/>
  <c r="M326" i="21"/>
  <c r="J326" i="21"/>
  <c r="M281" i="21"/>
  <c r="J281" i="21"/>
  <c r="M18" i="21"/>
  <c r="J18" i="21"/>
  <c r="M204" i="21"/>
  <c r="J204" i="21"/>
  <c r="M367" i="21"/>
  <c r="J367" i="21"/>
  <c r="M348" i="21"/>
  <c r="J348" i="21"/>
  <c r="M289" i="21"/>
  <c r="J289" i="21"/>
  <c r="M413" i="21"/>
  <c r="J413" i="21"/>
  <c r="M166" i="21"/>
  <c r="J166" i="21"/>
  <c r="M336" i="21"/>
  <c r="J336" i="21"/>
  <c r="M271" i="21"/>
  <c r="J271" i="21"/>
  <c r="M290" i="21"/>
  <c r="J290" i="21"/>
  <c r="M24" i="21"/>
  <c r="J24" i="21"/>
  <c r="M468" i="21"/>
  <c r="J468" i="21"/>
  <c r="M503" i="21"/>
  <c r="J503" i="21"/>
  <c r="M465" i="21"/>
  <c r="J465" i="21"/>
  <c r="M339" i="21"/>
  <c r="J339" i="21"/>
  <c r="K339" i="21" s="1"/>
  <c r="M463" i="21"/>
  <c r="J463" i="21"/>
  <c r="M169" i="21"/>
  <c r="J169" i="21"/>
  <c r="M512" i="21"/>
  <c r="J512" i="21"/>
  <c r="M369" i="21"/>
  <c r="J369" i="21"/>
  <c r="M111" i="21"/>
  <c r="J111" i="21"/>
  <c r="M8" i="21"/>
  <c r="J8" i="21"/>
  <c r="M105" i="21"/>
  <c r="J105" i="21"/>
  <c r="M436" i="21"/>
  <c r="J436" i="21"/>
  <c r="M409" i="21"/>
  <c r="J409" i="21"/>
  <c r="M34" i="21"/>
  <c r="J34" i="21"/>
  <c r="M30" i="21"/>
  <c r="J30" i="21"/>
  <c r="M224" i="21"/>
  <c r="J224" i="21"/>
  <c r="M36" i="21"/>
  <c r="J36" i="21"/>
  <c r="M388" i="21"/>
  <c r="J388" i="21"/>
  <c r="M149" i="21"/>
  <c r="J149" i="21"/>
  <c r="M330" i="21"/>
  <c r="J330" i="21"/>
  <c r="M33" i="21"/>
  <c r="J33" i="21"/>
  <c r="M492" i="21"/>
  <c r="J492" i="21"/>
  <c r="M366" i="21"/>
  <c r="J366" i="21"/>
  <c r="M423" i="21"/>
  <c r="J423" i="21"/>
  <c r="M511" i="21"/>
  <c r="J511" i="21"/>
  <c r="M233" i="21"/>
  <c r="J233" i="21"/>
  <c r="M49" i="21"/>
  <c r="J49" i="21"/>
  <c r="M9" i="21"/>
  <c r="J9" i="21"/>
  <c r="M394" i="21"/>
  <c r="J394" i="21"/>
  <c r="M498" i="21"/>
  <c r="J498" i="21"/>
  <c r="M441" i="21"/>
  <c r="J441" i="21"/>
  <c r="M445" i="21"/>
  <c r="J445" i="21"/>
  <c r="M338" i="21"/>
  <c r="J338" i="21"/>
  <c r="M238" i="21"/>
  <c r="J238" i="21"/>
  <c r="M46" i="21"/>
  <c r="J46" i="21"/>
  <c r="M82" i="21"/>
  <c r="J82" i="21"/>
  <c r="M217" i="21"/>
  <c r="J217" i="21"/>
  <c r="M135" i="21"/>
  <c r="J135" i="21"/>
  <c r="M107" i="21"/>
  <c r="J107" i="21"/>
  <c r="M209" i="21"/>
  <c r="J209" i="21"/>
  <c r="M68" i="21"/>
  <c r="J68" i="21"/>
  <c r="M219" i="21"/>
  <c r="J219" i="21"/>
  <c r="M62" i="21"/>
  <c r="J62" i="21"/>
  <c r="M237" i="21"/>
  <c r="J237" i="21"/>
  <c r="M277" i="21"/>
  <c r="J277" i="21"/>
  <c r="M446" i="21"/>
  <c r="J446" i="21"/>
  <c r="M482" i="21"/>
  <c r="J482" i="21"/>
  <c r="M196" i="21"/>
  <c r="J196" i="21"/>
  <c r="M11" i="21"/>
  <c r="J11" i="21"/>
  <c r="M496" i="21"/>
  <c r="J496" i="21"/>
  <c r="M303" i="21"/>
  <c r="J303" i="21"/>
  <c r="M97" i="21"/>
  <c r="J97" i="21"/>
  <c r="M491" i="21"/>
  <c r="J491" i="21"/>
  <c r="M98" i="21"/>
  <c r="J98" i="21"/>
  <c r="M469" i="21"/>
  <c r="J469" i="21"/>
  <c r="M61" i="21"/>
  <c r="J61" i="21"/>
  <c r="M239" i="21"/>
  <c r="J239" i="21"/>
  <c r="M273" i="21"/>
  <c r="J273" i="21"/>
  <c r="M186" i="21"/>
  <c r="J186" i="21"/>
  <c r="M421" i="21"/>
  <c r="J421" i="21"/>
  <c r="M35" i="21"/>
  <c r="J35" i="21"/>
  <c r="M311" i="21"/>
  <c r="J311" i="21"/>
  <c r="M146" i="21"/>
  <c r="J146" i="21"/>
  <c r="M405" i="21"/>
  <c r="J405" i="21"/>
  <c r="M475" i="21"/>
  <c r="J475" i="21"/>
  <c r="M48" i="21"/>
  <c r="J48" i="21"/>
  <c r="M419" i="21"/>
  <c r="J419" i="21"/>
  <c r="M113" i="21"/>
  <c r="J113" i="21"/>
  <c r="M242" i="21"/>
  <c r="J242" i="21"/>
  <c r="M265" i="21"/>
  <c r="J265" i="21"/>
  <c r="M123" i="21"/>
  <c r="J123" i="21"/>
  <c r="M398" i="21"/>
  <c r="J398" i="21"/>
  <c r="M374" i="21"/>
  <c r="J374" i="21"/>
  <c r="M395" i="21"/>
  <c r="J395" i="21"/>
  <c r="M437" i="21"/>
  <c r="J437" i="21"/>
  <c r="M63" i="21"/>
  <c r="J63" i="21"/>
  <c r="M266" i="21"/>
  <c r="J266" i="21"/>
  <c r="M486" i="21"/>
  <c r="J486" i="21"/>
  <c r="M375" i="21"/>
  <c r="J375" i="21"/>
  <c r="M156" i="21"/>
  <c r="J156" i="21"/>
  <c r="M16" i="21"/>
  <c r="J16" i="21"/>
  <c r="M406" i="21"/>
  <c r="J406" i="21"/>
  <c r="M471" i="21"/>
  <c r="J471" i="21"/>
  <c r="M472" i="21"/>
  <c r="J472" i="21"/>
  <c r="M231" i="21"/>
  <c r="J231" i="21"/>
  <c r="M88" i="21"/>
  <c r="J88" i="21"/>
  <c r="M83" i="21"/>
  <c r="J83" i="21"/>
  <c r="M291" i="21"/>
  <c r="J291" i="21"/>
  <c r="M155" i="21"/>
  <c r="J155" i="21"/>
  <c r="M129" i="21"/>
  <c r="J129" i="21"/>
  <c r="M65" i="21"/>
  <c r="J65" i="21"/>
  <c r="M389" i="21"/>
  <c r="J389" i="21"/>
  <c r="M453" i="21"/>
  <c r="J453" i="21"/>
  <c r="M357" i="21"/>
  <c r="J357" i="21"/>
  <c r="M14" i="21"/>
  <c r="J14" i="21"/>
  <c r="M476" i="21"/>
  <c r="J476" i="21"/>
  <c r="M479" i="21"/>
  <c r="J479" i="21"/>
  <c r="M86" i="21"/>
  <c r="J86" i="21"/>
  <c r="M517" i="21"/>
  <c r="J517" i="21"/>
  <c r="M215" i="21"/>
  <c r="J215" i="21"/>
  <c r="M213" i="21"/>
  <c r="J213" i="21"/>
  <c r="M43" i="21"/>
  <c r="J43" i="21"/>
  <c r="M202" i="21"/>
  <c r="J202" i="21"/>
  <c r="M45" i="21"/>
  <c r="J45" i="21"/>
  <c r="M39" i="21"/>
  <c r="J39" i="21"/>
  <c r="M324" i="21"/>
  <c r="J324" i="21"/>
  <c r="M521" i="21"/>
  <c r="J521" i="21"/>
  <c r="M243" i="21"/>
  <c r="J243" i="21"/>
  <c r="M349" i="21"/>
  <c r="J349" i="21"/>
  <c r="M319" i="21"/>
  <c r="J319" i="21"/>
  <c r="M454" i="21"/>
  <c r="J454" i="21"/>
  <c r="M430" i="21"/>
  <c r="J430" i="21"/>
  <c r="M180" i="21"/>
  <c r="J180" i="21"/>
  <c r="M93" i="21"/>
  <c r="J93" i="21"/>
  <c r="M76" i="21"/>
  <c r="J76" i="21"/>
  <c r="M19" i="21"/>
  <c r="J19" i="21"/>
  <c r="M7" i="21"/>
  <c r="J7" i="21"/>
  <c r="M449" i="21"/>
  <c r="J449" i="21"/>
  <c r="M40" i="21"/>
  <c r="J40" i="21"/>
  <c r="M140" i="21"/>
  <c r="J140" i="21"/>
  <c r="M28" i="21"/>
  <c r="J28" i="21"/>
  <c r="M268" i="21"/>
  <c r="J268" i="21"/>
  <c r="M193" i="21"/>
  <c r="J193" i="21"/>
  <c r="M119" i="21"/>
  <c r="J119" i="21"/>
  <c r="M126" i="21"/>
  <c r="J126" i="21"/>
  <c r="M64" i="21"/>
  <c r="J64" i="21"/>
  <c r="M518" i="21"/>
  <c r="J518" i="21"/>
  <c r="M340" i="21"/>
  <c r="J340" i="21"/>
  <c r="M466" i="21"/>
  <c r="J466" i="21"/>
  <c r="M44" i="21"/>
  <c r="J44" i="21"/>
  <c r="M130" i="21"/>
  <c r="J130" i="21"/>
  <c r="M356" i="21"/>
  <c r="J356" i="21"/>
  <c r="M499" i="21"/>
  <c r="J499" i="21"/>
  <c r="M212" i="21"/>
  <c r="J212" i="21"/>
  <c r="M457" i="21"/>
  <c r="J457" i="21"/>
  <c r="M211" i="21"/>
  <c r="J211" i="21"/>
  <c r="M94" i="21"/>
  <c r="J94" i="21"/>
  <c r="M506" i="21"/>
  <c r="J506" i="21"/>
  <c r="M263" i="21"/>
  <c r="J263" i="21"/>
  <c r="M378" i="21"/>
  <c r="J378" i="21"/>
  <c r="M182" i="21"/>
  <c r="J182" i="21"/>
  <c r="M493" i="21"/>
  <c r="J493" i="21"/>
  <c r="M154" i="21"/>
  <c r="J154" i="21"/>
  <c r="M78" i="21"/>
  <c r="J78" i="21"/>
  <c r="M240" i="21"/>
  <c r="J240" i="21"/>
  <c r="M309" i="21"/>
  <c r="J309" i="21"/>
  <c r="M112" i="21"/>
  <c r="J112" i="21"/>
  <c r="M184" i="21"/>
  <c r="J184" i="21"/>
  <c r="M328" i="21"/>
  <c r="J328" i="21"/>
  <c r="M295" i="21"/>
  <c r="J295" i="21"/>
  <c r="M365" i="21"/>
  <c r="J365" i="21"/>
  <c r="M221" i="21"/>
  <c r="J221" i="21"/>
  <c r="M127" i="21"/>
  <c r="J127" i="21"/>
  <c r="M253" i="21"/>
  <c r="J253" i="21"/>
  <c r="M373" i="21"/>
  <c r="J373" i="21"/>
  <c r="M464" i="21"/>
  <c r="J464" i="21"/>
  <c r="M17" i="21"/>
  <c r="J17" i="21"/>
  <c r="M162" i="21"/>
  <c r="J162" i="21"/>
  <c r="M25" i="21"/>
  <c r="J25" i="21"/>
  <c r="M67" i="21"/>
  <c r="J67" i="21"/>
  <c r="M490" i="21"/>
  <c r="J490" i="21"/>
  <c r="M510" i="21"/>
  <c r="J510" i="21"/>
  <c r="M163" i="21"/>
  <c r="J163" i="21"/>
  <c r="J257" i="21"/>
  <c r="M334" i="21"/>
  <c r="J334" i="21"/>
  <c r="M165" i="21"/>
  <c r="J165" i="21"/>
  <c r="M122" i="21"/>
  <c r="J122" i="21"/>
  <c r="M260" i="21"/>
  <c r="J260" i="21"/>
  <c r="M143" i="21"/>
  <c r="J143" i="21"/>
  <c r="M301" i="21"/>
  <c r="J301" i="21"/>
  <c r="M345" i="21"/>
  <c r="J345" i="21"/>
  <c r="M91" i="21"/>
  <c r="J91" i="21"/>
  <c r="M222" i="21"/>
  <c r="J222" i="21"/>
  <c r="M10" i="21"/>
  <c r="J10" i="21"/>
  <c r="M205" i="21"/>
  <c r="J205" i="21"/>
  <c r="M478" i="21"/>
  <c r="J478" i="21"/>
  <c r="M458" i="21"/>
  <c r="J458" i="21"/>
  <c r="M513" i="21"/>
  <c r="J513" i="21"/>
  <c r="M372" i="21"/>
  <c r="J372" i="21"/>
  <c r="M203" i="21"/>
  <c r="J203" i="21"/>
  <c r="M403" i="21"/>
  <c r="J403" i="21"/>
  <c r="M103" i="21"/>
  <c r="J103" i="21"/>
  <c r="M329" i="21"/>
  <c r="L4" i="24"/>
  <c r="J4" i="24"/>
  <c r="L13" i="24"/>
  <c r="J13" i="24"/>
  <c r="H13" i="24"/>
  <c r="N8" i="24"/>
  <c r="D5" i="24"/>
  <c r="F8" i="24"/>
  <c r="Z16" i="2"/>
  <c r="K169" i="21" l="1"/>
  <c r="K503" i="21"/>
  <c r="K24" i="21"/>
  <c r="K468" i="21"/>
  <c r="K271" i="21"/>
  <c r="K290" i="21"/>
  <c r="K336" i="21"/>
  <c r="K463" i="21"/>
  <c r="K465" i="21"/>
  <c r="L247" i="21"/>
  <c r="L284" i="21"/>
  <c r="M352" i="21"/>
  <c r="J352" i="21"/>
  <c r="K50" i="21"/>
  <c r="L50" i="21"/>
  <c r="L26" i="21"/>
  <c r="L127" i="21"/>
  <c r="L295" i="21"/>
  <c r="L184" i="21"/>
  <c r="L240" i="21"/>
  <c r="L154" i="21"/>
  <c r="L378" i="21"/>
  <c r="L263" i="21"/>
  <c r="L506" i="21"/>
  <c r="L94" i="21"/>
  <c r="L457" i="21"/>
  <c r="L130" i="21"/>
  <c r="L44" i="21"/>
  <c r="L340" i="21"/>
  <c r="L64" i="21"/>
  <c r="L119" i="21"/>
  <c r="L28" i="21"/>
  <c r="L140" i="21"/>
  <c r="L449" i="21"/>
  <c r="L19" i="21"/>
  <c r="L93" i="21"/>
  <c r="L180" i="21"/>
  <c r="L413" i="21"/>
  <c r="L90" i="21"/>
  <c r="L283" i="21"/>
  <c r="L102" i="21"/>
  <c r="L207" i="21"/>
  <c r="L355" i="21"/>
  <c r="L96" i="21"/>
  <c r="L504" i="21"/>
  <c r="L173" i="21"/>
  <c r="L236" i="21"/>
  <c r="L424" i="21"/>
  <c r="L78" i="21"/>
  <c r="L493" i="21"/>
  <c r="L182" i="21"/>
  <c r="L211" i="21"/>
  <c r="L212" i="21"/>
  <c r="L499" i="21"/>
  <c r="L356" i="21"/>
  <c r="L466" i="21"/>
  <c r="L518" i="21"/>
  <c r="L126" i="21"/>
  <c r="L193" i="21"/>
  <c r="L268" i="21"/>
  <c r="L40" i="21"/>
  <c r="L7" i="21"/>
  <c r="L76" i="21"/>
  <c r="L30" i="21"/>
  <c r="L409" i="21"/>
  <c r="L436" i="21"/>
  <c r="L105" i="21"/>
  <c r="L111" i="21"/>
  <c r="L512" i="21"/>
  <c r="L166" i="21"/>
  <c r="L289" i="21"/>
  <c r="L70" i="21"/>
  <c r="L348" i="21"/>
  <c r="K348" i="21"/>
  <c r="L204" i="21"/>
  <c r="K204" i="21"/>
  <c r="L281" i="21"/>
  <c r="K281" i="21"/>
  <c r="L41" i="21"/>
  <c r="K41" i="21"/>
  <c r="L272" i="21"/>
  <c r="K272" i="21"/>
  <c r="L425" i="21"/>
  <c r="K425" i="21"/>
  <c r="L447" i="21"/>
  <c r="K447" i="21"/>
  <c r="L347" i="21"/>
  <c r="K347" i="21"/>
  <c r="L307" i="21"/>
  <c r="K307" i="21"/>
  <c r="L142" i="21"/>
  <c r="K142" i="21"/>
  <c r="L221" i="21"/>
  <c r="L365" i="21"/>
  <c r="L328" i="21"/>
  <c r="L112" i="21"/>
  <c r="L309" i="21"/>
  <c r="K240" i="21"/>
  <c r="K78" i="21"/>
  <c r="K154" i="21"/>
  <c r="K493" i="21"/>
  <c r="K182" i="21"/>
  <c r="K378" i="21"/>
  <c r="K263" i="21"/>
  <c r="K506" i="21"/>
  <c r="K94" i="21"/>
  <c r="K211" i="21"/>
  <c r="K457" i="21"/>
  <c r="K212" i="21"/>
  <c r="K499" i="21"/>
  <c r="K356" i="21"/>
  <c r="K130" i="21"/>
  <c r="K44" i="21"/>
  <c r="K466" i="21"/>
  <c r="K340" i="21"/>
  <c r="K518" i="21"/>
  <c r="K64" i="21"/>
  <c r="K126" i="21"/>
  <c r="K119" i="21"/>
  <c r="K193" i="21"/>
  <c r="K268" i="21"/>
  <c r="K28" i="21"/>
  <c r="K140" i="21"/>
  <c r="K40" i="21"/>
  <c r="K449" i="21"/>
  <c r="K7" i="21"/>
  <c r="K19" i="21"/>
  <c r="K76" i="21"/>
  <c r="K93" i="21"/>
  <c r="K180" i="21"/>
  <c r="L9" i="21"/>
  <c r="L233" i="21"/>
  <c r="L511" i="21"/>
  <c r="L366" i="21"/>
  <c r="L224" i="21"/>
  <c r="L34" i="21"/>
  <c r="L8" i="21"/>
  <c r="L369" i="21"/>
  <c r="K166" i="21"/>
  <c r="K413" i="21"/>
  <c r="K289" i="21"/>
  <c r="L367" i="21"/>
  <c r="K367" i="21"/>
  <c r="L18" i="21"/>
  <c r="K18" i="21"/>
  <c r="L326" i="21"/>
  <c r="K326" i="21"/>
  <c r="L74" i="21"/>
  <c r="K74" i="21"/>
  <c r="L477" i="21"/>
  <c r="K477" i="21"/>
  <c r="L519" i="21"/>
  <c r="K519" i="21"/>
  <c r="L264" i="21"/>
  <c r="L414" i="21"/>
  <c r="L183" i="21"/>
  <c r="L497" i="21"/>
  <c r="L100" i="21"/>
  <c r="L128" i="21"/>
  <c r="L354" i="21"/>
  <c r="L286" i="21"/>
  <c r="L37" i="21"/>
  <c r="L333" i="21"/>
  <c r="L408" i="21"/>
  <c r="L77" i="21"/>
  <c r="L428" i="21"/>
  <c r="L502" i="21"/>
  <c r="L379" i="21"/>
  <c r="L391" i="21"/>
  <c r="L38" i="21"/>
  <c r="L170" i="21"/>
  <c r="L89" i="21"/>
  <c r="L47" i="21"/>
  <c r="L426" i="21"/>
  <c r="L335" i="21"/>
  <c r="L117" i="21"/>
  <c r="L403" i="21"/>
  <c r="K403" i="21"/>
  <c r="L372" i="21"/>
  <c r="K372" i="21"/>
  <c r="L458" i="21"/>
  <c r="K458" i="21"/>
  <c r="L205" i="21"/>
  <c r="K205" i="21"/>
  <c r="L222" i="21"/>
  <c r="K222" i="21"/>
  <c r="L345" i="21"/>
  <c r="K345" i="21"/>
  <c r="L301" i="21"/>
  <c r="K301" i="21"/>
  <c r="L260" i="21"/>
  <c r="K260" i="21"/>
  <c r="L122" i="21"/>
  <c r="K122" i="21"/>
  <c r="L334" i="21"/>
  <c r="K334" i="21"/>
  <c r="L257" i="21"/>
  <c r="K257" i="21"/>
  <c r="L490" i="21"/>
  <c r="K490" i="21"/>
  <c r="L162" i="21"/>
  <c r="K162" i="21"/>
  <c r="L17" i="21"/>
  <c r="K17" i="21"/>
  <c r="L253" i="21"/>
  <c r="K253" i="21"/>
  <c r="J329" i="21"/>
  <c r="L103" i="21"/>
  <c r="K103" i="21"/>
  <c r="L203" i="21"/>
  <c r="K203" i="21"/>
  <c r="L513" i="21"/>
  <c r="K513" i="21"/>
  <c r="L478" i="21"/>
  <c r="K478" i="21"/>
  <c r="L10" i="21"/>
  <c r="K10" i="21"/>
  <c r="L91" i="21"/>
  <c r="K91" i="21"/>
  <c r="L143" i="21"/>
  <c r="K143" i="21"/>
  <c r="L165" i="21"/>
  <c r="K165" i="21"/>
  <c r="L163" i="21"/>
  <c r="K163" i="21"/>
  <c r="L510" i="21"/>
  <c r="K510" i="21"/>
  <c r="L67" i="21"/>
  <c r="K67" i="21"/>
  <c r="L25" i="21"/>
  <c r="K25" i="21"/>
  <c r="L464" i="21"/>
  <c r="K464" i="21"/>
  <c r="L373" i="21"/>
  <c r="K373" i="21"/>
  <c r="L454" i="21"/>
  <c r="K454" i="21"/>
  <c r="L349" i="21"/>
  <c r="K349" i="21"/>
  <c r="L521" i="21"/>
  <c r="K521" i="21"/>
  <c r="L324" i="21"/>
  <c r="K324" i="21"/>
  <c r="L202" i="21"/>
  <c r="K202" i="21"/>
  <c r="L476" i="21"/>
  <c r="K476" i="21"/>
  <c r="L14" i="21"/>
  <c r="K14" i="21"/>
  <c r="L453" i="21"/>
  <c r="K453" i="21"/>
  <c r="L155" i="21"/>
  <c r="K155" i="21"/>
  <c r="L83" i="21"/>
  <c r="K83" i="21"/>
  <c r="L231" i="21"/>
  <c r="K231" i="21"/>
  <c r="L471" i="21"/>
  <c r="K471" i="21"/>
  <c r="L406" i="21"/>
  <c r="K406" i="21"/>
  <c r="L156" i="21"/>
  <c r="K156" i="21"/>
  <c r="L375" i="21"/>
  <c r="K375" i="21"/>
  <c r="L266" i="21"/>
  <c r="K266" i="21"/>
  <c r="L437" i="21"/>
  <c r="K437" i="21"/>
  <c r="L395" i="21"/>
  <c r="K395" i="21"/>
  <c r="L398" i="21"/>
  <c r="K398" i="21"/>
  <c r="L123" i="21"/>
  <c r="K123" i="21"/>
  <c r="L242" i="21"/>
  <c r="K242" i="21"/>
  <c r="L48" i="21"/>
  <c r="K48" i="21"/>
  <c r="L475" i="21"/>
  <c r="K475" i="21"/>
  <c r="L405" i="21"/>
  <c r="K405" i="21"/>
  <c r="L311" i="21"/>
  <c r="K311" i="21"/>
  <c r="L35" i="21"/>
  <c r="K35" i="21"/>
  <c r="L186" i="21"/>
  <c r="K186" i="21"/>
  <c r="L469" i="21"/>
  <c r="K469" i="21"/>
  <c r="L491" i="21"/>
  <c r="K491" i="21"/>
  <c r="L303" i="21"/>
  <c r="K303" i="21"/>
  <c r="L496" i="21"/>
  <c r="K496" i="21"/>
  <c r="L11" i="21"/>
  <c r="K11" i="21"/>
  <c r="L482" i="21"/>
  <c r="K482" i="21"/>
  <c r="L277" i="21"/>
  <c r="K277" i="21"/>
  <c r="L237" i="21"/>
  <c r="K237" i="21"/>
  <c r="L62" i="21"/>
  <c r="K62" i="21"/>
  <c r="L219" i="21"/>
  <c r="K219" i="21"/>
  <c r="L68" i="21"/>
  <c r="K68" i="21"/>
  <c r="L107" i="21"/>
  <c r="K107" i="21"/>
  <c r="L82" i="21"/>
  <c r="K82" i="21"/>
  <c r="L238" i="21"/>
  <c r="K238" i="21"/>
  <c r="L445" i="21"/>
  <c r="K445" i="21"/>
  <c r="L498" i="21"/>
  <c r="K498" i="21"/>
  <c r="L394" i="21"/>
  <c r="K394" i="21"/>
  <c r="L330" i="21"/>
  <c r="K330" i="21"/>
  <c r="L388" i="21"/>
  <c r="K388" i="21"/>
  <c r="K127" i="21"/>
  <c r="K221" i="21"/>
  <c r="K365" i="21"/>
  <c r="K295" i="21"/>
  <c r="K328" i="21"/>
  <c r="K184" i="21"/>
  <c r="K112" i="21"/>
  <c r="K309" i="21"/>
  <c r="L430" i="21"/>
  <c r="K430" i="21"/>
  <c r="L319" i="21"/>
  <c r="K319" i="21"/>
  <c r="L243" i="21"/>
  <c r="K243" i="21"/>
  <c r="L39" i="21"/>
  <c r="K39" i="21"/>
  <c r="L45" i="21"/>
  <c r="K45" i="21"/>
  <c r="L43" i="21"/>
  <c r="K43" i="21"/>
  <c r="L213" i="21"/>
  <c r="K213" i="21"/>
  <c r="L215" i="21"/>
  <c r="K215" i="21"/>
  <c r="L517" i="21"/>
  <c r="K517" i="21"/>
  <c r="L86" i="21"/>
  <c r="K86" i="21"/>
  <c r="L479" i="21"/>
  <c r="K479" i="21"/>
  <c r="L357" i="21"/>
  <c r="K357" i="21"/>
  <c r="L389" i="21"/>
  <c r="K389" i="21"/>
  <c r="L65" i="21"/>
  <c r="K65" i="21"/>
  <c r="L129" i="21"/>
  <c r="K129" i="21"/>
  <c r="L291" i="21"/>
  <c r="K291" i="21"/>
  <c r="L88" i="21"/>
  <c r="K88" i="21"/>
  <c r="L472" i="21"/>
  <c r="K472" i="21"/>
  <c r="L16" i="21"/>
  <c r="K16" i="21"/>
  <c r="L486" i="21"/>
  <c r="K486" i="21"/>
  <c r="L63" i="21"/>
  <c r="K63" i="21"/>
  <c r="L374" i="21"/>
  <c r="K374" i="21"/>
  <c r="L265" i="21"/>
  <c r="K265" i="21"/>
  <c r="L113" i="21"/>
  <c r="K113" i="21"/>
  <c r="L419" i="21"/>
  <c r="K419" i="21"/>
  <c r="L146" i="21"/>
  <c r="K146" i="21"/>
  <c r="L421" i="21"/>
  <c r="K421" i="21"/>
  <c r="L273" i="21"/>
  <c r="K273" i="21"/>
  <c r="L239" i="21"/>
  <c r="K239" i="21"/>
  <c r="L61" i="21"/>
  <c r="K61" i="21"/>
  <c r="L98" i="21"/>
  <c r="K98" i="21"/>
  <c r="L97" i="21"/>
  <c r="K97" i="21"/>
  <c r="L196" i="21"/>
  <c r="K196" i="21"/>
  <c r="L446" i="21"/>
  <c r="K446" i="21"/>
  <c r="L209" i="21"/>
  <c r="K209" i="21"/>
  <c r="L135" i="21"/>
  <c r="K135" i="21"/>
  <c r="L217" i="21"/>
  <c r="K217" i="21"/>
  <c r="L46" i="21"/>
  <c r="K46" i="21"/>
  <c r="L338" i="21"/>
  <c r="K338" i="21"/>
  <c r="L441" i="21"/>
  <c r="K441" i="21"/>
  <c r="L33" i="21"/>
  <c r="K33" i="21"/>
  <c r="L149" i="21"/>
  <c r="K149" i="21"/>
  <c r="L36" i="21"/>
  <c r="K36" i="21"/>
  <c r="L49" i="21"/>
  <c r="L423" i="21"/>
  <c r="L492" i="21"/>
  <c r="K224" i="21"/>
  <c r="K30" i="21"/>
  <c r="K34" i="21"/>
  <c r="K409" i="21"/>
  <c r="K436" i="21"/>
  <c r="K105" i="21"/>
  <c r="K8" i="21"/>
  <c r="K111" i="21"/>
  <c r="K369" i="21"/>
  <c r="K512" i="21"/>
  <c r="L168" i="21"/>
  <c r="L195" i="21"/>
  <c r="L216" i="21"/>
  <c r="L494" i="21"/>
  <c r="L200" i="21"/>
  <c r="L343" i="21"/>
  <c r="L350" i="21"/>
  <c r="L176" i="21"/>
  <c r="L175" i="21"/>
  <c r="L114" i="21"/>
  <c r="L252" i="21"/>
  <c r="L12" i="21"/>
  <c r="L509" i="21"/>
  <c r="L371" i="21"/>
  <c r="L58" i="21"/>
  <c r="L262" i="21"/>
  <c r="L485" i="21"/>
  <c r="K428" i="21"/>
  <c r="K90" i="21"/>
  <c r="K502" i="21"/>
  <c r="K283" i="21"/>
  <c r="K379" i="21"/>
  <c r="K102" i="21"/>
  <c r="K391" i="21"/>
  <c r="K207" i="21"/>
  <c r="K38" i="21"/>
  <c r="K355" i="21"/>
  <c r="K170" i="21"/>
  <c r="K96" i="21"/>
  <c r="K89" i="21"/>
  <c r="K504" i="21"/>
  <c r="K173" i="21"/>
  <c r="K47" i="21"/>
  <c r="K426" i="21"/>
  <c r="K284" i="21"/>
  <c r="K236" i="21"/>
  <c r="K424" i="21"/>
  <c r="K335" i="21"/>
  <c r="K117" i="21"/>
  <c r="K70" i="21"/>
  <c r="K9" i="21"/>
  <c r="K49" i="21"/>
  <c r="K233" i="21"/>
  <c r="K511" i="21"/>
  <c r="K423" i="21"/>
  <c r="K366" i="21"/>
  <c r="K492" i="21"/>
  <c r="L169" i="21"/>
  <c r="L463" i="21"/>
  <c r="L339" i="21"/>
  <c r="L465" i="21"/>
  <c r="L503" i="21"/>
  <c r="L468" i="21"/>
  <c r="L24" i="21"/>
  <c r="L290" i="21"/>
  <c r="L271" i="21"/>
  <c r="L336" i="21"/>
  <c r="K168" i="21"/>
  <c r="K195" i="21"/>
  <c r="K264" i="21"/>
  <c r="K216" i="21"/>
  <c r="K414" i="21"/>
  <c r="K26" i="21"/>
  <c r="K494" i="21"/>
  <c r="K183" i="21"/>
  <c r="K200" i="21"/>
  <c r="K497" i="21"/>
  <c r="K343" i="21"/>
  <c r="K350" i="21"/>
  <c r="K176" i="21"/>
  <c r="K175" i="21"/>
  <c r="K100" i="21"/>
  <c r="K114" i="21"/>
  <c r="K128" i="21"/>
  <c r="K252" i="21"/>
  <c r="K354" i="21"/>
  <c r="K286" i="21"/>
  <c r="K37" i="21"/>
  <c r="K509" i="21"/>
  <c r="K371" i="21"/>
  <c r="K333" i="21"/>
  <c r="K58" i="21"/>
  <c r="K247" i="21"/>
  <c r="K408" i="21"/>
  <c r="K77" i="21"/>
  <c r="K262" i="21"/>
  <c r="K485" i="21"/>
  <c r="N4" i="24"/>
  <c r="L352" i="21" l="1"/>
  <c r="K352" i="21"/>
  <c r="L329" i="21"/>
  <c r="K329" i="21"/>
  <c r="S212" i="13"/>
  <c r="R212" i="13"/>
  <c r="Q212" i="13"/>
  <c r="P212" i="13"/>
  <c r="N212" i="13"/>
  <c r="M212" i="13"/>
  <c r="L212" i="13"/>
  <c r="K212" i="13"/>
  <c r="J212" i="13"/>
  <c r="I212" i="13"/>
  <c r="T212" i="13"/>
  <c r="U212" i="13"/>
  <c r="V212" i="13"/>
  <c r="Y212" i="13"/>
  <c r="Z212" i="13"/>
  <c r="W8" i="17"/>
  <c r="W9" i="17"/>
  <c r="W10" i="17"/>
  <c r="W11" i="17"/>
  <c r="W12" i="17"/>
  <c r="W7" i="17"/>
  <c r="P7" i="17"/>
  <c r="S7" i="17"/>
  <c r="T8" i="17"/>
  <c r="T9" i="17"/>
  <c r="T10" i="17"/>
  <c r="T11" i="17"/>
  <c r="T12" i="17"/>
  <c r="T7" i="17"/>
  <c r="S8" i="17"/>
  <c r="S9" i="17"/>
  <c r="S10" i="17"/>
  <c r="S11" i="17"/>
  <c r="S12" i="17"/>
  <c r="R8" i="17"/>
  <c r="R9" i="17"/>
  <c r="R10" i="17"/>
  <c r="R11" i="17"/>
  <c r="R12" i="17"/>
  <c r="Q8" i="17"/>
  <c r="Q9" i="17"/>
  <c r="Q10" i="17"/>
  <c r="Q11" i="17"/>
  <c r="Q12" i="17"/>
  <c r="Q7" i="17"/>
  <c r="R7" i="17"/>
  <c r="P8" i="17"/>
  <c r="P9" i="17"/>
  <c r="P10" i="17"/>
  <c r="P11" i="17"/>
  <c r="P12" i="17"/>
  <c r="N87" i="21"/>
  <c r="N267" i="21"/>
  <c r="N410" i="21"/>
  <c r="N5" i="21"/>
  <c r="N417" i="21"/>
  <c r="N337" i="21"/>
  <c r="N173" i="21"/>
  <c r="N120" i="21"/>
  <c r="N279" i="21"/>
  <c r="N178" i="21"/>
  <c r="N359" i="21"/>
  <c r="N59" i="21"/>
  <c r="N93" i="21"/>
  <c r="N358" i="21"/>
  <c r="N320" i="21"/>
  <c r="N32" i="21"/>
  <c r="N397" i="21"/>
  <c r="N141" i="21"/>
  <c r="N125" i="21"/>
  <c r="N504" i="21"/>
  <c r="V1177" i="6" l="1"/>
  <c r="U11" i="17"/>
  <c r="U12" i="17"/>
  <c r="U8" i="17"/>
  <c r="U9" i="17"/>
  <c r="U10" i="17"/>
  <c r="J318" i="21"/>
  <c r="J450" i="21"/>
  <c r="M450" i="21"/>
  <c r="V12" i="17"/>
  <c r="V10" i="17"/>
  <c r="V8" i="17"/>
  <c r="V7" i="17"/>
  <c r="U7" i="17"/>
  <c r="O7" i="17"/>
  <c r="O11" i="17"/>
  <c r="O9" i="17"/>
  <c r="V11" i="17"/>
  <c r="V9" i="17"/>
  <c r="O12" i="17"/>
  <c r="O10" i="17"/>
  <c r="O8" i="17"/>
  <c r="N389" i="21"/>
  <c r="N66" i="21"/>
  <c r="N396" i="21"/>
  <c r="N115" i="21"/>
  <c r="N161" i="21"/>
  <c r="N131" i="21"/>
  <c r="N94" i="21"/>
  <c r="N298" i="21"/>
  <c r="N407" i="21"/>
  <c r="N206" i="21"/>
  <c r="N304" i="21"/>
  <c r="N117" i="21"/>
  <c r="N148" i="21"/>
  <c r="K4" i="26" l="1"/>
  <c r="K21" i="26"/>
  <c r="K23" i="26"/>
  <c r="K14" i="26"/>
  <c r="K8" i="26"/>
  <c r="N9" i="26"/>
  <c r="N10" i="26"/>
  <c r="K15" i="26"/>
  <c r="K11" i="26"/>
  <c r="K17" i="26"/>
  <c r="K20" i="26"/>
  <c r="N6" i="26"/>
  <c r="N18" i="26"/>
  <c r="N4" i="26"/>
  <c r="N12" i="26"/>
  <c r="K9" i="26"/>
  <c r="K10" i="26"/>
  <c r="N27" i="26"/>
  <c r="K12" i="26"/>
  <c r="N21" i="26"/>
  <c r="K19" i="26"/>
  <c r="K6" i="26"/>
  <c r="K18" i="26"/>
  <c r="N19" i="26"/>
  <c r="N25" i="26"/>
  <c r="K16" i="26"/>
  <c r="K26" i="26"/>
  <c r="N8" i="26"/>
  <c r="N5" i="26"/>
  <c r="K22" i="26"/>
  <c r="N23" i="26"/>
  <c r="N13" i="26"/>
  <c r="K24" i="26"/>
  <c r="K7" i="26"/>
  <c r="N15" i="26"/>
  <c r="N16" i="26"/>
  <c r="N7" i="26"/>
  <c r="K28" i="26"/>
  <c r="N26" i="26"/>
  <c r="K27" i="26"/>
  <c r="K13" i="26"/>
  <c r="K25" i="26"/>
  <c r="N20" i="26"/>
  <c r="N14" i="26"/>
  <c r="K5" i="26"/>
  <c r="N22" i="26"/>
  <c r="N28" i="26"/>
  <c r="N24" i="26"/>
  <c r="N11" i="26"/>
  <c r="N17" i="26"/>
  <c r="X12" i="17"/>
  <c r="U1177" i="6"/>
  <c r="X11" i="17"/>
  <c r="X9" i="17"/>
  <c r="X10" i="17"/>
  <c r="X8" i="17"/>
  <c r="M318" i="21"/>
  <c r="L318" i="21" s="1"/>
  <c r="K318" i="21"/>
  <c r="K450" i="21"/>
  <c r="L450" i="21"/>
  <c r="X7" i="17"/>
  <c r="N342" i="21"/>
  <c r="N191" i="21"/>
  <c r="U1179" i="6" l="1"/>
  <c r="O7" i="26"/>
  <c r="O13" i="26"/>
  <c r="O22" i="26"/>
  <c r="L24" i="26"/>
  <c r="L8" i="26"/>
  <c r="O19" i="26"/>
  <c r="L26" i="26"/>
  <c r="O23" i="26"/>
  <c r="L28" i="26"/>
  <c r="L10" i="26"/>
  <c r="L9" i="26"/>
  <c r="O24" i="26"/>
  <c r="L18" i="26"/>
  <c r="O6" i="26"/>
  <c r="O11" i="26"/>
  <c r="O16" i="26"/>
  <c r="L15" i="26"/>
  <c r="L16" i="26"/>
  <c r="O14" i="26"/>
  <c r="O5" i="26"/>
  <c r="L23" i="26"/>
  <c r="O26" i="26"/>
  <c r="L6" i="26"/>
  <c r="L4" i="26"/>
  <c r="L22" i="26"/>
  <c r="L13" i="26"/>
  <c r="O18" i="26"/>
  <c r="L27" i="26"/>
  <c r="L5" i="26"/>
  <c r="L21" i="26"/>
  <c r="L19" i="26"/>
  <c r="L14" i="26"/>
  <c r="O12" i="26"/>
  <c r="O17" i="26"/>
  <c r="O20" i="26"/>
  <c r="L25" i="26"/>
  <c r="O21" i="26"/>
  <c r="O4" i="26"/>
  <c r="L7" i="26"/>
  <c r="O10" i="26"/>
  <c r="O27" i="26"/>
  <c r="O9" i="26"/>
  <c r="L20" i="26"/>
  <c r="O15" i="26"/>
  <c r="L11" i="26"/>
  <c r="L17" i="26"/>
  <c r="O28" i="26"/>
  <c r="O8" i="26"/>
  <c r="L12" i="26"/>
  <c r="O25" i="26"/>
  <c r="N15" i="2"/>
  <c r="N12" i="2"/>
  <c r="N13" i="2"/>
  <c r="N14" i="2"/>
  <c r="N9" i="2"/>
  <c r="N11" i="2"/>
  <c r="N6" i="2"/>
  <c r="N7" i="2"/>
  <c r="N10" i="2"/>
  <c r="N8" i="2"/>
  <c r="K552" i="21"/>
  <c r="N48" i="21"/>
  <c r="N332" i="21"/>
  <c r="N420" i="21"/>
  <c r="N207" i="21"/>
  <c r="N220" i="21"/>
  <c r="N285" i="21"/>
  <c r="F13" i="2" l="1" a="1"/>
  <c r="F13" i="2" s="1"/>
  <c r="K14" i="2" a="1"/>
  <c r="K14" i="2" s="1"/>
  <c r="O15" i="2" a="1"/>
  <c r="O15" i="2" s="1"/>
  <c r="H12" i="2" a="1"/>
  <c r="H12" i="2" s="1"/>
  <c r="J15" i="2" a="1"/>
  <c r="J15" i="2" s="1"/>
  <c r="I12" i="2" a="1"/>
  <c r="I12" i="2" s="1"/>
  <c r="M14" i="2" a="1"/>
  <c r="M14" i="2" s="1"/>
  <c r="J14" i="2" a="1"/>
  <c r="J14" i="2" s="1"/>
  <c r="F14" i="2" a="1"/>
  <c r="F14" i="2" s="1"/>
  <c r="L12" i="2" a="1"/>
  <c r="L12" i="2" s="1"/>
  <c r="O14" i="2" a="1"/>
  <c r="O14" i="2" s="1"/>
  <c r="O13" i="2" a="1"/>
  <c r="O13" i="2" s="1"/>
  <c r="H13" i="2" a="1"/>
  <c r="H13" i="2" s="1"/>
  <c r="G14" i="2" a="1"/>
  <c r="G14" i="2" s="1"/>
  <c r="K15" i="2" a="1"/>
  <c r="K15" i="2" s="1"/>
  <c r="L14" i="2" a="1"/>
  <c r="L14" i="2" s="1"/>
  <c r="M12" i="2" a="1"/>
  <c r="M12" i="2" s="1"/>
  <c r="O12" i="2" a="1"/>
  <c r="O12" i="2" s="1"/>
  <c r="G13" i="2" a="1"/>
  <c r="G13" i="2" s="1"/>
  <c r="F15" i="2" a="1"/>
  <c r="F15" i="2" s="1"/>
  <c r="L13" i="2" a="1"/>
  <c r="L13" i="2" s="1"/>
  <c r="F12" i="2" a="1"/>
  <c r="F12" i="2" s="1"/>
  <c r="L15" i="2" a="1"/>
  <c r="L15" i="2" s="1"/>
  <c r="I14" i="2" a="1"/>
  <c r="I14" i="2" s="1"/>
  <c r="I13" i="2" a="1"/>
  <c r="I13" i="2" s="1"/>
  <c r="M15" i="2" a="1"/>
  <c r="M15" i="2" s="1"/>
  <c r="I15" i="2" a="1"/>
  <c r="I15" i="2" s="1"/>
  <c r="K13" i="2" a="1"/>
  <c r="K13" i="2" s="1"/>
  <c r="G12" i="2" a="1"/>
  <c r="G12" i="2" s="1"/>
  <c r="K12" i="2" a="1"/>
  <c r="K12" i="2" s="1"/>
  <c r="J12" i="2" a="1"/>
  <c r="J12" i="2" s="1"/>
  <c r="H14" i="2" a="1"/>
  <c r="H14" i="2" s="1"/>
  <c r="J13" i="2" a="1"/>
  <c r="J13" i="2" s="1"/>
  <c r="H15" i="2" a="1"/>
  <c r="H15" i="2" s="1"/>
  <c r="M13" i="2" a="1"/>
  <c r="M13" i="2" s="1"/>
  <c r="G15" i="2" a="1"/>
  <c r="G15" i="2" s="1"/>
  <c r="H9" i="2" a="1"/>
  <c r="H9" i="2" s="1"/>
  <c r="I9" i="2" a="1"/>
  <c r="I9" i="2" s="1"/>
  <c r="J9" i="2" a="1"/>
  <c r="J9" i="2" s="1"/>
  <c r="K9" i="2" a="1"/>
  <c r="K9" i="2" s="1"/>
  <c r="O9" i="2" a="1"/>
  <c r="O9" i="2" s="1"/>
  <c r="L9" i="2" a="1"/>
  <c r="L9" i="2" s="1"/>
  <c r="M9" i="2" a="1"/>
  <c r="M9" i="2" s="1"/>
  <c r="M10" i="2" a="1"/>
  <c r="M10" i="2" s="1"/>
  <c r="L10" i="2" a="1"/>
  <c r="L10" i="2" s="1"/>
  <c r="K10" i="2" a="1"/>
  <c r="K10" i="2" s="1"/>
  <c r="O10" i="2" a="1"/>
  <c r="O10" i="2" s="1"/>
  <c r="I10" i="2" a="1"/>
  <c r="I10" i="2" s="1"/>
  <c r="J10" i="2" a="1"/>
  <c r="J10" i="2" s="1"/>
  <c r="H10" i="2" a="1"/>
  <c r="H10" i="2" s="1"/>
  <c r="J6" i="2" a="1"/>
  <c r="J6" i="2" s="1"/>
  <c r="H6" i="2" a="1"/>
  <c r="H6" i="2" s="1"/>
  <c r="I6" i="2" a="1"/>
  <c r="I6" i="2" s="1"/>
  <c r="O6" i="2" a="1"/>
  <c r="O6" i="2" s="1"/>
  <c r="M6" i="2" a="1"/>
  <c r="M6" i="2" s="1"/>
  <c r="K6" i="2" a="1"/>
  <c r="K6" i="2" s="1"/>
  <c r="L6" i="2" a="1"/>
  <c r="L6" i="2" s="1"/>
  <c r="O7" i="2" a="1"/>
  <c r="O7" i="2" s="1"/>
  <c r="L7" i="2" a="1"/>
  <c r="L7" i="2" s="1"/>
  <c r="M7" i="2" a="1"/>
  <c r="M7" i="2" s="1"/>
  <c r="K7" i="2" a="1"/>
  <c r="K7" i="2" s="1"/>
  <c r="J7" i="2" a="1"/>
  <c r="J7" i="2" s="1"/>
  <c r="H7" i="2" a="1"/>
  <c r="H7" i="2" s="1"/>
  <c r="I7" i="2" a="1"/>
  <c r="I7" i="2" s="1"/>
  <c r="M8" i="2" a="1"/>
  <c r="M8" i="2" s="1"/>
  <c r="J8" i="2" a="1"/>
  <c r="J8" i="2" s="1"/>
  <c r="I8" i="2" a="1"/>
  <c r="I8" i="2" s="1"/>
  <c r="K8" i="2" a="1"/>
  <c r="K8" i="2" s="1"/>
  <c r="H8" i="2" a="1"/>
  <c r="H8" i="2" s="1"/>
  <c r="O8" i="2" a="1"/>
  <c r="O8" i="2" s="1"/>
  <c r="L8" i="2" a="1"/>
  <c r="L8" i="2" s="1"/>
  <c r="L11" i="2" a="1"/>
  <c r="L11" i="2" s="1"/>
  <c r="M11" i="2" a="1"/>
  <c r="M11" i="2" s="1"/>
  <c r="K11" i="2" a="1"/>
  <c r="K11" i="2" s="1"/>
  <c r="H11" i="2" a="1"/>
  <c r="H11" i="2" s="1"/>
  <c r="O11" i="2" a="1"/>
  <c r="O11" i="2" s="1"/>
  <c r="J11" i="2" a="1"/>
  <c r="J11" i="2" s="1"/>
  <c r="I11" i="2" a="1"/>
  <c r="I11" i="2" s="1"/>
  <c r="F11" i="2" a="1"/>
  <c r="F11" i="2" s="1"/>
  <c r="G8" i="2" a="1"/>
  <c r="G8" i="2" s="1"/>
  <c r="G7" i="2" a="1"/>
  <c r="G7" i="2" s="1"/>
  <c r="G6" i="2" a="1"/>
  <c r="G6" i="2" s="1"/>
  <c r="F10" i="2" a="1"/>
  <c r="F10" i="2" s="1"/>
  <c r="F9" i="2" a="1"/>
  <c r="F9" i="2" s="1"/>
  <c r="F7" i="2" a="1"/>
  <c r="F7" i="2" s="1"/>
  <c r="F6" i="2" a="1"/>
  <c r="F6" i="2" s="1"/>
  <c r="G11" i="2" a="1"/>
  <c r="G11" i="2" s="1"/>
  <c r="G10" i="2" a="1"/>
  <c r="G10" i="2" s="1"/>
  <c r="G9" i="2" a="1"/>
  <c r="G9" i="2" s="1"/>
  <c r="F8" i="2" a="1"/>
  <c r="F8" i="2" s="1"/>
  <c r="N305" i="21"/>
  <c r="N189" i="21"/>
  <c r="N13" i="24" l="1"/>
  <c r="N270" i="21"/>
  <c r="N495" i="21"/>
  <c r="L8" i="24" l="1"/>
  <c r="N333" i="21"/>
  <c r="N230" i="21"/>
  <c r="N520" i="21"/>
  <c r="N165" i="21"/>
  <c r="N246" i="21"/>
  <c r="H8" i="24" l="1"/>
  <c r="H10" i="24" s="1"/>
  <c r="J8" i="24"/>
  <c r="F13" i="24"/>
  <c r="N202" i="21"/>
  <c r="N457" i="21"/>
  <c r="N223" i="21"/>
  <c r="N116" i="21"/>
  <c r="N177" i="21"/>
  <c r="N366" i="21"/>
  <c r="N404" i="21"/>
  <c r="N446" i="21"/>
  <c r="N425" i="21"/>
  <c r="N174" i="21"/>
  <c r="N476" i="21"/>
  <c r="N187" i="21"/>
  <c r="N113" i="21"/>
  <c r="N353" i="21"/>
  <c r="N500" i="21"/>
  <c r="N352" i="21"/>
  <c r="N377" i="21"/>
  <c r="N50" i="21"/>
  <c r="N180" i="21"/>
  <c r="N435" i="21"/>
  <c r="N461" i="21"/>
  <c r="H9" i="24" l="1"/>
  <c r="M92" i="21" l="1"/>
  <c r="Q552" i="21"/>
  <c r="L9" i="24" l="1"/>
  <c r="L92" i="21"/>
  <c r="J9" i="24" s="1"/>
  <c r="M552" i="21"/>
  <c r="L10" i="24"/>
  <c r="L552" i="21" l="1"/>
  <c r="J10" i="24"/>
  <c r="F10" i="24"/>
  <c r="N449" i="21"/>
  <c r="N56" i="21"/>
  <c r="N213" i="21"/>
  <c r="N371" i="21"/>
  <c r="N21" i="21"/>
  <c r="N403" i="21"/>
  <c r="N340" i="21"/>
  <c r="N470" i="21"/>
  <c r="N34" i="21"/>
  <c r="N316" i="21"/>
  <c r="N238" i="21"/>
  <c r="N224" i="21"/>
  <c r="N262" i="21"/>
  <c r="N430" i="21"/>
  <c r="N324" i="21"/>
  <c r="N35" i="21"/>
  <c r="N291" i="21"/>
  <c r="N103" i="21"/>
  <c r="N445" i="21"/>
  <c r="N247" i="21"/>
  <c r="N467" i="21"/>
  <c r="N149" i="21"/>
  <c r="N241" i="21"/>
  <c r="N114" i="21"/>
  <c r="N373" i="21"/>
  <c r="N62" i="21"/>
  <c r="N122" i="21"/>
  <c r="N200" i="21"/>
  <c r="N413" i="21"/>
  <c r="N214" i="21"/>
  <c r="N19" i="21"/>
  <c r="N335" i="21"/>
  <c r="N374" i="21"/>
  <c r="N243" i="21"/>
  <c r="N11" i="21"/>
  <c r="N49" i="21"/>
  <c r="N133" i="21"/>
  <c r="N170" i="21"/>
  <c r="N423" i="21"/>
  <c r="N12" i="21"/>
  <c r="N266" i="21"/>
  <c r="N339" i="21"/>
  <c r="N30" i="21"/>
  <c r="N508" i="21"/>
  <c r="N319" i="21"/>
  <c r="N7" i="21"/>
  <c r="N517" i="21"/>
  <c r="N451" i="21"/>
  <c r="N338" i="21"/>
  <c r="N379" i="21"/>
  <c r="N405" i="21"/>
  <c r="N347" i="21"/>
  <c r="N378" i="21"/>
  <c r="N156" i="21"/>
  <c r="N343" i="21"/>
  <c r="N447" i="21"/>
  <c r="N127" i="21"/>
  <c r="N9" i="21"/>
  <c r="N197" i="21"/>
  <c r="N463" i="21"/>
  <c r="N350" i="21"/>
  <c r="N237" i="21"/>
  <c r="N494" i="21"/>
  <c r="N45" i="21"/>
  <c r="N10" i="21"/>
  <c r="N253" i="21"/>
  <c r="N491" i="21"/>
  <c r="N408" i="21"/>
  <c r="N17" i="21"/>
  <c r="N252" i="21"/>
  <c r="N471" i="21"/>
  <c r="N515" i="21"/>
  <c r="N58" i="21"/>
  <c r="N303" i="21"/>
  <c r="N135" i="21"/>
  <c r="N510" i="21"/>
  <c r="N406" i="21"/>
  <c r="N501" i="21"/>
  <c r="N76" i="21"/>
  <c r="N521" i="21"/>
  <c r="N334" i="21"/>
  <c r="N318" i="21"/>
  <c r="N71" i="21"/>
  <c r="N307" i="21"/>
  <c r="N301" i="21"/>
  <c r="N119" i="21"/>
  <c r="N240" i="21"/>
  <c r="N272" i="21"/>
  <c r="N372" i="21"/>
  <c r="N105" i="21"/>
  <c r="N394" i="21"/>
  <c r="N513" i="21"/>
  <c r="N91" i="21"/>
  <c r="N302" i="21"/>
  <c r="N329" i="21"/>
  <c r="N142" i="21"/>
  <c r="N143" i="21"/>
  <c r="N250" i="21"/>
  <c r="N193" i="21"/>
  <c r="N268" i="21"/>
  <c r="N179" i="21"/>
  <c r="N502" i="21"/>
  <c r="N284" i="21"/>
  <c r="N104" i="21"/>
  <c r="N39" i="21"/>
  <c r="N437" i="21"/>
  <c r="N47" i="21"/>
  <c r="N239" i="21"/>
  <c r="N162" i="21"/>
  <c r="N499" i="21"/>
  <c r="N97" i="21"/>
  <c r="N365" i="21"/>
  <c r="N419" i="21"/>
  <c r="N398" i="21"/>
  <c r="N498" i="21"/>
  <c r="N478" i="21"/>
  <c r="N168" i="21"/>
  <c r="N18" i="21"/>
  <c r="N492" i="21"/>
  <c r="N506" i="21"/>
  <c r="N175" i="21"/>
  <c r="N345" i="21"/>
  <c r="N29" i="21"/>
  <c r="N277" i="21"/>
  <c r="N475" i="21"/>
  <c r="N83" i="21"/>
  <c r="N369" i="21"/>
  <c r="N414" i="21"/>
  <c r="N375" i="21"/>
  <c r="N283" i="21"/>
  <c r="N72" i="21"/>
  <c r="N336" i="21"/>
  <c r="N163" i="21"/>
  <c r="N477" i="21"/>
  <c r="N388" i="21"/>
  <c r="N221" i="21"/>
  <c r="N354" i="21"/>
  <c r="N199" i="21"/>
  <c r="N479" i="21"/>
  <c r="N90" i="21"/>
  <c r="N273" i="21"/>
  <c r="N86" i="21"/>
  <c r="N486" i="21"/>
  <c r="N326" i="21"/>
  <c r="N88" i="21"/>
  <c r="N514" i="21"/>
  <c r="N203" i="21"/>
  <c r="N465" i="21"/>
  <c r="N518" i="21"/>
  <c r="N509" i="21"/>
  <c r="N360" i="21"/>
  <c r="N96" i="21"/>
  <c r="N65" i="21"/>
  <c r="N412" i="21"/>
  <c r="N111" i="21"/>
  <c r="N496" i="21"/>
  <c r="N112" i="21"/>
  <c r="N226" i="21"/>
  <c r="N281" i="21"/>
  <c r="N154" i="21"/>
  <c r="N245" i="21"/>
  <c r="N260" i="21"/>
  <c r="N26" i="21"/>
  <c r="N436" i="21"/>
  <c r="N357" i="21"/>
  <c r="N468" i="21"/>
  <c r="N68" i="21"/>
  <c r="N110" i="21"/>
  <c r="N195" i="21"/>
  <c r="N130" i="21"/>
  <c r="N289" i="21"/>
  <c r="N264" i="21"/>
  <c r="N231" i="21"/>
  <c r="N63" i="21"/>
  <c r="N77" i="21"/>
  <c r="N212" i="21"/>
  <c r="N421" i="21"/>
  <c r="N146" i="21"/>
  <c r="N458" i="21"/>
  <c r="N176" i="21"/>
  <c r="N55" i="21"/>
  <c r="N38" i="21"/>
  <c r="N309" i="21"/>
  <c r="N184" i="21"/>
  <c r="N25" i="21"/>
  <c r="N82" i="21"/>
  <c r="N367" i="21"/>
  <c r="N441" i="21"/>
  <c r="N196" i="21"/>
  <c r="N166" i="21"/>
  <c r="N497" i="21"/>
  <c r="N155" i="21"/>
  <c r="N299" i="21"/>
  <c r="N356" i="21"/>
  <c r="N16" i="21"/>
  <c r="N44" i="21"/>
  <c r="N295" i="21"/>
  <c r="N242" i="21"/>
  <c r="N89" i="21"/>
  <c r="N183" i="21"/>
  <c r="N265" i="21"/>
  <c r="N466" i="21"/>
  <c r="N36" i="21"/>
  <c r="N552" i="2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<sst xmlns="http://schemas.openxmlformats.org/spreadsheetml/2006/main" count="7225" uniqueCount="1095">
  <si>
    <t>FANTA CLASSIFICA</t>
  </si>
  <si>
    <t>SQUADRA</t>
  </si>
  <si>
    <t>G</t>
  </si>
  <si>
    <t>V</t>
  </si>
  <si>
    <t>N</t>
  </si>
  <si>
    <t>P</t>
  </si>
  <si>
    <t>GF</t>
  </si>
  <si>
    <t>GS</t>
  </si>
  <si>
    <t>DIFF</t>
  </si>
  <si>
    <t>PT</t>
  </si>
  <si>
    <t>FANTAPT</t>
  </si>
  <si>
    <t>media voto</t>
  </si>
  <si>
    <t>media fvoto</t>
  </si>
  <si>
    <t>tot fvoto</t>
  </si>
  <si>
    <t>media voto tit</t>
  </si>
  <si>
    <t>media fvoto tit</t>
  </si>
  <si>
    <t>tot fvoto tit</t>
  </si>
  <si>
    <t>PEL</t>
  </si>
  <si>
    <t>&lt;---</t>
  </si>
  <si>
    <t>FORMULA CON CONVALIDA DATI MA NON FUNZIONA (EP94)</t>
  </si>
  <si>
    <t xml:space="preserve">nome calciatore </t>
  </si>
  <si>
    <t>menu' a tendina</t>
  </si>
  <si>
    <t>ricerca esatta</t>
  </si>
  <si>
    <t>da nome calciatore</t>
  </si>
  <si>
    <t>&gt; media voto,</t>
  </si>
  <si>
    <t>n° presenze</t>
  </si>
  <si>
    <t>n° presenze tit</t>
  </si>
  <si>
    <t>mediavototit</t>
  </si>
  <si>
    <t>rango per tutte categorie sopra</t>
  </si>
  <si>
    <t xml:space="preserve">rango in gol </t>
  </si>
  <si>
    <t>rango in ass</t>
  </si>
  <si>
    <t>rango in amm</t>
  </si>
  <si>
    <t>rango in esp</t>
  </si>
  <si>
    <t>classifiche best 10</t>
  </si>
  <si>
    <t>filtro da tabella</t>
  </si>
  <si>
    <t>per rango sopra</t>
  </si>
  <si>
    <t>grafici</t>
  </si>
  <si>
    <t>podio primi tre per ogni rango giocatpore singolo</t>
  </si>
  <si>
    <t>classifica righe per squadre</t>
  </si>
  <si>
    <t>CALENDARIO</t>
  </si>
  <si>
    <t>SQ C</t>
  </si>
  <si>
    <t>PT1</t>
  </si>
  <si>
    <t>RIS C</t>
  </si>
  <si>
    <t>RIS F</t>
  </si>
  <si>
    <t>PT2</t>
  </si>
  <si>
    <t>SQ F</t>
  </si>
  <si>
    <t>SETTING</t>
  </si>
  <si>
    <t>aiuto</t>
  </si>
  <si>
    <t>giornata</t>
  </si>
  <si>
    <t>squadra</t>
  </si>
  <si>
    <t>pt base</t>
  </si>
  <si>
    <t>mod dif</t>
  </si>
  <si>
    <t>Pt Tot</t>
  </si>
  <si>
    <t>pt class</t>
  </si>
  <si>
    <t>gol pt  f</t>
  </si>
  <si>
    <t>gol pt s</t>
  </si>
  <si>
    <t xml:space="preserve">gol f </t>
  </si>
  <si>
    <t>gol s</t>
  </si>
  <si>
    <t>gol port f</t>
  </si>
  <si>
    <t>gol port s</t>
  </si>
  <si>
    <t>assist f</t>
  </si>
  <si>
    <t>assist s</t>
  </si>
  <si>
    <t>amm f</t>
  </si>
  <si>
    <t>amm s</t>
  </si>
  <si>
    <t>esp f</t>
  </si>
  <si>
    <t>esp s</t>
  </si>
  <si>
    <t>auto f</t>
  </si>
  <si>
    <t>auto s</t>
  </si>
  <si>
    <t>rig sb f</t>
  </si>
  <si>
    <t>rig sb s</t>
  </si>
  <si>
    <t>Cln Sht F</t>
  </si>
  <si>
    <t>Cln Sht S</t>
  </si>
  <si>
    <t xml:space="preserve">Pt Class </t>
  </si>
  <si>
    <t xml:space="preserve">Pt Mod Dif </t>
  </si>
  <si>
    <t>Pt Tot Class</t>
  </si>
  <si>
    <t>Pt FLega</t>
  </si>
  <si>
    <t>Gol Pt F</t>
  </si>
  <si>
    <t xml:space="preserve">Gol Pt S </t>
  </si>
  <si>
    <t xml:space="preserve">Gol Eff F </t>
  </si>
  <si>
    <t>Gol Eff S</t>
  </si>
  <si>
    <t>Gol sub F</t>
  </si>
  <si>
    <t xml:space="preserve">Gol sub S </t>
  </si>
  <si>
    <t xml:space="preserve">Assist F </t>
  </si>
  <si>
    <t xml:space="preserve">Assist S </t>
  </si>
  <si>
    <t xml:space="preserve">Amm F </t>
  </si>
  <si>
    <t xml:space="preserve">Amm S </t>
  </si>
  <si>
    <t xml:space="preserve">Esp F </t>
  </si>
  <si>
    <t xml:space="preserve">Esp S </t>
  </si>
  <si>
    <t xml:space="preserve">Autogol F </t>
  </si>
  <si>
    <t xml:space="preserve">Autogol S </t>
  </si>
  <si>
    <t xml:space="preserve">Rig Sba F </t>
  </si>
  <si>
    <t xml:space="preserve">Rig Sba S </t>
  </si>
  <si>
    <t>cln sht F</t>
  </si>
  <si>
    <t>cln sht S</t>
  </si>
  <si>
    <t>Colonna1</t>
  </si>
  <si>
    <t>Colonna2</t>
  </si>
  <si>
    <t>Gol      Pt F</t>
  </si>
  <si>
    <t xml:space="preserve">Gol     Pt S </t>
  </si>
  <si>
    <t>1\</t>
  </si>
  <si>
    <t>Totale</t>
  </si>
  <si>
    <t>DATI GIOCATORI</t>
  </si>
  <si>
    <t>NOME</t>
  </si>
  <si>
    <t>FANTA SQ2</t>
  </si>
  <si>
    <t xml:space="preserve">RUOLO </t>
  </si>
  <si>
    <t>QUOT INIZ</t>
  </si>
  <si>
    <t>QUOT ATT</t>
  </si>
  <si>
    <t>DIFF QUOT</t>
  </si>
  <si>
    <t>PRES</t>
  </si>
  <si>
    <t>VOTO AVG</t>
  </si>
  <si>
    <t>FVOTO  AVG</t>
  </si>
  <si>
    <t>FVOTO TOT</t>
  </si>
  <si>
    <t>LEGA TIT</t>
  </si>
  <si>
    <t>GOL                               F</t>
  </si>
  <si>
    <t>GOL                                S</t>
  </si>
  <si>
    <t>RIG                            PAR</t>
  </si>
  <si>
    <t>RIG                                KO</t>
  </si>
  <si>
    <t>RIG                               OK</t>
  </si>
  <si>
    <t>AUTO                           GOL</t>
  </si>
  <si>
    <t>AMM</t>
  </si>
  <si>
    <t>ESP</t>
  </si>
  <si>
    <t>ASS</t>
  </si>
  <si>
    <t>GOL                                VITT</t>
  </si>
  <si>
    <t>CLN                               SHT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</si>
  <si>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</si>
  <si>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</si>
  <si>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</si>
  <si>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</si>
  <si>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</si>
  <si>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</si>
  <si>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</si>
  <si>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</si>
  <si>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</si>
  <si>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</si>
  <si>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</si>
  <si>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</si>
  <si>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</si>
  <si>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</si>
  <si>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</si>
  <si>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</si>
  <si>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</si>
  <si>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</si>
  <si>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</si>
  <si>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</si>
  <si>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</si>
  <si>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</si>
  <si>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</si>
  <si>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</si>
  <si>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</si>
  <si>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</si>
  <si>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</si>
  <si>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</si>
  <si>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</si>
  <si>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</si>
  <si>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</si>
  <si>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</si>
  <si>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</si>
  <si>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</si>
  <si>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</si>
  <si>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</si>
  <si>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</si>
  <si>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</si>
  <si>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D</t>
  </si>
  <si>
    <t>C</t>
  </si>
  <si>
    <t>A</t>
  </si>
  <si>
    <t xml:space="preserve"> </t>
  </si>
  <si>
    <t>FANTASQUADRA</t>
  </si>
  <si>
    <t>grafico andamento voto medio,andamento fantavoto medio,andamento diif quotaz,</t>
  </si>
  <si>
    <t>andamento media classfificazioni(voto,fvoto,totvoto)</t>
  </si>
  <si>
    <t>GIOCATORE</t>
  </si>
  <si>
    <t>RUOLO</t>
  </si>
  <si>
    <t>Media VOTO</t>
  </si>
  <si>
    <t>Media FVOTO</t>
  </si>
  <si>
    <t>Totale FVOTO</t>
  </si>
  <si>
    <t>GOL</t>
  </si>
  <si>
    <t>andamento media fvototit</t>
  </si>
  <si>
    <t>CLASSIFICA TOTALE</t>
  </si>
  <si>
    <t>GIOCATE</t>
  </si>
  <si>
    <t>REGOLA 72</t>
  </si>
  <si>
    <t>FV</t>
  </si>
  <si>
    <t>MEDIA V</t>
  </si>
  <si>
    <t>MEDIA FV</t>
  </si>
  <si>
    <t>REG72</t>
  </si>
  <si>
    <t>DIFESA</t>
  </si>
  <si>
    <t>DATA</t>
  </si>
  <si>
    <t>GG</t>
  </si>
  <si>
    <t>Ruolo</t>
  </si>
  <si>
    <t>Nome</t>
  </si>
  <si>
    <t>Voto</t>
  </si>
  <si>
    <t>Gf</t>
  </si>
  <si>
    <t>Gs</t>
  </si>
  <si>
    <t>Rp</t>
  </si>
  <si>
    <t>Rs</t>
  </si>
  <si>
    <t>Rf</t>
  </si>
  <si>
    <t>Au</t>
  </si>
  <si>
    <t>Amm</t>
  </si>
  <si>
    <t>Esp</t>
  </si>
  <si>
    <t>Ass</t>
  </si>
  <si>
    <t>Gdv</t>
  </si>
  <si>
    <t>cl sh</t>
  </si>
  <si>
    <t>Fanta SQ</t>
  </si>
  <si>
    <t xml:space="preserve">Gol </t>
  </si>
  <si>
    <t>N° FantaTit</t>
  </si>
  <si>
    <t xml:space="preserve">Votot FantaTit </t>
  </si>
  <si>
    <t>fanta voto</t>
  </si>
  <si>
    <t>Tameze</t>
  </si>
  <si>
    <t>Mari'</t>
  </si>
  <si>
    <t>Messias</t>
  </si>
  <si>
    <t>Dawidowicz</t>
  </si>
  <si>
    <t>Ilic</t>
  </si>
  <si>
    <t>Coulibaly L.</t>
  </si>
  <si>
    <t>Gollini</t>
  </si>
  <si>
    <t>Masina</t>
  </si>
  <si>
    <t>Gallo</t>
  </si>
  <si>
    <t>Vasquez</t>
  </si>
  <si>
    <t>Ismajli</t>
  </si>
  <si>
    <t>Luperto</t>
  </si>
  <si>
    <t>Marin</t>
  </si>
  <si>
    <t>Martinez Quarta</t>
  </si>
  <si>
    <t>Calhanoglu</t>
  </si>
  <si>
    <t>Mkhitaryan</t>
  </si>
  <si>
    <t>Petagna</t>
  </si>
  <si>
    <t>Abraham</t>
  </si>
  <si>
    <t>Augello</t>
  </si>
  <si>
    <t>Kyriakopoulos</t>
  </si>
  <si>
    <t>Raspadori</t>
  </si>
  <si>
    <t>Lazovic</t>
  </si>
  <si>
    <t>Baschirotto</t>
  </si>
  <si>
    <t>Colombo</t>
  </si>
  <si>
    <t>Cambiaso</t>
  </si>
  <si>
    <t>Henderson L.</t>
  </si>
  <si>
    <t>Kastanos</t>
  </si>
  <si>
    <t>Adopo</t>
  </si>
  <si>
    <t>Perez N.</t>
  </si>
  <si>
    <t>Martinez L.</t>
  </si>
  <si>
    <t>Musso</t>
  </si>
  <si>
    <t>Gendrey</t>
  </si>
  <si>
    <t>Banda</t>
  </si>
  <si>
    <t>Djimsiti</t>
  </si>
  <si>
    <t>Lykogiannis</t>
  </si>
  <si>
    <t>Cambiaghi</t>
  </si>
  <si>
    <t>Biraghi</t>
  </si>
  <si>
    <t>Dodo'</t>
  </si>
  <si>
    <t>Maleh</t>
  </si>
  <si>
    <t>Bastoni</t>
  </si>
  <si>
    <t>Bremer</t>
  </si>
  <si>
    <t>Marusic</t>
  </si>
  <si>
    <t>Tomori</t>
  </si>
  <si>
    <t>Bennacer</t>
  </si>
  <si>
    <t>De Ketelaere</t>
  </si>
  <si>
    <t>Saelemaekers</t>
  </si>
  <si>
    <t>Birindelli</t>
  </si>
  <si>
    <t>Carlos Augusto</t>
  </si>
  <si>
    <t>Caprari</t>
  </si>
  <si>
    <t>Rrahmani</t>
  </si>
  <si>
    <t>Zambo Anguissa</t>
  </si>
  <si>
    <t>Pellegrini Lo.</t>
  </si>
  <si>
    <t>Dybala</t>
  </si>
  <si>
    <t>Caputo</t>
  </si>
  <si>
    <t>Frattesi</t>
  </si>
  <si>
    <t>Linetty</t>
  </si>
  <si>
    <t>Piccoli</t>
  </si>
  <si>
    <t>De Roon</t>
  </si>
  <si>
    <t>Aebischer</t>
  </si>
  <si>
    <t>Locatelli</t>
  </si>
  <si>
    <t>Milinkovic-Savic V.</t>
  </si>
  <si>
    <t>Maignan</t>
  </si>
  <si>
    <t>Meret</t>
  </si>
  <si>
    <t>Montipo'</t>
  </si>
  <si>
    <t>Politano</t>
  </si>
  <si>
    <t>Calabria</t>
  </si>
  <si>
    <t>Di Lorenzo</t>
  </si>
  <si>
    <t>Pasalic</t>
  </si>
  <si>
    <t>Darmian</t>
  </si>
  <si>
    <t>Strefezza</t>
  </si>
  <si>
    <t>Amrabat</t>
  </si>
  <si>
    <t>Dimarco</t>
  </si>
  <si>
    <t>Barella</t>
  </si>
  <si>
    <t>Mancini</t>
  </si>
  <si>
    <t>Dumfries</t>
  </si>
  <si>
    <t>Provedel</t>
  </si>
  <si>
    <t>Skorupski</t>
  </si>
  <si>
    <t>Cristante</t>
  </si>
  <si>
    <t>Mandragora</t>
  </si>
  <si>
    <t>Jovic</t>
  </si>
  <si>
    <t>Hernandez T.</t>
  </si>
  <si>
    <t>Mota</t>
  </si>
  <si>
    <t>Sottil</t>
  </si>
  <si>
    <t>Kouame'</t>
  </si>
  <si>
    <t>Ricci S.</t>
  </si>
  <si>
    <t>Zapata D.</t>
  </si>
  <si>
    <t>Lazzari</t>
  </si>
  <si>
    <t>Di Gregorio</t>
  </si>
  <si>
    <t>Vlahovic</t>
  </si>
  <si>
    <t>Kvaratskhelia</t>
  </si>
  <si>
    <t>Sanabria</t>
  </si>
  <si>
    <t>Lobotka</t>
  </si>
  <si>
    <t>Falcone</t>
  </si>
  <si>
    <t>Parisi</t>
  </si>
  <si>
    <t>Spinazzola</t>
  </si>
  <si>
    <t>Romagnoli</t>
  </si>
  <si>
    <t>Mazzocchi</t>
  </si>
  <si>
    <t>Gyasi</t>
  </si>
  <si>
    <t>Zaccagni</t>
  </si>
  <si>
    <t>Orsolini</t>
  </si>
  <si>
    <t>Duncan</t>
  </si>
  <si>
    <t>Kean</t>
  </si>
  <si>
    <t>Vecino</t>
  </si>
  <si>
    <t>De Winter</t>
  </si>
  <si>
    <t>Haas</t>
  </si>
  <si>
    <t>Gagliardini</t>
  </si>
  <si>
    <t>Pedro</t>
  </si>
  <si>
    <t>Olivera</t>
  </si>
  <si>
    <t>Bijol</t>
  </si>
  <si>
    <t>Ikone'</t>
  </si>
  <si>
    <t>El Shaarawy</t>
  </si>
  <si>
    <t>Erlic</t>
  </si>
  <si>
    <t>Coppola D.</t>
  </si>
  <si>
    <t>Zalewski</t>
  </si>
  <si>
    <t>Lovric</t>
  </si>
  <si>
    <t>Caldirola</t>
  </si>
  <si>
    <t>Baldanzi</t>
  </si>
  <si>
    <t>Celik</t>
  </si>
  <si>
    <t>Pongracic</t>
  </si>
  <si>
    <t>Adli</t>
  </si>
  <si>
    <t>Pessina</t>
  </si>
  <si>
    <t>Hien</t>
  </si>
  <si>
    <t>Vojvoda</t>
  </si>
  <si>
    <t>Ederson D.s.</t>
  </si>
  <si>
    <t>Colpani</t>
  </si>
  <si>
    <t>Pezzella Giu.</t>
  </si>
  <si>
    <t>Cancellieri</t>
  </si>
  <si>
    <t>Zappacosta</t>
  </si>
  <si>
    <t>Asllani</t>
  </si>
  <si>
    <t>Gatti</t>
  </si>
  <si>
    <t>Harroui</t>
  </si>
  <si>
    <t>Terracciano</t>
  </si>
  <si>
    <t>Moro N.</t>
  </si>
  <si>
    <t>Belotti</t>
  </si>
  <si>
    <t>Ekong</t>
  </si>
  <si>
    <t>Rovella</t>
  </si>
  <si>
    <t>Cacace</t>
  </si>
  <si>
    <t>Posch</t>
  </si>
  <si>
    <t>Fagioli</t>
  </si>
  <si>
    <t>Ehizibue</t>
  </si>
  <si>
    <t>Izzo</t>
  </si>
  <si>
    <t>Simeone</t>
  </si>
  <si>
    <t>Cabal</t>
  </si>
  <si>
    <t>Bellanova</t>
  </si>
  <si>
    <t>Casale</t>
  </si>
  <si>
    <t>Juan Jesus</t>
  </si>
  <si>
    <t>Acerbi</t>
  </si>
  <si>
    <t>Verdi</t>
  </si>
  <si>
    <t>Fazzini</t>
  </si>
  <si>
    <t>Walukiewicz</t>
  </si>
  <si>
    <t>Sulemana I.</t>
  </si>
  <si>
    <t>Maldini</t>
  </si>
  <si>
    <t>Magnani</t>
  </si>
  <si>
    <t>Thiaw</t>
  </si>
  <si>
    <t>Soule'</t>
  </si>
  <si>
    <t>Karamoh</t>
  </si>
  <si>
    <t>Ruggeri</t>
  </si>
  <si>
    <t>Zanoli</t>
  </si>
  <si>
    <t>Castrovilli</t>
  </si>
  <si>
    <t>Duda</t>
  </si>
  <si>
    <t>Ngonge</t>
  </si>
  <si>
    <t>Thauvin</t>
  </si>
  <si>
    <t>0</t>
  </si>
  <si>
    <t>(Tutto)</t>
  </si>
  <si>
    <t>AVG Voto</t>
  </si>
  <si>
    <t>AVG FVoto</t>
  </si>
  <si>
    <t>TOT FVoto</t>
  </si>
  <si>
    <t xml:space="preserve">Gol F </t>
  </si>
  <si>
    <t>Gol S</t>
  </si>
  <si>
    <t>Rig P</t>
  </si>
  <si>
    <t>Rig KO</t>
  </si>
  <si>
    <t>Rig OK</t>
  </si>
  <si>
    <t>AutoG</t>
  </si>
  <si>
    <t xml:space="preserve">Amm </t>
  </si>
  <si>
    <t xml:space="preserve">Esp </t>
  </si>
  <si>
    <t>Assist</t>
  </si>
  <si>
    <t>Gol VITT</t>
  </si>
  <si>
    <t>CL SHT</t>
  </si>
  <si>
    <t xml:space="preserve">N° FantaTit </t>
  </si>
  <si>
    <t>AVG FantaTit</t>
  </si>
  <si>
    <t>TOT FantaTit</t>
  </si>
  <si>
    <t>Totale complessivo</t>
  </si>
  <si>
    <t>FLAG</t>
  </si>
  <si>
    <t>VOTO</t>
  </si>
  <si>
    <t>FVOTO</t>
  </si>
  <si>
    <t>TIT</t>
  </si>
  <si>
    <t>TOT</t>
  </si>
  <si>
    <t>TOT TIT</t>
  </si>
  <si>
    <t>MEDIA</t>
  </si>
  <si>
    <t>MEDIA TIT</t>
  </si>
  <si>
    <t>gioca</t>
  </si>
  <si>
    <t>fantatit</t>
  </si>
  <si>
    <t>non gioca</t>
  </si>
  <si>
    <t>infortunato</t>
  </si>
  <si>
    <t>squalif</t>
  </si>
  <si>
    <t>.</t>
  </si>
  <si>
    <t>TOTALE</t>
  </si>
  <si>
    <t>PORTIERI</t>
  </si>
  <si>
    <t>DIF</t>
  </si>
  <si>
    <t>CENTROCAMPISTI</t>
  </si>
  <si>
    <t>ATTACCANTI</t>
  </si>
  <si>
    <t>MV</t>
  </si>
  <si>
    <t>MVF</t>
  </si>
  <si>
    <t>INF /SQUAL</t>
  </si>
  <si>
    <t>NG</t>
  </si>
  <si>
    <t>gg</t>
  </si>
  <si>
    <t>GIORNATA</t>
  </si>
  <si>
    <t>Solbakken</t>
  </si>
  <si>
    <t>Best 11</t>
  </si>
  <si>
    <t>Voti Best11</t>
  </si>
  <si>
    <t>Best 11 MOD</t>
  </si>
  <si>
    <t>Voti Best11 MOD</t>
  </si>
  <si>
    <t>Conteggio di Best 11 MOD</t>
  </si>
  <si>
    <t>Conteggio di Best 11</t>
  </si>
  <si>
    <t>Best11 MOD</t>
  </si>
  <si>
    <t>Best11</t>
  </si>
  <si>
    <t>c</t>
  </si>
  <si>
    <t>Svilar</t>
  </si>
  <si>
    <t>Vignato S.</t>
  </si>
  <si>
    <t>39</t>
  </si>
  <si>
    <t>sous</t>
  </si>
  <si>
    <t>Bakker</t>
  </si>
  <si>
    <t>Beukema</t>
  </si>
  <si>
    <t>Ndoye</t>
  </si>
  <si>
    <t>Scuffet</t>
  </si>
  <si>
    <t>Zappa</t>
  </si>
  <si>
    <t>Azzi</t>
  </si>
  <si>
    <t>Goldaniga</t>
  </si>
  <si>
    <t>Altare</t>
  </si>
  <si>
    <t>Deiola</t>
  </si>
  <si>
    <t>Oristanio</t>
  </si>
  <si>
    <t>Prati</t>
  </si>
  <si>
    <t>Lella</t>
  </si>
  <si>
    <t>Lapadula</t>
  </si>
  <si>
    <t>Luvumbo</t>
  </si>
  <si>
    <t>Pavoletti</t>
  </si>
  <si>
    <t>Kayode</t>
  </si>
  <si>
    <t>Brescianini</t>
  </si>
  <si>
    <t>Martin</t>
  </si>
  <si>
    <t>Vogliacco</t>
  </si>
  <si>
    <t>Sabelli</t>
  </si>
  <si>
    <t>Bani</t>
  </si>
  <si>
    <t>Thorsby</t>
  </si>
  <si>
    <t>Badelj</t>
  </si>
  <si>
    <t>Frendrup</t>
  </si>
  <si>
    <t>Retegui</t>
  </si>
  <si>
    <t>Sommer</t>
  </si>
  <si>
    <t>Bisseck</t>
  </si>
  <si>
    <t>Fabbian</t>
  </si>
  <si>
    <t>Thuram</t>
  </si>
  <si>
    <t>Weah</t>
  </si>
  <si>
    <t>Yildiz</t>
  </si>
  <si>
    <t>Castellanos</t>
  </si>
  <si>
    <t>Isaksen</t>
  </si>
  <si>
    <t>Dorgu</t>
  </si>
  <si>
    <t>Ramadani</t>
  </si>
  <si>
    <t>Rafia</t>
  </si>
  <si>
    <t>Almqvist</t>
  </si>
  <si>
    <t>Chukwueze</t>
  </si>
  <si>
    <t>Pulisic</t>
  </si>
  <si>
    <t>Loftus-Cheek</t>
  </si>
  <si>
    <t>Reijnders</t>
  </si>
  <si>
    <t>Musah</t>
  </si>
  <si>
    <t>Okafor</t>
  </si>
  <si>
    <t>Viti</t>
  </si>
  <si>
    <t>Kamara H.</t>
  </si>
  <si>
    <t>Zemura</t>
  </si>
  <si>
    <t>Brenner</t>
  </si>
  <si>
    <t>Lucca</t>
  </si>
  <si>
    <t>B</t>
  </si>
  <si>
    <t>F</t>
  </si>
  <si>
    <t>H</t>
  </si>
  <si>
    <t>E</t>
  </si>
  <si>
    <t>PARTIZAN DEGRADO</t>
  </si>
  <si>
    <t>abr</t>
  </si>
  <si>
    <t>tu</t>
  </si>
  <si>
    <t xml:space="preserve">cercagiocatori </t>
  </si>
  <si>
    <t>in CLASS GIOCATORI inserendo le prime lettere nel menu a tendina escono solo i giocatori interessati</t>
  </si>
  <si>
    <t>voti automatici</t>
  </si>
  <si>
    <t>inserendo i dati in INSER DATA, automaticamente si inseriscono i  dati anche in  TAB GIOCXGIOC..(attenzione che se il nome del giocatore non c'è non verranno inseriti i dati)</t>
  </si>
  <si>
    <t>inserendo i risultati in BASEDATI FANTASQUADRE auomaticamente si aggiorna INSERT DATA CALENDARIO</t>
  </si>
  <si>
    <t>risultati automatici</t>
  </si>
  <si>
    <t>punteggi automatici</t>
  </si>
  <si>
    <t>inserendo i risultati in punti si aggiornano automatticamente anche i risulati delle partite sia in INSERT DATA CALENDARIO che in BASE DATI FANTASQUADRE</t>
  </si>
  <si>
    <t>NON CANCELLARE</t>
  </si>
  <si>
    <t>servono per calcolare  i gol in base al punteggio</t>
  </si>
  <si>
    <t>CONC X VOTI IN TAB GIOC</t>
  </si>
  <si>
    <t>CONC X DATI IN BASE FANTASQ</t>
  </si>
  <si>
    <t>aaa</t>
  </si>
  <si>
    <t>concat cln sht</t>
  </si>
  <si>
    <t>funzioni concatena</t>
  </si>
  <si>
    <t>in INSERT DATA tre funz concatena; 1 per scrivere direttamente voto in TAB GIOCXGIOC,2 per somma punti titolari in BASE DATI FANTASQ, 3 per CLN SHEET</t>
  </si>
  <si>
    <t>FC ASPARAGHESE</t>
  </si>
  <si>
    <t>SOPPI</t>
  </si>
  <si>
    <t>ADRI</t>
  </si>
  <si>
    <t>LEO</t>
  </si>
  <si>
    <t>ANDREA</t>
  </si>
  <si>
    <t>IVO</t>
  </si>
  <si>
    <t>ALWIN</t>
  </si>
  <si>
    <t>Godfrey</t>
  </si>
  <si>
    <t>Palestra</t>
  </si>
  <si>
    <t>Cassa</t>
  </si>
  <si>
    <t>Miranda J.</t>
  </si>
  <si>
    <t>Freuler</t>
  </si>
  <si>
    <t>Odgaard</t>
  </si>
  <si>
    <t>Castro S.</t>
  </si>
  <si>
    <t>Dallinga</t>
  </si>
  <si>
    <t>Wieteska</t>
  </si>
  <si>
    <t>Reina</t>
  </si>
  <si>
    <t>Barba</t>
  </si>
  <si>
    <t>Sala M.</t>
  </si>
  <si>
    <t>Moreno Alb.</t>
  </si>
  <si>
    <t>Baselli</t>
  </si>
  <si>
    <t>Da Cunha</t>
  </si>
  <si>
    <t>Abildgaard</t>
  </si>
  <si>
    <t>Braunoder</t>
  </si>
  <si>
    <t>Engelhardt</t>
  </si>
  <si>
    <t>Cerri</t>
  </si>
  <si>
    <t>Cutrone</t>
  </si>
  <si>
    <t>Gabrielloni</t>
  </si>
  <si>
    <t>Vasquez D.</t>
  </si>
  <si>
    <t>Esposito Se.</t>
  </si>
  <si>
    <t>Comuzzo</t>
  </si>
  <si>
    <t>Bianco</t>
  </si>
  <si>
    <t>Malinovskyi</t>
  </si>
  <si>
    <t>Vitinha O.</t>
  </si>
  <si>
    <t>Ekhator</t>
  </si>
  <si>
    <t>Taremi</t>
  </si>
  <si>
    <t>Savona</t>
  </si>
  <si>
    <t>Douglas Luiz</t>
  </si>
  <si>
    <t>Thuram K.</t>
  </si>
  <si>
    <t>Mbangula</t>
  </si>
  <si>
    <t>Guendouzi</t>
  </si>
  <si>
    <t>Tchaouna</t>
  </si>
  <si>
    <t>Dele-Bashiru</t>
  </si>
  <si>
    <t>Noslin</t>
  </si>
  <si>
    <t>Gaspar K.</t>
  </si>
  <si>
    <t>Berisha M.</t>
  </si>
  <si>
    <t>Pierret</t>
  </si>
  <si>
    <t>Tete Morente</t>
  </si>
  <si>
    <t>Marchwinski</t>
  </si>
  <si>
    <t>Krstovic</t>
  </si>
  <si>
    <t>Pierotti</t>
  </si>
  <si>
    <t>Morata</t>
  </si>
  <si>
    <t>Leao</t>
  </si>
  <si>
    <t>Pizzignacco</t>
  </si>
  <si>
    <t>Bondo</t>
  </si>
  <si>
    <t>Cheddira</t>
  </si>
  <si>
    <t>Suzuki</t>
  </si>
  <si>
    <t>Balogh</t>
  </si>
  <si>
    <t>Valeri</t>
  </si>
  <si>
    <t>Circati</t>
  </si>
  <si>
    <t>Coulibaly W.</t>
  </si>
  <si>
    <t>Cyprien</t>
  </si>
  <si>
    <t>Estevez</t>
  </si>
  <si>
    <t>Sohm</t>
  </si>
  <si>
    <t>Man</t>
  </si>
  <si>
    <t>Camara D.</t>
  </si>
  <si>
    <t>Bernabe'</t>
  </si>
  <si>
    <t>Hainaut</t>
  </si>
  <si>
    <t>Mihaila</t>
  </si>
  <si>
    <t>Bonny</t>
  </si>
  <si>
    <t>N'Dicka</t>
  </si>
  <si>
    <t>Angelino</t>
  </si>
  <si>
    <t>Le Fee</t>
  </si>
  <si>
    <t>Dovbyk</t>
  </si>
  <si>
    <t>Lazaro</t>
  </si>
  <si>
    <t>Sazonov</t>
  </si>
  <si>
    <t>Coco</t>
  </si>
  <si>
    <t>Dembele' A.</t>
  </si>
  <si>
    <t>Adams C.</t>
  </si>
  <si>
    <t>Okoye</t>
  </si>
  <si>
    <t>Giannetti L.</t>
  </si>
  <si>
    <t>Payero</t>
  </si>
  <si>
    <t>Karlstrom</t>
  </si>
  <si>
    <t>Ekkelenkamp</t>
  </si>
  <si>
    <t>Davis K.</t>
  </si>
  <si>
    <t>Joronen</t>
  </si>
  <si>
    <t>Zampano</t>
  </si>
  <si>
    <t>Svoboda</t>
  </si>
  <si>
    <t>Haps</t>
  </si>
  <si>
    <t>Sverko</t>
  </si>
  <si>
    <t>Sagrado</t>
  </si>
  <si>
    <t>Crnigoj</t>
  </si>
  <si>
    <t>Ellertsson</t>
  </si>
  <si>
    <t>Andersen M.k.</t>
  </si>
  <si>
    <t>Pierini</t>
  </si>
  <si>
    <t>Raimondo</t>
  </si>
  <si>
    <t>Gytkjaer</t>
  </si>
  <si>
    <t>Tchatchoua</t>
  </si>
  <si>
    <t>Frese</t>
  </si>
  <si>
    <t>Belahyane</t>
  </si>
  <si>
    <t>Serdar</t>
  </si>
  <si>
    <t>Suslov</t>
  </si>
  <si>
    <t>Mosquera</t>
  </si>
  <si>
    <t>Rocha Livramento</t>
  </si>
  <si>
    <t>Tengstedt</t>
  </si>
  <si>
    <t>LELECICO</t>
  </si>
  <si>
    <t>0,00</t>
  </si>
  <si>
    <t>SAN GRIA</t>
  </si>
  <si>
    <t>Carnesecchi</t>
  </si>
  <si>
    <t>Zaniolo</t>
  </si>
  <si>
    <t>Samardzic</t>
  </si>
  <si>
    <t>Mina</t>
  </si>
  <si>
    <t>Perrone</t>
  </si>
  <si>
    <t>Paz N.</t>
  </si>
  <si>
    <t>Ranieri L.</t>
  </si>
  <si>
    <t>Pinamonti</t>
  </si>
  <si>
    <t>Pavard</t>
  </si>
  <si>
    <t>Patric</t>
  </si>
  <si>
    <t>Dia</t>
  </si>
  <si>
    <t>Pavlovic</t>
  </si>
  <si>
    <t>Fofana Y.</t>
  </si>
  <si>
    <t>Buongiorno</t>
  </si>
  <si>
    <t>Neres</t>
  </si>
  <si>
    <t>Delprato</t>
  </si>
  <si>
    <t>Kabasele</t>
  </si>
  <si>
    <t>Zarraga</t>
  </si>
  <si>
    <t>Idzes</t>
  </si>
  <si>
    <t>Nicolussi Caviglia</t>
  </si>
  <si>
    <t>TRICCHETTRACHT</t>
  </si>
  <si>
    <t>FC INTERNAZIOANALE</t>
  </si>
  <si>
    <t>AS PIPPERIA</t>
  </si>
  <si>
    <t>SHARK</t>
  </si>
  <si>
    <t>SESTO ASENSIO</t>
  </si>
  <si>
    <t>AC ASPARAGHESE</t>
  </si>
  <si>
    <t>PESCICULINI</t>
  </si>
  <si>
    <t>MARCO</t>
  </si>
  <si>
    <t>ATL. IMPROVVISATO</t>
  </si>
  <si>
    <t>PHILIP</t>
  </si>
  <si>
    <t>MICHELE</t>
  </si>
  <si>
    <t>Kolasinac</t>
  </si>
  <si>
    <t>Scalvini</t>
  </si>
  <si>
    <t>Kossounou</t>
  </si>
  <si>
    <t>Bernasconi</t>
  </si>
  <si>
    <t>Gaetano</t>
  </si>
  <si>
    <t>Ederson D.S.</t>
  </si>
  <si>
    <t>Scamacca</t>
  </si>
  <si>
    <t>Atalanta</t>
  </si>
  <si>
    <t>Kristensen T.</t>
  </si>
  <si>
    <t>Sulemana K.</t>
  </si>
  <si>
    <t>Happonen</t>
  </si>
  <si>
    <t>Bologna</t>
  </si>
  <si>
    <t>Pessina Mas.</t>
  </si>
  <si>
    <t>Alhassane</t>
  </si>
  <si>
    <t>De Silvestri</t>
  </si>
  <si>
    <t>Heggem</t>
  </si>
  <si>
    <t>Helland</t>
  </si>
  <si>
    <t>Holm</t>
  </si>
  <si>
    <t>Vitik</t>
  </si>
  <si>
    <t>Zortea</t>
  </si>
  <si>
    <t>Amondarain</t>
  </si>
  <si>
    <t>Bernardeschi</t>
  </si>
  <si>
    <t>El Azzouzi O.</t>
  </si>
  <si>
    <t>Ferguson</t>
  </si>
  <si>
    <t>Pobega</t>
  </si>
  <si>
    <t>Rowe</t>
  </si>
  <si>
    <t>Caprile</t>
  </si>
  <si>
    <t>Cagliari</t>
  </si>
  <si>
    <t>Radunovic</t>
  </si>
  <si>
    <t>Sherri</t>
  </si>
  <si>
    <t>Aurelio</t>
  </si>
  <si>
    <t>Idrissi R.</t>
  </si>
  <si>
    <t>Kofler</t>
  </si>
  <si>
    <t>Obert</t>
  </si>
  <si>
    <t>Rodriguez Ju.</t>
  </si>
  <si>
    <t>Zè Pedro</t>
  </si>
  <si>
    <t>Felici</t>
  </si>
  <si>
    <t>Liteta</t>
  </si>
  <si>
    <t>Romano</t>
  </si>
  <si>
    <t>Winks</t>
  </si>
  <si>
    <t>Borrelli</t>
  </si>
  <si>
    <t>Kevin Carlos</t>
  </si>
  <si>
    <t>Mendy P.</t>
  </si>
  <si>
    <t>Mutandwa</t>
  </si>
  <si>
    <t>Trepy</t>
  </si>
  <si>
    <t>Butez</t>
  </si>
  <si>
    <t>Como</t>
  </si>
  <si>
    <t>Tornqvist</t>
  </si>
  <si>
    <t>Vigorito</t>
  </si>
  <si>
    <t>Chalobah T.</t>
  </si>
  <si>
    <t>Couto</t>
  </si>
  <si>
    <t>Kaiki</t>
  </si>
  <si>
    <t>Kempf</t>
  </si>
  <si>
    <t>Ramon</t>
  </si>
  <si>
    <t>Smolcic I.</t>
  </si>
  <si>
    <t>Valle</t>
  </si>
  <si>
    <t>Van Der Brempt</t>
  </si>
  <si>
    <t>Addai</t>
  </si>
  <si>
    <t>Baturina</t>
  </si>
  <si>
    <t>Caqueret</t>
  </si>
  <si>
    <t>Fadera</t>
  </si>
  <si>
    <t>Lahdo</t>
  </si>
  <si>
    <t>Liberali</t>
  </si>
  <si>
    <t>Milla</t>
  </si>
  <si>
    <t>Rodriguez Je.</t>
  </si>
  <si>
    <t>Azon</t>
  </si>
  <si>
    <t>Diao</t>
  </si>
  <si>
    <t>Douvikas</t>
  </si>
  <si>
    <t>Kuhn</t>
  </si>
  <si>
    <t>Christensen O.</t>
  </si>
  <si>
    <t>Fiorentina</t>
  </si>
  <si>
    <t>De Gea</t>
  </si>
  <si>
    <t>Lezzerini</t>
  </si>
  <si>
    <t>Dodò</t>
  </si>
  <si>
    <t>Dragusin</t>
  </si>
  <si>
    <t>Jimenez A.</t>
  </si>
  <si>
    <t>Joao Mario</t>
  </si>
  <si>
    <t>Valdepenas</t>
  </si>
  <si>
    <t>Viery</t>
  </si>
  <si>
    <t>Atta</t>
  </si>
  <si>
    <t>Gudmundsson A.</t>
  </si>
  <si>
    <t>Mastantuono</t>
  </si>
  <si>
    <t>Ndour</t>
  </si>
  <si>
    <t>Oulai</t>
  </si>
  <si>
    <t>Pellegrino M.</t>
  </si>
  <si>
    <t>Desplanches</t>
  </si>
  <si>
    <t>Frosinone</t>
  </si>
  <si>
    <t>Lolic</t>
  </si>
  <si>
    <t>Palmisani</t>
  </si>
  <si>
    <t>Pisseri</t>
  </si>
  <si>
    <t>Akpoguma</t>
  </si>
  <si>
    <t>Amey</t>
  </si>
  <si>
    <t>Bracaglia</t>
  </si>
  <si>
    <t>Calvani</t>
  </si>
  <si>
    <t>Cittadini</t>
  </si>
  <si>
    <t>Monterisi</t>
  </si>
  <si>
    <t>Omar Fayed</t>
  </si>
  <si>
    <t>Oyono A.</t>
  </si>
  <si>
    <t>Terzic</t>
  </si>
  <si>
    <t>Calò</t>
  </si>
  <si>
    <t>Cichella</t>
  </si>
  <si>
    <t>El Azzouzi A.</t>
  </si>
  <si>
    <t xml:space="preserve">Fini </t>
  </si>
  <si>
    <t>Gelli F.</t>
  </si>
  <si>
    <t>Grillitsch</t>
  </si>
  <si>
    <t>Hasa</t>
  </si>
  <si>
    <t>Kone B.</t>
  </si>
  <si>
    <t>Koutsoupias</t>
  </si>
  <si>
    <t>Masini</t>
  </si>
  <si>
    <t>Schmid</t>
  </si>
  <si>
    <t>Zerbin</t>
  </si>
  <si>
    <t>Ghedjemis</t>
  </si>
  <si>
    <t>Kvernadze</t>
  </si>
  <si>
    <t>Bijlow</t>
  </si>
  <si>
    <t>Genoa</t>
  </si>
  <si>
    <t>Sommariva</t>
  </si>
  <si>
    <t>Stolz</t>
  </si>
  <si>
    <t>Marcandalli</t>
  </si>
  <si>
    <t>Matturro</t>
  </si>
  <si>
    <t>Mitaj</t>
  </si>
  <si>
    <t>Norton-Cuffy</t>
  </si>
  <si>
    <t>Ostigard</t>
  </si>
  <si>
    <t>Otoa</t>
  </si>
  <si>
    <t>Puczka</t>
  </si>
  <si>
    <t>Amorim</t>
  </si>
  <si>
    <t>Meichtry</t>
  </si>
  <si>
    <t>Sow</t>
  </si>
  <si>
    <t>Traorè Hj.</t>
  </si>
  <si>
    <t>Venturino</t>
  </si>
  <si>
    <t>Havel</t>
  </si>
  <si>
    <t>Di Gennaro</t>
  </si>
  <si>
    <t>Inter</t>
  </si>
  <si>
    <t>Martinez Jo.</t>
  </si>
  <si>
    <t>Akanji</t>
  </si>
  <si>
    <t>Spence</t>
  </si>
  <si>
    <t>Stones</t>
  </si>
  <si>
    <t>Diouf</t>
  </si>
  <si>
    <t>Luis Henrique</t>
  </si>
  <si>
    <t>Stankovic A.</t>
  </si>
  <si>
    <t>Sucic P.</t>
  </si>
  <si>
    <t>Zielinski</t>
  </si>
  <si>
    <t>Esposito F.P.</t>
  </si>
  <si>
    <t>Juventus</t>
  </si>
  <si>
    <t>Perin</t>
  </si>
  <si>
    <t>Pinsoglio</t>
  </si>
  <si>
    <t>Vicario</t>
  </si>
  <si>
    <t>Kalulu</t>
  </si>
  <si>
    <t>Kelly L.</t>
  </si>
  <si>
    <t>Lucumì</t>
  </si>
  <si>
    <t>Rugani</t>
  </si>
  <si>
    <t>Alajbegovic</t>
  </si>
  <si>
    <t>Conceicao</t>
  </si>
  <si>
    <t>Koopmeiners</t>
  </si>
  <si>
    <t>McKennie</t>
  </si>
  <si>
    <t>Miretti</t>
  </si>
  <si>
    <t>Zhegrova</t>
  </si>
  <si>
    <t>Boga</t>
  </si>
  <si>
    <t>David</t>
  </si>
  <si>
    <t>Kolo Muani</t>
  </si>
  <si>
    <t>Milik</t>
  </si>
  <si>
    <t>Mandas</t>
  </si>
  <si>
    <t>Lazio</t>
  </si>
  <si>
    <t>Motta</t>
  </si>
  <si>
    <t>Renzetti</t>
  </si>
  <si>
    <t>Doekhi</t>
  </si>
  <si>
    <t>Floriani Mussolini</t>
  </si>
  <si>
    <t>Pedraza</t>
  </si>
  <si>
    <t>Pellegrini Lu.</t>
  </si>
  <si>
    <t>Provstgaard</t>
  </si>
  <si>
    <t>Tavares N.</t>
  </si>
  <si>
    <t>Cataldi</t>
  </si>
  <si>
    <t>Przyborek</t>
  </si>
  <si>
    <t>Taylor K.</t>
  </si>
  <si>
    <t>Ratkov</t>
  </si>
  <si>
    <t>Bleve</t>
  </si>
  <si>
    <t>Lecce</t>
  </si>
  <si>
    <t>Penev</t>
  </si>
  <si>
    <t>Jean</t>
  </si>
  <si>
    <t>Ndaba</t>
  </si>
  <si>
    <t>Siebert</t>
  </si>
  <si>
    <t>Tiago Gabriel</t>
  </si>
  <si>
    <t>Veiga D.</t>
  </si>
  <si>
    <t>Fofana Sa.</t>
  </si>
  <si>
    <t>Gandelman</t>
  </si>
  <si>
    <t>Gorter</t>
  </si>
  <si>
    <t>Kaba</t>
  </si>
  <si>
    <t>Laerke</t>
  </si>
  <si>
    <t>Ngom</t>
  </si>
  <si>
    <t>Geubbels</t>
  </si>
  <si>
    <t>N'Dri</t>
  </si>
  <si>
    <t>Stulic</t>
  </si>
  <si>
    <t>Milan</t>
  </si>
  <si>
    <t>Torriani</t>
  </si>
  <si>
    <t>Bartesaghi</t>
  </si>
  <si>
    <t>Diawara S.</t>
  </si>
  <si>
    <t>Estupinan</t>
  </si>
  <si>
    <t>Gabbia</t>
  </si>
  <si>
    <t>Gila</t>
  </si>
  <si>
    <t>Cissè A.</t>
  </si>
  <si>
    <t>Comotto</t>
  </si>
  <si>
    <t>Jashari</t>
  </si>
  <si>
    <t>Modric</t>
  </si>
  <si>
    <t>Moreira</t>
  </si>
  <si>
    <t>Rabiot</t>
  </si>
  <si>
    <t>Camarda</t>
  </si>
  <si>
    <t>Gimenez</t>
  </si>
  <si>
    <t>Ramos G.</t>
  </si>
  <si>
    <t>Monza</t>
  </si>
  <si>
    <t>Strajnar</t>
  </si>
  <si>
    <t>Thiam</t>
  </si>
  <si>
    <t>Antov</t>
  </si>
  <si>
    <t>Bakoune</t>
  </si>
  <si>
    <t>Carboni A.</t>
  </si>
  <si>
    <t>Delli Carri</t>
  </si>
  <si>
    <t>Kouadio</t>
  </si>
  <si>
    <t>Lucchesi</t>
  </si>
  <si>
    <t>Mangas</t>
  </si>
  <si>
    <t>Akinsanmiro</t>
  </si>
  <si>
    <t>Ciurria</t>
  </si>
  <si>
    <t>Colombo L.</t>
  </si>
  <si>
    <t>Forson O.</t>
  </si>
  <si>
    <t>Tourè I.</t>
  </si>
  <si>
    <t>Robinson J.</t>
  </si>
  <si>
    <t>Varela G.</t>
  </si>
  <si>
    <t>Contini</t>
  </si>
  <si>
    <t>Napoli</t>
  </si>
  <si>
    <t>Favasuli</t>
  </si>
  <si>
    <t>Marianucci</t>
  </si>
  <si>
    <t>Marin R.</t>
  </si>
  <si>
    <t>De Bruyne</t>
  </si>
  <si>
    <t>Folorunsho</t>
  </si>
  <si>
    <t>Gilmour</t>
  </si>
  <si>
    <t>McTominay</t>
  </si>
  <si>
    <t>Vergara</t>
  </si>
  <si>
    <t>Giovane</t>
  </si>
  <si>
    <t>Hojlund</t>
  </si>
  <si>
    <t>Lang</t>
  </si>
  <si>
    <t>Santos A.</t>
  </si>
  <si>
    <t>Corvi</t>
  </si>
  <si>
    <t>Parma</t>
  </si>
  <si>
    <t>Daffara</t>
  </si>
  <si>
    <t>Britschgi</t>
  </si>
  <si>
    <t>Carboni F.</t>
  </si>
  <si>
    <t>Ndiaye</t>
  </si>
  <si>
    <t>Troilo</t>
  </si>
  <si>
    <t>Valenti</t>
  </si>
  <si>
    <t>Bernabè</t>
  </si>
  <si>
    <t>Cremaschi</t>
  </si>
  <si>
    <t>Diallo O.</t>
  </si>
  <si>
    <t>Keita M.</t>
  </si>
  <si>
    <t>Ordonez C.</t>
  </si>
  <si>
    <t>Sorensen O.</t>
  </si>
  <si>
    <t>De Martis</t>
  </si>
  <si>
    <t>Elphege</t>
  </si>
  <si>
    <t>Frigan</t>
  </si>
  <si>
    <t>Lontani</t>
  </si>
  <si>
    <t>Romero D.</t>
  </si>
  <si>
    <t>Tourè E.</t>
  </si>
  <si>
    <t>De Marzi</t>
  </si>
  <si>
    <t>Roma</t>
  </si>
  <si>
    <t>Ghilardi</t>
  </si>
  <si>
    <t>Hermoso</t>
  </si>
  <si>
    <t>Koulierakis</t>
  </si>
  <si>
    <t>Molina N.</t>
  </si>
  <si>
    <t>Rensch</t>
  </si>
  <si>
    <t>Wesley</t>
  </si>
  <si>
    <t>Ziolkowski</t>
  </si>
  <si>
    <t>El Aynaoui</t>
  </si>
  <si>
    <t>Konè M.</t>
  </si>
  <si>
    <t>Mora</t>
  </si>
  <si>
    <t>Pisilli</t>
  </si>
  <si>
    <t>Malen</t>
  </si>
  <si>
    <t>Soulè</t>
  </si>
  <si>
    <t>Vaz</t>
  </si>
  <si>
    <t>Muric</t>
  </si>
  <si>
    <t>Sassuolo</t>
  </si>
  <si>
    <t>Russo A.</t>
  </si>
  <si>
    <t>Satalino</t>
  </si>
  <si>
    <t>Turati</t>
  </si>
  <si>
    <t>Candè</t>
  </si>
  <si>
    <t>Doig</t>
  </si>
  <si>
    <t>Missori</t>
  </si>
  <si>
    <t>Obrador</t>
  </si>
  <si>
    <t>Odenthal</t>
  </si>
  <si>
    <t>Pieragnolo</t>
  </si>
  <si>
    <t>Adzic</t>
  </si>
  <si>
    <t>Bakola</t>
  </si>
  <si>
    <t>Boloca</t>
  </si>
  <si>
    <t>Dominguez B.</t>
  </si>
  <si>
    <t>Iannoni</t>
  </si>
  <si>
    <t>Konè I.</t>
  </si>
  <si>
    <t>Lipani</t>
  </si>
  <si>
    <t>Matic</t>
  </si>
  <si>
    <t>Thorstvedt</t>
  </si>
  <si>
    <t>Volpato</t>
  </si>
  <si>
    <t>Berardi</t>
  </si>
  <si>
    <t>Bowie</t>
  </si>
  <si>
    <t>Laurientè</t>
  </si>
  <si>
    <t>Mascardi</t>
  </si>
  <si>
    <t>Torino</t>
  </si>
  <si>
    <t>Paleari</t>
  </si>
  <si>
    <t>Siviero</t>
  </si>
  <si>
    <t>Comert</t>
  </si>
  <si>
    <t>Fortini</t>
  </si>
  <si>
    <t>Pedersen</t>
  </si>
  <si>
    <t>Aboukhlal</t>
  </si>
  <si>
    <t>Anjorin</t>
  </si>
  <si>
    <t>Cacciamani</t>
  </si>
  <si>
    <t>Casadei</t>
  </si>
  <si>
    <t>Fitz-Jim</t>
  </si>
  <si>
    <t>Gineitis</t>
  </si>
  <si>
    <t>Ilkhan</t>
  </si>
  <si>
    <t>Njie</t>
  </si>
  <si>
    <t>Vlasic</t>
  </si>
  <si>
    <t>Kulenovic</t>
  </si>
  <si>
    <t>Udinese</t>
  </si>
  <si>
    <t>Padelli</t>
  </si>
  <si>
    <t>Piana</t>
  </si>
  <si>
    <t>Abankwah</t>
  </si>
  <si>
    <t>Arizala</t>
  </si>
  <si>
    <t>Bertola</t>
  </si>
  <si>
    <t>Ebosse</t>
  </si>
  <si>
    <t>Mlacic</t>
  </si>
  <si>
    <t>Palma</t>
  </si>
  <si>
    <t>Solet</t>
  </si>
  <si>
    <t>Chakvetadze</t>
  </si>
  <si>
    <t>Miller L.</t>
  </si>
  <si>
    <t>Piotrowski</t>
  </si>
  <si>
    <t>Unai Gomez</t>
  </si>
  <si>
    <t>Bayo V.</t>
  </si>
  <si>
    <t>Gueye</t>
  </si>
  <si>
    <t>Grandi</t>
  </si>
  <si>
    <t>Venezia</t>
  </si>
  <si>
    <t>Montipò</t>
  </si>
  <si>
    <t>Pozzi</t>
  </si>
  <si>
    <t>Stankovic F.</t>
  </si>
  <si>
    <t>Bella-Kotchap</t>
  </si>
  <si>
    <t>Correia T.</t>
  </si>
  <si>
    <t>Franjic</t>
  </si>
  <si>
    <t>Gomes</t>
  </si>
  <si>
    <t>Halhal</t>
  </si>
  <si>
    <t>Moreno M.</t>
  </si>
  <si>
    <t>Schingtienne</t>
  </si>
  <si>
    <t>Basic</t>
  </si>
  <si>
    <t>Busio</t>
  </si>
  <si>
    <t>Dagasso</t>
  </si>
  <si>
    <t>Helgason</t>
  </si>
  <si>
    <t>Perez K.</t>
  </si>
  <si>
    <t>Adams A.</t>
  </si>
  <si>
    <t>Adorante</t>
  </si>
  <si>
    <t>Lauberbach</t>
  </si>
  <si>
    <t>Lisman</t>
  </si>
  <si>
    <t>Rrahmani Al.</t>
  </si>
  <si>
    <t>Yeboah J.</t>
  </si>
  <si>
    <t>Galazzi</t>
  </si>
  <si>
    <t>Foe Ondoa</t>
  </si>
  <si>
    <t>Mout</t>
  </si>
  <si>
    <t>Kouda</t>
  </si>
  <si>
    <t>Konate A.</t>
  </si>
  <si>
    <t>Lulli</t>
  </si>
  <si>
    <t>Macchioni</t>
  </si>
  <si>
    <t>Leysen F.</t>
  </si>
  <si>
    <t>Cinquegrano</t>
  </si>
  <si>
    <t>TRICCHETRACHT FRANKFURT</t>
  </si>
  <si>
    <t>ILSESTO ASENSIO</t>
  </si>
  <si>
    <t>PESCICULINI GC</t>
  </si>
  <si>
    <t>ATLETICO IMPROVVISATO</t>
  </si>
  <si>
    <t>VICARIO</t>
  </si>
  <si>
    <t>GRABARA</t>
  </si>
  <si>
    <t>PALMISANI</t>
  </si>
  <si>
    <t>DIMARCO</t>
  </si>
  <si>
    <t>MOLINA N.</t>
  </si>
  <si>
    <t>VALERI</t>
  </si>
  <si>
    <t>MARTINEZ L.</t>
  </si>
  <si>
    <t>ELPHEGE</t>
  </si>
  <si>
    <t>SCAMACCA</t>
  </si>
  <si>
    <t>CALHANOGLU</t>
  </si>
  <si>
    <t>FRATTESI</t>
  </si>
  <si>
    <t>Elmas</t>
  </si>
  <si>
    <t>Osmajic</t>
  </si>
  <si>
    <t>Jones C.</t>
  </si>
  <si>
    <t>Gonzalez N.</t>
  </si>
  <si>
    <t>Fatah</t>
  </si>
  <si>
    <t>TRICCHETRACHT</t>
  </si>
  <si>
    <t>KAMARA H.</t>
  </si>
  <si>
    <t>MILLA</t>
  </si>
  <si>
    <t>BOGA</t>
  </si>
  <si>
    <t>GAETANO</t>
  </si>
  <si>
    <t>ROWE</t>
  </si>
  <si>
    <t>KAIKI</t>
  </si>
  <si>
    <t>GUDMUNDSSON A.</t>
  </si>
  <si>
    <t>CALò</t>
  </si>
  <si>
    <t>PEDRAZA</t>
  </si>
  <si>
    <t>VEIGA D.</t>
  </si>
  <si>
    <t>ODENTHAL</t>
  </si>
  <si>
    <t>VOLPATO</t>
  </si>
  <si>
    <t>YEBOAH J.</t>
  </si>
  <si>
    <t>SANTOS A.</t>
  </si>
  <si>
    <t>rig par f</t>
  </si>
  <si>
    <t>rig par s</t>
  </si>
  <si>
    <t>Drobnic</t>
  </si>
  <si>
    <t>Grabara</t>
  </si>
  <si>
    <t>Dembelè A.</t>
  </si>
  <si>
    <t>Badiashile</t>
  </si>
  <si>
    <t>Kessiè</t>
  </si>
  <si>
    <t>Robinho Junior</t>
  </si>
  <si>
    <t>Beto</t>
  </si>
  <si>
    <t>Gnonto</t>
  </si>
  <si>
    <t>Mrozek</t>
  </si>
  <si>
    <t>Woltemade</t>
  </si>
  <si>
    <t>Nzola</t>
  </si>
  <si>
    <t>Perri</t>
  </si>
  <si>
    <t>Theate</t>
  </si>
  <si>
    <t>(vuoto)</t>
  </si>
  <si>
    <t>Belghali</t>
  </si>
  <si>
    <t>6*</t>
  </si>
  <si>
    <t>Libra</t>
  </si>
  <si>
    <t>Sugamele</t>
  </si>
  <si>
    <t>Monteiro J.</t>
  </si>
  <si>
    <t>Diego Carlos</t>
  </si>
  <si>
    <t>Sierro</t>
  </si>
  <si>
    <t>Balerdi</t>
  </si>
  <si>
    <t>Patterson</t>
  </si>
  <si>
    <t>Braganca</t>
  </si>
  <si>
    <t>Fernandez T.</t>
  </si>
  <si>
    <t>Caglairi</t>
  </si>
  <si>
    <t>punteggio</t>
  </si>
  <si>
    <t>assist</t>
  </si>
  <si>
    <t>bonus</t>
  </si>
  <si>
    <t>Squadra</t>
  </si>
  <si>
    <t>gf</t>
  </si>
  <si>
    <t>gs</t>
  </si>
  <si>
    <t>asf</t>
  </si>
  <si>
    <t>ass</t>
  </si>
  <si>
    <t>ptmax</t>
  </si>
  <si>
    <t>ptmin</t>
  </si>
  <si>
    <t>Pt Bonus</t>
  </si>
  <si>
    <t>vicario</t>
  </si>
  <si>
    <t>molina n.</t>
  </si>
  <si>
    <t>kamara h.</t>
  </si>
  <si>
    <t>valeri</t>
  </si>
  <si>
    <t>frattesi</t>
  </si>
  <si>
    <t>gudmundsson a.</t>
  </si>
  <si>
    <t>calhanoglu</t>
  </si>
  <si>
    <t>martinez l.</t>
  </si>
  <si>
    <t>yeboah j.</t>
  </si>
  <si>
    <t>scamacca</t>
  </si>
  <si>
    <t>rowe</t>
  </si>
  <si>
    <t>x</t>
  </si>
  <si>
    <t>rig f</t>
  </si>
  <si>
    <t>rig s</t>
  </si>
  <si>
    <t>Sugawara</t>
  </si>
  <si>
    <t>Bobcek</t>
  </si>
  <si>
    <t>Sutalo J.</t>
  </si>
  <si>
    <t>(più elementi)</t>
  </si>
  <si>
    <t>Sanchez Ro.</t>
  </si>
  <si>
    <t>Sarr P.</t>
  </si>
  <si>
    <t>Esteban</t>
  </si>
  <si>
    <t>Zeballos</t>
  </si>
  <si>
    <t>Rodriguez 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</si>
</sst>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410]General"/>
    <numFmt numFmtId="165" formatCode="dd/mm/yy;@"/>
    <numFmt numFmtId="166" formatCode="#,##0.00\ _€"/>
    <numFmt numFmtId="167" formatCode="yyyy\-mm\-dd;@"/>
    <numFmt numFmtId="168" formatCode="0.0"/>
  </numFmts>
  <fonts count="8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8"/>
      <color theme="0"/>
      <name val="Arial"/>
      <family val="2"/>
    </font>
    <font>
      <b/>
      <sz val="8"/>
      <color theme="0"/>
      <name val="Calibri"/>
      <family val="2"/>
    </font>
    <font>
      <b/>
      <sz val="8"/>
      <color rgb="FFFFC000"/>
      <name val="Calibri"/>
      <family val="2"/>
    </font>
    <font>
      <b/>
      <sz val="12"/>
      <color rgb="FFFFFF00"/>
      <name val="Calibri Light"/>
      <family val="2"/>
    </font>
    <font>
      <b/>
      <sz val="11"/>
      <color rgb="FF002060"/>
      <name val="Calibri"/>
      <family val="2"/>
    </font>
    <font>
      <b/>
      <sz val="14"/>
      <color theme="0"/>
      <name val="Calibri"/>
      <family val="2"/>
    </font>
    <font>
      <b/>
      <sz val="12"/>
      <color theme="1"/>
      <name val="Calibri"/>
      <family val="2"/>
    </font>
    <font>
      <b/>
      <sz val="11"/>
      <color theme="0"/>
      <name val="Calibri"/>
      <family val="2"/>
    </font>
    <font>
      <sz val="11"/>
      <color theme="0"/>
      <name val="Calibri"/>
      <family val="2"/>
    </font>
    <font>
      <sz val="11"/>
      <color theme="1"/>
      <name val="Calibri"/>
      <family val="2"/>
    </font>
    <font>
      <sz val="10"/>
      <color theme="0"/>
      <name val="Calibri"/>
      <family val="2"/>
    </font>
    <font>
      <b/>
      <sz val="14"/>
      <color rgb="FFFFC000"/>
      <name val="Arial"/>
      <family val="2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2060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4" tint="0.39997558519241921"/>
      <name val="Calibri"/>
      <family val="2"/>
      <scheme val="minor"/>
    </font>
    <font>
      <b/>
      <sz val="20"/>
      <color theme="0" tint="-0.249977111117893"/>
      <name val="Calibri"/>
      <family val="2"/>
      <scheme val="minor"/>
    </font>
    <font>
      <b/>
      <sz val="20"/>
      <color theme="1" tint="0.249977111117893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0"/>
      <color rgb="FF002060"/>
      <name val="Calibri"/>
      <family val="2"/>
      <scheme val="minor"/>
    </font>
    <font>
      <b/>
      <sz val="20"/>
      <color rgb="FFFFC00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rgb="FF00206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20"/>
      <color rgb="FF0070C0"/>
      <name val="Calibri"/>
      <family val="2"/>
      <scheme val="minor"/>
    </font>
    <font>
      <sz val="20"/>
      <color rgb="FF0070C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8"/>
      <color rgb="FFFFFF0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48"/>
      <color theme="0"/>
      <name val="Calibri"/>
      <family val="2"/>
      <scheme val="minor"/>
    </font>
    <font>
      <b/>
      <sz val="36"/>
      <color rgb="FF00B050"/>
      <name val="Calibri"/>
      <family val="2"/>
      <scheme val="minor"/>
    </font>
    <font>
      <b/>
      <sz val="22"/>
      <color rgb="FFFFFF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22"/>
      <name val="Calibri"/>
      <family val="2"/>
      <scheme val="minor"/>
    </font>
    <font>
      <b/>
      <sz val="26"/>
      <color theme="0"/>
      <name val="Calibri"/>
      <family val="2"/>
    </font>
    <font>
      <sz val="8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8"/>
      <color rgb="FFFFC00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name val="Calibri"/>
      <family val="2"/>
    </font>
    <font>
      <b/>
      <sz val="11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8"/>
      <name val="Calibri"/>
      <family val="2"/>
    </font>
    <font>
      <b/>
      <sz val="11"/>
      <name val="Calibri"/>
      <family val="2"/>
      <scheme val="minor"/>
    </font>
    <font>
      <sz val="10"/>
      <name val="Calibri"/>
      <family val="2"/>
    </font>
    <font>
      <sz val="11"/>
      <color rgb="FF0070C0"/>
      <name val="Calibri"/>
      <family val="2"/>
      <scheme val="minor"/>
    </font>
    <font>
      <b/>
      <sz val="10"/>
      <color rgb="FFFFFFFF"/>
      <name val="Calibri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</font>
    <font>
      <sz val="11"/>
      <color rgb="FF808080"/>
      <name val="Calibri"/>
      <family val="2"/>
    </font>
    <font>
      <b/>
      <sz val="12"/>
      <color rgb="FFFFFF00"/>
      <name val="Calibri"/>
      <family val="2"/>
      <scheme val="minor"/>
    </font>
    <font>
      <sz val="11"/>
      <color rgb="FF808080"/>
      <name val="Calibri"/>
      <family val="2"/>
    </font>
    <font>
      <b/>
      <sz val="8"/>
      <color theme="1"/>
      <name val="Calibri"/>
      <family val="2"/>
      <scheme val="minor"/>
    </font>
    <font>
      <b/>
      <sz val="11"/>
      <name val="Calibri"/>
      <family val="2"/>
    </font>
    <font>
      <b/>
      <sz val="12"/>
      <color rgb="FF00206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</font>
    <font>
      <b/>
      <sz val="11"/>
      <color theme="1"/>
      <name val="Calibri"/>
      <family val="2"/>
    </font>
    <font>
      <b/>
      <sz val="8"/>
      <color theme="1"/>
      <name val="Calibri"/>
      <family val="2"/>
    </font>
    <font>
      <b/>
      <sz val="11"/>
      <color rgb="FFFFC000"/>
      <name val="Calibri"/>
      <family val="2"/>
    </font>
    <font>
      <sz val="11"/>
      <color rgb="FF808080"/>
      <name val="Calibri"/>
    </font>
    <font>
      <b/>
      <sz val="11"/>
      <name val="Calibri"/>
    </font>
  </fonts>
  <fills count="51">
    <fill>
      <patternFill patternType="none"/>
    </fill>
    <fill>
      <patternFill patternType="gray125"/>
    </fill>
    <fill>
      <patternFill patternType="solid">
        <fgColor rgb="FFD3D3D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gradientFill degree="90">
        <stop position="0">
          <color rgb="FF0070C0"/>
        </stop>
        <stop position="1">
          <color theme="4"/>
        </stop>
      </gradient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249977111117893"/>
        <bgColor theme="4" tint="-0.249977111117893"/>
      </patternFill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F0"/>
        <bgColor rgb="FFFFFFCC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gradientFill degree="90">
        <stop position="0">
          <color rgb="FF0070C0"/>
        </stop>
        <stop position="1">
          <color theme="4" tint="0.40000610370189521"/>
        </stop>
      </gradientFill>
    </fill>
    <fill>
      <gradientFill degree="90">
        <stop position="0">
          <color theme="0"/>
        </stop>
        <stop position="1">
          <color rgb="FF00B0F0"/>
        </stop>
      </gradientFill>
    </fill>
    <fill>
      <gradientFill degree="90">
        <stop position="0">
          <color rgb="FF002060"/>
        </stop>
        <stop position="1">
          <color theme="4"/>
        </stop>
      </gradientFill>
    </fill>
    <fill>
      <gradientFill degree="90">
        <stop position="0">
          <color theme="0"/>
        </stop>
        <stop position="1">
          <color theme="4"/>
        </stop>
      </gradientFill>
    </fill>
    <fill>
      <gradientFill degree="90">
        <stop position="0">
          <color rgb="FF002060"/>
        </stop>
        <stop position="1">
          <color theme="4" tint="0.59999389629810485"/>
        </stop>
      </gradientFill>
    </fill>
    <fill>
      <gradientFill degree="90">
        <stop position="0">
          <color rgb="FF92D050"/>
        </stop>
        <stop position="1">
          <color theme="4" tint="0.59999389629810485"/>
        </stop>
      </gradientFill>
    </fill>
    <fill>
      <patternFill patternType="solid">
        <fgColor rgb="FF8EFCAB"/>
        <bgColor indexed="64"/>
      </patternFill>
    </fill>
    <fill>
      <gradientFill degree="90">
        <stop position="0">
          <color rgb="FFFFFF00"/>
        </stop>
        <stop position="1">
          <color theme="0"/>
        </stop>
      </gradientFill>
    </fill>
    <fill>
      <gradientFill degree="90">
        <stop position="0">
          <color rgb="FFC00000"/>
        </stop>
        <stop position="1">
          <color theme="0"/>
        </stop>
      </gradientFill>
    </fill>
    <fill>
      <gradientFill degree="90">
        <stop position="0">
          <color theme="0"/>
        </stop>
        <stop position="1">
          <color theme="4" tint="0.40000610370189521"/>
        </stop>
      </gradientFill>
    </fill>
    <fill>
      <gradientFill degree="90">
        <stop position="0">
          <color theme="1"/>
        </stop>
        <stop position="1">
          <color theme="1" tint="0.49803155613879818"/>
        </stop>
      </gradientFill>
    </fill>
    <fill>
      <patternFill patternType="solid">
        <fgColor rgb="FF002060"/>
        <bgColor auto="1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theme="4"/>
      </patternFill>
    </fill>
    <fill>
      <patternFill patternType="solid">
        <fgColor theme="4" tint="-0.249977111117893"/>
        <bgColor theme="1"/>
      </patternFill>
    </fill>
    <fill>
      <patternFill patternType="solid">
        <fgColor rgb="FF0070C0"/>
        <bgColor theme="4" tint="-0.249977111117893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00B0F0"/>
        <bgColor theme="4" tint="-0.249977111117893"/>
      </patternFill>
    </fill>
    <fill>
      <patternFill patternType="solid">
        <fgColor rgb="FF00B0F0"/>
        <bgColor theme="4"/>
      </patternFill>
    </fill>
    <fill>
      <patternFill patternType="solid">
        <fgColor theme="2" tint="-0.499984740745262"/>
        <bgColor theme="1"/>
      </patternFill>
    </fill>
    <fill>
      <patternFill patternType="solid">
        <fgColor rgb="FF00B0F0"/>
        <bgColor theme="4" tint="0.79998168889431442"/>
      </patternFill>
    </fill>
    <fill>
      <patternFill patternType="solid">
        <fgColor rgb="FFF5F5F5"/>
      </patternFill>
    </fill>
    <fill>
      <patternFill patternType="solid">
        <fgColor rgb="FFFF0000"/>
        <bgColor theme="4"/>
      </patternFill>
    </fill>
    <fill>
      <patternFill patternType="solid">
        <fgColor rgb="FFFF0000"/>
        <bgColor theme="4" tint="-0.249977111117893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rgb="FF92D050"/>
        <bgColor theme="4" tint="-0.249977111117893"/>
      </patternFill>
    </fill>
  </fills>
  <borders count="127">
    <border>
      <left/>
      <right/>
      <top/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ck">
        <color rgb="FF002060"/>
      </left>
      <right style="thick">
        <color rgb="FF002060"/>
      </right>
      <top style="thick">
        <color rgb="FF002060"/>
      </top>
      <bottom style="thick">
        <color rgb="FF002060"/>
      </bottom>
      <diagonal/>
    </border>
    <border>
      <left style="thick">
        <color rgb="FF0070C0"/>
      </left>
      <right/>
      <top style="thick">
        <color rgb="FF0070C0"/>
      </top>
      <bottom style="thin">
        <color indexed="64"/>
      </bottom>
      <diagonal/>
    </border>
    <border>
      <left style="thick">
        <color rgb="FF002060"/>
      </left>
      <right style="thick">
        <color rgb="FF002060"/>
      </right>
      <top style="thick">
        <color rgb="FF002060"/>
      </top>
      <bottom style="thin">
        <color indexed="64"/>
      </bottom>
      <diagonal/>
    </border>
    <border>
      <left style="thick">
        <color rgb="FF002060"/>
      </left>
      <right style="thin">
        <color indexed="64"/>
      </right>
      <top style="thick">
        <color rgb="FF00206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002060"/>
      </top>
      <bottom style="thin">
        <color indexed="64"/>
      </bottom>
      <diagonal/>
    </border>
    <border>
      <left style="thin">
        <color indexed="64"/>
      </left>
      <right style="thick">
        <color rgb="FF002060"/>
      </right>
      <top style="thick">
        <color rgb="FF002060"/>
      </top>
      <bottom style="thin">
        <color indexed="64"/>
      </bottom>
      <diagonal/>
    </border>
    <border>
      <left style="thin">
        <color indexed="64"/>
      </left>
      <right style="thick">
        <color rgb="FF002060"/>
      </right>
      <top style="thick">
        <color rgb="FF002060"/>
      </top>
      <bottom/>
      <diagonal/>
    </border>
    <border>
      <left style="thick">
        <color rgb="FF002060"/>
      </left>
      <right/>
      <top style="thick">
        <color rgb="FF002060"/>
      </top>
      <bottom/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/>
      <bottom style="double">
        <color theme="0"/>
      </bottom>
      <diagonal/>
    </border>
    <border>
      <left/>
      <right style="double">
        <color theme="0"/>
      </right>
      <top/>
      <bottom style="double">
        <color theme="0"/>
      </bottom>
      <diagonal/>
    </border>
    <border>
      <left/>
      <right style="double">
        <color theme="0"/>
      </right>
      <top/>
      <bottom/>
      <diagonal/>
    </border>
    <border>
      <left style="double">
        <color theme="0"/>
      </left>
      <right style="double">
        <color theme="0"/>
      </right>
      <top/>
      <bottom style="double">
        <color theme="0"/>
      </bottom>
      <diagonal/>
    </border>
    <border>
      <left style="double">
        <color theme="0"/>
      </left>
      <right style="double">
        <color theme="0"/>
      </right>
      <top style="double">
        <color theme="0"/>
      </top>
      <bottom style="double">
        <color theme="0"/>
      </bottom>
      <diagonal/>
    </border>
    <border>
      <left style="double">
        <color theme="0"/>
      </left>
      <right/>
      <top style="thin">
        <color theme="4" tint="0.39997558519241921"/>
      </top>
      <bottom/>
      <diagonal/>
    </border>
    <border>
      <left/>
      <right style="double">
        <color theme="0"/>
      </right>
      <top style="thin">
        <color theme="4" tint="0.39997558519241921"/>
      </top>
      <bottom/>
      <diagonal/>
    </border>
    <border>
      <left style="double">
        <color theme="0"/>
      </left>
      <right style="double">
        <color theme="0"/>
      </right>
      <top style="double">
        <color theme="0"/>
      </top>
      <bottom/>
      <diagonal/>
    </border>
    <border>
      <left/>
      <right style="double">
        <color rgb="FF002060"/>
      </right>
      <top/>
      <bottom/>
      <diagonal/>
    </border>
    <border>
      <left/>
      <right/>
      <top style="double">
        <color rgb="FF002060"/>
      </top>
      <bottom/>
      <diagonal/>
    </border>
    <border>
      <left style="double">
        <color rgb="FF002060"/>
      </left>
      <right style="double">
        <color rgb="FF002060"/>
      </right>
      <top style="double">
        <color rgb="FF002060"/>
      </top>
      <bottom style="double">
        <color rgb="FF002060"/>
      </bottom>
      <diagonal/>
    </border>
    <border>
      <left style="double">
        <color rgb="FF002060"/>
      </left>
      <right style="double">
        <color rgb="FF002060"/>
      </right>
      <top style="double">
        <color rgb="FF002060"/>
      </top>
      <bottom/>
      <diagonal/>
    </border>
    <border>
      <left style="double">
        <color rgb="FF002060"/>
      </left>
      <right/>
      <top/>
      <bottom/>
      <diagonal/>
    </border>
    <border>
      <left style="double">
        <color rgb="FF002060"/>
      </left>
      <right/>
      <top style="double">
        <color rgb="FF002060"/>
      </top>
      <bottom style="double">
        <color rgb="FF002060"/>
      </bottom>
      <diagonal/>
    </border>
    <border>
      <left/>
      <right/>
      <top style="double">
        <color rgb="FF002060"/>
      </top>
      <bottom style="double">
        <color rgb="FF002060"/>
      </bottom>
      <diagonal/>
    </border>
    <border>
      <left/>
      <right style="double">
        <color rgb="FF002060"/>
      </right>
      <top style="double">
        <color rgb="FF002060"/>
      </top>
      <bottom style="double">
        <color rgb="FF00206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 style="medium">
        <color rgb="FF002060"/>
      </right>
      <top/>
      <bottom/>
      <diagonal/>
    </border>
    <border>
      <left style="medium">
        <color rgb="FF002060"/>
      </left>
      <right style="medium">
        <color rgb="FF002060"/>
      </right>
      <top/>
      <bottom style="medium">
        <color rgb="FF002060"/>
      </bottom>
      <diagonal/>
    </border>
    <border>
      <left style="medium">
        <color rgb="FF002060"/>
      </left>
      <right/>
      <top style="medium">
        <color rgb="FF002060"/>
      </top>
      <bottom style="medium">
        <color rgb="FF002060"/>
      </bottom>
      <diagonal/>
    </border>
    <border>
      <left/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/>
      <right style="double">
        <color rgb="FF002060"/>
      </right>
      <top style="double">
        <color theme="8" tint="-0.499984740745262"/>
      </top>
      <bottom style="double">
        <color rgb="FF002060"/>
      </bottom>
      <diagonal/>
    </border>
    <border>
      <left style="double">
        <color theme="8" tint="-0.499984740745262"/>
      </left>
      <right style="double">
        <color theme="8" tint="-0.499984740745262"/>
      </right>
      <top style="double">
        <color theme="8" tint="-0.499984740745262"/>
      </top>
      <bottom/>
      <diagonal/>
    </border>
    <border>
      <left style="double">
        <color theme="8" tint="-0.499984740745262"/>
      </left>
      <right style="double">
        <color theme="8" tint="-0.499984740745262"/>
      </right>
      <top/>
      <bottom/>
      <diagonal/>
    </border>
    <border>
      <left style="double">
        <color theme="8" tint="-0.499984740745262"/>
      </left>
      <right style="double">
        <color theme="8" tint="-0.499984740745262"/>
      </right>
      <top/>
      <bottom style="double">
        <color theme="8" tint="-0.499984740745262"/>
      </bottom>
      <diagonal/>
    </border>
    <border>
      <left style="double">
        <color rgb="FF0070C0"/>
      </left>
      <right style="double">
        <color rgb="FF0070C0"/>
      </right>
      <top style="double">
        <color rgb="FF0070C0"/>
      </top>
      <bottom style="double">
        <color rgb="FF0070C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double">
        <color theme="8" tint="-0.499984740745262"/>
      </left>
      <right style="double">
        <color theme="8" tint="-0.499984740745262"/>
      </right>
      <top style="double">
        <color theme="8" tint="-0.499984740745262"/>
      </top>
      <bottom style="double">
        <color theme="8" tint="-0.499984740745262"/>
      </bottom>
      <diagonal/>
    </border>
    <border>
      <left/>
      <right/>
      <top style="double">
        <color theme="8" tint="-0.499984740745262"/>
      </top>
      <bottom style="double">
        <color rgb="FF00206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/>
      <bottom style="medium">
        <color theme="0"/>
      </bottom>
      <diagonal/>
    </border>
    <border>
      <left style="medium">
        <color rgb="FF00B050"/>
      </left>
      <right/>
      <top style="medium">
        <color rgb="FF00B050"/>
      </top>
      <bottom style="medium">
        <color rgb="FF00B050"/>
      </bottom>
      <diagonal/>
    </border>
    <border>
      <left/>
      <right/>
      <top style="medium">
        <color rgb="FF00B050"/>
      </top>
      <bottom style="medium">
        <color rgb="FF00B050"/>
      </bottom>
      <diagonal/>
    </border>
    <border>
      <left/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theme="0"/>
      </left>
      <right style="medium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medium">
        <color theme="0"/>
      </top>
      <bottom style="thick">
        <color theme="0"/>
      </bottom>
      <diagonal/>
    </border>
    <border>
      <left style="thick">
        <color theme="0"/>
      </left>
      <right style="medium">
        <color theme="0"/>
      </right>
      <top style="medium">
        <color theme="0"/>
      </top>
      <bottom style="thick">
        <color theme="0"/>
      </bottom>
      <diagonal/>
    </border>
    <border>
      <left style="thick">
        <color theme="0"/>
      </left>
      <right style="medium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medium">
        <color theme="0"/>
      </right>
      <top style="thick">
        <color theme="0"/>
      </top>
      <bottom style="medium">
        <color rgb="FF002060"/>
      </bottom>
      <diagonal/>
    </border>
    <border>
      <left style="thick">
        <color theme="0"/>
      </left>
      <right style="medium">
        <color theme="0"/>
      </right>
      <top style="medium">
        <color rgb="FF002060"/>
      </top>
      <bottom style="thick">
        <color theme="0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theme="0"/>
      </left>
      <right/>
      <top style="medium">
        <color theme="0"/>
      </top>
      <bottom style="thick">
        <color theme="0"/>
      </bottom>
      <diagonal/>
    </border>
    <border>
      <left style="medium">
        <color theme="0"/>
      </left>
      <right/>
      <top style="thick">
        <color theme="0"/>
      </top>
      <bottom style="thick">
        <color theme="0"/>
      </bottom>
      <diagonal/>
    </border>
    <border>
      <left style="medium">
        <color theme="0"/>
      </left>
      <right/>
      <top style="thick">
        <color theme="0"/>
      </top>
      <bottom style="medium">
        <color theme="0"/>
      </bottom>
      <diagonal/>
    </border>
    <border>
      <left style="medium">
        <color theme="0"/>
      </left>
      <right/>
      <top style="thick">
        <color theme="0"/>
      </top>
      <bottom/>
      <diagonal/>
    </border>
    <border>
      <left style="medium">
        <color theme="0"/>
      </left>
      <right/>
      <top/>
      <bottom style="thick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thick">
        <color theme="0"/>
      </right>
      <top style="medium">
        <color theme="0"/>
      </top>
      <bottom style="thick">
        <color theme="0"/>
      </bottom>
      <diagonal/>
    </border>
    <border>
      <left style="medium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theme="0"/>
      </left>
      <right style="thick">
        <color theme="0"/>
      </right>
      <top style="thick">
        <color theme="0"/>
      </top>
      <bottom style="medium">
        <color rgb="FF0020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rgb="FF0070C0"/>
      </left>
      <right style="double">
        <color rgb="FF0070C0"/>
      </right>
      <top style="double">
        <color rgb="FF0070C0"/>
      </top>
      <bottom/>
      <diagonal/>
    </border>
    <border>
      <left style="double">
        <color rgb="FF0070C0"/>
      </left>
      <right style="double">
        <color rgb="FF0070C0"/>
      </right>
      <top/>
      <bottom style="double">
        <color rgb="FF0070C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theme="0"/>
      </right>
      <top style="medium">
        <color indexed="64"/>
      </top>
      <bottom style="medium">
        <color indexed="64"/>
      </bottom>
      <diagonal/>
    </border>
    <border>
      <left style="double">
        <color theme="0"/>
      </left>
      <right style="double">
        <color theme="0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double">
        <color theme="0"/>
      </top>
      <bottom style="double">
        <color theme="0"/>
      </bottom>
      <diagonal/>
    </border>
    <border>
      <left/>
      <right style="thin">
        <color theme="0"/>
      </right>
      <top/>
      <bottom/>
      <diagonal/>
    </border>
    <border>
      <left style="double">
        <color theme="0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double">
        <color theme="0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double">
        <color theme="0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rgb="FF002060"/>
      </top>
      <bottom style="medium">
        <color rgb="FF002060"/>
      </bottom>
      <diagonal/>
    </border>
    <border>
      <left style="medium">
        <color indexed="64"/>
      </left>
      <right style="medium">
        <color indexed="64"/>
      </right>
      <top style="medium">
        <color rgb="FF002060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rgb="FF002060"/>
      </bottom>
      <diagonal/>
    </border>
    <border>
      <left style="medium">
        <color indexed="64"/>
      </left>
      <right style="medium">
        <color indexed="64"/>
      </right>
      <top style="medium">
        <color rgb="FF002060"/>
      </top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9">
    <xf numFmtId="0" fontId="0" fillId="0" borderId="0"/>
    <xf numFmtId="164" fontId="1" fillId="0" borderId="0" applyBorder="0" applyProtection="0"/>
    <xf numFmtId="0" fontId="8" fillId="0" borderId="0" applyNumberFormat="0" applyFill="0" applyBorder="0" applyAlignment="0" applyProtection="0"/>
    <xf numFmtId="0" fontId="3" fillId="10" borderId="0">
      <alignment horizontal="center"/>
    </xf>
    <xf numFmtId="0" fontId="58" fillId="0" borderId="0"/>
    <xf numFmtId="0" fontId="67" fillId="0" borderId="0"/>
    <xf numFmtId="0" fontId="75" fillId="0" borderId="0"/>
    <xf numFmtId="0" fontId="58" fillId="0" borderId="0"/>
    <xf numFmtId="0" fontId="58" fillId="0" borderId="0"/>
  </cellStyleXfs>
  <cellXfs count="465">
    <xf numFmtId="0" fontId="0" fillId="0" borderId="0" xfId="0"/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" fillId="2" borderId="3" xfId="0" applyFont="1" applyFill="1" applyBorder="1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 wrapText="1"/>
    </xf>
    <xf numFmtId="166" fontId="0" fillId="0" borderId="0" xfId="0" applyNumberFormat="1"/>
    <xf numFmtId="0" fontId="0" fillId="5" borderId="0" xfId="0" applyFill="1"/>
    <xf numFmtId="167" fontId="0" fillId="0" borderId="0" xfId="0" applyNumberFormat="1"/>
    <xf numFmtId="1" fontId="0" fillId="0" borderId="0" xfId="0" applyNumberFormat="1"/>
    <xf numFmtId="0" fontId="6" fillId="6" borderId="6" xfId="0" applyFont="1" applyFill="1" applyBorder="1" applyAlignment="1">
      <alignment horizontal="center"/>
    </xf>
    <xf numFmtId="0" fontId="0" fillId="0" borderId="5" xfId="0" applyBorder="1"/>
    <xf numFmtId="0" fontId="6" fillId="6" borderId="7" xfId="0" applyFont="1" applyFill="1" applyBorder="1" applyAlignment="1">
      <alignment horizontal="center" vertical="center"/>
    </xf>
    <xf numFmtId="0" fontId="6" fillId="6" borderId="8" xfId="0" applyFont="1" applyFill="1" applyBorder="1" applyAlignment="1">
      <alignment horizontal="center" vertical="center"/>
    </xf>
    <xf numFmtId="0" fontId="6" fillId="6" borderId="9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/>
    </xf>
    <xf numFmtId="0" fontId="6" fillId="6" borderId="13" xfId="0" applyFont="1" applyFill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3" fillId="7" borderId="5" xfId="0" applyNumberFormat="1" applyFont="1" applyFill="1" applyBorder="1" applyAlignment="1">
      <alignment horizontal="center" vertical="center"/>
    </xf>
    <xf numFmtId="1" fontId="3" fillId="8" borderId="0" xfId="0" applyNumberFormat="1" applyFont="1" applyFill="1"/>
    <xf numFmtId="168" fontId="0" fillId="0" borderId="5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10" borderId="0" xfId="0" applyFill="1"/>
    <xf numFmtId="0" fontId="9" fillId="11" borderId="14" xfId="2" applyNumberFormat="1" applyFont="1" applyFill="1" applyBorder="1" applyAlignment="1">
      <alignment horizontal="left" vertical="top" wrapText="1"/>
    </xf>
    <xf numFmtId="0" fontId="9" fillId="11" borderId="15" xfId="2" applyNumberFormat="1" applyFont="1" applyFill="1" applyBorder="1" applyAlignment="1">
      <alignment horizontal="left" vertical="top" wrapText="1"/>
    </xf>
    <xf numFmtId="2" fontId="9" fillId="11" borderId="15" xfId="2" applyNumberFormat="1" applyFont="1" applyFill="1" applyBorder="1" applyAlignment="1">
      <alignment horizontal="left" vertical="top" wrapText="1"/>
    </xf>
    <xf numFmtId="168" fontId="9" fillId="11" borderId="15" xfId="2" applyNumberFormat="1" applyFont="1" applyFill="1" applyBorder="1" applyAlignment="1">
      <alignment horizontal="left" vertical="top" wrapText="1"/>
    </xf>
    <xf numFmtId="0" fontId="11" fillId="13" borderId="0" xfId="2" applyNumberFormat="1" applyFont="1" applyFill="1" applyBorder="1" applyAlignment="1">
      <alignment horizontal="center"/>
    </xf>
    <xf numFmtId="0" fontId="12" fillId="13" borderId="16" xfId="2" applyNumberFormat="1" applyFont="1" applyFill="1" applyBorder="1" applyAlignment="1">
      <alignment horizontal="center"/>
    </xf>
    <xf numFmtId="0" fontId="15" fillId="12" borderId="18" xfId="2" applyNumberFormat="1" applyFont="1" applyFill="1" applyBorder="1" applyAlignment="1">
      <alignment horizontal="center"/>
    </xf>
    <xf numFmtId="2" fontId="16" fillId="16" borderId="17" xfId="2" applyNumberFormat="1" applyFont="1" applyFill="1" applyBorder="1" applyAlignment="1">
      <alignment horizontal="center"/>
    </xf>
    <xf numFmtId="0" fontId="16" fillId="16" borderId="17" xfId="2" applyNumberFormat="1" applyFont="1" applyFill="1" applyBorder="1" applyAlignment="1">
      <alignment horizontal="center"/>
    </xf>
    <xf numFmtId="0" fontId="17" fillId="12" borderId="0" xfId="2" applyNumberFormat="1" applyFont="1" applyFill="1" applyBorder="1" applyAlignment="1">
      <alignment horizontal="center"/>
    </xf>
    <xf numFmtId="0" fontId="18" fillId="4" borderId="0" xfId="2" applyNumberFormat="1" applyFont="1" applyFill="1" applyBorder="1" applyAlignment="1">
      <alignment horizontal="center"/>
    </xf>
    <xf numFmtId="0" fontId="18" fillId="17" borderId="0" xfId="2" applyNumberFormat="1" applyFont="1" applyFill="1" applyBorder="1" applyAlignment="1">
      <alignment horizontal="center"/>
    </xf>
    <xf numFmtId="0" fontId="13" fillId="14" borderId="18" xfId="2" applyNumberFormat="1" applyFont="1" applyFill="1" applyBorder="1" applyAlignment="1">
      <alignment horizontal="center" vertical="center"/>
    </xf>
    <xf numFmtId="0" fontId="14" fillId="15" borderId="18" xfId="2" applyNumberFormat="1" applyFont="1" applyFill="1" applyBorder="1" applyAlignment="1">
      <alignment horizontal="right"/>
    </xf>
    <xf numFmtId="0" fontId="3" fillId="10" borderId="18" xfId="3" applyBorder="1">
      <alignment horizontal="center"/>
    </xf>
    <xf numFmtId="0" fontId="10" fillId="12" borderId="20" xfId="2" applyNumberFormat="1" applyFont="1" applyFill="1" applyBorder="1" applyAlignment="1">
      <alignment horizontal="center"/>
    </xf>
    <xf numFmtId="0" fontId="22" fillId="0" borderId="0" xfId="0" applyFont="1"/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7" fillId="0" borderId="0" xfId="0" applyFont="1" applyAlignment="1">
      <alignment horizontal="center" vertic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30" xfId="0" applyBorder="1" applyAlignment="1">
      <alignment horizontal="center"/>
    </xf>
    <xf numFmtId="166" fontId="0" fillId="0" borderId="0" xfId="0" applyNumberFormat="1" applyAlignment="1">
      <alignment horizontal="center" vertical="center" wrapText="1"/>
    </xf>
    <xf numFmtId="0" fontId="23" fillId="14" borderId="0" xfId="0" applyFont="1" applyFill="1" applyAlignment="1">
      <alignment horizontal="center"/>
    </xf>
    <xf numFmtId="2" fontId="23" fillId="14" borderId="0" xfId="0" applyNumberFormat="1" applyFont="1" applyFill="1" applyAlignment="1">
      <alignment horizontal="center"/>
    </xf>
    <xf numFmtId="166" fontId="23" fillId="14" borderId="0" xfId="0" applyNumberFormat="1" applyFont="1" applyFill="1" applyAlignment="1">
      <alignment horizontal="left" vertical="center"/>
    </xf>
    <xf numFmtId="1" fontId="25" fillId="8" borderId="44" xfId="0" applyNumberFormat="1" applyFont="1" applyFill="1" applyBorder="1" applyAlignment="1">
      <alignment horizontal="center" vertical="center"/>
    </xf>
    <xf numFmtId="1" fontId="25" fillId="8" borderId="45" xfId="0" applyNumberFormat="1" applyFont="1" applyFill="1" applyBorder="1" applyAlignment="1">
      <alignment horizontal="center" vertical="center"/>
    </xf>
    <xf numFmtId="1" fontId="25" fillId="8" borderId="46" xfId="0" applyNumberFormat="1" applyFont="1" applyFill="1" applyBorder="1" applyAlignment="1">
      <alignment horizontal="center" vertical="center"/>
    </xf>
    <xf numFmtId="0" fontId="26" fillId="8" borderId="25" xfId="0" applyFont="1" applyFill="1" applyBorder="1" applyAlignment="1">
      <alignment horizontal="center" vertical="center"/>
    </xf>
    <xf numFmtId="0" fontId="27" fillId="8" borderId="0" xfId="0" applyFont="1" applyFill="1" applyAlignment="1">
      <alignment horizontal="center" vertical="center"/>
    </xf>
    <xf numFmtId="0" fontId="28" fillId="8" borderId="26" xfId="0" applyFont="1" applyFill="1" applyBorder="1" applyAlignment="1">
      <alignment horizontal="center" vertical="center"/>
    </xf>
    <xf numFmtId="0" fontId="28" fillId="8" borderId="0" xfId="0" applyFont="1" applyFill="1" applyAlignment="1">
      <alignment horizontal="center" vertical="center"/>
    </xf>
    <xf numFmtId="0" fontId="29" fillId="8" borderId="22" xfId="0" applyFont="1" applyFill="1" applyBorder="1" applyAlignment="1">
      <alignment horizontal="center" vertical="center"/>
    </xf>
    <xf numFmtId="1" fontId="28" fillId="8" borderId="25" xfId="0" applyNumberFormat="1" applyFont="1" applyFill="1" applyBorder="1" applyAlignment="1">
      <alignment horizontal="center" vertical="center"/>
    </xf>
    <xf numFmtId="0" fontId="30" fillId="8" borderId="25" xfId="0" applyFont="1" applyFill="1" applyBorder="1" applyAlignment="1">
      <alignment horizontal="center" vertical="center"/>
    </xf>
    <xf numFmtId="0" fontId="21" fillId="8" borderId="0" xfId="0" applyFont="1" applyFill="1" applyAlignment="1">
      <alignment horizontal="center" vertical="center"/>
    </xf>
    <xf numFmtId="0" fontId="0" fillId="6" borderId="0" xfId="0" applyFill="1"/>
    <xf numFmtId="0" fontId="0" fillId="14" borderId="0" xfId="0" applyFill="1"/>
    <xf numFmtId="0" fontId="22" fillId="14" borderId="0" xfId="0" applyFont="1" applyFill="1"/>
    <xf numFmtId="0" fontId="4" fillId="14" borderId="0" xfId="0" applyFont="1" applyFill="1"/>
    <xf numFmtId="0" fontId="0" fillId="14" borderId="0" xfId="0" applyFill="1" applyAlignment="1">
      <alignment horizontal="center"/>
    </xf>
    <xf numFmtId="0" fontId="0" fillId="9" borderId="0" xfId="0" applyFill="1"/>
    <xf numFmtId="0" fontId="37" fillId="9" borderId="0" xfId="0" applyFont="1" applyFill="1"/>
    <xf numFmtId="0" fontId="24" fillId="9" borderId="0" xfId="0" applyFont="1" applyFill="1"/>
    <xf numFmtId="0" fontId="21" fillId="9" borderId="0" xfId="0" applyFont="1" applyFill="1"/>
    <xf numFmtId="0" fontId="31" fillId="9" borderId="0" xfId="0" applyFont="1" applyFill="1"/>
    <xf numFmtId="0" fontId="33" fillId="9" borderId="0" xfId="0" applyFont="1" applyFill="1"/>
    <xf numFmtId="0" fontId="40" fillId="9" borderId="0" xfId="0" applyFont="1" applyFill="1"/>
    <xf numFmtId="0" fontId="42" fillId="9" borderId="0" xfId="0" applyFont="1" applyFill="1"/>
    <xf numFmtId="0" fontId="34" fillId="9" borderId="0" xfId="0" applyFont="1" applyFill="1" applyAlignment="1">
      <alignment vertical="center" wrapText="1"/>
    </xf>
    <xf numFmtId="2" fontId="39" fillId="9" borderId="0" xfId="0" applyNumberFormat="1" applyFont="1" applyFill="1" applyAlignment="1">
      <alignment vertical="center"/>
    </xf>
    <xf numFmtId="0" fontId="41" fillId="9" borderId="0" xfId="0" applyFont="1" applyFill="1"/>
    <xf numFmtId="0" fontId="41" fillId="9" borderId="0" xfId="0" applyFont="1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4" fillId="9" borderId="38" xfId="0" applyFont="1" applyFill="1" applyBorder="1"/>
    <xf numFmtId="0" fontId="4" fillId="9" borderId="39" xfId="0" applyFont="1" applyFill="1" applyBorder="1"/>
    <xf numFmtId="0" fontId="36" fillId="9" borderId="39" xfId="0" applyFont="1" applyFill="1" applyBorder="1"/>
    <xf numFmtId="0" fontId="4" fillId="9" borderId="40" xfId="0" applyFont="1" applyFill="1" applyBorder="1"/>
    <xf numFmtId="0" fontId="36" fillId="14" borderId="0" xfId="0" applyFont="1" applyFill="1"/>
    <xf numFmtId="1" fontId="3" fillId="8" borderId="23" xfId="0" applyNumberFormat="1" applyFont="1" applyFill="1" applyBorder="1"/>
    <xf numFmtId="0" fontId="21" fillId="20" borderId="49" xfId="0" applyFont="1" applyFill="1" applyBorder="1" applyAlignment="1">
      <alignment horizontal="center" vertical="center"/>
    </xf>
    <xf numFmtId="0" fontId="0" fillId="18" borderId="51" xfId="0" applyFill="1" applyBorder="1"/>
    <xf numFmtId="0" fontId="0" fillId="18" borderId="52" xfId="0" applyFill="1" applyBorder="1"/>
    <xf numFmtId="0" fontId="4" fillId="18" borderId="52" xfId="0" applyFont="1" applyFill="1" applyBorder="1"/>
    <xf numFmtId="0" fontId="4" fillId="18" borderId="53" xfId="0" applyFont="1" applyFill="1" applyBorder="1"/>
    <xf numFmtId="0" fontId="0" fillId="14" borderId="0" xfId="0" applyFill="1" applyAlignment="1">
      <alignment horizontal="center" vertical="center"/>
    </xf>
    <xf numFmtId="0" fontId="35" fillId="9" borderId="0" xfId="0" applyFont="1" applyFill="1" applyAlignment="1">
      <alignment horizontal="center" vertical="center"/>
    </xf>
    <xf numFmtId="0" fontId="22" fillId="9" borderId="0" xfId="0" applyFont="1" applyFill="1"/>
    <xf numFmtId="0" fontId="0" fillId="9" borderId="55" xfId="0" applyFill="1" applyBorder="1"/>
    <xf numFmtId="0" fontId="22" fillId="9" borderId="55" xfId="0" applyFont="1" applyFill="1" applyBorder="1"/>
    <xf numFmtId="0" fontId="4" fillId="10" borderId="0" xfId="0" applyFont="1" applyFill="1"/>
    <xf numFmtId="0" fontId="3" fillId="23" borderId="66" xfId="0" applyFont="1" applyFill="1" applyBorder="1" applyAlignment="1">
      <alignment horizontal="center" vertical="center"/>
    </xf>
    <xf numFmtId="0" fontId="23" fillId="22" borderId="68" xfId="0" applyFont="1" applyFill="1" applyBorder="1" applyAlignment="1">
      <alignment horizontal="center"/>
    </xf>
    <xf numFmtId="0" fontId="23" fillId="24" borderId="68" xfId="0" applyFont="1" applyFill="1" applyBorder="1" applyAlignment="1">
      <alignment horizontal="center"/>
    </xf>
    <xf numFmtId="0" fontId="23" fillId="22" borderId="69" xfId="0" applyFont="1" applyFill="1" applyBorder="1" applyAlignment="1">
      <alignment horizontal="center"/>
    </xf>
    <xf numFmtId="0" fontId="43" fillId="18" borderId="67" xfId="0" applyFont="1" applyFill="1" applyBorder="1" applyAlignment="1">
      <alignment horizontal="center"/>
    </xf>
    <xf numFmtId="0" fontId="23" fillId="22" borderId="70" xfId="0" applyFont="1" applyFill="1" applyBorder="1" applyAlignment="1">
      <alignment horizontal="center"/>
    </xf>
    <xf numFmtId="0" fontId="23" fillId="22" borderId="71" xfId="0" applyFont="1" applyFill="1" applyBorder="1" applyAlignment="1">
      <alignment horizontal="center"/>
    </xf>
    <xf numFmtId="0" fontId="23" fillId="22" borderId="72" xfId="0" applyFont="1" applyFill="1" applyBorder="1" applyAlignment="1">
      <alignment horizontal="center"/>
    </xf>
    <xf numFmtId="0" fontId="29" fillId="28" borderId="47" xfId="0" applyFont="1" applyFill="1" applyBorder="1" applyAlignment="1">
      <alignment horizontal="center" vertical="center"/>
    </xf>
    <xf numFmtId="0" fontId="38" fillId="18" borderId="48" xfId="0" applyFont="1" applyFill="1" applyBorder="1" applyAlignment="1">
      <alignment horizontal="center" vertical="center"/>
    </xf>
    <xf numFmtId="0" fontId="39" fillId="19" borderId="48" xfId="0" applyFont="1" applyFill="1" applyBorder="1" applyAlignment="1">
      <alignment horizontal="center" vertical="center"/>
    </xf>
    <xf numFmtId="0" fontId="38" fillId="18" borderId="54" xfId="0" applyFont="1" applyFill="1" applyBorder="1" applyAlignment="1">
      <alignment horizontal="center" vertical="center"/>
    </xf>
    <xf numFmtId="0" fontId="48" fillId="29" borderId="48" xfId="0" applyFont="1" applyFill="1" applyBorder="1" applyAlignment="1">
      <alignment horizontal="center" vertical="center"/>
    </xf>
    <xf numFmtId="0" fontId="0" fillId="9" borderId="52" xfId="0" applyFill="1" applyBorder="1"/>
    <xf numFmtId="0" fontId="6" fillId="9" borderId="0" xfId="0" applyFont="1" applyFill="1" applyAlignment="1">
      <alignment vertical="center" wrapText="1"/>
    </xf>
    <xf numFmtId="0" fontId="0" fillId="9" borderId="62" xfId="0" applyFill="1" applyBorder="1"/>
    <xf numFmtId="2" fontId="3" fillId="18" borderId="48" xfId="0" applyNumberFormat="1" applyFont="1" applyFill="1" applyBorder="1" applyAlignment="1">
      <alignment horizontal="center" vertical="center" wrapText="1"/>
    </xf>
    <xf numFmtId="2" fontId="3" fillId="30" borderId="48" xfId="0" applyNumberFormat="1" applyFont="1" applyFill="1" applyBorder="1" applyAlignment="1">
      <alignment horizontal="center" vertical="center" wrapText="1"/>
    </xf>
    <xf numFmtId="2" fontId="39" fillId="30" borderId="48" xfId="0" applyNumberFormat="1" applyFont="1" applyFill="1" applyBorder="1" applyAlignment="1">
      <alignment horizontal="center" vertical="center"/>
    </xf>
    <xf numFmtId="0" fontId="29" fillId="22" borderId="47" xfId="0" applyFont="1" applyFill="1" applyBorder="1" applyAlignment="1">
      <alignment horizontal="center" vertical="center"/>
    </xf>
    <xf numFmtId="2" fontId="28" fillId="30" borderId="48" xfId="0" applyNumberFormat="1" applyFont="1" applyFill="1" applyBorder="1" applyAlignment="1">
      <alignment horizontal="center" vertical="center" wrapText="1"/>
    </xf>
    <xf numFmtId="0" fontId="43" fillId="18" borderId="75" xfId="0" applyFont="1" applyFill="1" applyBorder="1" applyAlignment="1">
      <alignment horizontal="center"/>
    </xf>
    <xf numFmtId="0" fontId="43" fillId="18" borderId="76" xfId="0" applyFont="1" applyFill="1" applyBorder="1" applyAlignment="1">
      <alignment horizontal="center"/>
    </xf>
    <xf numFmtId="0" fontId="43" fillId="18" borderId="77" xfId="0" applyFont="1" applyFill="1" applyBorder="1" applyAlignment="1">
      <alignment horizontal="center"/>
    </xf>
    <xf numFmtId="0" fontId="43" fillId="18" borderId="78" xfId="0" applyFont="1" applyFill="1" applyBorder="1" applyAlignment="1">
      <alignment horizontal="center"/>
    </xf>
    <xf numFmtId="0" fontId="43" fillId="18" borderId="79" xfId="0" applyFont="1" applyFill="1" applyBorder="1" applyAlignment="1">
      <alignment horizontal="center"/>
    </xf>
    <xf numFmtId="0" fontId="43" fillId="18" borderId="80" xfId="0" applyFont="1" applyFill="1" applyBorder="1" applyAlignment="1">
      <alignment horizontal="center"/>
    </xf>
    <xf numFmtId="0" fontId="23" fillId="22" borderId="82" xfId="0" applyFont="1" applyFill="1" applyBorder="1" applyAlignment="1">
      <alignment horizontal="center"/>
    </xf>
    <xf numFmtId="0" fontId="23" fillId="22" borderId="83" xfId="0" applyFont="1" applyFill="1" applyBorder="1" applyAlignment="1">
      <alignment horizontal="center"/>
    </xf>
    <xf numFmtId="0" fontId="0" fillId="14" borderId="30" xfId="0" applyFill="1" applyBorder="1"/>
    <xf numFmtId="4" fontId="29" fillId="28" borderId="47" xfId="0" applyNumberFormat="1" applyFont="1" applyFill="1" applyBorder="1" applyAlignment="1">
      <alignment horizontal="center" vertical="center"/>
    </xf>
    <xf numFmtId="2" fontId="29" fillId="28" borderId="47" xfId="0" applyNumberFormat="1" applyFont="1" applyFill="1" applyBorder="1" applyAlignment="1">
      <alignment horizontal="center" vertical="center"/>
    </xf>
    <xf numFmtId="168" fontId="29" fillId="28" borderId="47" xfId="0" applyNumberFormat="1" applyFont="1" applyFill="1" applyBorder="1" applyAlignment="1">
      <alignment horizontal="center" vertical="center"/>
    </xf>
    <xf numFmtId="0" fontId="31" fillId="9" borderId="0" xfId="0" applyFont="1" applyFill="1" applyAlignment="1">
      <alignment horizontal="center" vertical="center"/>
    </xf>
    <xf numFmtId="0" fontId="38" fillId="9" borderId="0" xfId="0" applyFont="1" applyFill="1" applyAlignment="1">
      <alignment horizontal="center" vertical="center" wrapText="1"/>
    </xf>
    <xf numFmtId="0" fontId="3" fillId="18" borderId="48" xfId="0" applyFont="1" applyFill="1" applyBorder="1" applyAlignment="1">
      <alignment horizontal="center" vertical="center" wrapText="1"/>
    </xf>
    <xf numFmtId="0" fontId="3" fillId="18" borderId="48" xfId="0" applyFont="1" applyFill="1" applyBorder="1" applyAlignment="1">
      <alignment horizontal="center" vertical="center"/>
    </xf>
    <xf numFmtId="2" fontId="50" fillId="29" borderId="48" xfId="0" applyNumberFormat="1" applyFont="1" applyFill="1" applyBorder="1" applyAlignment="1">
      <alignment horizontal="center" vertical="center"/>
    </xf>
    <xf numFmtId="0" fontId="0" fillId="9" borderId="84" xfId="0" applyFill="1" applyBorder="1"/>
    <xf numFmtId="0" fontId="0" fillId="9" borderId="85" xfId="0" applyFill="1" applyBorder="1"/>
    <xf numFmtId="0" fontId="22" fillId="14" borderId="3" xfId="0" applyFont="1" applyFill="1" applyBorder="1"/>
    <xf numFmtId="0" fontId="0" fillId="14" borderId="3" xfId="0" applyFill="1" applyBorder="1"/>
    <xf numFmtId="0" fontId="0" fillId="14" borderId="3" xfId="0" applyFill="1" applyBorder="1" applyAlignment="1">
      <alignment wrapText="1"/>
    </xf>
    <xf numFmtId="1" fontId="50" fillId="29" borderId="48" xfId="0" applyNumberFormat="1" applyFont="1" applyFill="1" applyBorder="1" applyAlignment="1">
      <alignment horizontal="center" vertical="center"/>
    </xf>
    <xf numFmtId="0" fontId="0" fillId="9" borderId="86" xfId="0" applyFill="1" applyBorder="1"/>
    <xf numFmtId="0" fontId="0" fillId="9" borderId="86" xfId="0" applyFill="1" applyBorder="1" applyAlignment="1">
      <alignment horizontal="center" vertical="center"/>
    </xf>
    <xf numFmtId="0" fontId="0" fillId="9" borderId="87" xfId="0" applyFill="1" applyBorder="1"/>
    <xf numFmtId="0" fontId="0" fillId="9" borderId="2" xfId="0" applyFill="1" applyBorder="1"/>
    <xf numFmtId="0" fontId="0" fillId="9" borderId="88" xfId="0" applyFill="1" applyBorder="1"/>
    <xf numFmtId="0" fontId="0" fillId="9" borderId="89" xfId="0" applyFill="1" applyBorder="1"/>
    <xf numFmtId="0" fontId="0" fillId="9" borderId="90" xfId="0" applyFill="1" applyBorder="1"/>
    <xf numFmtId="0" fontId="0" fillId="9" borderId="91" xfId="0" applyFill="1" applyBorder="1"/>
    <xf numFmtId="0" fontId="0" fillId="9" borderId="92" xfId="0" applyFill="1" applyBorder="1"/>
    <xf numFmtId="2" fontId="49" fillId="30" borderId="0" xfId="0" applyNumberFormat="1" applyFont="1" applyFill="1" applyAlignment="1">
      <alignment horizontal="center" vertical="center" wrapText="1"/>
    </xf>
    <xf numFmtId="0" fontId="51" fillId="26" borderId="73" xfId="0" applyFont="1" applyFill="1" applyBorder="1" applyAlignment="1">
      <alignment horizontal="center" vertical="center"/>
    </xf>
    <xf numFmtId="0" fontId="4" fillId="9" borderId="74" xfId="0" applyFont="1" applyFill="1" applyBorder="1"/>
    <xf numFmtId="0" fontId="39" fillId="27" borderId="73" xfId="0" applyFont="1" applyFill="1" applyBorder="1" applyAlignment="1">
      <alignment horizontal="center" vertical="center"/>
    </xf>
    <xf numFmtId="0" fontId="33" fillId="9" borderId="3" xfId="0" applyFont="1" applyFill="1" applyBorder="1" applyAlignment="1">
      <alignment horizontal="center" vertical="center"/>
    </xf>
    <xf numFmtId="0" fontId="33" fillId="9" borderId="0" xfId="0" applyFont="1" applyFill="1" applyAlignment="1">
      <alignment horizontal="center" vertical="center"/>
    </xf>
    <xf numFmtId="0" fontId="53" fillId="9" borderId="0" xfId="0" applyFont="1" applyFill="1" applyAlignment="1">
      <alignment horizontal="center"/>
    </xf>
    <xf numFmtId="0" fontId="54" fillId="14" borderId="0" xfId="0" applyFont="1" applyFill="1" applyAlignment="1">
      <alignment horizontal="center" vertical="center"/>
    </xf>
    <xf numFmtId="0" fontId="55" fillId="14" borderId="0" xfId="0" applyFont="1" applyFill="1" applyAlignment="1">
      <alignment horizontal="center" vertical="center"/>
    </xf>
    <xf numFmtId="0" fontId="30" fillId="14" borderId="0" xfId="0" applyFont="1" applyFill="1" applyAlignment="1">
      <alignment horizontal="center" vertical="center"/>
    </xf>
    <xf numFmtId="0" fontId="0" fillId="4" borderId="0" xfId="0" applyFill="1"/>
    <xf numFmtId="0" fontId="56" fillId="4" borderId="0" xfId="0" applyFont="1" applyFill="1" applyAlignment="1">
      <alignment horizontal="right" vertical="center"/>
    </xf>
    <xf numFmtId="2" fontId="56" fillId="31" borderId="0" xfId="0" applyNumberFormat="1" applyFont="1" applyFill="1" applyAlignment="1">
      <alignment horizontal="right" vertical="center"/>
    </xf>
    <xf numFmtId="0" fontId="11" fillId="4" borderId="95" xfId="0" applyFont="1" applyFill="1" applyBorder="1" applyAlignment="1">
      <alignment horizontal="center"/>
    </xf>
    <xf numFmtId="0" fontId="12" fillId="4" borderId="96" xfId="0" applyFont="1" applyFill="1" applyBorder="1" applyAlignment="1">
      <alignment horizontal="center"/>
    </xf>
    <xf numFmtId="0" fontId="13" fillId="4" borderId="97" xfId="0" applyFont="1" applyFill="1" applyBorder="1" applyAlignment="1">
      <alignment horizontal="center" vertical="center"/>
    </xf>
    <xf numFmtId="0" fontId="14" fillId="4" borderId="97" xfId="0" applyFont="1" applyFill="1" applyBorder="1" applyAlignment="1">
      <alignment horizontal="right"/>
    </xf>
    <xf numFmtId="0" fontId="0" fillId="4" borderId="98" xfId="0" applyFill="1" applyBorder="1"/>
    <xf numFmtId="0" fontId="35" fillId="32" borderId="98" xfId="0" applyFont="1" applyFill="1" applyBorder="1"/>
    <xf numFmtId="0" fontId="20" fillId="11" borderId="99" xfId="0" applyFont="1" applyFill="1" applyBorder="1" applyAlignment="1">
      <alignment horizontal="left" vertical="top" wrapText="1"/>
    </xf>
    <xf numFmtId="2" fontId="16" fillId="16" borderId="18" xfId="2" applyNumberFormat="1" applyFont="1" applyFill="1" applyBorder="1" applyAlignment="1">
      <alignment horizontal="center"/>
    </xf>
    <xf numFmtId="0" fontId="16" fillId="16" borderId="18" xfId="2" applyNumberFormat="1" applyFont="1" applyFill="1" applyBorder="1" applyAlignment="1">
      <alignment horizontal="center"/>
    </xf>
    <xf numFmtId="1" fontId="57" fillId="0" borderId="0" xfId="0" applyNumberFormat="1" applyFont="1"/>
    <xf numFmtId="0" fontId="0" fillId="0" borderId="0" xfId="0" pivotButton="1"/>
    <xf numFmtId="0" fontId="0" fillId="0" borderId="0" xfId="0" pivotButton="1" applyAlignment="1">
      <alignment vertical="center"/>
    </xf>
    <xf numFmtId="1" fontId="56" fillId="4" borderId="0" xfId="0" applyNumberFormat="1" applyFont="1" applyFill="1" applyAlignment="1">
      <alignment horizontal="right" vertical="center"/>
    </xf>
    <xf numFmtId="0" fontId="0" fillId="33" borderId="0" xfId="0" applyFill="1"/>
    <xf numFmtId="0" fontId="16" fillId="12" borderId="19" xfId="2" applyNumberFormat="1" applyFont="1" applyFill="1" applyBorder="1" applyAlignment="1">
      <alignment horizontal="center"/>
    </xf>
    <xf numFmtId="0" fontId="0" fillId="4" borderId="98" xfId="0" applyFill="1" applyBorder="1" applyAlignment="1">
      <alignment horizontal="center"/>
    </xf>
    <xf numFmtId="0" fontId="10" fillId="34" borderId="20" xfId="2" applyNumberFormat="1" applyFont="1" applyFill="1" applyBorder="1" applyAlignment="1">
      <alignment horizontal="center"/>
    </xf>
    <xf numFmtId="0" fontId="16" fillId="34" borderId="19" xfId="2" applyNumberFormat="1" applyFont="1" applyFill="1" applyBorder="1" applyAlignment="1">
      <alignment horizontal="center"/>
    </xf>
    <xf numFmtId="0" fontId="35" fillId="15" borderId="0" xfId="0" applyFont="1" applyFill="1"/>
    <xf numFmtId="0" fontId="59" fillId="35" borderId="14" xfId="2" applyNumberFormat="1" applyFont="1" applyFill="1" applyBorder="1" applyAlignment="1">
      <alignment horizontal="left" vertical="top" wrapText="1"/>
    </xf>
    <xf numFmtId="0" fontId="9" fillId="35" borderId="15" xfId="2" applyNumberFormat="1" applyFont="1" applyFill="1" applyBorder="1" applyAlignment="1">
      <alignment horizontal="left" vertical="top" wrapText="1"/>
    </xf>
    <xf numFmtId="2" fontId="0" fillId="4" borderId="98" xfId="0" applyNumberFormat="1" applyFill="1" applyBorder="1" applyAlignment="1">
      <alignment horizont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  <xf numFmtId="0" fontId="0" fillId="0" borderId="1" xfId="0" applyBorder="1" applyAlignment="1">
      <alignment horizontal="right" vertical="center"/>
    </xf>
    <xf numFmtId="2" fontId="56" fillId="0" borderId="0" xfId="0" applyNumberFormat="1" applyFont="1" applyAlignment="1">
      <alignment horizontal="right" vertical="center"/>
    </xf>
    <xf numFmtId="0" fontId="2" fillId="14" borderId="18" xfId="2" applyNumberFormat="1" applyFont="1" applyFill="1" applyBorder="1" applyAlignment="1">
      <alignment horizontal="center" vertical="center"/>
    </xf>
    <xf numFmtId="0" fontId="0" fillId="22" borderId="81" xfId="0" applyFill="1" applyBorder="1" applyAlignment="1">
      <alignment horizontal="center"/>
    </xf>
    <xf numFmtId="0" fontId="15" fillId="36" borderId="18" xfId="2" applyNumberFormat="1" applyFont="1" applyFill="1" applyBorder="1" applyAlignment="1">
      <alignment horizontal="center"/>
    </xf>
    <xf numFmtId="0" fontId="60" fillId="0" borderId="100" xfId="0" applyFont="1" applyBorder="1" applyAlignment="1">
      <alignment horizontal="center"/>
    </xf>
    <xf numFmtId="0" fontId="33" fillId="0" borderId="0" xfId="0" applyFont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62" fillId="15" borderId="100" xfId="0" applyFont="1" applyFill="1" applyBorder="1" applyAlignment="1">
      <alignment horizontal="center"/>
    </xf>
    <xf numFmtId="0" fontId="2" fillId="34" borderId="103" xfId="2" applyNumberFormat="1" applyFont="1" applyFill="1" applyBorder="1" applyAlignment="1">
      <alignment horizontal="center"/>
    </xf>
    <xf numFmtId="0" fontId="2" fillId="12" borderId="103" xfId="2" applyNumberFormat="1" applyFont="1" applyFill="1" applyBorder="1" applyAlignment="1">
      <alignment horizontal="center"/>
    </xf>
    <xf numFmtId="0" fontId="19" fillId="12" borderId="102" xfId="2" applyNumberFormat="1" applyFont="1" applyFill="1" applyBorder="1" applyAlignment="1">
      <alignment horizontal="center" wrapText="1"/>
    </xf>
    <xf numFmtId="0" fontId="63" fillId="12" borderId="102" xfId="2" applyNumberFormat="1" applyFont="1" applyFill="1" applyBorder="1" applyAlignment="1">
      <alignment horizontal="center" wrapText="1"/>
    </xf>
    <xf numFmtId="2" fontId="0" fillId="4" borderId="0" xfId="0" applyNumberFormat="1" applyFill="1"/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2" fontId="0" fillId="4" borderId="0" xfId="0" applyNumberFormat="1" applyFill="1" applyAlignment="1">
      <alignment horizontal="center"/>
    </xf>
    <xf numFmtId="2" fontId="0" fillId="5" borderId="0" xfId="0" applyNumberFormat="1" applyFill="1" applyAlignment="1">
      <alignment horizontal="center"/>
    </xf>
    <xf numFmtId="0" fontId="7" fillId="0" borderId="0" xfId="0" applyFont="1"/>
    <xf numFmtId="0" fontId="7" fillId="0" borderId="3" xfId="0" applyFont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0" fillId="13" borderId="0" xfId="0" applyFill="1"/>
    <xf numFmtId="0" fontId="7" fillId="0" borderId="0" xfId="0" applyFont="1" applyAlignment="1">
      <alignment horizontal="center"/>
    </xf>
    <xf numFmtId="0" fontId="3" fillId="13" borderId="86" xfId="0" applyFont="1" applyFill="1" applyBorder="1" applyAlignment="1">
      <alignment horizontal="center"/>
    </xf>
    <xf numFmtId="0" fontId="3" fillId="13" borderId="0" xfId="0" applyFont="1" applyFill="1" applyAlignment="1">
      <alignment horizontal="center"/>
    </xf>
    <xf numFmtId="0" fontId="54" fillId="13" borderId="86" xfId="0" applyFont="1" applyFill="1" applyBorder="1" applyAlignment="1">
      <alignment horizontal="center"/>
    </xf>
    <xf numFmtId="0" fontId="54" fillId="13" borderId="0" xfId="0" applyFont="1" applyFill="1" applyAlignment="1">
      <alignment horizontal="center"/>
    </xf>
    <xf numFmtId="0" fontId="0" fillId="9" borderId="105" xfId="0" applyFill="1" applyBorder="1" applyAlignment="1">
      <alignment horizontal="center"/>
    </xf>
    <xf numFmtId="0" fontId="0" fillId="6" borderId="105" xfId="0" applyFill="1" applyBorder="1" applyAlignment="1">
      <alignment horizontal="center"/>
    </xf>
    <xf numFmtId="0" fontId="0" fillId="9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9" borderId="109" xfId="0" applyFill="1" applyBorder="1" applyAlignment="1">
      <alignment horizontal="center"/>
    </xf>
    <xf numFmtId="0" fontId="0" fillId="6" borderId="109" xfId="0" applyFill="1" applyBorder="1" applyAlignment="1">
      <alignment horizontal="center"/>
    </xf>
    <xf numFmtId="2" fontId="0" fillId="9" borderId="105" xfId="0" applyNumberFormat="1" applyFill="1" applyBorder="1" applyAlignment="1">
      <alignment horizontal="center"/>
    </xf>
    <xf numFmtId="2" fontId="0" fillId="9" borderId="0" xfId="0" applyNumberFormat="1" applyFill="1" applyAlignment="1">
      <alignment horizontal="center"/>
    </xf>
    <xf numFmtId="2" fontId="0" fillId="9" borderId="109" xfId="0" applyNumberFormat="1" applyFill="1" applyBorder="1" applyAlignment="1">
      <alignment horizontal="center"/>
    </xf>
    <xf numFmtId="0" fontId="3" fillId="18" borderId="0" xfId="0" applyFont="1" applyFill="1" applyAlignment="1">
      <alignment horizontal="center"/>
    </xf>
    <xf numFmtId="2" fontId="0" fillId="14" borderId="0" xfId="0" applyNumberFormat="1" applyFill="1" applyAlignment="1">
      <alignment horizontal="center"/>
    </xf>
    <xf numFmtId="0" fontId="3" fillId="0" borderId="0" xfId="0" applyFont="1" applyAlignment="1">
      <alignment horizontal="center"/>
    </xf>
    <xf numFmtId="0" fontId="54" fillId="4" borderId="3" xfId="0" applyFon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0" fontId="3" fillId="13" borderId="105" xfId="0" applyFont="1" applyFill="1" applyBorder="1" applyAlignment="1">
      <alignment horizontal="center"/>
    </xf>
    <xf numFmtId="0" fontId="3" fillId="13" borderId="109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54" fillId="5" borderId="3" xfId="0" applyFont="1" applyFill="1" applyBorder="1" applyAlignment="1">
      <alignment horizontal="center"/>
    </xf>
    <xf numFmtId="0" fontId="3" fillId="0" borderId="0" xfId="0" applyFont="1"/>
    <xf numFmtId="0" fontId="54" fillId="0" borderId="0" xfId="0" applyFont="1"/>
    <xf numFmtId="0" fontId="54" fillId="0" borderId="0" xfId="0" applyFont="1" applyAlignment="1">
      <alignment horizontal="center"/>
    </xf>
    <xf numFmtId="2" fontId="7" fillId="5" borderId="3" xfId="0" applyNumberFormat="1" applyFont="1" applyFill="1" applyBorder="1" applyAlignment="1">
      <alignment horizontal="center"/>
    </xf>
    <xf numFmtId="2" fontId="3" fillId="18" borderId="0" xfId="0" applyNumberFormat="1" applyFont="1" applyFill="1" applyAlignment="1">
      <alignment horizontal="center"/>
    </xf>
    <xf numFmtId="2" fontId="0" fillId="6" borderId="105" xfId="0" applyNumberFormat="1" applyFill="1" applyBorder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09" xfId="0" applyNumberFormat="1" applyFill="1" applyBorder="1" applyAlignment="1">
      <alignment horizontal="center"/>
    </xf>
    <xf numFmtId="2" fontId="7" fillId="4" borderId="3" xfId="0" applyNumberFormat="1" applyFont="1" applyFill="1" applyBorder="1" applyAlignment="1">
      <alignment horizontal="center"/>
    </xf>
    <xf numFmtId="2" fontId="7" fillId="0" borderId="0" xfId="0" applyNumberFormat="1" applyFont="1"/>
    <xf numFmtId="2" fontId="7" fillId="0" borderId="0" xfId="0" applyNumberFormat="1" applyFont="1" applyAlignment="1">
      <alignment horizontal="center"/>
    </xf>
    <xf numFmtId="2" fontId="0" fillId="32" borderId="0" xfId="0" applyNumberFormat="1" applyFill="1" applyAlignment="1">
      <alignment horizontal="center"/>
    </xf>
    <xf numFmtId="2" fontId="0" fillId="33" borderId="0" xfId="0" applyNumberFormat="1" applyFill="1" applyAlignment="1">
      <alignment horizontal="center"/>
    </xf>
    <xf numFmtId="2" fontId="0" fillId="13" borderId="0" xfId="0" applyNumberFormat="1" applyFill="1" applyAlignment="1">
      <alignment horizontal="center"/>
    </xf>
    <xf numFmtId="2" fontId="0" fillId="9" borderId="110" xfId="0" applyNumberFormat="1" applyFill="1" applyBorder="1" applyAlignment="1">
      <alignment horizontal="center"/>
    </xf>
    <xf numFmtId="2" fontId="0" fillId="9" borderId="111" xfId="0" applyNumberFormat="1" applyFill="1" applyBorder="1" applyAlignment="1">
      <alignment horizontal="center"/>
    </xf>
    <xf numFmtId="2" fontId="0" fillId="9" borderId="106" xfId="0" applyNumberFormat="1" applyFill="1" applyBorder="1" applyAlignment="1">
      <alignment horizontal="center"/>
    </xf>
    <xf numFmtId="0" fontId="0" fillId="0" borderId="108" xfId="0" applyBorder="1" applyAlignment="1">
      <alignment horizontal="center"/>
    </xf>
    <xf numFmtId="0" fontId="0" fillId="0" borderId="107" xfId="0" applyBorder="1" applyAlignment="1">
      <alignment horizontal="center"/>
    </xf>
    <xf numFmtId="0" fontId="0" fillId="0" borderId="112" xfId="0" applyBorder="1" applyAlignment="1">
      <alignment horizontal="center"/>
    </xf>
    <xf numFmtId="0" fontId="7" fillId="13" borderId="0" xfId="0" applyFont="1" applyFill="1"/>
    <xf numFmtId="0" fontId="0" fillId="0" borderId="35" xfId="0" applyBorder="1" applyAlignment="1">
      <alignment horizontal="center"/>
    </xf>
    <xf numFmtId="0" fontId="0" fillId="0" borderId="3" xfId="0" applyBorder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vertical="center"/>
    </xf>
    <xf numFmtId="0" fontId="65" fillId="4" borderId="0" xfId="0" applyFont="1" applyFill="1"/>
    <xf numFmtId="0" fontId="33" fillId="0" borderId="0" xfId="0" applyFont="1"/>
    <xf numFmtId="0" fontId="0" fillId="0" borderId="0" xfId="0" quotePrefix="1" applyAlignment="1">
      <alignment horizontal="center" vertical="center"/>
    </xf>
    <xf numFmtId="0" fontId="19" fillId="36" borderId="0" xfId="2" applyNumberFormat="1" applyFont="1" applyFill="1" applyBorder="1" applyAlignment="1">
      <alignment horizontal="center" wrapText="1"/>
    </xf>
    <xf numFmtId="0" fontId="35" fillId="0" borderId="0" xfId="0" applyFont="1"/>
    <xf numFmtId="0" fontId="19" fillId="12" borderId="0" xfId="0" applyFont="1" applyFill="1" applyAlignment="1">
      <alignment horizontal="center" wrapText="1"/>
    </xf>
    <xf numFmtId="0" fontId="9" fillId="11" borderId="14" xfId="0" applyFont="1" applyFill="1" applyBorder="1" applyAlignment="1">
      <alignment horizontal="left" vertical="top" wrapText="1"/>
    </xf>
    <xf numFmtId="0" fontId="10" fillId="34" borderId="16" xfId="2" applyNumberFormat="1" applyFont="1" applyFill="1" applyBorder="1" applyAlignment="1">
      <alignment horizontal="center"/>
    </xf>
    <xf numFmtId="0" fontId="44" fillId="6" borderId="0" xfId="0" applyFont="1" applyFill="1" applyAlignment="1">
      <alignment vertical="center"/>
    </xf>
    <xf numFmtId="0" fontId="0" fillId="37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4" fillId="0" borderId="0" xfId="0" applyFont="1"/>
    <xf numFmtId="0" fontId="4" fillId="0" borderId="39" xfId="0" applyFont="1" applyBorder="1"/>
    <xf numFmtId="0" fontId="62" fillId="0" borderId="39" xfId="0" applyFont="1" applyBorder="1"/>
    <xf numFmtId="0" fontId="0" fillId="0" borderId="113" xfId="0" applyBorder="1"/>
    <xf numFmtId="0" fontId="0" fillId="0" borderId="114" xfId="0" applyBorder="1"/>
    <xf numFmtId="0" fontId="65" fillId="38" borderId="2" xfId="0" applyFont="1" applyFill="1" applyBorder="1"/>
    <xf numFmtId="1" fontId="68" fillId="39" borderId="0" xfId="0" applyNumberFormat="1" applyFont="1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167" fontId="0" fillId="0" borderId="1" xfId="0" applyNumberFormat="1" applyBorder="1"/>
    <xf numFmtId="0" fontId="2" fillId="40" borderId="103" xfId="2" applyNumberFormat="1" applyFont="1" applyFill="1" applyBorder="1" applyAlignment="1">
      <alignment horizontal="center"/>
    </xf>
    <xf numFmtId="0" fontId="61" fillId="40" borderId="104" xfId="2" applyNumberFormat="1" applyFont="1" applyFill="1" applyBorder="1" applyAlignment="1">
      <alignment horizontal="center"/>
    </xf>
    <xf numFmtId="0" fontId="2" fillId="41" borderId="103" xfId="2" applyNumberFormat="1" applyFont="1" applyFill="1" applyBorder="1" applyAlignment="1">
      <alignment horizontal="center"/>
    </xf>
    <xf numFmtId="0" fontId="61" fillId="41" borderId="104" xfId="2" applyNumberFormat="1" applyFont="1" applyFill="1" applyBorder="1" applyAlignment="1">
      <alignment horizontal="center"/>
    </xf>
    <xf numFmtId="0" fontId="0" fillId="0" borderId="86" xfId="0" applyBorder="1"/>
    <xf numFmtId="0" fontId="64" fillId="0" borderId="0" xfId="0" applyFont="1"/>
    <xf numFmtId="0" fontId="60" fillId="0" borderId="0" xfId="0" applyFont="1"/>
    <xf numFmtId="0" fontId="0" fillId="4" borderId="115" xfId="0" applyFill="1" applyBorder="1"/>
    <xf numFmtId="0" fontId="0" fillId="9" borderId="118" xfId="0" applyFill="1" applyBorder="1"/>
    <xf numFmtId="0" fontId="0" fillId="9" borderId="119" xfId="0" applyFill="1" applyBorder="1"/>
    <xf numFmtId="0" fontId="0" fillId="9" borderId="120" xfId="0" applyFill="1" applyBorder="1"/>
    <xf numFmtId="0" fontId="0" fillId="9" borderId="121" xfId="0" applyFill="1" applyBorder="1"/>
    <xf numFmtId="1" fontId="70" fillId="39" borderId="0" xfId="0" applyNumberFormat="1" applyFont="1" applyFill="1"/>
    <xf numFmtId="1" fontId="70" fillId="39" borderId="0" xfId="0" applyNumberFormat="1" applyFont="1" applyFill="1" applyAlignment="1">
      <alignment horizontal="right" vertical="center"/>
    </xf>
    <xf numFmtId="0" fontId="56" fillId="0" borderId="0" xfId="0" applyFont="1" applyAlignment="1">
      <alignment horizontal="right" vertical="center"/>
    </xf>
    <xf numFmtId="0" fontId="56" fillId="4" borderId="0" xfId="0" applyFont="1" applyFill="1" applyAlignment="1">
      <alignment horizontal="center" vertical="center"/>
    </xf>
    <xf numFmtId="0" fontId="3" fillId="9" borderId="3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3" fillId="9" borderId="84" xfId="0" applyFont="1" applyFill="1" applyBorder="1" applyAlignment="1">
      <alignment horizontal="center" vertical="center" wrapText="1"/>
    </xf>
    <xf numFmtId="0" fontId="3" fillId="32" borderId="84" xfId="0" applyFont="1" applyFill="1" applyBorder="1" applyAlignment="1">
      <alignment horizontal="center" vertical="center" wrapText="1"/>
    </xf>
    <xf numFmtId="0" fontId="3" fillId="32" borderId="3" xfId="0" applyFont="1" applyFill="1" applyBorder="1" applyAlignment="1">
      <alignment horizontal="center" vertical="center" wrapText="1"/>
    </xf>
    <xf numFmtId="0" fontId="3" fillId="32" borderId="85" xfId="0" applyFont="1" applyFill="1" applyBorder="1" applyAlignment="1">
      <alignment horizontal="center" vertical="center" wrapText="1"/>
    </xf>
    <xf numFmtId="0" fontId="3" fillId="9" borderId="85" xfId="0" applyFont="1" applyFill="1" applyBorder="1" applyAlignment="1">
      <alignment horizontal="center" vertical="center" wrapText="1"/>
    </xf>
    <xf numFmtId="0" fontId="3" fillId="33" borderId="85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top"/>
    </xf>
    <xf numFmtId="1" fontId="0" fillId="0" borderId="0" xfId="0" applyNumberFormat="1" applyAlignment="1">
      <alignment horizontal="right" vertical="center"/>
    </xf>
    <xf numFmtId="1" fontId="68" fillId="39" borderId="0" xfId="0" applyNumberFormat="1" applyFont="1" applyFill="1"/>
    <xf numFmtId="0" fontId="0" fillId="3" borderId="0" xfId="0" applyFill="1"/>
    <xf numFmtId="0" fontId="0" fillId="0" borderId="1" xfId="0" applyBorder="1"/>
    <xf numFmtId="0" fontId="20" fillId="42" borderId="99" xfId="0" applyFont="1" applyFill="1" applyBorder="1" applyAlignment="1">
      <alignment horizontal="left" vertical="top" wrapText="1"/>
    </xf>
    <xf numFmtId="166" fontId="0" fillId="0" borderId="0" xfId="0" applyNumberFormat="1" applyAlignment="1">
      <alignment horizontal="left" vertical="center"/>
    </xf>
    <xf numFmtId="0" fontId="24" fillId="0" borderId="0" xfId="0" applyFont="1" applyAlignment="1">
      <alignment horizontal="center"/>
    </xf>
    <xf numFmtId="0" fontId="0" fillId="5" borderId="5" xfId="0" applyFill="1" applyBorder="1"/>
    <xf numFmtId="0" fontId="35" fillId="0" borderId="0" xfId="0" applyFont="1" applyAlignment="1">
      <alignment horizontal="center"/>
    </xf>
    <xf numFmtId="0" fontId="65" fillId="38" borderId="0" xfId="0" applyFont="1" applyFill="1"/>
    <xf numFmtId="0" fontId="4" fillId="43" borderId="4" xfId="0" applyFont="1" applyFill="1" applyBorder="1" applyAlignment="1">
      <alignment horizontal="center" vertical="center" wrapText="1"/>
    </xf>
    <xf numFmtId="0" fontId="4" fillId="43" borderId="4" xfId="0" applyFont="1" applyFill="1" applyBorder="1" applyAlignment="1">
      <alignment horizontal="left" vertical="top" wrapText="1"/>
    </xf>
    <xf numFmtId="0" fontId="66" fillId="43" borderId="4" xfId="0" applyFont="1" applyFill="1" applyBorder="1" applyAlignment="1">
      <alignment horizontal="left" vertical="top" wrapText="1"/>
    </xf>
    <xf numFmtId="0" fontId="71" fillId="0" borderId="0" xfId="0" applyFont="1" applyAlignment="1">
      <alignment horizontal="center" vertical="center"/>
    </xf>
    <xf numFmtId="0" fontId="0" fillId="0" borderId="122" xfId="0" applyBorder="1" applyAlignment="1">
      <alignment horizontal="center"/>
    </xf>
    <xf numFmtId="0" fontId="0" fillId="0" borderId="125" xfId="0" applyBorder="1" applyAlignment="1">
      <alignment horizontal="center"/>
    </xf>
    <xf numFmtId="0" fontId="68" fillId="0" borderId="0" xfId="0" applyFont="1"/>
    <xf numFmtId="0" fontId="72" fillId="0" borderId="0" xfId="0" applyFont="1"/>
    <xf numFmtId="0" fontId="0" fillId="44" borderId="0" xfId="0" applyFill="1"/>
    <xf numFmtId="0" fontId="0" fillId="44" borderId="0" xfId="0" applyFill="1" applyAlignment="1">
      <alignment horizontal="right"/>
    </xf>
    <xf numFmtId="0" fontId="68" fillId="44" borderId="0" xfId="0" applyFont="1" applyFill="1"/>
    <xf numFmtId="0" fontId="72" fillId="44" borderId="0" xfId="0" applyFont="1" applyFill="1"/>
    <xf numFmtId="0" fontId="68" fillId="0" borderId="0" xfId="0" applyFont="1" applyAlignment="1">
      <alignment horizontal="right"/>
    </xf>
    <xf numFmtId="0" fontId="68" fillId="44" borderId="0" xfId="0" applyFont="1" applyFill="1" applyAlignment="1">
      <alignment horizontal="right"/>
    </xf>
    <xf numFmtId="0" fontId="73" fillId="20" borderId="24" xfId="0" applyFont="1" applyFill="1" applyBorder="1" applyAlignment="1">
      <alignment horizontal="center" vertical="center" wrapText="1"/>
    </xf>
    <xf numFmtId="0" fontId="73" fillId="20" borderId="27" xfId="0" applyFont="1" applyFill="1" applyBorder="1" applyAlignment="1">
      <alignment horizontal="center" vertical="center" wrapText="1"/>
    </xf>
    <xf numFmtId="0" fontId="73" fillId="20" borderId="28" xfId="0" applyFont="1" applyFill="1" applyBorder="1" applyAlignment="1">
      <alignment horizontal="center" vertical="center" wrapText="1"/>
    </xf>
    <xf numFmtId="0" fontId="73" fillId="20" borderId="29" xfId="0" applyFont="1" applyFill="1" applyBorder="1" applyAlignment="1">
      <alignment horizontal="center" vertical="center" wrapText="1"/>
    </xf>
    <xf numFmtId="0" fontId="73" fillId="20" borderId="25" xfId="0" applyFont="1" applyFill="1" applyBorder="1" applyAlignment="1">
      <alignment horizontal="center" vertical="center" wrapText="1"/>
    </xf>
    <xf numFmtId="0" fontId="74" fillId="14" borderId="0" xfId="0" applyFont="1" applyFill="1"/>
    <xf numFmtId="0" fontId="16" fillId="45" borderId="19" xfId="2" applyNumberFormat="1" applyFont="1" applyFill="1" applyBorder="1" applyAlignment="1">
      <alignment horizontal="center"/>
    </xf>
    <xf numFmtId="0" fontId="10" fillId="46" borderId="20" xfId="2" applyNumberFormat="1" applyFont="1" applyFill="1" applyBorder="1" applyAlignment="1">
      <alignment horizontal="center"/>
    </xf>
    <xf numFmtId="0" fontId="11" fillId="33" borderId="0" xfId="2" applyNumberFormat="1" applyFont="1" applyFill="1" applyBorder="1" applyAlignment="1">
      <alignment horizontal="center"/>
    </xf>
    <xf numFmtId="0" fontId="12" fillId="33" borderId="16" xfId="2" applyNumberFormat="1" applyFont="1" applyFill="1" applyBorder="1" applyAlignment="1">
      <alignment horizontal="center"/>
    </xf>
    <xf numFmtId="0" fontId="75" fillId="0" borderId="0" xfId="6"/>
    <xf numFmtId="0" fontId="75" fillId="0" borderId="0" xfId="6" applyAlignment="1">
      <alignment horizontal="right"/>
    </xf>
    <xf numFmtId="0" fontId="68" fillId="0" borderId="0" xfId="6" applyFont="1"/>
    <xf numFmtId="0" fontId="75" fillId="44" borderId="0" xfId="6" applyFill="1"/>
    <xf numFmtId="0" fontId="75" fillId="44" borderId="0" xfId="6" applyFill="1" applyAlignment="1">
      <alignment horizontal="right"/>
    </xf>
    <xf numFmtId="0" fontId="68" fillId="44" borderId="0" xfId="6" applyFont="1" applyFill="1"/>
    <xf numFmtId="0" fontId="72" fillId="0" borderId="0" xfId="6" applyFont="1"/>
    <xf numFmtId="0" fontId="72" fillId="44" borderId="0" xfId="6" applyFont="1" applyFill="1"/>
    <xf numFmtId="0" fontId="76" fillId="12" borderId="19" xfId="2" applyNumberFormat="1" applyFont="1" applyFill="1" applyBorder="1" applyAlignment="1">
      <alignment horizontal="center"/>
    </xf>
    <xf numFmtId="0" fontId="77" fillId="34" borderId="20" xfId="2" applyNumberFormat="1" applyFont="1" applyFill="1" applyBorder="1" applyAlignment="1">
      <alignment horizontal="center"/>
    </xf>
    <xf numFmtId="0" fontId="76" fillId="34" borderId="19" xfId="2" applyNumberFormat="1" applyFont="1" applyFill="1" applyBorder="1" applyAlignment="1">
      <alignment horizontal="center"/>
    </xf>
    <xf numFmtId="0" fontId="77" fillId="12" borderId="20" xfId="2" applyNumberFormat="1" applyFont="1" applyFill="1" applyBorder="1" applyAlignment="1">
      <alignment horizontal="center"/>
    </xf>
    <xf numFmtId="0" fontId="78" fillId="12" borderId="19" xfId="2" applyNumberFormat="1" applyFont="1" applyFill="1" applyBorder="1" applyAlignment="1">
      <alignment horizontal="center"/>
    </xf>
    <xf numFmtId="0" fontId="11" fillId="12" borderId="20" xfId="2" applyNumberFormat="1" applyFont="1" applyFill="1" applyBorder="1" applyAlignment="1">
      <alignment horizontal="center"/>
    </xf>
    <xf numFmtId="0" fontId="78" fillId="34" borderId="19" xfId="2" applyNumberFormat="1" applyFont="1" applyFill="1" applyBorder="1" applyAlignment="1">
      <alignment horizontal="center"/>
    </xf>
    <xf numFmtId="0" fontId="11" fillId="34" borderId="20" xfId="2" applyNumberFormat="1" applyFont="1" applyFill="1" applyBorder="1" applyAlignment="1">
      <alignment horizontal="center"/>
    </xf>
    <xf numFmtId="0" fontId="2" fillId="34" borderId="19" xfId="2" applyNumberFormat="1" applyFont="1" applyFill="1" applyBorder="1" applyAlignment="1">
      <alignment horizontal="center"/>
    </xf>
    <xf numFmtId="0" fontId="2" fillId="12" borderId="19" xfId="2" applyNumberFormat="1" applyFont="1" applyFill="1" applyBorder="1" applyAlignment="1">
      <alignment horizontal="center"/>
    </xf>
    <xf numFmtId="0" fontId="61" fillId="12" borderId="20" xfId="2" applyNumberFormat="1" applyFont="1" applyFill="1" applyBorder="1" applyAlignment="1">
      <alignment horizontal="center"/>
    </xf>
    <xf numFmtId="0" fontId="61" fillId="34" borderId="20" xfId="2" applyNumberFormat="1" applyFont="1" applyFill="1" applyBorder="1" applyAlignment="1">
      <alignment horizontal="center"/>
    </xf>
    <xf numFmtId="0" fontId="11" fillId="12" borderId="16" xfId="2" applyNumberFormat="1" applyFont="1" applyFill="1" applyBorder="1" applyAlignment="1">
      <alignment horizontal="center"/>
    </xf>
    <xf numFmtId="0" fontId="0" fillId="0" borderId="31" xfId="0" applyBorder="1"/>
    <xf numFmtId="0" fontId="0" fillId="0" borderId="13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123" xfId="0" applyBorder="1"/>
    <xf numFmtId="0" fontId="24" fillId="0" borderId="39" xfId="0" applyFont="1" applyBorder="1"/>
    <xf numFmtId="0" fontId="0" fillId="0" borderId="36" xfId="0" applyBorder="1"/>
    <xf numFmtId="0" fontId="0" fillId="0" borderId="35" xfId="0" applyBorder="1"/>
    <xf numFmtId="0" fontId="0" fillId="0" borderId="37" xfId="0" applyBorder="1"/>
    <xf numFmtId="0" fontId="0" fillId="0" borderId="124" xfId="0" applyBorder="1"/>
    <xf numFmtId="0" fontId="24" fillId="0" borderId="114" xfId="0" applyFont="1" applyBorder="1"/>
    <xf numFmtId="0" fontId="0" fillId="0" borderId="115" xfId="0" applyBorder="1"/>
    <xf numFmtId="0" fontId="35" fillId="6" borderId="38" xfId="0" applyFont="1" applyFill="1" applyBorder="1"/>
    <xf numFmtId="0" fontId="35" fillId="6" borderId="39" xfId="0" applyFont="1" applyFill="1" applyBorder="1"/>
    <xf numFmtId="0" fontId="35" fillId="6" borderId="40" xfId="0" applyFont="1" applyFill="1" applyBorder="1"/>
    <xf numFmtId="0" fontId="35" fillId="6" borderId="113" xfId="0" applyFont="1" applyFill="1" applyBorder="1"/>
    <xf numFmtId="0" fontId="35" fillId="6" borderId="114" xfId="0" applyFont="1" applyFill="1" applyBorder="1"/>
    <xf numFmtId="0" fontId="35" fillId="6" borderId="115" xfId="0" applyFont="1" applyFill="1" applyBorder="1"/>
    <xf numFmtId="0" fontId="3" fillId="47" borderId="86" xfId="0" applyFont="1" applyFill="1" applyBorder="1" applyAlignment="1">
      <alignment horizontal="center"/>
    </xf>
    <xf numFmtId="0" fontId="54" fillId="47" borderId="86" xfId="0" applyFont="1" applyFill="1" applyBorder="1" applyAlignment="1">
      <alignment horizontal="center"/>
    </xf>
    <xf numFmtId="0" fontId="2" fillId="34" borderId="101" xfId="2" applyNumberFormat="1" applyFont="1" applyFill="1" applyBorder="1" applyAlignment="1">
      <alignment horizontal="center"/>
    </xf>
    <xf numFmtId="0" fontId="61" fillId="34" borderId="16" xfId="2" applyNumberFormat="1" applyFont="1" applyFill="1" applyBorder="1" applyAlignment="1">
      <alignment horizontal="center"/>
    </xf>
    <xf numFmtId="0" fontId="61" fillId="12" borderId="16" xfId="2" applyNumberFormat="1" applyFont="1" applyFill="1" applyBorder="1" applyAlignment="1">
      <alignment horizontal="center"/>
    </xf>
    <xf numFmtId="0" fontId="11" fillId="34" borderId="16" xfId="2" applyNumberFormat="1" applyFont="1" applyFill="1" applyBorder="1" applyAlignment="1">
      <alignment horizontal="center"/>
    </xf>
    <xf numFmtId="0" fontId="35" fillId="30" borderId="82" xfId="0" applyFont="1" applyFill="1" applyBorder="1" applyAlignment="1">
      <alignment horizontal="center"/>
    </xf>
    <xf numFmtId="0" fontId="35" fillId="30" borderId="68" xfId="0" applyFont="1" applyFill="1" applyBorder="1" applyAlignment="1">
      <alignment horizontal="center"/>
    </xf>
    <xf numFmtId="0" fontId="35" fillId="30" borderId="70" xfId="0" applyFont="1" applyFill="1" applyBorder="1" applyAlignment="1">
      <alignment horizontal="center"/>
    </xf>
    <xf numFmtId="0" fontId="0" fillId="32" borderId="0" xfId="0" applyFill="1"/>
    <xf numFmtId="0" fontId="0" fillId="48" borderId="126" xfId="0" applyFill="1" applyBorder="1" applyAlignment="1">
      <alignment horizontal="center" vertical="center"/>
    </xf>
    <xf numFmtId="0" fontId="0" fillId="49" borderId="126" xfId="0" applyFill="1" applyBorder="1" applyAlignment="1">
      <alignment horizontal="center" vertical="center"/>
    </xf>
    <xf numFmtId="0" fontId="0" fillId="10" borderId="0" xfId="0" applyFill="1" applyAlignment="1">
      <alignment horizontal="center" wrapText="1"/>
    </xf>
    <xf numFmtId="0" fontId="4" fillId="0" borderId="0" xfId="0" applyFont="1" applyAlignment="1">
      <alignment horizontal="center"/>
    </xf>
    <xf numFmtId="0" fontId="19" fillId="50" borderId="0" xfId="2" applyNumberFormat="1" applyFont="1" applyFill="1" applyBorder="1" applyAlignment="1">
      <alignment horizontal="center" wrapText="1"/>
    </xf>
    <xf numFmtId="1" fontId="79" fillId="39" borderId="0" xfId="0" applyNumberFormat="1" applyFont="1" applyFill="1" applyAlignment="1">
      <alignment horizontal="right" vertical="center"/>
    </xf>
    <xf numFmtId="0" fontId="79" fillId="0" borderId="0" xfId="0" applyFont="1"/>
    <xf numFmtId="0" fontId="80" fillId="0" borderId="0" xfId="0" applyFont="1"/>
    <xf numFmtId="0" fontId="79" fillId="44" borderId="0" xfId="0" applyFont="1" applyFill="1"/>
    <xf numFmtId="0" fontId="80" fillId="44" borderId="0" xfId="0" applyFont="1" applyFill="1"/>
    <xf numFmtId="0" fontId="16" fillId="34" borderId="0" xfId="2" applyNumberFormat="1" applyFont="1" applyFill="1" applyBorder="1" applyAlignment="1">
      <alignment horizontal="center"/>
    </xf>
    <xf numFmtId="0" fontId="10" fillId="34" borderId="0" xfId="2" applyNumberFormat="1" applyFont="1" applyFill="1" applyBorder="1" applyAlignment="1">
      <alignment horizontal="center"/>
    </xf>
    <xf numFmtId="0" fontId="15" fillId="12" borderId="0" xfId="2" applyNumberFormat="1" applyFont="1" applyFill="1" applyBorder="1" applyAlignment="1">
      <alignment horizontal="center"/>
    </xf>
    <xf numFmtId="0" fontId="23" fillId="14" borderId="0" xfId="0" applyFont="1" applyFill="1"/>
    <xf numFmtId="0" fontId="35" fillId="30" borderId="83" xfId="0" applyFont="1" applyFill="1" applyBorder="1" applyAlignment="1">
      <alignment horizontal="center"/>
    </xf>
    <xf numFmtId="0" fontId="35" fillId="30" borderId="71" xfId="0" applyFont="1" applyFill="1" applyBorder="1" applyAlignment="1">
      <alignment horizontal="center"/>
    </xf>
    <xf numFmtId="0" fontId="79" fillId="44" borderId="0" xfId="0" applyFont="1" applyFill="1" applyAlignment="1">
      <alignment horizontal="right"/>
    </xf>
    <xf numFmtId="0" fontId="0" fillId="33" borderId="0" xfId="0" applyFill="1" applyAlignment="1">
      <alignment horizontal="center" vertical="center" wrapText="1"/>
    </xf>
    <xf numFmtId="0" fontId="0" fillId="10" borderId="0" xfId="0" applyFill="1" applyAlignment="1">
      <alignment horizontal="center" vertical="center" wrapText="1"/>
    </xf>
    <xf numFmtId="0" fontId="4" fillId="0" borderId="116" xfId="0" applyFont="1" applyBorder="1" applyAlignment="1">
      <alignment horizontal="center"/>
    </xf>
    <xf numFmtId="0" fontId="4" fillId="0" borderId="117" xfId="0" applyFont="1" applyBorder="1" applyAlignment="1">
      <alignment horizontal="center"/>
    </xf>
    <xf numFmtId="0" fontId="0" fillId="0" borderId="118" xfId="0" applyBorder="1" applyAlignment="1">
      <alignment horizontal="left"/>
    </xf>
    <xf numFmtId="0" fontId="0" fillId="0" borderId="0" xfId="0" applyAlignment="1">
      <alignment horizontal="left"/>
    </xf>
    <xf numFmtId="0" fontId="0" fillId="33" borderId="0" xfId="0" applyFill="1" applyAlignment="1">
      <alignment horizontal="center" wrapText="1"/>
    </xf>
    <xf numFmtId="0" fontId="0" fillId="10" borderId="0" xfId="0" applyFill="1" applyAlignment="1">
      <alignment horizontal="center" wrapText="1"/>
    </xf>
    <xf numFmtId="0" fontId="0" fillId="10" borderId="0" xfId="0" applyFill="1" applyAlignment="1">
      <alignment horizontal="center" vertical="center"/>
    </xf>
    <xf numFmtId="0" fontId="69" fillId="6" borderId="87" xfId="0" applyFont="1" applyFill="1" applyBorder="1" applyAlignment="1">
      <alignment horizontal="center" vertical="center"/>
    </xf>
    <xf numFmtId="0" fontId="69" fillId="6" borderId="88" xfId="0" applyFont="1" applyFill="1" applyBorder="1" applyAlignment="1">
      <alignment horizontal="center" vertical="center"/>
    </xf>
    <xf numFmtId="0" fontId="69" fillId="6" borderId="90" xfId="0" applyFont="1" applyFill="1" applyBorder="1" applyAlignment="1">
      <alignment horizontal="center" vertical="center"/>
    </xf>
    <xf numFmtId="0" fontId="69" fillId="6" borderId="92" xfId="0" applyFont="1" applyFill="1" applyBorder="1" applyAlignment="1">
      <alignment horizontal="center" vertical="center"/>
    </xf>
    <xf numFmtId="0" fontId="0" fillId="6" borderId="0" xfId="0" applyFill="1" applyAlignment="1">
      <alignment horizontal="center"/>
    </xf>
    <xf numFmtId="0" fontId="0" fillId="6" borderId="91" xfId="0" applyFill="1" applyBorder="1" applyAlignment="1">
      <alignment horizontal="center"/>
    </xf>
    <xf numFmtId="0" fontId="69" fillId="6" borderId="3" xfId="0" applyFont="1" applyFill="1" applyBorder="1" applyAlignment="1">
      <alignment horizontal="center" vertical="center" wrapText="1"/>
    </xf>
    <xf numFmtId="0" fontId="69" fillId="6" borderId="3" xfId="0" applyFont="1" applyFill="1" applyBorder="1" applyAlignment="1">
      <alignment horizontal="center" vertical="center"/>
    </xf>
    <xf numFmtId="0" fontId="69" fillId="6" borderId="0" xfId="0" applyFont="1" applyFill="1" applyAlignment="1">
      <alignment horizontal="center" vertical="center"/>
    </xf>
    <xf numFmtId="0" fontId="32" fillId="20" borderId="50" xfId="0" applyFont="1" applyFill="1" applyBorder="1" applyAlignment="1">
      <alignment horizontal="center" vertical="center"/>
    </xf>
    <xf numFmtId="0" fontId="32" fillId="20" borderId="43" xfId="0" applyFont="1" applyFill="1" applyBorder="1" applyAlignment="1">
      <alignment horizontal="center" vertical="center"/>
    </xf>
    <xf numFmtId="0" fontId="46" fillId="21" borderId="13" xfId="0" applyFont="1" applyFill="1" applyBorder="1" applyAlignment="1">
      <alignment horizontal="center" vertical="center"/>
    </xf>
    <xf numFmtId="0" fontId="46" fillId="21" borderId="31" xfId="0" applyFont="1" applyFill="1" applyBorder="1" applyAlignment="1">
      <alignment horizontal="center" vertical="center"/>
    </xf>
    <xf numFmtId="0" fontId="46" fillId="21" borderId="32" xfId="0" applyFont="1" applyFill="1" applyBorder="1" applyAlignment="1">
      <alignment horizontal="center" vertical="center"/>
    </xf>
    <xf numFmtId="0" fontId="46" fillId="21" borderId="35" xfId="0" applyFont="1" applyFill="1" applyBorder="1" applyAlignment="1">
      <alignment horizontal="center" vertical="center"/>
    </xf>
    <xf numFmtId="0" fontId="46" fillId="21" borderId="36" xfId="0" applyFont="1" applyFill="1" applyBorder="1" applyAlignment="1">
      <alignment horizontal="center" vertical="center"/>
    </xf>
    <xf numFmtId="0" fontId="46" fillId="21" borderId="37" xfId="0" applyFont="1" applyFill="1" applyBorder="1" applyAlignment="1">
      <alignment horizontal="center" vertical="center"/>
    </xf>
    <xf numFmtId="0" fontId="45" fillId="21" borderId="56" xfId="0" applyFont="1" applyFill="1" applyBorder="1" applyAlignment="1">
      <alignment horizontal="center" vertical="center"/>
    </xf>
    <xf numFmtId="0" fontId="45" fillId="21" borderId="57" xfId="0" applyFont="1" applyFill="1" applyBorder="1" applyAlignment="1">
      <alignment horizontal="center" vertical="center"/>
    </xf>
    <xf numFmtId="0" fontId="45" fillId="21" borderId="58" xfId="0" applyFont="1" applyFill="1" applyBorder="1" applyAlignment="1">
      <alignment horizontal="center" vertical="center"/>
    </xf>
    <xf numFmtId="0" fontId="45" fillId="21" borderId="59" xfId="0" applyFont="1" applyFill="1" applyBorder="1" applyAlignment="1">
      <alignment horizontal="center" vertical="center"/>
    </xf>
    <xf numFmtId="0" fontId="45" fillId="21" borderId="60" xfId="0" applyFont="1" applyFill="1" applyBorder="1" applyAlignment="1">
      <alignment horizontal="center" vertical="center"/>
    </xf>
    <xf numFmtId="0" fontId="45" fillId="21" borderId="61" xfId="0" applyFont="1" applyFill="1" applyBorder="1" applyAlignment="1">
      <alignment horizontal="center" vertical="center"/>
    </xf>
    <xf numFmtId="0" fontId="4" fillId="25" borderId="63" xfId="0" applyFont="1" applyFill="1" applyBorder="1" applyAlignment="1">
      <alignment horizontal="center"/>
    </xf>
    <xf numFmtId="0" fontId="4" fillId="25" borderId="64" xfId="0" applyFont="1" applyFill="1" applyBorder="1" applyAlignment="1">
      <alignment horizontal="center"/>
    </xf>
    <xf numFmtId="0" fontId="4" fillId="25" borderId="65" xfId="0" applyFont="1" applyFill="1" applyBorder="1" applyAlignment="1">
      <alignment horizontal="center"/>
    </xf>
    <xf numFmtId="0" fontId="47" fillId="25" borderId="63" xfId="0" applyFont="1" applyFill="1" applyBorder="1" applyAlignment="1">
      <alignment horizontal="center" vertical="center"/>
    </xf>
    <xf numFmtId="0" fontId="47" fillId="25" borderId="64" xfId="0" applyFont="1" applyFill="1" applyBorder="1" applyAlignment="1">
      <alignment horizontal="center" vertical="center"/>
    </xf>
    <xf numFmtId="0" fontId="47" fillId="25" borderId="65" xfId="0" applyFont="1" applyFill="1" applyBorder="1" applyAlignment="1">
      <alignment horizontal="center" vertical="center"/>
    </xf>
    <xf numFmtId="0" fontId="0" fillId="9" borderId="84" xfId="0" applyFill="1" applyBorder="1" applyAlignment="1">
      <alignment horizontal="center"/>
    </xf>
    <xf numFmtId="0" fontId="0" fillId="9" borderId="85" xfId="0" applyFill="1" applyBorder="1" applyAlignment="1">
      <alignment horizontal="center"/>
    </xf>
    <xf numFmtId="1" fontId="29" fillId="28" borderId="93" xfId="0" applyNumberFormat="1" applyFont="1" applyFill="1" applyBorder="1" applyAlignment="1">
      <alignment horizontal="center" vertical="center"/>
    </xf>
    <xf numFmtId="1" fontId="29" fillId="28" borderId="94" xfId="0" applyNumberFormat="1" applyFont="1" applyFill="1" applyBorder="1" applyAlignment="1">
      <alignment horizontal="center" vertical="center"/>
    </xf>
    <xf numFmtId="0" fontId="52" fillId="15" borderId="21" xfId="2" applyNumberFormat="1" applyFont="1" applyFill="1" applyBorder="1" applyAlignment="1">
      <alignment horizontal="right" vertical="center"/>
    </xf>
    <xf numFmtId="0" fontId="52" fillId="15" borderId="17" xfId="2" applyNumberFormat="1" applyFont="1" applyFill="1" applyBorder="1" applyAlignment="1">
      <alignment horizontal="right" vertical="center"/>
    </xf>
    <xf numFmtId="0" fontId="0" fillId="6" borderId="51" xfId="0" applyFill="1" applyBorder="1" applyAlignment="1">
      <alignment horizontal="center"/>
    </xf>
    <xf numFmtId="0" fontId="0" fillId="6" borderId="52" xfId="0" applyFill="1" applyBorder="1" applyAlignment="1">
      <alignment horizontal="center"/>
    </xf>
    <xf numFmtId="0" fontId="0" fillId="6" borderId="53" xfId="0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5" borderId="0" xfId="0" applyFont="1" applyFill="1" applyAlignment="1">
      <alignment horizontal="center"/>
    </xf>
    <xf numFmtId="0" fontId="0" fillId="4" borderId="3" xfId="0" applyFill="1" applyBorder="1" applyAlignment="1">
      <alignment horizontal="center"/>
    </xf>
    <xf numFmtId="0" fontId="0" fillId="5" borderId="3" xfId="0" applyFill="1" applyBorder="1" applyAlignment="1">
      <alignment horizontal="center"/>
    </xf>
  </cellXfs>
  <cellStyles count="9">
    <cellStyle name="Excel Built-in Normal" xfId="1" xr:uid="{85D9472A-5D34-41B1-B5F6-7083C8CD5D4F}"/>
    <cellStyle name="Normale" xfId="0" builtinId="0"/>
    <cellStyle name="Normale 2" xfId="4" xr:uid="{1D3C6E13-E417-440E-A847-BDE6DD283033}"/>
    <cellStyle name="Normale 3" xfId="5" xr:uid="{F0CA98FB-5FC8-46B9-8B80-67F7D9D14F02}"/>
    <cellStyle name="Normale 3 2" xfId="7" xr:uid="{4722FC7C-50B9-404C-8EFE-E293E198DE6D}"/>
    <cellStyle name="Normale 4" xfId="6" xr:uid="{BFD6BF57-ACA9-404B-AB4A-0AA1DDA76510}"/>
    <cellStyle name="Normale 4 2" xfId="8" xr:uid="{77A07D6B-E06C-4DA4-978C-ACC0F9C56C14}"/>
    <cellStyle name="Stile 2" xfId="3" xr:uid="{84200E57-2758-416E-BA87-80CED6DEF931}"/>
    <cellStyle name="Testo descrittivo" xfId="2" builtinId="53"/>
  </cellStyles>
  <dxfs count="345"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theme="0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alignment wrapText="1"/>
    </dxf>
    <dxf>
      <alignment wrapText="1"/>
    </dxf>
    <dxf>
      <alignment vertical="center"/>
    </dxf>
    <dxf>
      <alignment wrapText="1"/>
    </dxf>
    <dxf>
      <alignment wrapText="1"/>
    </dxf>
    <dxf>
      <alignment wrapText="1"/>
    </dxf>
    <dxf>
      <alignment wrapText="1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font>
        <color rgb="FF002060"/>
      </font>
    </dxf>
    <dxf>
      <font>
        <color rgb="FF002060"/>
      </font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alignment horizontal="left"/>
    </dxf>
    <dxf>
      <alignment vertical="center"/>
    </dxf>
    <dxf>
      <alignment vertical="center"/>
    </dxf>
    <dxf>
      <alignment horizontal="center"/>
    </dxf>
    <dxf>
      <numFmt numFmtId="2" formatCode="0.00"/>
    </dxf>
    <dxf>
      <numFmt numFmtId="2" formatCode="0.00"/>
    </dxf>
    <dxf>
      <alignment wrapText="1"/>
    </dxf>
    <dxf>
      <alignment vertical="center"/>
    </dxf>
    <dxf>
      <numFmt numFmtId="166" formatCode="#,##0.00\ _€"/>
    </dxf>
    <dxf>
      <numFmt numFmtId="166" formatCode="#,##0.00\ _€"/>
    </dxf>
    <dxf>
      <alignment wrapText="1"/>
    </dxf>
    <dxf>
      <alignment vertical="center"/>
    </dxf>
    <dxf>
      <alignment vertical="center"/>
    </dxf>
    <dxf>
      <alignment wrapText="1"/>
    </dxf>
    <dxf>
      <alignment wrapText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bgColor auto="1"/>
        </patternFill>
      </fill>
    </dxf>
    <dxf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2" formatCode="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2" formatCode="0.00"/>
      <fill>
        <patternFill patternType="solid">
          <fgColor theme="4" tint="0.79998168889431442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bgColor auto="1"/>
        </patternFill>
      </fill>
      <alignment horizont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numFmt numFmtId="1" formatCode="0"/>
      <fill>
        <patternFill patternType="solid">
          <fgColor indexed="64"/>
          <bgColor rgb="FFF5F5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bgColor auto="1"/>
        </patternFill>
      </fill>
    </dxf>
    <dxf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Calibri"/>
        <family val="2"/>
        <scheme val="none"/>
      </font>
      <fill>
        <patternFill patternType="solid">
          <fgColor indexed="64"/>
          <bgColor rgb="FFFFFF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Calibri"/>
        <family val="2"/>
        <scheme val="none"/>
      </font>
      <fill>
        <patternFill patternType="solid">
          <fgColor indexed="64"/>
          <bgColor rgb="FF778899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/>
      </border>
    </dxf>
    <dxf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yyyy\-mm\-dd;@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/>
        </top>
        <bottom/>
      </border>
    </dxf>
    <dxf>
      <fill>
        <patternFill>
          <bgColor rgb="FFFFFF00"/>
        </patternFill>
      </fill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D3D3D3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auto="1"/>
      </font>
    </dxf>
    <dxf>
      <fill>
        <patternFill>
          <bgColor rgb="FF00B0F0"/>
        </patternFill>
      </fill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ont>
        <color rgb="FF00B0F0"/>
      </font>
      <fill>
        <patternFill>
          <bgColor rgb="FF00B0F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ill>
        <patternFill>
          <bgColor rgb="FF00B0F0"/>
        </patternFill>
      </fill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ont>
        <color rgb="FF00B0F0"/>
      </font>
      <fill>
        <patternFill>
          <bgColor rgb="FF00B0F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ill>
        <patternFill>
          <bgColor rgb="FF00B0F0"/>
        </patternFill>
      </fill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ill>
        <patternFill>
          <bgColor rgb="FF00B0F0"/>
        </patternFill>
      </fill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i val="0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ill>
        <patternFill patternType="solid">
          <fgColor indexed="64"/>
          <bgColor rgb="FFFFFF0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ill>
        <patternFill patternType="solid">
          <fgColor indexed="64"/>
          <bgColor rgb="FFFFFF0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ill>
        <patternFill patternType="solid">
          <fgColor indexed="64"/>
          <bgColor rgb="FFFFFF0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>
        <left style="double">
          <color theme="0"/>
        </left>
        <right style="double">
          <color theme="0"/>
        </right>
        <top style="double">
          <color theme="0"/>
        </top>
        <bottom style="double">
          <color theme="0"/>
        </bottom>
        <vertical/>
        <horizontal/>
      </border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rgb="FFFFFFCC"/>
          <bgColor rgb="FF00B0F0"/>
        </patternFill>
      </fill>
      <alignment horizontal="center" vertical="bottom" textRotation="0" wrapText="0" indent="0" justifyLastLine="0" shrinkToFit="0" readingOrder="0"/>
      <border diagonalUp="0" diagonalDown="0">
        <left style="double">
          <color theme="0"/>
        </left>
        <right style="double">
          <color theme="0"/>
        </right>
        <top style="double">
          <color theme="0"/>
        </top>
        <bottom style="double">
          <color theme="0"/>
        </bottom>
        <vertical/>
        <horizontal/>
      </border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2" formatCode="0.00"/>
      <fill>
        <patternFill patternType="solid">
          <fgColor rgb="FFFFFFCC"/>
          <bgColor rgb="FF00B0F0"/>
        </patternFill>
      </fill>
      <alignment horizontal="center" vertical="bottom" textRotation="0" wrapText="0" indent="0" justifyLastLine="0" shrinkToFit="0" readingOrder="0"/>
      <border diagonalUp="0" diagonalDown="0">
        <left style="double">
          <color theme="0"/>
        </left>
        <right style="double">
          <color theme="0"/>
        </right>
        <top style="double">
          <color theme="0"/>
        </top>
        <bottom style="double">
          <color theme="0"/>
        </bottom>
        <vertical/>
        <horizontal/>
      </border>
    </dxf>
    <dxf>
      <numFmt numFmtId="2" formatCode="0.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2" formatCode="0.00"/>
      <fill>
        <patternFill patternType="solid">
          <fgColor rgb="FFFFFFCC"/>
          <bgColor rgb="FF00B0F0"/>
        </patternFill>
      </fill>
      <alignment horizontal="center" vertical="bottom" textRotation="0" wrapText="0" indent="0" justifyLastLine="0" shrinkToFit="0" readingOrder="0"/>
      <border diagonalUp="0" diagonalDown="0">
        <left style="double">
          <color theme="0"/>
        </left>
        <right style="double">
          <color theme="0"/>
        </right>
        <top style="double">
          <color theme="0"/>
        </top>
        <bottom style="double">
          <color theme="0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solid">
          <fgColor indexed="64"/>
          <bgColor rgb="FFFFFF00"/>
        </patternFill>
      </fill>
      <alignment horizontal="right" vertical="bottom" textRotation="0" wrapText="0" indent="0" justifyLastLine="0" shrinkToFit="0" readingOrder="0"/>
      <border diagonalUp="0" diagonalDown="0" outline="0">
        <left style="double">
          <color theme="0"/>
        </left>
        <right style="double">
          <color theme="0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numFmt numFmtId="0" formatCode="General"/>
      <fill>
        <patternFill patternType="solid">
          <fgColor indexed="64"/>
          <bgColor theme="4" tint="-0.249977111117893"/>
        </patternFill>
      </fill>
      <alignment horizontal="right" vertical="bottom" textRotation="0" wrapText="0" indent="0" justifyLastLine="0" shrinkToFit="0" readingOrder="0"/>
      <border diagonalUp="0" diagonalDown="0">
        <left style="double">
          <color theme="0"/>
        </left>
        <right style="double">
          <color theme="0"/>
        </right>
        <top style="double">
          <color theme="0"/>
        </top>
        <bottom style="double">
          <color theme="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theme="0"/>
        </left>
        <right style="double">
          <color theme="0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none"/>
      </font>
      <numFmt numFmtId="0" formatCode="General"/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theme="0"/>
        </left>
        <right style="double">
          <color theme="0"/>
        </right>
        <top style="double">
          <color theme="0"/>
        </top>
        <bottom style="double">
          <color theme="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theme="0"/>
        </left>
        <right style="double">
          <color theme="0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none"/>
      </font>
      <numFmt numFmtId="0" formatCode="General"/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theme="0"/>
        </left>
        <right style="double">
          <color theme="0"/>
        </right>
        <top style="double">
          <color theme="0"/>
        </top>
        <bottom style="double">
          <color theme="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00"/>
        <name val="Calibri Light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double">
          <color theme="0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00"/>
        <name val="Calibri Light"/>
        <family val="2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 style="double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FFC000"/>
        <name val="Calibri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FFC000"/>
        <name val="Calibri"/>
        <family val="2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</dxf>
    <dxf>
      <font>
        <strike val="0"/>
        <outline val="0"/>
        <shadow val="0"/>
        <u val="none"/>
        <vertAlign val="baseline"/>
        <color theme="0"/>
        <name val="Calibri"/>
        <family val="2"/>
        <scheme val="none"/>
      </font>
      <fill>
        <patternFill patternType="solid"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bgColor theme="4" tint="-0.249977111117893"/>
        </patternFill>
      </fill>
    </dxf>
    <dxf>
      <border outline="0">
        <left style="double">
          <color theme="0"/>
        </left>
        <top style="double">
          <color theme="0"/>
        </top>
      </border>
    </dxf>
    <dxf>
      <border outline="0">
        <bottom style="double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scheme val="none"/>
      </font>
      <fill>
        <patternFill patternType="solid">
          <fgColor theme="1"/>
          <bgColor theme="1"/>
        </patternFill>
      </fill>
      <alignment horizontal="left" vertical="top" textRotation="0" wrapText="1" indent="0" justifyLastLine="0" shrinkToFit="0" readingOrder="0"/>
    </dxf>
    <dxf>
      <font>
        <b/>
        <i val="0"/>
        <color theme="0"/>
      </font>
      <fill>
        <gradientFill degree="90">
          <stop position="0">
            <color rgb="FF002060"/>
          </stop>
          <stop position="1">
            <color rgb="FF0070C0"/>
          </stop>
        </gradientFill>
      </fill>
    </dxf>
    <dxf>
      <font>
        <b/>
        <i val="0"/>
        <color theme="5"/>
      </font>
      <fill>
        <gradientFill degree="90">
          <stop position="0">
            <color rgb="FF002060"/>
          </stop>
          <stop position="1">
            <color theme="4"/>
          </stop>
        </gradientFill>
      </fill>
    </dxf>
    <dxf>
      <font>
        <b/>
        <i val="0"/>
        <color theme="0" tint="-0.34998626667073579"/>
      </font>
      <fill>
        <gradientFill degree="90">
          <stop position="0">
            <color rgb="FF002060"/>
          </stop>
          <stop position="1">
            <color theme="4"/>
          </stop>
        </gradientFill>
      </fill>
    </dxf>
    <dxf>
      <font>
        <b/>
        <i val="0"/>
        <color rgb="FF002060"/>
      </font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font>
        <b/>
        <i val="0"/>
        <color rgb="FF0070C0"/>
      </font>
      <fill>
        <gradientFill degree="9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90">
          <stop position="0">
            <color rgb="FF00B0F0"/>
          </stop>
          <stop position="1">
            <color theme="0"/>
          </stop>
        </gradientFill>
      </fill>
    </dxf>
    <dxf>
      <font>
        <color theme="0"/>
      </font>
      <fill>
        <gradientFill degree="90">
          <stop position="0">
            <color rgb="FF002060"/>
          </stop>
          <stop position="1">
            <color theme="4"/>
          </stop>
        </gradientFill>
      </fill>
    </dxf>
    <dxf>
      <font>
        <b/>
        <i val="0"/>
        <color rgb="FFFFC000"/>
      </font>
    </dxf>
    <dxf>
      <font>
        <color rgb="FFFFC000"/>
      </font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rgb="FF00B0F0"/>
        </patternFill>
      </fill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top" textRotation="0" wrapText="1" indent="0" justifyLastLine="0" shrinkToFit="0" readingOrder="0"/>
    </dxf>
  </dxfs>
  <tableStyles count="0" defaultTableStyle="TableStyleMedium2" defaultPivotStyle="PivotStyleLight16"/>
  <colors>
    <mruColors>
      <color rgb="FF8EFCAB"/>
      <color rgb="FF0C48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26" noThreeD="1" sel="5" val="0">
  <itemLst>
    <item val="punteggio"/>
    <item val=""/>
    <item val="GOL"/>
    <item val=""/>
    <item val="assist"/>
    <item val=""/>
  </itemLst>
</formControlPr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image" Target="../media/image9.emf"/><Relationship Id="rId3" Type="http://schemas.openxmlformats.org/officeDocument/2006/relationships/hyperlink" Target="#'INSER DATA CALENDARIO'!A1"/><Relationship Id="rId7" Type="http://schemas.openxmlformats.org/officeDocument/2006/relationships/image" Target="../media/image3.emf"/><Relationship Id="rId12" Type="http://schemas.openxmlformats.org/officeDocument/2006/relationships/image" Target="../media/image8.emf"/><Relationship Id="rId2" Type="http://schemas.openxmlformats.org/officeDocument/2006/relationships/hyperlink" Target="#'CL. FLega'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emf"/><Relationship Id="rId5" Type="http://schemas.openxmlformats.org/officeDocument/2006/relationships/hyperlink" Target="#'Class Giocatori'!A1"/><Relationship Id="rId15" Type="http://schemas.openxmlformats.org/officeDocument/2006/relationships/image" Target="../media/image11.emf"/><Relationship Id="rId10" Type="http://schemas.openxmlformats.org/officeDocument/2006/relationships/image" Target="../media/image6.emf"/><Relationship Id="rId4" Type="http://schemas.openxmlformats.org/officeDocument/2006/relationships/hyperlink" Target="#'TAB GIOC GG X GG'!A1"/><Relationship Id="rId9" Type="http://schemas.openxmlformats.org/officeDocument/2006/relationships/image" Target="../media/image5.emf"/><Relationship Id="rId14" Type="http://schemas.openxmlformats.org/officeDocument/2006/relationships/image" Target="../media/image10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svg"/><Relationship Id="rId13" Type="http://schemas.openxmlformats.org/officeDocument/2006/relationships/hyperlink" Target="#'TAB GIOC GG X GG'!A1"/><Relationship Id="rId18" Type="http://schemas.openxmlformats.org/officeDocument/2006/relationships/image" Target="../media/image9.emf"/><Relationship Id="rId3" Type="http://schemas.openxmlformats.org/officeDocument/2006/relationships/image" Target="../media/image6.emf"/><Relationship Id="rId7" Type="http://schemas.openxmlformats.org/officeDocument/2006/relationships/image" Target="../media/image23.png"/><Relationship Id="rId12" Type="http://schemas.openxmlformats.org/officeDocument/2006/relationships/hyperlink" Target="#'Class Giocatori'!A1"/><Relationship Id="rId17" Type="http://schemas.openxmlformats.org/officeDocument/2006/relationships/image" Target="../media/image10.emf"/><Relationship Id="rId2" Type="http://schemas.openxmlformats.org/officeDocument/2006/relationships/image" Target="../media/image4.emf"/><Relationship Id="rId16" Type="http://schemas.openxmlformats.org/officeDocument/2006/relationships/image" Target="../media/image27.emf"/><Relationship Id="rId1" Type="http://schemas.openxmlformats.org/officeDocument/2006/relationships/image" Target="../media/image5.emf"/><Relationship Id="rId6" Type="http://schemas.openxmlformats.org/officeDocument/2006/relationships/image" Target="../media/image22.emf"/><Relationship Id="rId11" Type="http://schemas.openxmlformats.org/officeDocument/2006/relationships/image" Target="../media/image26.svg"/><Relationship Id="rId5" Type="http://schemas.openxmlformats.org/officeDocument/2006/relationships/image" Target="../media/image21.emf"/><Relationship Id="rId15" Type="http://schemas.openxmlformats.org/officeDocument/2006/relationships/image" Target="../media/image8.emf"/><Relationship Id="rId10" Type="http://schemas.openxmlformats.org/officeDocument/2006/relationships/image" Target="../media/image25.png"/><Relationship Id="rId4" Type="http://schemas.openxmlformats.org/officeDocument/2006/relationships/image" Target="../media/image3.emf"/><Relationship Id="rId9" Type="http://schemas.openxmlformats.org/officeDocument/2006/relationships/hyperlink" Target="#'PAGINA PRINCIPALE'!A1"/><Relationship Id="rId14" Type="http://schemas.openxmlformats.org/officeDocument/2006/relationships/hyperlink" Target="#'INSER DATA CALENDARIO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8.png"/><Relationship Id="rId3" Type="http://schemas.openxmlformats.org/officeDocument/2006/relationships/image" Target="../media/image33.png"/><Relationship Id="rId7" Type="http://schemas.openxmlformats.org/officeDocument/2006/relationships/image" Target="../media/image37.png"/><Relationship Id="rId2" Type="http://schemas.openxmlformats.org/officeDocument/2006/relationships/image" Target="../media/image32.png"/><Relationship Id="rId1" Type="http://schemas.openxmlformats.org/officeDocument/2006/relationships/image" Target="../media/image31.png"/><Relationship Id="rId6" Type="http://schemas.openxmlformats.org/officeDocument/2006/relationships/image" Target="../media/image36.png"/><Relationship Id="rId5" Type="http://schemas.openxmlformats.org/officeDocument/2006/relationships/image" Target="../media/image35.png"/><Relationship Id="rId10" Type="http://schemas.openxmlformats.org/officeDocument/2006/relationships/image" Target="../media/image40.png"/><Relationship Id="rId4" Type="http://schemas.openxmlformats.org/officeDocument/2006/relationships/image" Target="../media/image34.png"/><Relationship Id="rId9" Type="http://schemas.openxmlformats.org/officeDocument/2006/relationships/image" Target="../media/image3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TAB GIOC GG X GG'!A1"/><Relationship Id="rId2" Type="http://schemas.openxmlformats.org/officeDocument/2006/relationships/hyperlink" Target="#'CL. FLega'!A1"/><Relationship Id="rId1" Type="http://schemas.openxmlformats.org/officeDocument/2006/relationships/hyperlink" Target="#'Class Giocatori'!A1"/><Relationship Id="rId6" Type="http://schemas.openxmlformats.org/officeDocument/2006/relationships/image" Target="../media/image26.svg"/><Relationship Id="rId5" Type="http://schemas.openxmlformats.org/officeDocument/2006/relationships/image" Target="../media/image25.png"/><Relationship Id="rId4" Type="http://schemas.openxmlformats.org/officeDocument/2006/relationships/hyperlink" Target="#'PAGINA PRINCIPALE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svg"/><Relationship Id="rId2" Type="http://schemas.openxmlformats.org/officeDocument/2006/relationships/image" Target="../media/image25.png"/><Relationship Id="rId1" Type="http://schemas.openxmlformats.org/officeDocument/2006/relationships/hyperlink" Target="#'PAGINA PRINCIPALE'!A1"/><Relationship Id="rId6" Type="http://schemas.openxmlformats.org/officeDocument/2006/relationships/hyperlink" Target="#'INSER DATA CALENDARIO'!A1"/><Relationship Id="rId5" Type="http://schemas.openxmlformats.org/officeDocument/2006/relationships/hyperlink" Target="#'CL. FLega'!A1"/><Relationship Id="rId4" Type="http://schemas.openxmlformats.org/officeDocument/2006/relationships/hyperlink" Target="#'Class Giocatori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INSER DATA CALENDARIO'!A1"/><Relationship Id="rId2" Type="http://schemas.openxmlformats.org/officeDocument/2006/relationships/hyperlink" Target="#'CL. FLega'!A1"/><Relationship Id="rId1" Type="http://schemas.openxmlformats.org/officeDocument/2006/relationships/hyperlink" Target="#'TAB GIOC GG X GG'!A1"/><Relationship Id="rId6" Type="http://schemas.openxmlformats.org/officeDocument/2006/relationships/image" Target="../media/image26.svg"/><Relationship Id="rId5" Type="http://schemas.openxmlformats.org/officeDocument/2006/relationships/image" Target="../media/image25.png"/><Relationship Id="rId4" Type="http://schemas.openxmlformats.org/officeDocument/2006/relationships/hyperlink" Target="#'PAGINA PRINCIPALE'!A1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7.emf"/><Relationship Id="rId5" Type="http://schemas.openxmlformats.org/officeDocument/2006/relationships/image" Target="../media/image16.emf"/><Relationship Id="rId4" Type="http://schemas.openxmlformats.org/officeDocument/2006/relationships/image" Target="../media/image15.emf"/><Relationship Id="rId9" Type="http://schemas.openxmlformats.org/officeDocument/2006/relationships/image" Target="../media/image20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image" Target="../media/image15.emf"/><Relationship Id="rId7" Type="http://schemas.openxmlformats.org/officeDocument/2006/relationships/image" Target="../media/image17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29.emf"/><Relationship Id="rId5" Type="http://schemas.openxmlformats.org/officeDocument/2006/relationships/image" Target="../media/image28.emf"/><Relationship Id="rId10" Type="http://schemas.openxmlformats.org/officeDocument/2006/relationships/image" Target="../media/image18.emf"/><Relationship Id="rId4" Type="http://schemas.openxmlformats.org/officeDocument/2006/relationships/image" Target="../media/image12.emf"/><Relationship Id="rId9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35567</xdr:colOff>
      <xdr:row>3</xdr:row>
      <xdr:rowOff>130480</xdr:rowOff>
    </xdr:from>
    <xdr:to>
      <xdr:col>14</xdr:col>
      <xdr:colOff>221263</xdr:colOff>
      <xdr:row>10</xdr:row>
      <xdr:rowOff>13048</xdr:rowOff>
    </xdr:to>
    <xdr:pic>
      <xdr:nvPicPr>
        <xdr:cNvPr id="11" name="Immagine 10">
          <a:extLst>
            <a:ext uri="{FF2B5EF4-FFF2-40B4-BE49-F238E27FC236}">
              <a16:creationId xmlns:a16="http://schemas.microsoft.com/office/drawing/2014/main" id="{2324188A-17CB-4CCE-93D4-BA602F4DE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24985" y="717638"/>
          <a:ext cx="1412203" cy="1252602"/>
        </a:xfrm>
        <a:prstGeom prst="rect">
          <a:avLst/>
        </a:prstGeom>
        <a:effectLst>
          <a:softEdge rad="0"/>
        </a:effectLst>
      </xdr:spPr>
    </xdr:pic>
    <xdr:clientData/>
  </xdr:twoCellAnchor>
  <xdr:twoCellAnchor editAs="absolute">
    <xdr:from>
      <xdr:col>1</xdr:col>
      <xdr:colOff>571500</xdr:colOff>
      <xdr:row>7</xdr:row>
      <xdr:rowOff>171450</xdr:rowOff>
    </xdr:from>
    <xdr:to>
      <xdr:col>5</xdr:col>
      <xdr:colOff>133350</xdr:colOff>
      <xdr:row>10</xdr:row>
      <xdr:rowOff>85725</xdr:rowOff>
    </xdr:to>
    <xdr:sp macro="" textlink="">
      <xdr:nvSpPr>
        <xdr:cNvPr id="2" name="Rettangolo con angoli arrotondati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1E45AA2-9096-4453-B9CF-573F56EDB801}"/>
            </a:ext>
          </a:extLst>
        </xdr:cNvPr>
        <xdr:cNvSpPr/>
      </xdr:nvSpPr>
      <xdr:spPr>
        <a:xfrm>
          <a:off x="1181100" y="1504950"/>
          <a:ext cx="1838325" cy="485775"/>
        </a:xfrm>
        <a:prstGeom prst="roundRect">
          <a:avLst/>
        </a:prstGeom>
        <a:gradFill>
          <a:gsLst>
            <a:gs pos="0">
              <a:srgbClr val="002060"/>
            </a:gs>
            <a:gs pos="48000">
              <a:srgbClr val="00B0F0"/>
            </a:gs>
            <a:gs pos="100000">
              <a:schemeClr val="bg1"/>
            </a:gs>
          </a:gsLst>
          <a:lin ang="16200000" scaled="1"/>
        </a:gradFill>
        <a:ln>
          <a:noFill/>
        </a:ln>
        <a:effectLst>
          <a:outerShdw blurRad="139700" dist="19050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>
              <a:ln w="3175" cmpd="tri">
                <a:noFill/>
              </a:ln>
              <a:solidFill>
                <a:schemeClr val="bg1"/>
              </a:solidFill>
              <a:effectLst>
                <a:outerShdw blurRad="50800" dist="38100" dir="13500000" algn="br" rotWithShape="0">
                  <a:schemeClr val="tx1">
                    <a:alpha val="40000"/>
                  </a:schemeClr>
                </a:outerShdw>
              </a:effectLst>
            </a:rPr>
            <a:t>Classifica Fantalega</a:t>
          </a:r>
        </a:p>
      </xdr:txBody>
    </xdr:sp>
    <xdr:clientData/>
  </xdr:twoCellAnchor>
  <xdr:twoCellAnchor editAs="absolute">
    <xdr:from>
      <xdr:col>1</xdr:col>
      <xdr:colOff>571500</xdr:colOff>
      <xdr:row>12</xdr:row>
      <xdr:rowOff>127111</xdr:rowOff>
    </xdr:from>
    <xdr:to>
      <xdr:col>5</xdr:col>
      <xdr:colOff>133350</xdr:colOff>
      <xdr:row>15</xdr:row>
      <xdr:rowOff>41386</xdr:rowOff>
    </xdr:to>
    <xdr:sp macro="" textlink="">
      <xdr:nvSpPr>
        <xdr:cNvPr id="5" name="Rettangolo con angoli arrotondati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918A033-0BEB-459C-927C-E321F518EA5B}"/>
            </a:ext>
          </a:extLst>
        </xdr:cNvPr>
        <xdr:cNvSpPr/>
      </xdr:nvSpPr>
      <xdr:spPr>
        <a:xfrm>
          <a:off x="1181100" y="2602776"/>
          <a:ext cx="1838325" cy="485775"/>
        </a:xfrm>
        <a:prstGeom prst="roundRect">
          <a:avLst/>
        </a:prstGeom>
        <a:gradFill flip="none" rotWithShape="1">
          <a:gsLst>
            <a:gs pos="0">
              <a:srgbClr val="002060"/>
            </a:gs>
            <a:gs pos="50000">
              <a:srgbClr val="00B0F0"/>
            </a:gs>
            <a:gs pos="100000">
              <a:schemeClr val="bg1"/>
            </a:gs>
          </a:gsLst>
          <a:lin ang="16200000" scaled="1"/>
          <a:tileRect/>
        </a:gradFill>
        <a:ln w="15875">
          <a:noFill/>
        </a:ln>
        <a:effectLst>
          <a:outerShdw blurRad="139700" dist="190500" dir="8700000" algn="ctr" rotWithShape="0">
            <a:schemeClr val="tx1">
              <a:alpha val="29000"/>
            </a:schemeClr>
          </a:outerShdw>
        </a:effectLst>
        <a:scene3d>
          <a:camera prst="orthographicFront"/>
          <a:lightRig rig="contrasting" dir="t"/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>
              <a:ln w="6350">
                <a:noFill/>
              </a:ln>
              <a:solidFill>
                <a:schemeClr val="bg1"/>
              </a:solidFill>
              <a:effectLst>
                <a:outerShdw blurRad="50800" dist="88900" dir="8100000" algn="tr" rotWithShape="0">
                  <a:prstClr val="black">
                    <a:alpha val="40000"/>
                  </a:prstClr>
                </a:outerShdw>
              </a:effectLst>
            </a:rPr>
            <a:t>Calendario</a:t>
          </a:r>
        </a:p>
      </xdr:txBody>
    </xdr:sp>
    <xdr:clientData/>
  </xdr:twoCellAnchor>
  <xdr:twoCellAnchor editAs="absolute">
    <xdr:from>
      <xdr:col>1</xdr:col>
      <xdr:colOff>571500</xdr:colOff>
      <xdr:row>17</xdr:row>
      <xdr:rowOff>50622</xdr:rowOff>
    </xdr:from>
    <xdr:to>
      <xdr:col>5</xdr:col>
      <xdr:colOff>133350</xdr:colOff>
      <xdr:row>19</xdr:row>
      <xdr:rowOff>145872</xdr:rowOff>
    </xdr:to>
    <xdr:sp macro="" textlink="">
      <xdr:nvSpPr>
        <xdr:cNvPr id="27" name="Rettangolo con angoli arrotondati 2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25B06AD-B4B0-4867-A51E-EA401FD7B82B}"/>
            </a:ext>
          </a:extLst>
        </xdr:cNvPr>
        <xdr:cNvSpPr/>
      </xdr:nvSpPr>
      <xdr:spPr>
        <a:xfrm>
          <a:off x="1181100" y="3700602"/>
          <a:ext cx="1838325" cy="485775"/>
        </a:xfrm>
        <a:prstGeom prst="roundRect">
          <a:avLst/>
        </a:prstGeom>
        <a:gradFill flip="none" rotWithShape="1">
          <a:gsLst>
            <a:gs pos="0">
              <a:srgbClr val="002060"/>
            </a:gs>
            <a:gs pos="50000">
              <a:srgbClr val="00B0F0"/>
            </a:gs>
            <a:gs pos="100000">
              <a:schemeClr val="bg1"/>
            </a:gs>
          </a:gsLst>
          <a:lin ang="16200000" scaled="1"/>
          <a:tileRect/>
        </a:gradFill>
        <a:ln w="15875">
          <a:noFill/>
        </a:ln>
        <a:effectLst>
          <a:outerShdw blurRad="139700" dist="190500" dir="8700000" algn="ctr" rotWithShape="0">
            <a:schemeClr val="tx1">
              <a:alpha val="29000"/>
            </a:schemeClr>
          </a:outerShdw>
        </a:effectLst>
        <a:scene3d>
          <a:camera prst="orthographicFront"/>
          <a:lightRig rig="contrasting" dir="t"/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>
              <a:ln w="6350">
                <a:noFill/>
              </a:ln>
              <a:solidFill>
                <a:schemeClr val="bg1"/>
              </a:solidFill>
              <a:effectLst>
                <a:outerShdw blurRad="50800" dist="88900" dir="8100000" algn="tr" rotWithShape="0">
                  <a:prstClr val="black">
                    <a:alpha val="40000"/>
                  </a:prstClr>
                </a:outerShdw>
              </a:effectLst>
            </a:rPr>
            <a:t>Dati Giocatori</a:t>
          </a:r>
        </a:p>
      </xdr:txBody>
    </xdr:sp>
    <xdr:clientData/>
  </xdr:twoCellAnchor>
  <xdr:twoCellAnchor editAs="absolute">
    <xdr:from>
      <xdr:col>1</xdr:col>
      <xdr:colOff>571500</xdr:colOff>
      <xdr:row>23</xdr:row>
      <xdr:rowOff>5447</xdr:rowOff>
    </xdr:from>
    <xdr:to>
      <xdr:col>5</xdr:col>
      <xdr:colOff>133350</xdr:colOff>
      <xdr:row>25</xdr:row>
      <xdr:rowOff>110222</xdr:rowOff>
    </xdr:to>
    <xdr:sp macro="" textlink="">
      <xdr:nvSpPr>
        <xdr:cNvPr id="30" name="Rettangolo con angoli arrotondati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FD2EE30-3CE0-4294-AD5D-0726872BF237}"/>
            </a:ext>
          </a:extLst>
        </xdr:cNvPr>
        <xdr:cNvSpPr/>
      </xdr:nvSpPr>
      <xdr:spPr>
        <a:xfrm>
          <a:off x="1181100" y="4798427"/>
          <a:ext cx="1838325" cy="485775"/>
        </a:xfrm>
        <a:prstGeom prst="roundRect">
          <a:avLst/>
        </a:prstGeom>
        <a:gradFill flip="none" rotWithShape="1">
          <a:gsLst>
            <a:gs pos="0">
              <a:srgbClr val="002060"/>
            </a:gs>
            <a:gs pos="50000">
              <a:srgbClr val="00B0F0"/>
            </a:gs>
            <a:gs pos="100000">
              <a:schemeClr val="bg1"/>
            </a:gs>
          </a:gsLst>
          <a:lin ang="16200000" scaled="1"/>
          <a:tileRect/>
        </a:gradFill>
        <a:ln w="15875">
          <a:noFill/>
        </a:ln>
        <a:effectLst>
          <a:outerShdw blurRad="139700" dist="190500" dir="8700000" algn="ctr" rotWithShape="0">
            <a:schemeClr val="tx1">
              <a:alpha val="29000"/>
            </a:schemeClr>
          </a:outerShdw>
        </a:effectLst>
        <a:scene3d>
          <a:camera prst="orthographicFront"/>
          <a:lightRig rig="contrasting" dir="t"/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>
              <a:ln w="6350">
                <a:noFill/>
              </a:ln>
              <a:solidFill>
                <a:schemeClr val="bg1"/>
              </a:solidFill>
              <a:effectLst>
                <a:outerShdw blurRad="50800" dist="88900" dir="8100000" algn="tr" rotWithShape="0">
                  <a:prstClr val="black">
                    <a:alpha val="40000"/>
                  </a:prstClr>
                </a:outerShdw>
              </a:effectLst>
            </a:rPr>
            <a:t>Classifica Giocatori</a:t>
          </a:r>
        </a:p>
      </xdr:txBody>
    </xdr:sp>
    <xdr:clientData/>
  </xdr:twoCellAnchor>
  <xdr:twoCellAnchor editAs="oneCell">
    <xdr:from>
      <xdr:col>15</xdr:col>
      <xdr:colOff>96581</xdr:colOff>
      <xdr:row>3</xdr:row>
      <xdr:rowOff>70712</xdr:rowOff>
    </xdr:from>
    <xdr:to>
      <xdr:col>16</xdr:col>
      <xdr:colOff>534968</xdr:colOff>
      <xdr:row>8</xdr:row>
      <xdr:rowOff>130132</xdr:rowOff>
    </xdr:to>
    <xdr:pic>
      <xdr:nvPicPr>
        <xdr:cNvPr id="9" name="Immagine 8">
          <a:extLst>
            <a:ext uri="{FF2B5EF4-FFF2-40B4-BE49-F238E27FC236}">
              <a16:creationId xmlns:a16="http://schemas.microsoft.com/office/drawing/2014/main" id="{56A9BADF-E605-C495-4E08-9065B4A952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063129" y="634383"/>
          <a:ext cx="1043812" cy="99887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104384</xdr:colOff>
          <xdr:row>3</xdr:row>
          <xdr:rowOff>62631</xdr:rowOff>
        </xdr:from>
        <xdr:to>
          <xdr:col>22</xdr:col>
          <xdr:colOff>756259</xdr:colOff>
          <xdr:row>9</xdr:row>
          <xdr:rowOff>97338</xdr:rowOff>
        </xdr:to>
        <xdr:pic>
          <xdr:nvPicPr>
            <xdr:cNvPr id="4" name="Immagine 3">
              <a:extLst>
                <a:ext uri="{FF2B5EF4-FFF2-40B4-BE49-F238E27FC236}">
                  <a16:creationId xmlns:a16="http://schemas.microsoft.com/office/drawing/2014/main" id="{9C8A1F8F-5272-4F51-A6FB-AB2FC34DF084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2" spid="_x0000_s259926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>
            <a:xfrm>
              <a:off x="13058384" y="626302"/>
              <a:ext cx="1257300" cy="116205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10438</xdr:colOff>
          <xdr:row>17</xdr:row>
          <xdr:rowOff>114821</xdr:rowOff>
        </xdr:from>
        <xdr:to>
          <xdr:col>17</xdr:col>
          <xdr:colOff>56889</xdr:colOff>
          <xdr:row>23</xdr:row>
          <xdr:rowOff>149529</xdr:rowOff>
        </xdr:to>
        <xdr:pic>
          <xdr:nvPicPr>
            <xdr:cNvPr id="8" name="Immagine 7">
              <a:extLst>
                <a:ext uri="{FF2B5EF4-FFF2-40B4-BE49-F238E27FC236}">
                  <a16:creationId xmlns:a16="http://schemas.microsoft.com/office/drawing/2014/main" id="{2C9FE44F-A4DF-47E1-A233-35C24C23ADBB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3" spid="_x0000_s259927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>
            <a:xfrm>
              <a:off x="8976986" y="3705616"/>
              <a:ext cx="1257300" cy="116205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156575</xdr:colOff>
          <xdr:row>17</xdr:row>
          <xdr:rowOff>146136</xdr:rowOff>
        </xdr:from>
        <xdr:to>
          <xdr:col>20</xdr:col>
          <xdr:colOff>808451</xdr:colOff>
          <xdr:row>23</xdr:row>
          <xdr:rowOff>180844</xdr:rowOff>
        </xdr:to>
        <xdr:pic>
          <xdr:nvPicPr>
            <xdr:cNvPr id="12" name="Immagine 11">
              <a:extLst>
                <a:ext uri="{FF2B5EF4-FFF2-40B4-BE49-F238E27FC236}">
                  <a16:creationId xmlns:a16="http://schemas.microsoft.com/office/drawing/2014/main" id="{5E0105C7-5376-40F8-A364-A1A39939EBA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4" spid="_x0000_s259928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>
            <a:xfrm>
              <a:off x="11544822" y="3736931"/>
              <a:ext cx="1257300" cy="116205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135698</xdr:colOff>
          <xdr:row>3</xdr:row>
          <xdr:rowOff>62630</xdr:rowOff>
        </xdr:from>
        <xdr:to>
          <xdr:col>20</xdr:col>
          <xdr:colOff>873299</xdr:colOff>
          <xdr:row>9</xdr:row>
          <xdr:rowOff>97337</xdr:rowOff>
        </xdr:to>
        <xdr:pic>
          <xdr:nvPicPr>
            <xdr:cNvPr id="15" name="Immagine 14">
              <a:extLst>
                <a:ext uri="{FF2B5EF4-FFF2-40B4-BE49-F238E27FC236}">
                  <a16:creationId xmlns:a16="http://schemas.microsoft.com/office/drawing/2014/main" id="{F2F842E5-D517-432D-B996-21A259541BDE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5" spid="_x0000_s259929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>
            <a:xfrm>
              <a:off x="11523945" y="626301"/>
              <a:ext cx="1343025" cy="116205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52191</xdr:colOff>
          <xdr:row>3</xdr:row>
          <xdr:rowOff>41753</xdr:rowOff>
        </xdr:from>
        <xdr:to>
          <xdr:col>19</xdr:col>
          <xdr:colOff>98641</xdr:colOff>
          <xdr:row>9</xdr:row>
          <xdr:rowOff>76460</xdr:rowOff>
        </xdr:to>
        <xdr:pic>
          <xdr:nvPicPr>
            <xdr:cNvPr id="17" name="Immagine 16">
              <a:extLst>
                <a:ext uri="{FF2B5EF4-FFF2-40B4-BE49-F238E27FC236}">
                  <a16:creationId xmlns:a16="http://schemas.microsoft.com/office/drawing/2014/main" id="{C368363D-1C53-477C-A6F9-6172937667CF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6" spid="_x0000_s25993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>
            <a:xfrm>
              <a:off x="10229588" y="605424"/>
              <a:ext cx="1257300" cy="116205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177452</xdr:colOff>
          <xdr:row>3</xdr:row>
          <xdr:rowOff>52193</xdr:rowOff>
        </xdr:from>
        <xdr:to>
          <xdr:col>25</xdr:col>
          <xdr:colOff>25574</xdr:colOff>
          <xdr:row>9</xdr:row>
          <xdr:rowOff>86900</xdr:rowOff>
        </xdr:to>
        <xdr:pic>
          <xdr:nvPicPr>
            <xdr:cNvPr id="19" name="Immagine 18">
              <a:extLst>
                <a:ext uri="{FF2B5EF4-FFF2-40B4-BE49-F238E27FC236}">
                  <a16:creationId xmlns:a16="http://schemas.microsoft.com/office/drawing/2014/main" id="{291D3EE7-2BC9-4633-85C1-2E4B78EDC05D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7" spid="_x0000_s259931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>
            <a:xfrm>
              <a:off x="14655452" y="615864"/>
              <a:ext cx="1257300" cy="116205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156575</xdr:colOff>
          <xdr:row>17</xdr:row>
          <xdr:rowOff>114822</xdr:rowOff>
        </xdr:from>
        <xdr:to>
          <xdr:col>25</xdr:col>
          <xdr:colOff>4697</xdr:colOff>
          <xdr:row>23</xdr:row>
          <xdr:rowOff>149530</xdr:rowOff>
        </xdr:to>
        <xdr:pic>
          <xdr:nvPicPr>
            <xdr:cNvPr id="21" name="Immagine 20">
              <a:extLst>
                <a:ext uri="{FF2B5EF4-FFF2-40B4-BE49-F238E27FC236}">
                  <a16:creationId xmlns:a16="http://schemas.microsoft.com/office/drawing/2014/main" id="{F33E9EDB-87F9-4BE1-909D-18A9027D6F9B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10" spid="_x0000_s259932"/>
                </a:ext>
              </a:extLst>
            </xdr:cNvPicPr>
          </xdr:nvPicPr>
          <xdr:blipFill>
            <a:blip xmlns:r="http://schemas.openxmlformats.org/officeDocument/2006/relationships" r:embed="rId13"/>
            <a:srcRect/>
            <a:stretch>
              <a:fillRect/>
            </a:stretch>
          </xdr:blipFill>
          <xdr:spPr>
            <a:xfrm>
              <a:off x="14634575" y="3705617"/>
              <a:ext cx="1257300" cy="116205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135698</xdr:colOff>
          <xdr:row>17</xdr:row>
          <xdr:rowOff>114822</xdr:rowOff>
        </xdr:from>
        <xdr:to>
          <xdr:col>22</xdr:col>
          <xdr:colOff>787573</xdr:colOff>
          <xdr:row>23</xdr:row>
          <xdr:rowOff>149530</xdr:rowOff>
        </xdr:to>
        <xdr:pic>
          <xdr:nvPicPr>
            <xdr:cNvPr id="24" name="Immagine 23">
              <a:extLst>
                <a:ext uri="{FF2B5EF4-FFF2-40B4-BE49-F238E27FC236}">
                  <a16:creationId xmlns:a16="http://schemas.microsoft.com/office/drawing/2014/main" id="{A988BE99-5866-4F0D-BC4D-79FCB64C22C3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9" spid="_x0000_s259933"/>
                </a:ext>
              </a:extLst>
            </xdr:cNvPicPr>
          </xdr:nvPicPr>
          <xdr:blipFill>
            <a:blip xmlns:r="http://schemas.openxmlformats.org/officeDocument/2006/relationships" r:embed="rId14"/>
            <a:srcRect/>
            <a:stretch>
              <a:fillRect/>
            </a:stretch>
          </xdr:blipFill>
          <xdr:spPr>
            <a:xfrm>
              <a:off x="13089698" y="3705617"/>
              <a:ext cx="1257300" cy="116205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31315</xdr:colOff>
          <xdr:row>17</xdr:row>
          <xdr:rowOff>104383</xdr:rowOff>
        </xdr:from>
        <xdr:to>
          <xdr:col>19</xdr:col>
          <xdr:colOff>77765</xdr:colOff>
          <xdr:row>23</xdr:row>
          <xdr:rowOff>139091</xdr:rowOff>
        </xdr:to>
        <xdr:pic>
          <xdr:nvPicPr>
            <xdr:cNvPr id="26" name="Immagine 25">
              <a:extLst>
                <a:ext uri="{FF2B5EF4-FFF2-40B4-BE49-F238E27FC236}">
                  <a16:creationId xmlns:a16="http://schemas.microsoft.com/office/drawing/2014/main" id="{7385045A-F7F6-4822-AEF2-90DFDBE949B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8" spid="_x0000_s259934"/>
                </a:ext>
              </a:extLst>
            </xdr:cNvPicPr>
          </xdr:nvPicPr>
          <xdr:blipFill>
            <a:blip xmlns:r="http://schemas.openxmlformats.org/officeDocument/2006/relationships" r:embed="rId15"/>
            <a:srcRect/>
            <a:stretch>
              <a:fillRect/>
            </a:stretch>
          </xdr:blipFill>
          <xdr:spPr>
            <a:xfrm>
              <a:off x="10208712" y="3695178"/>
              <a:ext cx="1257300" cy="1162050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24</xdr:col>
      <xdr:colOff>238125</xdr:colOff>
      <xdr:row>4</xdr:row>
      <xdr:rowOff>0</xdr:rowOff>
    </xdr:from>
    <xdr:ext cx="184731" cy="264560"/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6932083" y="698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it-IT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79929</xdr:colOff>
          <xdr:row>8</xdr:row>
          <xdr:rowOff>87356</xdr:rowOff>
        </xdr:from>
        <xdr:to>
          <xdr:col>4</xdr:col>
          <xdr:colOff>636530</xdr:colOff>
          <xdr:row>8</xdr:row>
          <xdr:rowOff>584734</xdr:rowOff>
        </xdr:to>
        <xdr:pic>
          <xdr:nvPicPr>
            <xdr:cNvPr id="18" name="Immagine 17">
              <a:extLst>
                <a:ext uri="{FF2B5EF4-FFF2-40B4-BE49-F238E27FC236}">
                  <a16:creationId xmlns:a16="http://schemas.microsoft.com/office/drawing/2014/main" id="{7555385F-8BBC-4498-8741-1D56AC1F33CD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4" spid="_x0000_s282182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l="9302" t="11486" r="9302" b="8669"/>
            <a:stretch>
              <a:fillRect/>
            </a:stretch>
          </xdr:blipFill>
          <xdr:spPr>
            <a:xfrm>
              <a:off x="2442129" y="3481720"/>
              <a:ext cx="556601" cy="497378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74282</xdr:colOff>
          <xdr:row>7</xdr:row>
          <xdr:rowOff>63752</xdr:rowOff>
        </xdr:from>
        <xdr:to>
          <xdr:col>4</xdr:col>
          <xdr:colOff>642177</xdr:colOff>
          <xdr:row>7</xdr:row>
          <xdr:rowOff>572118</xdr:rowOff>
        </xdr:to>
        <xdr:pic>
          <xdr:nvPicPr>
            <xdr:cNvPr id="19" name="Immagine 18">
              <a:extLst>
                <a:ext uri="{FF2B5EF4-FFF2-40B4-BE49-F238E27FC236}">
                  <a16:creationId xmlns:a16="http://schemas.microsoft.com/office/drawing/2014/main" id="{B56EFA47-7E49-4CDA-85C1-DF26757C71A5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3" spid="_x0000_s282183"/>
                </a:ext>
              </a:extLst>
            </xdr:cNvPicPr>
          </xdr:nvPicPr>
          <xdr:blipFill rotWithShape="1">
            <a:blip xmlns:r="http://schemas.openxmlformats.org/officeDocument/2006/relationships" r:embed="rId2"/>
            <a:srcRect l="9302" t="11486" r="9302" b="8669"/>
            <a:stretch>
              <a:fillRect/>
            </a:stretch>
          </xdr:blipFill>
          <xdr:spPr>
            <a:xfrm>
              <a:off x="2436482" y="2841588"/>
              <a:ext cx="567895" cy="508366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104590</xdr:colOff>
          <xdr:row>9</xdr:row>
          <xdr:rowOff>67113</xdr:rowOff>
        </xdr:from>
        <xdr:to>
          <xdr:col>4</xdr:col>
          <xdr:colOff>678873</xdr:colOff>
          <xdr:row>9</xdr:row>
          <xdr:rowOff>578436</xdr:rowOff>
        </xdr:to>
        <xdr:pic>
          <xdr:nvPicPr>
            <xdr:cNvPr id="27" name="Immagine 26">
              <a:extLst>
                <a:ext uri="{FF2B5EF4-FFF2-40B4-BE49-F238E27FC236}">
                  <a16:creationId xmlns:a16="http://schemas.microsoft.com/office/drawing/2014/main" id="{FB9E4C0D-1379-4DDC-B92C-9318EA59B2A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5" spid="_x0000_s282184"/>
                </a:ext>
              </a:extLst>
            </xdr:cNvPicPr>
          </xdr:nvPicPr>
          <xdr:blipFill rotWithShape="1">
            <a:blip xmlns:r="http://schemas.openxmlformats.org/officeDocument/2006/relationships" r:embed="rId3"/>
            <a:srcRect l="9302" t="11486" r="9302" b="8669"/>
            <a:stretch>
              <a:fillRect/>
            </a:stretch>
          </xdr:blipFill>
          <xdr:spPr>
            <a:xfrm>
              <a:off x="2466790" y="4078004"/>
              <a:ext cx="574283" cy="511323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64823</xdr:colOff>
          <xdr:row>6</xdr:row>
          <xdr:rowOff>53522</xdr:rowOff>
        </xdr:from>
        <xdr:to>
          <xdr:col>4</xdr:col>
          <xdr:colOff>651635</xdr:colOff>
          <xdr:row>6</xdr:row>
          <xdr:rowOff>615259</xdr:rowOff>
        </xdr:to>
        <xdr:pic>
          <xdr:nvPicPr>
            <xdr:cNvPr id="28" name="Immagine 27">
              <a:extLst>
                <a:ext uri="{FF2B5EF4-FFF2-40B4-BE49-F238E27FC236}">
                  <a16:creationId xmlns:a16="http://schemas.microsoft.com/office/drawing/2014/main" id="{20A80658-3C1E-4C03-B2F4-107ABACA9CDA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2" spid="_x0000_s282185"/>
                </a:ext>
              </a:extLst>
            </xdr:cNvPicPr>
          </xdr:nvPicPr>
          <xdr:blipFill rotWithShape="1">
            <a:blip xmlns:r="http://schemas.openxmlformats.org/officeDocument/2006/relationships" r:embed="rId4"/>
            <a:srcRect l="9302" t="11486" r="9302" b="8669"/>
            <a:stretch>
              <a:fillRect/>
            </a:stretch>
          </xdr:blipFill>
          <xdr:spPr>
            <a:xfrm>
              <a:off x="2427023" y="2214831"/>
              <a:ext cx="586812" cy="561737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62354</xdr:colOff>
          <xdr:row>10</xdr:row>
          <xdr:rowOff>52901</xdr:rowOff>
        </xdr:from>
        <xdr:to>
          <xdr:col>4</xdr:col>
          <xdr:colOff>699654</xdr:colOff>
          <xdr:row>10</xdr:row>
          <xdr:rowOff>599467</xdr:rowOff>
        </xdr:to>
        <xdr:pic>
          <xdr:nvPicPr>
            <xdr:cNvPr id="29" name="Immagine 5">
              <a:extLst>
                <a:ext uri="{FF2B5EF4-FFF2-40B4-BE49-F238E27FC236}">
                  <a16:creationId xmlns:a16="http://schemas.microsoft.com/office/drawing/2014/main" id="{95A93D76-732F-410D-884F-8AB90D33350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6" spid="_x0000_s282186"/>
                </a:ext>
              </a:extLst>
            </xdr:cNvPicPr>
          </xdr:nvPicPr>
          <xdr:blipFill rotWithShape="1">
            <a:blip xmlns:r="http://schemas.openxmlformats.org/officeDocument/2006/relationships" r:embed="rId5"/>
            <a:srcRect l="9302" t="11486" r="9302" b="8669"/>
            <a:stretch>
              <a:fillRect/>
            </a:stretch>
          </xdr:blipFill>
          <xdr:spPr>
            <a:xfrm>
              <a:off x="2424554" y="4680319"/>
              <a:ext cx="637300" cy="546566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99446</xdr:colOff>
          <xdr:row>5</xdr:row>
          <xdr:rowOff>26241</xdr:rowOff>
        </xdr:from>
        <xdr:to>
          <xdr:col>4</xdr:col>
          <xdr:colOff>617013</xdr:colOff>
          <xdr:row>5</xdr:row>
          <xdr:rowOff>589504</xdr:rowOff>
        </xdr:to>
        <xdr:pic>
          <xdr:nvPicPr>
            <xdr:cNvPr id="12" name="Immagine 11">
              <a:extLst>
                <a:ext uri="{FF2B5EF4-FFF2-40B4-BE49-F238E27FC236}">
                  <a16:creationId xmlns:a16="http://schemas.microsoft.com/office/drawing/2014/main" id="{3E4F5374-070B-4692-ADB1-08A901B0071C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1" spid="_x0000_s282187"/>
                </a:ext>
              </a:extLst>
            </xdr:cNvPicPr>
          </xdr:nvPicPr>
          <xdr:blipFill rotWithShape="1">
            <a:blip xmlns:r="http://schemas.openxmlformats.org/officeDocument/2006/relationships" r:embed="rId6"/>
            <a:srcRect l="23256" t="2735" r="11046" b="4559"/>
            <a:stretch>
              <a:fillRect/>
            </a:stretch>
          </xdr:blipFill>
          <xdr:spPr>
            <a:xfrm>
              <a:off x="2461646" y="1571023"/>
              <a:ext cx="517567" cy="56326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xdr:twoCellAnchor editAs="oneCell">
    <xdr:from>
      <xdr:col>1</xdr:col>
      <xdr:colOff>438150</xdr:colOff>
      <xdr:row>10</xdr:row>
      <xdr:rowOff>57150</xdr:rowOff>
    </xdr:from>
    <xdr:to>
      <xdr:col>1</xdr:col>
      <xdr:colOff>1352550</xdr:colOff>
      <xdr:row>11</xdr:row>
      <xdr:rowOff>352425</xdr:rowOff>
    </xdr:to>
    <xdr:pic>
      <xdr:nvPicPr>
        <xdr:cNvPr id="5" name="Elemento grafico 4" descr="Pallone da calcio">
          <a:extLst>
            <a:ext uri="{FF2B5EF4-FFF2-40B4-BE49-F238E27FC236}">
              <a16:creationId xmlns:a16="http://schemas.microsoft.com/office/drawing/2014/main" id="{AF56F213-CC24-4D21-9F2A-7FA2A9030E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42925" y="4714875"/>
          <a:ext cx="914400" cy="914400"/>
        </a:xfrm>
        <a:prstGeom prst="rect">
          <a:avLst/>
        </a:prstGeom>
      </xdr:spPr>
    </xdr:pic>
    <xdr:clientData/>
  </xdr:twoCellAnchor>
  <xdr:twoCellAnchor>
    <xdr:from>
      <xdr:col>1</xdr:col>
      <xdr:colOff>156381</xdr:colOff>
      <xdr:row>8</xdr:row>
      <xdr:rowOff>381828</xdr:rowOff>
    </xdr:from>
    <xdr:to>
      <xdr:col>1</xdr:col>
      <xdr:colOff>703429</xdr:colOff>
      <xdr:row>9</xdr:row>
      <xdr:rowOff>200025</xdr:rowOff>
    </xdr:to>
    <xdr:sp macro="" textlink="">
      <xdr:nvSpPr>
        <xdr:cNvPr id="26" name="Rettangolo con angoli arrotondati 2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AD5DC112-3F6D-46E5-A1C5-C6C2A3D58213}"/>
            </a:ext>
          </a:extLst>
        </xdr:cNvPr>
        <xdr:cNvSpPr/>
      </xdr:nvSpPr>
      <xdr:spPr>
        <a:xfrm>
          <a:off x="261156" y="3801303"/>
          <a:ext cx="547048" cy="437322"/>
        </a:xfrm>
        <a:prstGeom prst="roundRect">
          <a:avLst/>
        </a:prstGeom>
        <a:blipFill>
          <a:blip xmlns:r="http://schemas.openxmlformats.org/officeDocument/2006/relationships" r:embed="rId10">
            <a:extLs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a:blipFill>
        <a:ln>
          <a:noFill/>
        </a:ln>
        <a:effectLst>
          <a:outerShdw blurRad="44450" dist="76200" dir="5400000" algn="ctr">
            <a:schemeClr val="tx1">
              <a:alpha val="32000"/>
            </a:schemeClr>
          </a:outerShdw>
          <a:softEdge rad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it-IT" sz="1400" b="1"/>
        </a:p>
        <a:p>
          <a:pPr algn="ctr"/>
          <a:endParaRPr lang="it-IT" sz="1400" b="1"/>
        </a:p>
      </xdr:txBody>
    </xdr:sp>
    <xdr:clientData/>
  </xdr:twoCellAnchor>
  <xdr:twoCellAnchor>
    <xdr:from>
      <xdr:col>1</xdr:col>
      <xdr:colOff>104775</xdr:colOff>
      <xdr:row>1</xdr:row>
      <xdr:rowOff>251377</xdr:rowOff>
    </xdr:from>
    <xdr:to>
      <xdr:col>1</xdr:col>
      <xdr:colOff>1514475</xdr:colOff>
      <xdr:row>8</xdr:row>
      <xdr:rowOff>14081</xdr:rowOff>
    </xdr:to>
    <xdr:grpSp>
      <xdr:nvGrpSpPr>
        <xdr:cNvPr id="10" name="Gruppo 9">
          <a:extLst>
            <a:ext uri="{FF2B5EF4-FFF2-40B4-BE49-F238E27FC236}">
              <a16:creationId xmlns:a16="http://schemas.microsoft.com/office/drawing/2014/main" id="{E7F0552C-3AA8-42B2-A005-60A5E5E6B2AF}"/>
            </a:ext>
          </a:extLst>
        </xdr:cNvPr>
        <xdr:cNvGrpSpPr/>
      </xdr:nvGrpSpPr>
      <xdr:grpSpPr>
        <a:xfrm>
          <a:off x="208684" y="348359"/>
          <a:ext cx="1409700" cy="3060086"/>
          <a:chOff x="209550" y="356152"/>
          <a:chExt cx="1409700" cy="3077404"/>
        </a:xfrm>
      </xdr:grpSpPr>
      <xdr:sp macro="" textlink="">
        <xdr:nvSpPr>
          <xdr:cNvPr id="23" name="Rettangolo con angoli arrotondati 22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2E5F82B0-3118-416C-990C-0980FC6A2B49}"/>
              </a:ext>
            </a:extLst>
          </xdr:cNvPr>
          <xdr:cNvSpPr/>
        </xdr:nvSpPr>
        <xdr:spPr>
          <a:xfrm>
            <a:off x="219075" y="2129215"/>
            <a:ext cx="1369423" cy="425752"/>
          </a:xfrm>
          <a:prstGeom prst="roundRect">
            <a:avLst/>
          </a:prstGeom>
          <a:solidFill>
            <a:srgbClr val="0070C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Class. Giocatori</a:t>
            </a:r>
          </a:p>
        </xdr:txBody>
      </xdr:sp>
      <xdr:sp macro="" textlink="">
        <xdr:nvSpPr>
          <xdr:cNvPr id="24" name="Rettangolo con angoli arrotondati 23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1700CAD5-02F8-40A3-9919-A711CA43A576}"/>
              </a:ext>
            </a:extLst>
          </xdr:cNvPr>
          <xdr:cNvSpPr/>
        </xdr:nvSpPr>
        <xdr:spPr>
          <a:xfrm>
            <a:off x="209550" y="1228725"/>
            <a:ext cx="1399180" cy="437322"/>
          </a:xfrm>
          <a:prstGeom prst="roundRect">
            <a:avLst/>
          </a:prstGeom>
          <a:solidFill>
            <a:srgbClr val="0070C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Dati</a:t>
            </a:r>
            <a:r>
              <a:rPr lang="it-IT" sz="1400" b="1" baseline="0"/>
              <a:t> Giocatori</a:t>
            </a:r>
            <a:endParaRPr lang="it-IT" sz="1400" b="1"/>
          </a:p>
        </xdr:txBody>
      </xdr:sp>
      <xdr:sp macro="" textlink="">
        <xdr:nvSpPr>
          <xdr:cNvPr id="25" name="Rettangolo con angoli arrotondati 24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54D00C88-A286-4689-9EDF-C08E124A189F}"/>
              </a:ext>
            </a:extLst>
          </xdr:cNvPr>
          <xdr:cNvSpPr/>
        </xdr:nvSpPr>
        <xdr:spPr>
          <a:xfrm>
            <a:off x="209550" y="356152"/>
            <a:ext cx="1409700" cy="437322"/>
          </a:xfrm>
          <a:prstGeom prst="roundRect">
            <a:avLst/>
          </a:prstGeom>
          <a:solidFill>
            <a:srgbClr val="0070C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Calendario</a:t>
            </a:r>
          </a:p>
        </xdr:txBody>
      </xdr:sp>
      <xdr:sp macro="" textlink="">
        <xdr:nvSpPr>
          <xdr:cNvPr id="30" name="Rettangolo con angoli arrotondati 29">
            <a:extLst>
              <a:ext uri="{FF2B5EF4-FFF2-40B4-BE49-F238E27FC236}">
                <a16:creationId xmlns:a16="http://schemas.microsoft.com/office/drawing/2014/main" id="{EDC53842-8346-4869-9E3E-AFB79C2F7004}"/>
              </a:ext>
            </a:extLst>
          </xdr:cNvPr>
          <xdr:cNvSpPr/>
        </xdr:nvSpPr>
        <xdr:spPr>
          <a:xfrm>
            <a:off x="229595" y="2996234"/>
            <a:ext cx="1388660" cy="437322"/>
          </a:xfrm>
          <a:prstGeom prst="roundRect">
            <a:avLst/>
          </a:prstGeom>
          <a:solidFill>
            <a:srgbClr val="0070C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400" b="1"/>
              <a:t>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76208</xdr:colOff>
          <xdr:row>11</xdr:row>
          <xdr:rowOff>85434</xdr:rowOff>
        </xdr:from>
        <xdr:to>
          <xdr:col>4</xdr:col>
          <xdr:colOff>727363</xdr:colOff>
          <xdr:row>12</xdr:row>
          <xdr:rowOff>6072</xdr:rowOff>
        </xdr:to>
        <xdr:pic>
          <xdr:nvPicPr>
            <xdr:cNvPr id="3" name="Immagine 2">
              <a:extLst>
                <a:ext uri="{FF2B5EF4-FFF2-40B4-BE49-F238E27FC236}">
                  <a16:creationId xmlns:a16="http://schemas.microsoft.com/office/drawing/2014/main" id="{279E9A32-BA9F-4597-A07C-C04B1806687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7" spid="_x0000_s282188"/>
                </a:ext>
              </a:extLst>
            </xdr:cNvPicPr>
          </xdr:nvPicPr>
          <xdr:blipFill rotWithShape="1">
            <a:blip xmlns:r="http://schemas.openxmlformats.org/officeDocument/2006/relationships" r:embed="rId15"/>
            <a:srcRect l="9302" t="11486" r="9302" b="8669"/>
            <a:stretch>
              <a:fillRect/>
            </a:stretch>
          </xdr:blipFill>
          <xdr:spPr>
            <a:xfrm>
              <a:off x="2438408" y="5329379"/>
              <a:ext cx="651155" cy="55102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76209</xdr:colOff>
          <xdr:row>12</xdr:row>
          <xdr:rowOff>101763</xdr:rowOff>
        </xdr:from>
        <xdr:to>
          <xdr:col>4</xdr:col>
          <xdr:colOff>651164</xdr:colOff>
          <xdr:row>13</xdr:row>
          <xdr:rowOff>22400</xdr:rowOff>
        </xdr:to>
        <xdr:pic>
          <xdr:nvPicPr>
            <xdr:cNvPr id="7" name="Immagine 6">
              <a:extLst>
                <a:ext uri="{FF2B5EF4-FFF2-40B4-BE49-F238E27FC236}">
                  <a16:creationId xmlns:a16="http://schemas.microsoft.com/office/drawing/2014/main" id="{3BFF4245-9E27-4A83-BA4C-DFAA10CC47D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8" spid="_x0000_s282189"/>
                </a:ext>
              </a:extLst>
            </xdr:cNvPicPr>
          </xdr:nvPicPr>
          <xdr:blipFill rotWithShape="1">
            <a:blip xmlns:r="http://schemas.openxmlformats.org/officeDocument/2006/relationships" r:embed="rId16"/>
            <a:srcRect l="9302" t="11486" r="9302" b="8669"/>
            <a:stretch>
              <a:fillRect/>
            </a:stretch>
          </xdr:blipFill>
          <xdr:spPr>
            <a:xfrm>
              <a:off x="2438409" y="5976090"/>
              <a:ext cx="574955" cy="551019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76209</xdr:colOff>
          <xdr:row>13</xdr:row>
          <xdr:rowOff>50056</xdr:rowOff>
        </xdr:from>
        <xdr:to>
          <xdr:col>4</xdr:col>
          <xdr:colOff>640250</xdr:colOff>
          <xdr:row>13</xdr:row>
          <xdr:rowOff>596622</xdr:rowOff>
        </xdr:to>
        <xdr:pic>
          <xdr:nvPicPr>
            <xdr:cNvPr id="13" name="Immagine 12">
              <a:extLst>
                <a:ext uri="{FF2B5EF4-FFF2-40B4-BE49-F238E27FC236}">
                  <a16:creationId xmlns:a16="http://schemas.microsoft.com/office/drawing/2014/main" id="{3C9F6B90-3AE3-4429-B59C-0686C73544D1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9" spid="_x0000_s282190"/>
                </a:ext>
              </a:extLst>
            </xdr:cNvPicPr>
          </xdr:nvPicPr>
          <xdr:blipFill rotWithShape="1">
            <a:blip xmlns:r="http://schemas.openxmlformats.org/officeDocument/2006/relationships" r:embed="rId17"/>
            <a:srcRect l="9302" t="11486" r="9302" b="8669"/>
            <a:stretch>
              <a:fillRect/>
            </a:stretch>
          </xdr:blipFill>
          <xdr:spPr>
            <a:xfrm>
              <a:off x="2438409" y="6554765"/>
              <a:ext cx="564041" cy="546566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76209</xdr:colOff>
          <xdr:row>14</xdr:row>
          <xdr:rowOff>60447</xdr:rowOff>
        </xdr:from>
        <xdr:to>
          <xdr:col>4</xdr:col>
          <xdr:colOff>640250</xdr:colOff>
          <xdr:row>14</xdr:row>
          <xdr:rowOff>607013</xdr:rowOff>
        </xdr:to>
        <xdr:pic>
          <xdr:nvPicPr>
            <xdr:cNvPr id="15" name="Immagine 14">
              <a:extLst>
                <a:ext uri="{FF2B5EF4-FFF2-40B4-BE49-F238E27FC236}">
                  <a16:creationId xmlns:a16="http://schemas.microsoft.com/office/drawing/2014/main" id="{CF62081E-1531-4B42-86F2-04CF904475BF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10" spid="_x0000_s282191"/>
                </a:ext>
              </a:extLst>
            </xdr:cNvPicPr>
          </xdr:nvPicPr>
          <xdr:blipFill rotWithShape="1">
            <a:blip xmlns:r="http://schemas.openxmlformats.org/officeDocument/2006/relationships" r:embed="rId18"/>
            <a:srcRect l="9302" t="11486" r="9302" b="8669"/>
            <a:stretch>
              <a:fillRect/>
            </a:stretch>
          </xdr:blipFill>
          <xdr:spPr>
            <a:xfrm>
              <a:off x="2438409" y="7188611"/>
              <a:ext cx="564041" cy="546566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84896</xdr:colOff>
      <xdr:row>26</xdr:row>
      <xdr:rowOff>133310</xdr:rowOff>
    </xdr:from>
    <xdr:to>
      <xdr:col>2</xdr:col>
      <xdr:colOff>1283804</xdr:colOff>
      <xdr:row>27</xdr:row>
      <xdr:rowOff>1106247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D958EB3F-876F-CC5A-93A6-CFD44869F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24244" y="4904093"/>
          <a:ext cx="1198908" cy="1163437"/>
        </a:xfrm>
        <a:prstGeom prst="rect">
          <a:avLst/>
        </a:prstGeom>
      </xdr:spPr>
    </xdr:pic>
    <xdr:clientData/>
  </xdr:twoCellAnchor>
  <xdr:twoCellAnchor editAs="oneCell">
    <xdr:from>
      <xdr:col>1</xdr:col>
      <xdr:colOff>139563</xdr:colOff>
      <xdr:row>27</xdr:row>
      <xdr:rowOff>139919</xdr:rowOff>
    </xdr:from>
    <xdr:to>
      <xdr:col>1</xdr:col>
      <xdr:colOff>1108627</xdr:colOff>
      <xdr:row>27</xdr:row>
      <xdr:rowOff>1067261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C8FB67CD-33CE-A2F2-7189-DF679E973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5813" y="5073869"/>
          <a:ext cx="969064" cy="927342"/>
        </a:xfrm>
        <a:prstGeom prst="rect">
          <a:avLst/>
        </a:prstGeom>
      </xdr:spPr>
    </xdr:pic>
    <xdr:clientData/>
  </xdr:twoCellAnchor>
  <xdr:twoCellAnchor editAs="oneCell">
    <xdr:from>
      <xdr:col>3</xdr:col>
      <xdr:colOff>29251</xdr:colOff>
      <xdr:row>26</xdr:row>
      <xdr:rowOff>131278</xdr:rowOff>
    </xdr:from>
    <xdr:to>
      <xdr:col>3</xdr:col>
      <xdr:colOff>1164684</xdr:colOff>
      <xdr:row>27</xdr:row>
      <xdr:rowOff>1089991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3E6BC200-892E-2EC4-AF56-04631B0952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105826" y="4874728"/>
          <a:ext cx="1135433" cy="1149213"/>
        </a:xfrm>
        <a:prstGeom prst="rect">
          <a:avLst/>
        </a:prstGeom>
      </xdr:spPr>
    </xdr:pic>
    <xdr:clientData/>
  </xdr:twoCellAnchor>
  <xdr:twoCellAnchor editAs="oneCell">
    <xdr:from>
      <xdr:col>5</xdr:col>
      <xdr:colOff>212129</xdr:colOff>
      <xdr:row>27</xdr:row>
      <xdr:rowOff>134592</xdr:rowOff>
    </xdr:from>
    <xdr:to>
      <xdr:col>5</xdr:col>
      <xdr:colOff>996802</xdr:colOff>
      <xdr:row>27</xdr:row>
      <xdr:rowOff>1019965</xdr:rowOff>
    </xdr:to>
    <xdr:pic>
      <xdr:nvPicPr>
        <xdr:cNvPr id="9" name="Immagine 8">
          <a:extLst>
            <a:ext uri="{FF2B5EF4-FFF2-40B4-BE49-F238E27FC236}">
              <a16:creationId xmlns:a16="http://schemas.microsoft.com/office/drawing/2014/main" id="{75045E5D-D109-D225-B208-6963E8612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803304" y="5068542"/>
          <a:ext cx="784673" cy="885373"/>
        </a:xfrm>
        <a:prstGeom prst="rect">
          <a:avLst/>
        </a:prstGeom>
      </xdr:spPr>
    </xdr:pic>
    <xdr:clientData/>
  </xdr:twoCellAnchor>
  <xdr:twoCellAnchor editAs="oneCell">
    <xdr:from>
      <xdr:col>4</xdr:col>
      <xdr:colOff>214173</xdr:colOff>
      <xdr:row>27</xdr:row>
      <xdr:rowOff>95663</xdr:rowOff>
    </xdr:from>
    <xdr:to>
      <xdr:col>4</xdr:col>
      <xdr:colOff>1049818</xdr:colOff>
      <xdr:row>27</xdr:row>
      <xdr:rowOff>1076323</xdr:rowOff>
    </xdr:to>
    <xdr:pic>
      <xdr:nvPicPr>
        <xdr:cNvPr id="11" name="Immagine 10">
          <a:extLst>
            <a:ext uri="{FF2B5EF4-FFF2-40B4-BE49-F238E27FC236}">
              <a16:creationId xmlns:a16="http://schemas.microsoft.com/office/drawing/2014/main" id="{BBC2E78E-EC28-4593-74B1-890B4F31C6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548048" y="5029613"/>
          <a:ext cx="835645" cy="980660"/>
        </a:xfrm>
        <a:prstGeom prst="rect">
          <a:avLst/>
        </a:prstGeom>
      </xdr:spPr>
    </xdr:pic>
    <xdr:clientData/>
  </xdr:twoCellAnchor>
  <xdr:twoCellAnchor editAs="oneCell">
    <xdr:from>
      <xdr:col>6</xdr:col>
      <xdr:colOff>150532</xdr:colOff>
      <xdr:row>27</xdr:row>
      <xdr:rowOff>125462</xdr:rowOff>
    </xdr:from>
    <xdr:to>
      <xdr:col>6</xdr:col>
      <xdr:colOff>1076740</xdr:colOff>
      <xdr:row>27</xdr:row>
      <xdr:rowOff>1031495</xdr:rowOff>
    </xdr:to>
    <xdr:pic>
      <xdr:nvPicPr>
        <xdr:cNvPr id="13" name="Immagine 12">
          <a:extLst>
            <a:ext uri="{FF2B5EF4-FFF2-40B4-BE49-F238E27FC236}">
              <a16:creationId xmlns:a16="http://schemas.microsoft.com/office/drawing/2014/main" id="{981C5302-9493-04C9-5A57-6957DFAD7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999007" y="5059412"/>
          <a:ext cx="926208" cy="906033"/>
        </a:xfrm>
        <a:prstGeom prst="rect">
          <a:avLst/>
        </a:prstGeom>
      </xdr:spPr>
    </xdr:pic>
    <xdr:clientData/>
  </xdr:twoCellAnchor>
  <xdr:twoCellAnchor editAs="oneCell">
    <xdr:from>
      <xdr:col>7</xdr:col>
      <xdr:colOff>153315</xdr:colOff>
      <xdr:row>27</xdr:row>
      <xdr:rowOff>91110</xdr:rowOff>
    </xdr:from>
    <xdr:to>
      <xdr:col>7</xdr:col>
      <xdr:colOff>1172428</xdr:colOff>
      <xdr:row>27</xdr:row>
      <xdr:rowOff>1036906</xdr:rowOff>
    </xdr:to>
    <xdr:pic>
      <xdr:nvPicPr>
        <xdr:cNvPr id="15" name="Immagine 14">
          <a:extLst>
            <a:ext uri="{FF2B5EF4-FFF2-40B4-BE49-F238E27FC236}">
              <a16:creationId xmlns:a16="http://schemas.microsoft.com/office/drawing/2014/main" id="{430C9010-442B-6399-DB7C-05B0A48FD4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70272" y="5052393"/>
          <a:ext cx="1019113" cy="945796"/>
        </a:xfrm>
        <a:prstGeom prst="rect">
          <a:avLst/>
        </a:prstGeom>
      </xdr:spPr>
    </xdr:pic>
    <xdr:clientData/>
  </xdr:twoCellAnchor>
  <xdr:twoCellAnchor editAs="oneCell">
    <xdr:from>
      <xdr:col>8</xdr:col>
      <xdr:colOff>233024</xdr:colOff>
      <xdr:row>27</xdr:row>
      <xdr:rowOff>82827</xdr:rowOff>
    </xdr:from>
    <xdr:to>
      <xdr:col>8</xdr:col>
      <xdr:colOff>1019721</xdr:colOff>
      <xdr:row>27</xdr:row>
      <xdr:rowOff>1081474</xdr:rowOff>
    </xdr:to>
    <xdr:pic>
      <xdr:nvPicPr>
        <xdr:cNvPr id="17" name="Immagine 16">
          <a:extLst>
            <a:ext uri="{FF2B5EF4-FFF2-40B4-BE49-F238E27FC236}">
              <a16:creationId xmlns:a16="http://schemas.microsoft.com/office/drawing/2014/main" id="{848D5515-0505-FEBC-B56C-99D06200B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608937" y="5044110"/>
          <a:ext cx="786697" cy="998647"/>
        </a:xfrm>
        <a:prstGeom prst="rect">
          <a:avLst/>
        </a:prstGeom>
      </xdr:spPr>
    </xdr:pic>
    <xdr:clientData/>
  </xdr:twoCellAnchor>
  <xdr:twoCellAnchor editAs="oneCell">
    <xdr:from>
      <xdr:col>9</xdr:col>
      <xdr:colOff>182868</xdr:colOff>
      <xdr:row>27</xdr:row>
      <xdr:rowOff>164096</xdr:rowOff>
    </xdr:from>
    <xdr:to>
      <xdr:col>9</xdr:col>
      <xdr:colOff>1049173</xdr:colOff>
      <xdr:row>27</xdr:row>
      <xdr:rowOff>985117</xdr:rowOff>
    </xdr:to>
    <xdr:pic>
      <xdr:nvPicPr>
        <xdr:cNvPr id="19" name="Immagine 18">
          <a:extLst>
            <a:ext uri="{FF2B5EF4-FFF2-40B4-BE49-F238E27FC236}">
              <a16:creationId xmlns:a16="http://schemas.microsoft.com/office/drawing/2014/main" id="{DA93C725-DE2B-E895-D196-3C8DE3831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803243" y="5098046"/>
          <a:ext cx="866305" cy="821021"/>
        </a:xfrm>
        <a:prstGeom prst="rect">
          <a:avLst/>
        </a:prstGeom>
      </xdr:spPr>
    </xdr:pic>
    <xdr:clientData/>
  </xdr:twoCellAnchor>
  <xdr:twoCellAnchor editAs="oneCell">
    <xdr:from>
      <xdr:col>10</xdr:col>
      <xdr:colOff>223977</xdr:colOff>
      <xdr:row>27</xdr:row>
      <xdr:rowOff>173935</xdr:rowOff>
    </xdr:from>
    <xdr:to>
      <xdr:col>10</xdr:col>
      <xdr:colOff>1074320</xdr:colOff>
      <xdr:row>27</xdr:row>
      <xdr:rowOff>994956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4A26B69F-C036-4289-8FAD-888EA64535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117803" y="5135218"/>
          <a:ext cx="850343" cy="82102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1</xdr:row>
      <xdr:rowOff>123825</xdr:rowOff>
    </xdr:from>
    <xdr:to>
      <xdr:col>1</xdr:col>
      <xdr:colOff>1590675</xdr:colOff>
      <xdr:row>17</xdr:row>
      <xdr:rowOff>190500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97EE4E90-0BCD-4C3B-9486-8477A454236F}"/>
            </a:ext>
          </a:extLst>
        </xdr:cNvPr>
        <xdr:cNvGrpSpPr/>
      </xdr:nvGrpSpPr>
      <xdr:grpSpPr>
        <a:xfrm>
          <a:off x="192527" y="212995"/>
          <a:ext cx="1495425" cy="3495675"/>
          <a:chOff x="342900" y="1514475"/>
          <a:chExt cx="1409700" cy="3657600"/>
        </a:xfrm>
      </xdr:grpSpPr>
      <xdr:sp macro="" textlink="">
        <xdr:nvSpPr>
          <xdr:cNvPr id="7" name="Rettangolo con angoli arrotondati 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1D09A4B-19C9-42E6-9EFA-0EBD719A3FC3}"/>
              </a:ext>
            </a:extLst>
          </xdr:cNvPr>
          <xdr:cNvSpPr/>
        </xdr:nvSpPr>
        <xdr:spPr>
          <a:xfrm>
            <a:off x="371475" y="3062665"/>
            <a:ext cx="1369423" cy="425752"/>
          </a:xfrm>
          <a:prstGeom prst="roundRect">
            <a:avLst/>
          </a:prstGeom>
          <a:solidFill>
            <a:srgbClr val="00B0F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Class. Giocatori</a:t>
            </a:r>
          </a:p>
        </xdr:txBody>
      </xdr:sp>
      <xdr:sp macro="" textlink="">
        <xdr:nvSpPr>
          <xdr:cNvPr id="8" name="Rettangolo con angoli arrotondati 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BF6D1CF-68E1-4A63-9E5A-4B5B14AE79F2}"/>
              </a:ext>
            </a:extLst>
          </xdr:cNvPr>
          <xdr:cNvSpPr/>
        </xdr:nvSpPr>
        <xdr:spPr>
          <a:xfrm>
            <a:off x="342900" y="1514475"/>
            <a:ext cx="1399180" cy="437322"/>
          </a:xfrm>
          <a:prstGeom prst="roundRect">
            <a:avLst/>
          </a:prstGeom>
          <a:solidFill>
            <a:srgbClr val="00B0F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FantaClass</a:t>
            </a:r>
          </a:p>
        </xdr:txBody>
      </xdr:sp>
      <xdr:sp macro="" textlink="">
        <xdr:nvSpPr>
          <xdr:cNvPr id="9" name="Rettangolo con angoli arrotondati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D216398-3919-4604-87C3-9B36FFC5642D}"/>
              </a:ext>
            </a:extLst>
          </xdr:cNvPr>
          <xdr:cNvSpPr/>
        </xdr:nvSpPr>
        <xdr:spPr>
          <a:xfrm>
            <a:off x="342900" y="2289727"/>
            <a:ext cx="1409700" cy="437322"/>
          </a:xfrm>
          <a:prstGeom prst="roundRect">
            <a:avLst/>
          </a:prstGeom>
          <a:solidFill>
            <a:srgbClr val="00B0F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Dati</a:t>
            </a:r>
            <a:r>
              <a:rPr lang="it-IT" sz="1400" b="1" baseline="0"/>
              <a:t> Giocatori</a:t>
            </a:r>
            <a:endParaRPr lang="it-IT" sz="1400" b="1"/>
          </a:p>
        </xdr:txBody>
      </xdr:sp>
      <xdr:sp macro="" textlink="">
        <xdr:nvSpPr>
          <xdr:cNvPr id="10" name="Rettangolo con angoli arrotondati 9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120A5C0-8B6B-4E76-92CB-F9C62B8A5AEE}"/>
              </a:ext>
            </a:extLst>
          </xdr:cNvPr>
          <xdr:cNvSpPr/>
        </xdr:nvSpPr>
        <xdr:spPr>
          <a:xfrm>
            <a:off x="384981" y="4734753"/>
            <a:ext cx="547048" cy="437322"/>
          </a:xfrm>
          <a:prstGeom prst="roundRect">
            <a:avLst/>
          </a:prstGeom>
          <a:blipFill>
            <a:blip xmlns:r="http://schemas.openxmlformats.org/officeDocument/2006/relationships" r:embed="rId5">
              <a:extLs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a:blipFill>
          <a:ln>
            <a:noFill/>
          </a:ln>
          <a:effectLst>
            <a:outerShdw blurRad="44450" dist="76200" dir="5400000" algn="ctr">
              <a:schemeClr val="tx1">
                <a:alpha val="32000"/>
              </a:schemeClr>
            </a:outerShdw>
            <a:softEdge rad="0"/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it-IT" sz="1400" b="1"/>
          </a:p>
          <a:p>
            <a:pPr algn="ctr"/>
            <a:endParaRPr lang="it-IT" sz="1400" b="1"/>
          </a:p>
        </xdr:txBody>
      </xdr:sp>
      <xdr:sp macro="" textlink="">
        <xdr:nvSpPr>
          <xdr:cNvPr id="11" name="Rettangolo con angoli arrotondati 10">
            <a:extLst>
              <a:ext uri="{FF2B5EF4-FFF2-40B4-BE49-F238E27FC236}">
                <a16:creationId xmlns:a16="http://schemas.microsoft.com/office/drawing/2014/main" id="{B6A1BC5A-E43C-4744-9D25-0124FFDB55B3}"/>
              </a:ext>
            </a:extLst>
          </xdr:cNvPr>
          <xdr:cNvSpPr/>
        </xdr:nvSpPr>
        <xdr:spPr>
          <a:xfrm>
            <a:off x="353420" y="3929684"/>
            <a:ext cx="1388660" cy="437322"/>
          </a:xfrm>
          <a:prstGeom prst="roundRect">
            <a:avLst/>
          </a:prstGeom>
          <a:solidFill>
            <a:srgbClr val="00B0F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400" b="1"/>
              <a:t>a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257175</xdr:colOff>
      <xdr:row>1</xdr:row>
      <xdr:rowOff>266700</xdr:rowOff>
    </xdr:from>
    <xdr:to>
      <xdr:col>12</xdr:col>
      <xdr:colOff>339248</xdr:colOff>
      <xdr:row>1</xdr:row>
      <xdr:rowOff>756592</xdr:rowOff>
    </xdr:to>
    <xdr:sp macro="" textlink="">
      <xdr:nvSpPr>
        <xdr:cNvPr id="13" name="Rettangolo con angoli arrotondati 1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432FCA7-9168-4028-9E27-FB93E29CDE7D}"/>
            </a:ext>
          </a:extLst>
        </xdr:cNvPr>
        <xdr:cNvSpPr/>
      </xdr:nvSpPr>
      <xdr:spPr>
        <a:xfrm>
          <a:off x="5114925" y="466725"/>
          <a:ext cx="482123" cy="489892"/>
        </a:xfrm>
        <a:prstGeom prst="roundRect">
          <a:avLst/>
        </a:prstGeom>
        <a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a:blipFill>
        <a:ln>
          <a:noFill/>
        </a:ln>
        <a:effectLst>
          <a:outerShdw blurRad="44450" dist="76200" dir="5400000" algn="ctr">
            <a:schemeClr val="tx1">
              <a:alpha val="32000"/>
            </a:schemeClr>
          </a:outerShdw>
          <a:softEdge rad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it-IT" sz="1400" b="1"/>
        </a:p>
        <a:p>
          <a:pPr algn="ctr"/>
          <a:endParaRPr lang="it-IT" sz="1400" b="1"/>
        </a:p>
      </xdr:txBody>
    </xdr:sp>
    <xdr:clientData/>
  </xdr:twoCellAnchor>
  <xdr:twoCellAnchor>
    <xdr:from>
      <xdr:col>2</xdr:col>
      <xdr:colOff>161925</xdr:colOff>
      <xdr:row>1</xdr:row>
      <xdr:rowOff>123825</xdr:rowOff>
    </xdr:from>
    <xdr:to>
      <xdr:col>11</xdr:col>
      <xdr:colOff>179392</xdr:colOff>
      <xdr:row>1</xdr:row>
      <xdr:rowOff>756592</xdr:rowOff>
    </xdr:to>
    <xdr:grpSp>
      <xdr:nvGrpSpPr>
        <xdr:cNvPr id="31" name="Gruppo 30">
          <a:extLst>
            <a:ext uri="{FF2B5EF4-FFF2-40B4-BE49-F238E27FC236}">
              <a16:creationId xmlns:a16="http://schemas.microsoft.com/office/drawing/2014/main" id="{DA4E045C-868E-4397-BA01-18E29262C3A0}"/>
            </a:ext>
          </a:extLst>
        </xdr:cNvPr>
        <xdr:cNvGrpSpPr/>
      </xdr:nvGrpSpPr>
      <xdr:grpSpPr>
        <a:xfrm>
          <a:off x="434068" y="319768"/>
          <a:ext cx="6124353" cy="632767"/>
          <a:chOff x="428625" y="323850"/>
          <a:chExt cx="4608517" cy="632767"/>
        </a:xfrm>
      </xdr:grpSpPr>
      <xdr:sp macro="" textlink="">
        <xdr:nvSpPr>
          <xdr:cNvPr id="12" name="Rettangolo con angoli arrotondati 1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BC295B2B-33AE-4EC8-A53A-F44F15C547B7}"/>
              </a:ext>
            </a:extLst>
          </xdr:cNvPr>
          <xdr:cNvSpPr/>
        </xdr:nvSpPr>
        <xdr:spPr>
          <a:xfrm>
            <a:off x="2820845" y="327631"/>
            <a:ext cx="1031896" cy="616026"/>
          </a:xfrm>
          <a:prstGeom prst="roundRect">
            <a:avLst/>
          </a:prstGeom>
          <a:gradFill flip="none" rotWithShape="1">
            <a:gsLst>
              <a:gs pos="0">
                <a:schemeClr val="accent6">
                  <a:lumMod val="67000"/>
                </a:schemeClr>
              </a:gs>
              <a:gs pos="48000">
                <a:schemeClr val="accent6">
                  <a:lumMod val="97000"/>
                  <a:lumOff val="3000"/>
                </a:schemeClr>
              </a:gs>
              <a:gs pos="100000">
                <a:schemeClr val="accent6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Class.</a:t>
            </a:r>
            <a:r>
              <a:rPr lang="it-IT" sz="1400" b="1" baseline="0"/>
              <a:t> Giocatori</a:t>
            </a:r>
            <a:endParaRPr lang="it-IT" sz="1400" b="1"/>
          </a:p>
        </xdr:txBody>
      </xdr:sp>
      <xdr:sp macro="" textlink="">
        <xdr:nvSpPr>
          <xdr:cNvPr id="10" name="Rettangolo con angoli arrotondati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17682F9-A843-47A6-8344-45B9EF105900}"/>
              </a:ext>
            </a:extLst>
          </xdr:cNvPr>
          <xdr:cNvSpPr/>
        </xdr:nvSpPr>
        <xdr:spPr>
          <a:xfrm>
            <a:off x="428625" y="323850"/>
            <a:ext cx="1038225" cy="632767"/>
          </a:xfrm>
          <a:prstGeom prst="roundRect">
            <a:avLst/>
          </a:prstGeom>
          <a:gradFill flip="none" rotWithShape="1">
            <a:gsLst>
              <a:gs pos="0">
                <a:schemeClr val="accent6">
                  <a:lumMod val="67000"/>
                </a:schemeClr>
              </a:gs>
              <a:gs pos="48000">
                <a:schemeClr val="accent6">
                  <a:lumMod val="97000"/>
                  <a:lumOff val="3000"/>
                </a:schemeClr>
              </a:gs>
              <a:gs pos="100000">
                <a:schemeClr val="accent6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FantaClass</a:t>
            </a:r>
          </a:p>
        </xdr:txBody>
      </xdr:sp>
      <xdr:sp macro="" textlink="">
        <xdr:nvSpPr>
          <xdr:cNvPr id="11" name="Rettangolo con angoli arrotondati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644F19D9-C5D4-4BFC-9A8C-E33122FA5707}"/>
              </a:ext>
            </a:extLst>
          </xdr:cNvPr>
          <xdr:cNvSpPr/>
        </xdr:nvSpPr>
        <xdr:spPr>
          <a:xfrm>
            <a:off x="1620832" y="323850"/>
            <a:ext cx="1046031" cy="632767"/>
          </a:xfrm>
          <a:prstGeom prst="roundRect">
            <a:avLst/>
          </a:prstGeom>
          <a:gradFill flip="none" rotWithShape="1">
            <a:gsLst>
              <a:gs pos="0">
                <a:schemeClr val="accent6">
                  <a:lumMod val="67000"/>
                </a:schemeClr>
              </a:gs>
              <a:gs pos="48000">
                <a:schemeClr val="accent6">
                  <a:lumMod val="97000"/>
                  <a:lumOff val="3000"/>
                </a:schemeClr>
              </a:gs>
              <a:gs pos="100000">
                <a:schemeClr val="accent6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Calendario</a:t>
            </a:r>
          </a:p>
        </xdr:txBody>
      </xdr:sp>
      <xdr:sp macro="" textlink="">
        <xdr:nvSpPr>
          <xdr:cNvPr id="14" name="Rettangolo con angoli arrotondati 13">
            <a:extLst>
              <a:ext uri="{FF2B5EF4-FFF2-40B4-BE49-F238E27FC236}">
                <a16:creationId xmlns:a16="http://schemas.microsoft.com/office/drawing/2014/main" id="{57DAC579-71FA-4543-B33F-4D77073DC964}"/>
              </a:ext>
            </a:extLst>
          </xdr:cNvPr>
          <xdr:cNvSpPr/>
        </xdr:nvSpPr>
        <xdr:spPr>
          <a:xfrm>
            <a:off x="4006723" y="323850"/>
            <a:ext cx="1030419" cy="632767"/>
          </a:xfrm>
          <a:prstGeom prst="roundRect">
            <a:avLst/>
          </a:prstGeom>
          <a:gradFill flip="none" rotWithShape="1">
            <a:gsLst>
              <a:gs pos="0">
                <a:schemeClr val="accent6">
                  <a:lumMod val="67000"/>
                </a:schemeClr>
              </a:gs>
              <a:gs pos="48000">
                <a:schemeClr val="accent6">
                  <a:lumMod val="97000"/>
                  <a:lumOff val="3000"/>
                </a:schemeClr>
              </a:gs>
              <a:gs pos="100000">
                <a:schemeClr val="accent6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400" b="1"/>
              <a:t>a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161925</xdr:colOff>
      <xdr:row>1</xdr:row>
      <xdr:rowOff>152400</xdr:rowOff>
    </xdr:from>
    <xdr:to>
      <xdr:col>1</xdr:col>
      <xdr:colOff>1209675</xdr:colOff>
      <xdr:row>11</xdr:row>
      <xdr:rowOff>523875</xdr:rowOff>
    </xdr:to>
    <xdr:grpSp>
      <xdr:nvGrpSpPr>
        <xdr:cNvPr id="4" name="Gruppo 3">
          <a:extLst>
            <a:ext uri="{FF2B5EF4-FFF2-40B4-BE49-F238E27FC236}">
              <a16:creationId xmlns:a16="http://schemas.microsoft.com/office/drawing/2014/main" id="{277858BE-2B48-4DE6-998F-00095B27CACD}"/>
            </a:ext>
          </a:extLst>
        </xdr:cNvPr>
        <xdr:cNvGrpSpPr/>
      </xdr:nvGrpSpPr>
      <xdr:grpSpPr>
        <a:xfrm>
          <a:off x="268605" y="228600"/>
          <a:ext cx="1047750" cy="2687955"/>
          <a:chOff x="0" y="790575"/>
          <a:chExt cx="1333500" cy="3600450"/>
        </a:xfrm>
      </xdr:grpSpPr>
      <xdr:sp macro="" textlink="">
        <xdr:nvSpPr>
          <xdr:cNvPr id="5" name="Rettangolo con angoli arrotondati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562DD97-6F23-4E21-B21F-98B1E0DA05E6}"/>
              </a:ext>
            </a:extLst>
          </xdr:cNvPr>
          <xdr:cNvSpPr/>
        </xdr:nvSpPr>
        <xdr:spPr>
          <a:xfrm>
            <a:off x="0" y="2314575"/>
            <a:ext cx="1295400" cy="419100"/>
          </a:xfrm>
          <a:prstGeom prst="roundRect">
            <a:avLst/>
          </a:prstGeom>
          <a:gradFill flip="none" rotWithShape="1">
            <a:gsLst>
              <a:gs pos="0">
                <a:srgbClr val="002060"/>
              </a:gs>
              <a:gs pos="48000">
                <a:srgbClr val="0070C0"/>
              </a:gs>
              <a:gs pos="100000">
                <a:schemeClr val="bg1"/>
              </a:gs>
            </a:gsLst>
            <a:lin ang="16200000" scaled="1"/>
            <a:tileRect/>
          </a:gra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Dati Giocatori</a:t>
            </a:r>
          </a:p>
        </xdr:txBody>
      </xdr:sp>
      <xdr:sp macro="" textlink="">
        <xdr:nvSpPr>
          <xdr:cNvPr id="6" name="Rettangolo con angoli arrotondati 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A72447-FF21-4960-BE1D-A5501A71DABA}"/>
              </a:ext>
            </a:extLst>
          </xdr:cNvPr>
          <xdr:cNvSpPr/>
        </xdr:nvSpPr>
        <xdr:spPr>
          <a:xfrm>
            <a:off x="0" y="790575"/>
            <a:ext cx="1323549" cy="430489"/>
          </a:xfrm>
          <a:prstGeom prst="roundRect">
            <a:avLst/>
          </a:prstGeom>
          <a:gradFill flip="none" rotWithShape="1">
            <a:gsLst>
              <a:gs pos="0">
                <a:srgbClr val="002060"/>
              </a:gs>
              <a:gs pos="48000">
                <a:srgbClr val="0070C0"/>
              </a:gs>
              <a:gs pos="100000">
                <a:schemeClr val="bg1"/>
              </a:gs>
            </a:gsLst>
            <a:lin ang="16200000" scaled="1"/>
            <a:tileRect/>
          </a:gra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FantaClass</a:t>
            </a:r>
          </a:p>
        </xdr:txBody>
      </xdr:sp>
      <xdr:sp macro="" textlink="">
        <xdr:nvSpPr>
          <xdr:cNvPr id="7" name="Rettangolo con angoli arrotondati 6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AB714D66-462B-4DE4-A976-3B4EE6A518BD}"/>
              </a:ext>
            </a:extLst>
          </xdr:cNvPr>
          <xdr:cNvSpPr/>
        </xdr:nvSpPr>
        <xdr:spPr>
          <a:xfrm>
            <a:off x="0" y="1553714"/>
            <a:ext cx="1333500" cy="430489"/>
          </a:xfrm>
          <a:prstGeom prst="roundRect">
            <a:avLst/>
          </a:prstGeom>
          <a:gradFill flip="none" rotWithShape="1">
            <a:gsLst>
              <a:gs pos="0">
                <a:srgbClr val="002060"/>
              </a:gs>
              <a:gs pos="48000">
                <a:srgbClr val="0070C0"/>
              </a:gs>
              <a:gs pos="100000">
                <a:schemeClr val="bg1"/>
              </a:gs>
            </a:gsLst>
            <a:lin ang="16200000" scaled="1"/>
            <a:tileRect/>
          </a:gra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Calendario</a:t>
            </a:r>
          </a:p>
        </xdr:txBody>
      </xdr:sp>
      <xdr:sp macro="" textlink="">
        <xdr:nvSpPr>
          <xdr:cNvPr id="8" name="Rettangolo con angoli arrotondati 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DC204C8-2041-426F-8CD4-DF131961DE99}"/>
              </a:ext>
            </a:extLst>
          </xdr:cNvPr>
          <xdr:cNvSpPr/>
        </xdr:nvSpPr>
        <xdr:spPr>
          <a:xfrm>
            <a:off x="39806" y="3960536"/>
            <a:ext cx="517478" cy="430489"/>
          </a:xfrm>
          <a:prstGeom prst="roundRect">
            <a:avLst/>
          </a:prstGeom>
          <a:blipFill>
            <a:blip xmlns:r="http://schemas.openxmlformats.org/officeDocument/2006/relationships" r:embed="rId5">
              <a:extLs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a:blipFill>
          <a:ln>
            <a:noFill/>
          </a:ln>
          <a:effectLst>
            <a:outerShdw blurRad="44450" dist="76200" dir="5400000" algn="ctr">
              <a:schemeClr val="tx1">
                <a:alpha val="32000"/>
              </a:schemeClr>
            </a:outerShdw>
            <a:softEdge rad="0"/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it-IT" sz="1400" b="1"/>
          </a:p>
          <a:p>
            <a:pPr algn="ctr"/>
            <a:endParaRPr lang="it-IT" sz="1400" b="1"/>
          </a:p>
        </xdr:txBody>
      </xdr:sp>
      <xdr:sp macro="" textlink="">
        <xdr:nvSpPr>
          <xdr:cNvPr id="9" name="Rettangolo con angoli arrotondati 8">
            <a:extLst>
              <a:ext uri="{FF2B5EF4-FFF2-40B4-BE49-F238E27FC236}">
                <a16:creationId xmlns:a16="http://schemas.microsoft.com/office/drawing/2014/main" id="{C300DBB4-2FAD-4D3B-9A77-95C254ABFDC3}"/>
              </a:ext>
            </a:extLst>
          </xdr:cNvPr>
          <xdr:cNvSpPr/>
        </xdr:nvSpPr>
        <xdr:spPr>
          <a:xfrm>
            <a:off x="9951" y="3168046"/>
            <a:ext cx="1313597" cy="430489"/>
          </a:xfrm>
          <a:prstGeom prst="roundRect">
            <a:avLst/>
          </a:prstGeom>
          <a:gradFill flip="none" rotWithShape="1">
            <a:gsLst>
              <a:gs pos="0">
                <a:srgbClr val="002060"/>
              </a:gs>
              <a:gs pos="48000">
                <a:srgbClr val="0070C0"/>
              </a:gs>
              <a:gs pos="100000">
                <a:schemeClr val="bg1"/>
              </a:gs>
            </a:gsLst>
            <a:lin ang="16200000" scaled="1"/>
            <a:tileRect/>
          </a:gra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400" b="1"/>
              <a:t>a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</xdr:colOff>
      <xdr:row>0</xdr:row>
      <xdr:rowOff>72390</xdr:rowOff>
    </xdr:from>
    <xdr:to>
      <xdr:col>12</xdr:col>
      <xdr:colOff>23819</xdr:colOff>
      <xdr:row>6</xdr:row>
      <xdr:rowOff>23178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GG">
              <a:extLst>
                <a:ext uri="{FF2B5EF4-FFF2-40B4-BE49-F238E27FC236}">
                  <a16:creationId xmlns:a16="http://schemas.microsoft.com/office/drawing/2014/main" id="{6A3134BE-6BE7-48BB-98D7-DDB9FEEB20D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G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52085" y="72390"/>
              <a:ext cx="2921958" cy="9048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Questa forma rappresenta un filtro dei dati. I filtri dei dati sono supportati in Excel 2010 o versione successiva.
Se la forma è stata modificata in una versione precedente di Excel o se la cartella di lavoro è stata salvata in Excel 2003 o versioni precedenti, non è possibile usare il filtro dei dati.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1</xdr:row>
          <xdr:rowOff>68580</xdr:rowOff>
        </xdr:from>
        <xdr:to>
          <xdr:col>7</xdr:col>
          <xdr:colOff>350520</xdr:colOff>
          <xdr:row>3</xdr:row>
          <xdr:rowOff>22860</xdr:rowOff>
        </xdr:to>
        <xdr:sp macro="" textlink="">
          <xdr:nvSpPr>
            <xdr:cNvPr id="273410" name="cmbCriterio" hidden="1">
              <a:extLst>
                <a:ext uri="{63B3BB69-23CF-44E3-9099-C40C66FF867C}">
                  <a14:compatExt spid="_x0000_s273410"/>
                </a:ext>
                <a:ext uri="{FF2B5EF4-FFF2-40B4-BE49-F238E27FC236}">
                  <a16:creationId xmlns:a16="http://schemas.microsoft.com/office/drawing/2014/main" id="{00000000-0008-0000-0E00-000002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 soppelsa" refreshedDate="46280.221091898151" createdVersion="7" refreshedVersion="8" minRefreshableVersion="3" recordCount="1175" xr:uid="{9CF81853-922E-4020-A63C-F8B80D34AD84}">
  <cacheSource type="worksheet">
    <worksheetSource name="Tabella1"/>
  </cacheSource>
  <cacheFields count="29">
    <cacheField name="DATA" numFmtId="167">
      <sharedItems containsNonDate="0" containsDate="1" containsString="0" containsBlank="1" minDate="2026-08-20T00:00:00" maxDate="2026-09-13T00:00:00"/>
    </cacheField>
    <cacheField name="GG" numFmtId="1">
      <sharedItems containsString="0" containsBlank="1" containsNumber="1" containsInteger="1" minValue="1" maxValue="38" count="39">
        <n v="1"/>
        <n v="2"/>
        <n v="3"/>
        <n v="4"/>
        <m/>
        <n v="34" u="1"/>
        <n v="13" u="1"/>
        <n v="36" u="1"/>
        <n v="38" u="1"/>
        <n v="5" u="1"/>
        <n v="14" u="1"/>
        <n v="15" u="1"/>
        <n v="6" u="1"/>
        <n v="16" u="1"/>
        <n v="17" u="1"/>
        <n v="18" u="1"/>
        <n v="19" u="1"/>
        <n v="7" u="1"/>
        <n v="20" u="1"/>
        <n v="33" u="1"/>
        <n v="21" u="1"/>
        <n v="35" u="1"/>
        <n v="22" u="1"/>
        <n v="37" u="1"/>
        <n v="23" u="1"/>
        <n v="8" u="1"/>
        <n v="24" u="1"/>
        <n v="25" u="1"/>
        <n v="9" u="1"/>
        <n v="26" u="1"/>
        <n v="27" u="1"/>
        <n v="10" u="1"/>
        <n v="28" u="1"/>
        <n v="29" u="1"/>
        <n v="11" u="1"/>
        <n v="30" u="1"/>
        <n v="31" u="1"/>
        <n v="12" u="1"/>
        <n v="32" u="1"/>
      </sharedItems>
    </cacheField>
    <cacheField name="SQUADRA" numFmtId="0">
      <sharedItems containsMixedTypes="1" containsNumber="1" containsInteger="1" minValue="0" maxValue="0" count="23">
        <s v="Atalanta"/>
        <s v="Bologna"/>
        <s v="Cagliari"/>
        <s v="Como"/>
        <s v="Fiorentina"/>
        <s v="Frosinone"/>
        <s v="Genoa"/>
        <s v="Inter"/>
        <s v="Juventus"/>
        <s v="Lazio"/>
        <s v="Lecce"/>
        <s v="Milan"/>
        <s v="Monza"/>
        <s v="Napoli"/>
        <s v="Parma"/>
        <s v="Roma"/>
        <s v="Sassuolo"/>
        <s v="Torino"/>
        <s v="Udinese"/>
        <s v="Venezia"/>
        <s v="Caglairi"/>
        <s v=""/>
        <n v="0"/>
      </sharedItems>
    </cacheField>
    <cacheField name="Ruolo" numFmtId="0">
      <sharedItems containsBlank="1" count="5">
        <s v="P"/>
        <s v="D"/>
        <s v="C"/>
        <s v="A"/>
        <m/>
      </sharedItems>
    </cacheField>
    <cacheField name="Nome" numFmtId="0">
      <sharedItems containsBlank="1" count="1165">
        <s v="Carnesecchi"/>
        <s v="Zappacosta"/>
        <s v="Kolasinac"/>
        <s v="Scalvini"/>
        <s v="Kossounou"/>
        <s v="Bernasconi"/>
        <s v="Pasalic"/>
        <s v="Gaetano"/>
        <s v="Samardzic"/>
        <s v="Zalewski"/>
        <s v="Ederson D.S."/>
        <s v="Scamacca"/>
        <s v="Raspadori"/>
        <s v="De Ketelaere"/>
        <s v="Krstovic"/>
        <s v="Skorupski"/>
        <s v="Zortea"/>
        <s v="Miranda J."/>
        <s v="Holm"/>
        <s v="Heggem"/>
        <s v="Helland"/>
        <s v="Bernardeschi"/>
        <s v="Orsolini"/>
        <s v="Odgaard"/>
        <s v="Cambiaghi"/>
        <s v="Ferguson"/>
        <s v="El Azzouzi O."/>
        <s v="Rowe"/>
        <s v="Piccoli"/>
        <s v="Dovbyk"/>
        <s v="Caprile"/>
        <s v="Zappa"/>
        <s v="Obert"/>
        <s v="Rodriguez Ju."/>
        <s v="Zè Pedro"/>
        <s v="Deiola"/>
        <s v="Winks"/>
        <s v="Adopo"/>
        <s v="Fazzini"/>
        <s v="Felici"/>
        <s v="Romano"/>
        <s v="Maldini"/>
        <s v="Borrelli"/>
        <s v="Mendy P."/>
        <s v="Butez"/>
        <s v="Chalobah T."/>
        <s v="Couto"/>
        <s v="Valle"/>
        <s v="Ramon"/>
        <s v="Da Cunha"/>
        <s v="Perrone"/>
        <s v="Liberali"/>
        <s v="Paz N."/>
        <s v="Baturina"/>
        <s v="Rodriguez Je."/>
        <s v="Milla"/>
        <s v="Diao"/>
        <s v="Douvikas"/>
        <s v="De Gea"/>
        <s v="Ranieri L."/>
        <s v="Dragusin"/>
        <s v="Dodò"/>
        <s v="Jimenez A."/>
        <s v="Joao Mario"/>
        <s v="Mandragora"/>
        <s v="Fagioli"/>
        <s v="Brescianini"/>
        <s v="Ndour"/>
        <s v="Atta"/>
        <s v="Mastantuono"/>
        <s v="Oulai"/>
        <s v="Kean"/>
        <s v="Pellegrino M."/>
        <s v="Palmisani"/>
        <s v="Terzic"/>
        <s v="Monterisi"/>
        <s v="Cittadini"/>
        <s v="Oyono A."/>
        <s v="Calvani"/>
        <s v="Bracaglia"/>
        <s v="Zerbin"/>
        <s v="Fini "/>
        <s v="Hasa"/>
        <s v="Masini"/>
        <s v="Calò"/>
        <s v="Cichella"/>
        <s v="Schmid"/>
        <s v="Raimondo"/>
        <s v="Kvernadze"/>
        <s v="Bijlow"/>
        <s v="Vasquez"/>
        <s v="Ostigard"/>
        <s v="Marcandalli"/>
        <s v="Norton-Cuffy"/>
        <s v="Otoa"/>
        <s v="Messias"/>
        <s v="Frendrup"/>
        <s v="Baldanzi"/>
        <s v="Sow"/>
        <s v="Ellertsson"/>
        <s v="Amorim"/>
        <s v="Meichtry"/>
        <s v="Colombo"/>
        <s v="Vitinha O."/>
        <s v="Martinez Jo."/>
        <s v="Dimarco"/>
        <s v="Bastoni"/>
        <s v="Stones"/>
        <s v="Akanji"/>
        <s v="Bisseck"/>
        <s v="Zielinski"/>
        <s v="Barella"/>
        <s v="Calhanoglu"/>
        <s v="Luis Henrique"/>
        <s v="Diouf"/>
        <s v="Sucic P."/>
        <s v="Martinez L."/>
        <s v="Bonny"/>
        <s v="Esposito F.P."/>
        <s v="Perin"/>
        <s v="Vicario"/>
        <s v="Bremer"/>
        <s v="Celik"/>
        <s v="Kalulu"/>
        <s v="Cambiaso"/>
        <s v="Kelly L."/>
        <s v="Locatelli"/>
        <s v="Douglas Luiz"/>
        <s v="McKennie"/>
        <s v="Zhegrova"/>
        <s v="Conceicao"/>
        <s v="Boga"/>
        <s v="Kolo Muani"/>
        <s v="Yildiz"/>
        <s v="Mandas"/>
        <s v="Marusic"/>
        <s v="Pedraza"/>
        <s v="Doekhi"/>
        <s v="Provstgaard"/>
        <s v="Floriani Mussolini"/>
        <s v="Zaccagni"/>
        <s v="Frattesi"/>
        <s v="Rovella"/>
        <s v="Cancellieri"/>
        <s v="Isaksen"/>
        <s v="Dele-Bashiru"/>
        <s v="Taylor K."/>
        <s v="Dia"/>
        <s v="Falcone"/>
        <s v="Gallo"/>
        <s v="Gaspar K."/>
        <s v="Tiago Gabriel"/>
        <s v="Veiga D."/>
        <s v="Ndaba"/>
        <s v="Siebert"/>
        <s v="Maleh"/>
        <s v="Coulibaly L."/>
        <s v="Pierotti"/>
        <s v="Gorter"/>
        <s v="Ngom"/>
        <s v="Geubbels"/>
        <s v="N'Dri"/>
        <s v="Stulic"/>
        <s v="Maignan"/>
        <s v="Gabbia"/>
        <s v="Pavlovic"/>
        <s v="Estupinan"/>
        <s v="De Winter"/>
        <s v="Gila"/>
        <s v="Bartesaghi"/>
        <s v="Rabiot"/>
        <s v="Modric"/>
        <s v="Loftus-Cheek"/>
        <s v="Chukwueze"/>
        <s v="Saelemaekers"/>
        <s v="Musah"/>
        <s v="Cissè A."/>
        <s v="Jashari"/>
        <s v="Ramos G."/>
        <s v="Pizzignacco"/>
        <s v="Carboni A."/>
        <s v="Birindelli"/>
        <s v="Lucchesi"/>
        <s v="Kouadio"/>
        <s v="Bakoune"/>
        <s v="Mangas"/>
        <s v="Galazzi"/>
        <s v="Colpani"/>
        <s v="Forson O."/>
        <s v="Foe Ondoa"/>
        <s v="Mout"/>
        <s v="Cutrone"/>
        <s v="Varela G."/>
        <s v="Meret"/>
        <s v="Spinazzola"/>
        <s v="Di Lorenzo"/>
        <s v="Rrahmani"/>
        <s v="Marin R."/>
        <s v="Politano"/>
        <s v="De Bruyne"/>
        <s v="Zambo Anguissa"/>
        <s v="Lobotka"/>
        <s v="McTominay"/>
        <s v="Vergara"/>
        <s v="Hojlund"/>
        <s v="Lucca"/>
        <s v="Lang"/>
        <s v="Santos A."/>
        <s v="Corvi"/>
        <s v="Valeri"/>
        <s v="Delprato"/>
        <s v="Ndiaye"/>
        <s v="Troilo"/>
        <s v="Almqvist"/>
        <s v="Bernabè"/>
        <s v="Kouda"/>
        <s v="Keita M."/>
        <s v="Ordonez C."/>
        <s v="Diallo O."/>
        <s v="Konate A."/>
        <s v="Tourè E."/>
        <s v="Elphege"/>
        <s v="Lontani"/>
        <s v="Svilar"/>
        <s v="Mancini"/>
        <s v="N'Dicka"/>
        <s v="Hermoso"/>
        <s v="Wesley"/>
        <s v="Koulierakis"/>
        <s v="Lulli"/>
        <s v="Cristante"/>
        <s v="Konè M."/>
        <s v="Pisilli"/>
        <s v="Mora"/>
        <s v="Dybala"/>
        <s v="Malen"/>
        <s v="Soulè"/>
        <s v="Castro S."/>
        <s v="Muric"/>
        <s v="Doig"/>
        <s v="Odenthal"/>
        <s v="Macchioni"/>
        <s v="Leysen F."/>
        <s v="Cinquegrano"/>
        <s v="Matic"/>
        <s v="Volpato"/>
        <s v="Thorstvedt"/>
        <s v="Adzic"/>
        <s v="Dominguez B."/>
        <s v="Bakola"/>
        <s v="Laurientè"/>
        <s v="Bowie"/>
        <s v="Mascardi"/>
        <s v="Ismajli"/>
        <s v="Pedersen"/>
        <s v="Comuzzo"/>
        <s v="Coco"/>
        <s v="Fortini"/>
        <s v="Vlasic"/>
        <s v="Casadei"/>
        <s v="Gineitis"/>
        <s v="Njie"/>
        <s v="Cacciamani"/>
        <s v="Aboukhlal"/>
        <s v="Fitz-Jim"/>
        <s v="Simeone"/>
        <s v="Adams C."/>
        <s v="Okoye"/>
        <s v="Vojvoda"/>
        <s v="Kamara H."/>
        <s v="Ebosse"/>
        <s v="Abankwah"/>
        <s v="Palma"/>
        <s v="Solet"/>
        <s v="Zaniolo"/>
        <s v="Karlstrom"/>
        <s v="Ekkelenkamp"/>
        <s v="Unai Gomez"/>
        <s v="Piotrowski"/>
        <s v="Miller L."/>
        <s v="Bayo V."/>
        <s v="Gueye"/>
        <s v="Stankovic F."/>
        <s v="Correia T."/>
        <s v="Haps"/>
        <s v="Hainaut"/>
        <s v="Schingtienne"/>
        <s v="Bella-Kotchap"/>
        <s v="Franjic"/>
        <s v="Busio"/>
        <s v="Basic"/>
        <s v="Perez K."/>
        <s v="Dagasso"/>
        <s v="Yeboah J."/>
        <s v="Adams A."/>
        <s v="Elmas"/>
        <s v="Alhassane"/>
        <s v="Pobega"/>
        <s v="Amondarain"/>
        <s v="Kofler"/>
        <s v="Fadera"/>
        <s v="Kevin Carlos"/>
        <s v="Kempf"/>
        <s v="Smolcic I."/>
        <s v="Caqueret"/>
        <s v="Pongracic"/>
        <s v="Valdepenas"/>
        <s v="Viery"/>
        <s v="Gudmundsson A."/>
        <s v="Osmajic"/>
        <s v="Pavard"/>
        <s v="Jones C."/>
        <s v="Thuram"/>
        <s v="Lucumì"/>
        <s v="Gonzalez N."/>
        <s v="Koopmeiners"/>
        <s v="Alajbegovic"/>
        <s v="David"/>
        <s v="Tavares N."/>
        <s v="Belahyane"/>
        <s v="Ilic"/>
        <s v="Fatah"/>
        <s v="Thiam"/>
        <s v="Delli Carri"/>
        <s v="Folorunsho"/>
        <s v="Akinsanmiro"/>
        <s v="Olivera"/>
        <s v="Britschgi"/>
        <s v="Drobnic"/>
        <s v="Cremaschi"/>
        <s v="Romero D."/>
        <s v="Molina N."/>
        <s v="Ghilardi"/>
        <s v="Idzes"/>
        <s v="Obrador"/>
        <s v="Berardi"/>
        <s v="Comert"/>
        <s v="Ilkhan"/>
        <s v="Kulenovic"/>
        <s v="Bertola"/>
        <s v="Zarraga"/>
        <s v="Davis K."/>
        <s v="Halhal"/>
        <s v="Sohm"/>
        <s v="Valenti"/>
        <s v="Theate"/>
        <s v="Sulemana I."/>
        <s v="Sugamele"/>
        <s v="Sierro"/>
        <s v="Sagrado"/>
        <s v="Sabelli"/>
        <s v="Rrahmani Al."/>
        <s v="Robinson J."/>
        <s v="Pinamonti"/>
        <s v="Perri"/>
        <s v="Patterson"/>
        <s v="Mota"/>
        <s v="Moro N."/>
        <s v="Moreno M."/>
        <s v="Moreira"/>
        <s v="Monteiro J."/>
        <s v="Belghali"/>
        <s v="Carlos Augusto"/>
        <s v="Bellanova"/>
        <s v="Lipani"/>
        <s v="Libra"/>
        <s v="Kabasele"/>
        <s v="Ghedjemis"/>
        <s v="Gatti"/>
        <s v="Gagliardini"/>
        <s v="Frigan"/>
        <s v="Fernandez T."/>
        <s v="Fabbian"/>
        <s v="Woltemade"/>
        <s v="Ehizibue"/>
        <s v="Diego Carlos"/>
        <s v="Colombo L."/>
        <s v="Lauberbach"/>
        <s v="Noslin"/>
        <s v="Braganca"/>
        <s v="Gnonto"/>
        <s v="Beto"/>
        <s v="Balerdi"/>
        <s v="Badiashile"/>
        <s v="Neres"/>
        <s v="Kessiè"/>
        <s v="Sugawara"/>
        <s v="Bobcek"/>
        <s v="El Shaarawy"/>
        <s v="Sutalo J."/>
        <s v="Pulisic"/>
        <s v="Juan Jesus"/>
        <s v="Helgason"/>
        <s v="Pessina Mas."/>
        <s v="Sanchez Ro."/>
        <s v="Kaiki"/>
        <s v="Mkhitaryan"/>
        <s v="Sarr P."/>
        <s v="Esteban"/>
        <s v="Zeballos"/>
        <s v="Milinkovic-Savic V."/>
        <s v="Favasuli"/>
        <s v="Gilmour"/>
        <s v="De Roon"/>
        <s v="Esposito Se."/>
        <s v="Rodriguez R."/>
        <s v="Zapata D."/>
        <s v="Chakvetadze"/>
        <m/>
        <s v="Retegui" u="1"/>
        <s v="Mosquera" u="1"/>
        <s v="Mbangula" u="1"/>
        <s v="Rocha Livramento" u="1"/>
        <s v="Vogliacco" u="1"/>
        <s v="Weah" u="1"/>
        <s v="Castellanos" u="1"/>
        <s v="Okafor" u="1"/>
        <s v="Man" u="1"/>
        <s v="Biraghi" u="1"/>
        <s v="Giannetti L." u="1"/>
        <s v="Andersen M.k." u="1"/>
        <s v="Lazovic" u="1"/>
        <s v="Morata" u="1"/>
        <s v="Ruggeri" u="1"/>
        <s v="Lazaro" u="1"/>
        <s v="Duda" u="1"/>
        <s v="Scuffet" u="1"/>
        <s v="Montipo'" u="1"/>
        <s v="Musso" u="1"/>
        <s v="Erlic" u="1"/>
        <s v="Vasquez D." u="1"/>
        <s v="Badelj" u="1"/>
        <s v="Di Gregorio" u="1"/>
        <s v="Bijol" u="1"/>
        <s v="Tchatchoua" u="1"/>
        <s v="Hien" u="1"/>
        <s v="Lykogiannis" u="1"/>
        <s v="Freuler" u="1"/>
        <s v="Wieteska" u="1"/>
        <s v="Marin" u="1"/>
        <s v="Walukiewicz" u="1"/>
        <s v="Henderson L." u="1"/>
        <s v="Solbakken" u="1"/>
        <s v="Martin" u="1"/>
        <s v="Malinovskyi" u="1"/>
        <s v="Sommer" u="1"/>
        <s v="Taremi" u="1"/>
        <s v="Cabal" u="1"/>
        <s v="Thuram K." u="1"/>
        <s v="Vlahovic" u="1"/>
        <s v="Lazzari" u="1"/>
        <s v="Casale" u="1"/>
        <s v="Bennacer" u="1"/>
        <s v="Izzo" u="1"/>
        <s v="Brenner" u="1"/>
        <s v="Magnani" u="1"/>
        <s v="Dawidowicz" u="1"/>
        <s v="Kastanos" u="1"/>
        <s v="Harroui" u="1"/>
        <s v="Djimsiti" u="1"/>
        <s v="Bakker" u="1"/>
        <s v="Godfrey" u="1"/>
        <s v="Posch" u="1"/>
        <s v="Beukema" u="1"/>
        <s v="Ndoye" u="1"/>
        <s v="Aebischer" u="1"/>
        <s v="Luperto" u="1"/>
        <s v="Prati" u="1"/>
        <s v="Pavoletti" u="1"/>
        <s v="Luvumbo" u="1"/>
        <s v="Baselli" u="1"/>
        <s v="Strefezza" u="1"/>
        <s v="Gabrielloni" u="1"/>
        <s v="Pezzella Giu." u="1"/>
        <s v="Viti" u="1"/>
        <s v="Gyasi" u="1"/>
        <s v="Parisi" u="1"/>
        <s v="Dodo'" u="1"/>
        <s v="Kayode" u="1"/>
        <s v="Amrabat" u="1"/>
        <s v="Ikone'" u="1"/>
        <s v="Bianco" u="1"/>
        <s v="Zanoli" u="1"/>
        <s v="Thorsby" u="1"/>
        <s v="Dumfries" u="1"/>
        <s v="Savona" u="1"/>
        <s v="Romagnoli" u="1"/>
        <s v="Vecino" u="1"/>
        <s v="Guendouzi" u="1"/>
        <s v="Tchaouna" u="1"/>
        <s v="Hernandez T." u="1"/>
        <s v="Reijnders" u="1"/>
        <s v="Kyriakopoulos" u="1"/>
        <s v="Bondo" u="1"/>
        <s v="Caprari" u="1"/>
        <s v="Ngonge" u="1"/>
        <s v="Balogh" u="1"/>
        <s v="Circati" u="1"/>
        <s v="Coulibaly W." u="1"/>
        <s v="Camara D." u="1"/>
        <s v="Pellegrini Lo." u="1"/>
        <s v="Le Fee" u="1"/>
        <s v="Soule'" u="1"/>
        <s v="Linetty" u="1"/>
        <s v="Sanabria" u="1"/>
        <s v="Karamoh" u="1"/>
        <s v="Perez N." u="1"/>
        <s v="Crnigoj" u="1"/>
        <s v="Coppola D." u="1"/>
        <s v="Suslov" u="1"/>
        <s v="Augello" u="1"/>
        <s v="Azzi" u="1"/>
        <s v="Barba" u="1"/>
        <s v="Braunoder" u="1"/>
        <s v="Cerri" u="1"/>
        <s v="Belotti" u="1"/>
        <s v="Terracciano" u="1"/>
        <s v="Martinez Quarta" u="1"/>
        <s v="Kouame'" u="1"/>
        <s v="Bani" u="1"/>
        <s v="Darmian" u="1"/>
        <s v="Provedel" u="1"/>
        <s v="Dorgu" u="1"/>
        <s v="Ramadani" u="1"/>
        <s v="Pierret" u="1"/>
        <s v="Tete Morente" u="1"/>
        <s v="Banda" u="1"/>
        <s v="Tomori" u="1"/>
        <s v="Mari'" u="1"/>
        <s v="Caldirola" u="1"/>
        <s v="Pessina" u="1"/>
        <s v="Kvaratskhelia" u="1"/>
        <s v="Cyprien" u="1"/>
        <s v="Bernabe'" u="1"/>
        <s v="Mihaila" u="1"/>
        <s v="Angelino" u="1"/>
        <s v="Masina" u="1"/>
        <s v="Tameze" u="1"/>
        <s v="Ricci S." u="1"/>
        <s v="Zampano" u="1"/>
        <s v="Sverko" u="1"/>
        <s v="Duncan" u="1"/>
        <s v="Oristanio" u="1"/>
        <s v="Pierini" u="1"/>
        <s v="Gytkjaer" u="1"/>
        <s v="Frese" u="1"/>
        <s v="Serdar" u="1"/>
        <s v="Tengstedt" u="1"/>
        <s v="Moreno Alb." u="1"/>
        <s v="Verdi" u="1"/>
        <s v="Acerbi" u="1"/>
        <s v="Gendrey" u="1"/>
        <s v="Rafia" u="1"/>
        <s v="Calabria" u="1"/>
        <s v="Leao" u="1"/>
        <s v="Vignato S." u="1"/>
        <s v="Petagna" u="1"/>
        <s v="Estevez" u="1"/>
        <s v="Sazonov" u="1"/>
        <s v="Lovric" u="1"/>
        <s v="Payero" u="1"/>
        <s v="Svoboda" u="1"/>
        <s v="Goldaniga" u="1"/>
        <s v="Sala M." u="1"/>
        <s v="Engelhardt" u="1"/>
        <s v="Baschirotto" u="1"/>
        <s v="Jovic" u="1"/>
        <s v="Mazzocchi" u="1"/>
        <s v="Suzuki" u="1"/>
        <s v="Reina" u="1"/>
        <s v="Gollini" u="1"/>
        <s v="Joronen" u="1"/>
        <s v="Altare" u="1"/>
        <s v="Thiaw" u="1"/>
        <s v="Thauvin" u="1"/>
        <s v="Palestra" u="1"/>
        <s v="Cassa" u="1"/>
        <s v="Lucumi'" u="1"/>
        <s v="Karlsson" u="1"/>
        <s v="Palomino" u="1"/>
        <s v="Mina" u="1"/>
        <s v="Lapadula" u="1"/>
        <s v="Sergi Roberto" u="1"/>
        <s v="Dossena" u="1"/>
        <s v="Iovine" u="1"/>
        <s v="Mazzitelli" u="1"/>
        <s v="Cacace" u="1"/>
        <s v="Haas" u="1"/>
        <s v="Barak" u="1"/>
        <s v="Sottil" u="1"/>
        <s v="Richardson" u="1"/>
        <s v="Ekuban" u="1"/>
        <s v="Arnautovic" u="1"/>
        <s v="Patric" u="1"/>
        <s v="Emerson Royal" u="1"/>
        <s v="Fofana Y." u="1"/>
        <s v="Djuric" u="1"/>
        <s v="Buongiorno" u="1"/>
        <s v="Paredes" u="1"/>
        <s v="Shomurodov" u="1"/>
        <s v="Dembele' A." u="1"/>
        <s v="Candela" u="1"/>
        <s v="Nicolussi Caviglia" u="1"/>
        <s v="Alidou" u="1"/>
        <s v="Radunovic" u="1"/>
        <s v="Szczesny" u="1"/>
        <s v="Alex Sandro" u="1"/>
        <s v="Bradaric" u="1"/>
        <s v="Cuadrado" u="1"/>
        <s v="D'ambrosio" u="1"/>
        <s v="Danilo" u="1"/>
        <s v="De Vrij" u="1"/>
        <s v="Bereszynski" u="1"/>
        <s v="Ebuehi" u="1"/>
        <s v="Biraschi" u="1"/>
        <s v="Llorente D." u="1"/>
        <s v="Mario Rui" u="1"/>
        <s v="Milenkovic" u="1"/>
        <s v="Berisha" u="1"/>
        <s v="Schuurs" u="1"/>
        <s v="Smalling" u="1"/>
        <s v="Terracciano F." u="1"/>
        <s v="Corazza" u="1"/>
        <s v="Aouar" u="1"/>
        <s v="Arthur Melo" u="1"/>
        <s v="Bonaventura" u="1"/>
        <s v="Candreva" u="1"/>
        <s v="Ciurria" u="1"/>
        <s v="Di Pardo" u="1"/>
        <s v="Felipe Anderson" u="1"/>
        <s v="Kamada" u="1"/>
        <s v="Krunic" u="1"/>
        <s v="Luis Alberto" u="1"/>
        <s v="Ebosele" u="1"/>
        <s v="Nandez" u="1"/>
        <s v="Fazio" u="1"/>
        <s v="Ferreira J." u="1"/>
        <s v="Gyomber" u="1"/>
        <s v="Hefti" u="1"/>
        <s v="Cerofolini" u="1"/>
        <s v="Christensen O." u="1"/>
        <s v="Hysaj" u="1"/>
        <s v="Radonjic" u="1"/>
        <s v="Consigli" u="1"/>
        <s v="Karsdorp" u="1"/>
        <s v="Saponara" u="1"/>
        <s v="Kristensen" u="1"/>
        <s v="Kristiansen" u="1"/>
        <s v="Lovato" u="1"/>
        <s v="Marchizza" u="1"/>
        <s v="Bonazzoli" u="1"/>
        <s v="Caso" u="1"/>
        <s v="Chiesa" u="1"/>
        <s v="Giroud" u="1"/>
        <s v="Missori" u="1"/>
        <s v="Immobile" u="1"/>
        <s v="Lauriente'" u="1"/>
        <s v="Lookman" u="1"/>
        <s v="Oyono" u="1"/>
        <s v="Pellegrini Lu." u="1"/>
        <s v="Pereira P." u="1"/>
        <s v="Pirola" u="1"/>
        <s v="Milik" u="1"/>
        <s v="Nzola" u="1"/>
        <s v="Osimhen" u="1"/>
        <s v="Romagnoli S." u="1"/>
        <s v="Rafael Leao" u="1"/>
        <s v="Zirkzee" u="1"/>
        <s v="Toljan" u="1"/>
        <s v="Tressoldi" u="1"/>
        <s v="Vina" u="1"/>
        <s v="Zemura" u="1"/>
        <s v="Zima" u="1"/>
        <s v="Amatucci" u="1"/>
        <s v="Faraoni" u="1"/>
        <s v="Baez" u="1"/>
        <s v="Bajrami" u="1"/>
        <s v="Barrenechea" u="1"/>
        <s v="Blin" u="1"/>
        <s v="Bohinen" u="1"/>
        <s v="Boloca" u="1"/>
        <s v="Bove" u="1"/>
        <s v="Cajuste " u="1"/>
        <s v="Cataldi" u="1"/>
        <s v="Dominguez" u="1"/>
        <s v="El Azzouzi" u="1"/>
        <s v="Garritano" u="1"/>
        <s v="Gelli" u="1"/>
        <s v="Gonzalez J." u="1"/>
        <s v="Grassi" u="1"/>
        <s v="Hongla" u="1"/>
        <s v="Iling Junior" u="1"/>
        <s v="Infantino" u="1"/>
        <s v="Jagiello" u="1"/>
        <s v="Jankto" u="1"/>
        <s v="Kaba" u="1"/>
        <s v="Kovalenko" u="1"/>
        <s v="Kutlu" u="1"/>
        <s v="Legowski" u="1"/>
        <s v="Lopez M." u="1"/>
        <s v="Cheddira" u="1"/>
        <s v="Machin" u="1"/>
        <s v="Maggiore" u="1"/>
        <s v="Makoumbou" u="1"/>
        <s v="Martegani" u="1"/>
        <s v="Matheus Henrique" u="1"/>
        <s v="Mboula" u="1"/>
        <s v="Miretti" u="1"/>
        <s v="Ochoa" u="1"/>
        <s v="Pogba" u="1"/>
        <s v="Racic" u="1"/>
        <s v="Renato Sanches" u="1"/>
        <s v="Strootman" u="1"/>
        <s v="Perisan" u="1"/>
        <s v="Urbanski" u="1"/>
        <s v="Walace" u="1"/>
        <s v="Beltran L." u="1"/>
        <s v="Botheim" u="1"/>
        <s v="Brekalo" u="1"/>
        <s v="Burnete" u="1"/>
        <s v="Canotto" u="1"/>
        <s v="Caputo" u="1"/>
        <s v="Ceide" u="1"/>
        <s v="Rui Patricio" u="1"/>
        <s v="Lindstrom" u="1"/>
        <s v="Cuni" u="1"/>
        <s v="Defrel" u="1"/>
        <s v="Destro" u="1"/>
        <s v="Di Francesco F." u="1"/>
        <s v="Turati" u="1"/>
        <s v="Silvestri" u="1"/>
        <s v="Ikwuemesi" u="1"/>
        <s v="Jovane" u="1"/>
        <s v="Pedro" u="1"/>
        <s v="Pellegri" u="1"/>
        <s v="Lukaku" u="1"/>
        <s v="Seck" u="1"/>
        <s v="Shpendi S." u="1"/>
        <s v="Success" u="1"/>
        <s v="Kostic" u="1"/>
        <s v="Muriel" u="1"/>
        <s v="Maric" u="1"/>
        <s v="Mulattieri" u="1"/>
        <s v="SKOV OLSEN" u="1"/>
        <s v="CRISCITO" u="1"/>
        <s v="Pjaca" u="1"/>
        <s v="Ballo-Toure'" u="1"/>
        <s v="De Sciglio" u="1"/>
        <s v="Luis Maximiano" u="1"/>
        <s v="TORREIRA" u="1"/>
        <s v="Turk" u="1"/>
        <s v="FIORDILINO" u="1"/>
        <s v="Rebic" u="1"/>
        <s v="Zanotti" u="1"/>
        <s v="Bakayoko" u="1"/>
        <s v="BIANCHI F." u="1"/>
        <s v="Di Carmine" u="1"/>
        <s v="Arslan" u="1"/>
        <s v="Hateboer" u="1"/>
        <s v="ILICIC" u="1"/>
        <s v="DE MAIO" u="1"/>
        <s v="Tonelli" u="1"/>
        <s v="Meite'" u="1"/>
        <s v="Cabral" u="1"/>
        <s v="CALLEJON" u="1"/>
        <s v="Castrovilli" u="1"/>
        <s v="MAYORAL" u="1"/>
        <s v="GODIN" u="1"/>
        <s v="MELEGONI" u="1"/>
        <s v="CAPEZZI" u="1"/>
        <s v="Satriano" u="1"/>
        <s v="Gravillon" u="1"/>
        <s v="FARES" u="1"/>
        <s v="Marchetti" u="1"/>
        <s v="Dermaku" u="1"/>
        <s v="Demme" u="1"/>
        <s v="Ruan" u="1"/>
        <s v="Bayeye" u="1"/>
        <s v="MASIELLO" u="1"/>
        <s v="Gunter" u="1"/>
        <s v="OSPINA" u="1"/>
        <s v="ANSALDI" u="1"/>
        <s v="MAGNANELLI" u="1"/>
        <s v="JOAO PEDRO" u="1"/>
        <s v="Nestorovski" u="1"/>
        <s v="Aina" u="1"/>
        <s v="Antov" u="1"/>
        <s v="Acella" u="1"/>
        <s v="Malagrida" u="1"/>
        <s v="Murillo" u="1"/>
        <s v="Gineitis " u="1"/>
        <s v="VIOLA" u="1"/>
        <s v="Kim" u="1"/>
        <s v="Zakaria" u="1"/>
        <s v="MORO" u="1"/>
        <s v="Esposito Sa." u="1"/>
        <s v="Kumbulla" u="1"/>
        <s v="Adli" u="1"/>
        <s v="MODOLO" u="1"/>
        <s v="BUKSA" u="1"/>
        <s v="Ekong" u="1"/>
        <s v="Soumaoro" u="1"/>
        <s v="Kallon" u="1"/>
        <s v="Ferrari G." u="1"/>
        <s v="ROG" u="1"/>
        <s v="YEBOAH" u="1"/>
        <s v="MOTOC" u="1"/>
        <s v="CEPPITELLI" u="1"/>
        <s v="Tatarusanu" u="1"/>
        <s v="DE LIGT" u="1"/>
        <s v="Florenzi" u="1"/>
        <s v="Ciofani D." u="1"/>
        <s v="Marlon" u="1"/>
        <s v="Pafundi" u="1"/>
        <s v="Correa" u="1"/>
        <s v="Ibanez" u="1"/>
        <s v="RAMSEY" u="1"/>
        <s v="Deulofeu" u="1"/>
        <s v="Okoli" u="1"/>
        <s v="BEHRAMI" u="1"/>
        <s v="ARTHUR" u="1"/>
        <s v="PULGAR" u="1"/>
        <s v="MRAZ" u="1"/>
        <s v="PODGOREANU" u="1"/>
        <s v="Dragowski" u="1"/>
        <s v="Barrow" u="1"/>
        <s v="Quagliarella" u="1"/>
        <s v="Pegolo" u="1"/>
        <s v="Miranchuk" u="1"/>
        <s v="ROMERO S." u="1"/>
        <s v="Bonifazi" u="1"/>
        <s v="Bistrovic" u="1"/>
        <s v="BESSA" u="1"/>
        <s v="BINKS" u="1"/>
        <s v="PANDEV" u="1"/>
        <s v="Zeegelaar" u="1"/>
        <s v="Pyyhtia" u="1"/>
        <s v="VANHEUSDEN" u="1"/>
        <s v="Igor" u="1"/>
        <s v="DIJKS" u="1"/>
        <s v="LA MANTIA" u="1"/>
        <s v="SUTALO" u="1"/>
        <s v="Basso Ricci" u="1"/>
        <s v="Lozano" u="1"/>
        <s v="Ayhan" u="1"/>
        <s v="Ceccherini" u="1"/>
        <s v="Leris" u="1"/>
        <s v="Vieira" u="1"/>
        <s v="LEZZERINI" u="1"/>
        <s v="Zurkowski" u="1"/>
        <s v="Rodrigo Becao" u="1"/>
        <s v="INSIGNE" u="1"/>
        <s v="DALBERT" u="1"/>
        <s v="Dest" u="1"/>
        <s v="STULAC" u="1"/>
        <s v="Piatek" u="1"/>
        <s v="KOURFALIDIS" u="1"/>
        <s v="Ascacibar" u="1"/>
        <s v="Russo A." u="1"/>
        <s v="Gabbiadini" u="1"/>
        <s v="MOLINARO" u="1"/>
        <s v="LUCAS LEIVA" u="1"/>
        <s v="Sala" u="1"/>
        <s v="Sarr M." u="1"/>
        <s v="SANTANDER" u="1"/>
        <s v="Paoletti" u="1"/>
        <s v="Demiral" u="1"/>
        <s v="Udogie" u="1"/>
        <s v="Amian" u="1"/>
        <s v="MBAYE" u="1"/>
        <s v="KOULIBALY" u="1"/>
        <s v="Audero" u="1"/>
        <s v="SCHNEGG" u="1"/>
        <s v="Donati" u="1"/>
        <s v="Tonali" u="1"/>
        <s v="FIAMOZZI" u="1"/>
        <s v="Wisniewski" u="1"/>
        <s v="CISSE' M." u="1"/>
        <s v="D'andrea" u="1"/>
        <s v="Lochoshvili" u="1"/>
        <s v="MATEJU" u="1"/>
        <s v="PERISIC" u="1"/>
        <s v="Lasagna" u="1"/>
        <s v="Bianchetti" u="1"/>
        <s v="Agudelo" u="1"/>
        <s v="Strelec" u="1"/>
        <s v="WARMING" u="1"/>
        <s v="Okereke" u="1"/>
        <s v="Conti" u="1"/>
        <s v="Antiste" u="1"/>
        <s v="FALCINELLI" u="1"/>
        <s v="Escalante" u="1"/>
        <s v="Bandinelli" u="1"/>
        <s v="Dzeko" u="1"/>
        <s v="De Luca" u="1"/>
        <s v="Majchrzak" u="1"/>
        <s v="PRAET" u="1"/>
        <s v="Sanca" u="1"/>
        <s v="SUPRYAGA" u="1"/>
        <s v="Carboni F." u="1"/>
        <s v="Ibrahimovic" u="1"/>
        <s v="Gaich" u="1"/>
        <s v="Kristoffersen" u="1"/>
        <s v="Abildgaard" u="1"/>
        <s v="Stojanovic" u="1"/>
        <s v="Retsos" u="1"/>
        <s v="Bourabia" u="1"/>
        <s v="MANAJ" u="1"/>
        <s v="SIGURDSSON A." u="1"/>
        <s v="Askildsen" u="1"/>
        <s v="Miguel Veloso" u="1"/>
        <s v="Rincon" u="1"/>
        <s v="Radovanovic" u="1"/>
        <s v="TORREGROSSA" u="1"/>
        <s v="Depaoli" u="1"/>
        <s v="Verre" u="1"/>
        <s v="Sepe" u="1"/>
        <s v="Ghiglione" u="1"/>
        <s v="RADU" u="1"/>
        <s v="Sambia" u="1"/>
        <s v="Sirigu" u="1"/>
        <s v="SALCEDO E." u="1"/>
        <s v="Valencia D." u="1"/>
        <s v="Daniliuc" u="1"/>
        <s v="MERTENS" u="1"/>
        <s v="Afena-Gyan" u="1"/>
        <s v="D'alessandro" u="1"/>
        <s v="KOKORIN" u="1"/>
        <s v="Asllani" u="1"/>
        <s v="CHABOT" u="1"/>
        <s v="Jese'" u="1"/>
        <s v="OBI" u="1"/>
        <s v="PERETZ" u="1"/>
        <s v="Skriniar" u="1"/>
        <s v="Valoti" u="1"/>
        <s v="JAROSZYNSKI" u="1"/>
        <s v="Bronn" u="1"/>
        <s v="OUNAS" u="1"/>
        <s v="Villar" u="1"/>
        <s v="Cocetta" u="1"/>
        <s v="GIOVINCO" u="1"/>
        <s v="Diaz B." u="1"/>
        <s v="SVANBERG" u="1"/>
        <s v="Pickel" u="1"/>
        <s v="STRANDBERG" u="1"/>
        <s v="Vorlicky" u="1"/>
        <s v="Ceesay" u="1"/>
        <s v="Vranckx" u="1"/>
        <s v="RUIZ" u="1"/>
        <s v="PEREIRO" u="1"/>
        <s v="ADRIEN SILVA" u="1"/>
        <s v="VERGANI" u="1"/>
        <s v="Guessand A." u="1"/>
        <s v="PANDUR" u="1"/>
        <s v="Barberis" u="1"/>
        <s v="Marrone" u="1"/>
        <s v="Oikonomou" u="1"/>
        <s v="VAN HOOIJDONK" u="1"/>
        <s v="Soriano" u="1"/>
        <s v="Medel" u="1"/>
        <s v="Alvarez A." u="1"/>
        <s v="SAMELE" u="1"/>
        <s v="Cuisance" u="1"/>
        <s v="Akpa Akpro" u="1"/>
        <s v="Ravaglia" u="1"/>
        <s v="LUIZ FELIPE" u="1"/>
        <s v="SHER" u="1"/>
        <s v="KULUSEVSKI" u="1"/>
        <s v="Brozovic" u="1"/>
        <s v="ANNAN" u="1"/>
        <s v="Barbieri" u="1"/>
        <s v="Ndombele'" u="1"/>
        <s v="BOGDAN" u="1"/>
        <s v="Vilhena" u="1"/>
        <s v="SCHIAVONE" u="1"/>
        <s v="Milinkovic-Savic" u="1"/>
        <s v="Vivaldo" u="1"/>
        <s v="Maehle" u="1"/>
        <s v="Galdames" u="1"/>
        <s v="MURIQI" u="1"/>
        <s v="MAKSIMOVIC" u="1"/>
        <s v="Chiriches" u="1"/>
        <s v="VERETOUT" u="1"/>
        <s v="SANCHEZ" u="1"/>
        <s v="Sansone" u="1"/>
        <s v="PADELLI" u="1"/>
        <s v="Di Maria" u="1"/>
        <s v="NASTASIC" u="1"/>
        <s v="Ranocchia F." u="1"/>
        <s v="Cragno" u="1"/>
        <s v="Soppy" u="1"/>
        <s v="MANCUSO" u="1"/>
        <s v="Camara Ma." u="1"/>
        <s v="KIYINE" u="1"/>
        <s v="Henry" u="1"/>
        <s v="RUSSO AL." u="1"/>
        <s v="KEITA B." u="1"/>
        <s v="NSAME" u="1"/>
        <s v="Ferrer" u="1"/>
        <s v="HEYMANS" u="1"/>
        <s v="Cetin" u="1"/>
        <s v="HERNANI" u="1"/>
        <s v="NGUIAMBA" u="1"/>
        <s v="Kasius" u="1"/>
        <s v="TESSMANN" u="1"/>
        <s v="Ujkani" u="1"/>
        <s v="Obiang" u="1"/>
        <s v="Oudin" u="1"/>
        <s v="OLIVA" u="1"/>
        <s v="Venuti" u="1"/>
        <s v="Abraham" u="1"/>
        <s v="TOURE' A." u="1"/>
        <s v="BALLO TOURE'" u="1"/>
        <s v="Makengo" u="1"/>
        <s v="MOUSSET" u="1"/>
        <s v="FAVILLI" u="1"/>
        <s v="CACERES" u="1"/>
        <s v="MIKAEL" u="1"/>
        <s v="COLLEY E." u="1"/>
        <s v="Vignato" u="1"/>
        <s v="BENTANCUR" u="1"/>
        <s v="Nuytinck" u="1"/>
        <s v="Singo" u="1"/>
        <s v="Rogerio" u="1"/>
        <s v="Lammers" u="1"/>
        <s v="Amione" u="1"/>
        <s v="Marcos Antonio" u="1"/>
        <s v="GAGLIOLO" u="1"/>
        <s v="MALCUIT" u="1"/>
        <s v="DI MARIANO" u="1"/>
        <s v="Sabiri" u="1"/>
        <s v="Perilli" u="1"/>
        <s v="YOSHIDA" u="1"/>
        <s v="FORESTIERI" u="1"/>
        <s v="STRAKOSHA" u="1"/>
        <s v="Pereyra" u="1"/>
        <s v="VIGNALI" u="1"/>
        <s v="Tuia" u="1"/>
        <s v="Umtiti" u="1"/>
        <s v="Montevago" u="1"/>
        <s v="ODRIOZOLA" u="1"/>
        <s v="KALINIC" u="1"/>
        <s v="FARAGO'" u="1"/>
        <s v="Caldara" u="1"/>
        <s v="Sportiello" u="1"/>
        <s v="ROSSI F." u="1"/>
        <s v="Yepes" u="1"/>
        <s v="Castagnetti" u="1"/>
        <s v="DAMSGAARD" u="1"/>
        <s v="Sosa" u="1"/>
        <s v="Jajalo" u="1"/>
        <s v="Sernicola" u="1"/>
        <s v="Rodriguez P." u="1"/>
        <s v="Origi" u="1"/>
        <s v="CALAFIORI" u="1"/>
        <s v="Reca" u="1"/>
        <s v="AMIRI" u="1"/>
        <s v="ANDERSON A." u="1"/>
        <s v="Aiwu" u="1"/>
        <s v="Romero L." u="1"/>
        <s v="FARIAS" u="1"/>
        <s v="Hristov" u="1"/>
        <s v="STRYGER LARSEN" u="1"/>
        <s v="DIAWARA" u="1"/>
        <s v="CASTILLEJO" u="1"/>
        <s v="Colley" u="1"/>
        <s v="Dessers" u="1"/>
        <s v="Hrustic" u="1"/>
        <s v="PORTANOVA" u="1"/>
        <s v="Gosens" u="1"/>
        <s v="CROCIATA" u="1"/>
        <s v="Rugani" u="1"/>
        <s v="BELEC" u="1"/>
        <s v="Tsadjout" u="1"/>
        <s v="Ekdal" u="1"/>
        <s v="FORTE" u="1"/>
        <s v="SAMIR" u="1"/>
        <s v="Toloi" u="1"/>
        <s v="DI TACCHIO" u="1"/>
        <s v="Romagna" u="1"/>
        <s v="Voelkerling Persson" u="1"/>
        <s v="HICKEY" u="1"/>
        <s v="SERPE" u="1"/>
        <s v="Kjaer" u="1"/>
        <s v="Pussetto" u="1"/>
        <s v="Hendry" u="1"/>
        <s v="Troost-Ekong" u="1"/>
        <s v="Bastoni S." u="1"/>
        <s v="Buonaiuto" u="1"/>
        <s v="Zovko" u="1"/>
        <s v="KINGSLEY" u="1"/>
        <s v="CIERVO" u="1"/>
        <s v="KONE B." u="1"/>
        <s v="GHOULAM" u="1"/>
        <s v="KECHRIDA" u="1"/>
        <s v="Nikolaou" u="1"/>
        <s v="Molina S." u="1"/>
        <s v="Onana" u="1"/>
        <s v="ZAZA" u="1"/>
        <s v="COULIBALY M." u="1"/>
        <s v="DARBOE" u="1"/>
        <s v="Fiorillo" u="1"/>
        <s v="Bonucci" u="1"/>
        <s v="VACCA" u="1"/>
        <s v="Segre" u="1"/>
        <s v="Listkowski" u="1"/>
        <s v="Cipot" u="1"/>
        <s v="OLIVEIRA" u="1"/>
        <s v="Zoet" u="1"/>
        <s v="Bardi" u="1"/>
        <s v="Ceccaroni" u="1"/>
        <s v="Benassi" u="1"/>
        <s v="CAICEDO" u="1"/>
        <s v="Milanese" u="1"/>
        <s v="MULDUR" u="1"/>
        <s v="Radu I." u="1"/>
        <s v="Moutinho J." u="1"/>
        <s v="Ribery" u="1"/>
        <s v="CHIELLINI" u="1"/>
        <s v="Hjulmand" u="1"/>
        <s v="Quagliata" u="1"/>
        <s v="Traore' Hj." u="1"/>
        <s v="Braaf" u="1"/>
        <s v="ULLMANN" u="1"/>
        <s v="Djuricic" u="1"/>
        <s v="Zanimacchia" u="1"/>
        <s v="PRASZELIK" u="1"/>
        <s v="DEZI" u="1"/>
        <s v="KESSIE'" u="1"/>
        <s v="Carboni" u="1"/>
        <s v="Handanovic" u="1"/>
        <s v="Schouten" u="1"/>
        <s v="Lukic" u="1"/>
        <s v="JOHNSEN" u="1"/>
        <s v="VIDAL" u="1"/>
        <s v="PEROTTI" u="1"/>
        <s v="GONDO" u="1"/>
        <s v="Ampadu" u="1"/>
        <s v="KOLAROV" u="1"/>
        <s v="Verde" u="1"/>
        <s v="Sensi" u="1"/>
        <s v="Ferrari A." u="1"/>
        <s v="KAIO JORGE" u="1"/>
        <s v="Wijnaldum" u="1"/>
        <s v="Cordaz" u="1"/>
        <s v="MAENPAA" u="1"/>
        <s v="AYA" u="1"/>
        <s v="Ranocchia" u="1"/>
        <s v="MANOLAS" u="1"/>
        <s v="STURARO" u="1"/>
        <s v="VESELI" u="1"/>
        <s v="Kiwior" u="1"/>
        <s v="De Silvestri" u="1"/>
        <s v="NANI" u="1"/>
        <s v="ARAMU" u="1"/>
        <s v="TRIMBOLI" u="1"/>
        <s v="GEMELLO" u="1"/>
        <s v="Murru" u="1"/>
        <s v="SIMY" u="1"/>
        <s v="Iling-Junior" u="1"/>
        <s v="Djidji" u="1"/>
        <s v="CARLES PEREZ" u="1"/>
        <s v="MAITLAND-NILES" u="1"/>
        <s v="OKAKA" u="1"/>
        <s v="Tahirovic" u="1"/>
      </sharedItems>
    </cacheField>
    <cacheField name="Voto" numFmtId="0">
      <sharedItems containsBlank="1" containsMixedTypes="1" containsNumber="1" minValue="4" maxValue="8.5"/>
    </cacheField>
    <cacheField name="Gf" numFmtId="0">
      <sharedItems containsString="0" containsBlank="1" containsNumber="1" containsInteger="1" minValue="0" maxValue="3"/>
    </cacheField>
    <cacheField name="Gs" numFmtId="0">
      <sharedItems containsString="0" containsBlank="1" containsNumber="1" containsInteger="1" minValue="0" maxValue="5"/>
    </cacheField>
    <cacheField name="Rp" numFmtId="0">
      <sharedItems containsString="0" containsBlank="1" containsNumber="1" containsInteger="1" minValue="0" maxValue="0"/>
    </cacheField>
    <cacheField name="Rs" numFmtId="0">
      <sharedItems containsString="0" containsBlank="1" containsNumber="1" containsInteger="1" minValue="0" maxValue="1"/>
    </cacheField>
    <cacheField name="Rf" numFmtId="0">
      <sharedItems containsString="0" containsBlank="1" containsNumber="1" containsInteger="1" minValue="0" maxValue="1"/>
    </cacheField>
    <cacheField name="Au" numFmtId="0">
      <sharedItems containsString="0" containsBlank="1" containsNumber="1" containsInteger="1" minValue="0" maxValue="1"/>
    </cacheField>
    <cacheField name="Amm" numFmtId="0">
      <sharedItems containsString="0" containsBlank="1" containsNumber="1" containsInteger="1" minValue="0" maxValue="1"/>
    </cacheField>
    <cacheField name="Esp" numFmtId="0">
      <sharedItems containsString="0" containsBlank="1" containsNumber="1" containsInteger="1" minValue="0" maxValue="1"/>
    </cacheField>
    <cacheField name="Ass" numFmtId="0">
      <sharedItems containsString="0" containsBlank="1" containsNumber="1" containsInteger="1" minValue="0" maxValue="3"/>
    </cacheField>
    <cacheField name="Gdv" numFmtId="1">
      <sharedItems containsString="0" containsBlank="1" containsNumber="1" containsInteger="1" minValue="1" maxValue="1"/>
    </cacheField>
    <cacheField name="cl sh" numFmtId="1">
      <sharedItems containsSemiMixedTypes="0" containsString="0" containsNumber="1" containsInteger="1" minValue="0" maxValue="1"/>
    </cacheField>
    <cacheField name="Fanta SQ" numFmtId="0">
      <sharedItems containsBlank="1" count="30">
        <m/>
        <s v="SESTO ASENSIO"/>
        <s v="ATL. IMPROVVISATO"/>
        <s v="TRICCHETRACHT"/>
        <s v="AS PIPPERIA"/>
        <s v="PESCICULINI"/>
        <s v="FC INTERNAZIOANALE"/>
        <s v="SHARK"/>
        <s v=""/>
        <s v="AC ASPARAGHESE"/>
        <s v="PARTIZAN DEGRADO"/>
        <s v="SAN GRIA"/>
        <s v="ER CAPITANO" u="1"/>
        <s v="SCACCABAROZZI" u="1"/>
        <s v="MALTRAINSEMA" u="1"/>
        <s v="APULIAN TEAM" u="1"/>
        <s v="FC RISOTTO" u="1"/>
        <s v="PORCELLONA" u="1"/>
        <s v="GIAMPAOLO" u="1"/>
        <s v="PORCE" u="1"/>
        <s v="RISOTTO" u="1"/>
        <s v="APULIAN" u="1"/>
        <s v="X" u="1"/>
        <s v="RISOT" u="1"/>
        <s v="AOSTI" u="1"/>
        <s v="HORTO" u="1"/>
        <s v="AOSTICAZZI" u="1"/>
        <s v="SGARGIA" u="1"/>
        <s v="ERBERRY" u="1"/>
        <s v="MAXIM" u="1"/>
      </sharedItems>
    </cacheField>
    <cacheField name="Gol " numFmtId="0">
      <sharedItems containsSemiMixedTypes="0" containsString="0" containsNumber="1" containsInteger="1" minValue="0" maxValue="3"/>
    </cacheField>
    <cacheField name="N° FantaTit" numFmtId="0">
      <sharedItems containsString="0" containsBlank="1" containsNumber="1" containsInteger="1" minValue="1" maxValue="1"/>
    </cacheField>
    <cacheField name="Votot FantaTit " numFmtId="0">
      <sharedItems containsMixedTypes="1" containsNumber="1" minValue="4" maxValue="14.5"/>
    </cacheField>
    <cacheField name="fanta voto" numFmtId="0">
      <sharedItems containsSemiMixedTypes="0" containsString="0" containsNumber="1" minValue="0" maxValue="18.5"/>
    </cacheField>
    <cacheField name="Best 11" numFmtId="0">
      <sharedItems containsString="0" containsBlank="1" containsNumber="1" containsInteger="1" minValue="1" maxValue="1" count="2">
        <m/>
        <n v="1"/>
      </sharedItems>
    </cacheField>
    <cacheField name="Voti Best11" numFmtId="0">
      <sharedItems containsMixedTypes="1" containsNumber="1" minValue="2" maxValue="19.5" count="32">
        <s v=""/>
        <n v="4"/>
        <n v="6.5"/>
        <n v="5.5"/>
        <n v="5"/>
        <n v="4.5"/>
        <n v="7"/>
        <n v="6"/>
        <n v="7.5"/>
        <n v="8"/>
        <n v="11"/>
        <n v="9.5"/>
        <n v="9"/>
        <n v="10"/>
        <n v="13.5"/>
        <n v="14"/>
        <n v="12.5"/>
        <n v="14.5"/>
        <n v="13" u="1"/>
        <n v="15" u="1"/>
        <n v="15.5" u="1"/>
        <n v="2" u="1"/>
        <n v="16" u="1"/>
        <n v="3" u="1"/>
        <n v="8.5" u="1"/>
        <n v="3.5" u="1"/>
        <n v="10.5" u="1"/>
        <n v="17.5" u="1"/>
        <n v="18.5" u="1"/>
        <n v="11.5" u="1"/>
        <n v="19.5" u="1"/>
        <n v="12" u="1"/>
      </sharedItems>
    </cacheField>
    <cacheField name="Best 11 MOD" numFmtId="0">
      <sharedItems containsString="0" containsBlank="1" containsNumber="1" containsInteger="1" minValue="1" maxValue="1" count="2">
        <m/>
        <n v="1"/>
      </sharedItems>
    </cacheField>
    <cacheField name="Voti Best11 MOD" numFmtId="0">
      <sharedItems containsMixedTypes="1" containsNumber="1" minValue="2" maxValue="19.5" count="32">
        <s v=""/>
        <n v="4"/>
        <n v="6.5"/>
        <n v="5.5"/>
        <n v="5"/>
        <n v="4.5"/>
        <n v="7"/>
        <n v="6"/>
        <n v="7.5"/>
        <n v="8"/>
        <n v="11"/>
        <n v="9.5"/>
        <n v="9"/>
        <n v="10"/>
        <n v="13.5"/>
        <n v="14"/>
        <n v="12.5"/>
        <n v="14.5"/>
        <n v="13" u="1"/>
        <n v="15" u="1"/>
        <n v="15.5" u="1"/>
        <n v="2" u="1"/>
        <n v="16" u="1"/>
        <n v="3" u="1"/>
        <n v="8.5" u="1"/>
        <n v="3.5" u="1"/>
        <n v="10.5" u="1"/>
        <n v="17.5" u="1"/>
        <n v="18.5" u="1"/>
        <n v="11.5" u="1"/>
        <n v="19.5" u="1"/>
        <n v="12" u="1"/>
      </sharedItems>
    </cacheField>
    <cacheField name="CONC X VOTI IN TAB GIOC" numFmtId="0">
      <sharedItems/>
    </cacheField>
    <cacheField name="CONC X DATI IN BASE FANTASQ" numFmtId="0">
      <sharedItems containsBlank="1"/>
    </cacheField>
    <cacheField name="concat cln sht" numFmtId="0">
      <sharedItems/>
    </cacheField>
  </cacheFields>
  <extLst>
    <ext xmlns:x14="http://schemas.microsoft.com/office/spreadsheetml/2009/9/main" uri="{725AE2AE-9491-48be-B2B4-4EB974FC3084}">
      <x14:pivotCacheDefinition pivotCacheId="173438535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75">
  <r>
    <d v="2026-08-20T00:00:00"/>
    <x v="0"/>
    <x v="0"/>
    <x v="0"/>
    <x v="0"/>
    <n v="6.5"/>
    <n v="0"/>
    <n v="1"/>
    <n v="0"/>
    <n v="0"/>
    <n v="0"/>
    <n v="0"/>
    <n v="0"/>
    <n v="0"/>
    <n v="1"/>
    <m/>
    <n v="0"/>
    <x v="0"/>
    <n v="0"/>
    <m/>
    <s v=""/>
    <n v="6.5"/>
    <x v="0"/>
    <x v="0"/>
    <x v="0"/>
    <x v="0"/>
    <s v="1Carnesecchi"/>
    <m/>
    <s v="P1"/>
  </r>
  <r>
    <d v="2026-08-20T00:00:00"/>
    <x v="0"/>
    <x v="0"/>
    <x v="1"/>
    <x v="1"/>
    <n v="6.5"/>
    <n v="0"/>
    <n v="0"/>
    <n v="0"/>
    <n v="0"/>
    <n v="0"/>
    <n v="0"/>
    <n v="0"/>
    <n v="0"/>
    <n v="0"/>
    <m/>
    <n v="0"/>
    <x v="0"/>
    <n v="0"/>
    <m/>
    <s v=""/>
    <n v="6.5"/>
    <x v="0"/>
    <x v="0"/>
    <x v="0"/>
    <x v="0"/>
    <s v="1Zappacosta"/>
    <m/>
    <s v="D0"/>
  </r>
  <r>
    <d v="2026-08-20T00:00:00"/>
    <x v="0"/>
    <x v="0"/>
    <x v="1"/>
    <x v="2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Kolasinac"/>
    <m/>
    <s v="D0"/>
  </r>
  <r>
    <d v="2026-08-20T00:00:00"/>
    <x v="0"/>
    <x v="0"/>
    <x v="1"/>
    <x v="3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Scalvini"/>
    <m/>
    <s v="D0"/>
  </r>
  <r>
    <d v="2026-08-20T00:00:00"/>
    <x v="0"/>
    <x v="0"/>
    <x v="1"/>
    <x v="4"/>
    <n v="5.5"/>
    <n v="0"/>
    <n v="0"/>
    <n v="0"/>
    <n v="0"/>
    <n v="0"/>
    <n v="0"/>
    <n v="0"/>
    <n v="0"/>
    <n v="0"/>
    <m/>
    <n v="0"/>
    <x v="0"/>
    <n v="0"/>
    <m/>
    <s v=""/>
    <n v="5.5"/>
    <x v="0"/>
    <x v="0"/>
    <x v="0"/>
    <x v="0"/>
    <s v="1Kossounou"/>
    <m/>
    <s v="D0"/>
  </r>
  <r>
    <d v="2026-08-20T00:00:00"/>
    <x v="0"/>
    <x v="0"/>
    <x v="1"/>
    <x v="5"/>
    <n v="5.5"/>
    <n v="0"/>
    <n v="0"/>
    <n v="0"/>
    <n v="0"/>
    <n v="0"/>
    <n v="0"/>
    <n v="0"/>
    <n v="0"/>
    <n v="0"/>
    <m/>
    <n v="0"/>
    <x v="0"/>
    <n v="0"/>
    <m/>
    <s v=""/>
    <n v="5.5"/>
    <x v="0"/>
    <x v="0"/>
    <x v="0"/>
    <x v="0"/>
    <s v="1Bernasconi"/>
    <m/>
    <s v="D0"/>
  </r>
  <r>
    <d v="2026-08-20T00:00:00"/>
    <x v="0"/>
    <x v="0"/>
    <x v="2"/>
    <x v="6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1Pasalic"/>
    <m/>
    <s v="C0"/>
  </r>
  <r>
    <d v="2026-08-20T00:00:00"/>
    <x v="0"/>
    <x v="0"/>
    <x v="2"/>
    <x v="7"/>
    <n v="6.5"/>
    <n v="0"/>
    <n v="0"/>
    <n v="0"/>
    <n v="0"/>
    <n v="0"/>
    <n v="0"/>
    <n v="0"/>
    <n v="0"/>
    <n v="1"/>
    <m/>
    <n v="0"/>
    <x v="3"/>
    <n v="0"/>
    <m/>
    <s v=""/>
    <n v="7.5"/>
    <x v="0"/>
    <x v="0"/>
    <x v="0"/>
    <x v="0"/>
    <s v="1Gaetano"/>
    <m/>
    <s v="C0"/>
  </r>
  <r>
    <d v="2026-08-20T00:00:00"/>
    <x v="0"/>
    <x v="0"/>
    <x v="2"/>
    <x v="8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1Samardzic"/>
    <m/>
    <s v="C0"/>
  </r>
  <r>
    <d v="2026-08-20T00:00:00"/>
    <x v="0"/>
    <x v="0"/>
    <x v="2"/>
    <x v="9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1Zalewski"/>
    <m/>
    <s v="C0"/>
  </r>
  <r>
    <d v="2026-08-20T00:00:00"/>
    <x v="0"/>
    <x v="0"/>
    <x v="2"/>
    <x v="10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1Ederson D.S."/>
    <m/>
    <s v="C0"/>
  </r>
  <r>
    <d v="2026-08-20T00:00:00"/>
    <x v="0"/>
    <x v="0"/>
    <x v="3"/>
    <x v="11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1Scamacca"/>
    <m/>
    <s v="A0"/>
  </r>
  <r>
    <d v="2026-08-20T00:00:00"/>
    <x v="0"/>
    <x v="0"/>
    <x v="3"/>
    <x v="12"/>
    <n v="7"/>
    <n v="1"/>
    <n v="0"/>
    <n v="0"/>
    <n v="0"/>
    <n v="0"/>
    <n v="0"/>
    <n v="0"/>
    <n v="0"/>
    <n v="0"/>
    <n v="1"/>
    <n v="0"/>
    <x v="6"/>
    <n v="1"/>
    <m/>
    <s v=""/>
    <n v="11"/>
    <x v="0"/>
    <x v="0"/>
    <x v="0"/>
    <x v="0"/>
    <s v="1Raspadori"/>
    <m/>
    <s v="A0"/>
  </r>
  <r>
    <d v="2026-08-20T00:00:00"/>
    <x v="0"/>
    <x v="0"/>
    <x v="3"/>
    <x v="13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1De Ketelaere"/>
    <m/>
    <s v="A0"/>
  </r>
  <r>
    <d v="2026-08-20T00:00:00"/>
    <x v="0"/>
    <x v="0"/>
    <x v="3"/>
    <x v="14"/>
    <n v="7"/>
    <n v="1"/>
    <n v="0"/>
    <n v="0"/>
    <n v="0"/>
    <n v="0"/>
    <n v="0"/>
    <n v="0"/>
    <n v="0"/>
    <n v="0"/>
    <m/>
    <n v="0"/>
    <x v="5"/>
    <n v="1"/>
    <m/>
    <s v=""/>
    <n v="10"/>
    <x v="0"/>
    <x v="0"/>
    <x v="0"/>
    <x v="0"/>
    <s v="1Krstovic"/>
    <m/>
    <s v="A0"/>
  </r>
  <r>
    <d v="2026-08-20T00:00:00"/>
    <x v="0"/>
    <x v="1"/>
    <x v="0"/>
    <x v="15"/>
    <n v="6"/>
    <n v="0"/>
    <n v="1"/>
    <n v="0"/>
    <n v="0"/>
    <n v="0"/>
    <n v="0"/>
    <n v="0"/>
    <n v="0"/>
    <n v="0"/>
    <m/>
    <n v="0"/>
    <x v="7"/>
    <n v="0"/>
    <m/>
    <s v=""/>
    <n v="5"/>
    <x v="0"/>
    <x v="0"/>
    <x v="0"/>
    <x v="0"/>
    <s v="1Skorupski"/>
    <m/>
    <s v="P1"/>
  </r>
  <r>
    <d v="2026-08-20T00:00:00"/>
    <x v="0"/>
    <x v="1"/>
    <x v="1"/>
    <x v="16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1Zortea"/>
    <m/>
    <s v="D0"/>
  </r>
  <r>
    <d v="2026-08-20T00:00:00"/>
    <x v="0"/>
    <x v="1"/>
    <x v="1"/>
    <x v="17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1Miranda J."/>
    <m/>
    <s v="D0"/>
  </r>
  <r>
    <d v="2026-08-20T00:00:00"/>
    <x v="0"/>
    <x v="1"/>
    <x v="1"/>
    <x v="18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Holm"/>
    <m/>
    <s v="D0"/>
  </r>
  <r>
    <d v="2026-08-20T00:00:00"/>
    <x v="0"/>
    <x v="1"/>
    <x v="1"/>
    <x v="19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1Heggem"/>
    <m/>
    <s v="D0"/>
  </r>
  <r>
    <d v="2026-08-20T00:00:00"/>
    <x v="0"/>
    <x v="1"/>
    <x v="1"/>
    <x v="2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Helland"/>
    <m/>
    <s v="D0"/>
  </r>
  <r>
    <d v="2026-08-20T00:00:00"/>
    <x v="0"/>
    <x v="1"/>
    <x v="2"/>
    <x v="21"/>
    <n v="6.5"/>
    <n v="0"/>
    <n v="0"/>
    <n v="0"/>
    <n v="0"/>
    <n v="0"/>
    <n v="0"/>
    <n v="0"/>
    <n v="0"/>
    <n v="0"/>
    <m/>
    <n v="0"/>
    <x v="9"/>
    <n v="0"/>
    <m/>
    <s v=""/>
    <n v="6.5"/>
    <x v="0"/>
    <x v="0"/>
    <x v="0"/>
    <x v="0"/>
    <s v="1Bernardeschi"/>
    <m/>
    <s v="C0"/>
  </r>
  <r>
    <d v="2026-08-20T00:00:00"/>
    <x v="0"/>
    <x v="1"/>
    <x v="2"/>
    <x v="22"/>
    <n v="5.5"/>
    <n v="0"/>
    <n v="0"/>
    <n v="0"/>
    <n v="0"/>
    <n v="0"/>
    <n v="0"/>
    <n v="0"/>
    <n v="0"/>
    <n v="0"/>
    <m/>
    <n v="0"/>
    <x v="7"/>
    <n v="0"/>
    <m/>
    <s v=""/>
    <n v="5.5"/>
    <x v="0"/>
    <x v="0"/>
    <x v="0"/>
    <x v="0"/>
    <s v="1Orsolini"/>
    <m/>
    <s v="C0"/>
  </r>
  <r>
    <d v="2026-08-20T00:00:00"/>
    <x v="0"/>
    <x v="1"/>
    <x v="2"/>
    <x v="23"/>
    <n v="5.5"/>
    <n v="0"/>
    <n v="0"/>
    <n v="0"/>
    <n v="0"/>
    <n v="0"/>
    <n v="0"/>
    <n v="1"/>
    <n v="0"/>
    <n v="0"/>
    <m/>
    <n v="0"/>
    <x v="4"/>
    <n v="0"/>
    <m/>
    <s v=""/>
    <n v="5"/>
    <x v="0"/>
    <x v="0"/>
    <x v="0"/>
    <x v="0"/>
    <s v="1Odgaard"/>
    <m/>
    <s v="C0"/>
  </r>
  <r>
    <d v="2026-08-20T00:00:00"/>
    <x v="0"/>
    <x v="1"/>
    <x v="2"/>
    <x v="24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1Cambiaghi"/>
    <m/>
    <s v="C0"/>
  </r>
  <r>
    <d v="2026-08-20T00:00:00"/>
    <x v="0"/>
    <x v="1"/>
    <x v="2"/>
    <x v="2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Ferguson"/>
    <m/>
    <s v="C0"/>
  </r>
  <r>
    <d v="2026-08-20T00:00:00"/>
    <x v="0"/>
    <x v="1"/>
    <x v="2"/>
    <x v="26"/>
    <n v="5"/>
    <n v="0"/>
    <n v="0"/>
    <n v="0"/>
    <n v="0"/>
    <n v="0"/>
    <n v="0"/>
    <n v="1"/>
    <n v="0"/>
    <n v="0"/>
    <m/>
    <n v="0"/>
    <x v="8"/>
    <n v="0"/>
    <m/>
    <s v=""/>
    <n v="4.5"/>
    <x v="0"/>
    <x v="0"/>
    <x v="0"/>
    <x v="0"/>
    <s v="1El Azzouzi O."/>
    <m/>
    <s v="C0"/>
  </r>
  <r>
    <d v="2026-08-20T00:00:00"/>
    <x v="0"/>
    <x v="1"/>
    <x v="2"/>
    <x v="27"/>
    <n v="5.5"/>
    <n v="0"/>
    <n v="0"/>
    <n v="0"/>
    <n v="0"/>
    <n v="0"/>
    <n v="0"/>
    <n v="0"/>
    <n v="0"/>
    <n v="0"/>
    <m/>
    <n v="0"/>
    <x v="3"/>
    <n v="0"/>
    <m/>
    <s v=""/>
    <n v="5.5"/>
    <x v="0"/>
    <x v="0"/>
    <x v="0"/>
    <x v="0"/>
    <s v="1Rowe"/>
    <m/>
    <s v="C0"/>
  </r>
  <r>
    <d v="2026-08-20T00:00:00"/>
    <x v="0"/>
    <x v="1"/>
    <x v="3"/>
    <x v="28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1Piccoli"/>
    <m/>
    <s v="A0"/>
  </r>
  <r>
    <d v="2026-08-20T00:00:00"/>
    <x v="0"/>
    <x v="1"/>
    <x v="3"/>
    <x v="29"/>
    <n v="5"/>
    <n v="0"/>
    <n v="0"/>
    <n v="0"/>
    <n v="0"/>
    <n v="0"/>
    <n v="0"/>
    <n v="0"/>
    <n v="0"/>
    <n v="0"/>
    <m/>
    <n v="0"/>
    <x v="10"/>
    <n v="0"/>
    <m/>
    <s v=""/>
    <n v="5"/>
    <x v="0"/>
    <x v="0"/>
    <x v="0"/>
    <x v="0"/>
    <s v="1Dovbyk"/>
    <m/>
    <s v="A0"/>
  </r>
  <r>
    <d v="2026-08-20T00:00:00"/>
    <x v="0"/>
    <x v="2"/>
    <x v="0"/>
    <x v="30"/>
    <n v="6"/>
    <n v="0"/>
    <n v="0"/>
    <n v="0"/>
    <n v="0"/>
    <n v="0"/>
    <n v="0"/>
    <n v="0"/>
    <n v="0"/>
    <n v="0"/>
    <m/>
    <n v="1"/>
    <x v="9"/>
    <n v="0"/>
    <m/>
    <s v=""/>
    <n v="7"/>
    <x v="0"/>
    <x v="0"/>
    <x v="0"/>
    <x v="0"/>
    <s v="1Caprile"/>
    <m/>
    <s v="P0"/>
  </r>
  <r>
    <d v="2026-08-20T00:00:00"/>
    <x v="0"/>
    <x v="2"/>
    <x v="1"/>
    <x v="3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Zappa"/>
    <m/>
    <s v="D0"/>
  </r>
  <r>
    <d v="2026-08-20T00:00:00"/>
    <x v="0"/>
    <x v="2"/>
    <x v="1"/>
    <x v="3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Obert"/>
    <m/>
    <s v="D0"/>
  </r>
  <r>
    <d v="2026-08-20T00:00:00"/>
    <x v="0"/>
    <x v="2"/>
    <x v="1"/>
    <x v="33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1Rodriguez Ju."/>
    <m/>
    <s v="D0"/>
  </r>
  <r>
    <d v="2026-08-20T00:00:00"/>
    <x v="0"/>
    <x v="2"/>
    <x v="1"/>
    <x v="34"/>
    <n v="5.5"/>
    <n v="0"/>
    <n v="0"/>
    <n v="0"/>
    <n v="0"/>
    <n v="0"/>
    <n v="0"/>
    <n v="1"/>
    <n v="0"/>
    <n v="0"/>
    <m/>
    <n v="0"/>
    <x v="2"/>
    <n v="0"/>
    <m/>
    <s v=""/>
    <n v="5"/>
    <x v="0"/>
    <x v="0"/>
    <x v="0"/>
    <x v="0"/>
    <s v="1Zè Pedro"/>
    <m/>
    <s v="D0"/>
  </r>
  <r>
    <d v="2026-08-20T00:00:00"/>
    <x v="0"/>
    <x v="2"/>
    <x v="2"/>
    <x v="3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Deiola"/>
    <m/>
    <s v="C0"/>
  </r>
  <r>
    <d v="2026-08-20T00:00:00"/>
    <x v="0"/>
    <x v="2"/>
    <x v="2"/>
    <x v="3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Winks"/>
    <m/>
    <s v="C0"/>
  </r>
  <r>
    <d v="2026-08-20T00:00:00"/>
    <x v="0"/>
    <x v="2"/>
    <x v="2"/>
    <x v="37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1Adopo"/>
    <m/>
    <s v="C0"/>
  </r>
  <r>
    <d v="2026-08-20T00:00:00"/>
    <x v="0"/>
    <x v="2"/>
    <x v="2"/>
    <x v="38"/>
    <n v="5.5"/>
    <n v="0"/>
    <n v="0"/>
    <n v="0"/>
    <n v="0"/>
    <n v="0"/>
    <n v="0"/>
    <n v="1"/>
    <n v="0"/>
    <n v="0"/>
    <m/>
    <n v="0"/>
    <x v="6"/>
    <n v="0"/>
    <m/>
    <s v=""/>
    <n v="5"/>
    <x v="0"/>
    <x v="0"/>
    <x v="0"/>
    <x v="0"/>
    <s v="1Fazzini"/>
    <m/>
    <s v="C0"/>
  </r>
  <r>
    <d v="2026-08-20T00:00:00"/>
    <x v="0"/>
    <x v="2"/>
    <x v="2"/>
    <x v="3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Felici"/>
    <m/>
    <s v="C0"/>
  </r>
  <r>
    <d v="2026-08-20T00:00:00"/>
    <x v="0"/>
    <x v="2"/>
    <x v="2"/>
    <x v="40"/>
    <n v="7"/>
    <n v="1"/>
    <n v="0"/>
    <n v="0"/>
    <n v="0"/>
    <n v="0"/>
    <n v="0"/>
    <n v="0"/>
    <n v="0"/>
    <n v="0"/>
    <n v="1"/>
    <n v="0"/>
    <x v="10"/>
    <n v="1"/>
    <m/>
    <s v=""/>
    <n v="11"/>
    <x v="0"/>
    <x v="0"/>
    <x v="0"/>
    <x v="0"/>
    <s v="1Romano"/>
    <m/>
    <s v="C0"/>
  </r>
  <r>
    <d v="2026-08-20T00:00:00"/>
    <x v="0"/>
    <x v="2"/>
    <x v="3"/>
    <x v="41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1Maldini"/>
    <m/>
    <s v="A0"/>
  </r>
  <r>
    <d v="2026-08-20T00:00:00"/>
    <x v="0"/>
    <x v="2"/>
    <x v="3"/>
    <x v="4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Borrelli"/>
    <m/>
    <s v="A0"/>
  </r>
  <r>
    <d v="2026-08-20T00:00:00"/>
    <x v="0"/>
    <x v="2"/>
    <x v="3"/>
    <x v="4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Mendy P."/>
    <m/>
    <s v="A0"/>
  </r>
  <r>
    <d v="2026-08-20T00:00:00"/>
    <x v="0"/>
    <x v="3"/>
    <x v="0"/>
    <x v="44"/>
    <n v="6"/>
    <n v="0"/>
    <n v="1"/>
    <n v="0"/>
    <n v="0"/>
    <n v="0"/>
    <n v="0"/>
    <n v="0"/>
    <n v="0"/>
    <n v="0"/>
    <m/>
    <n v="0"/>
    <x v="1"/>
    <n v="0"/>
    <m/>
    <s v=""/>
    <n v="5"/>
    <x v="0"/>
    <x v="0"/>
    <x v="0"/>
    <x v="0"/>
    <s v="1Butez"/>
    <m/>
    <s v="P1"/>
  </r>
  <r>
    <d v="2026-08-20T00:00:00"/>
    <x v="0"/>
    <x v="3"/>
    <x v="1"/>
    <x v="45"/>
    <n v="6.5"/>
    <n v="0"/>
    <n v="0"/>
    <n v="0"/>
    <n v="0"/>
    <n v="0"/>
    <n v="0"/>
    <n v="0"/>
    <n v="0"/>
    <n v="0"/>
    <m/>
    <n v="0"/>
    <x v="7"/>
    <n v="0"/>
    <m/>
    <s v=""/>
    <n v="6.5"/>
    <x v="0"/>
    <x v="0"/>
    <x v="0"/>
    <x v="0"/>
    <s v="1Chalobah T."/>
    <m/>
    <s v="D0"/>
  </r>
  <r>
    <d v="2026-08-20T00:00:00"/>
    <x v="0"/>
    <x v="3"/>
    <x v="1"/>
    <x v="46"/>
    <n v="5"/>
    <n v="0"/>
    <n v="0"/>
    <n v="0"/>
    <n v="0"/>
    <n v="0"/>
    <n v="0"/>
    <n v="0"/>
    <n v="0"/>
    <n v="0"/>
    <m/>
    <n v="0"/>
    <x v="4"/>
    <n v="0"/>
    <m/>
    <s v=""/>
    <n v="5"/>
    <x v="0"/>
    <x v="0"/>
    <x v="0"/>
    <x v="0"/>
    <s v="1Couto"/>
    <m/>
    <s v="D0"/>
  </r>
  <r>
    <d v="2026-08-20T00:00:00"/>
    <x v="0"/>
    <x v="3"/>
    <x v="1"/>
    <x v="47"/>
    <n v="5.5"/>
    <n v="0"/>
    <n v="0"/>
    <n v="0"/>
    <n v="0"/>
    <n v="0"/>
    <n v="0"/>
    <n v="0"/>
    <n v="0"/>
    <n v="0"/>
    <m/>
    <n v="0"/>
    <x v="9"/>
    <n v="0"/>
    <m/>
    <s v=""/>
    <n v="5.5"/>
    <x v="0"/>
    <x v="0"/>
    <x v="0"/>
    <x v="0"/>
    <s v="1Valle"/>
    <m/>
    <s v="D0"/>
  </r>
  <r>
    <d v="2026-08-20T00:00:00"/>
    <x v="0"/>
    <x v="3"/>
    <x v="1"/>
    <x v="48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1Ramon"/>
    <m/>
    <s v="D0"/>
  </r>
  <r>
    <d v="2026-08-20T00:00:00"/>
    <x v="0"/>
    <x v="3"/>
    <x v="2"/>
    <x v="49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1Da Cunha"/>
    <m/>
    <s v="C0"/>
  </r>
  <r>
    <d v="2026-08-20T00:00:00"/>
    <x v="0"/>
    <x v="3"/>
    <x v="2"/>
    <x v="50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1Perrone"/>
    <m/>
    <s v="C0"/>
  </r>
  <r>
    <d v="2026-08-20T00:00:00"/>
    <x v="0"/>
    <x v="3"/>
    <x v="2"/>
    <x v="5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Liberali"/>
    <m/>
    <s v="C0"/>
  </r>
  <r>
    <d v="2026-08-20T00:00:00"/>
    <x v="0"/>
    <x v="3"/>
    <x v="2"/>
    <x v="52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1Paz N."/>
    <m/>
    <s v="C0"/>
  </r>
  <r>
    <d v="2026-08-20T00:00:00"/>
    <x v="0"/>
    <x v="3"/>
    <x v="2"/>
    <x v="53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1Baturina"/>
    <m/>
    <s v="C0"/>
  </r>
  <r>
    <d v="2026-08-20T00:00:00"/>
    <x v="0"/>
    <x v="3"/>
    <x v="2"/>
    <x v="54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Rodriguez Je."/>
    <m/>
    <s v="C0"/>
  </r>
  <r>
    <d v="2026-08-20T00:00:00"/>
    <x v="0"/>
    <x v="3"/>
    <x v="2"/>
    <x v="55"/>
    <n v="6.5"/>
    <n v="0"/>
    <n v="0"/>
    <n v="0"/>
    <n v="0"/>
    <n v="0"/>
    <n v="0"/>
    <n v="0"/>
    <n v="0"/>
    <n v="0"/>
    <m/>
    <n v="0"/>
    <x v="3"/>
    <n v="0"/>
    <m/>
    <s v=""/>
    <n v="6.5"/>
    <x v="0"/>
    <x v="0"/>
    <x v="0"/>
    <x v="0"/>
    <s v="1Milla"/>
    <m/>
    <s v="C0"/>
  </r>
  <r>
    <d v="2026-08-20T00:00:00"/>
    <x v="0"/>
    <x v="3"/>
    <x v="3"/>
    <x v="56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1Diao"/>
    <m/>
    <s v="A0"/>
  </r>
  <r>
    <d v="2026-08-20T00:00:00"/>
    <x v="0"/>
    <x v="3"/>
    <x v="3"/>
    <x v="57"/>
    <n v="6.5"/>
    <n v="1"/>
    <n v="0"/>
    <n v="0"/>
    <n v="0"/>
    <n v="0"/>
    <n v="0"/>
    <n v="0"/>
    <n v="0"/>
    <n v="0"/>
    <m/>
    <n v="0"/>
    <x v="1"/>
    <n v="1"/>
    <m/>
    <s v=""/>
    <n v="9.5"/>
    <x v="0"/>
    <x v="0"/>
    <x v="0"/>
    <x v="0"/>
    <s v="1Douvikas"/>
    <m/>
    <s v="A0"/>
  </r>
  <r>
    <d v="2026-08-20T00:00:00"/>
    <x v="0"/>
    <x v="4"/>
    <x v="0"/>
    <x v="58"/>
    <n v="5.5"/>
    <n v="0"/>
    <n v="4"/>
    <n v="0"/>
    <n v="0"/>
    <n v="0"/>
    <n v="0"/>
    <n v="0"/>
    <n v="0"/>
    <n v="0"/>
    <m/>
    <n v="0"/>
    <x v="5"/>
    <n v="0"/>
    <m/>
    <s v=""/>
    <n v="1.5"/>
    <x v="0"/>
    <x v="0"/>
    <x v="0"/>
    <x v="0"/>
    <s v="1De Gea"/>
    <m/>
    <s v="P4"/>
  </r>
  <r>
    <d v="2026-08-20T00:00:00"/>
    <x v="0"/>
    <x v="4"/>
    <x v="1"/>
    <x v="59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1Ranieri L."/>
    <m/>
    <s v="D0"/>
  </r>
  <r>
    <d v="2026-08-20T00:00:00"/>
    <x v="0"/>
    <x v="4"/>
    <x v="1"/>
    <x v="60"/>
    <n v="4"/>
    <n v="0"/>
    <n v="0"/>
    <n v="0"/>
    <n v="0"/>
    <n v="0"/>
    <n v="0"/>
    <n v="0"/>
    <n v="0"/>
    <n v="0"/>
    <m/>
    <n v="0"/>
    <x v="8"/>
    <n v="0"/>
    <m/>
    <s v=""/>
    <n v="4"/>
    <x v="0"/>
    <x v="0"/>
    <x v="0"/>
    <x v="0"/>
    <s v="1Dragusin"/>
    <m/>
    <s v="D0"/>
  </r>
  <r>
    <d v="2026-08-20T00:00:00"/>
    <x v="0"/>
    <x v="4"/>
    <x v="1"/>
    <x v="61"/>
    <n v="5"/>
    <n v="0"/>
    <n v="0"/>
    <n v="0"/>
    <n v="0"/>
    <n v="0"/>
    <n v="0"/>
    <n v="0"/>
    <n v="0"/>
    <n v="0"/>
    <m/>
    <n v="0"/>
    <x v="9"/>
    <n v="0"/>
    <m/>
    <s v=""/>
    <n v="5"/>
    <x v="0"/>
    <x v="0"/>
    <x v="0"/>
    <x v="0"/>
    <s v="1Dodò"/>
    <m/>
    <s v="D0"/>
  </r>
  <r>
    <d v="2026-08-20T00:00:00"/>
    <x v="0"/>
    <x v="4"/>
    <x v="1"/>
    <x v="62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1Jimenez A."/>
    <m/>
    <s v="D0"/>
  </r>
  <r>
    <d v="2026-08-20T00:00:00"/>
    <x v="0"/>
    <x v="4"/>
    <x v="1"/>
    <x v="63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1Joao Mario"/>
    <m/>
    <s v="D0"/>
  </r>
  <r>
    <d v="2026-08-20T00:00:00"/>
    <x v="0"/>
    <x v="4"/>
    <x v="2"/>
    <x v="64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1Mandragora"/>
    <m/>
    <s v="C0"/>
  </r>
  <r>
    <d v="2026-08-20T00:00:00"/>
    <x v="0"/>
    <x v="4"/>
    <x v="2"/>
    <x v="65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1Fagioli"/>
    <m/>
    <s v="C0"/>
  </r>
  <r>
    <d v="2026-08-20T00:00:00"/>
    <x v="0"/>
    <x v="4"/>
    <x v="2"/>
    <x v="66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Brescianini"/>
    <m/>
    <s v="C0"/>
  </r>
  <r>
    <d v="2026-08-20T00:00:00"/>
    <x v="0"/>
    <x v="4"/>
    <x v="2"/>
    <x v="67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1Ndour"/>
    <m/>
    <s v="C0"/>
  </r>
  <r>
    <d v="2026-08-20T00:00:00"/>
    <x v="0"/>
    <x v="4"/>
    <x v="2"/>
    <x v="68"/>
    <n v="5"/>
    <n v="0"/>
    <n v="0"/>
    <n v="0"/>
    <n v="0"/>
    <n v="0"/>
    <n v="0"/>
    <n v="0"/>
    <n v="0"/>
    <n v="0"/>
    <m/>
    <n v="0"/>
    <x v="9"/>
    <n v="0"/>
    <m/>
    <s v=""/>
    <n v="5"/>
    <x v="0"/>
    <x v="0"/>
    <x v="0"/>
    <x v="0"/>
    <s v="1Atta"/>
    <m/>
    <s v="C0"/>
  </r>
  <r>
    <d v="2026-08-20T00:00:00"/>
    <x v="0"/>
    <x v="4"/>
    <x v="2"/>
    <x v="69"/>
    <n v="5.5"/>
    <n v="0"/>
    <n v="0"/>
    <n v="0"/>
    <n v="0"/>
    <n v="0"/>
    <n v="0"/>
    <n v="0"/>
    <n v="0"/>
    <n v="0"/>
    <m/>
    <n v="0"/>
    <x v="9"/>
    <n v="0"/>
    <m/>
    <s v=""/>
    <n v="5.5"/>
    <x v="0"/>
    <x v="0"/>
    <x v="0"/>
    <x v="0"/>
    <s v="1Mastantuono"/>
    <m/>
    <s v="C0"/>
  </r>
  <r>
    <d v="2026-08-20T00:00:00"/>
    <x v="0"/>
    <x v="4"/>
    <x v="2"/>
    <x v="7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Oulai"/>
    <m/>
    <s v="C0"/>
  </r>
  <r>
    <d v="2026-08-20T00:00:00"/>
    <x v="0"/>
    <x v="4"/>
    <x v="3"/>
    <x v="71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1Kean"/>
    <m/>
    <s v="A0"/>
  </r>
  <r>
    <d v="2026-08-20T00:00:00"/>
    <x v="0"/>
    <x v="4"/>
    <x v="3"/>
    <x v="72"/>
    <n v="5"/>
    <n v="0"/>
    <n v="0"/>
    <n v="0"/>
    <n v="0"/>
    <n v="0"/>
    <n v="0"/>
    <n v="1"/>
    <n v="0"/>
    <n v="0"/>
    <m/>
    <n v="0"/>
    <x v="7"/>
    <n v="0"/>
    <m/>
    <s v=""/>
    <n v="4.5"/>
    <x v="0"/>
    <x v="0"/>
    <x v="0"/>
    <x v="0"/>
    <s v="1Pellegrino M."/>
    <m/>
    <s v="A0"/>
  </r>
  <r>
    <d v="2026-08-20T00:00:00"/>
    <x v="0"/>
    <x v="5"/>
    <x v="0"/>
    <x v="73"/>
    <n v="6.5"/>
    <n v="0"/>
    <n v="1"/>
    <n v="0"/>
    <n v="0"/>
    <n v="0"/>
    <n v="0"/>
    <n v="0"/>
    <n v="0"/>
    <n v="0"/>
    <m/>
    <n v="0"/>
    <x v="3"/>
    <n v="0"/>
    <m/>
    <s v=""/>
    <n v="5.5"/>
    <x v="0"/>
    <x v="0"/>
    <x v="0"/>
    <x v="0"/>
    <s v="1Palmisani"/>
    <m/>
    <s v="P1"/>
  </r>
  <r>
    <d v="2026-08-20T00:00:00"/>
    <x v="0"/>
    <x v="5"/>
    <x v="1"/>
    <x v="74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Terzic"/>
    <m/>
    <s v="D0"/>
  </r>
  <r>
    <d v="2026-08-20T00:00:00"/>
    <x v="0"/>
    <x v="5"/>
    <x v="1"/>
    <x v="75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1Monterisi"/>
    <m/>
    <s v="D0"/>
  </r>
  <r>
    <d v="2026-08-20T00:00:00"/>
    <x v="0"/>
    <x v="5"/>
    <x v="1"/>
    <x v="76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Cittadini"/>
    <m/>
    <s v="D0"/>
  </r>
  <r>
    <d v="2026-08-20T00:00:00"/>
    <x v="0"/>
    <x v="5"/>
    <x v="1"/>
    <x v="7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Oyono A."/>
    <m/>
    <s v="D0"/>
  </r>
  <r>
    <d v="2026-08-20T00:00:00"/>
    <x v="0"/>
    <x v="5"/>
    <x v="1"/>
    <x v="78"/>
    <n v="6.5"/>
    <n v="0"/>
    <n v="0"/>
    <n v="0"/>
    <n v="0"/>
    <n v="0"/>
    <n v="0"/>
    <n v="1"/>
    <n v="0"/>
    <n v="0"/>
    <m/>
    <n v="0"/>
    <x v="8"/>
    <n v="0"/>
    <m/>
    <s v=""/>
    <n v="6"/>
    <x v="0"/>
    <x v="0"/>
    <x v="0"/>
    <x v="0"/>
    <s v="1Calvani"/>
    <m/>
    <s v="D0"/>
  </r>
  <r>
    <d v="2026-08-20T00:00:00"/>
    <x v="0"/>
    <x v="5"/>
    <x v="1"/>
    <x v="79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1Bracaglia"/>
    <m/>
    <s v="D0"/>
  </r>
  <r>
    <d v="2026-08-20T00:00:00"/>
    <x v="0"/>
    <x v="5"/>
    <x v="2"/>
    <x v="8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Zerbin"/>
    <m/>
    <s v="C0"/>
  </r>
  <r>
    <d v="2026-08-20T00:00:00"/>
    <x v="0"/>
    <x v="5"/>
    <x v="2"/>
    <x v="8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Fini "/>
    <m/>
    <s v="C0"/>
  </r>
  <r>
    <d v="2026-08-20T00:00:00"/>
    <x v="0"/>
    <x v="5"/>
    <x v="2"/>
    <x v="8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Hasa"/>
    <m/>
    <s v="C0"/>
  </r>
  <r>
    <d v="2026-08-20T00:00:00"/>
    <x v="0"/>
    <x v="5"/>
    <x v="2"/>
    <x v="8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Masini"/>
    <m/>
    <s v="C0"/>
  </r>
  <r>
    <d v="2026-08-20T00:00:00"/>
    <x v="0"/>
    <x v="5"/>
    <x v="2"/>
    <x v="84"/>
    <n v="5.5"/>
    <n v="0"/>
    <n v="0"/>
    <n v="0"/>
    <n v="0"/>
    <n v="0"/>
    <n v="0"/>
    <n v="0"/>
    <n v="0"/>
    <n v="0"/>
    <m/>
    <n v="0"/>
    <x v="3"/>
    <n v="0"/>
    <m/>
    <s v=""/>
    <n v="5.5"/>
    <x v="0"/>
    <x v="0"/>
    <x v="0"/>
    <x v="0"/>
    <s v="1Calò"/>
    <m/>
    <s v="C0"/>
  </r>
  <r>
    <d v="2026-08-20T00:00:00"/>
    <x v="0"/>
    <x v="5"/>
    <x v="2"/>
    <x v="8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Cichella"/>
    <m/>
    <s v="C0"/>
  </r>
  <r>
    <d v="2026-08-20T00:00:00"/>
    <x v="0"/>
    <x v="5"/>
    <x v="2"/>
    <x v="86"/>
    <n v="5"/>
    <n v="0"/>
    <n v="0"/>
    <n v="0"/>
    <n v="0"/>
    <n v="0"/>
    <n v="0"/>
    <n v="1"/>
    <n v="0"/>
    <n v="0"/>
    <m/>
    <n v="0"/>
    <x v="8"/>
    <n v="0"/>
    <m/>
    <s v=""/>
    <n v="4.5"/>
    <x v="0"/>
    <x v="0"/>
    <x v="0"/>
    <x v="0"/>
    <s v="1Schmid"/>
    <m/>
    <s v="C0"/>
  </r>
  <r>
    <d v="2026-08-20T00:00:00"/>
    <x v="0"/>
    <x v="5"/>
    <x v="3"/>
    <x v="87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1Raimondo"/>
    <m/>
    <s v="A0"/>
  </r>
  <r>
    <d v="2026-08-20T00:00:00"/>
    <x v="0"/>
    <x v="5"/>
    <x v="3"/>
    <x v="88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1Kvernadze"/>
    <m/>
    <s v="A0"/>
  </r>
  <r>
    <d v="2026-08-20T00:00:00"/>
    <x v="0"/>
    <x v="6"/>
    <x v="0"/>
    <x v="89"/>
    <n v="6"/>
    <n v="0"/>
    <n v="2"/>
    <n v="0"/>
    <n v="0"/>
    <n v="0"/>
    <n v="0"/>
    <n v="0"/>
    <n v="0"/>
    <n v="0"/>
    <m/>
    <n v="0"/>
    <x v="4"/>
    <n v="0"/>
    <m/>
    <s v=""/>
    <n v="4"/>
    <x v="0"/>
    <x v="0"/>
    <x v="0"/>
    <x v="0"/>
    <s v="1Bijlow"/>
    <m/>
    <s v="P2"/>
  </r>
  <r>
    <d v="2026-08-20T00:00:00"/>
    <x v="0"/>
    <x v="6"/>
    <x v="1"/>
    <x v="90"/>
    <n v="5.5"/>
    <n v="0"/>
    <n v="0"/>
    <n v="0"/>
    <n v="0"/>
    <n v="0"/>
    <n v="0"/>
    <n v="0"/>
    <n v="0"/>
    <n v="0"/>
    <m/>
    <n v="0"/>
    <x v="9"/>
    <n v="0"/>
    <m/>
    <s v=""/>
    <n v="5.5"/>
    <x v="0"/>
    <x v="0"/>
    <x v="0"/>
    <x v="0"/>
    <s v="1Vasquez"/>
    <m/>
    <s v="D0"/>
  </r>
  <r>
    <d v="2026-08-20T00:00:00"/>
    <x v="0"/>
    <x v="6"/>
    <x v="1"/>
    <x v="91"/>
    <n v="7"/>
    <n v="0"/>
    <n v="0"/>
    <n v="0"/>
    <n v="0"/>
    <n v="0"/>
    <n v="0"/>
    <n v="1"/>
    <n v="0"/>
    <n v="0"/>
    <m/>
    <n v="0"/>
    <x v="7"/>
    <n v="0"/>
    <m/>
    <s v=""/>
    <n v="6.5"/>
    <x v="0"/>
    <x v="0"/>
    <x v="0"/>
    <x v="0"/>
    <s v="1Ostigard"/>
    <m/>
    <s v="D0"/>
  </r>
  <r>
    <d v="2026-08-20T00:00:00"/>
    <x v="0"/>
    <x v="6"/>
    <x v="1"/>
    <x v="92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1Marcandalli"/>
    <m/>
    <s v="D0"/>
  </r>
  <r>
    <d v="2026-08-20T00:00:00"/>
    <x v="0"/>
    <x v="6"/>
    <x v="1"/>
    <x v="9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Norton-Cuffy"/>
    <m/>
    <s v="D0"/>
  </r>
  <r>
    <d v="2026-08-20T00:00:00"/>
    <x v="0"/>
    <x v="6"/>
    <x v="1"/>
    <x v="94"/>
    <n v="4.5"/>
    <n v="0"/>
    <n v="0"/>
    <n v="0"/>
    <n v="0"/>
    <n v="0"/>
    <n v="0"/>
    <n v="0"/>
    <n v="0"/>
    <n v="0"/>
    <m/>
    <n v="0"/>
    <x v="8"/>
    <n v="0"/>
    <m/>
    <s v=""/>
    <n v="4.5"/>
    <x v="0"/>
    <x v="0"/>
    <x v="0"/>
    <x v="0"/>
    <s v="1Otoa"/>
    <m/>
    <s v="D0"/>
  </r>
  <r>
    <d v="2026-08-20T00:00:00"/>
    <x v="0"/>
    <x v="6"/>
    <x v="2"/>
    <x v="9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Messias"/>
    <m/>
    <s v="C0"/>
  </r>
  <r>
    <d v="2026-08-20T00:00:00"/>
    <x v="0"/>
    <x v="6"/>
    <x v="2"/>
    <x v="96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1Frendrup"/>
    <m/>
    <s v="C0"/>
  </r>
  <r>
    <d v="2026-08-20T00:00:00"/>
    <x v="0"/>
    <x v="6"/>
    <x v="2"/>
    <x v="97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1Baldanzi"/>
    <m/>
    <s v="C0"/>
  </r>
  <r>
    <d v="2026-08-20T00:00:00"/>
    <x v="0"/>
    <x v="6"/>
    <x v="2"/>
    <x v="9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Sow"/>
    <m/>
    <s v="C0"/>
  </r>
  <r>
    <d v="2026-08-20T00:00:00"/>
    <x v="0"/>
    <x v="6"/>
    <x v="2"/>
    <x v="9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Ellertsson"/>
    <m/>
    <s v="C0"/>
  </r>
  <r>
    <d v="2026-08-20T00:00:00"/>
    <x v="0"/>
    <x v="6"/>
    <x v="2"/>
    <x v="100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1Amorim"/>
    <m/>
    <s v="C0"/>
  </r>
  <r>
    <d v="2026-08-20T00:00:00"/>
    <x v="0"/>
    <x v="6"/>
    <x v="2"/>
    <x v="10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Meichtry"/>
    <m/>
    <s v="C0"/>
  </r>
  <r>
    <d v="2026-08-20T00:00:00"/>
    <x v="0"/>
    <x v="6"/>
    <x v="3"/>
    <x v="102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1Colombo"/>
    <m/>
    <s v="A0"/>
  </r>
  <r>
    <d v="2026-08-20T00:00:00"/>
    <x v="0"/>
    <x v="6"/>
    <x v="3"/>
    <x v="10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Vitinha O."/>
    <m/>
    <s v="A0"/>
  </r>
  <r>
    <d v="2026-08-20T00:00:00"/>
    <x v="0"/>
    <x v="7"/>
    <x v="0"/>
    <x v="104"/>
    <n v="6"/>
    <n v="0"/>
    <n v="1"/>
    <n v="0"/>
    <n v="0"/>
    <n v="0"/>
    <n v="0"/>
    <n v="0"/>
    <n v="0"/>
    <n v="0"/>
    <m/>
    <n v="0"/>
    <x v="6"/>
    <n v="0"/>
    <m/>
    <s v=""/>
    <n v="5"/>
    <x v="0"/>
    <x v="0"/>
    <x v="0"/>
    <x v="0"/>
    <s v="1Martinez Jo."/>
    <m/>
    <s v="P1"/>
  </r>
  <r>
    <d v="2026-08-20T00:00:00"/>
    <x v="0"/>
    <x v="7"/>
    <x v="1"/>
    <x v="105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1Dimarco"/>
    <m/>
    <s v="D0"/>
  </r>
  <r>
    <d v="2026-08-20T00:00:00"/>
    <x v="0"/>
    <x v="7"/>
    <x v="1"/>
    <x v="106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1Bastoni"/>
    <m/>
    <s v="D0"/>
  </r>
  <r>
    <d v="2026-08-20T00:00:00"/>
    <x v="0"/>
    <x v="7"/>
    <x v="1"/>
    <x v="107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1Stones"/>
    <m/>
    <s v="D0"/>
  </r>
  <r>
    <d v="2026-08-20T00:00:00"/>
    <x v="0"/>
    <x v="7"/>
    <x v="1"/>
    <x v="108"/>
    <n v="5.5"/>
    <n v="0"/>
    <n v="0"/>
    <n v="0"/>
    <n v="0"/>
    <n v="0"/>
    <n v="0"/>
    <n v="0"/>
    <n v="0"/>
    <n v="0"/>
    <m/>
    <n v="0"/>
    <x v="7"/>
    <n v="0"/>
    <m/>
    <s v=""/>
    <n v="5.5"/>
    <x v="0"/>
    <x v="0"/>
    <x v="0"/>
    <x v="0"/>
    <s v="1Akanji"/>
    <m/>
    <s v="D0"/>
  </r>
  <r>
    <d v="2026-08-20T00:00:00"/>
    <x v="0"/>
    <x v="7"/>
    <x v="1"/>
    <x v="109"/>
    <n v="7"/>
    <n v="1"/>
    <n v="0"/>
    <n v="0"/>
    <n v="0"/>
    <n v="0"/>
    <n v="0"/>
    <n v="0"/>
    <n v="0"/>
    <n v="0"/>
    <m/>
    <n v="0"/>
    <x v="2"/>
    <n v="1"/>
    <m/>
    <s v=""/>
    <n v="10"/>
    <x v="0"/>
    <x v="0"/>
    <x v="0"/>
    <x v="0"/>
    <s v="1Bisseck"/>
    <m/>
    <s v="D0"/>
  </r>
  <r>
    <d v="2026-08-20T00:00:00"/>
    <x v="0"/>
    <x v="7"/>
    <x v="2"/>
    <x v="110"/>
    <n v="7"/>
    <n v="1"/>
    <n v="0"/>
    <n v="0"/>
    <n v="0"/>
    <n v="0"/>
    <n v="0"/>
    <n v="0"/>
    <n v="0"/>
    <n v="0"/>
    <m/>
    <n v="0"/>
    <x v="2"/>
    <n v="1"/>
    <m/>
    <s v=""/>
    <n v="10"/>
    <x v="0"/>
    <x v="0"/>
    <x v="0"/>
    <x v="0"/>
    <s v="1Zielinski"/>
    <m/>
    <s v="C0"/>
  </r>
  <r>
    <d v="2026-08-20T00:00:00"/>
    <x v="0"/>
    <x v="7"/>
    <x v="2"/>
    <x v="111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1Barella"/>
    <m/>
    <s v="C0"/>
  </r>
  <r>
    <d v="2026-08-20T00:00:00"/>
    <x v="0"/>
    <x v="7"/>
    <x v="2"/>
    <x v="112"/>
    <n v="7"/>
    <n v="1"/>
    <n v="0"/>
    <n v="0"/>
    <n v="0"/>
    <n v="0"/>
    <n v="0"/>
    <n v="1"/>
    <n v="0"/>
    <n v="0"/>
    <m/>
    <n v="0"/>
    <x v="3"/>
    <n v="1"/>
    <m/>
    <s v=""/>
    <n v="9.5"/>
    <x v="0"/>
    <x v="0"/>
    <x v="0"/>
    <x v="0"/>
    <s v="1Calhanoglu"/>
    <m/>
    <s v="C0"/>
  </r>
  <r>
    <d v="2026-08-20T00:00:00"/>
    <x v="0"/>
    <x v="7"/>
    <x v="2"/>
    <x v="11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Luis Henrique"/>
    <m/>
    <s v="C0"/>
  </r>
  <r>
    <d v="2026-08-20T00:00:00"/>
    <x v="0"/>
    <x v="7"/>
    <x v="2"/>
    <x v="114"/>
    <n v="7"/>
    <n v="0"/>
    <n v="0"/>
    <n v="0"/>
    <n v="0"/>
    <n v="0"/>
    <n v="0"/>
    <n v="0"/>
    <n v="0"/>
    <n v="2"/>
    <m/>
    <n v="0"/>
    <x v="10"/>
    <n v="0"/>
    <m/>
    <s v=""/>
    <n v="9"/>
    <x v="0"/>
    <x v="0"/>
    <x v="0"/>
    <x v="0"/>
    <s v="1Diouf"/>
    <m/>
    <s v="C0"/>
  </r>
  <r>
    <d v="2026-08-20T00:00:00"/>
    <x v="0"/>
    <x v="7"/>
    <x v="2"/>
    <x v="115"/>
    <n v="6.5"/>
    <n v="0"/>
    <n v="0"/>
    <n v="0"/>
    <n v="0"/>
    <n v="0"/>
    <n v="0"/>
    <n v="0"/>
    <n v="0"/>
    <n v="0"/>
    <m/>
    <n v="0"/>
    <x v="9"/>
    <n v="0"/>
    <m/>
    <s v=""/>
    <n v="6.5"/>
    <x v="0"/>
    <x v="0"/>
    <x v="0"/>
    <x v="0"/>
    <s v="1Sucic P."/>
    <m/>
    <s v="C0"/>
  </r>
  <r>
    <d v="2026-08-20T00:00:00"/>
    <x v="0"/>
    <x v="7"/>
    <x v="3"/>
    <x v="116"/>
    <n v="5.5"/>
    <n v="0"/>
    <n v="0"/>
    <n v="0"/>
    <n v="0"/>
    <n v="0"/>
    <n v="0"/>
    <n v="1"/>
    <n v="0"/>
    <n v="0"/>
    <m/>
    <n v="0"/>
    <x v="3"/>
    <n v="0"/>
    <m/>
    <s v=""/>
    <n v="5"/>
    <x v="0"/>
    <x v="0"/>
    <x v="0"/>
    <x v="0"/>
    <s v="1Martinez L."/>
    <m/>
    <s v="A0"/>
  </r>
  <r>
    <d v="2026-08-20T00:00:00"/>
    <x v="0"/>
    <x v="7"/>
    <x v="3"/>
    <x v="117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1Bonny"/>
    <m/>
    <s v="A0"/>
  </r>
  <r>
    <d v="2026-08-20T00:00:00"/>
    <x v="0"/>
    <x v="7"/>
    <x v="3"/>
    <x v="118"/>
    <n v="7.5"/>
    <n v="1"/>
    <n v="0"/>
    <n v="0"/>
    <n v="0"/>
    <n v="0"/>
    <n v="0"/>
    <n v="0"/>
    <n v="0"/>
    <n v="1"/>
    <n v="1"/>
    <n v="0"/>
    <x v="2"/>
    <n v="1"/>
    <m/>
    <s v=""/>
    <n v="12.5"/>
    <x v="0"/>
    <x v="0"/>
    <x v="0"/>
    <x v="0"/>
    <s v="1Esposito F.P."/>
    <m/>
    <s v="A0"/>
  </r>
  <r>
    <d v="2026-08-20T00:00:00"/>
    <x v="0"/>
    <x v="8"/>
    <x v="0"/>
    <x v="119"/>
    <n v="6"/>
    <n v="0"/>
    <n v="0"/>
    <n v="0"/>
    <n v="0"/>
    <n v="0"/>
    <n v="0"/>
    <n v="0"/>
    <n v="0"/>
    <n v="0"/>
    <m/>
    <n v="1"/>
    <x v="8"/>
    <n v="0"/>
    <m/>
    <s v=""/>
    <n v="7"/>
    <x v="0"/>
    <x v="0"/>
    <x v="0"/>
    <x v="0"/>
    <s v="1Perin"/>
    <m/>
    <s v="P0"/>
  </r>
  <r>
    <d v="2026-08-20T00:00:00"/>
    <x v="0"/>
    <x v="8"/>
    <x v="0"/>
    <x v="120"/>
    <n v="6"/>
    <n v="0"/>
    <n v="0"/>
    <n v="0"/>
    <n v="0"/>
    <n v="0"/>
    <n v="0"/>
    <n v="0"/>
    <n v="0"/>
    <n v="0"/>
    <m/>
    <n v="1"/>
    <x v="3"/>
    <n v="0"/>
    <m/>
    <s v=""/>
    <n v="7"/>
    <x v="0"/>
    <x v="0"/>
    <x v="0"/>
    <x v="0"/>
    <s v="1Vicario"/>
    <m/>
    <s v="P0"/>
  </r>
  <r>
    <d v="2026-08-20T00:00:00"/>
    <x v="0"/>
    <x v="8"/>
    <x v="1"/>
    <x v="121"/>
    <n v="7.5"/>
    <n v="1"/>
    <n v="0"/>
    <n v="0"/>
    <n v="0"/>
    <n v="0"/>
    <n v="0"/>
    <n v="0"/>
    <n v="0"/>
    <n v="0"/>
    <n v="1"/>
    <n v="0"/>
    <x v="1"/>
    <n v="1"/>
    <m/>
    <s v=""/>
    <n v="11.5"/>
    <x v="0"/>
    <x v="0"/>
    <x v="0"/>
    <x v="0"/>
    <s v="1Bremer"/>
    <m/>
    <s v="D0"/>
  </r>
  <r>
    <d v="2026-08-20T00:00:00"/>
    <x v="0"/>
    <x v="8"/>
    <x v="1"/>
    <x v="122"/>
    <n v="6"/>
    <n v="0"/>
    <n v="0"/>
    <n v="0"/>
    <n v="0"/>
    <n v="0"/>
    <n v="0"/>
    <n v="1"/>
    <n v="0"/>
    <n v="0"/>
    <m/>
    <n v="0"/>
    <x v="6"/>
    <n v="0"/>
    <m/>
    <s v=""/>
    <n v="5.5"/>
    <x v="0"/>
    <x v="0"/>
    <x v="0"/>
    <x v="0"/>
    <s v="1Celik"/>
    <m/>
    <s v="D0"/>
  </r>
  <r>
    <d v="2026-08-20T00:00:00"/>
    <x v="0"/>
    <x v="8"/>
    <x v="1"/>
    <x v="123"/>
    <n v="6.5"/>
    <n v="0"/>
    <n v="0"/>
    <n v="0"/>
    <n v="0"/>
    <n v="0"/>
    <n v="0"/>
    <n v="0"/>
    <n v="0"/>
    <n v="0"/>
    <m/>
    <n v="0"/>
    <x v="9"/>
    <n v="0"/>
    <m/>
    <s v=""/>
    <n v="6.5"/>
    <x v="0"/>
    <x v="0"/>
    <x v="0"/>
    <x v="0"/>
    <s v="1Kalulu"/>
    <m/>
    <s v="D0"/>
  </r>
  <r>
    <d v="2026-08-20T00:00:00"/>
    <x v="0"/>
    <x v="8"/>
    <x v="1"/>
    <x v="124"/>
    <n v="6"/>
    <n v="0"/>
    <n v="0"/>
    <n v="0"/>
    <n v="0"/>
    <n v="0"/>
    <n v="0"/>
    <n v="1"/>
    <n v="0"/>
    <n v="0"/>
    <m/>
    <n v="0"/>
    <x v="2"/>
    <n v="0"/>
    <m/>
    <s v=""/>
    <n v="5.5"/>
    <x v="0"/>
    <x v="0"/>
    <x v="0"/>
    <x v="0"/>
    <s v="1Cambiaso"/>
    <m/>
    <s v="D0"/>
  </r>
  <r>
    <d v="2026-08-20T00:00:00"/>
    <x v="0"/>
    <x v="8"/>
    <x v="1"/>
    <x v="12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Kelly L."/>
    <m/>
    <s v="D0"/>
  </r>
  <r>
    <d v="2026-08-20T00:00:00"/>
    <x v="0"/>
    <x v="8"/>
    <x v="2"/>
    <x v="126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1Locatelli"/>
    <m/>
    <s v="C0"/>
  </r>
  <r>
    <d v="2026-08-20T00:00:00"/>
    <x v="0"/>
    <x v="8"/>
    <x v="2"/>
    <x v="127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1Douglas Luiz"/>
    <m/>
    <s v="C0"/>
  </r>
  <r>
    <d v="2026-08-20T00:00:00"/>
    <x v="0"/>
    <x v="8"/>
    <x v="2"/>
    <x v="128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1McKennie"/>
    <m/>
    <s v="C0"/>
  </r>
  <r>
    <d v="2026-08-20T00:00:00"/>
    <x v="0"/>
    <x v="8"/>
    <x v="2"/>
    <x v="12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Zhegrova"/>
    <m/>
    <s v="C0"/>
  </r>
  <r>
    <d v="2026-08-20T00:00:00"/>
    <x v="0"/>
    <x v="8"/>
    <x v="2"/>
    <x v="130"/>
    <n v="6.5"/>
    <n v="0"/>
    <n v="0"/>
    <n v="0"/>
    <n v="0"/>
    <n v="0"/>
    <n v="0"/>
    <n v="0"/>
    <n v="0"/>
    <n v="1"/>
    <m/>
    <n v="0"/>
    <x v="11"/>
    <n v="0"/>
    <m/>
    <s v=""/>
    <n v="7.5"/>
    <x v="0"/>
    <x v="0"/>
    <x v="0"/>
    <x v="0"/>
    <s v="1Conceicao"/>
    <m/>
    <s v="C0"/>
  </r>
  <r>
    <d v="2026-08-20T00:00:00"/>
    <x v="0"/>
    <x v="8"/>
    <x v="3"/>
    <x v="131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1Boga"/>
    <m/>
    <s v="A0"/>
  </r>
  <r>
    <d v="2026-08-20T00:00:00"/>
    <x v="0"/>
    <x v="8"/>
    <x v="3"/>
    <x v="132"/>
    <n v="5"/>
    <n v="0"/>
    <n v="0"/>
    <n v="0"/>
    <n v="0"/>
    <n v="0"/>
    <n v="0"/>
    <n v="0"/>
    <n v="0"/>
    <n v="0"/>
    <m/>
    <n v="0"/>
    <x v="11"/>
    <n v="0"/>
    <m/>
    <s v=""/>
    <n v="5"/>
    <x v="0"/>
    <x v="0"/>
    <x v="0"/>
    <x v="0"/>
    <s v="1Kolo Muani"/>
    <m/>
    <s v="A0"/>
  </r>
  <r>
    <d v="2026-08-20T00:00:00"/>
    <x v="0"/>
    <x v="8"/>
    <x v="3"/>
    <x v="133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1Yildiz"/>
    <m/>
    <s v="A0"/>
  </r>
  <r>
    <d v="2026-08-20T00:00:00"/>
    <x v="0"/>
    <x v="9"/>
    <x v="0"/>
    <x v="134"/>
    <n v="6.5"/>
    <n v="0"/>
    <n v="0"/>
    <n v="0"/>
    <n v="0"/>
    <n v="0"/>
    <n v="0"/>
    <n v="0"/>
    <n v="0"/>
    <n v="0"/>
    <m/>
    <n v="1"/>
    <x v="4"/>
    <n v="0"/>
    <m/>
    <s v=""/>
    <n v="7.5"/>
    <x v="0"/>
    <x v="0"/>
    <x v="0"/>
    <x v="0"/>
    <s v="1Mandas"/>
    <m/>
    <s v="P0"/>
  </r>
  <r>
    <d v="2026-08-20T00:00:00"/>
    <x v="0"/>
    <x v="9"/>
    <x v="1"/>
    <x v="13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Marusic"/>
    <m/>
    <s v="D0"/>
  </r>
  <r>
    <d v="2026-08-20T00:00:00"/>
    <x v="0"/>
    <x v="9"/>
    <x v="1"/>
    <x v="136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1Pedraza"/>
    <m/>
    <s v="D0"/>
  </r>
  <r>
    <d v="2026-08-20T00:00:00"/>
    <x v="0"/>
    <x v="9"/>
    <x v="1"/>
    <x v="137"/>
    <n v="6.5"/>
    <n v="0"/>
    <n v="0"/>
    <n v="0"/>
    <n v="0"/>
    <n v="0"/>
    <n v="0"/>
    <n v="0"/>
    <n v="0"/>
    <n v="0"/>
    <m/>
    <n v="0"/>
    <x v="9"/>
    <n v="0"/>
    <m/>
    <s v=""/>
    <n v="6.5"/>
    <x v="0"/>
    <x v="0"/>
    <x v="0"/>
    <x v="0"/>
    <s v="1Doekhi"/>
    <m/>
    <s v="D0"/>
  </r>
  <r>
    <d v="2026-08-20T00:00:00"/>
    <x v="0"/>
    <x v="9"/>
    <x v="1"/>
    <x v="138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1Provstgaard"/>
    <m/>
    <s v="D0"/>
  </r>
  <r>
    <d v="2026-08-20T00:00:00"/>
    <x v="0"/>
    <x v="9"/>
    <x v="1"/>
    <x v="139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1Floriani Mussolini"/>
    <m/>
    <s v="D0"/>
  </r>
  <r>
    <d v="2026-08-20T00:00:00"/>
    <x v="0"/>
    <x v="9"/>
    <x v="2"/>
    <x v="140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1Zaccagni"/>
    <m/>
    <s v="C0"/>
  </r>
  <r>
    <d v="2026-08-20T00:00:00"/>
    <x v="0"/>
    <x v="9"/>
    <x v="2"/>
    <x v="141"/>
    <n v="7.5"/>
    <n v="1"/>
    <n v="0"/>
    <n v="0"/>
    <n v="0"/>
    <n v="0"/>
    <n v="0"/>
    <n v="0"/>
    <n v="0"/>
    <n v="0"/>
    <n v="1"/>
    <n v="0"/>
    <x v="3"/>
    <n v="1"/>
    <m/>
    <s v=""/>
    <n v="11.5"/>
    <x v="0"/>
    <x v="0"/>
    <x v="0"/>
    <x v="0"/>
    <s v="1Frattesi"/>
    <m/>
    <s v="C0"/>
  </r>
  <r>
    <d v="2026-08-20T00:00:00"/>
    <x v="0"/>
    <x v="9"/>
    <x v="2"/>
    <x v="14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1Rovella"/>
    <m/>
    <s v="C0"/>
  </r>
  <r>
    <d v="2026-08-20T00:00:00"/>
    <x v="0"/>
    <x v="9"/>
    <x v="2"/>
    <x v="143"/>
    <n v="5.5"/>
    <n v="0"/>
    <n v="0"/>
    <n v="0"/>
    <n v="0"/>
    <n v="0"/>
    <n v="0"/>
    <n v="1"/>
    <n v="0"/>
    <n v="0"/>
    <m/>
    <n v="0"/>
    <x v="2"/>
    <n v="0"/>
    <m/>
    <s v=""/>
    <n v="5"/>
    <x v="0"/>
    <x v="0"/>
    <x v="0"/>
    <x v="0"/>
    <s v="1Cancellieri"/>
    <m/>
    <s v="C0"/>
  </r>
  <r>
    <d v="2026-08-20T00:00:00"/>
    <x v="0"/>
    <x v="9"/>
    <x v="2"/>
    <x v="144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1Isaksen"/>
    <m/>
    <s v="C0"/>
  </r>
  <r>
    <d v="2026-08-20T00:00:00"/>
    <x v="0"/>
    <x v="9"/>
    <x v="2"/>
    <x v="14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Dele-Bashiru"/>
    <m/>
    <s v="C0"/>
  </r>
  <r>
    <d v="2026-08-20T00:00:00"/>
    <x v="0"/>
    <x v="9"/>
    <x v="2"/>
    <x v="146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1Taylor K."/>
    <m/>
    <s v="C0"/>
  </r>
  <r>
    <d v="2026-08-20T00:00:00"/>
    <x v="0"/>
    <x v="9"/>
    <x v="3"/>
    <x v="147"/>
    <n v="6.5"/>
    <n v="0"/>
    <n v="0"/>
    <n v="0"/>
    <n v="0"/>
    <n v="0"/>
    <n v="0"/>
    <n v="1"/>
    <n v="0"/>
    <n v="1"/>
    <m/>
    <n v="0"/>
    <x v="8"/>
    <n v="0"/>
    <m/>
    <s v=""/>
    <n v="7"/>
    <x v="0"/>
    <x v="0"/>
    <x v="0"/>
    <x v="0"/>
    <s v="1Dia"/>
    <m/>
    <s v="A0"/>
  </r>
  <r>
    <d v="2026-08-20T00:00:00"/>
    <x v="0"/>
    <x v="10"/>
    <x v="0"/>
    <x v="148"/>
    <n v="7"/>
    <n v="0"/>
    <n v="0"/>
    <n v="0"/>
    <n v="0"/>
    <n v="0"/>
    <n v="0"/>
    <n v="0"/>
    <n v="0"/>
    <n v="0"/>
    <m/>
    <n v="1"/>
    <x v="10"/>
    <n v="0"/>
    <m/>
    <s v=""/>
    <n v="8"/>
    <x v="0"/>
    <x v="0"/>
    <x v="0"/>
    <x v="0"/>
    <s v="1Falcone"/>
    <m/>
    <s v="P0"/>
  </r>
  <r>
    <d v="2026-08-20T00:00:00"/>
    <x v="0"/>
    <x v="10"/>
    <x v="1"/>
    <x v="149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1Gallo"/>
    <m/>
    <s v="D0"/>
  </r>
  <r>
    <d v="2026-08-20T00:00:00"/>
    <x v="0"/>
    <x v="10"/>
    <x v="1"/>
    <x v="150"/>
    <n v="7"/>
    <n v="0"/>
    <n v="0"/>
    <n v="0"/>
    <n v="0"/>
    <n v="0"/>
    <n v="0"/>
    <n v="1"/>
    <n v="0"/>
    <n v="0"/>
    <m/>
    <n v="0"/>
    <x v="4"/>
    <n v="0"/>
    <m/>
    <s v=""/>
    <n v="6.5"/>
    <x v="0"/>
    <x v="0"/>
    <x v="0"/>
    <x v="0"/>
    <s v="1Gaspar K."/>
    <m/>
    <s v="D0"/>
  </r>
  <r>
    <d v="2026-08-20T00:00:00"/>
    <x v="0"/>
    <x v="10"/>
    <x v="1"/>
    <x v="151"/>
    <n v="7"/>
    <n v="1"/>
    <n v="0"/>
    <n v="0"/>
    <n v="0"/>
    <n v="0"/>
    <n v="0"/>
    <n v="0"/>
    <n v="0"/>
    <n v="0"/>
    <n v="1"/>
    <n v="0"/>
    <x v="10"/>
    <n v="1"/>
    <m/>
    <s v=""/>
    <n v="11"/>
    <x v="0"/>
    <x v="0"/>
    <x v="0"/>
    <x v="0"/>
    <s v="1Tiago Gabriel"/>
    <m/>
    <s v="D0"/>
  </r>
  <r>
    <d v="2026-08-20T00:00:00"/>
    <x v="0"/>
    <x v="10"/>
    <x v="1"/>
    <x v="152"/>
    <n v="6.5"/>
    <n v="0"/>
    <n v="0"/>
    <n v="0"/>
    <n v="0"/>
    <n v="0"/>
    <n v="0"/>
    <n v="1"/>
    <n v="0"/>
    <n v="1"/>
    <m/>
    <n v="0"/>
    <x v="3"/>
    <n v="0"/>
    <m/>
    <s v=""/>
    <n v="7"/>
    <x v="0"/>
    <x v="0"/>
    <x v="0"/>
    <x v="0"/>
    <s v="1Veiga D."/>
    <m/>
    <s v="D0"/>
  </r>
  <r>
    <d v="2026-08-20T00:00:00"/>
    <x v="0"/>
    <x v="10"/>
    <x v="1"/>
    <x v="15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Ndaba"/>
    <m/>
    <s v="D0"/>
  </r>
  <r>
    <d v="2026-08-20T00:00:00"/>
    <x v="0"/>
    <x v="10"/>
    <x v="1"/>
    <x v="154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1Siebert"/>
    <m/>
    <s v="D0"/>
  </r>
  <r>
    <d v="2026-08-20T00:00:00"/>
    <x v="0"/>
    <x v="10"/>
    <x v="2"/>
    <x v="155"/>
    <n v="6.5"/>
    <n v="0"/>
    <n v="0"/>
    <n v="0"/>
    <n v="0"/>
    <n v="0"/>
    <n v="0"/>
    <n v="0"/>
    <n v="0"/>
    <n v="0"/>
    <m/>
    <n v="0"/>
    <x v="7"/>
    <n v="0"/>
    <m/>
    <s v=""/>
    <n v="6.5"/>
    <x v="0"/>
    <x v="0"/>
    <x v="0"/>
    <x v="0"/>
    <s v="1Maleh"/>
    <m/>
    <s v="C0"/>
  </r>
  <r>
    <d v="2026-08-20T00:00:00"/>
    <x v="0"/>
    <x v="10"/>
    <x v="2"/>
    <x v="156"/>
    <n v="7"/>
    <n v="0"/>
    <n v="0"/>
    <n v="0"/>
    <n v="0"/>
    <n v="0"/>
    <n v="0"/>
    <n v="0"/>
    <n v="0"/>
    <n v="1"/>
    <m/>
    <n v="0"/>
    <x v="8"/>
    <n v="0"/>
    <m/>
    <s v=""/>
    <n v="8"/>
    <x v="0"/>
    <x v="0"/>
    <x v="0"/>
    <x v="0"/>
    <s v="1Coulibaly L."/>
    <m/>
    <s v="C0"/>
  </r>
  <r>
    <d v="2026-08-20T00:00:00"/>
    <x v="0"/>
    <x v="10"/>
    <x v="2"/>
    <x v="15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Pierotti"/>
    <m/>
    <s v="C0"/>
  </r>
  <r>
    <d v="2026-08-20T00:00:00"/>
    <x v="0"/>
    <x v="10"/>
    <x v="2"/>
    <x v="158"/>
    <n v="7"/>
    <n v="1"/>
    <n v="0"/>
    <n v="0"/>
    <n v="0"/>
    <n v="0"/>
    <n v="0"/>
    <n v="0"/>
    <n v="0"/>
    <n v="0"/>
    <m/>
    <n v="0"/>
    <x v="8"/>
    <n v="1"/>
    <m/>
    <s v=""/>
    <n v="10"/>
    <x v="0"/>
    <x v="0"/>
    <x v="0"/>
    <x v="0"/>
    <s v="1Gorter"/>
    <m/>
    <s v="C0"/>
  </r>
  <r>
    <d v="2026-08-20T00:00:00"/>
    <x v="0"/>
    <x v="10"/>
    <x v="2"/>
    <x v="159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1Ngom"/>
    <m/>
    <s v="C0"/>
  </r>
  <r>
    <d v="2026-08-20T00:00:00"/>
    <x v="0"/>
    <x v="10"/>
    <x v="3"/>
    <x v="160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1Geubbels"/>
    <m/>
    <s v="A0"/>
  </r>
  <r>
    <d v="2026-08-20T00:00:00"/>
    <x v="0"/>
    <x v="10"/>
    <x v="3"/>
    <x v="16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N'Dri"/>
    <m/>
    <s v="A0"/>
  </r>
  <r>
    <d v="2026-08-20T00:00:00"/>
    <x v="0"/>
    <x v="10"/>
    <x v="3"/>
    <x v="162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Stulic"/>
    <m/>
    <s v="A0"/>
  </r>
  <r>
    <d v="2026-08-20T00:00:00"/>
    <x v="0"/>
    <x v="11"/>
    <x v="0"/>
    <x v="163"/>
    <n v="6"/>
    <n v="0"/>
    <n v="1"/>
    <n v="0"/>
    <n v="0"/>
    <n v="0"/>
    <n v="0"/>
    <n v="0"/>
    <n v="0"/>
    <n v="0"/>
    <m/>
    <n v="0"/>
    <x v="1"/>
    <n v="0"/>
    <m/>
    <s v=""/>
    <n v="5"/>
    <x v="0"/>
    <x v="0"/>
    <x v="0"/>
    <x v="0"/>
    <s v="1Maignan"/>
    <m/>
    <s v="P1"/>
  </r>
  <r>
    <d v="2026-08-20T00:00:00"/>
    <x v="0"/>
    <x v="11"/>
    <x v="1"/>
    <x v="164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1Gabbia"/>
    <m/>
    <s v="D0"/>
  </r>
  <r>
    <d v="2026-08-20T00:00:00"/>
    <x v="0"/>
    <x v="11"/>
    <x v="1"/>
    <x v="165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Pavlovic"/>
    <m/>
    <s v="D0"/>
  </r>
  <r>
    <d v="2026-08-20T00:00:00"/>
    <x v="0"/>
    <x v="11"/>
    <x v="1"/>
    <x v="166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1Estupinan"/>
    <m/>
    <s v="D0"/>
  </r>
  <r>
    <d v="2026-08-20T00:00:00"/>
    <x v="0"/>
    <x v="11"/>
    <x v="1"/>
    <x v="167"/>
    <n v="7"/>
    <n v="0"/>
    <n v="0"/>
    <n v="0"/>
    <n v="0"/>
    <n v="0"/>
    <n v="0"/>
    <n v="0"/>
    <n v="0"/>
    <n v="0"/>
    <m/>
    <n v="0"/>
    <x v="1"/>
    <n v="0"/>
    <m/>
    <s v=""/>
    <n v="7"/>
    <x v="0"/>
    <x v="0"/>
    <x v="0"/>
    <x v="0"/>
    <s v="1De Winter"/>
    <m/>
    <s v="D0"/>
  </r>
  <r>
    <d v="2026-08-20T00:00:00"/>
    <x v="0"/>
    <x v="11"/>
    <x v="1"/>
    <x v="168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1Gila"/>
    <m/>
    <s v="D0"/>
  </r>
  <r>
    <d v="2026-08-20T00:00:00"/>
    <x v="0"/>
    <x v="11"/>
    <x v="1"/>
    <x v="169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1Bartesaghi"/>
    <m/>
    <s v="D0"/>
  </r>
  <r>
    <d v="2026-08-20T00:00:00"/>
    <x v="0"/>
    <x v="11"/>
    <x v="2"/>
    <x v="170"/>
    <n v="7.5"/>
    <n v="1"/>
    <n v="0"/>
    <n v="0"/>
    <n v="0"/>
    <n v="0"/>
    <n v="0"/>
    <n v="0"/>
    <n v="0"/>
    <n v="1"/>
    <n v="1"/>
    <n v="0"/>
    <x v="11"/>
    <n v="1"/>
    <m/>
    <s v=""/>
    <n v="12.5"/>
    <x v="0"/>
    <x v="0"/>
    <x v="0"/>
    <x v="0"/>
    <s v="1Rabiot"/>
    <m/>
    <s v="C0"/>
  </r>
  <r>
    <d v="2026-08-20T00:00:00"/>
    <x v="0"/>
    <x v="11"/>
    <x v="2"/>
    <x v="171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Modric"/>
    <m/>
    <s v="C0"/>
  </r>
  <r>
    <d v="2026-08-20T00:00:00"/>
    <x v="0"/>
    <x v="11"/>
    <x v="2"/>
    <x v="172"/>
    <n v="6"/>
    <n v="0"/>
    <n v="0"/>
    <n v="0"/>
    <n v="0"/>
    <n v="0"/>
    <n v="0"/>
    <n v="1"/>
    <n v="0"/>
    <n v="0"/>
    <m/>
    <n v="0"/>
    <x v="7"/>
    <n v="0"/>
    <m/>
    <s v=""/>
    <n v="5.5"/>
    <x v="0"/>
    <x v="0"/>
    <x v="0"/>
    <x v="0"/>
    <s v="1Loftus-Cheek"/>
    <m/>
    <s v="C0"/>
  </r>
  <r>
    <d v="2026-08-20T00:00:00"/>
    <x v="0"/>
    <x v="11"/>
    <x v="2"/>
    <x v="173"/>
    <n v="7"/>
    <n v="0"/>
    <n v="0"/>
    <n v="0"/>
    <n v="0"/>
    <n v="0"/>
    <n v="0"/>
    <n v="0"/>
    <n v="0"/>
    <n v="1"/>
    <m/>
    <n v="0"/>
    <x v="11"/>
    <n v="0"/>
    <m/>
    <s v=""/>
    <n v="8"/>
    <x v="0"/>
    <x v="0"/>
    <x v="0"/>
    <x v="0"/>
    <s v="1Chukwueze"/>
    <m/>
    <s v="C0"/>
  </r>
  <r>
    <d v="2026-08-20T00:00:00"/>
    <x v="0"/>
    <x v="11"/>
    <x v="2"/>
    <x v="174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1Saelemaekers"/>
    <m/>
    <s v="C0"/>
  </r>
  <r>
    <d v="2026-08-20T00:00:00"/>
    <x v="0"/>
    <x v="11"/>
    <x v="2"/>
    <x v="175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1Musah"/>
    <m/>
    <s v="C0"/>
  </r>
  <r>
    <d v="2026-08-20T00:00:00"/>
    <x v="0"/>
    <x v="11"/>
    <x v="2"/>
    <x v="176"/>
    <n v="7"/>
    <n v="1"/>
    <n v="0"/>
    <n v="0"/>
    <n v="0"/>
    <n v="0"/>
    <n v="0"/>
    <n v="0"/>
    <n v="0"/>
    <n v="0"/>
    <m/>
    <n v="0"/>
    <x v="1"/>
    <n v="1"/>
    <m/>
    <s v=""/>
    <n v="10"/>
    <x v="0"/>
    <x v="0"/>
    <x v="0"/>
    <x v="0"/>
    <s v="1Cissè A."/>
    <m/>
    <s v="C0"/>
  </r>
  <r>
    <d v="2026-08-20T00:00:00"/>
    <x v="0"/>
    <x v="11"/>
    <x v="2"/>
    <x v="177"/>
    <n v="6.5"/>
    <n v="0"/>
    <n v="0"/>
    <n v="0"/>
    <n v="0"/>
    <n v="0"/>
    <n v="0"/>
    <n v="0"/>
    <n v="0"/>
    <n v="0"/>
    <m/>
    <n v="0"/>
    <x v="2"/>
    <n v="0"/>
    <m/>
    <s v=""/>
    <n v="6.5"/>
    <x v="0"/>
    <x v="0"/>
    <x v="0"/>
    <x v="0"/>
    <s v="1Jashari"/>
    <m/>
    <s v="C0"/>
  </r>
  <r>
    <d v="2026-08-20T00:00:00"/>
    <x v="0"/>
    <x v="11"/>
    <x v="3"/>
    <x v="178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1Ramos G."/>
    <m/>
    <s v="A0"/>
  </r>
  <r>
    <d v="2026-08-20T00:00:00"/>
    <x v="0"/>
    <x v="12"/>
    <x v="0"/>
    <x v="179"/>
    <n v="5"/>
    <n v="0"/>
    <n v="4"/>
    <n v="0"/>
    <n v="0"/>
    <n v="0"/>
    <n v="0"/>
    <n v="0"/>
    <n v="0"/>
    <n v="0"/>
    <m/>
    <n v="0"/>
    <x v="8"/>
    <n v="0"/>
    <m/>
    <s v=""/>
    <n v="1"/>
    <x v="0"/>
    <x v="0"/>
    <x v="0"/>
    <x v="0"/>
    <s v="1Pizzignacco"/>
    <m/>
    <s v="P4"/>
  </r>
  <r>
    <d v="2026-08-20T00:00:00"/>
    <x v="0"/>
    <x v="12"/>
    <x v="1"/>
    <x v="18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Carboni A."/>
    <m/>
    <s v="D0"/>
  </r>
  <r>
    <d v="2026-08-20T00:00:00"/>
    <x v="0"/>
    <x v="12"/>
    <x v="1"/>
    <x v="18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Birindelli"/>
    <m/>
    <s v="D0"/>
  </r>
  <r>
    <d v="2026-08-20T00:00:00"/>
    <x v="0"/>
    <x v="12"/>
    <x v="1"/>
    <x v="182"/>
    <n v="5"/>
    <n v="0"/>
    <n v="0"/>
    <n v="0"/>
    <n v="0"/>
    <n v="0"/>
    <n v="0"/>
    <n v="1"/>
    <n v="0"/>
    <n v="0"/>
    <m/>
    <n v="0"/>
    <x v="8"/>
    <n v="0"/>
    <m/>
    <s v=""/>
    <n v="4.5"/>
    <x v="0"/>
    <x v="0"/>
    <x v="0"/>
    <x v="0"/>
    <s v="1Lucchesi"/>
    <m/>
    <s v="D0"/>
  </r>
  <r>
    <d v="2026-08-20T00:00:00"/>
    <x v="0"/>
    <x v="12"/>
    <x v="1"/>
    <x v="183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1Kouadio"/>
    <m/>
    <s v="D0"/>
  </r>
  <r>
    <d v="2026-08-20T00:00:00"/>
    <x v="0"/>
    <x v="12"/>
    <x v="1"/>
    <x v="18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Bakoune"/>
    <m/>
    <s v="D0"/>
  </r>
  <r>
    <d v="2026-08-20T00:00:00"/>
    <x v="0"/>
    <x v="12"/>
    <x v="1"/>
    <x v="18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Mangas"/>
    <m/>
    <s v="D0"/>
  </r>
  <r>
    <d v="2026-08-20T00:00:00"/>
    <x v="0"/>
    <x v="12"/>
    <x v="2"/>
    <x v="18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Galazzi"/>
    <m/>
    <s v="C0"/>
  </r>
  <r>
    <d v="2026-08-20T00:00:00"/>
    <x v="0"/>
    <x v="12"/>
    <x v="2"/>
    <x v="187"/>
    <n v="5"/>
    <n v="0"/>
    <n v="0"/>
    <n v="0"/>
    <n v="0"/>
    <n v="0"/>
    <n v="0"/>
    <n v="0"/>
    <n v="0"/>
    <n v="0"/>
    <m/>
    <n v="0"/>
    <x v="4"/>
    <n v="0"/>
    <m/>
    <s v=""/>
    <n v="5"/>
    <x v="0"/>
    <x v="0"/>
    <x v="0"/>
    <x v="0"/>
    <s v="1Colpani"/>
    <m/>
    <s v="C0"/>
  </r>
  <r>
    <d v="2026-08-20T00:00:00"/>
    <x v="0"/>
    <x v="12"/>
    <x v="2"/>
    <x v="18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Forson O."/>
    <m/>
    <s v="C0"/>
  </r>
  <r>
    <d v="2026-08-20T00:00:00"/>
    <x v="0"/>
    <x v="12"/>
    <x v="2"/>
    <x v="18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Foe Ondoa"/>
    <m/>
    <s v="C0"/>
  </r>
  <r>
    <d v="2026-08-20T00:00:00"/>
    <x v="0"/>
    <x v="12"/>
    <x v="2"/>
    <x v="190"/>
    <n v="6"/>
    <n v="0"/>
    <n v="0"/>
    <n v="0"/>
    <n v="0"/>
    <n v="0"/>
    <n v="0"/>
    <n v="0"/>
    <n v="0"/>
    <n v="1"/>
    <m/>
    <n v="0"/>
    <x v="8"/>
    <n v="0"/>
    <m/>
    <s v=""/>
    <n v="7"/>
    <x v="0"/>
    <x v="0"/>
    <x v="0"/>
    <x v="0"/>
    <s v="1Mout"/>
    <m/>
    <s v="C0"/>
  </r>
  <r>
    <d v="2026-08-20T00:00:00"/>
    <x v="0"/>
    <x v="12"/>
    <x v="3"/>
    <x v="191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1Cutrone"/>
    <m/>
    <s v="A0"/>
  </r>
  <r>
    <d v="2026-08-20T00:00:00"/>
    <x v="0"/>
    <x v="12"/>
    <x v="3"/>
    <x v="192"/>
    <n v="7"/>
    <n v="1"/>
    <n v="0"/>
    <n v="0"/>
    <n v="0"/>
    <n v="0"/>
    <n v="0"/>
    <n v="0"/>
    <n v="0"/>
    <n v="0"/>
    <m/>
    <n v="0"/>
    <x v="9"/>
    <n v="1"/>
    <m/>
    <s v=""/>
    <n v="10"/>
    <x v="0"/>
    <x v="0"/>
    <x v="0"/>
    <x v="0"/>
    <s v="1Varela G."/>
    <m/>
    <s v="A0"/>
  </r>
  <r>
    <d v="2026-08-20T00:00:00"/>
    <x v="0"/>
    <x v="13"/>
    <x v="0"/>
    <x v="193"/>
    <n v="6"/>
    <n v="0"/>
    <n v="0"/>
    <n v="0"/>
    <n v="0"/>
    <n v="0"/>
    <n v="0"/>
    <n v="0"/>
    <n v="0"/>
    <n v="0"/>
    <m/>
    <n v="1"/>
    <x v="5"/>
    <n v="0"/>
    <m/>
    <s v=""/>
    <n v="7"/>
    <x v="0"/>
    <x v="0"/>
    <x v="0"/>
    <x v="0"/>
    <s v="1Meret"/>
    <m/>
    <s v="P0"/>
  </r>
  <r>
    <d v="2026-08-20T00:00:00"/>
    <x v="0"/>
    <x v="13"/>
    <x v="1"/>
    <x v="194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1Spinazzola"/>
    <m/>
    <s v="D0"/>
  </r>
  <r>
    <d v="2026-08-20T00:00:00"/>
    <x v="0"/>
    <x v="13"/>
    <x v="1"/>
    <x v="195"/>
    <n v="6.5"/>
    <n v="0"/>
    <n v="0"/>
    <n v="0"/>
    <n v="0"/>
    <n v="0"/>
    <n v="0"/>
    <n v="0"/>
    <n v="0"/>
    <n v="0"/>
    <m/>
    <n v="0"/>
    <x v="4"/>
    <n v="0"/>
    <m/>
    <s v=""/>
    <n v="6.5"/>
    <x v="0"/>
    <x v="0"/>
    <x v="0"/>
    <x v="0"/>
    <s v="1Di Lorenzo"/>
    <m/>
    <s v="D0"/>
  </r>
  <r>
    <d v="2026-08-20T00:00:00"/>
    <x v="0"/>
    <x v="13"/>
    <x v="1"/>
    <x v="196"/>
    <n v="6.5"/>
    <n v="0"/>
    <n v="0"/>
    <n v="0"/>
    <n v="0"/>
    <n v="0"/>
    <n v="0"/>
    <n v="0"/>
    <n v="0"/>
    <n v="0"/>
    <m/>
    <n v="0"/>
    <x v="7"/>
    <n v="0"/>
    <m/>
    <s v=""/>
    <n v="6.5"/>
    <x v="0"/>
    <x v="0"/>
    <x v="0"/>
    <x v="0"/>
    <s v="1Rrahmani"/>
    <m/>
    <s v="D0"/>
  </r>
  <r>
    <d v="2026-08-20T00:00:00"/>
    <x v="0"/>
    <x v="13"/>
    <x v="1"/>
    <x v="19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Marin R."/>
    <m/>
    <s v="D0"/>
  </r>
  <r>
    <d v="2026-08-20T00:00:00"/>
    <x v="0"/>
    <x v="13"/>
    <x v="2"/>
    <x v="198"/>
    <n v="5.5"/>
    <n v="0"/>
    <n v="0"/>
    <n v="0"/>
    <n v="0"/>
    <n v="0"/>
    <n v="0"/>
    <n v="1"/>
    <n v="0"/>
    <n v="0"/>
    <m/>
    <n v="0"/>
    <x v="5"/>
    <n v="0"/>
    <m/>
    <s v=""/>
    <n v="5"/>
    <x v="0"/>
    <x v="0"/>
    <x v="0"/>
    <x v="0"/>
    <s v="1Politano"/>
    <m/>
    <s v="C0"/>
  </r>
  <r>
    <d v="2026-08-20T00:00:00"/>
    <x v="0"/>
    <x v="13"/>
    <x v="2"/>
    <x v="199"/>
    <n v="7.5"/>
    <n v="1"/>
    <n v="0"/>
    <n v="0"/>
    <n v="0"/>
    <n v="0"/>
    <n v="0"/>
    <n v="0"/>
    <n v="0"/>
    <n v="1"/>
    <n v="1"/>
    <n v="0"/>
    <x v="6"/>
    <n v="1"/>
    <m/>
    <s v=""/>
    <n v="12.5"/>
    <x v="0"/>
    <x v="0"/>
    <x v="0"/>
    <x v="0"/>
    <s v="1De Bruyne"/>
    <m/>
    <s v="C0"/>
  </r>
  <r>
    <d v="2026-08-20T00:00:00"/>
    <x v="0"/>
    <x v="13"/>
    <x v="2"/>
    <x v="200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1Zambo Anguissa"/>
    <m/>
    <s v="C0"/>
  </r>
  <r>
    <d v="2026-08-20T00:00:00"/>
    <x v="0"/>
    <x v="13"/>
    <x v="2"/>
    <x v="201"/>
    <n v="6.5"/>
    <n v="0"/>
    <n v="0"/>
    <n v="0"/>
    <n v="0"/>
    <n v="0"/>
    <n v="0"/>
    <n v="0"/>
    <n v="0"/>
    <n v="0"/>
    <m/>
    <n v="0"/>
    <x v="7"/>
    <n v="0"/>
    <m/>
    <s v=""/>
    <n v="6.5"/>
    <x v="0"/>
    <x v="0"/>
    <x v="0"/>
    <x v="0"/>
    <s v="1Lobotka"/>
    <m/>
    <s v="C0"/>
  </r>
  <r>
    <d v="2026-08-20T00:00:00"/>
    <x v="0"/>
    <x v="13"/>
    <x v="2"/>
    <x v="202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1McTominay"/>
    <m/>
    <s v="C0"/>
  </r>
  <r>
    <d v="2026-08-20T00:00:00"/>
    <x v="0"/>
    <x v="13"/>
    <x v="2"/>
    <x v="203"/>
    <n v="7.5"/>
    <n v="1"/>
    <n v="0"/>
    <n v="0"/>
    <n v="0"/>
    <n v="0"/>
    <n v="0"/>
    <n v="0"/>
    <n v="0"/>
    <n v="1"/>
    <m/>
    <n v="0"/>
    <x v="1"/>
    <n v="1"/>
    <m/>
    <s v=""/>
    <n v="11.5"/>
    <x v="0"/>
    <x v="0"/>
    <x v="0"/>
    <x v="0"/>
    <s v="1Vergara"/>
    <m/>
    <s v="C0"/>
  </r>
  <r>
    <d v="2026-08-20T00:00:00"/>
    <x v="0"/>
    <x v="13"/>
    <x v="3"/>
    <x v="204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1Hojlund"/>
    <m/>
    <s v="A0"/>
  </r>
  <r>
    <d v="2026-08-20T00:00:00"/>
    <x v="0"/>
    <x v="13"/>
    <x v="3"/>
    <x v="205"/>
    <n v="6.5"/>
    <n v="0"/>
    <n v="0"/>
    <n v="0"/>
    <n v="0"/>
    <n v="0"/>
    <n v="0"/>
    <n v="0"/>
    <n v="0"/>
    <n v="0"/>
    <m/>
    <n v="0"/>
    <x v="5"/>
    <n v="0"/>
    <m/>
    <s v=""/>
    <n v="6.5"/>
    <x v="0"/>
    <x v="0"/>
    <x v="0"/>
    <x v="0"/>
    <s v="1Lucca"/>
    <m/>
    <s v="A0"/>
  </r>
  <r>
    <d v="2026-08-20T00:00:00"/>
    <x v="0"/>
    <x v="13"/>
    <x v="3"/>
    <x v="206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1Lang"/>
    <m/>
    <s v="A0"/>
  </r>
  <r>
    <d v="2026-08-20T00:00:00"/>
    <x v="0"/>
    <x v="13"/>
    <x v="3"/>
    <x v="207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1Santos A."/>
    <m/>
    <s v="A0"/>
  </r>
  <r>
    <d v="2026-08-20T00:00:00"/>
    <x v="0"/>
    <x v="14"/>
    <x v="0"/>
    <x v="208"/>
    <n v="5.5"/>
    <n v="0"/>
    <n v="1"/>
    <n v="0"/>
    <n v="0"/>
    <n v="0"/>
    <n v="0"/>
    <n v="0"/>
    <n v="0"/>
    <n v="0"/>
    <m/>
    <n v="0"/>
    <x v="10"/>
    <n v="0"/>
    <m/>
    <s v=""/>
    <n v="4.5"/>
    <x v="0"/>
    <x v="0"/>
    <x v="0"/>
    <x v="0"/>
    <s v="1Corvi"/>
    <m/>
    <s v="P1"/>
  </r>
  <r>
    <d v="2026-08-20T00:00:00"/>
    <x v="0"/>
    <x v="14"/>
    <x v="1"/>
    <x v="209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1Valeri"/>
    <m/>
    <s v="D0"/>
  </r>
  <r>
    <d v="2026-08-20T00:00:00"/>
    <x v="0"/>
    <x v="14"/>
    <x v="1"/>
    <x v="210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1Delprato"/>
    <m/>
    <s v="D0"/>
  </r>
  <r>
    <d v="2026-08-20T00:00:00"/>
    <x v="0"/>
    <x v="14"/>
    <x v="1"/>
    <x v="21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Ndiaye"/>
    <m/>
    <s v="D0"/>
  </r>
  <r>
    <d v="2026-08-20T00:00:00"/>
    <x v="0"/>
    <x v="14"/>
    <x v="1"/>
    <x v="212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1Troilo"/>
    <m/>
    <s v="D0"/>
  </r>
  <r>
    <d v="2026-08-20T00:00:00"/>
    <x v="0"/>
    <x v="14"/>
    <x v="2"/>
    <x v="21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Almqvist"/>
    <m/>
    <s v="C0"/>
  </r>
  <r>
    <d v="2026-08-20T00:00:00"/>
    <x v="0"/>
    <x v="14"/>
    <x v="2"/>
    <x v="214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1Bernabè"/>
    <m/>
    <s v="C0"/>
  </r>
  <r>
    <d v="2026-08-20T00:00:00"/>
    <x v="0"/>
    <x v="14"/>
    <x v="2"/>
    <x v="21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Kouda"/>
    <m/>
    <s v="C0"/>
  </r>
  <r>
    <d v="2026-08-20T00:00:00"/>
    <x v="0"/>
    <x v="14"/>
    <x v="2"/>
    <x v="216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1Keita M."/>
    <m/>
    <s v="C0"/>
  </r>
  <r>
    <d v="2026-08-20T00:00:00"/>
    <x v="0"/>
    <x v="14"/>
    <x v="2"/>
    <x v="21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Ordonez C."/>
    <m/>
    <s v="C0"/>
  </r>
  <r>
    <d v="2026-08-20T00:00:00"/>
    <x v="0"/>
    <x v="14"/>
    <x v="2"/>
    <x v="21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Diallo O."/>
    <m/>
    <s v="C0"/>
  </r>
  <r>
    <d v="2026-08-20T00:00:00"/>
    <x v="0"/>
    <x v="14"/>
    <x v="2"/>
    <x v="21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Konate A."/>
    <m/>
    <s v="C0"/>
  </r>
  <r>
    <d v="2026-08-20T00:00:00"/>
    <x v="0"/>
    <x v="14"/>
    <x v="3"/>
    <x v="220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1Tourè E."/>
    <m/>
    <s v="A0"/>
  </r>
  <r>
    <d v="2026-08-20T00:00:00"/>
    <x v="0"/>
    <x v="14"/>
    <x v="3"/>
    <x v="221"/>
    <n v="5.5"/>
    <n v="0"/>
    <n v="0"/>
    <n v="0"/>
    <n v="0"/>
    <n v="0"/>
    <n v="0"/>
    <n v="0"/>
    <n v="0"/>
    <n v="0"/>
    <m/>
    <n v="0"/>
    <x v="3"/>
    <n v="0"/>
    <m/>
    <s v=""/>
    <n v="5.5"/>
    <x v="0"/>
    <x v="0"/>
    <x v="0"/>
    <x v="0"/>
    <s v="1Elphege"/>
    <m/>
    <s v="A0"/>
  </r>
  <r>
    <d v="2026-08-20T00:00:00"/>
    <x v="0"/>
    <x v="14"/>
    <x v="3"/>
    <x v="222"/>
    <n v="6.5"/>
    <n v="0"/>
    <n v="0"/>
    <n v="0"/>
    <n v="0"/>
    <n v="0"/>
    <n v="0"/>
    <n v="0"/>
    <n v="0"/>
    <n v="0"/>
    <m/>
    <n v="0"/>
    <x v="5"/>
    <n v="0"/>
    <m/>
    <s v=""/>
    <n v="6.5"/>
    <x v="0"/>
    <x v="0"/>
    <x v="0"/>
    <x v="0"/>
    <s v="1Lontani"/>
    <m/>
    <s v="A0"/>
  </r>
  <r>
    <d v="2026-08-20T00:00:00"/>
    <x v="0"/>
    <x v="15"/>
    <x v="0"/>
    <x v="223"/>
    <n v="6"/>
    <n v="0"/>
    <n v="0"/>
    <n v="0"/>
    <n v="0"/>
    <n v="0"/>
    <n v="0"/>
    <n v="0"/>
    <n v="0"/>
    <n v="0"/>
    <m/>
    <n v="1"/>
    <x v="11"/>
    <n v="0"/>
    <m/>
    <s v=""/>
    <n v="7"/>
    <x v="0"/>
    <x v="0"/>
    <x v="0"/>
    <x v="0"/>
    <s v="1Svilar"/>
    <m/>
    <s v="P0"/>
  </r>
  <r>
    <d v="2026-08-20T00:00:00"/>
    <x v="0"/>
    <x v="15"/>
    <x v="1"/>
    <x v="224"/>
    <n v="6.5"/>
    <n v="0"/>
    <n v="0"/>
    <n v="0"/>
    <n v="0"/>
    <n v="0"/>
    <n v="0"/>
    <n v="0"/>
    <n v="0"/>
    <n v="0"/>
    <m/>
    <n v="0"/>
    <x v="5"/>
    <n v="0"/>
    <m/>
    <s v=""/>
    <n v="6.5"/>
    <x v="0"/>
    <x v="0"/>
    <x v="0"/>
    <x v="0"/>
    <s v="1Mancini"/>
    <m/>
    <s v="D0"/>
  </r>
  <r>
    <d v="2026-08-20T00:00:00"/>
    <x v="0"/>
    <x v="15"/>
    <x v="1"/>
    <x v="225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1N'Dicka"/>
    <m/>
    <s v="D0"/>
  </r>
  <r>
    <d v="2026-08-20T00:00:00"/>
    <x v="0"/>
    <x v="15"/>
    <x v="1"/>
    <x v="226"/>
    <n v="6.5"/>
    <n v="0"/>
    <n v="0"/>
    <n v="0"/>
    <n v="0"/>
    <n v="0"/>
    <n v="0"/>
    <n v="1"/>
    <n v="0"/>
    <n v="0"/>
    <m/>
    <n v="0"/>
    <x v="10"/>
    <n v="0"/>
    <m/>
    <s v=""/>
    <n v="6"/>
    <x v="0"/>
    <x v="0"/>
    <x v="0"/>
    <x v="0"/>
    <s v="1Hermoso"/>
    <m/>
    <s v="D0"/>
  </r>
  <r>
    <d v="2026-08-20T00:00:00"/>
    <x v="0"/>
    <x v="15"/>
    <x v="1"/>
    <x v="227"/>
    <n v="6.5"/>
    <n v="0"/>
    <n v="0"/>
    <n v="0"/>
    <n v="0"/>
    <n v="0"/>
    <n v="0"/>
    <n v="0"/>
    <n v="0"/>
    <n v="0"/>
    <m/>
    <n v="0"/>
    <x v="5"/>
    <n v="0"/>
    <m/>
    <s v=""/>
    <n v="6.5"/>
    <x v="0"/>
    <x v="0"/>
    <x v="0"/>
    <x v="0"/>
    <s v="1Wesley"/>
    <m/>
    <s v="D0"/>
  </r>
  <r>
    <d v="2026-08-20T00:00:00"/>
    <x v="0"/>
    <x v="15"/>
    <x v="1"/>
    <x v="228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Koulierakis"/>
    <m/>
    <s v="D0"/>
  </r>
  <r>
    <d v="2026-08-20T00:00:00"/>
    <x v="0"/>
    <x v="15"/>
    <x v="1"/>
    <x v="229"/>
    <n v="6.5"/>
    <n v="0"/>
    <n v="0"/>
    <n v="0"/>
    <n v="0"/>
    <n v="0"/>
    <n v="0"/>
    <n v="0"/>
    <n v="0"/>
    <n v="0"/>
    <m/>
    <n v="0"/>
    <x v="10"/>
    <n v="0"/>
    <m/>
    <s v=""/>
    <n v="6.5"/>
    <x v="0"/>
    <x v="0"/>
    <x v="0"/>
    <x v="0"/>
    <s v="1Lulli"/>
    <m/>
    <s v="D0"/>
  </r>
  <r>
    <d v="2026-08-20T00:00:00"/>
    <x v="0"/>
    <x v="15"/>
    <x v="2"/>
    <x v="230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1Cristante"/>
    <m/>
    <s v="C0"/>
  </r>
  <r>
    <d v="2026-08-20T00:00:00"/>
    <x v="0"/>
    <x v="15"/>
    <x v="2"/>
    <x v="231"/>
    <n v="6"/>
    <n v="0"/>
    <n v="0"/>
    <n v="0"/>
    <n v="0"/>
    <n v="0"/>
    <n v="0"/>
    <n v="1"/>
    <n v="0"/>
    <n v="0"/>
    <m/>
    <n v="0"/>
    <x v="9"/>
    <n v="0"/>
    <m/>
    <s v=""/>
    <n v="5.5"/>
    <x v="0"/>
    <x v="0"/>
    <x v="0"/>
    <x v="0"/>
    <s v="1Konè M."/>
    <m/>
    <s v="C0"/>
  </r>
  <r>
    <d v="2026-08-20T00:00:00"/>
    <x v="0"/>
    <x v="15"/>
    <x v="2"/>
    <x v="232"/>
    <n v="6.5"/>
    <n v="1"/>
    <n v="0"/>
    <n v="0"/>
    <n v="0"/>
    <n v="0"/>
    <n v="0"/>
    <n v="0"/>
    <n v="0"/>
    <n v="0"/>
    <m/>
    <n v="0"/>
    <x v="8"/>
    <n v="1"/>
    <m/>
    <s v=""/>
    <n v="9.5"/>
    <x v="0"/>
    <x v="0"/>
    <x v="0"/>
    <x v="0"/>
    <s v="1Pisilli"/>
    <m/>
    <s v="C0"/>
  </r>
  <r>
    <d v="2026-08-20T00:00:00"/>
    <x v="0"/>
    <x v="15"/>
    <x v="2"/>
    <x v="233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1Mora"/>
    <m/>
    <s v="C0"/>
  </r>
  <r>
    <d v="2026-08-20T00:00:00"/>
    <x v="0"/>
    <x v="15"/>
    <x v="3"/>
    <x v="234"/>
    <n v="8"/>
    <n v="0"/>
    <n v="0"/>
    <n v="0"/>
    <n v="0"/>
    <n v="0"/>
    <n v="0"/>
    <n v="0"/>
    <n v="0"/>
    <n v="3"/>
    <m/>
    <n v="0"/>
    <x v="6"/>
    <n v="0"/>
    <m/>
    <s v=""/>
    <n v="11"/>
    <x v="0"/>
    <x v="0"/>
    <x v="0"/>
    <x v="0"/>
    <s v="1Dybala"/>
    <m/>
    <s v="A0"/>
  </r>
  <r>
    <d v="2026-08-20T00:00:00"/>
    <x v="0"/>
    <x v="15"/>
    <x v="3"/>
    <x v="235"/>
    <n v="8.5"/>
    <n v="3"/>
    <n v="0"/>
    <n v="0"/>
    <n v="0"/>
    <n v="0"/>
    <n v="0"/>
    <n v="0"/>
    <n v="0"/>
    <n v="0"/>
    <n v="1"/>
    <n v="0"/>
    <x v="9"/>
    <n v="3"/>
    <m/>
    <s v=""/>
    <n v="18.5"/>
    <x v="0"/>
    <x v="0"/>
    <x v="0"/>
    <x v="0"/>
    <s v="1Malen"/>
    <m/>
    <s v="A0"/>
  </r>
  <r>
    <d v="2026-08-20T00:00:00"/>
    <x v="0"/>
    <x v="15"/>
    <x v="3"/>
    <x v="236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1Soulè"/>
    <m/>
    <s v="A0"/>
  </r>
  <r>
    <d v="2026-08-20T00:00:00"/>
    <x v="0"/>
    <x v="15"/>
    <x v="3"/>
    <x v="237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Castro S."/>
    <m/>
    <s v="A0"/>
  </r>
  <r>
    <d v="2026-08-20T00:00:00"/>
    <x v="0"/>
    <x v="16"/>
    <x v="0"/>
    <x v="238"/>
    <n v="6"/>
    <n v="0"/>
    <n v="2"/>
    <n v="0"/>
    <n v="0"/>
    <n v="0"/>
    <n v="0"/>
    <n v="0"/>
    <n v="0"/>
    <n v="0"/>
    <m/>
    <n v="0"/>
    <x v="9"/>
    <n v="0"/>
    <m/>
    <s v=""/>
    <n v="4"/>
    <x v="0"/>
    <x v="0"/>
    <x v="0"/>
    <x v="0"/>
    <s v="1Muric"/>
    <m/>
    <s v="P2"/>
  </r>
  <r>
    <d v="2026-08-20T00:00:00"/>
    <x v="0"/>
    <x v="16"/>
    <x v="1"/>
    <x v="23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Doig"/>
    <m/>
    <s v="D0"/>
  </r>
  <r>
    <d v="2026-08-20T00:00:00"/>
    <x v="0"/>
    <x v="16"/>
    <x v="1"/>
    <x v="240"/>
    <n v="7"/>
    <n v="1"/>
    <n v="0"/>
    <n v="0"/>
    <n v="0"/>
    <n v="0"/>
    <n v="0"/>
    <n v="0"/>
    <n v="0"/>
    <n v="0"/>
    <m/>
    <n v="0"/>
    <x v="3"/>
    <n v="1"/>
    <m/>
    <s v=""/>
    <n v="10"/>
    <x v="0"/>
    <x v="0"/>
    <x v="0"/>
    <x v="0"/>
    <s v="1Odenthal"/>
    <m/>
    <s v="D0"/>
  </r>
  <r>
    <d v="2026-08-20T00:00:00"/>
    <x v="0"/>
    <x v="16"/>
    <x v="1"/>
    <x v="241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1Macchioni"/>
    <m/>
    <s v="D0"/>
  </r>
  <r>
    <d v="2026-08-20T00:00:00"/>
    <x v="0"/>
    <x v="16"/>
    <x v="1"/>
    <x v="242"/>
    <n v="5.5"/>
    <n v="0"/>
    <n v="0"/>
    <n v="0"/>
    <n v="0"/>
    <n v="0"/>
    <n v="0"/>
    <n v="0"/>
    <n v="0"/>
    <n v="0"/>
    <m/>
    <n v="0"/>
    <x v="11"/>
    <n v="0"/>
    <m/>
    <s v=""/>
    <n v="5.5"/>
    <x v="0"/>
    <x v="0"/>
    <x v="0"/>
    <x v="0"/>
    <s v="1Leysen F."/>
    <m/>
    <s v="D0"/>
  </r>
  <r>
    <d v="2026-08-20T00:00:00"/>
    <x v="0"/>
    <x v="16"/>
    <x v="1"/>
    <x v="24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Cinquegrano"/>
    <m/>
    <s v="D0"/>
  </r>
  <r>
    <d v="2026-08-20T00:00:00"/>
    <x v="0"/>
    <x v="16"/>
    <x v="2"/>
    <x v="244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1Matic"/>
    <m/>
    <s v="C0"/>
  </r>
  <r>
    <d v="2026-08-20T00:00:00"/>
    <x v="0"/>
    <x v="16"/>
    <x v="2"/>
    <x v="245"/>
    <n v="6.5"/>
    <n v="0"/>
    <n v="0"/>
    <n v="0"/>
    <n v="0"/>
    <n v="0"/>
    <n v="0"/>
    <n v="0"/>
    <n v="0"/>
    <n v="0"/>
    <m/>
    <n v="0"/>
    <x v="3"/>
    <n v="0"/>
    <m/>
    <s v=""/>
    <n v="6.5"/>
    <x v="0"/>
    <x v="0"/>
    <x v="0"/>
    <x v="0"/>
    <s v="1Volpato"/>
    <m/>
    <s v="C0"/>
  </r>
  <r>
    <d v="2026-08-20T00:00:00"/>
    <x v="0"/>
    <x v="16"/>
    <x v="2"/>
    <x v="246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1Thorstvedt"/>
    <m/>
    <s v="C0"/>
  </r>
  <r>
    <d v="2026-08-20T00:00:00"/>
    <x v="0"/>
    <x v="16"/>
    <x v="2"/>
    <x v="24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Adzic"/>
    <m/>
    <s v="C0"/>
  </r>
  <r>
    <d v="2026-08-20T00:00:00"/>
    <x v="0"/>
    <x v="16"/>
    <x v="2"/>
    <x v="24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Dominguez B."/>
    <m/>
    <s v="C0"/>
  </r>
  <r>
    <d v="2026-08-20T00:00:00"/>
    <x v="0"/>
    <x v="16"/>
    <x v="2"/>
    <x v="24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Bakola"/>
    <m/>
    <s v="C0"/>
  </r>
  <r>
    <d v="2026-08-20T00:00:00"/>
    <x v="0"/>
    <x v="16"/>
    <x v="3"/>
    <x v="250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Laurientè"/>
    <m/>
    <s v="A0"/>
  </r>
  <r>
    <d v="2026-08-20T00:00:00"/>
    <x v="0"/>
    <x v="16"/>
    <x v="3"/>
    <x v="251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1Bowie"/>
    <m/>
    <s v="A0"/>
  </r>
  <r>
    <d v="2026-08-20T00:00:00"/>
    <x v="0"/>
    <x v="17"/>
    <x v="0"/>
    <x v="252"/>
    <n v="6"/>
    <n v="0"/>
    <n v="2"/>
    <n v="0"/>
    <n v="0"/>
    <n v="0"/>
    <n v="0"/>
    <n v="0"/>
    <n v="0"/>
    <n v="0"/>
    <m/>
    <n v="0"/>
    <x v="8"/>
    <n v="0"/>
    <m/>
    <s v=""/>
    <n v="4"/>
    <x v="0"/>
    <x v="0"/>
    <x v="0"/>
    <x v="0"/>
    <s v="1Mascardi"/>
    <m/>
    <s v="P2"/>
  </r>
  <r>
    <d v="2026-08-20T00:00:00"/>
    <x v="0"/>
    <x v="17"/>
    <x v="1"/>
    <x v="25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Ismajli"/>
    <m/>
    <s v="D0"/>
  </r>
  <r>
    <d v="2026-08-20T00:00:00"/>
    <x v="0"/>
    <x v="17"/>
    <x v="1"/>
    <x v="25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Pedersen"/>
    <m/>
    <s v="D0"/>
  </r>
  <r>
    <d v="2026-08-20T00:00:00"/>
    <x v="0"/>
    <x v="17"/>
    <x v="1"/>
    <x v="255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Comuzzo"/>
    <m/>
    <s v="D0"/>
  </r>
  <r>
    <d v="2026-08-20T00:00:00"/>
    <x v="0"/>
    <x v="17"/>
    <x v="1"/>
    <x v="256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Coco"/>
    <m/>
    <s v="D0"/>
  </r>
  <r>
    <d v="2026-08-20T00:00:00"/>
    <x v="0"/>
    <x v="17"/>
    <x v="1"/>
    <x v="257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1Fortini"/>
    <m/>
    <s v="D0"/>
  </r>
  <r>
    <d v="2026-08-20T00:00:00"/>
    <x v="0"/>
    <x v="17"/>
    <x v="2"/>
    <x v="258"/>
    <n v="5"/>
    <n v="0"/>
    <n v="0"/>
    <n v="0"/>
    <n v="0"/>
    <n v="0"/>
    <n v="0"/>
    <n v="0"/>
    <n v="0"/>
    <n v="0"/>
    <m/>
    <n v="0"/>
    <x v="6"/>
    <n v="0"/>
    <m/>
    <s v=""/>
    <n v="5"/>
    <x v="0"/>
    <x v="0"/>
    <x v="0"/>
    <x v="0"/>
    <s v="1Vlasic"/>
    <m/>
    <s v="C0"/>
  </r>
  <r>
    <d v="2026-08-20T00:00:00"/>
    <x v="0"/>
    <x v="17"/>
    <x v="2"/>
    <x v="259"/>
    <n v="5"/>
    <n v="0"/>
    <n v="0"/>
    <n v="0"/>
    <n v="0"/>
    <n v="0"/>
    <n v="0"/>
    <n v="0"/>
    <n v="0"/>
    <n v="0"/>
    <m/>
    <n v="0"/>
    <x v="10"/>
    <n v="0"/>
    <m/>
    <s v=""/>
    <n v="5"/>
    <x v="0"/>
    <x v="0"/>
    <x v="0"/>
    <x v="0"/>
    <s v="1Casadei"/>
    <m/>
    <s v="C0"/>
  </r>
  <r>
    <d v="2026-08-20T00:00:00"/>
    <x v="0"/>
    <x v="17"/>
    <x v="2"/>
    <x v="260"/>
    <n v="5.5"/>
    <n v="0"/>
    <n v="0"/>
    <n v="0"/>
    <n v="0"/>
    <n v="0"/>
    <n v="0"/>
    <n v="0"/>
    <n v="0"/>
    <n v="1"/>
    <m/>
    <n v="0"/>
    <x v="8"/>
    <n v="0"/>
    <m/>
    <s v=""/>
    <n v="6.5"/>
    <x v="0"/>
    <x v="0"/>
    <x v="0"/>
    <x v="0"/>
    <s v="1Gineitis"/>
    <m/>
    <s v="C0"/>
  </r>
  <r>
    <d v="2026-08-20T00:00:00"/>
    <x v="0"/>
    <x v="17"/>
    <x v="2"/>
    <x v="261"/>
    <n v="6.5"/>
    <n v="0"/>
    <n v="0"/>
    <n v="0"/>
    <n v="0"/>
    <n v="0"/>
    <n v="0"/>
    <n v="0"/>
    <n v="0"/>
    <n v="0"/>
    <m/>
    <n v="0"/>
    <x v="5"/>
    <n v="0"/>
    <m/>
    <s v=""/>
    <n v="6.5"/>
    <x v="0"/>
    <x v="0"/>
    <x v="0"/>
    <x v="0"/>
    <s v="1Njie"/>
    <m/>
    <s v="C0"/>
  </r>
  <r>
    <d v="2026-08-20T00:00:00"/>
    <x v="0"/>
    <x v="17"/>
    <x v="2"/>
    <x v="262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1Cacciamani"/>
    <m/>
    <s v="C0"/>
  </r>
  <r>
    <d v="2026-08-20T00:00:00"/>
    <x v="0"/>
    <x v="17"/>
    <x v="2"/>
    <x v="26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Aboukhlal"/>
    <m/>
    <s v="C0"/>
  </r>
  <r>
    <d v="2026-08-20T00:00:00"/>
    <x v="0"/>
    <x v="17"/>
    <x v="2"/>
    <x v="26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Fitz-Jim"/>
    <m/>
    <s v="C0"/>
  </r>
  <r>
    <d v="2026-08-20T00:00:00"/>
    <x v="0"/>
    <x v="17"/>
    <x v="3"/>
    <x v="265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1Simeone"/>
    <m/>
    <s v="A0"/>
  </r>
  <r>
    <d v="2026-08-20T00:00:00"/>
    <x v="0"/>
    <x v="17"/>
    <x v="3"/>
    <x v="266"/>
    <n v="7"/>
    <n v="1"/>
    <n v="0"/>
    <n v="0"/>
    <n v="0"/>
    <n v="0"/>
    <n v="0"/>
    <n v="0"/>
    <n v="0"/>
    <n v="0"/>
    <m/>
    <n v="0"/>
    <x v="6"/>
    <n v="1"/>
    <m/>
    <s v=""/>
    <n v="10"/>
    <x v="0"/>
    <x v="0"/>
    <x v="0"/>
    <x v="0"/>
    <s v="1Adams C."/>
    <m/>
    <s v="A0"/>
  </r>
  <r>
    <d v="2026-08-20T00:00:00"/>
    <x v="0"/>
    <x v="18"/>
    <x v="0"/>
    <x v="267"/>
    <n v="6.5"/>
    <n v="0"/>
    <n v="1"/>
    <n v="0"/>
    <n v="0"/>
    <n v="0"/>
    <n v="0"/>
    <n v="0"/>
    <n v="0"/>
    <n v="0"/>
    <m/>
    <n v="0"/>
    <x v="2"/>
    <n v="0"/>
    <m/>
    <s v=""/>
    <n v="5.5"/>
    <x v="0"/>
    <x v="0"/>
    <x v="0"/>
    <x v="0"/>
    <s v="1Okoye"/>
    <m/>
    <s v="P1"/>
  </r>
  <r>
    <d v="2026-08-20T00:00:00"/>
    <x v="0"/>
    <x v="18"/>
    <x v="1"/>
    <x v="268"/>
    <n v="6.5"/>
    <n v="0"/>
    <n v="0"/>
    <n v="0"/>
    <n v="0"/>
    <n v="0"/>
    <n v="0"/>
    <n v="0"/>
    <n v="0"/>
    <n v="0"/>
    <m/>
    <n v="0"/>
    <x v="10"/>
    <n v="0"/>
    <m/>
    <s v=""/>
    <n v="6.5"/>
    <x v="0"/>
    <x v="0"/>
    <x v="0"/>
    <x v="0"/>
    <s v="1Vojvoda"/>
    <m/>
    <s v="D0"/>
  </r>
  <r>
    <d v="2026-08-20T00:00:00"/>
    <x v="0"/>
    <x v="18"/>
    <x v="1"/>
    <x v="269"/>
    <n v="7"/>
    <n v="1"/>
    <n v="0"/>
    <n v="0"/>
    <n v="0"/>
    <n v="0"/>
    <n v="0"/>
    <n v="0"/>
    <n v="0"/>
    <n v="0"/>
    <m/>
    <n v="0"/>
    <x v="3"/>
    <n v="1"/>
    <m/>
    <s v=""/>
    <n v="10"/>
    <x v="0"/>
    <x v="0"/>
    <x v="0"/>
    <x v="0"/>
    <s v="1Kamara H."/>
    <m/>
    <s v="D0"/>
  </r>
  <r>
    <d v="2026-08-20T00:00:00"/>
    <x v="0"/>
    <x v="18"/>
    <x v="1"/>
    <x v="27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Ebosse"/>
    <m/>
    <s v="D0"/>
  </r>
  <r>
    <d v="2026-08-20T00:00:00"/>
    <x v="0"/>
    <x v="18"/>
    <x v="1"/>
    <x v="271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1Abankwah"/>
    <m/>
    <s v="D0"/>
  </r>
  <r>
    <d v="2026-08-20T00:00:00"/>
    <x v="0"/>
    <x v="18"/>
    <x v="1"/>
    <x v="27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1Palma"/>
    <m/>
    <s v="D0"/>
  </r>
  <r>
    <d v="2026-08-20T00:00:00"/>
    <x v="0"/>
    <x v="18"/>
    <x v="1"/>
    <x v="273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1Solet"/>
    <m/>
    <s v="D0"/>
  </r>
  <r>
    <d v="2026-08-20T00:00:00"/>
    <x v="0"/>
    <x v="18"/>
    <x v="2"/>
    <x v="274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1Zaniolo"/>
    <m/>
    <s v="C0"/>
  </r>
  <r>
    <d v="2026-08-20T00:00:00"/>
    <x v="0"/>
    <x v="18"/>
    <x v="2"/>
    <x v="275"/>
    <n v="6.5"/>
    <n v="0"/>
    <n v="0"/>
    <n v="0"/>
    <n v="0"/>
    <n v="0"/>
    <n v="0"/>
    <n v="0"/>
    <n v="0"/>
    <n v="0"/>
    <m/>
    <n v="0"/>
    <x v="7"/>
    <n v="0"/>
    <m/>
    <s v=""/>
    <n v="6.5"/>
    <x v="0"/>
    <x v="0"/>
    <x v="0"/>
    <x v="0"/>
    <s v="1Karlstrom"/>
    <s v="1SHARK"/>
    <s v="C0"/>
  </r>
  <r>
    <d v="2026-08-20T00:00:00"/>
    <x v="0"/>
    <x v="18"/>
    <x v="2"/>
    <x v="276"/>
    <n v="6.5"/>
    <n v="0"/>
    <n v="0"/>
    <n v="0"/>
    <n v="0"/>
    <n v="0"/>
    <n v="0"/>
    <n v="0"/>
    <n v="0"/>
    <n v="1"/>
    <m/>
    <n v="0"/>
    <x v="10"/>
    <n v="0"/>
    <m/>
    <s v=""/>
    <n v="7.5"/>
    <x v="0"/>
    <x v="0"/>
    <x v="0"/>
    <x v="0"/>
    <s v="1Ekkelenkamp"/>
    <s v="1PARTIZAN DEGRADO"/>
    <s v="C0"/>
  </r>
  <r>
    <d v="2026-08-20T00:00:00"/>
    <x v="0"/>
    <x v="18"/>
    <x v="2"/>
    <x v="277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1Unai Gomez"/>
    <s v="1"/>
    <s v="C0"/>
  </r>
  <r>
    <d v="2026-08-20T00:00:00"/>
    <x v="0"/>
    <x v="18"/>
    <x v="2"/>
    <x v="278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1Piotrowski"/>
    <s v="1"/>
    <s v="C0"/>
  </r>
  <r>
    <d v="2026-08-20T00:00:00"/>
    <x v="0"/>
    <x v="18"/>
    <x v="2"/>
    <x v="27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Miller L."/>
    <s v="1"/>
    <s v="C0"/>
  </r>
  <r>
    <d v="2026-08-20T00:00:00"/>
    <x v="0"/>
    <x v="18"/>
    <x v="3"/>
    <x v="280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1Bayo V."/>
    <s v="1"/>
    <s v="A0"/>
  </r>
  <r>
    <d v="2026-08-20T00:00:00"/>
    <x v="0"/>
    <x v="18"/>
    <x v="3"/>
    <x v="281"/>
    <n v="5.5"/>
    <n v="0"/>
    <n v="0"/>
    <n v="0"/>
    <n v="0"/>
    <n v="0"/>
    <n v="0"/>
    <n v="0"/>
    <n v="0"/>
    <n v="0"/>
    <m/>
    <n v="0"/>
    <x v="9"/>
    <n v="0"/>
    <m/>
    <s v=""/>
    <n v="5.5"/>
    <x v="0"/>
    <x v="0"/>
    <x v="0"/>
    <x v="0"/>
    <s v="1Gueye"/>
    <s v="1AC ASPARAGHESE"/>
    <s v="A0"/>
  </r>
  <r>
    <d v="2026-08-20T00:00:00"/>
    <x v="0"/>
    <x v="19"/>
    <x v="0"/>
    <x v="282"/>
    <n v="5.5"/>
    <n v="0"/>
    <n v="2"/>
    <n v="0"/>
    <n v="0"/>
    <n v="0"/>
    <n v="0"/>
    <n v="0"/>
    <n v="0"/>
    <n v="0"/>
    <m/>
    <n v="0"/>
    <x v="7"/>
    <n v="0"/>
    <m/>
    <s v=""/>
    <n v="3.5"/>
    <x v="0"/>
    <x v="0"/>
    <x v="0"/>
    <x v="0"/>
    <s v="1Stankovic F."/>
    <s v="1SHARK"/>
    <s v="P2"/>
  </r>
  <r>
    <d v="2026-08-20T00:00:00"/>
    <x v="0"/>
    <x v="19"/>
    <x v="1"/>
    <x v="283"/>
    <n v="6.5"/>
    <n v="0"/>
    <n v="0"/>
    <n v="0"/>
    <n v="0"/>
    <n v="0"/>
    <n v="0"/>
    <n v="0"/>
    <n v="0"/>
    <n v="0"/>
    <m/>
    <n v="0"/>
    <x v="7"/>
    <n v="0"/>
    <m/>
    <s v=""/>
    <n v="6.5"/>
    <x v="0"/>
    <x v="0"/>
    <x v="0"/>
    <x v="0"/>
    <s v="1Correia T."/>
    <s v="1SHARK"/>
    <s v="D0"/>
  </r>
  <r>
    <d v="2026-08-20T00:00:00"/>
    <x v="0"/>
    <x v="19"/>
    <x v="1"/>
    <x v="284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1Haps"/>
    <s v="1FC INTERNAZIOANALE"/>
    <s v="D0"/>
  </r>
  <r>
    <d v="2026-08-20T00:00:00"/>
    <x v="0"/>
    <x v="19"/>
    <x v="1"/>
    <x v="28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Hainaut"/>
    <s v="1"/>
    <s v="D0"/>
  </r>
  <r>
    <d v="2026-08-20T00:00:00"/>
    <x v="0"/>
    <x v="19"/>
    <x v="1"/>
    <x v="286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1Schingtienne"/>
    <s v="1"/>
    <s v="D0"/>
  </r>
  <r>
    <d v="2026-08-20T00:00:00"/>
    <x v="0"/>
    <x v="19"/>
    <x v="1"/>
    <x v="287"/>
    <n v="5"/>
    <n v="0"/>
    <n v="0"/>
    <n v="0"/>
    <n v="0"/>
    <n v="0"/>
    <n v="0"/>
    <n v="0"/>
    <n v="0"/>
    <n v="0"/>
    <m/>
    <n v="0"/>
    <x v="2"/>
    <n v="0"/>
    <m/>
    <s v=""/>
    <n v="5"/>
    <x v="0"/>
    <x v="0"/>
    <x v="0"/>
    <x v="0"/>
    <s v="1Bella-Kotchap"/>
    <s v="1ATL. IMPROVVISATO"/>
    <s v="D0"/>
  </r>
  <r>
    <d v="2026-08-20T00:00:00"/>
    <x v="0"/>
    <x v="19"/>
    <x v="1"/>
    <x v="28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Franjic"/>
    <s v="1"/>
    <s v="D0"/>
  </r>
  <r>
    <d v="2026-08-20T00:00:00"/>
    <x v="0"/>
    <x v="19"/>
    <x v="2"/>
    <x v="28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Busio"/>
    <s v="1"/>
    <s v="C0"/>
  </r>
  <r>
    <d v="2026-08-20T00:00:00"/>
    <x v="0"/>
    <x v="19"/>
    <x v="2"/>
    <x v="29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Basic"/>
    <s v="1"/>
    <s v="C0"/>
  </r>
  <r>
    <d v="2026-08-20T00:00:00"/>
    <x v="0"/>
    <x v="19"/>
    <x v="2"/>
    <x v="29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Perez K."/>
    <s v="1"/>
    <s v="C0"/>
  </r>
  <r>
    <d v="2026-08-20T00:00:00"/>
    <x v="0"/>
    <x v="19"/>
    <x v="2"/>
    <x v="292"/>
    <n v="5"/>
    <n v="0"/>
    <n v="0"/>
    <n v="0"/>
    <n v="0"/>
    <n v="0"/>
    <n v="0"/>
    <n v="1"/>
    <n v="0"/>
    <n v="0"/>
    <m/>
    <n v="0"/>
    <x v="8"/>
    <n v="0"/>
    <m/>
    <s v=""/>
    <n v="4.5"/>
    <x v="0"/>
    <x v="0"/>
    <x v="0"/>
    <x v="0"/>
    <s v="1Dagasso"/>
    <s v="1"/>
    <s v="C0"/>
  </r>
  <r>
    <d v="2026-08-20T00:00:00"/>
    <x v="0"/>
    <x v="19"/>
    <x v="3"/>
    <x v="293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1Yeboah J."/>
    <s v="1TRICCHETRACHT"/>
    <s v="A0"/>
  </r>
  <r>
    <d v="2026-08-20T00:00:00"/>
    <x v="0"/>
    <x v="19"/>
    <x v="3"/>
    <x v="294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1Adams A."/>
    <s v="1AS PIPPERIA"/>
    <s v="A0"/>
  </r>
  <r>
    <d v="2026-08-27T00:00:00"/>
    <x v="1"/>
    <x v="0"/>
    <x v="0"/>
    <x v="0"/>
    <n v="7"/>
    <n v="0"/>
    <n v="0"/>
    <n v="0"/>
    <n v="0"/>
    <n v="0"/>
    <n v="0"/>
    <n v="0"/>
    <n v="0"/>
    <n v="0"/>
    <m/>
    <n v="1"/>
    <x v="10"/>
    <n v="0"/>
    <m/>
    <s v=""/>
    <n v="8"/>
    <x v="0"/>
    <x v="0"/>
    <x v="0"/>
    <x v="0"/>
    <s v="2Carnesecchi"/>
    <s v="2PARTIZAN DEGRADO"/>
    <s v="P0"/>
  </r>
  <r>
    <d v="2026-08-27T00:00:00"/>
    <x v="1"/>
    <x v="0"/>
    <x v="1"/>
    <x v="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Zappacosta"/>
    <s v="2"/>
    <s v="D0"/>
  </r>
  <r>
    <d v="2026-08-27T00:00:00"/>
    <x v="1"/>
    <x v="0"/>
    <x v="1"/>
    <x v="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Kolasinac"/>
    <s v="2"/>
    <s v="D0"/>
  </r>
  <r>
    <d v="2026-08-27T00:00:00"/>
    <x v="1"/>
    <x v="0"/>
    <x v="1"/>
    <x v="3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Scalvini"/>
    <s v="2SESTO ASENSIO"/>
    <s v="D0"/>
  </r>
  <r>
    <d v="2026-08-27T00:00:00"/>
    <x v="1"/>
    <x v="0"/>
    <x v="1"/>
    <x v="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Kossounou"/>
    <s v="2"/>
    <s v="D0"/>
  </r>
  <r>
    <d v="2026-08-27T00:00:00"/>
    <x v="1"/>
    <x v="0"/>
    <x v="2"/>
    <x v="6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2Pasalic"/>
    <s v="2ATL. IMPROVVISATO"/>
    <s v="C0"/>
  </r>
  <r>
    <d v="2026-08-27T00:00:00"/>
    <x v="1"/>
    <x v="0"/>
    <x v="2"/>
    <x v="7"/>
    <n v="5"/>
    <n v="0"/>
    <n v="0"/>
    <n v="0"/>
    <n v="0"/>
    <n v="0"/>
    <n v="0"/>
    <n v="0"/>
    <n v="0"/>
    <n v="0"/>
    <m/>
    <n v="0"/>
    <x v="3"/>
    <n v="0"/>
    <m/>
    <s v=""/>
    <n v="5"/>
    <x v="0"/>
    <x v="0"/>
    <x v="0"/>
    <x v="0"/>
    <s v="2Gaetano"/>
    <s v="2TRICCHETRACHT"/>
    <s v="C0"/>
  </r>
  <r>
    <d v="2026-08-27T00:00:00"/>
    <x v="1"/>
    <x v="0"/>
    <x v="2"/>
    <x v="295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2Elmas"/>
    <s v="2FC INTERNAZIOANALE"/>
    <s v="C0"/>
  </r>
  <r>
    <d v="2026-08-27T00:00:00"/>
    <x v="1"/>
    <x v="0"/>
    <x v="2"/>
    <x v="8"/>
    <n v="7"/>
    <n v="1"/>
    <n v="0"/>
    <n v="0"/>
    <n v="0"/>
    <n v="0"/>
    <n v="0"/>
    <n v="0"/>
    <n v="0"/>
    <n v="0"/>
    <n v="1"/>
    <n v="0"/>
    <x v="4"/>
    <n v="1"/>
    <m/>
    <s v=""/>
    <n v="11"/>
    <x v="0"/>
    <x v="0"/>
    <x v="0"/>
    <x v="0"/>
    <s v="2Samardzic"/>
    <s v="2AS PIPPERIA"/>
    <s v="C0"/>
  </r>
  <r>
    <d v="2026-08-27T00:00:00"/>
    <x v="1"/>
    <x v="0"/>
    <x v="2"/>
    <x v="9"/>
    <n v="6.5"/>
    <n v="0"/>
    <n v="0"/>
    <n v="0"/>
    <n v="0"/>
    <n v="0"/>
    <n v="0"/>
    <n v="0"/>
    <n v="0"/>
    <n v="1"/>
    <m/>
    <n v="0"/>
    <x v="5"/>
    <n v="0"/>
    <m/>
    <s v=""/>
    <n v="7.5"/>
    <x v="0"/>
    <x v="0"/>
    <x v="0"/>
    <x v="0"/>
    <s v="2Zalewski"/>
    <s v="2PESCICULINI"/>
    <s v="C0"/>
  </r>
  <r>
    <d v="2026-08-27T00:00:00"/>
    <x v="1"/>
    <x v="0"/>
    <x v="2"/>
    <x v="10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2Ederson D.S."/>
    <s v="2FC INTERNAZIOANALE"/>
    <s v="C0"/>
  </r>
  <r>
    <d v="2026-08-27T00:00:00"/>
    <x v="1"/>
    <x v="0"/>
    <x v="3"/>
    <x v="11"/>
    <n v="5.5"/>
    <n v="0"/>
    <n v="0"/>
    <n v="0"/>
    <n v="0"/>
    <n v="0"/>
    <n v="0"/>
    <n v="0"/>
    <n v="0"/>
    <n v="0"/>
    <m/>
    <n v="0"/>
    <x v="3"/>
    <n v="0"/>
    <m/>
    <s v=""/>
    <n v="5.5"/>
    <x v="0"/>
    <x v="0"/>
    <x v="0"/>
    <x v="0"/>
    <s v="2Scamacca"/>
    <s v="2TRICCHETRACHT"/>
    <s v="A0"/>
  </r>
  <r>
    <d v="2026-08-27T00:00:00"/>
    <x v="1"/>
    <x v="0"/>
    <x v="3"/>
    <x v="12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2Raspadori"/>
    <s v="2FC INTERNAZIOANALE"/>
    <s v="A0"/>
  </r>
  <r>
    <d v="2026-08-27T00:00:00"/>
    <x v="1"/>
    <x v="0"/>
    <x v="3"/>
    <x v="13"/>
    <n v="5.5"/>
    <n v="0"/>
    <n v="0"/>
    <n v="0"/>
    <n v="0"/>
    <n v="0"/>
    <n v="0"/>
    <n v="0"/>
    <n v="0"/>
    <n v="0"/>
    <m/>
    <n v="0"/>
    <x v="5"/>
    <n v="0"/>
    <m/>
    <s v=""/>
    <n v="5.5"/>
    <x v="0"/>
    <x v="0"/>
    <x v="0"/>
    <x v="0"/>
    <s v="2De Ketelaere"/>
    <s v="2PESCICULINI"/>
    <s v="A0"/>
  </r>
  <r>
    <d v="2026-08-27T00:00:00"/>
    <x v="1"/>
    <x v="0"/>
    <x v="3"/>
    <x v="14"/>
    <n v="5.5"/>
    <n v="0"/>
    <n v="0"/>
    <n v="0"/>
    <n v="0"/>
    <n v="0"/>
    <n v="0"/>
    <n v="1"/>
    <n v="0"/>
    <n v="0"/>
    <m/>
    <n v="0"/>
    <x v="5"/>
    <n v="0"/>
    <m/>
    <s v=""/>
    <n v="5"/>
    <x v="0"/>
    <x v="0"/>
    <x v="0"/>
    <x v="0"/>
    <s v="2Krstovic"/>
    <s v="2PESCICULINI"/>
    <s v="A0"/>
  </r>
  <r>
    <d v="2026-08-27T00:00:00"/>
    <x v="1"/>
    <x v="1"/>
    <x v="0"/>
    <x v="15"/>
    <n v="5"/>
    <n v="0"/>
    <n v="1"/>
    <n v="0"/>
    <n v="0"/>
    <n v="0"/>
    <n v="0"/>
    <n v="0"/>
    <n v="0"/>
    <n v="0"/>
    <m/>
    <n v="0"/>
    <x v="7"/>
    <n v="0"/>
    <m/>
    <s v=""/>
    <n v="4"/>
    <x v="0"/>
    <x v="0"/>
    <x v="0"/>
    <x v="0"/>
    <s v="2Skorupski"/>
    <s v="2SHARK"/>
    <s v="P1"/>
  </r>
  <r>
    <d v="2026-08-27T00:00:00"/>
    <x v="1"/>
    <x v="1"/>
    <x v="1"/>
    <x v="16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2Zortea"/>
    <s v="2FC INTERNAZIOANALE"/>
    <s v="D0"/>
  </r>
  <r>
    <d v="2026-08-27T00:00:00"/>
    <x v="1"/>
    <x v="1"/>
    <x v="1"/>
    <x v="18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2Holm"/>
    <s v="2SESTO ASENSIO"/>
    <s v="D0"/>
  </r>
  <r>
    <d v="2026-08-27T00:00:00"/>
    <x v="1"/>
    <x v="1"/>
    <x v="1"/>
    <x v="1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Heggem"/>
    <s v="2"/>
    <s v="D0"/>
  </r>
  <r>
    <d v="2026-08-27T00:00:00"/>
    <x v="1"/>
    <x v="1"/>
    <x v="1"/>
    <x v="2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Helland"/>
    <s v="2"/>
    <s v="D0"/>
  </r>
  <r>
    <d v="2026-08-27T00:00:00"/>
    <x v="1"/>
    <x v="1"/>
    <x v="1"/>
    <x v="29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Alhassane"/>
    <s v="2"/>
    <s v="D0"/>
  </r>
  <r>
    <d v="2026-08-27T00:00:00"/>
    <x v="1"/>
    <x v="1"/>
    <x v="2"/>
    <x v="21"/>
    <n v="6.5"/>
    <n v="0"/>
    <n v="0"/>
    <n v="0"/>
    <n v="0"/>
    <n v="0"/>
    <n v="0"/>
    <n v="0"/>
    <n v="0"/>
    <n v="0"/>
    <m/>
    <n v="0"/>
    <x v="9"/>
    <n v="0"/>
    <m/>
    <s v=""/>
    <n v="6.5"/>
    <x v="0"/>
    <x v="0"/>
    <x v="0"/>
    <x v="0"/>
    <s v="2Bernardeschi"/>
    <s v="2AC ASPARAGHESE"/>
    <s v="C0"/>
  </r>
  <r>
    <d v="2026-08-27T00:00:00"/>
    <x v="1"/>
    <x v="1"/>
    <x v="2"/>
    <x v="22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2Orsolini"/>
    <s v="2SHARK"/>
    <s v="C0"/>
  </r>
  <r>
    <d v="2026-08-27T00:00:00"/>
    <x v="1"/>
    <x v="1"/>
    <x v="2"/>
    <x v="23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2Odgaard"/>
    <s v="2AS PIPPERIA"/>
    <s v="C0"/>
  </r>
  <r>
    <d v="2026-08-27T00:00:00"/>
    <x v="1"/>
    <x v="1"/>
    <x v="2"/>
    <x v="24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2Cambiaghi"/>
    <s v="2"/>
    <s v="C0"/>
  </r>
  <r>
    <d v="2026-08-27T00:00:00"/>
    <x v="1"/>
    <x v="1"/>
    <x v="2"/>
    <x v="29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Pobega"/>
    <s v="2"/>
    <s v="C0"/>
  </r>
  <r>
    <d v="2026-08-27T00:00:00"/>
    <x v="1"/>
    <x v="1"/>
    <x v="2"/>
    <x v="2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Ferguson"/>
    <s v="2"/>
    <s v="C0"/>
  </r>
  <r>
    <d v="2026-08-27T00:00:00"/>
    <x v="1"/>
    <x v="1"/>
    <x v="2"/>
    <x v="29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Amondarain"/>
    <s v="2"/>
    <s v="C0"/>
  </r>
  <r>
    <d v="2026-08-27T00:00:00"/>
    <x v="1"/>
    <x v="1"/>
    <x v="3"/>
    <x v="28"/>
    <n v="5"/>
    <n v="0"/>
    <n v="0"/>
    <n v="0"/>
    <n v="0"/>
    <n v="0"/>
    <n v="0"/>
    <n v="0"/>
    <n v="0"/>
    <n v="0"/>
    <m/>
    <n v="0"/>
    <x v="7"/>
    <n v="0"/>
    <m/>
    <s v=""/>
    <n v="5"/>
    <x v="0"/>
    <x v="0"/>
    <x v="0"/>
    <x v="0"/>
    <s v="2Piccoli"/>
    <s v="2SHARK"/>
    <s v="A0"/>
  </r>
  <r>
    <d v="2026-08-27T00:00:00"/>
    <x v="1"/>
    <x v="1"/>
    <x v="3"/>
    <x v="29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2Dovbyk"/>
    <s v="2PARTIZAN DEGRADO"/>
    <s v="A0"/>
  </r>
  <r>
    <d v="2026-08-27T00:00:00"/>
    <x v="1"/>
    <x v="2"/>
    <x v="0"/>
    <x v="30"/>
    <n v="7"/>
    <n v="0"/>
    <n v="1"/>
    <n v="0"/>
    <n v="0"/>
    <n v="0"/>
    <n v="0"/>
    <n v="0"/>
    <n v="0"/>
    <n v="0"/>
    <m/>
    <n v="0"/>
    <x v="9"/>
    <n v="0"/>
    <m/>
    <s v=""/>
    <n v="6"/>
    <x v="0"/>
    <x v="0"/>
    <x v="0"/>
    <x v="0"/>
    <s v="2Caprile"/>
    <s v="2AC ASPARAGHESE"/>
    <s v="P1"/>
  </r>
  <r>
    <d v="2026-08-27T00:00:00"/>
    <x v="1"/>
    <x v="2"/>
    <x v="1"/>
    <x v="32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Obert"/>
    <s v="2"/>
    <s v="D0"/>
  </r>
  <r>
    <d v="2026-08-27T00:00:00"/>
    <x v="1"/>
    <x v="2"/>
    <x v="1"/>
    <x v="3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Rodriguez Ju."/>
    <s v="2"/>
    <s v="D0"/>
  </r>
  <r>
    <d v="2026-08-27T00:00:00"/>
    <x v="1"/>
    <x v="2"/>
    <x v="1"/>
    <x v="34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2Zè Pedro"/>
    <s v="2ATL. IMPROVVISATO"/>
    <s v="D0"/>
  </r>
  <r>
    <d v="2026-08-27T00:00:00"/>
    <x v="1"/>
    <x v="2"/>
    <x v="1"/>
    <x v="299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2Kofler"/>
    <s v="2AC ASPARAGHESE"/>
    <s v="D0"/>
  </r>
  <r>
    <d v="2026-08-27T00:00:00"/>
    <x v="1"/>
    <x v="2"/>
    <x v="2"/>
    <x v="35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2Deiola"/>
    <s v="2"/>
    <s v="C0"/>
  </r>
  <r>
    <d v="2026-08-27T00:00:00"/>
    <x v="1"/>
    <x v="2"/>
    <x v="2"/>
    <x v="36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Winks"/>
    <s v="2"/>
    <s v="C0"/>
  </r>
  <r>
    <d v="2026-08-27T00:00:00"/>
    <x v="1"/>
    <x v="2"/>
    <x v="2"/>
    <x v="3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Adopo"/>
    <s v="2"/>
    <s v="C0"/>
  </r>
  <r>
    <d v="2026-08-27T00:00:00"/>
    <x v="1"/>
    <x v="2"/>
    <x v="2"/>
    <x v="38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2Fazzini"/>
    <s v="2FC INTERNAZIOANALE"/>
    <s v="C0"/>
  </r>
  <r>
    <d v="2026-08-27T00:00:00"/>
    <x v="1"/>
    <x v="2"/>
    <x v="2"/>
    <x v="30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Fadera"/>
    <s v="2"/>
    <s v="C0"/>
  </r>
  <r>
    <d v="2026-08-27T00:00:00"/>
    <x v="1"/>
    <x v="2"/>
    <x v="2"/>
    <x v="40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2Romano"/>
    <s v="2PARTIZAN DEGRADO"/>
    <s v="C0"/>
  </r>
  <r>
    <d v="2026-08-27T00:00:00"/>
    <x v="1"/>
    <x v="2"/>
    <x v="3"/>
    <x v="41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2Maldini"/>
    <s v="2ATL. IMPROVVISATO"/>
    <s v="A0"/>
  </r>
  <r>
    <d v="2026-08-27T00:00:00"/>
    <x v="1"/>
    <x v="2"/>
    <x v="3"/>
    <x v="4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Mendy P."/>
    <s v="2"/>
    <s v="A0"/>
  </r>
  <r>
    <d v="2026-08-27T00:00:00"/>
    <x v="1"/>
    <x v="2"/>
    <x v="3"/>
    <x v="301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2Kevin Carlos"/>
    <s v="2"/>
    <s v="A0"/>
  </r>
  <r>
    <d v="2026-08-27T00:00:00"/>
    <x v="1"/>
    <x v="3"/>
    <x v="0"/>
    <x v="44"/>
    <n v="5.5"/>
    <n v="0"/>
    <n v="1"/>
    <n v="0"/>
    <n v="0"/>
    <n v="0"/>
    <n v="0"/>
    <n v="0"/>
    <n v="0"/>
    <n v="0"/>
    <m/>
    <n v="0"/>
    <x v="1"/>
    <n v="0"/>
    <m/>
    <s v=""/>
    <n v="4.5"/>
    <x v="0"/>
    <x v="0"/>
    <x v="0"/>
    <x v="0"/>
    <s v="2Butez"/>
    <s v="2SESTO ASENSIO"/>
    <s v="P1"/>
  </r>
  <r>
    <d v="2026-08-27T00:00:00"/>
    <x v="1"/>
    <x v="3"/>
    <x v="1"/>
    <x v="45"/>
    <n v="6.5"/>
    <n v="0"/>
    <n v="0"/>
    <n v="0"/>
    <n v="0"/>
    <n v="0"/>
    <n v="0"/>
    <n v="0"/>
    <n v="0"/>
    <n v="0"/>
    <m/>
    <n v="0"/>
    <x v="7"/>
    <n v="0"/>
    <m/>
    <s v=""/>
    <n v="6.5"/>
    <x v="0"/>
    <x v="0"/>
    <x v="0"/>
    <x v="0"/>
    <s v="2Chalobah T."/>
    <s v="2SHARK"/>
    <s v="D0"/>
  </r>
  <r>
    <d v="2026-08-27T00:00:00"/>
    <x v="1"/>
    <x v="3"/>
    <x v="1"/>
    <x v="46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2Couto"/>
    <s v="2AS PIPPERIA"/>
    <s v="D0"/>
  </r>
  <r>
    <d v="2026-08-27T00:00:00"/>
    <x v="1"/>
    <x v="3"/>
    <x v="1"/>
    <x v="47"/>
    <n v="6.5"/>
    <n v="0"/>
    <n v="0"/>
    <n v="0"/>
    <n v="0"/>
    <n v="0"/>
    <n v="0"/>
    <n v="0"/>
    <n v="0"/>
    <n v="0"/>
    <m/>
    <n v="0"/>
    <x v="9"/>
    <n v="0"/>
    <m/>
    <s v=""/>
    <n v="6.5"/>
    <x v="0"/>
    <x v="0"/>
    <x v="0"/>
    <x v="0"/>
    <s v="2Valle"/>
    <s v="2AC ASPARAGHESE"/>
    <s v="D0"/>
  </r>
  <r>
    <d v="2026-08-27T00:00:00"/>
    <x v="1"/>
    <x v="3"/>
    <x v="1"/>
    <x v="48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2Ramon"/>
    <s v="2PARTIZAN DEGRADO"/>
    <s v="D0"/>
  </r>
  <r>
    <d v="2026-08-27T00:00:00"/>
    <x v="1"/>
    <x v="3"/>
    <x v="1"/>
    <x v="30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2Kempf"/>
    <s v="2"/>
    <s v="D0"/>
  </r>
  <r>
    <d v="2026-08-27T00:00:00"/>
    <x v="1"/>
    <x v="3"/>
    <x v="1"/>
    <x v="30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Smolcic I."/>
    <s v="2"/>
    <s v="D0"/>
  </r>
  <r>
    <d v="2026-08-27T00:00:00"/>
    <x v="1"/>
    <x v="3"/>
    <x v="2"/>
    <x v="30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Caqueret"/>
    <s v="2"/>
    <s v="C0"/>
  </r>
  <r>
    <d v="2026-08-27T00:00:00"/>
    <x v="1"/>
    <x v="3"/>
    <x v="2"/>
    <x v="49"/>
    <n v="6.5"/>
    <n v="0"/>
    <n v="0"/>
    <n v="0"/>
    <n v="0"/>
    <n v="0"/>
    <n v="0"/>
    <n v="0"/>
    <n v="0"/>
    <n v="0"/>
    <m/>
    <n v="0"/>
    <x v="10"/>
    <n v="0"/>
    <m/>
    <s v=""/>
    <n v="6.5"/>
    <x v="0"/>
    <x v="0"/>
    <x v="0"/>
    <x v="0"/>
    <s v="2Da Cunha"/>
    <s v="2PARTIZAN DEGRADO"/>
    <s v="C0"/>
  </r>
  <r>
    <d v="2026-08-27T00:00:00"/>
    <x v="1"/>
    <x v="3"/>
    <x v="2"/>
    <x v="50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2Perrone"/>
    <s v="2SAN GRIA"/>
    <s v="C0"/>
  </r>
  <r>
    <d v="2026-08-27T00:00:00"/>
    <x v="1"/>
    <x v="3"/>
    <x v="2"/>
    <x v="52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2Paz N."/>
    <s v="2AS PIPPERIA"/>
    <s v="C0"/>
  </r>
  <r>
    <d v="2026-08-27T00:00:00"/>
    <x v="1"/>
    <x v="3"/>
    <x v="2"/>
    <x v="53"/>
    <n v="7.5"/>
    <n v="1"/>
    <n v="0"/>
    <n v="0"/>
    <n v="0"/>
    <n v="0"/>
    <n v="0"/>
    <n v="0"/>
    <n v="0"/>
    <n v="0"/>
    <m/>
    <n v="0"/>
    <x v="1"/>
    <n v="1"/>
    <m/>
    <s v=""/>
    <n v="10.5"/>
    <x v="0"/>
    <x v="0"/>
    <x v="0"/>
    <x v="0"/>
    <s v="2Baturina"/>
    <s v="2SESTO ASENSIO"/>
    <s v="C0"/>
  </r>
  <r>
    <d v="2026-08-27T00:00:00"/>
    <x v="1"/>
    <x v="3"/>
    <x v="2"/>
    <x v="55"/>
    <n v="7"/>
    <n v="0"/>
    <n v="0"/>
    <n v="0"/>
    <n v="0"/>
    <n v="0"/>
    <n v="0"/>
    <n v="0"/>
    <n v="0"/>
    <n v="0"/>
    <m/>
    <n v="0"/>
    <x v="3"/>
    <n v="0"/>
    <m/>
    <s v=""/>
    <n v="7"/>
    <x v="0"/>
    <x v="0"/>
    <x v="0"/>
    <x v="0"/>
    <s v="2Milla"/>
    <s v="2TRICCHETRACHT"/>
    <s v="C0"/>
  </r>
  <r>
    <d v="2026-08-27T00:00:00"/>
    <x v="1"/>
    <x v="3"/>
    <x v="3"/>
    <x v="56"/>
    <n v="6.5"/>
    <n v="0"/>
    <n v="0"/>
    <n v="0"/>
    <n v="0"/>
    <n v="0"/>
    <n v="0"/>
    <n v="0"/>
    <n v="0"/>
    <n v="1"/>
    <m/>
    <n v="0"/>
    <x v="5"/>
    <n v="0"/>
    <m/>
    <s v=""/>
    <n v="7.5"/>
    <x v="0"/>
    <x v="0"/>
    <x v="0"/>
    <x v="0"/>
    <s v="2Diao"/>
    <s v="2PESCICULINI"/>
    <s v="A0"/>
  </r>
  <r>
    <d v="2026-08-27T00:00:00"/>
    <x v="1"/>
    <x v="3"/>
    <x v="3"/>
    <x v="57"/>
    <n v="7"/>
    <n v="1"/>
    <n v="0"/>
    <n v="0"/>
    <n v="0"/>
    <n v="0"/>
    <n v="0"/>
    <n v="0"/>
    <n v="0"/>
    <n v="0"/>
    <m/>
    <n v="0"/>
    <x v="1"/>
    <n v="1"/>
    <m/>
    <s v=""/>
    <n v="10"/>
    <x v="0"/>
    <x v="0"/>
    <x v="0"/>
    <x v="0"/>
    <s v="2Douvikas"/>
    <s v="2SESTO ASENSIO"/>
    <s v="A0"/>
  </r>
  <r>
    <d v="2026-08-27T00:00:00"/>
    <x v="1"/>
    <x v="4"/>
    <x v="0"/>
    <x v="58"/>
    <n v="5"/>
    <n v="0"/>
    <n v="3"/>
    <n v="0"/>
    <n v="0"/>
    <n v="0"/>
    <n v="0"/>
    <n v="0"/>
    <n v="0"/>
    <n v="0"/>
    <m/>
    <n v="0"/>
    <x v="5"/>
    <n v="0"/>
    <m/>
    <s v=""/>
    <n v="2"/>
    <x v="0"/>
    <x v="0"/>
    <x v="0"/>
    <x v="0"/>
    <s v="2De Gea"/>
    <s v="2PESCICULINI"/>
    <s v="P3"/>
  </r>
  <r>
    <d v="2026-08-27T00:00:00"/>
    <x v="1"/>
    <x v="4"/>
    <x v="1"/>
    <x v="60"/>
    <n v="4"/>
    <n v="0"/>
    <n v="0"/>
    <n v="0"/>
    <n v="0"/>
    <n v="0"/>
    <n v="0"/>
    <n v="1"/>
    <n v="0"/>
    <n v="0"/>
    <m/>
    <n v="0"/>
    <x v="8"/>
    <n v="0"/>
    <m/>
    <s v=""/>
    <n v="3.5"/>
    <x v="0"/>
    <x v="0"/>
    <x v="0"/>
    <x v="0"/>
    <s v="2Dragusin"/>
    <s v="2"/>
    <s v="D0"/>
  </r>
  <r>
    <d v="2026-08-27T00:00:00"/>
    <x v="1"/>
    <x v="4"/>
    <x v="1"/>
    <x v="305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Pongracic"/>
    <s v="2"/>
    <s v="D0"/>
  </r>
  <r>
    <d v="2026-08-27T00:00:00"/>
    <x v="1"/>
    <x v="4"/>
    <x v="1"/>
    <x v="62"/>
    <n v="4.5"/>
    <n v="0"/>
    <n v="0"/>
    <n v="0"/>
    <n v="0"/>
    <n v="0"/>
    <n v="0"/>
    <n v="1"/>
    <n v="0"/>
    <n v="0"/>
    <m/>
    <n v="0"/>
    <x v="4"/>
    <n v="0"/>
    <m/>
    <s v=""/>
    <n v="4"/>
    <x v="0"/>
    <x v="0"/>
    <x v="0"/>
    <x v="0"/>
    <s v="2Jimenez A."/>
    <s v="2AS PIPPERIA"/>
    <s v="D0"/>
  </r>
  <r>
    <d v="2026-08-27T00:00:00"/>
    <x v="1"/>
    <x v="4"/>
    <x v="1"/>
    <x v="306"/>
    <n v="5"/>
    <n v="0"/>
    <n v="0"/>
    <n v="0"/>
    <n v="0"/>
    <n v="0"/>
    <n v="0"/>
    <n v="0"/>
    <n v="0"/>
    <n v="0"/>
    <m/>
    <n v="0"/>
    <x v="10"/>
    <n v="0"/>
    <m/>
    <s v=""/>
    <n v="5"/>
    <x v="0"/>
    <x v="0"/>
    <x v="0"/>
    <x v="0"/>
    <s v="2Valdepenas"/>
    <s v="2PARTIZAN DEGRADO"/>
    <s v="D0"/>
  </r>
  <r>
    <d v="2026-08-27T00:00:00"/>
    <x v="1"/>
    <x v="4"/>
    <x v="1"/>
    <x v="307"/>
    <n v="5.5"/>
    <n v="0"/>
    <n v="0"/>
    <n v="0"/>
    <n v="0"/>
    <n v="0"/>
    <n v="0"/>
    <n v="0"/>
    <n v="0"/>
    <n v="0"/>
    <m/>
    <n v="0"/>
    <x v="11"/>
    <n v="0"/>
    <m/>
    <s v=""/>
    <n v="5.5"/>
    <x v="0"/>
    <x v="0"/>
    <x v="0"/>
    <x v="0"/>
    <s v="2Viery"/>
    <s v="2SAN GRIA"/>
    <s v="D0"/>
  </r>
  <r>
    <d v="2026-08-27T00:00:00"/>
    <x v="1"/>
    <x v="4"/>
    <x v="2"/>
    <x v="64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Mandragora"/>
    <s v="2"/>
    <s v="C0"/>
  </r>
  <r>
    <d v="2026-08-27T00:00:00"/>
    <x v="1"/>
    <x v="4"/>
    <x v="2"/>
    <x v="6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Fagioli"/>
    <s v="2"/>
    <s v="C0"/>
  </r>
  <r>
    <d v="2026-08-27T00:00:00"/>
    <x v="1"/>
    <x v="4"/>
    <x v="2"/>
    <x v="66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Brescianini"/>
    <s v="2"/>
    <s v="C0"/>
  </r>
  <r>
    <d v="2026-08-27T00:00:00"/>
    <x v="1"/>
    <x v="4"/>
    <x v="2"/>
    <x v="308"/>
    <n v="4.5"/>
    <n v="0"/>
    <n v="0"/>
    <n v="0"/>
    <n v="0"/>
    <n v="0"/>
    <n v="0"/>
    <n v="1"/>
    <n v="0"/>
    <n v="0"/>
    <m/>
    <n v="0"/>
    <x v="3"/>
    <n v="0"/>
    <m/>
    <s v=""/>
    <n v="4"/>
    <x v="0"/>
    <x v="0"/>
    <x v="0"/>
    <x v="0"/>
    <s v="2Gudmundsson A."/>
    <s v="2TRICCHETRACHT"/>
    <s v="C0"/>
  </r>
  <r>
    <d v="2026-08-27T00:00:00"/>
    <x v="1"/>
    <x v="4"/>
    <x v="2"/>
    <x v="67"/>
    <n v="4.5"/>
    <n v="0"/>
    <n v="0"/>
    <n v="0"/>
    <n v="0"/>
    <n v="0"/>
    <n v="0"/>
    <n v="0"/>
    <n v="0"/>
    <n v="0"/>
    <m/>
    <n v="0"/>
    <x v="6"/>
    <n v="0"/>
    <m/>
    <s v=""/>
    <n v="4.5"/>
    <x v="0"/>
    <x v="0"/>
    <x v="0"/>
    <x v="0"/>
    <s v="2Ndour"/>
    <s v="2FC INTERNAZIOANALE"/>
    <s v="C0"/>
  </r>
  <r>
    <d v="2026-08-27T00:00:00"/>
    <x v="1"/>
    <x v="4"/>
    <x v="2"/>
    <x v="68"/>
    <n v="4"/>
    <n v="0"/>
    <n v="0"/>
    <n v="0"/>
    <n v="0"/>
    <n v="0"/>
    <n v="0"/>
    <n v="0"/>
    <n v="0"/>
    <n v="0"/>
    <m/>
    <n v="0"/>
    <x v="9"/>
    <n v="0"/>
    <m/>
    <s v=""/>
    <n v="4"/>
    <x v="0"/>
    <x v="0"/>
    <x v="0"/>
    <x v="0"/>
    <s v="2Atta"/>
    <s v="2AC ASPARAGHESE"/>
    <s v="C0"/>
  </r>
  <r>
    <d v="2026-08-27T00:00:00"/>
    <x v="1"/>
    <x v="4"/>
    <x v="2"/>
    <x v="69"/>
    <n v="5"/>
    <n v="0"/>
    <n v="0"/>
    <n v="0"/>
    <n v="0"/>
    <n v="0"/>
    <n v="0"/>
    <n v="0"/>
    <n v="0"/>
    <n v="0"/>
    <m/>
    <n v="0"/>
    <x v="9"/>
    <n v="0"/>
    <m/>
    <s v=""/>
    <n v="5"/>
    <x v="0"/>
    <x v="0"/>
    <x v="0"/>
    <x v="0"/>
    <s v="2Mastantuono"/>
    <s v="2AC ASPARAGHESE"/>
    <s v="C0"/>
  </r>
  <r>
    <d v="2026-08-27T00:00:00"/>
    <x v="1"/>
    <x v="4"/>
    <x v="2"/>
    <x v="70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Oulai"/>
    <s v="2"/>
    <s v="C0"/>
  </r>
  <r>
    <d v="2026-08-27T00:00:00"/>
    <x v="1"/>
    <x v="4"/>
    <x v="3"/>
    <x v="72"/>
    <n v="4.5"/>
    <n v="0"/>
    <n v="0"/>
    <n v="0"/>
    <n v="0"/>
    <n v="0"/>
    <n v="0"/>
    <n v="0"/>
    <n v="0"/>
    <n v="0"/>
    <m/>
    <n v="0"/>
    <x v="7"/>
    <n v="0"/>
    <m/>
    <s v=""/>
    <n v="4.5"/>
    <x v="0"/>
    <x v="0"/>
    <x v="0"/>
    <x v="0"/>
    <s v="2Pellegrino M."/>
    <s v="2SHARK"/>
    <s v="A0"/>
  </r>
  <r>
    <d v="2026-08-27T00:00:00"/>
    <x v="1"/>
    <x v="5"/>
    <x v="0"/>
    <x v="73"/>
    <n v="6"/>
    <n v="0"/>
    <n v="0"/>
    <n v="0"/>
    <n v="0"/>
    <n v="0"/>
    <n v="0"/>
    <n v="0"/>
    <n v="0"/>
    <n v="0"/>
    <m/>
    <n v="1"/>
    <x v="3"/>
    <n v="0"/>
    <m/>
    <s v=""/>
    <n v="7"/>
    <x v="0"/>
    <x v="0"/>
    <x v="0"/>
    <x v="0"/>
    <s v="2Palmisani"/>
    <s v="2TRICCHETRACHT"/>
    <s v="P0"/>
  </r>
  <r>
    <d v="2026-08-27T00:00:00"/>
    <x v="1"/>
    <x v="5"/>
    <x v="1"/>
    <x v="7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Terzic"/>
    <s v="2"/>
    <s v="D0"/>
  </r>
  <r>
    <d v="2026-08-27T00:00:00"/>
    <x v="1"/>
    <x v="5"/>
    <x v="1"/>
    <x v="75"/>
    <n v="7"/>
    <n v="0"/>
    <n v="0"/>
    <n v="0"/>
    <n v="0"/>
    <n v="0"/>
    <n v="0"/>
    <n v="0"/>
    <n v="0"/>
    <n v="0"/>
    <m/>
    <n v="0"/>
    <x v="8"/>
    <n v="0"/>
    <m/>
    <s v=""/>
    <n v="7"/>
    <x v="0"/>
    <x v="0"/>
    <x v="0"/>
    <x v="0"/>
    <s v="2Monterisi"/>
    <s v="2"/>
    <s v="D0"/>
  </r>
  <r>
    <d v="2026-08-27T00:00:00"/>
    <x v="1"/>
    <x v="5"/>
    <x v="1"/>
    <x v="7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Cittadini"/>
    <s v="2"/>
    <s v="D0"/>
  </r>
  <r>
    <d v="2026-08-27T00:00:00"/>
    <x v="1"/>
    <x v="5"/>
    <x v="1"/>
    <x v="77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2Oyono A."/>
    <s v="2"/>
    <s v="D0"/>
  </r>
  <r>
    <d v="2026-08-27T00:00:00"/>
    <x v="1"/>
    <x v="5"/>
    <x v="1"/>
    <x v="78"/>
    <n v="6.5"/>
    <n v="0"/>
    <n v="0"/>
    <n v="0"/>
    <n v="0"/>
    <n v="0"/>
    <n v="0"/>
    <n v="1"/>
    <n v="0"/>
    <n v="0"/>
    <m/>
    <n v="0"/>
    <x v="8"/>
    <n v="0"/>
    <m/>
    <s v=""/>
    <n v="6"/>
    <x v="0"/>
    <x v="0"/>
    <x v="0"/>
    <x v="0"/>
    <s v="2Calvani"/>
    <s v="2"/>
    <s v="D0"/>
  </r>
  <r>
    <d v="2026-08-27T00:00:00"/>
    <x v="1"/>
    <x v="5"/>
    <x v="1"/>
    <x v="79"/>
    <n v="7.5"/>
    <n v="1"/>
    <n v="0"/>
    <n v="0"/>
    <n v="0"/>
    <n v="0"/>
    <n v="0"/>
    <n v="1"/>
    <n v="0"/>
    <n v="1"/>
    <m/>
    <n v="0"/>
    <x v="11"/>
    <n v="1"/>
    <m/>
    <s v=""/>
    <n v="11"/>
    <x v="0"/>
    <x v="0"/>
    <x v="0"/>
    <x v="0"/>
    <s v="2Bracaglia"/>
    <s v="2SAN GRIA"/>
    <s v="D0"/>
  </r>
  <r>
    <d v="2026-08-27T00:00:00"/>
    <x v="1"/>
    <x v="5"/>
    <x v="2"/>
    <x v="80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2Zerbin"/>
    <s v="2"/>
    <s v="C0"/>
  </r>
  <r>
    <d v="2026-08-27T00:00:00"/>
    <x v="1"/>
    <x v="5"/>
    <x v="2"/>
    <x v="8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Fini "/>
    <s v="2"/>
    <s v="C0"/>
  </r>
  <r>
    <d v="2026-08-27T00:00:00"/>
    <x v="1"/>
    <x v="5"/>
    <x v="2"/>
    <x v="83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2Masini"/>
    <s v="2"/>
    <s v="C0"/>
  </r>
  <r>
    <d v="2026-08-27T00:00:00"/>
    <x v="1"/>
    <x v="5"/>
    <x v="2"/>
    <x v="84"/>
    <n v="7"/>
    <n v="0"/>
    <n v="0"/>
    <n v="0"/>
    <n v="0"/>
    <n v="0"/>
    <n v="0"/>
    <n v="0"/>
    <n v="0"/>
    <n v="1"/>
    <m/>
    <n v="0"/>
    <x v="3"/>
    <n v="0"/>
    <m/>
    <s v=""/>
    <n v="8"/>
    <x v="0"/>
    <x v="0"/>
    <x v="0"/>
    <x v="0"/>
    <s v="2Calò"/>
    <s v="2TRICCHETRACHT"/>
    <s v="C0"/>
  </r>
  <r>
    <d v="2026-08-27T00:00:00"/>
    <x v="1"/>
    <x v="5"/>
    <x v="2"/>
    <x v="86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2Schmid"/>
    <s v="2"/>
    <s v="C0"/>
  </r>
  <r>
    <d v="2026-08-27T00:00:00"/>
    <x v="1"/>
    <x v="5"/>
    <x v="3"/>
    <x v="87"/>
    <n v="8"/>
    <n v="2"/>
    <n v="0"/>
    <n v="0"/>
    <n v="0"/>
    <n v="0"/>
    <n v="0"/>
    <n v="1"/>
    <n v="0"/>
    <n v="0"/>
    <n v="1"/>
    <n v="0"/>
    <x v="1"/>
    <n v="2"/>
    <m/>
    <s v=""/>
    <n v="14.5"/>
    <x v="0"/>
    <x v="0"/>
    <x v="0"/>
    <x v="0"/>
    <s v="2Raimondo"/>
    <s v="2SESTO ASENSIO"/>
    <s v="A0"/>
  </r>
  <r>
    <d v="2026-08-27T00:00:00"/>
    <x v="1"/>
    <x v="5"/>
    <x v="3"/>
    <x v="88"/>
    <n v="7.5"/>
    <n v="0"/>
    <n v="0"/>
    <n v="0"/>
    <n v="0"/>
    <n v="0"/>
    <n v="0"/>
    <n v="0"/>
    <n v="0"/>
    <n v="1"/>
    <m/>
    <n v="0"/>
    <x v="10"/>
    <n v="0"/>
    <m/>
    <s v=""/>
    <n v="8.5"/>
    <x v="0"/>
    <x v="0"/>
    <x v="0"/>
    <x v="0"/>
    <s v="2Kvernadze"/>
    <s v="2PARTIZAN DEGRADO"/>
    <s v="A0"/>
  </r>
  <r>
    <d v="2026-08-27T00:00:00"/>
    <x v="1"/>
    <x v="6"/>
    <x v="0"/>
    <x v="89"/>
    <n v="5"/>
    <n v="0"/>
    <n v="1"/>
    <n v="0"/>
    <n v="0"/>
    <n v="0"/>
    <n v="0"/>
    <n v="0"/>
    <n v="0"/>
    <n v="0"/>
    <m/>
    <n v="0"/>
    <x v="4"/>
    <n v="0"/>
    <m/>
    <s v=""/>
    <n v="4"/>
    <x v="0"/>
    <x v="0"/>
    <x v="0"/>
    <x v="0"/>
    <s v="2Bijlow"/>
    <s v="2AS PIPPERIA"/>
    <s v="P1"/>
  </r>
  <r>
    <d v="2026-08-27T00:00:00"/>
    <x v="1"/>
    <x v="6"/>
    <x v="1"/>
    <x v="90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2Vasquez"/>
    <s v="2AC ASPARAGHESE"/>
    <s v="D0"/>
  </r>
  <r>
    <d v="2026-08-27T00:00:00"/>
    <x v="1"/>
    <x v="6"/>
    <x v="1"/>
    <x v="91"/>
    <n v="6"/>
    <n v="0"/>
    <n v="0"/>
    <n v="0"/>
    <n v="0"/>
    <n v="0"/>
    <n v="0"/>
    <n v="1"/>
    <n v="0"/>
    <n v="0"/>
    <m/>
    <n v="0"/>
    <x v="7"/>
    <n v="0"/>
    <m/>
    <s v=""/>
    <n v="5.5"/>
    <x v="0"/>
    <x v="0"/>
    <x v="0"/>
    <x v="0"/>
    <s v="2Ostigard"/>
    <s v="2SHARK"/>
    <s v="D0"/>
  </r>
  <r>
    <d v="2026-08-27T00:00:00"/>
    <x v="1"/>
    <x v="6"/>
    <x v="1"/>
    <x v="92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2Marcandalli"/>
    <s v="2AS PIPPERIA"/>
    <s v="D0"/>
  </r>
  <r>
    <d v="2026-08-27T00:00:00"/>
    <x v="1"/>
    <x v="6"/>
    <x v="1"/>
    <x v="9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Norton-Cuffy"/>
    <s v="2"/>
    <s v="D0"/>
  </r>
  <r>
    <d v="2026-08-27T00:00:00"/>
    <x v="1"/>
    <x v="6"/>
    <x v="2"/>
    <x v="9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Messias"/>
    <s v="2"/>
    <s v="C0"/>
  </r>
  <r>
    <d v="2026-08-27T00:00:00"/>
    <x v="1"/>
    <x v="6"/>
    <x v="2"/>
    <x v="96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2Frendrup"/>
    <s v="2SAN GRIA"/>
    <s v="C0"/>
  </r>
  <r>
    <d v="2026-08-27T00:00:00"/>
    <x v="1"/>
    <x v="6"/>
    <x v="2"/>
    <x v="97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2Baldanzi"/>
    <s v="2PARTIZAN DEGRADO"/>
    <s v="C0"/>
  </r>
  <r>
    <d v="2026-08-27T00:00:00"/>
    <x v="1"/>
    <x v="6"/>
    <x v="2"/>
    <x v="9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Sow"/>
    <s v="2"/>
    <s v="C0"/>
  </r>
  <r>
    <d v="2026-08-27T00:00:00"/>
    <x v="1"/>
    <x v="6"/>
    <x v="2"/>
    <x v="9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Ellertsson"/>
    <s v="2"/>
    <s v="C0"/>
  </r>
  <r>
    <d v="2026-08-27T00:00:00"/>
    <x v="1"/>
    <x v="6"/>
    <x v="2"/>
    <x v="10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Meichtry"/>
    <s v="2"/>
    <s v="C0"/>
  </r>
  <r>
    <d v="2026-08-27T00:00:00"/>
    <x v="1"/>
    <x v="6"/>
    <x v="3"/>
    <x v="102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2Colombo"/>
    <s v="2PARTIZAN DEGRADO"/>
    <s v="A0"/>
  </r>
  <r>
    <d v="2026-08-27T00:00:00"/>
    <x v="1"/>
    <x v="6"/>
    <x v="3"/>
    <x v="10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Vitinha O."/>
    <s v="2"/>
    <s v="A0"/>
  </r>
  <r>
    <d v="2026-08-27T00:00:00"/>
    <x v="1"/>
    <x v="6"/>
    <x v="3"/>
    <x v="309"/>
    <n v="5.5"/>
    <n v="0"/>
    <n v="0"/>
    <n v="0"/>
    <n v="0"/>
    <n v="0"/>
    <n v="0"/>
    <n v="0"/>
    <n v="0"/>
    <n v="0"/>
    <m/>
    <n v="0"/>
    <x v="11"/>
    <n v="0"/>
    <m/>
    <s v=""/>
    <n v="5.5"/>
    <x v="0"/>
    <x v="0"/>
    <x v="0"/>
    <x v="0"/>
    <s v="2Osmajic"/>
    <s v="2SAN GRIA"/>
    <s v="A0"/>
  </r>
  <r>
    <d v="2026-08-27T00:00:00"/>
    <x v="1"/>
    <x v="7"/>
    <x v="0"/>
    <x v="104"/>
    <n v="6"/>
    <n v="0"/>
    <n v="0"/>
    <n v="0"/>
    <n v="0"/>
    <n v="0"/>
    <n v="0"/>
    <n v="0"/>
    <n v="0"/>
    <n v="0"/>
    <m/>
    <n v="1"/>
    <x v="6"/>
    <n v="0"/>
    <m/>
    <s v=""/>
    <n v="7"/>
    <x v="0"/>
    <x v="0"/>
    <x v="0"/>
    <x v="0"/>
    <s v="2Martinez Jo."/>
    <s v="2FC INTERNAZIOANALE"/>
    <s v="P0"/>
  </r>
  <r>
    <d v="2026-08-27T00:00:00"/>
    <x v="1"/>
    <x v="7"/>
    <x v="1"/>
    <x v="105"/>
    <n v="6.5"/>
    <n v="0"/>
    <n v="0"/>
    <n v="0"/>
    <n v="0"/>
    <n v="0"/>
    <n v="0"/>
    <n v="0"/>
    <n v="0"/>
    <n v="0"/>
    <m/>
    <n v="0"/>
    <x v="3"/>
    <n v="0"/>
    <m/>
    <s v=""/>
    <n v="6.5"/>
    <x v="0"/>
    <x v="0"/>
    <x v="0"/>
    <x v="0"/>
    <s v="2Dimarco"/>
    <s v="2TRICCHETRACHT"/>
    <s v="D0"/>
  </r>
  <r>
    <d v="2026-08-27T00:00:00"/>
    <x v="1"/>
    <x v="7"/>
    <x v="1"/>
    <x v="106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2Bastoni"/>
    <s v="2SAN GRIA"/>
    <s v="D0"/>
  </r>
  <r>
    <d v="2026-08-27T00:00:00"/>
    <x v="1"/>
    <x v="7"/>
    <x v="1"/>
    <x v="107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2Stones"/>
    <s v="2SHARK"/>
    <s v="D0"/>
  </r>
  <r>
    <d v="2026-08-27T00:00:00"/>
    <x v="1"/>
    <x v="7"/>
    <x v="1"/>
    <x v="108"/>
    <n v="5.5"/>
    <n v="0"/>
    <n v="0"/>
    <n v="0"/>
    <n v="0"/>
    <n v="0"/>
    <n v="0"/>
    <n v="1"/>
    <n v="0"/>
    <n v="0"/>
    <m/>
    <n v="0"/>
    <x v="7"/>
    <n v="0"/>
    <m/>
    <s v=""/>
    <n v="5"/>
    <x v="0"/>
    <x v="0"/>
    <x v="0"/>
    <x v="0"/>
    <s v="2Akanji"/>
    <s v="2SHARK"/>
    <s v="D0"/>
  </r>
  <r>
    <d v="2026-08-27T00:00:00"/>
    <x v="1"/>
    <x v="7"/>
    <x v="1"/>
    <x v="310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2Pavard"/>
    <s v="2ATL. IMPROVVISATO"/>
    <s v="D0"/>
  </r>
  <r>
    <d v="2026-08-27T00:00:00"/>
    <x v="1"/>
    <x v="7"/>
    <x v="1"/>
    <x v="109"/>
    <n v="6.5"/>
    <n v="0"/>
    <n v="0"/>
    <n v="0"/>
    <n v="0"/>
    <n v="0"/>
    <n v="0"/>
    <n v="0"/>
    <n v="0"/>
    <n v="0"/>
    <m/>
    <n v="0"/>
    <x v="2"/>
    <n v="0"/>
    <m/>
    <s v=""/>
    <n v="6.5"/>
    <x v="0"/>
    <x v="0"/>
    <x v="0"/>
    <x v="0"/>
    <s v="2Bisseck"/>
    <s v="2ATL. IMPROVVISATO"/>
    <s v="D0"/>
  </r>
  <r>
    <d v="2026-08-27T00:00:00"/>
    <x v="1"/>
    <x v="7"/>
    <x v="2"/>
    <x v="110"/>
    <n v="6.5"/>
    <n v="0"/>
    <n v="0"/>
    <n v="0"/>
    <n v="0"/>
    <n v="0"/>
    <n v="0"/>
    <n v="0"/>
    <n v="0"/>
    <n v="0"/>
    <m/>
    <n v="0"/>
    <x v="2"/>
    <n v="0"/>
    <m/>
    <s v=""/>
    <n v="6.5"/>
    <x v="0"/>
    <x v="0"/>
    <x v="0"/>
    <x v="0"/>
    <s v="2Zielinski"/>
    <s v="2ATL. IMPROVVISATO"/>
    <s v="C0"/>
  </r>
  <r>
    <d v="2026-08-27T00:00:00"/>
    <x v="1"/>
    <x v="7"/>
    <x v="2"/>
    <x v="111"/>
    <n v="7"/>
    <n v="0"/>
    <n v="0"/>
    <n v="0"/>
    <n v="0"/>
    <n v="0"/>
    <n v="0"/>
    <n v="0"/>
    <n v="0"/>
    <n v="1"/>
    <m/>
    <n v="0"/>
    <x v="5"/>
    <n v="0"/>
    <m/>
    <s v=""/>
    <n v="8"/>
    <x v="0"/>
    <x v="0"/>
    <x v="0"/>
    <x v="0"/>
    <s v="2Barella"/>
    <s v="2PESCICULINI"/>
    <s v="C0"/>
  </r>
  <r>
    <d v="2026-08-27T00:00:00"/>
    <x v="1"/>
    <x v="7"/>
    <x v="2"/>
    <x v="112"/>
    <n v="7"/>
    <n v="1"/>
    <n v="0"/>
    <n v="0"/>
    <n v="0"/>
    <n v="0"/>
    <n v="0"/>
    <n v="0"/>
    <n v="0"/>
    <n v="0"/>
    <n v="1"/>
    <n v="0"/>
    <x v="3"/>
    <n v="1"/>
    <m/>
    <s v=""/>
    <n v="11"/>
    <x v="0"/>
    <x v="0"/>
    <x v="0"/>
    <x v="0"/>
    <s v="2Calhanoglu"/>
    <s v="2TRICCHETRACHT"/>
    <s v="C0"/>
  </r>
  <r>
    <d v="2026-08-27T00:00:00"/>
    <x v="1"/>
    <x v="7"/>
    <x v="2"/>
    <x v="311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2Jones C."/>
    <s v="2PARTIZAN DEGRADO"/>
    <s v="C0"/>
  </r>
  <r>
    <d v="2026-08-27T00:00:00"/>
    <x v="1"/>
    <x v="7"/>
    <x v="2"/>
    <x v="11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Luis Henrique"/>
    <s v="2"/>
    <s v="C0"/>
  </r>
  <r>
    <d v="2026-08-27T00:00:00"/>
    <x v="1"/>
    <x v="7"/>
    <x v="2"/>
    <x v="115"/>
    <n v="6.5"/>
    <n v="0"/>
    <n v="0"/>
    <n v="0"/>
    <n v="0"/>
    <n v="0"/>
    <n v="0"/>
    <n v="0"/>
    <n v="0"/>
    <n v="0"/>
    <m/>
    <n v="0"/>
    <x v="9"/>
    <n v="0"/>
    <m/>
    <s v=""/>
    <n v="6.5"/>
    <x v="0"/>
    <x v="0"/>
    <x v="0"/>
    <x v="0"/>
    <s v="2Sucic P."/>
    <s v="2AC ASPARAGHESE"/>
    <s v="C0"/>
  </r>
  <r>
    <d v="2026-08-27T00:00:00"/>
    <x v="1"/>
    <x v="7"/>
    <x v="3"/>
    <x v="116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2Martinez L."/>
    <s v="2TRICCHETRACHT"/>
    <s v="A0"/>
  </r>
  <r>
    <d v="2026-08-27T00:00:00"/>
    <x v="1"/>
    <x v="7"/>
    <x v="3"/>
    <x v="312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2Thuram"/>
    <s v="2FC INTERNAZIOANALE"/>
    <s v="A0"/>
  </r>
  <r>
    <d v="2026-08-27T00:00:00"/>
    <x v="1"/>
    <x v="7"/>
    <x v="3"/>
    <x v="118"/>
    <n v="6.5"/>
    <n v="0"/>
    <n v="0"/>
    <n v="0"/>
    <n v="0"/>
    <n v="0"/>
    <n v="0"/>
    <n v="0"/>
    <n v="0"/>
    <n v="0"/>
    <m/>
    <n v="0"/>
    <x v="2"/>
    <n v="0"/>
    <m/>
    <s v=""/>
    <n v="6.5"/>
    <x v="0"/>
    <x v="0"/>
    <x v="0"/>
    <x v="0"/>
    <s v="2Esposito F.P."/>
    <s v="2ATL. IMPROVVISATO"/>
    <s v="A0"/>
  </r>
  <r>
    <d v="2026-08-27T00:00:00"/>
    <x v="1"/>
    <x v="8"/>
    <x v="0"/>
    <x v="120"/>
    <n v="6.5"/>
    <n v="0"/>
    <n v="0"/>
    <n v="0"/>
    <n v="0"/>
    <n v="0"/>
    <n v="0"/>
    <n v="0"/>
    <n v="0"/>
    <n v="0"/>
    <m/>
    <n v="1"/>
    <x v="3"/>
    <n v="0"/>
    <m/>
    <s v=""/>
    <n v="7.5"/>
    <x v="0"/>
    <x v="0"/>
    <x v="0"/>
    <x v="0"/>
    <s v="2Vicario"/>
    <s v="2TRICCHETRACHT"/>
    <s v="P0"/>
  </r>
  <r>
    <d v="2026-08-27T00:00:00"/>
    <x v="1"/>
    <x v="8"/>
    <x v="1"/>
    <x v="121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2Bremer"/>
    <s v="2SESTO ASENSIO"/>
    <s v="D0"/>
  </r>
  <r>
    <d v="2026-08-27T00:00:00"/>
    <x v="1"/>
    <x v="8"/>
    <x v="1"/>
    <x v="122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2Celik"/>
    <s v="2FC INTERNAZIOANALE"/>
    <s v="D0"/>
  </r>
  <r>
    <d v="2026-08-27T00:00:00"/>
    <x v="1"/>
    <x v="8"/>
    <x v="1"/>
    <x v="123"/>
    <n v="6.5"/>
    <n v="0"/>
    <n v="0"/>
    <n v="0"/>
    <n v="0"/>
    <n v="0"/>
    <n v="0"/>
    <n v="0"/>
    <n v="0"/>
    <n v="0"/>
    <m/>
    <n v="0"/>
    <x v="9"/>
    <n v="0"/>
    <m/>
    <s v=""/>
    <n v="6.5"/>
    <x v="0"/>
    <x v="0"/>
    <x v="0"/>
    <x v="0"/>
    <s v="2Kalulu"/>
    <s v="2AC ASPARAGHESE"/>
    <s v="D0"/>
  </r>
  <r>
    <d v="2026-08-27T00:00:00"/>
    <x v="1"/>
    <x v="8"/>
    <x v="1"/>
    <x v="313"/>
    <n v="5.5"/>
    <n v="0"/>
    <n v="0"/>
    <n v="0"/>
    <n v="0"/>
    <n v="0"/>
    <n v="0"/>
    <n v="1"/>
    <n v="0"/>
    <n v="0"/>
    <m/>
    <n v="0"/>
    <x v="1"/>
    <n v="0"/>
    <m/>
    <s v=""/>
    <n v="5"/>
    <x v="0"/>
    <x v="0"/>
    <x v="0"/>
    <x v="0"/>
    <s v="2Lucumì"/>
    <s v="2SESTO ASENSIO"/>
    <s v="D0"/>
  </r>
  <r>
    <d v="2026-08-27T00:00:00"/>
    <x v="1"/>
    <x v="8"/>
    <x v="1"/>
    <x v="12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Kelly L."/>
    <s v="2"/>
    <s v="D0"/>
  </r>
  <r>
    <d v="2026-08-27T00:00:00"/>
    <x v="1"/>
    <x v="8"/>
    <x v="2"/>
    <x v="126"/>
    <n v="7"/>
    <n v="0"/>
    <n v="0"/>
    <n v="0"/>
    <n v="0"/>
    <n v="0"/>
    <n v="0"/>
    <n v="1"/>
    <n v="0"/>
    <n v="1"/>
    <m/>
    <n v="0"/>
    <x v="2"/>
    <n v="0"/>
    <m/>
    <s v=""/>
    <n v="7.5"/>
    <x v="0"/>
    <x v="0"/>
    <x v="0"/>
    <x v="0"/>
    <s v="2Locatelli"/>
    <s v="2ATL. IMPROVVISATO"/>
    <s v="C0"/>
  </r>
  <r>
    <d v="2026-08-27T00:00:00"/>
    <x v="1"/>
    <x v="8"/>
    <x v="2"/>
    <x v="314"/>
    <n v="7.5"/>
    <n v="1"/>
    <n v="0"/>
    <n v="0"/>
    <n v="0"/>
    <n v="0"/>
    <n v="0"/>
    <n v="0"/>
    <n v="0"/>
    <n v="0"/>
    <n v="1"/>
    <n v="0"/>
    <x v="1"/>
    <n v="1"/>
    <m/>
    <s v=""/>
    <n v="11.5"/>
    <x v="0"/>
    <x v="0"/>
    <x v="0"/>
    <x v="0"/>
    <s v="2Gonzalez N."/>
    <s v="2SESTO ASENSIO"/>
    <s v="C0"/>
  </r>
  <r>
    <d v="2026-08-27T00:00:00"/>
    <x v="1"/>
    <x v="8"/>
    <x v="2"/>
    <x v="127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2Douglas Luiz"/>
    <s v="2AS PIPPERIA"/>
    <s v="C0"/>
  </r>
  <r>
    <d v="2026-08-27T00:00:00"/>
    <x v="1"/>
    <x v="8"/>
    <x v="2"/>
    <x v="315"/>
    <n v="7"/>
    <n v="1"/>
    <n v="0"/>
    <n v="0"/>
    <n v="0"/>
    <n v="0"/>
    <n v="0"/>
    <n v="0"/>
    <n v="0"/>
    <n v="0"/>
    <m/>
    <n v="0"/>
    <x v="1"/>
    <n v="1"/>
    <m/>
    <s v=""/>
    <n v="10"/>
    <x v="0"/>
    <x v="0"/>
    <x v="0"/>
    <x v="0"/>
    <s v="2Koopmeiners"/>
    <s v="2SESTO ASENSIO"/>
    <s v="C0"/>
  </r>
  <r>
    <d v="2026-08-27T00:00:00"/>
    <x v="1"/>
    <x v="8"/>
    <x v="2"/>
    <x v="130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2Conceicao"/>
    <s v="2SAN GRIA"/>
    <s v="C0"/>
  </r>
  <r>
    <d v="2026-08-27T00:00:00"/>
    <x v="1"/>
    <x v="8"/>
    <x v="2"/>
    <x v="316"/>
    <n v="5.5"/>
    <n v="0"/>
    <n v="0"/>
    <n v="0"/>
    <n v="0"/>
    <n v="0"/>
    <n v="0"/>
    <n v="0"/>
    <n v="0"/>
    <n v="0"/>
    <m/>
    <n v="0"/>
    <x v="9"/>
    <n v="0"/>
    <m/>
    <s v=""/>
    <n v="5.5"/>
    <x v="0"/>
    <x v="0"/>
    <x v="0"/>
    <x v="0"/>
    <s v="2Alajbegovic"/>
    <s v="2AC ASPARAGHESE"/>
    <s v="C0"/>
  </r>
  <r>
    <d v="2026-08-27T00:00:00"/>
    <x v="1"/>
    <x v="8"/>
    <x v="3"/>
    <x v="131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2Boga"/>
    <s v="2TRICCHETRACHT"/>
    <s v="A0"/>
  </r>
  <r>
    <d v="2026-08-27T00:00:00"/>
    <x v="1"/>
    <x v="8"/>
    <x v="3"/>
    <x v="317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David"/>
    <s v="2"/>
    <s v="A0"/>
  </r>
  <r>
    <d v="2026-08-27T00:00:00"/>
    <x v="1"/>
    <x v="8"/>
    <x v="3"/>
    <x v="132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2Kolo Muani"/>
    <s v="2SAN GRIA"/>
    <s v="A0"/>
  </r>
  <r>
    <d v="2026-08-27T00:00:00"/>
    <x v="1"/>
    <x v="9"/>
    <x v="0"/>
    <x v="134"/>
    <n v="6"/>
    <n v="0"/>
    <n v="0"/>
    <n v="0"/>
    <n v="0"/>
    <n v="0"/>
    <n v="0"/>
    <n v="0"/>
    <n v="0"/>
    <n v="0"/>
    <m/>
    <n v="1"/>
    <x v="4"/>
    <n v="0"/>
    <m/>
    <s v=""/>
    <n v="7"/>
    <x v="0"/>
    <x v="0"/>
    <x v="0"/>
    <x v="0"/>
    <s v="2Mandas"/>
    <s v="2AS PIPPERIA"/>
    <s v="P0"/>
  </r>
  <r>
    <d v="2026-08-27T00:00:00"/>
    <x v="1"/>
    <x v="9"/>
    <x v="1"/>
    <x v="136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2Pedraza"/>
    <s v="2TRICCHETRACHT"/>
    <s v="D0"/>
  </r>
  <r>
    <d v="2026-08-27T00:00:00"/>
    <x v="1"/>
    <x v="9"/>
    <x v="1"/>
    <x v="318"/>
    <n v="6.5"/>
    <n v="0"/>
    <n v="0"/>
    <n v="0"/>
    <n v="0"/>
    <n v="0"/>
    <n v="0"/>
    <n v="0"/>
    <n v="0"/>
    <n v="1"/>
    <m/>
    <n v="0"/>
    <x v="11"/>
    <n v="0"/>
    <m/>
    <s v=""/>
    <n v="7.5"/>
    <x v="0"/>
    <x v="0"/>
    <x v="0"/>
    <x v="0"/>
    <s v="2Tavares N."/>
    <s v="2SAN GRIA"/>
    <s v="D0"/>
  </r>
  <r>
    <d v="2026-08-27T00:00:00"/>
    <x v="1"/>
    <x v="9"/>
    <x v="1"/>
    <x v="137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2Doekhi"/>
    <s v="2AC ASPARAGHESE"/>
    <s v="D0"/>
  </r>
  <r>
    <d v="2026-08-27T00:00:00"/>
    <x v="1"/>
    <x v="9"/>
    <x v="1"/>
    <x v="13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Provstgaard"/>
    <s v="2"/>
    <s v="D0"/>
  </r>
  <r>
    <d v="2026-08-27T00:00:00"/>
    <x v="1"/>
    <x v="9"/>
    <x v="1"/>
    <x v="139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2Floriani Mussolini"/>
    <s v="2"/>
    <s v="D0"/>
  </r>
  <r>
    <d v="2026-08-27T00:00:00"/>
    <x v="1"/>
    <x v="9"/>
    <x v="2"/>
    <x v="140"/>
    <n v="6"/>
    <n v="0"/>
    <n v="0"/>
    <n v="0"/>
    <n v="0"/>
    <n v="0"/>
    <n v="0"/>
    <n v="1"/>
    <n v="0"/>
    <n v="0"/>
    <m/>
    <n v="0"/>
    <x v="4"/>
    <n v="0"/>
    <m/>
    <s v=""/>
    <n v="5.5"/>
    <x v="0"/>
    <x v="0"/>
    <x v="0"/>
    <x v="0"/>
    <s v="2Zaccagni"/>
    <s v="2AS PIPPERIA"/>
    <s v="C0"/>
  </r>
  <r>
    <d v="2026-08-27T00:00:00"/>
    <x v="1"/>
    <x v="9"/>
    <x v="2"/>
    <x v="141"/>
    <n v="7"/>
    <n v="1"/>
    <n v="0"/>
    <n v="0"/>
    <n v="0"/>
    <n v="0"/>
    <n v="0"/>
    <n v="0"/>
    <n v="0"/>
    <n v="0"/>
    <n v="1"/>
    <n v="0"/>
    <x v="3"/>
    <n v="1"/>
    <m/>
    <s v=""/>
    <n v="11"/>
    <x v="0"/>
    <x v="0"/>
    <x v="0"/>
    <x v="0"/>
    <s v="2Frattesi"/>
    <s v="2TRICCHETRACHT"/>
    <s v="C0"/>
  </r>
  <r>
    <d v="2026-08-27T00:00:00"/>
    <x v="1"/>
    <x v="9"/>
    <x v="2"/>
    <x v="14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Rovella"/>
    <s v="2"/>
    <s v="C0"/>
  </r>
  <r>
    <d v="2026-08-27T00:00:00"/>
    <x v="1"/>
    <x v="9"/>
    <x v="2"/>
    <x v="143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2Cancellieri"/>
    <s v="2ATL. IMPROVVISATO"/>
    <s v="C0"/>
  </r>
  <r>
    <d v="2026-08-27T00:00:00"/>
    <x v="1"/>
    <x v="9"/>
    <x v="2"/>
    <x v="31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Belahyane"/>
    <s v="2"/>
    <s v="C0"/>
  </r>
  <r>
    <d v="2026-08-27T00:00:00"/>
    <x v="1"/>
    <x v="9"/>
    <x v="2"/>
    <x v="144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2Isaksen"/>
    <s v="2PESCICULINI"/>
    <s v="C0"/>
  </r>
  <r>
    <d v="2026-08-27T00:00:00"/>
    <x v="1"/>
    <x v="9"/>
    <x v="2"/>
    <x v="146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2Taylor K."/>
    <s v="2SHARK"/>
    <s v="C0"/>
  </r>
  <r>
    <d v="2026-08-27T00:00:00"/>
    <x v="1"/>
    <x v="9"/>
    <x v="3"/>
    <x v="14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Dia"/>
    <s v="2"/>
    <s v="A0"/>
  </r>
  <r>
    <d v="2026-08-27T00:00:00"/>
    <x v="1"/>
    <x v="10"/>
    <x v="0"/>
    <x v="148"/>
    <n v="5.5"/>
    <n v="0"/>
    <n v="4"/>
    <n v="0"/>
    <n v="0"/>
    <n v="0"/>
    <n v="0"/>
    <n v="0"/>
    <n v="0"/>
    <n v="0"/>
    <m/>
    <n v="0"/>
    <x v="10"/>
    <n v="0"/>
    <m/>
    <s v=""/>
    <n v="1.5"/>
    <x v="0"/>
    <x v="0"/>
    <x v="0"/>
    <x v="0"/>
    <s v="2Falcone"/>
    <s v="2PARTIZAN DEGRADO"/>
    <s v="P4"/>
  </r>
  <r>
    <d v="2026-08-27T00:00:00"/>
    <x v="1"/>
    <x v="10"/>
    <x v="1"/>
    <x v="150"/>
    <n v="4"/>
    <n v="0"/>
    <n v="0"/>
    <n v="0"/>
    <n v="0"/>
    <n v="0"/>
    <n v="0"/>
    <n v="0"/>
    <n v="0"/>
    <n v="0"/>
    <m/>
    <n v="0"/>
    <x v="4"/>
    <n v="0"/>
    <m/>
    <s v=""/>
    <n v="4"/>
    <x v="0"/>
    <x v="0"/>
    <x v="0"/>
    <x v="0"/>
    <s v="2Gaspar K."/>
    <s v="2AS PIPPERIA"/>
    <s v="D0"/>
  </r>
  <r>
    <d v="2026-08-27T00:00:00"/>
    <x v="1"/>
    <x v="10"/>
    <x v="1"/>
    <x v="151"/>
    <n v="5"/>
    <n v="0"/>
    <n v="0"/>
    <n v="0"/>
    <n v="0"/>
    <n v="0"/>
    <n v="0"/>
    <n v="0"/>
    <n v="0"/>
    <n v="0"/>
    <m/>
    <n v="0"/>
    <x v="10"/>
    <n v="0"/>
    <m/>
    <s v=""/>
    <n v="5"/>
    <x v="0"/>
    <x v="0"/>
    <x v="0"/>
    <x v="0"/>
    <s v="2Tiago Gabriel"/>
    <s v="2PARTIZAN DEGRADO"/>
    <s v="D0"/>
  </r>
  <r>
    <d v="2026-08-27T00:00:00"/>
    <x v="1"/>
    <x v="10"/>
    <x v="1"/>
    <x v="152"/>
    <n v="5"/>
    <n v="0"/>
    <n v="0"/>
    <n v="0"/>
    <n v="0"/>
    <n v="0"/>
    <n v="0"/>
    <n v="0"/>
    <n v="0"/>
    <n v="0"/>
    <m/>
    <n v="0"/>
    <x v="3"/>
    <n v="0"/>
    <m/>
    <s v=""/>
    <n v="5"/>
    <x v="0"/>
    <x v="0"/>
    <x v="0"/>
    <x v="0"/>
    <s v="2Veiga D."/>
    <s v="2TRICCHETRACHT"/>
    <s v="D0"/>
  </r>
  <r>
    <d v="2026-08-27T00:00:00"/>
    <x v="1"/>
    <x v="10"/>
    <x v="1"/>
    <x v="153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Ndaba"/>
    <s v="2"/>
    <s v="D0"/>
  </r>
  <r>
    <d v="2026-08-27T00:00:00"/>
    <x v="1"/>
    <x v="10"/>
    <x v="1"/>
    <x v="154"/>
    <n v="4.5"/>
    <n v="0"/>
    <n v="0"/>
    <n v="0"/>
    <n v="0"/>
    <n v="0"/>
    <n v="0"/>
    <n v="0"/>
    <n v="0"/>
    <n v="0"/>
    <m/>
    <n v="0"/>
    <x v="8"/>
    <n v="0"/>
    <m/>
    <s v=""/>
    <n v="4.5"/>
    <x v="0"/>
    <x v="0"/>
    <x v="0"/>
    <x v="0"/>
    <s v="2Siebert"/>
    <s v="2"/>
    <s v="D0"/>
  </r>
  <r>
    <d v="2026-08-27T00:00:00"/>
    <x v="1"/>
    <x v="10"/>
    <x v="2"/>
    <x v="320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2Ilic"/>
    <s v="2"/>
    <s v="C0"/>
  </r>
  <r>
    <d v="2026-08-27T00:00:00"/>
    <x v="1"/>
    <x v="10"/>
    <x v="2"/>
    <x v="155"/>
    <n v="5.5"/>
    <n v="0"/>
    <n v="0"/>
    <n v="0"/>
    <n v="0"/>
    <n v="0"/>
    <n v="0"/>
    <n v="0"/>
    <n v="0"/>
    <n v="0"/>
    <m/>
    <n v="0"/>
    <x v="7"/>
    <n v="0"/>
    <m/>
    <s v=""/>
    <n v="5.5"/>
    <x v="0"/>
    <x v="0"/>
    <x v="0"/>
    <x v="0"/>
    <s v="2Maleh"/>
    <s v="2SHARK"/>
    <s v="C0"/>
  </r>
  <r>
    <d v="2026-08-27T00:00:00"/>
    <x v="1"/>
    <x v="10"/>
    <x v="2"/>
    <x v="156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Coulibaly L."/>
    <s v="2"/>
    <s v="C0"/>
  </r>
  <r>
    <d v="2026-08-27T00:00:00"/>
    <x v="1"/>
    <x v="10"/>
    <x v="2"/>
    <x v="15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Pierotti"/>
    <s v="2"/>
    <s v="C0"/>
  </r>
  <r>
    <d v="2026-08-27T00:00:00"/>
    <x v="1"/>
    <x v="10"/>
    <x v="2"/>
    <x v="158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Gorter"/>
    <s v="2"/>
    <s v="C0"/>
  </r>
  <r>
    <d v="2026-08-27T00:00:00"/>
    <x v="1"/>
    <x v="10"/>
    <x v="2"/>
    <x v="159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Ngom"/>
    <s v="2"/>
    <s v="C0"/>
  </r>
  <r>
    <d v="2026-08-27T00:00:00"/>
    <x v="1"/>
    <x v="10"/>
    <x v="3"/>
    <x v="160"/>
    <n v="5"/>
    <n v="0"/>
    <n v="0"/>
    <n v="0"/>
    <n v="0"/>
    <n v="0"/>
    <n v="0"/>
    <n v="0"/>
    <n v="0"/>
    <n v="0"/>
    <m/>
    <n v="0"/>
    <x v="4"/>
    <n v="0"/>
    <m/>
    <s v=""/>
    <n v="5"/>
    <x v="0"/>
    <x v="0"/>
    <x v="0"/>
    <x v="0"/>
    <s v="2Geubbels"/>
    <s v="2AS PIPPERIA"/>
    <s v="A0"/>
  </r>
  <r>
    <d v="2026-08-27T00:00:00"/>
    <x v="1"/>
    <x v="10"/>
    <x v="3"/>
    <x v="16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N'Dri"/>
    <s v="2"/>
    <s v="A0"/>
  </r>
  <r>
    <d v="2026-08-27T00:00:00"/>
    <x v="1"/>
    <x v="10"/>
    <x v="3"/>
    <x v="162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Stulic"/>
    <s v="2"/>
    <s v="A0"/>
  </r>
  <r>
    <d v="2026-08-27T00:00:00"/>
    <x v="1"/>
    <x v="10"/>
    <x v="3"/>
    <x v="32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Fatah"/>
    <s v="2"/>
    <s v="A0"/>
  </r>
  <r>
    <d v="2026-08-27T00:00:00"/>
    <x v="1"/>
    <x v="11"/>
    <x v="0"/>
    <x v="163"/>
    <n v="6"/>
    <n v="0"/>
    <n v="0"/>
    <n v="0"/>
    <n v="0"/>
    <n v="0"/>
    <n v="0"/>
    <n v="0"/>
    <n v="0"/>
    <n v="0"/>
    <m/>
    <n v="1"/>
    <x v="1"/>
    <n v="0"/>
    <m/>
    <s v=""/>
    <n v="7"/>
    <x v="0"/>
    <x v="0"/>
    <x v="0"/>
    <x v="0"/>
    <s v="2Maignan"/>
    <s v="2SESTO ASENSIO"/>
    <s v="P0"/>
  </r>
  <r>
    <d v="2026-08-27T00:00:00"/>
    <x v="1"/>
    <x v="11"/>
    <x v="1"/>
    <x v="165"/>
    <n v="6.5"/>
    <n v="0"/>
    <n v="0"/>
    <n v="0"/>
    <n v="0"/>
    <n v="0"/>
    <n v="0"/>
    <n v="1"/>
    <n v="0"/>
    <n v="0"/>
    <m/>
    <n v="0"/>
    <x v="1"/>
    <n v="0"/>
    <m/>
    <s v=""/>
    <n v="6"/>
    <x v="0"/>
    <x v="0"/>
    <x v="0"/>
    <x v="0"/>
    <s v="2Pavlovic"/>
    <s v="2SESTO ASENSIO"/>
    <s v="D0"/>
  </r>
  <r>
    <d v="2026-08-27T00:00:00"/>
    <x v="1"/>
    <x v="11"/>
    <x v="1"/>
    <x v="167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2De Winter"/>
    <s v="2SESTO ASENSIO"/>
    <s v="D0"/>
  </r>
  <r>
    <d v="2026-08-27T00:00:00"/>
    <x v="1"/>
    <x v="11"/>
    <x v="1"/>
    <x v="168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2Gila"/>
    <s v="2SAN GRIA"/>
    <s v="D0"/>
  </r>
  <r>
    <d v="2026-08-27T00:00:00"/>
    <x v="1"/>
    <x v="11"/>
    <x v="1"/>
    <x v="169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2Bartesaghi"/>
    <s v="2AS PIPPERIA"/>
    <s v="D0"/>
  </r>
  <r>
    <d v="2026-08-27T00:00:00"/>
    <x v="1"/>
    <x v="11"/>
    <x v="2"/>
    <x v="170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2Rabiot"/>
    <s v="2SAN GRIA"/>
    <s v="C0"/>
  </r>
  <r>
    <d v="2026-08-27T00:00:00"/>
    <x v="1"/>
    <x v="11"/>
    <x v="2"/>
    <x v="171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Modric"/>
    <s v="2SESTO ASENSIO"/>
    <s v="C0"/>
  </r>
  <r>
    <d v="2026-08-27T00:00:00"/>
    <x v="1"/>
    <x v="11"/>
    <x v="2"/>
    <x v="172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2Loftus-Cheek"/>
    <s v="2SHARK"/>
    <s v="C0"/>
  </r>
  <r>
    <d v="2026-08-27T00:00:00"/>
    <x v="1"/>
    <x v="11"/>
    <x v="2"/>
    <x v="173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2Chukwueze"/>
    <s v="2SAN GRIA"/>
    <s v="C0"/>
  </r>
  <r>
    <d v="2026-08-27T00:00:00"/>
    <x v="1"/>
    <x v="11"/>
    <x v="2"/>
    <x v="174"/>
    <n v="7"/>
    <n v="0"/>
    <n v="0"/>
    <n v="0"/>
    <n v="0"/>
    <n v="0"/>
    <n v="0"/>
    <n v="0"/>
    <n v="0"/>
    <n v="1"/>
    <m/>
    <n v="0"/>
    <x v="11"/>
    <n v="0"/>
    <m/>
    <s v=""/>
    <n v="8"/>
    <x v="0"/>
    <x v="0"/>
    <x v="0"/>
    <x v="0"/>
    <s v="2Saelemaekers"/>
    <s v="2SAN GRIA"/>
    <s v="C0"/>
  </r>
  <r>
    <d v="2026-08-27T00:00:00"/>
    <x v="1"/>
    <x v="11"/>
    <x v="2"/>
    <x v="175"/>
    <n v="6.5"/>
    <n v="0"/>
    <n v="0"/>
    <n v="0"/>
    <n v="0"/>
    <n v="0"/>
    <n v="0"/>
    <n v="0"/>
    <n v="0"/>
    <n v="0"/>
    <m/>
    <n v="0"/>
    <x v="7"/>
    <n v="0"/>
    <m/>
    <s v=""/>
    <n v="6.5"/>
    <x v="0"/>
    <x v="0"/>
    <x v="0"/>
    <x v="0"/>
    <s v="2Musah"/>
    <s v="2SHARK"/>
    <s v="C0"/>
  </r>
  <r>
    <d v="2026-08-27T00:00:00"/>
    <x v="1"/>
    <x v="11"/>
    <x v="2"/>
    <x v="176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2Cissè A."/>
    <s v="2SESTO ASENSIO"/>
    <s v="C0"/>
  </r>
  <r>
    <d v="2026-08-27T00:00:00"/>
    <x v="1"/>
    <x v="11"/>
    <x v="2"/>
    <x v="177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2Jashari"/>
    <s v="2ATL. IMPROVVISATO"/>
    <s v="C0"/>
  </r>
  <r>
    <d v="2026-08-27T00:00:00"/>
    <x v="1"/>
    <x v="11"/>
    <x v="3"/>
    <x v="178"/>
    <n v="7"/>
    <n v="1"/>
    <n v="0"/>
    <n v="0"/>
    <n v="0"/>
    <n v="0"/>
    <n v="0"/>
    <n v="0"/>
    <n v="0"/>
    <n v="0"/>
    <n v="1"/>
    <n v="0"/>
    <x v="4"/>
    <n v="1"/>
    <m/>
    <s v=""/>
    <n v="11"/>
    <x v="0"/>
    <x v="0"/>
    <x v="0"/>
    <x v="0"/>
    <s v="2Ramos G."/>
    <s v="2AS PIPPERIA"/>
    <s v="A0"/>
  </r>
  <r>
    <d v="2026-08-27T00:00:00"/>
    <x v="1"/>
    <x v="12"/>
    <x v="0"/>
    <x v="322"/>
    <n v="4.5"/>
    <n v="0"/>
    <n v="3"/>
    <n v="0"/>
    <n v="0"/>
    <n v="0"/>
    <n v="0"/>
    <n v="0"/>
    <n v="0"/>
    <n v="0"/>
    <m/>
    <n v="0"/>
    <x v="9"/>
    <n v="0"/>
    <m/>
    <s v=""/>
    <n v="1.5"/>
    <x v="0"/>
    <x v="0"/>
    <x v="0"/>
    <x v="0"/>
    <s v="2Thiam"/>
    <s v="2AC ASPARAGHESE"/>
    <s v="P3"/>
  </r>
  <r>
    <d v="2026-08-27T00:00:00"/>
    <x v="1"/>
    <x v="12"/>
    <x v="1"/>
    <x v="32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Delli Carri"/>
    <s v="2"/>
    <s v="D0"/>
  </r>
  <r>
    <d v="2026-08-27T00:00:00"/>
    <x v="1"/>
    <x v="12"/>
    <x v="1"/>
    <x v="18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Carboni A."/>
    <s v="2"/>
    <s v="D0"/>
  </r>
  <r>
    <d v="2026-08-27T00:00:00"/>
    <x v="1"/>
    <x v="12"/>
    <x v="1"/>
    <x v="18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Birindelli"/>
    <s v="2"/>
    <s v="D0"/>
  </r>
  <r>
    <d v="2026-08-27T00:00:00"/>
    <x v="1"/>
    <x v="12"/>
    <x v="1"/>
    <x v="182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2Lucchesi"/>
    <s v="2"/>
    <s v="D0"/>
  </r>
  <r>
    <d v="2026-08-27T00:00:00"/>
    <x v="1"/>
    <x v="12"/>
    <x v="1"/>
    <x v="18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Kouadio"/>
    <s v="2"/>
    <s v="D0"/>
  </r>
  <r>
    <d v="2026-08-27T00:00:00"/>
    <x v="1"/>
    <x v="12"/>
    <x v="1"/>
    <x v="185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2Mangas"/>
    <s v="2"/>
    <s v="D0"/>
  </r>
  <r>
    <d v="2026-08-27T00:00:00"/>
    <x v="1"/>
    <x v="12"/>
    <x v="2"/>
    <x v="187"/>
    <n v="6.5"/>
    <n v="1"/>
    <n v="0"/>
    <n v="0"/>
    <n v="0"/>
    <n v="0"/>
    <n v="0"/>
    <n v="0"/>
    <n v="0"/>
    <n v="0"/>
    <m/>
    <n v="0"/>
    <x v="4"/>
    <n v="1"/>
    <m/>
    <s v=""/>
    <n v="9.5"/>
    <x v="0"/>
    <x v="0"/>
    <x v="0"/>
    <x v="0"/>
    <s v="2Colpani"/>
    <s v="2AS PIPPERIA"/>
    <s v="C0"/>
  </r>
  <r>
    <d v="2026-08-27T00:00:00"/>
    <x v="1"/>
    <x v="12"/>
    <x v="2"/>
    <x v="32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Folorunsho"/>
    <s v="2"/>
    <s v="C0"/>
  </r>
  <r>
    <d v="2026-08-27T00:00:00"/>
    <x v="1"/>
    <x v="12"/>
    <x v="2"/>
    <x v="325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2Akinsanmiro"/>
    <s v="2"/>
    <s v="C0"/>
  </r>
  <r>
    <d v="2026-08-27T00:00:00"/>
    <x v="1"/>
    <x v="12"/>
    <x v="2"/>
    <x v="18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Foe Ondoa"/>
    <s v="2"/>
    <s v="C0"/>
  </r>
  <r>
    <d v="2026-08-27T00:00:00"/>
    <x v="1"/>
    <x v="12"/>
    <x v="2"/>
    <x v="190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Mout"/>
    <s v="2"/>
    <s v="C0"/>
  </r>
  <r>
    <d v="2026-08-27T00:00:00"/>
    <x v="1"/>
    <x v="12"/>
    <x v="3"/>
    <x v="191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2Cutrone"/>
    <s v="2SHARK"/>
    <s v="A0"/>
  </r>
  <r>
    <d v="2026-08-27T00:00:00"/>
    <x v="1"/>
    <x v="12"/>
    <x v="3"/>
    <x v="192"/>
    <n v="7"/>
    <n v="1"/>
    <n v="0"/>
    <n v="0"/>
    <n v="0"/>
    <n v="0"/>
    <n v="0"/>
    <n v="0"/>
    <n v="0"/>
    <n v="0"/>
    <m/>
    <n v="0"/>
    <x v="9"/>
    <n v="1"/>
    <m/>
    <s v=""/>
    <n v="10"/>
    <x v="0"/>
    <x v="0"/>
    <x v="0"/>
    <x v="0"/>
    <s v="2Varela G."/>
    <s v="2AC ASPARAGHESE"/>
    <s v="A0"/>
  </r>
  <r>
    <d v="2026-08-27T00:00:00"/>
    <x v="1"/>
    <x v="13"/>
    <x v="0"/>
    <x v="193"/>
    <n v="6"/>
    <n v="0"/>
    <n v="2"/>
    <n v="0"/>
    <n v="0"/>
    <n v="0"/>
    <n v="0"/>
    <n v="0"/>
    <n v="0"/>
    <n v="0"/>
    <m/>
    <n v="0"/>
    <x v="5"/>
    <n v="0"/>
    <m/>
    <s v=""/>
    <n v="4"/>
    <x v="0"/>
    <x v="0"/>
    <x v="0"/>
    <x v="0"/>
    <s v="2Meret"/>
    <s v="2PESCICULINI"/>
    <s v="P2"/>
  </r>
  <r>
    <d v="2026-08-27T00:00:00"/>
    <x v="1"/>
    <x v="13"/>
    <x v="1"/>
    <x v="194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2Spinazzola"/>
    <s v="2ATL. IMPROVVISATO"/>
    <s v="D0"/>
  </r>
  <r>
    <d v="2026-08-27T00:00:00"/>
    <x v="1"/>
    <x v="13"/>
    <x v="1"/>
    <x v="195"/>
    <n v="5.5"/>
    <n v="0"/>
    <n v="0"/>
    <n v="0"/>
    <n v="0"/>
    <n v="0"/>
    <n v="0"/>
    <n v="1"/>
    <n v="0"/>
    <n v="0"/>
    <m/>
    <n v="0"/>
    <x v="4"/>
    <n v="0"/>
    <m/>
    <s v=""/>
    <n v="5"/>
    <x v="0"/>
    <x v="0"/>
    <x v="0"/>
    <x v="0"/>
    <s v="2Di Lorenzo"/>
    <s v="2AS PIPPERIA"/>
    <s v="D0"/>
  </r>
  <r>
    <d v="2026-08-27T00:00:00"/>
    <x v="1"/>
    <x v="13"/>
    <x v="1"/>
    <x v="196"/>
    <n v="6"/>
    <n v="0"/>
    <n v="0"/>
    <n v="0"/>
    <n v="0"/>
    <n v="0"/>
    <n v="0"/>
    <n v="0"/>
    <n v="0"/>
    <n v="1"/>
    <m/>
    <n v="0"/>
    <x v="7"/>
    <n v="0"/>
    <m/>
    <s v=""/>
    <n v="7"/>
    <x v="0"/>
    <x v="0"/>
    <x v="0"/>
    <x v="0"/>
    <s v="2Rrahmani"/>
    <s v="2SHARK"/>
    <s v="D0"/>
  </r>
  <r>
    <d v="2026-08-27T00:00:00"/>
    <x v="1"/>
    <x v="13"/>
    <x v="1"/>
    <x v="326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Olivera"/>
    <s v="2"/>
    <s v="D0"/>
  </r>
  <r>
    <d v="2026-08-27T00:00:00"/>
    <x v="1"/>
    <x v="13"/>
    <x v="1"/>
    <x v="197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Marin R."/>
    <s v="2"/>
    <s v="D0"/>
  </r>
  <r>
    <d v="2026-08-27T00:00:00"/>
    <x v="1"/>
    <x v="13"/>
    <x v="2"/>
    <x v="198"/>
    <n v="5.5"/>
    <n v="0"/>
    <n v="0"/>
    <n v="0"/>
    <n v="0"/>
    <n v="0"/>
    <n v="0"/>
    <n v="0"/>
    <n v="0"/>
    <n v="0"/>
    <m/>
    <n v="0"/>
    <x v="5"/>
    <n v="0"/>
    <m/>
    <s v=""/>
    <n v="5.5"/>
    <x v="0"/>
    <x v="0"/>
    <x v="0"/>
    <x v="0"/>
    <s v="2Politano"/>
    <s v="2PESCICULINI"/>
    <s v="C0"/>
  </r>
  <r>
    <d v="2026-08-27T00:00:00"/>
    <x v="1"/>
    <x v="13"/>
    <x v="2"/>
    <x v="199"/>
    <n v="6.5"/>
    <n v="0"/>
    <n v="0"/>
    <n v="0"/>
    <n v="0"/>
    <n v="0"/>
    <n v="0"/>
    <n v="0"/>
    <n v="0"/>
    <n v="0"/>
    <m/>
    <n v="0"/>
    <x v="6"/>
    <n v="0"/>
    <m/>
    <s v=""/>
    <n v="6.5"/>
    <x v="0"/>
    <x v="0"/>
    <x v="0"/>
    <x v="0"/>
    <s v="2De Bruyne"/>
    <s v="2FC INTERNAZIOANALE"/>
    <s v="C0"/>
  </r>
  <r>
    <d v="2026-08-27T00:00:00"/>
    <x v="1"/>
    <x v="13"/>
    <x v="2"/>
    <x v="200"/>
    <n v="5"/>
    <n v="0"/>
    <n v="0"/>
    <n v="0"/>
    <n v="0"/>
    <n v="0"/>
    <n v="0"/>
    <n v="0"/>
    <n v="0"/>
    <n v="0"/>
    <m/>
    <n v="0"/>
    <x v="2"/>
    <n v="0"/>
    <m/>
    <s v=""/>
    <n v="5"/>
    <x v="0"/>
    <x v="0"/>
    <x v="0"/>
    <x v="0"/>
    <s v="2Zambo Anguissa"/>
    <s v="2ATL. IMPROVVISATO"/>
    <s v="C0"/>
  </r>
  <r>
    <d v="2026-08-27T00:00:00"/>
    <x v="1"/>
    <x v="13"/>
    <x v="2"/>
    <x v="201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2Lobotka"/>
    <s v="2SHARK"/>
    <s v="C0"/>
  </r>
  <r>
    <d v="2026-08-27T00:00:00"/>
    <x v="1"/>
    <x v="13"/>
    <x v="2"/>
    <x v="202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2McTominay"/>
    <s v="2FC INTERNAZIOANALE"/>
    <s v="C0"/>
  </r>
  <r>
    <d v="2026-08-27T00:00:00"/>
    <x v="1"/>
    <x v="13"/>
    <x v="3"/>
    <x v="204"/>
    <n v="7"/>
    <n v="1"/>
    <n v="0"/>
    <n v="0"/>
    <n v="0"/>
    <n v="0"/>
    <n v="0"/>
    <n v="0"/>
    <n v="0"/>
    <n v="0"/>
    <m/>
    <n v="0"/>
    <x v="4"/>
    <n v="1"/>
    <m/>
    <s v=""/>
    <n v="10"/>
    <x v="0"/>
    <x v="0"/>
    <x v="0"/>
    <x v="0"/>
    <s v="2Hojlund"/>
    <s v="2AS PIPPERIA"/>
    <s v="A0"/>
  </r>
  <r>
    <d v="2026-08-27T00:00:00"/>
    <x v="1"/>
    <x v="13"/>
    <x v="3"/>
    <x v="206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2Lang"/>
    <s v="2ATL. IMPROVVISATO"/>
    <s v="A0"/>
  </r>
  <r>
    <d v="2026-08-27T00:00:00"/>
    <x v="1"/>
    <x v="13"/>
    <x v="3"/>
    <x v="207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2Santos A."/>
    <s v="2TRICCHETRACHT"/>
    <s v="A0"/>
  </r>
  <r>
    <d v="2026-08-27T00:00:00"/>
    <x v="1"/>
    <x v="14"/>
    <x v="0"/>
    <x v="208"/>
    <n v="6"/>
    <n v="0"/>
    <n v="2"/>
    <n v="0"/>
    <n v="0"/>
    <n v="0"/>
    <n v="0"/>
    <n v="0"/>
    <n v="0"/>
    <n v="0"/>
    <m/>
    <n v="0"/>
    <x v="10"/>
    <n v="0"/>
    <m/>
    <s v=""/>
    <n v="4"/>
    <x v="0"/>
    <x v="0"/>
    <x v="0"/>
    <x v="0"/>
    <s v="2Corvi"/>
    <s v="2PARTIZAN DEGRADO"/>
    <s v="P2"/>
  </r>
  <r>
    <d v="2026-08-27T00:00:00"/>
    <x v="1"/>
    <x v="14"/>
    <x v="1"/>
    <x v="209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2Valeri"/>
    <s v="2TRICCHETRACHT"/>
    <s v="D0"/>
  </r>
  <r>
    <d v="2026-08-27T00:00:00"/>
    <x v="1"/>
    <x v="14"/>
    <x v="1"/>
    <x v="210"/>
    <n v="6"/>
    <n v="0"/>
    <n v="0"/>
    <n v="0"/>
    <n v="0"/>
    <n v="0"/>
    <n v="0"/>
    <n v="1"/>
    <n v="0"/>
    <n v="0"/>
    <m/>
    <n v="0"/>
    <x v="4"/>
    <n v="0"/>
    <m/>
    <s v=""/>
    <n v="5.5"/>
    <x v="0"/>
    <x v="0"/>
    <x v="0"/>
    <x v="0"/>
    <s v="2Delprato"/>
    <s v="2AS PIPPERIA"/>
    <s v="D0"/>
  </r>
  <r>
    <d v="2026-08-27T00:00:00"/>
    <x v="1"/>
    <x v="14"/>
    <x v="1"/>
    <x v="212"/>
    <n v="5"/>
    <n v="0"/>
    <n v="0"/>
    <n v="0"/>
    <n v="0"/>
    <n v="0"/>
    <n v="0"/>
    <n v="1"/>
    <n v="0"/>
    <n v="0"/>
    <m/>
    <n v="0"/>
    <x v="7"/>
    <n v="0"/>
    <m/>
    <s v=""/>
    <n v="4.5"/>
    <x v="0"/>
    <x v="0"/>
    <x v="0"/>
    <x v="0"/>
    <s v="2Troilo"/>
    <s v="2SHARK"/>
    <s v="D0"/>
  </r>
  <r>
    <d v="2026-08-27T00:00:00"/>
    <x v="1"/>
    <x v="14"/>
    <x v="1"/>
    <x v="32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Britschgi"/>
    <s v="2"/>
    <s v="D0"/>
  </r>
  <r>
    <d v="2026-08-27T00:00:00"/>
    <x v="1"/>
    <x v="14"/>
    <x v="1"/>
    <x v="32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Drobnic"/>
    <s v="2"/>
    <s v="D0"/>
  </r>
  <r>
    <d v="2026-08-27T00:00:00"/>
    <x v="1"/>
    <x v="14"/>
    <x v="2"/>
    <x v="214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2Bernabè"/>
    <s v="2ATL. IMPROVVISATO"/>
    <s v="C0"/>
  </r>
  <r>
    <d v="2026-08-27T00:00:00"/>
    <x v="1"/>
    <x v="14"/>
    <x v="2"/>
    <x v="216"/>
    <n v="5"/>
    <n v="0"/>
    <n v="0"/>
    <n v="0"/>
    <n v="0"/>
    <n v="0"/>
    <n v="0"/>
    <n v="0"/>
    <n v="0"/>
    <n v="0"/>
    <m/>
    <n v="0"/>
    <x v="7"/>
    <n v="0"/>
    <m/>
    <s v=""/>
    <n v="5"/>
    <x v="0"/>
    <x v="0"/>
    <x v="0"/>
    <x v="0"/>
    <s v="2Keita M."/>
    <s v="2SHARK"/>
    <s v="C0"/>
  </r>
  <r>
    <d v="2026-08-27T00:00:00"/>
    <x v="1"/>
    <x v="14"/>
    <x v="2"/>
    <x v="21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Ordonez C."/>
    <s v="2"/>
    <s v="C0"/>
  </r>
  <r>
    <d v="2026-08-27T00:00:00"/>
    <x v="1"/>
    <x v="14"/>
    <x v="2"/>
    <x v="32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Cremaschi"/>
    <s v="2"/>
    <s v="C0"/>
  </r>
  <r>
    <d v="2026-08-27T00:00:00"/>
    <x v="1"/>
    <x v="14"/>
    <x v="2"/>
    <x v="219"/>
    <n v="4.5"/>
    <n v="0"/>
    <n v="0"/>
    <n v="0"/>
    <n v="0"/>
    <n v="0"/>
    <n v="0"/>
    <n v="1"/>
    <n v="0"/>
    <n v="0"/>
    <m/>
    <n v="0"/>
    <x v="8"/>
    <n v="0"/>
    <m/>
    <s v=""/>
    <n v="4"/>
    <x v="0"/>
    <x v="0"/>
    <x v="0"/>
    <x v="0"/>
    <s v="2Konate A."/>
    <s v="2"/>
    <s v="C0"/>
  </r>
  <r>
    <d v="2026-08-27T00:00:00"/>
    <x v="1"/>
    <x v="14"/>
    <x v="3"/>
    <x v="220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2Tourè E."/>
    <s v="2ATL. IMPROVVISATO"/>
    <s v="A0"/>
  </r>
  <r>
    <d v="2026-08-27T00:00:00"/>
    <x v="1"/>
    <x v="14"/>
    <x v="3"/>
    <x v="330"/>
    <n v="6.5"/>
    <n v="0"/>
    <n v="0"/>
    <n v="0"/>
    <n v="0"/>
    <n v="0"/>
    <n v="0"/>
    <n v="0"/>
    <n v="0"/>
    <n v="0"/>
    <m/>
    <n v="0"/>
    <x v="9"/>
    <n v="0"/>
    <m/>
    <s v=""/>
    <n v="6.5"/>
    <x v="0"/>
    <x v="0"/>
    <x v="0"/>
    <x v="0"/>
    <s v="2Romero D."/>
    <s v="2AC ASPARAGHESE"/>
    <s v="A0"/>
  </r>
  <r>
    <d v="2026-08-27T00:00:00"/>
    <x v="1"/>
    <x v="14"/>
    <x v="3"/>
    <x v="222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2Lontani"/>
    <s v="2PESCICULINI"/>
    <s v="A0"/>
  </r>
  <r>
    <d v="2026-08-27T00:00:00"/>
    <x v="1"/>
    <x v="15"/>
    <x v="0"/>
    <x v="223"/>
    <n v="6.5"/>
    <n v="0"/>
    <n v="0"/>
    <n v="0"/>
    <n v="0"/>
    <n v="0"/>
    <n v="0"/>
    <n v="0"/>
    <n v="0"/>
    <n v="0"/>
    <m/>
    <n v="1"/>
    <x v="11"/>
    <n v="0"/>
    <m/>
    <s v=""/>
    <n v="7.5"/>
    <x v="0"/>
    <x v="0"/>
    <x v="0"/>
    <x v="0"/>
    <s v="2Svilar"/>
    <s v="2SAN GRIA"/>
    <s v="P0"/>
  </r>
  <r>
    <d v="2026-08-27T00:00:00"/>
    <x v="1"/>
    <x v="15"/>
    <x v="1"/>
    <x v="224"/>
    <n v="6.5"/>
    <n v="0"/>
    <n v="0"/>
    <n v="0"/>
    <n v="0"/>
    <n v="0"/>
    <n v="0"/>
    <n v="0"/>
    <n v="0"/>
    <n v="1"/>
    <m/>
    <n v="0"/>
    <x v="5"/>
    <n v="0"/>
    <m/>
    <s v=""/>
    <n v="7.5"/>
    <x v="0"/>
    <x v="0"/>
    <x v="0"/>
    <x v="0"/>
    <s v="2Mancini"/>
    <s v="2PESCICULINI"/>
    <s v="D0"/>
  </r>
  <r>
    <d v="2026-08-27T00:00:00"/>
    <x v="1"/>
    <x v="15"/>
    <x v="1"/>
    <x v="226"/>
    <n v="6.5"/>
    <n v="0"/>
    <n v="0"/>
    <n v="0"/>
    <n v="0"/>
    <n v="0"/>
    <n v="0"/>
    <n v="0"/>
    <n v="0"/>
    <n v="0"/>
    <m/>
    <n v="0"/>
    <x v="10"/>
    <n v="0"/>
    <m/>
    <s v=""/>
    <n v="6.5"/>
    <x v="0"/>
    <x v="0"/>
    <x v="0"/>
    <x v="0"/>
    <s v="2Hermoso"/>
    <s v="2PARTIZAN DEGRADO"/>
    <s v="D0"/>
  </r>
  <r>
    <d v="2026-08-27T00:00:00"/>
    <x v="1"/>
    <x v="15"/>
    <x v="1"/>
    <x v="331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2Molina N."/>
    <s v="2TRICCHETRACHT"/>
    <s v="D0"/>
  </r>
  <r>
    <d v="2026-08-27T00:00:00"/>
    <x v="1"/>
    <x v="15"/>
    <x v="1"/>
    <x v="332"/>
    <n v="7"/>
    <n v="0"/>
    <n v="0"/>
    <n v="0"/>
    <n v="0"/>
    <n v="0"/>
    <n v="0"/>
    <n v="0"/>
    <n v="0"/>
    <n v="0"/>
    <m/>
    <n v="0"/>
    <x v="8"/>
    <n v="0"/>
    <m/>
    <s v=""/>
    <n v="7"/>
    <x v="0"/>
    <x v="0"/>
    <x v="0"/>
    <x v="0"/>
    <s v="2Ghilardi"/>
    <s v="2"/>
    <s v="D0"/>
  </r>
  <r>
    <d v="2026-08-27T00:00:00"/>
    <x v="1"/>
    <x v="15"/>
    <x v="1"/>
    <x v="227"/>
    <n v="7"/>
    <n v="0"/>
    <n v="0"/>
    <n v="0"/>
    <n v="0"/>
    <n v="0"/>
    <n v="0"/>
    <n v="0"/>
    <n v="0"/>
    <n v="1"/>
    <m/>
    <n v="0"/>
    <x v="5"/>
    <n v="0"/>
    <m/>
    <s v=""/>
    <n v="8"/>
    <x v="0"/>
    <x v="0"/>
    <x v="0"/>
    <x v="0"/>
    <s v="2Wesley"/>
    <s v="2PESCICULINI"/>
    <s v="D0"/>
  </r>
  <r>
    <d v="2026-08-27T00:00:00"/>
    <x v="1"/>
    <x v="15"/>
    <x v="1"/>
    <x v="229"/>
    <n v="6.5"/>
    <n v="0"/>
    <n v="0"/>
    <n v="0"/>
    <n v="0"/>
    <n v="0"/>
    <n v="0"/>
    <n v="0"/>
    <n v="0"/>
    <n v="0"/>
    <m/>
    <n v="0"/>
    <x v="10"/>
    <n v="0"/>
    <m/>
    <s v=""/>
    <n v="6.5"/>
    <x v="0"/>
    <x v="0"/>
    <x v="0"/>
    <x v="0"/>
    <s v="2Lulli"/>
    <s v="2PARTIZAN DEGRADO"/>
    <s v="D0"/>
  </r>
  <r>
    <d v="2026-08-27T00:00:00"/>
    <x v="1"/>
    <x v="15"/>
    <x v="2"/>
    <x v="230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2Cristante"/>
    <s v="2SAN GRIA"/>
    <s v="C0"/>
  </r>
  <r>
    <d v="2026-08-27T00:00:00"/>
    <x v="1"/>
    <x v="15"/>
    <x v="2"/>
    <x v="231"/>
    <n v="7"/>
    <n v="0"/>
    <n v="0"/>
    <n v="0"/>
    <n v="0"/>
    <n v="0"/>
    <n v="0"/>
    <n v="0"/>
    <n v="0"/>
    <n v="0"/>
    <m/>
    <n v="0"/>
    <x v="9"/>
    <n v="0"/>
    <m/>
    <s v=""/>
    <n v="7"/>
    <x v="0"/>
    <x v="0"/>
    <x v="0"/>
    <x v="0"/>
    <s v="2Konè M."/>
    <s v="2AC ASPARAGHESE"/>
    <s v="C0"/>
  </r>
  <r>
    <d v="2026-08-27T00:00:00"/>
    <x v="1"/>
    <x v="15"/>
    <x v="2"/>
    <x v="23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2Pisilli"/>
    <s v="2"/>
    <s v="C0"/>
  </r>
  <r>
    <d v="2026-08-27T00:00:00"/>
    <x v="1"/>
    <x v="15"/>
    <x v="2"/>
    <x v="233"/>
    <n v="7"/>
    <n v="1"/>
    <n v="0"/>
    <n v="0"/>
    <n v="0"/>
    <n v="0"/>
    <n v="0"/>
    <n v="0"/>
    <n v="0"/>
    <n v="0"/>
    <m/>
    <n v="0"/>
    <x v="1"/>
    <n v="1"/>
    <m/>
    <s v=""/>
    <n v="10"/>
    <x v="0"/>
    <x v="0"/>
    <x v="0"/>
    <x v="0"/>
    <s v="2Mora"/>
    <s v="2SESTO ASENSIO"/>
    <s v="C0"/>
  </r>
  <r>
    <d v="2026-08-27T00:00:00"/>
    <x v="1"/>
    <x v="15"/>
    <x v="3"/>
    <x v="234"/>
    <n v="7"/>
    <n v="0"/>
    <n v="0"/>
    <n v="0"/>
    <n v="0"/>
    <n v="0"/>
    <n v="0"/>
    <n v="0"/>
    <n v="0"/>
    <n v="0"/>
    <m/>
    <n v="0"/>
    <x v="6"/>
    <n v="0"/>
    <m/>
    <s v=""/>
    <n v="7"/>
    <x v="0"/>
    <x v="0"/>
    <x v="0"/>
    <x v="0"/>
    <s v="2Dybala"/>
    <s v="2FC INTERNAZIOANALE"/>
    <s v="A0"/>
  </r>
  <r>
    <d v="2026-08-27T00:00:00"/>
    <x v="1"/>
    <x v="15"/>
    <x v="3"/>
    <x v="235"/>
    <n v="8"/>
    <n v="2"/>
    <n v="0"/>
    <n v="0"/>
    <n v="0"/>
    <n v="0"/>
    <n v="0"/>
    <n v="1"/>
    <n v="0"/>
    <n v="0"/>
    <n v="1"/>
    <n v="0"/>
    <x v="9"/>
    <n v="2"/>
    <m/>
    <s v=""/>
    <n v="14.5"/>
    <x v="0"/>
    <x v="0"/>
    <x v="0"/>
    <x v="0"/>
    <s v="2Malen"/>
    <s v="2AC ASPARAGHESE"/>
    <s v="A0"/>
  </r>
  <r>
    <d v="2026-08-27T00:00:00"/>
    <x v="1"/>
    <x v="15"/>
    <x v="3"/>
    <x v="236"/>
    <n v="7"/>
    <n v="1"/>
    <n v="0"/>
    <n v="0"/>
    <n v="0"/>
    <n v="0"/>
    <n v="0"/>
    <n v="0"/>
    <n v="0"/>
    <n v="0"/>
    <m/>
    <n v="0"/>
    <x v="9"/>
    <n v="1"/>
    <m/>
    <s v=""/>
    <n v="10"/>
    <x v="0"/>
    <x v="0"/>
    <x v="0"/>
    <x v="0"/>
    <s v="2Soulè"/>
    <s v="2AC ASPARAGHESE"/>
    <s v="A0"/>
  </r>
  <r>
    <d v="2026-08-27T00:00:00"/>
    <x v="1"/>
    <x v="15"/>
    <x v="3"/>
    <x v="237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Castro S."/>
    <s v="2SESTO ASENSIO"/>
    <s v="A0"/>
  </r>
  <r>
    <d v="2026-08-27T00:00:00"/>
    <x v="1"/>
    <x v="16"/>
    <x v="0"/>
    <x v="238"/>
    <n v="6.5"/>
    <n v="0"/>
    <n v="1"/>
    <n v="0"/>
    <n v="0"/>
    <n v="0"/>
    <n v="0"/>
    <n v="0"/>
    <n v="0"/>
    <n v="0"/>
    <m/>
    <n v="0"/>
    <x v="9"/>
    <n v="0"/>
    <m/>
    <s v=""/>
    <n v="5.5"/>
    <x v="0"/>
    <x v="0"/>
    <x v="0"/>
    <x v="0"/>
    <s v="2Muric"/>
    <s v="2AC ASPARAGHESE"/>
    <s v="P1"/>
  </r>
  <r>
    <d v="2026-08-27T00:00:00"/>
    <x v="1"/>
    <x v="16"/>
    <x v="1"/>
    <x v="23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Doig"/>
    <s v="2"/>
    <s v="D0"/>
  </r>
  <r>
    <d v="2026-08-27T00:00:00"/>
    <x v="1"/>
    <x v="16"/>
    <x v="1"/>
    <x v="33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Idzes"/>
    <s v="2"/>
    <s v="D0"/>
  </r>
  <r>
    <d v="2026-08-27T00:00:00"/>
    <x v="1"/>
    <x v="16"/>
    <x v="1"/>
    <x v="334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2Obrador"/>
    <s v="2ATL. IMPROVVISATO"/>
    <s v="D0"/>
  </r>
  <r>
    <d v="2026-08-27T00:00:00"/>
    <x v="1"/>
    <x v="16"/>
    <x v="1"/>
    <x v="242"/>
    <n v="6.5"/>
    <n v="0"/>
    <n v="0"/>
    <n v="0"/>
    <n v="0"/>
    <n v="0"/>
    <n v="0"/>
    <n v="0"/>
    <n v="0"/>
    <n v="1"/>
    <m/>
    <n v="0"/>
    <x v="11"/>
    <n v="0"/>
    <m/>
    <s v=""/>
    <n v="7.5"/>
    <x v="0"/>
    <x v="0"/>
    <x v="0"/>
    <x v="0"/>
    <s v="2Leysen F."/>
    <s v="2SAN GRIA"/>
    <s v="D0"/>
  </r>
  <r>
    <d v="2026-08-27T00:00:00"/>
    <x v="1"/>
    <x v="16"/>
    <x v="1"/>
    <x v="24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Cinquegrano"/>
    <s v="2"/>
    <s v="D0"/>
  </r>
  <r>
    <d v="2026-08-27T00:00:00"/>
    <x v="1"/>
    <x v="16"/>
    <x v="2"/>
    <x v="244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2Matic"/>
    <s v="2"/>
    <s v="C0"/>
  </r>
  <r>
    <d v="2026-08-27T00:00:00"/>
    <x v="1"/>
    <x v="16"/>
    <x v="2"/>
    <x v="245"/>
    <n v="7"/>
    <n v="1"/>
    <n v="0"/>
    <n v="0"/>
    <n v="0"/>
    <n v="0"/>
    <n v="0"/>
    <n v="1"/>
    <n v="0"/>
    <n v="0"/>
    <m/>
    <n v="0"/>
    <x v="3"/>
    <n v="1"/>
    <m/>
    <s v=""/>
    <n v="9.5"/>
    <x v="0"/>
    <x v="0"/>
    <x v="0"/>
    <x v="0"/>
    <s v="2Volpato"/>
    <s v="2TRICCHETRACHT"/>
    <s v="C0"/>
  </r>
  <r>
    <d v="2026-08-27T00:00:00"/>
    <x v="1"/>
    <x v="16"/>
    <x v="2"/>
    <x v="246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2Thorstvedt"/>
    <s v="2FC INTERNAZIOANALE"/>
    <s v="C0"/>
  </r>
  <r>
    <d v="2026-08-27T00:00:00"/>
    <x v="1"/>
    <x v="16"/>
    <x v="2"/>
    <x v="247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2Adzic"/>
    <s v="2"/>
    <s v="C0"/>
  </r>
  <r>
    <d v="2026-08-27T00:00:00"/>
    <x v="1"/>
    <x v="16"/>
    <x v="2"/>
    <x v="24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Dominguez B."/>
    <s v="2"/>
    <s v="C0"/>
  </r>
  <r>
    <d v="2026-08-27T00:00:00"/>
    <x v="1"/>
    <x v="16"/>
    <x v="2"/>
    <x v="24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Bakola"/>
    <s v="2"/>
    <s v="C0"/>
  </r>
  <r>
    <d v="2026-08-27T00:00:00"/>
    <x v="1"/>
    <x v="16"/>
    <x v="3"/>
    <x v="335"/>
    <n v="7"/>
    <n v="1"/>
    <n v="0"/>
    <n v="0"/>
    <n v="0"/>
    <n v="0"/>
    <n v="0"/>
    <n v="0"/>
    <n v="0"/>
    <n v="0"/>
    <n v="1"/>
    <n v="0"/>
    <x v="10"/>
    <n v="1"/>
    <m/>
    <s v=""/>
    <n v="11"/>
    <x v="0"/>
    <x v="0"/>
    <x v="0"/>
    <x v="0"/>
    <s v="2Berardi"/>
    <s v="2PARTIZAN DEGRADO"/>
    <s v="A0"/>
  </r>
  <r>
    <d v="2026-08-27T00:00:00"/>
    <x v="1"/>
    <x v="16"/>
    <x v="3"/>
    <x v="250"/>
    <n v="6.5"/>
    <n v="0"/>
    <n v="0"/>
    <n v="0"/>
    <n v="0"/>
    <n v="0"/>
    <n v="0"/>
    <n v="1"/>
    <n v="0"/>
    <n v="0"/>
    <m/>
    <n v="0"/>
    <x v="1"/>
    <n v="0"/>
    <m/>
    <s v=""/>
    <n v="6"/>
    <x v="0"/>
    <x v="0"/>
    <x v="0"/>
    <x v="0"/>
    <s v="2Laurientè"/>
    <s v="2SESTO ASENSIO"/>
    <s v="A0"/>
  </r>
  <r>
    <d v="2026-08-27T00:00:00"/>
    <x v="1"/>
    <x v="16"/>
    <x v="3"/>
    <x v="251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2Bowie"/>
    <s v="2FC INTERNAZIOANALE"/>
    <s v="A0"/>
  </r>
  <r>
    <d v="2026-08-27T00:00:00"/>
    <x v="1"/>
    <x v="17"/>
    <x v="0"/>
    <x v="252"/>
    <n v="5.5"/>
    <n v="0"/>
    <n v="2"/>
    <n v="0"/>
    <n v="0"/>
    <n v="0"/>
    <n v="0"/>
    <n v="0"/>
    <n v="0"/>
    <n v="0"/>
    <m/>
    <n v="0"/>
    <x v="8"/>
    <n v="0"/>
    <m/>
    <s v=""/>
    <n v="3.5"/>
    <x v="0"/>
    <x v="0"/>
    <x v="0"/>
    <x v="0"/>
    <s v="2Mascardi"/>
    <s v="2"/>
    <s v="P2"/>
  </r>
  <r>
    <d v="2026-08-27T00:00:00"/>
    <x v="1"/>
    <x v="17"/>
    <x v="1"/>
    <x v="25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Ismajli"/>
    <s v="2"/>
    <s v="D0"/>
  </r>
  <r>
    <d v="2026-08-27T00:00:00"/>
    <x v="1"/>
    <x v="17"/>
    <x v="1"/>
    <x v="255"/>
    <n v="6.5"/>
    <n v="1"/>
    <n v="0"/>
    <n v="0"/>
    <n v="0"/>
    <n v="0"/>
    <n v="0"/>
    <n v="0"/>
    <n v="0"/>
    <n v="0"/>
    <m/>
    <n v="0"/>
    <x v="1"/>
    <n v="1"/>
    <m/>
    <s v=""/>
    <n v="9.5"/>
    <x v="0"/>
    <x v="0"/>
    <x v="0"/>
    <x v="0"/>
    <s v="2Comuzzo"/>
    <s v="2SESTO ASENSIO"/>
    <s v="D0"/>
  </r>
  <r>
    <d v="2026-08-27T00:00:00"/>
    <x v="1"/>
    <x v="17"/>
    <x v="1"/>
    <x v="25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Coco"/>
    <s v="2"/>
    <s v="D0"/>
  </r>
  <r>
    <d v="2026-08-27T00:00:00"/>
    <x v="1"/>
    <x v="17"/>
    <x v="1"/>
    <x v="257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2Fortini"/>
    <s v="2FC INTERNAZIOANALE"/>
    <s v="D0"/>
  </r>
  <r>
    <d v="2026-08-27T00:00:00"/>
    <x v="1"/>
    <x v="17"/>
    <x v="1"/>
    <x v="33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Comert"/>
    <s v="2"/>
    <s v="D0"/>
  </r>
  <r>
    <d v="2026-08-27T00:00:00"/>
    <x v="1"/>
    <x v="17"/>
    <x v="2"/>
    <x v="258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2Vlasic"/>
    <s v="2FC INTERNAZIOANALE"/>
    <s v="C0"/>
  </r>
  <r>
    <d v="2026-08-27T00:00:00"/>
    <x v="1"/>
    <x v="17"/>
    <x v="2"/>
    <x v="33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Ilkhan"/>
    <s v="2"/>
    <s v="C0"/>
  </r>
  <r>
    <d v="2026-08-27T00:00:00"/>
    <x v="1"/>
    <x v="17"/>
    <x v="2"/>
    <x v="260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2Gineitis"/>
    <s v="2"/>
    <s v="C0"/>
  </r>
  <r>
    <d v="2026-08-27T00:00:00"/>
    <x v="1"/>
    <x v="17"/>
    <x v="2"/>
    <x v="262"/>
    <n v="6.5"/>
    <n v="0"/>
    <n v="0"/>
    <n v="0"/>
    <n v="0"/>
    <n v="0"/>
    <n v="0"/>
    <n v="0"/>
    <n v="0"/>
    <n v="1"/>
    <m/>
    <n v="0"/>
    <x v="10"/>
    <n v="0"/>
    <m/>
    <s v=""/>
    <n v="7.5"/>
    <x v="0"/>
    <x v="0"/>
    <x v="0"/>
    <x v="0"/>
    <s v="2Cacciamani"/>
    <s v="2PARTIZAN DEGRADO"/>
    <s v="C0"/>
  </r>
  <r>
    <d v="2026-08-27T00:00:00"/>
    <x v="1"/>
    <x v="17"/>
    <x v="2"/>
    <x v="26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Aboukhlal"/>
    <s v="2"/>
    <s v="C0"/>
  </r>
  <r>
    <d v="2026-08-27T00:00:00"/>
    <x v="1"/>
    <x v="17"/>
    <x v="2"/>
    <x v="26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Fitz-Jim"/>
    <s v="2"/>
    <s v="C0"/>
  </r>
  <r>
    <d v="2026-08-27T00:00:00"/>
    <x v="1"/>
    <x v="17"/>
    <x v="3"/>
    <x v="265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2Simeone"/>
    <s v="2AS PIPPERIA"/>
    <s v="A0"/>
  </r>
  <r>
    <d v="2026-08-27T00:00:00"/>
    <x v="1"/>
    <x v="17"/>
    <x v="3"/>
    <x v="266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2Adams C."/>
    <s v="2FC INTERNAZIOANALE"/>
    <s v="A0"/>
  </r>
  <r>
    <d v="2026-08-27T00:00:00"/>
    <x v="1"/>
    <x v="17"/>
    <x v="3"/>
    <x v="33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Kulenovic"/>
    <s v="2"/>
    <s v="A0"/>
  </r>
  <r>
    <d v="2026-08-27T00:00:00"/>
    <x v="1"/>
    <x v="18"/>
    <x v="0"/>
    <x v="267"/>
    <n v="6"/>
    <n v="0"/>
    <n v="2"/>
    <n v="0"/>
    <n v="0"/>
    <n v="0"/>
    <n v="0"/>
    <n v="0"/>
    <n v="0"/>
    <n v="0"/>
    <m/>
    <n v="0"/>
    <x v="2"/>
    <n v="0"/>
    <m/>
    <s v=""/>
    <n v="4"/>
    <x v="0"/>
    <x v="0"/>
    <x v="0"/>
    <x v="0"/>
    <s v="2Okoye"/>
    <s v="2ATL. IMPROVVISATO"/>
    <s v="P2"/>
  </r>
  <r>
    <d v="2026-08-27T00:00:00"/>
    <x v="1"/>
    <x v="18"/>
    <x v="1"/>
    <x v="268"/>
    <n v="6.5"/>
    <n v="0"/>
    <n v="0"/>
    <n v="0"/>
    <n v="0"/>
    <n v="0"/>
    <n v="0"/>
    <n v="0"/>
    <n v="0"/>
    <n v="0"/>
    <m/>
    <n v="0"/>
    <x v="10"/>
    <n v="0"/>
    <m/>
    <s v=""/>
    <n v="6.5"/>
    <x v="0"/>
    <x v="0"/>
    <x v="0"/>
    <x v="0"/>
    <s v="2Vojvoda"/>
    <s v="2PARTIZAN DEGRADO"/>
    <s v="D0"/>
  </r>
  <r>
    <d v="2026-08-27T00:00:00"/>
    <x v="1"/>
    <x v="18"/>
    <x v="1"/>
    <x v="269"/>
    <n v="7"/>
    <n v="1"/>
    <n v="0"/>
    <n v="0"/>
    <n v="0"/>
    <n v="0"/>
    <n v="0"/>
    <n v="0"/>
    <n v="0"/>
    <n v="0"/>
    <m/>
    <n v="0"/>
    <x v="3"/>
    <n v="1"/>
    <m/>
    <s v=""/>
    <n v="10"/>
    <x v="0"/>
    <x v="0"/>
    <x v="0"/>
    <x v="0"/>
    <s v="2Kamara H."/>
    <s v="2TRICCHETRACHT"/>
    <s v="D0"/>
  </r>
  <r>
    <d v="2026-08-27T00:00:00"/>
    <x v="1"/>
    <x v="18"/>
    <x v="1"/>
    <x v="33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Bertola"/>
    <s v="2"/>
    <s v="D0"/>
  </r>
  <r>
    <d v="2026-08-27T00:00:00"/>
    <x v="1"/>
    <x v="18"/>
    <x v="1"/>
    <x v="27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Ebosse"/>
    <s v="2"/>
    <s v="D0"/>
  </r>
  <r>
    <d v="2026-08-27T00:00:00"/>
    <x v="1"/>
    <x v="18"/>
    <x v="1"/>
    <x v="271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2Abankwah"/>
    <s v="2"/>
    <s v="D0"/>
  </r>
  <r>
    <d v="2026-08-27T00:00:00"/>
    <x v="1"/>
    <x v="18"/>
    <x v="1"/>
    <x v="273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2Solet"/>
    <s v="2PARTIZAN DEGRADO"/>
    <s v="D0"/>
  </r>
  <r>
    <d v="2026-08-27T00:00:00"/>
    <x v="1"/>
    <x v="18"/>
    <x v="2"/>
    <x v="34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Zarraga"/>
    <s v="2"/>
    <s v="C0"/>
  </r>
  <r>
    <d v="2026-08-27T00:00:00"/>
    <x v="1"/>
    <x v="18"/>
    <x v="2"/>
    <x v="275"/>
    <n v="6.5"/>
    <n v="0"/>
    <n v="0"/>
    <n v="0"/>
    <n v="0"/>
    <n v="0"/>
    <n v="0"/>
    <n v="0"/>
    <n v="0"/>
    <n v="0"/>
    <m/>
    <n v="0"/>
    <x v="7"/>
    <n v="0"/>
    <m/>
    <s v=""/>
    <n v="6.5"/>
    <x v="0"/>
    <x v="0"/>
    <x v="0"/>
    <x v="0"/>
    <s v="2Karlstrom"/>
    <s v="2SHARK"/>
    <s v="C0"/>
  </r>
  <r>
    <d v="2026-08-27T00:00:00"/>
    <x v="1"/>
    <x v="18"/>
    <x v="2"/>
    <x v="276"/>
    <n v="7.5"/>
    <n v="1"/>
    <n v="0"/>
    <n v="0"/>
    <n v="0"/>
    <n v="0"/>
    <n v="0"/>
    <n v="0"/>
    <n v="0"/>
    <n v="0"/>
    <n v="1"/>
    <n v="0"/>
    <x v="10"/>
    <n v="1"/>
    <m/>
    <s v=""/>
    <n v="11.5"/>
    <x v="0"/>
    <x v="0"/>
    <x v="0"/>
    <x v="0"/>
    <s v="2Ekkelenkamp"/>
    <s v="2PARTIZAN DEGRADO"/>
    <s v="C0"/>
  </r>
  <r>
    <d v="2026-08-27T00:00:00"/>
    <x v="1"/>
    <x v="18"/>
    <x v="2"/>
    <x v="27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Unai Gomez"/>
    <s v="2"/>
    <s v="C0"/>
  </r>
  <r>
    <d v="2026-08-27T00:00:00"/>
    <x v="1"/>
    <x v="18"/>
    <x v="2"/>
    <x v="278"/>
    <n v="6.5"/>
    <n v="1"/>
    <n v="0"/>
    <n v="0"/>
    <n v="0"/>
    <n v="0"/>
    <n v="0"/>
    <n v="0"/>
    <n v="0"/>
    <n v="0"/>
    <m/>
    <n v="0"/>
    <x v="8"/>
    <n v="1"/>
    <m/>
    <s v=""/>
    <n v="9.5"/>
    <x v="0"/>
    <x v="0"/>
    <x v="0"/>
    <x v="0"/>
    <s v="2Piotrowski"/>
    <s v="2"/>
    <s v="C0"/>
  </r>
  <r>
    <d v="2026-08-27T00:00:00"/>
    <x v="1"/>
    <x v="18"/>
    <x v="2"/>
    <x v="27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Miller L."/>
    <s v="2"/>
    <s v="C0"/>
  </r>
  <r>
    <d v="2026-08-27T00:00:00"/>
    <x v="1"/>
    <x v="18"/>
    <x v="3"/>
    <x v="341"/>
    <n v="6.5"/>
    <n v="0"/>
    <n v="0"/>
    <n v="0"/>
    <n v="0"/>
    <n v="0"/>
    <n v="0"/>
    <n v="0"/>
    <n v="0"/>
    <n v="0"/>
    <m/>
    <n v="0"/>
    <x v="10"/>
    <n v="0"/>
    <m/>
    <s v=""/>
    <n v="6.5"/>
    <x v="0"/>
    <x v="0"/>
    <x v="0"/>
    <x v="0"/>
    <s v="2Davis K."/>
    <s v="2PARTIZAN DEGRADO"/>
    <s v="A0"/>
  </r>
  <r>
    <d v="2026-08-27T00:00:00"/>
    <x v="1"/>
    <x v="18"/>
    <x v="3"/>
    <x v="281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2Gueye"/>
    <s v="2AC ASPARAGHESE"/>
    <s v="A0"/>
  </r>
  <r>
    <d v="2026-08-27T00:00:00"/>
    <x v="1"/>
    <x v="19"/>
    <x v="0"/>
    <x v="282"/>
    <n v="6.5"/>
    <n v="0"/>
    <n v="2"/>
    <n v="0"/>
    <n v="0"/>
    <n v="0"/>
    <n v="0"/>
    <n v="0"/>
    <n v="0"/>
    <n v="0"/>
    <m/>
    <n v="0"/>
    <x v="7"/>
    <n v="0"/>
    <m/>
    <s v=""/>
    <n v="4.5"/>
    <x v="0"/>
    <x v="0"/>
    <x v="0"/>
    <x v="0"/>
    <s v="2Stankovic F."/>
    <s v="2SHARK"/>
    <s v="P2"/>
  </r>
  <r>
    <d v="2026-08-27T00:00:00"/>
    <x v="1"/>
    <x v="19"/>
    <x v="1"/>
    <x v="283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2Correia T."/>
    <s v="2SHARK"/>
    <s v="D0"/>
  </r>
  <r>
    <d v="2026-08-27T00:00:00"/>
    <x v="1"/>
    <x v="19"/>
    <x v="1"/>
    <x v="284"/>
    <n v="6.5"/>
    <n v="0"/>
    <n v="0"/>
    <n v="0"/>
    <n v="0"/>
    <n v="0"/>
    <n v="0"/>
    <n v="1"/>
    <n v="0"/>
    <n v="0"/>
    <m/>
    <n v="0"/>
    <x v="6"/>
    <n v="0"/>
    <m/>
    <s v=""/>
    <n v="6"/>
    <x v="0"/>
    <x v="0"/>
    <x v="0"/>
    <x v="0"/>
    <s v="2Haps"/>
    <s v="2FC INTERNAZIOANALE"/>
    <s v="D0"/>
  </r>
  <r>
    <d v="2026-08-27T00:00:00"/>
    <x v="1"/>
    <x v="19"/>
    <x v="1"/>
    <x v="28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Hainaut"/>
    <s v="2"/>
    <s v="D0"/>
  </r>
  <r>
    <d v="2026-08-27T00:00:00"/>
    <x v="1"/>
    <x v="19"/>
    <x v="1"/>
    <x v="286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2Schingtienne"/>
    <s v="2"/>
    <s v="D0"/>
  </r>
  <r>
    <d v="2026-08-27T00:00:00"/>
    <x v="1"/>
    <x v="19"/>
    <x v="1"/>
    <x v="287"/>
    <n v="5"/>
    <n v="0"/>
    <n v="0"/>
    <n v="0"/>
    <n v="0"/>
    <n v="0"/>
    <n v="0"/>
    <n v="0"/>
    <n v="0"/>
    <n v="0"/>
    <m/>
    <n v="0"/>
    <x v="2"/>
    <n v="0"/>
    <m/>
    <s v=""/>
    <n v="5"/>
    <x v="0"/>
    <x v="0"/>
    <x v="0"/>
    <x v="0"/>
    <s v="2Bella-Kotchap"/>
    <s v="2ATL. IMPROVVISATO"/>
    <s v="D0"/>
  </r>
  <r>
    <d v="2026-08-27T00:00:00"/>
    <x v="1"/>
    <x v="19"/>
    <x v="1"/>
    <x v="28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Franjic"/>
    <s v="2"/>
    <s v="D0"/>
  </r>
  <r>
    <d v="2026-08-27T00:00:00"/>
    <x v="1"/>
    <x v="19"/>
    <x v="1"/>
    <x v="342"/>
    <n v="5"/>
    <n v="0"/>
    <n v="0"/>
    <n v="0"/>
    <n v="0"/>
    <n v="0"/>
    <n v="1"/>
    <n v="0"/>
    <n v="0"/>
    <n v="0"/>
    <m/>
    <n v="0"/>
    <x v="8"/>
    <n v="0"/>
    <m/>
    <s v=""/>
    <n v="3"/>
    <x v="0"/>
    <x v="0"/>
    <x v="0"/>
    <x v="0"/>
    <s v="2Halhal"/>
    <s v="2"/>
    <s v="D0"/>
  </r>
  <r>
    <d v="2026-08-27T00:00:00"/>
    <x v="1"/>
    <x v="19"/>
    <x v="2"/>
    <x v="34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Sohm"/>
    <s v="2"/>
    <s v="C0"/>
  </r>
  <r>
    <d v="2026-08-27T00:00:00"/>
    <x v="1"/>
    <x v="19"/>
    <x v="2"/>
    <x v="28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Busio"/>
    <s v="2"/>
    <s v="C0"/>
  </r>
  <r>
    <d v="2026-08-27T00:00:00"/>
    <x v="1"/>
    <x v="19"/>
    <x v="2"/>
    <x v="29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Basic"/>
    <s v="2"/>
    <s v="C0"/>
  </r>
  <r>
    <d v="2026-08-27T00:00:00"/>
    <x v="1"/>
    <x v="19"/>
    <x v="2"/>
    <x v="291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2Perez K."/>
    <s v="2"/>
    <s v="C0"/>
  </r>
  <r>
    <d v="2026-08-27T00:00:00"/>
    <x v="1"/>
    <x v="19"/>
    <x v="3"/>
    <x v="293"/>
    <n v="6.5"/>
    <n v="0"/>
    <n v="0"/>
    <n v="0"/>
    <n v="0"/>
    <n v="0"/>
    <n v="0"/>
    <n v="0"/>
    <n v="0"/>
    <n v="0"/>
    <m/>
    <n v="0"/>
    <x v="3"/>
    <n v="0"/>
    <m/>
    <s v=""/>
    <n v="6.5"/>
    <x v="0"/>
    <x v="0"/>
    <x v="0"/>
    <x v="0"/>
    <s v="2Yeboah J."/>
    <s v="2TRICCHETRACHT"/>
    <s v="A0"/>
  </r>
  <r>
    <d v="2026-08-27T00:00:00"/>
    <x v="1"/>
    <x v="19"/>
    <x v="3"/>
    <x v="294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2Adams A."/>
    <s v="2AS PIPPERIA"/>
    <s v="A0"/>
  </r>
  <r>
    <d v="2026-09-05T00:00:00"/>
    <x v="2"/>
    <x v="18"/>
    <x v="0"/>
    <x v="267"/>
    <n v="6"/>
    <n v="0"/>
    <n v="2"/>
    <n v="0"/>
    <n v="0"/>
    <n v="0"/>
    <n v="0"/>
    <n v="0"/>
    <n v="0"/>
    <n v="0"/>
    <m/>
    <n v="0"/>
    <x v="2"/>
    <n v="0"/>
    <n v="1"/>
    <n v="4"/>
    <n v="4"/>
    <x v="1"/>
    <x v="1"/>
    <x v="1"/>
    <x v="1"/>
    <s v="3Okoye"/>
    <s v="3ATL. IMPROVVISATO1"/>
    <s v="P2"/>
  </r>
  <r>
    <d v="2026-09-05T00:00:00"/>
    <x v="2"/>
    <x v="2"/>
    <x v="1"/>
    <x v="34"/>
    <n v="6.5"/>
    <n v="0"/>
    <n v="0"/>
    <n v="0"/>
    <n v="0"/>
    <n v="0"/>
    <n v="0"/>
    <n v="0"/>
    <n v="0"/>
    <n v="0"/>
    <m/>
    <n v="0"/>
    <x v="2"/>
    <n v="0"/>
    <n v="1"/>
    <n v="6.5"/>
    <n v="6.5"/>
    <x v="1"/>
    <x v="2"/>
    <x v="1"/>
    <x v="2"/>
    <s v="3Zè Pedro"/>
    <s v="3ATL. IMPROVVISATO1"/>
    <s v="D0"/>
  </r>
  <r>
    <d v="2026-09-05T00:00:00"/>
    <x v="2"/>
    <x v="18"/>
    <x v="2"/>
    <x v="34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Zarraga"/>
    <s v="3"/>
    <s v="C0"/>
  </r>
  <r>
    <d v="2026-09-05T00:00:00"/>
    <x v="2"/>
    <x v="0"/>
    <x v="1"/>
    <x v="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Zappacosta"/>
    <s v="3"/>
    <s v="D0"/>
  </r>
  <r>
    <d v="2026-09-05T00:00:00"/>
    <x v="2"/>
    <x v="13"/>
    <x v="1"/>
    <x v="194"/>
    <n v="5.5"/>
    <n v="0"/>
    <n v="0"/>
    <n v="0"/>
    <n v="0"/>
    <n v="0"/>
    <n v="0"/>
    <n v="0"/>
    <n v="0"/>
    <n v="0"/>
    <m/>
    <n v="0"/>
    <x v="2"/>
    <n v="0"/>
    <m/>
    <s v=""/>
    <n v="5.5"/>
    <x v="1"/>
    <x v="3"/>
    <x v="1"/>
    <x v="3"/>
    <s v="3Spinazzola"/>
    <s v="3ATL. IMPROVVISATO"/>
    <s v="D0"/>
  </r>
  <r>
    <d v="2026-09-05T00:00:00"/>
    <x v="2"/>
    <x v="13"/>
    <x v="0"/>
    <x v="193"/>
    <n v="7"/>
    <n v="0"/>
    <n v="3"/>
    <n v="0"/>
    <n v="0"/>
    <n v="0"/>
    <n v="0"/>
    <n v="0"/>
    <n v="0"/>
    <n v="0"/>
    <m/>
    <n v="0"/>
    <x v="5"/>
    <n v="0"/>
    <m/>
    <s v=""/>
    <n v="4"/>
    <x v="1"/>
    <x v="1"/>
    <x v="1"/>
    <x v="1"/>
    <s v="3Meret"/>
    <s v="3PESCICULINI"/>
    <s v="P3"/>
  </r>
  <r>
    <d v="2026-09-05T00:00:00"/>
    <x v="2"/>
    <x v="9"/>
    <x v="0"/>
    <x v="134"/>
    <n v="6.5"/>
    <n v="0"/>
    <n v="1"/>
    <n v="0"/>
    <n v="0"/>
    <n v="0"/>
    <n v="0"/>
    <n v="0"/>
    <n v="0"/>
    <n v="0"/>
    <m/>
    <n v="0"/>
    <x v="4"/>
    <n v="0"/>
    <n v="1"/>
    <n v="5.5"/>
    <n v="5.5"/>
    <x v="1"/>
    <x v="3"/>
    <x v="1"/>
    <x v="3"/>
    <s v="3Mandas"/>
    <s v="3AS PIPPERIA1"/>
    <s v="P1"/>
  </r>
  <r>
    <d v="2026-09-05T00:00:00"/>
    <x v="2"/>
    <x v="8"/>
    <x v="0"/>
    <x v="120"/>
    <n v="6"/>
    <n v="0"/>
    <n v="1"/>
    <n v="0"/>
    <n v="0"/>
    <n v="0"/>
    <n v="0"/>
    <n v="0"/>
    <n v="0"/>
    <n v="0"/>
    <m/>
    <n v="0"/>
    <x v="3"/>
    <n v="0"/>
    <m/>
    <s v=""/>
    <n v="5"/>
    <x v="1"/>
    <x v="4"/>
    <x v="1"/>
    <x v="4"/>
    <s v="3Vicario"/>
    <s v="3TRICCHETRACHT"/>
    <s v="P1"/>
  </r>
  <r>
    <d v="2026-09-05T00:00:00"/>
    <x v="2"/>
    <x v="10"/>
    <x v="1"/>
    <x v="149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3Gallo"/>
    <s v="3ATL. IMPROVVISATO"/>
    <s v="D0"/>
  </r>
  <r>
    <d v="2026-09-05T00:00:00"/>
    <x v="2"/>
    <x v="2"/>
    <x v="2"/>
    <x v="36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Winks"/>
    <s v="3"/>
    <s v="C0"/>
  </r>
  <r>
    <d v="2026-09-05T00:00:00"/>
    <x v="2"/>
    <x v="4"/>
    <x v="0"/>
    <x v="58"/>
    <n v="6"/>
    <n v="0"/>
    <n v="2"/>
    <n v="0"/>
    <n v="0"/>
    <n v="0"/>
    <n v="0"/>
    <n v="0"/>
    <n v="0"/>
    <n v="0"/>
    <m/>
    <n v="0"/>
    <x v="5"/>
    <n v="0"/>
    <n v="1"/>
    <n v="4"/>
    <n v="4"/>
    <x v="0"/>
    <x v="0"/>
    <x v="0"/>
    <x v="0"/>
    <s v="3De Gea"/>
    <s v="3PESCICULINI1"/>
    <s v="P2"/>
  </r>
  <r>
    <d v="2026-09-05T00:00:00"/>
    <x v="2"/>
    <x v="5"/>
    <x v="0"/>
    <x v="73"/>
    <n v="6"/>
    <n v="0"/>
    <n v="2"/>
    <n v="0"/>
    <n v="0"/>
    <n v="0"/>
    <n v="0"/>
    <n v="0"/>
    <n v="0"/>
    <n v="0"/>
    <m/>
    <n v="0"/>
    <x v="3"/>
    <n v="0"/>
    <n v="1"/>
    <n v="4"/>
    <n v="4"/>
    <x v="0"/>
    <x v="0"/>
    <x v="0"/>
    <x v="0"/>
    <s v="3Palmisani"/>
    <s v="3TRICCHETRACHT1"/>
    <s v="P2"/>
  </r>
  <r>
    <d v="2026-09-05T00:00:00"/>
    <x v="2"/>
    <x v="10"/>
    <x v="0"/>
    <x v="148"/>
    <n v="6.5"/>
    <n v="0"/>
    <n v="1"/>
    <n v="0"/>
    <n v="0"/>
    <n v="0"/>
    <n v="0"/>
    <n v="1"/>
    <n v="0"/>
    <n v="0"/>
    <m/>
    <n v="0"/>
    <x v="10"/>
    <n v="0"/>
    <m/>
    <s v=""/>
    <n v="5"/>
    <x v="0"/>
    <x v="0"/>
    <x v="0"/>
    <x v="0"/>
    <s v="3Falcone"/>
    <s v="3PARTIZAN DEGRADO"/>
    <s v="P1"/>
  </r>
  <r>
    <d v="2026-09-05T00:00:00"/>
    <x v="2"/>
    <x v="7"/>
    <x v="0"/>
    <x v="104"/>
    <n v="6.5"/>
    <n v="0"/>
    <n v="2"/>
    <n v="0"/>
    <n v="0"/>
    <n v="0"/>
    <n v="0"/>
    <n v="0"/>
    <n v="0"/>
    <n v="0"/>
    <m/>
    <n v="0"/>
    <x v="6"/>
    <n v="0"/>
    <n v="1"/>
    <n v="4.5"/>
    <n v="4.5"/>
    <x v="1"/>
    <x v="5"/>
    <x v="1"/>
    <x v="5"/>
    <s v="3Martinez Jo."/>
    <s v="3FC INTERNAZIOANALE1"/>
    <s v="P2"/>
  </r>
  <r>
    <d v="2026-09-05T00:00:00"/>
    <x v="2"/>
    <x v="6"/>
    <x v="3"/>
    <x v="10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Vitinha O."/>
    <s v="3"/>
    <s v="A0"/>
  </r>
  <r>
    <d v="2026-09-05T00:00:00"/>
    <x v="2"/>
    <x v="15"/>
    <x v="0"/>
    <x v="223"/>
    <n v="6"/>
    <n v="0"/>
    <n v="1"/>
    <n v="0"/>
    <n v="0"/>
    <n v="0"/>
    <n v="0"/>
    <n v="0"/>
    <n v="0"/>
    <n v="0"/>
    <m/>
    <n v="0"/>
    <x v="11"/>
    <n v="0"/>
    <n v="1"/>
    <n v="5"/>
    <n v="5"/>
    <x v="1"/>
    <x v="4"/>
    <x v="1"/>
    <x v="4"/>
    <s v="3Svilar"/>
    <s v="3SAN GRIA1"/>
    <s v="P1"/>
  </r>
  <r>
    <d v="2026-09-05T00:00:00"/>
    <x v="2"/>
    <x v="10"/>
    <x v="1"/>
    <x v="152"/>
    <n v="5.5"/>
    <n v="0"/>
    <n v="0"/>
    <n v="0"/>
    <n v="0"/>
    <n v="0"/>
    <n v="0"/>
    <n v="0"/>
    <n v="0"/>
    <n v="0"/>
    <m/>
    <n v="0"/>
    <x v="3"/>
    <n v="0"/>
    <m/>
    <s v=""/>
    <n v="5.5"/>
    <x v="0"/>
    <x v="0"/>
    <x v="0"/>
    <x v="0"/>
    <s v="3Veiga D."/>
    <s v="3TRICCHETRACHT"/>
    <s v="D0"/>
  </r>
  <r>
    <d v="2026-09-05T00:00:00"/>
    <x v="2"/>
    <x v="11"/>
    <x v="0"/>
    <x v="163"/>
    <n v="6"/>
    <n v="0"/>
    <n v="1"/>
    <n v="0"/>
    <n v="0"/>
    <n v="0"/>
    <n v="0"/>
    <n v="0"/>
    <n v="0"/>
    <n v="0"/>
    <m/>
    <n v="0"/>
    <x v="1"/>
    <n v="0"/>
    <m/>
    <s v=""/>
    <n v="5"/>
    <x v="0"/>
    <x v="0"/>
    <x v="0"/>
    <x v="0"/>
    <s v="3Maignan"/>
    <s v="3SESTO ASENSIO"/>
    <s v="P1"/>
  </r>
  <r>
    <d v="2026-09-05T00:00:00"/>
    <x v="2"/>
    <x v="14"/>
    <x v="1"/>
    <x v="209"/>
    <n v="6.5"/>
    <n v="0"/>
    <n v="0"/>
    <n v="0"/>
    <n v="0"/>
    <n v="0"/>
    <n v="0"/>
    <n v="0"/>
    <n v="0"/>
    <n v="0"/>
    <m/>
    <n v="0"/>
    <x v="3"/>
    <n v="0"/>
    <n v="1"/>
    <n v="6.5"/>
    <n v="6.5"/>
    <x v="1"/>
    <x v="2"/>
    <x v="1"/>
    <x v="2"/>
    <s v="3Valeri"/>
    <s v="3TRICCHETRACHT1"/>
    <s v="D0"/>
  </r>
  <r>
    <d v="2026-09-05T00:00:00"/>
    <x v="2"/>
    <x v="6"/>
    <x v="1"/>
    <x v="90"/>
    <n v="5"/>
    <n v="0"/>
    <n v="0"/>
    <n v="0"/>
    <n v="0"/>
    <n v="0"/>
    <n v="0"/>
    <n v="0"/>
    <n v="0"/>
    <n v="0"/>
    <m/>
    <n v="0"/>
    <x v="9"/>
    <n v="0"/>
    <m/>
    <s v=""/>
    <n v="5"/>
    <x v="0"/>
    <x v="0"/>
    <x v="0"/>
    <x v="0"/>
    <s v="3Vasquez"/>
    <s v="3AC ASPARAGHESE"/>
    <s v="D0"/>
  </r>
  <r>
    <d v="2026-09-05T00:00:00"/>
    <x v="2"/>
    <x v="2"/>
    <x v="0"/>
    <x v="30"/>
    <n v="6"/>
    <n v="0"/>
    <n v="0"/>
    <n v="0"/>
    <n v="0"/>
    <n v="0"/>
    <n v="0"/>
    <n v="0"/>
    <n v="0"/>
    <n v="0"/>
    <m/>
    <n v="1"/>
    <x v="9"/>
    <n v="0"/>
    <n v="1"/>
    <n v="7"/>
    <n v="7"/>
    <x v="1"/>
    <x v="6"/>
    <x v="1"/>
    <x v="6"/>
    <s v="3Caprile"/>
    <s v="3AC ASPARAGHESE1"/>
    <s v="P0"/>
  </r>
  <r>
    <d v="2026-09-05T00:00:00"/>
    <x v="2"/>
    <x v="15"/>
    <x v="1"/>
    <x v="331"/>
    <n v="6"/>
    <n v="0"/>
    <n v="0"/>
    <n v="0"/>
    <n v="0"/>
    <n v="0"/>
    <n v="0"/>
    <n v="0"/>
    <n v="0"/>
    <n v="0"/>
    <m/>
    <n v="0"/>
    <x v="3"/>
    <n v="0"/>
    <n v="1"/>
    <n v="6"/>
    <n v="6"/>
    <x v="1"/>
    <x v="7"/>
    <x v="1"/>
    <x v="7"/>
    <s v="3Molina N."/>
    <s v="3TRICCHETRACHT1"/>
    <s v="D0"/>
  </r>
  <r>
    <d v="2026-09-05T00:00:00"/>
    <x v="2"/>
    <x v="14"/>
    <x v="1"/>
    <x v="34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Valenti"/>
    <s v="3"/>
    <s v="D0"/>
  </r>
  <r>
    <d v="2026-09-05T00:00:00"/>
    <x v="2"/>
    <x v="14"/>
    <x v="0"/>
    <x v="208"/>
    <n v="7"/>
    <n v="0"/>
    <n v="1"/>
    <n v="0"/>
    <n v="0"/>
    <n v="0"/>
    <n v="0"/>
    <n v="0"/>
    <n v="0"/>
    <n v="0"/>
    <m/>
    <n v="0"/>
    <x v="10"/>
    <n v="0"/>
    <n v="1"/>
    <n v="6"/>
    <n v="6"/>
    <x v="1"/>
    <x v="7"/>
    <x v="1"/>
    <x v="7"/>
    <s v="3Corvi"/>
    <s v="3PARTIZAN DEGRADO1"/>
    <s v="P1"/>
  </r>
  <r>
    <d v="2026-09-05T00:00:00"/>
    <x v="2"/>
    <x v="18"/>
    <x v="2"/>
    <x v="27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Unai Gomez"/>
    <s v="3"/>
    <s v="C0"/>
  </r>
  <r>
    <d v="2026-09-05T00:00:00"/>
    <x v="2"/>
    <x v="19"/>
    <x v="0"/>
    <x v="282"/>
    <n v="6"/>
    <n v="0"/>
    <n v="3"/>
    <n v="0"/>
    <n v="0"/>
    <n v="0"/>
    <n v="0"/>
    <n v="0"/>
    <n v="0"/>
    <n v="0"/>
    <m/>
    <n v="0"/>
    <x v="7"/>
    <n v="0"/>
    <m/>
    <s v=""/>
    <n v="3"/>
    <x v="0"/>
    <x v="0"/>
    <x v="0"/>
    <x v="0"/>
    <s v="3Stankovic F."/>
    <s v="3SHARK"/>
    <s v="P3"/>
  </r>
  <r>
    <d v="2026-09-05T00:00:00"/>
    <x v="2"/>
    <x v="7"/>
    <x v="1"/>
    <x v="109"/>
    <n v="6.5"/>
    <n v="0"/>
    <n v="0"/>
    <n v="0"/>
    <n v="0"/>
    <n v="0"/>
    <n v="0"/>
    <n v="0"/>
    <n v="0"/>
    <n v="0"/>
    <m/>
    <n v="0"/>
    <x v="2"/>
    <n v="0"/>
    <n v="1"/>
    <n v="6.5"/>
    <n v="6.5"/>
    <x v="1"/>
    <x v="2"/>
    <x v="1"/>
    <x v="2"/>
    <s v="3Bisseck"/>
    <s v="3ATL. IMPROVVISATO1"/>
    <s v="D0"/>
  </r>
  <r>
    <d v="2026-09-05T00:00:00"/>
    <x v="2"/>
    <x v="0"/>
    <x v="0"/>
    <x v="0"/>
    <n v="7"/>
    <n v="0"/>
    <n v="2"/>
    <n v="0"/>
    <n v="0"/>
    <n v="0"/>
    <n v="0"/>
    <n v="0"/>
    <n v="0"/>
    <n v="0"/>
    <m/>
    <n v="0"/>
    <x v="10"/>
    <n v="0"/>
    <m/>
    <s v=""/>
    <n v="5"/>
    <x v="0"/>
    <x v="0"/>
    <x v="0"/>
    <x v="0"/>
    <s v="3Carnesecchi"/>
    <s v="3PARTIZAN DEGRADO"/>
    <s v="P2"/>
  </r>
  <r>
    <d v="2026-09-05T00:00:00"/>
    <x v="2"/>
    <x v="1"/>
    <x v="1"/>
    <x v="345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3Theate"/>
    <s v="3FC INTERNAZIOANALE"/>
    <s v="D0"/>
  </r>
  <r>
    <d v="2026-09-05T00:00:00"/>
    <x v="2"/>
    <x v="15"/>
    <x v="1"/>
    <x v="225"/>
    <n v="5.5"/>
    <n v="0"/>
    <n v="0"/>
    <n v="0"/>
    <n v="0"/>
    <n v="0"/>
    <n v="0"/>
    <n v="0"/>
    <n v="0"/>
    <n v="0"/>
    <m/>
    <n v="0"/>
    <x v="6"/>
    <n v="0"/>
    <n v="1"/>
    <n v="5.5"/>
    <n v="5.5"/>
    <x v="0"/>
    <x v="0"/>
    <x v="1"/>
    <x v="3"/>
    <s v="3N'Dicka"/>
    <s v="3FC INTERNAZIOANALE1"/>
    <s v="D0"/>
  </r>
  <r>
    <d v="2026-09-05T00:00:00"/>
    <x v="2"/>
    <x v="12"/>
    <x v="0"/>
    <x v="322"/>
    <n v="6"/>
    <n v="0"/>
    <n v="1"/>
    <n v="0"/>
    <n v="0"/>
    <n v="0"/>
    <n v="0"/>
    <n v="0"/>
    <n v="0"/>
    <n v="0"/>
    <m/>
    <n v="0"/>
    <x v="9"/>
    <n v="0"/>
    <m/>
    <s v=""/>
    <n v="5"/>
    <x v="0"/>
    <x v="0"/>
    <x v="0"/>
    <x v="0"/>
    <s v="3Thiam"/>
    <s v="3AC ASPARAGHESE"/>
    <s v="P1"/>
  </r>
  <r>
    <d v="2026-09-05T00:00:00"/>
    <x v="2"/>
    <x v="1"/>
    <x v="1"/>
    <x v="17"/>
    <n v="6.5"/>
    <n v="0"/>
    <n v="0"/>
    <n v="0"/>
    <n v="0"/>
    <n v="0"/>
    <n v="0"/>
    <n v="0"/>
    <n v="0"/>
    <n v="1"/>
    <m/>
    <n v="0"/>
    <x v="6"/>
    <n v="0"/>
    <n v="1"/>
    <n v="7.5"/>
    <n v="7.5"/>
    <x v="1"/>
    <x v="8"/>
    <x v="1"/>
    <x v="8"/>
    <s v="3Miranda J."/>
    <s v="3FC INTERNAZIOANALE1"/>
    <s v="D0"/>
  </r>
  <r>
    <d v="2026-09-05T00:00:00"/>
    <x v="2"/>
    <x v="1"/>
    <x v="0"/>
    <x v="15"/>
    <n v="6.5"/>
    <n v="0"/>
    <n v="2"/>
    <n v="0"/>
    <n v="0"/>
    <n v="0"/>
    <n v="0"/>
    <n v="0"/>
    <n v="0"/>
    <n v="0"/>
    <m/>
    <n v="0"/>
    <x v="7"/>
    <n v="0"/>
    <n v="1"/>
    <n v="4.5"/>
    <n v="4.5"/>
    <x v="1"/>
    <x v="5"/>
    <x v="1"/>
    <x v="5"/>
    <s v="3Skorupski"/>
    <s v="3SHARK1"/>
    <s v="P2"/>
  </r>
  <r>
    <d v="2026-09-05T00:00:00"/>
    <x v="2"/>
    <x v="4"/>
    <x v="1"/>
    <x v="307"/>
    <n v="5.5"/>
    <n v="0"/>
    <n v="0"/>
    <n v="0"/>
    <n v="0"/>
    <n v="0"/>
    <n v="0"/>
    <n v="0"/>
    <n v="0"/>
    <n v="0"/>
    <m/>
    <n v="0"/>
    <x v="11"/>
    <n v="0"/>
    <m/>
    <s v=""/>
    <n v="5.5"/>
    <x v="0"/>
    <x v="0"/>
    <x v="0"/>
    <x v="0"/>
    <s v="3Viery"/>
    <s v="3SAN GRIA"/>
    <s v="D0"/>
  </r>
  <r>
    <d v="2026-09-05T00:00:00"/>
    <x v="2"/>
    <x v="9"/>
    <x v="1"/>
    <x v="318"/>
    <n v="6.5"/>
    <n v="0"/>
    <n v="0"/>
    <n v="0"/>
    <n v="0"/>
    <n v="0"/>
    <n v="0"/>
    <n v="0"/>
    <n v="0"/>
    <n v="0"/>
    <m/>
    <n v="0"/>
    <x v="11"/>
    <n v="0"/>
    <n v="1"/>
    <n v="6.5"/>
    <n v="6.5"/>
    <x v="1"/>
    <x v="2"/>
    <x v="1"/>
    <x v="2"/>
    <s v="3Tavares N."/>
    <s v="3SAN GRIA1"/>
    <s v="D0"/>
  </r>
  <r>
    <d v="2026-09-05T00:00:00"/>
    <x v="2"/>
    <x v="16"/>
    <x v="2"/>
    <x v="34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Sulemana I."/>
    <s v="3"/>
    <s v="C0"/>
  </r>
  <r>
    <d v="2026-09-05T00:00:00"/>
    <x v="2"/>
    <x v="20"/>
    <x v="3"/>
    <x v="347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Sugamele"/>
    <s v="3"/>
    <s v="A0"/>
  </r>
  <r>
    <d v="2026-09-05T00:00:00"/>
    <x v="2"/>
    <x v="7"/>
    <x v="2"/>
    <x v="115"/>
    <n v="5.5"/>
    <n v="0"/>
    <n v="0"/>
    <n v="0"/>
    <n v="0"/>
    <n v="0"/>
    <n v="0"/>
    <n v="0"/>
    <n v="0"/>
    <n v="0"/>
    <m/>
    <n v="0"/>
    <x v="9"/>
    <n v="0"/>
    <n v="1"/>
    <n v="5.5"/>
    <n v="5.5"/>
    <x v="0"/>
    <x v="0"/>
    <x v="0"/>
    <x v="0"/>
    <s v="3Sucic P."/>
    <s v="3AC ASPARAGHESE1"/>
    <s v="C0"/>
  </r>
  <r>
    <d v="2026-09-05T00:00:00"/>
    <x v="2"/>
    <x v="10"/>
    <x v="3"/>
    <x v="162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Stulic"/>
    <s v="3"/>
    <s v="A0"/>
  </r>
  <r>
    <d v="2026-09-05T00:00:00"/>
    <x v="2"/>
    <x v="14"/>
    <x v="1"/>
    <x v="212"/>
    <n v="6"/>
    <n v="0"/>
    <n v="0"/>
    <n v="0"/>
    <n v="0"/>
    <n v="0"/>
    <n v="0"/>
    <n v="0"/>
    <n v="0"/>
    <n v="0"/>
    <m/>
    <n v="0"/>
    <x v="7"/>
    <n v="0"/>
    <m/>
    <s v=""/>
    <n v="6"/>
    <x v="1"/>
    <x v="7"/>
    <x v="1"/>
    <x v="7"/>
    <s v="3Troilo"/>
    <s v="3SHARK"/>
    <s v="D0"/>
  </r>
  <r>
    <d v="2026-09-05T00:00:00"/>
    <x v="2"/>
    <x v="16"/>
    <x v="1"/>
    <x v="334"/>
    <n v="6"/>
    <n v="0"/>
    <n v="0"/>
    <n v="0"/>
    <n v="0"/>
    <n v="0"/>
    <n v="0"/>
    <n v="0"/>
    <n v="0"/>
    <n v="0"/>
    <m/>
    <n v="0"/>
    <x v="2"/>
    <n v="0"/>
    <n v="1"/>
    <n v="6"/>
    <n v="6"/>
    <x v="1"/>
    <x v="7"/>
    <x v="1"/>
    <x v="7"/>
    <s v="3Obrador"/>
    <s v="3ATL. IMPROVVISATO1"/>
    <s v="D0"/>
  </r>
  <r>
    <d v="2026-09-05T00:00:00"/>
    <x v="2"/>
    <x v="6"/>
    <x v="2"/>
    <x v="98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3Sow"/>
    <s v="3"/>
    <s v="C0"/>
  </r>
  <r>
    <d v="2026-09-05T00:00:00"/>
    <x v="2"/>
    <x v="3"/>
    <x v="1"/>
    <x v="47"/>
    <n v="7"/>
    <n v="0"/>
    <n v="0"/>
    <n v="0"/>
    <n v="0"/>
    <n v="0"/>
    <n v="0"/>
    <n v="0"/>
    <n v="0"/>
    <n v="1"/>
    <m/>
    <n v="0"/>
    <x v="9"/>
    <n v="0"/>
    <n v="1"/>
    <n v="8"/>
    <n v="8"/>
    <x v="1"/>
    <x v="9"/>
    <x v="1"/>
    <x v="9"/>
    <s v="3Valle"/>
    <s v="3AC ASPARAGHESE1"/>
    <s v="D0"/>
  </r>
  <r>
    <d v="2026-09-05T00:00:00"/>
    <x v="2"/>
    <x v="18"/>
    <x v="1"/>
    <x v="268"/>
    <n v="4.5"/>
    <n v="0"/>
    <n v="0"/>
    <n v="0"/>
    <n v="0"/>
    <n v="0"/>
    <n v="0"/>
    <n v="0"/>
    <n v="0"/>
    <n v="0"/>
    <m/>
    <n v="0"/>
    <x v="10"/>
    <n v="0"/>
    <m/>
    <s v=""/>
    <n v="4.5"/>
    <x v="0"/>
    <x v="0"/>
    <x v="0"/>
    <x v="0"/>
    <s v="3Vojvoda"/>
    <s v="3PARTIZAN DEGRADO"/>
    <s v="D0"/>
  </r>
  <r>
    <d v="2026-09-05T00:00:00"/>
    <x v="2"/>
    <x v="19"/>
    <x v="2"/>
    <x v="343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3Sohm"/>
    <s v="3"/>
    <s v="C0"/>
  </r>
  <r>
    <d v="2026-09-05T00:00:00"/>
    <x v="2"/>
    <x v="13"/>
    <x v="1"/>
    <x v="196"/>
    <n v="5.5"/>
    <n v="0"/>
    <n v="0"/>
    <n v="0"/>
    <n v="0"/>
    <n v="0"/>
    <n v="0"/>
    <n v="0"/>
    <n v="0"/>
    <n v="0"/>
    <m/>
    <n v="0"/>
    <x v="7"/>
    <n v="0"/>
    <n v="1"/>
    <n v="5.5"/>
    <n v="5.5"/>
    <x v="1"/>
    <x v="3"/>
    <x v="1"/>
    <x v="3"/>
    <s v="3Rrahmani"/>
    <s v="3SHARK1"/>
    <s v="D0"/>
  </r>
  <r>
    <d v="2026-09-05T00:00:00"/>
    <x v="2"/>
    <x v="10"/>
    <x v="1"/>
    <x v="150"/>
    <n v="5"/>
    <n v="0"/>
    <n v="0"/>
    <n v="0"/>
    <n v="0"/>
    <n v="0"/>
    <n v="0"/>
    <n v="1"/>
    <n v="0"/>
    <n v="0"/>
    <m/>
    <n v="0"/>
    <x v="4"/>
    <n v="0"/>
    <n v="1"/>
    <n v="4.5"/>
    <n v="4.5"/>
    <x v="0"/>
    <x v="0"/>
    <x v="1"/>
    <x v="5"/>
    <s v="3Gaspar K."/>
    <s v="3AS PIPPERIA1"/>
    <s v="D0"/>
  </r>
  <r>
    <d v="2026-09-05T00:00:00"/>
    <x v="2"/>
    <x v="14"/>
    <x v="2"/>
    <x v="34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Sierro"/>
    <s v="3"/>
    <s v="C0"/>
  </r>
  <r>
    <d v="2026-09-05T00:00:00"/>
    <x v="2"/>
    <x v="10"/>
    <x v="1"/>
    <x v="154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3Siebert"/>
    <s v="3"/>
    <s v="D0"/>
  </r>
  <r>
    <d v="2026-09-05T00:00:00"/>
    <x v="2"/>
    <x v="5"/>
    <x v="2"/>
    <x v="86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3Schmid"/>
    <s v="3"/>
    <s v="C0"/>
  </r>
  <r>
    <d v="2026-09-05T00:00:00"/>
    <x v="2"/>
    <x v="19"/>
    <x v="1"/>
    <x v="286"/>
    <n v="4.5"/>
    <n v="0"/>
    <n v="0"/>
    <n v="0"/>
    <n v="0"/>
    <n v="0"/>
    <n v="0"/>
    <n v="0"/>
    <n v="0"/>
    <n v="0"/>
    <m/>
    <n v="0"/>
    <x v="8"/>
    <n v="0"/>
    <m/>
    <s v=""/>
    <n v="4.5"/>
    <x v="0"/>
    <x v="0"/>
    <x v="0"/>
    <x v="0"/>
    <s v="3Schingtienne"/>
    <s v="3"/>
    <s v="D0"/>
  </r>
  <r>
    <d v="2026-09-05T00:00:00"/>
    <x v="2"/>
    <x v="18"/>
    <x v="1"/>
    <x v="269"/>
    <n v="6.5"/>
    <n v="0"/>
    <n v="0"/>
    <n v="0"/>
    <n v="0"/>
    <n v="0"/>
    <n v="0"/>
    <n v="0"/>
    <n v="0"/>
    <n v="0"/>
    <m/>
    <n v="0"/>
    <x v="3"/>
    <n v="0"/>
    <n v="1"/>
    <n v="6.5"/>
    <n v="6.5"/>
    <x v="1"/>
    <x v="2"/>
    <x v="1"/>
    <x v="2"/>
    <s v="3Kamara H."/>
    <s v="3TRICCHETRACHT1"/>
    <s v="D0"/>
  </r>
  <r>
    <d v="2026-09-05T00:00:00"/>
    <x v="2"/>
    <x v="3"/>
    <x v="0"/>
    <x v="44"/>
    <n v="6"/>
    <n v="0"/>
    <n v="1"/>
    <n v="0"/>
    <n v="0"/>
    <n v="0"/>
    <n v="0"/>
    <n v="0"/>
    <n v="0"/>
    <n v="0"/>
    <m/>
    <n v="0"/>
    <x v="1"/>
    <n v="0"/>
    <n v="1"/>
    <n v="5"/>
    <n v="5"/>
    <x v="1"/>
    <x v="4"/>
    <x v="1"/>
    <x v="4"/>
    <s v="3Butez"/>
    <s v="3SESTO ASENSIO1"/>
    <s v="P1"/>
  </r>
  <r>
    <d v="2026-09-05T00:00:00"/>
    <x v="2"/>
    <x v="7"/>
    <x v="1"/>
    <x v="105"/>
    <n v="6.5"/>
    <n v="0"/>
    <n v="0"/>
    <n v="0"/>
    <n v="0"/>
    <n v="0"/>
    <n v="0"/>
    <n v="0"/>
    <n v="0"/>
    <n v="1"/>
    <m/>
    <n v="0"/>
    <x v="3"/>
    <n v="0"/>
    <n v="1"/>
    <n v="7.5"/>
    <n v="7.5"/>
    <x v="1"/>
    <x v="8"/>
    <x v="1"/>
    <x v="8"/>
    <s v="3Dimarco"/>
    <s v="3TRICCHETRACHT1"/>
    <s v="D0"/>
  </r>
  <r>
    <d v="2026-09-05T00:00:00"/>
    <x v="2"/>
    <x v="13"/>
    <x v="1"/>
    <x v="195"/>
    <n v="6"/>
    <n v="0"/>
    <n v="0"/>
    <n v="0"/>
    <n v="0"/>
    <n v="0"/>
    <n v="0"/>
    <n v="0"/>
    <n v="0"/>
    <n v="1"/>
    <m/>
    <n v="0"/>
    <x v="4"/>
    <n v="0"/>
    <m/>
    <s v=""/>
    <n v="7"/>
    <x v="1"/>
    <x v="6"/>
    <x v="1"/>
    <x v="6"/>
    <s v="3Di Lorenzo"/>
    <s v="3AS PIPPERIA"/>
    <s v="D0"/>
  </r>
  <r>
    <d v="2026-09-05T00:00:00"/>
    <x v="2"/>
    <x v="19"/>
    <x v="1"/>
    <x v="349"/>
    <n v="7"/>
    <n v="1"/>
    <n v="0"/>
    <n v="0"/>
    <n v="0"/>
    <n v="0"/>
    <n v="0"/>
    <n v="0"/>
    <n v="0"/>
    <n v="0"/>
    <m/>
    <n v="0"/>
    <x v="8"/>
    <n v="1"/>
    <m/>
    <s v=""/>
    <n v="10"/>
    <x v="0"/>
    <x v="0"/>
    <x v="0"/>
    <x v="0"/>
    <s v="3Sagrado"/>
    <s v="3"/>
    <s v="D0"/>
  </r>
  <r>
    <d v="2026-09-05T00:00:00"/>
    <x v="2"/>
    <x v="16"/>
    <x v="1"/>
    <x v="242"/>
    <n v="6.5"/>
    <n v="0"/>
    <n v="0"/>
    <n v="0"/>
    <n v="0"/>
    <n v="0"/>
    <n v="0"/>
    <n v="0"/>
    <n v="0"/>
    <n v="0"/>
    <m/>
    <n v="0"/>
    <x v="11"/>
    <n v="0"/>
    <m/>
    <s v=""/>
    <n v="6.5"/>
    <x v="1"/>
    <x v="2"/>
    <x v="1"/>
    <x v="2"/>
    <s v="3Leysen F."/>
    <s v="3SAN GRIA"/>
    <s v="D0"/>
  </r>
  <r>
    <d v="2026-09-05T00:00:00"/>
    <x v="2"/>
    <x v="6"/>
    <x v="1"/>
    <x v="350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3Sabelli"/>
    <s v="3"/>
    <s v="D0"/>
  </r>
  <r>
    <d v="2026-09-05T00:00:00"/>
    <x v="2"/>
    <x v="19"/>
    <x v="3"/>
    <x v="35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Rrahmani Al."/>
    <s v="3"/>
    <s v="A0"/>
  </r>
  <r>
    <d v="2026-09-05T00:00:00"/>
    <x v="2"/>
    <x v="6"/>
    <x v="1"/>
    <x v="91"/>
    <n v="4.5"/>
    <n v="0"/>
    <n v="0"/>
    <n v="0"/>
    <n v="0"/>
    <n v="0"/>
    <n v="0"/>
    <n v="1"/>
    <n v="0"/>
    <n v="0"/>
    <m/>
    <n v="0"/>
    <x v="7"/>
    <n v="0"/>
    <n v="1"/>
    <n v="4"/>
    <n v="4"/>
    <x v="0"/>
    <x v="0"/>
    <x v="0"/>
    <x v="0"/>
    <s v="3Ostigard"/>
    <s v="3SHARK1"/>
    <s v="D0"/>
  </r>
  <r>
    <d v="2026-09-05T00:00:00"/>
    <x v="2"/>
    <x v="14"/>
    <x v="3"/>
    <x v="330"/>
    <n v="5.5"/>
    <n v="0"/>
    <n v="0"/>
    <n v="0"/>
    <n v="0"/>
    <n v="0"/>
    <n v="0"/>
    <n v="0"/>
    <n v="0"/>
    <n v="0"/>
    <m/>
    <n v="0"/>
    <x v="9"/>
    <n v="0"/>
    <n v="1"/>
    <n v="5.5"/>
    <n v="5.5"/>
    <x v="0"/>
    <x v="0"/>
    <x v="0"/>
    <x v="0"/>
    <s v="3Romero D."/>
    <s v="3AC ASPARAGHESE1"/>
    <s v="A0"/>
  </r>
  <r>
    <d v="2026-09-05T00:00:00"/>
    <x v="2"/>
    <x v="4"/>
    <x v="1"/>
    <x v="306"/>
    <n v="5"/>
    <n v="0"/>
    <n v="0"/>
    <n v="0"/>
    <n v="0"/>
    <n v="0"/>
    <n v="0"/>
    <n v="0"/>
    <n v="0"/>
    <n v="0"/>
    <m/>
    <n v="0"/>
    <x v="10"/>
    <n v="0"/>
    <n v="1"/>
    <n v="5"/>
    <n v="5"/>
    <x v="0"/>
    <x v="0"/>
    <x v="0"/>
    <x v="0"/>
    <s v="3Valdepenas"/>
    <s v="3PARTIZAN DEGRADO1"/>
    <s v="D0"/>
  </r>
  <r>
    <d v="2026-09-05T00:00:00"/>
    <x v="2"/>
    <x v="2"/>
    <x v="1"/>
    <x v="3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Rodriguez Ju."/>
    <s v="3"/>
    <s v="D0"/>
  </r>
  <r>
    <d v="2026-09-05T00:00:00"/>
    <x v="2"/>
    <x v="12"/>
    <x v="3"/>
    <x v="352"/>
    <n v="7"/>
    <n v="1"/>
    <n v="0"/>
    <n v="0"/>
    <n v="0"/>
    <n v="0"/>
    <n v="0"/>
    <n v="0"/>
    <n v="0"/>
    <n v="0"/>
    <m/>
    <n v="0"/>
    <x v="8"/>
    <n v="1"/>
    <m/>
    <s v=""/>
    <n v="10"/>
    <x v="0"/>
    <x v="0"/>
    <x v="0"/>
    <x v="0"/>
    <s v="3Robinson J."/>
    <s v="3"/>
    <s v="A0"/>
  </r>
  <r>
    <d v="2026-09-05T00:00:00"/>
    <x v="2"/>
    <x v="11"/>
    <x v="3"/>
    <x v="178"/>
    <n v="5"/>
    <n v="0"/>
    <n v="0"/>
    <n v="0"/>
    <n v="0"/>
    <n v="0"/>
    <n v="0"/>
    <n v="0"/>
    <n v="0"/>
    <n v="0"/>
    <m/>
    <n v="0"/>
    <x v="4"/>
    <n v="0"/>
    <n v="1"/>
    <n v="5"/>
    <n v="5"/>
    <x v="0"/>
    <x v="0"/>
    <x v="0"/>
    <x v="0"/>
    <s v="3Ramos G."/>
    <s v="3AS PIPPERIA1"/>
    <s v="A0"/>
  </r>
  <r>
    <d v="2026-09-05T00:00:00"/>
    <x v="2"/>
    <x v="10"/>
    <x v="1"/>
    <x v="151"/>
    <n v="5"/>
    <n v="0"/>
    <n v="0"/>
    <n v="0"/>
    <n v="0"/>
    <n v="0"/>
    <n v="0"/>
    <n v="0"/>
    <n v="0"/>
    <n v="0"/>
    <m/>
    <n v="0"/>
    <x v="10"/>
    <n v="0"/>
    <m/>
    <s v=""/>
    <n v="5"/>
    <x v="0"/>
    <x v="0"/>
    <x v="0"/>
    <x v="0"/>
    <s v="3Tiago Gabriel"/>
    <s v="3PARTIZAN DEGRADO"/>
    <s v="D0"/>
  </r>
  <r>
    <d v="2026-09-05T00:00:00"/>
    <x v="2"/>
    <x v="0"/>
    <x v="1"/>
    <x v="3"/>
    <n v="6.5"/>
    <n v="0"/>
    <n v="0"/>
    <n v="0"/>
    <n v="0"/>
    <n v="0"/>
    <n v="0"/>
    <n v="0"/>
    <n v="0"/>
    <n v="0"/>
    <m/>
    <n v="0"/>
    <x v="1"/>
    <n v="0"/>
    <m/>
    <s v=""/>
    <n v="6.5"/>
    <x v="1"/>
    <x v="2"/>
    <x v="1"/>
    <x v="2"/>
    <s v="3Scalvini"/>
    <s v="3SESTO ASENSIO"/>
    <s v="D0"/>
  </r>
  <r>
    <d v="2026-09-05T00:00:00"/>
    <x v="2"/>
    <x v="11"/>
    <x v="1"/>
    <x v="168"/>
    <n v="6.5"/>
    <n v="0"/>
    <n v="0"/>
    <n v="0"/>
    <n v="0"/>
    <n v="0"/>
    <n v="0"/>
    <n v="0"/>
    <n v="0"/>
    <n v="0"/>
    <m/>
    <n v="0"/>
    <x v="11"/>
    <n v="0"/>
    <n v="1"/>
    <n v="6.5"/>
    <n v="6.5"/>
    <x v="1"/>
    <x v="2"/>
    <x v="1"/>
    <x v="2"/>
    <s v="3Gila"/>
    <s v="3SAN GRIA1"/>
    <s v="D0"/>
  </r>
  <r>
    <d v="2026-09-05T00:00:00"/>
    <x v="2"/>
    <x v="9"/>
    <x v="1"/>
    <x v="13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Provstgaard"/>
    <s v="3"/>
    <s v="D0"/>
  </r>
  <r>
    <d v="2026-09-05T00:00:00"/>
    <x v="2"/>
    <x v="15"/>
    <x v="1"/>
    <x v="227"/>
    <n v="7"/>
    <n v="0"/>
    <n v="0"/>
    <n v="0"/>
    <n v="0"/>
    <n v="0"/>
    <n v="0"/>
    <n v="0"/>
    <n v="0"/>
    <n v="0"/>
    <m/>
    <n v="0"/>
    <x v="5"/>
    <n v="0"/>
    <n v="1"/>
    <n v="7"/>
    <n v="7"/>
    <x v="1"/>
    <x v="6"/>
    <x v="1"/>
    <x v="6"/>
    <s v="3Wesley"/>
    <s v="3PESCICULINI1"/>
    <s v="D0"/>
  </r>
  <r>
    <d v="2026-09-05T00:00:00"/>
    <x v="2"/>
    <x v="1"/>
    <x v="2"/>
    <x v="29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Pobega"/>
    <s v="3"/>
    <s v="C0"/>
  </r>
  <r>
    <d v="2026-09-05T00:00:00"/>
    <x v="2"/>
    <x v="18"/>
    <x v="2"/>
    <x v="278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3Piotrowski"/>
    <s v="3"/>
    <s v="C0"/>
  </r>
  <r>
    <d v="2026-09-05T00:00:00"/>
    <x v="2"/>
    <x v="9"/>
    <x v="3"/>
    <x v="353"/>
    <n v="5"/>
    <n v="0"/>
    <n v="0"/>
    <n v="0"/>
    <n v="0"/>
    <n v="0"/>
    <n v="0"/>
    <n v="0"/>
    <n v="0"/>
    <n v="0"/>
    <m/>
    <n v="0"/>
    <x v="4"/>
    <n v="0"/>
    <m/>
    <s v=""/>
    <n v="5"/>
    <x v="0"/>
    <x v="0"/>
    <x v="0"/>
    <x v="0"/>
    <s v="3Pinamonti"/>
    <s v="3AS PIPPERIA"/>
    <s v="A0"/>
  </r>
  <r>
    <d v="2026-09-05T00:00:00"/>
    <x v="2"/>
    <x v="10"/>
    <x v="2"/>
    <x v="15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Pierotti"/>
    <s v="3"/>
    <s v="C0"/>
  </r>
  <r>
    <d v="2026-09-05T00:00:00"/>
    <x v="2"/>
    <x v="3"/>
    <x v="1"/>
    <x v="45"/>
    <n v="6"/>
    <n v="0"/>
    <n v="0"/>
    <n v="0"/>
    <n v="0"/>
    <n v="0"/>
    <n v="0"/>
    <n v="0"/>
    <n v="0"/>
    <n v="0"/>
    <m/>
    <n v="0"/>
    <x v="7"/>
    <n v="0"/>
    <m/>
    <s v=""/>
    <n v="6"/>
    <x v="1"/>
    <x v="7"/>
    <x v="1"/>
    <x v="7"/>
    <s v="3Chalobah T."/>
    <s v="3SHARK"/>
    <s v="D0"/>
  </r>
  <r>
    <d v="2026-09-05T00:00:00"/>
    <x v="2"/>
    <x v="5"/>
    <x v="1"/>
    <x v="79"/>
    <n v="6"/>
    <n v="0"/>
    <n v="0"/>
    <n v="0"/>
    <n v="0"/>
    <n v="0"/>
    <n v="0"/>
    <n v="0"/>
    <n v="0"/>
    <n v="0"/>
    <m/>
    <n v="0"/>
    <x v="11"/>
    <n v="0"/>
    <m/>
    <s v=""/>
    <n v="6"/>
    <x v="1"/>
    <x v="7"/>
    <x v="1"/>
    <x v="7"/>
    <s v="3Bracaglia"/>
    <s v="3SAN GRIA"/>
    <s v="D0"/>
  </r>
  <r>
    <d v="2026-09-05T00:00:00"/>
    <x v="2"/>
    <x v="17"/>
    <x v="0"/>
    <x v="354"/>
    <n v="5.5"/>
    <n v="0"/>
    <n v="1"/>
    <n v="0"/>
    <n v="0"/>
    <n v="0"/>
    <n v="0"/>
    <n v="0"/>
    <n v="0"/>
    <n v="0"/>
    <m/>
    <n v="0"/>
    <x v="4"/>
    <n v="0"/>
    <m/>
    <s v=""/>
    <n v="4.5"/>
    <x v="0"/>
    <x v="0"/>
    <x v="0"/>
    <x v="0"/>
    <s v="3Perri"/>
    <s v="3AS PIPPERIA"/>
    <s v="P1"/>
  </r>
  <r>
    <d v="2026-09-05T00:00:00"/>
    <x v="2"/>
    <x v="19"/>
    <x v="2"/>
    <x v="29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Perez K."/>
    <s v="3"/>
    <s v="C0"/>
  </r>
  <r>
    <d v="2026-09-05T00:00:00"/>
    <x v="2"/>
    <x v="7"/>
    <x v="1"/>
    <x v="108"/>
    <n v="6.5"/>
    <n v="0"/>
    <n v="0"/>
    <n v="0"/>
    <n v="0"/>
    <n v="0"/>
    <n v="0"/>
    <n v="0"/>
    <n v="0"/>
    <n v="1"/>
    <m/>
    <n v="0"/>
    <x v="7"/>
    <n v="0"/>
    <n v="1"/>
    <n v="7.5"/>
    <n v="7.5"/>
    <x v="1"/>
    <x v="8"/>
    <x v="1"/>
    <x v="8"/>
    <s v="3Akanji"/>
    <s v="3SHARK1"/>
    <s v="D0"/>
  </r>
  <r>
    <d v="2026-09-05T00:00:00"/>
    <x v="2"/>
    <x v="14"/>
    <x v="1"/>
    <x v="210"/>
    <n v="6"/>
    <n v="0"/>
    <n v="0"/>
    <n v="0"/>
    <n v="0"/>
    <n v="0"/>
    <n v="0"/>
    <n v="0"/>
    <n v="0"/>
    <n v="0"/>
    <m/>
    <n v="0"/>
    <x v="4"/>
    <n v="0"/>
    <n v="1"/>
    <n v="6"/>
    <n v="6"/>
    <x v="1"/>
    <x v="7"/>
    <x v="1"/>
    <x v="7"/>
    <s v="3Delprato"/>
    <s v="3AS PIPPERIA1"/>
    <s v="D0"/>
  </r>
  <r>
    <d v="2026-09-05T00:00:00"/>
    <x v="2"/>
    <x v="11"/>
    <x v="1"/>
    <x v="165"/>
    <n v="6"/>
    <n v="0"/>
    <n v="0"/>
    <n v="0"/>
    <n v="0"/>
    <n v="0"/>
    <n v="0"/>
    <n v="0"/>
    <n v="0"/>
    <n v="0"/>
    <m/>
    <n v="0"/>
    <x v="1"/>
    <n v="0"/>
    <n v="1"/>
    <n v="6"/>
    <n v="6"/>
    <x v="0"/>
    <x v="0"/>
    <x v="0"/>
    <x v="0"/>
    <s v="3Pavlovic"/>
    <s v="3SESTO ASENSIO1"/>
    <s v="D0"/>
  </r>
  <r>
    <d v="2026-09-05T00:00:00"/>
    <x v="2"/>
    <x v="17"/>
    <x v="1"/>
    <x v="35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Patterson"/>
    <s v="3"/>
    <s v="D0"/>
  </r>
  <r>
    <d v="2026-09-05T00:00:00"/>
    <x v="2"/>
    <x v="7"/>
    <x v="2"/>
    <x v="110"/>
    <n v="6.5"/>
    <n v="0"/>
    <n v="0"/>
    <n v="0"/>
    <n v="0"/>
    <n v="0"/>
    <n v="0"/>
    <n v="0"/>
    <n v="0"/>
    <n v="0"/>
    <m/>
    <n v="0"/>
    <x v="2"/>
    <n v="0"/>
    <n v="1"/>
    <n v="6.5"/>
    <n v="6.5"/>
    <x v="1"/>
    <x v="2"/>
    <x v="1"/>
    <x v="2"/>
    <s v="3Zielinski"/>
    <s v="3ATL. IMPROVVISATO1"/>
    <s v="C0"/>
  </r>
  <r>
    <d v="2026-09-05T00:00:00"/>
    <x v="2"/>
    <x v="16"/>
    <x v="2"/>
    <x v="245"/>
    <n v="6.5"/>
    <n v="0"/>
    <n v="0"/>
    <n v="0"/>
    <n v="0"/>
    <n v="0"/>
    <n v="0"/>
    <n v="0"/>
    <n v="0"/>
    <n v="0"/>
    <m/>
    <n v="0"/>
    <x v="3"/>
    <n v="0"/>
    <m/>
    <s v=""/>
    <n v="6.5"/>
    <x v="1"/>
    <x v="2"/>
    <x v="1"/>
    <x v="2"/>
    <s v="3Volpato"/>
    <s v="3TRICCHETRACHT"/>
    <s v="C0"/>
  </r>
  <r>
    <d v="2026-09-05T00:00:00"/>
    <x v="2"/>
    <x v="5"/>
    <x v="1"/>
    <x v="77"/>
    <n v="7"/>
    <n v="0"/>
    <n v="0"/>
    <n v="0"/>
    <n v="0"/>
    <n v="0"/>
    <n v="0"/>
    <n v="1"/>
    <n v="0"/>
    <n v="1"/>
    <m/>
    <n v="0"/>
    <x v="8"/>
    <n v="0"/>
    <m/>
    <s v=""/>
    <n v="7.5"/>
    <x v="0"/>
    <x v="0"/>
    <x v="0"/>
    <x v="0"/>
    <s v="3Oyono A."/>
    <s v="3"/>
    <s v="D0"/>
  </r>
  <r>
    <d v="2026-09-05T00:00:00"/>
    <x v="2"/>
    <x v="4"/>
    <x v="2"/>
    <x v="7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Oulai"/>
    <s v="3"/>
    <s v="C0"/>
  </r>
  <r>
    <d v="2026-09-05T00:00:00"/>
    <x v="2"/>
    <x v="9"/>
    <x v="2"/>
    <x v="146"/>
    <n v="6"/>
    <n v="0"/>
    <n v="0"/>
    <n v="0"/>
    <n v="0"/>
    <n v="0"/>
    <n v="0"/>
    <n v="0"/>
    <n v="0"/>
    <n v="0"/>
    <m/>
    <n v="0"/>
    <x v="7"/>
    <n v="0"/>
    <n v="1"/>
    <n v="6"/>
    <n v="6"/>
    <x v="1"/>
    <x v="7"/>
    <x v="1"/>
    <x v="7"/>
    <s v="3Taylor K."/>
    <s v="3SHARK1"/>
    <s v="C0"/>
  </r>
  <r>
    <d v="2026-09-05T00:00:00"/>
    <x v="2"/>
    <x v="7"/>
    <x v="1"/>
    <x v="106"/>
    <n v="5.5"/>
    <n v="0"/>
    <n v="0"/>
    <n v="0"/>
    <n v="0"/>
    <n v="0"/>
    <n v="0"/>
    <n v="0"/>
    <n v="0"/>
    <n v="0"/>
    <m/>
    <n v="0"/>
    <x v="11"/>
    <n v="0"/>
    <n v="1"/>
    <n v="5.5"/>
    <n v="5.5"/>
    <x v="0"/>
    <x v="0"/>
    <x v="0"/>
    <x v="0"/>
    <s v="3Bastoni"/>
    <s v="3SAN GRIA1"/>
    <s v="D0"/>
  </r>
  <r>
    <d v="2026-09-05T00:00:00"/>
    <x v="2"/>
    <x v="14"/>
    <x v="2"/>
    <x v="21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Ordonez C."/>
    <s v="3"/>
    <s v="C0"/>
  </r>
  <r>
    <d v="2026-09-05T00:00:00"/>
    <x v="2"/>
    <x v="13"/>
    <x v="2"/>
    <x v="200"/>
    <n v="5.5"/>
    <n v="0"/>
    <n v="0"/>
    <n v="0"/>
    <n v="0"/>
    <n v="0"/>
    <n v="0"/>
    <n v="0"/>
    <n v="0"/>
    <n v="0"/>
    <m/>
    <n v="0"/>
    <x v="2"/>
    <n v="0"/>
    <n v="1"/>
    <n v="5.5"/>
    <n v="5.5"/>
    <x v="1"/>
    <x v="3"/>
    <x v="1"/>
    <x v="3"/>
    <s v="3Zambo Anguissa"/>
    <s v="3ATL. IMPROVVISATO1"/>
    <s v="C0"/>
  </r>
  <r>
    <d v="2026-09-05T00:00:00"/>
    <x v="2"/>
    <x v="1"/>
    <x v="2"/>
    <x v="23"/>
    <n v="5.5"/>
    <n v="0"/>
    <n v="0"/>
    <n v="0"/>
    <n v="0"/>
    <n v="0"/>
    <n v="0"/>
    <n v="0"/>
    <n v="0"/>
    <n v="0"/>
    <m/>
    <n v="0"/>
    <x v="4"/>
    <n v="0"/>
    <n v="1"/>
    <n v="5.5"/>
    <n v="5.5"/>
    <x v="0"/>
    <x v="0"/>
    <x v="0"/>
    <x v="0"/>
    <s v="3Odgaard"/>
    <s v="3AS PIPPERIA1"/>
    <s v="C0"/>
  </r>
  <r>
    <d v="2026-09-05T00:00:00"/>
    <x v="2"/>
    <x v="2"/>
    <x v="1"/>
    <x v="3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Obert"/>
    <s v="3"/>
    <s v="D0"/>
  </r>
  <r>
    <d v="2026-09-05T00:00:00"/>
    <x v="2"/>
    <x v="19"/>
    <x v="1"/>
    <x v="284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3Haps"/>
    <s v="3FC INTERNAZIOANALE"/>
    <s v="D0"/>
  </r>
  <r>
    <d v="2026-09-05T00:00:00"/>
    <x v="2"/>
    <x v="15"/>
    <x v="1"/>
    <x v="224"/>
    <n v="5"/>
    <n v="0"/>
    <n v="0"/>
    <n v="0"/>
    <n v="0"/>
    <n v="0"/>
    <n v="0"/>
    <n v="0"/>
    <n v="0"/>
    <n v="0"/>
    <m/>
    <n v="0"/>
    <x v="5"/>
    <n v="0"/>
    <n v="1"/>
    <n v="5"/>
    <n v="5"/>
    <x v="0"/>
    <x v="0"/>
    <x v="0"/>
    <x v="0"/>
    <s v="3Mancini"/>
    <s v="3PESCICULINI1"/>
    <s v="D0"/>
  </r>
  <r>
    <d v="2026-09-05T00:00:00"/>
    <x v="2"/>
    <x v="10"/>
    <x v="2"/>
    <x v="15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Ngom"/>
    <s v="3"/>
    <s v="C0"/>
  </r>
  <r>
    <d v="2026-09-05T00:00:00"/>
    <x v="2"/>
    <x v="11"/>
    <x v="2"/>
    <x v="175"/>
    <n v="6"/>
    <n v="0"/>
    <n v="0"/>
    <n v="0"/>
    <n v="0"/>
    <n v="0"/>
    <n v="0"/>
    <n v="0"/>
    <n v="0"/>
    <n v="0"/>
    <m/>
    <n v="0"/>
    <x v="7"/>
    <n v="0"/>
    <n v="1"/>
    <n v="6"/>
    <n v="6"/>
    <x v="1"/>
    <x v="7"/>
    <x v="1"/>
    <x v="7"/>
    <s v="3Musah"/>
    <s v="3SHARK1"/>
    <s v="C0"/>
  </r>
  <r>
    <d v="2026-09-05T00:00:00"/>
    <x v="2"/>
    <x v="10"/>
    <x v="3"/>
    <x v="16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N'Dri"/>
    <s v="3"/>
    <s v="A0"/>
  </r>
  <r>
    <d v="2026-09-05T00:00:00"/>
    <x v="2"/>
    <x v="17"/>
    <x v="1"/>
    <x v="257"/>
    <n v="6.5"/>
    <n v="0"/>
    <n v="0"/>
    <n v="0"/>
    <n v="0"/>
    <n v="0"/>
    <n v="0"/>
    <n v="0"/>
    <n v="0"/>
    <n v="0"/>
    <m/>
    <n v="0"/>
    <x v="6"/>
    <n v="0"/>
    <m/>
    <s v=""/>
    <n v="6.5"/>
    <x v="1"/>
    <x v="2"/>
    <x v="1"/>
    <x v="2"/>
    <s v="3Fortini"/>
    <s v="3FC INTERNAZIOANALE"/>
    <s v="D0"/>
  </r>
  <r>
    <d v="2026-09-05T00:00:00"/>
    <x v="2"/>
    <x v="8"/>
    <x v="1"/>
    <x v="122"/>
    <n v="5.5"/>
    <n v="0"/>
    <n v="0"/>
    <n v="0"/>
    <n v="0"/>
    <n v="0"/>
    <n v="0"/>
    <n v="0"/>
    <n v="0"/>
    <n v="0"/>
    <m/>
    <n v="0"/>
    <x v="6"/>
    <n v="0"/>
    <n v="1"/>
    <n v="5.5"/>
    <n v="5.5"/>
    <x v="0"/>
    <x v="0"/>
    <x v="0"/>
    <x v="0"/>
    <s v="3Celik"/>
    <s v="3FC INTERNAZIOANALE1"/>
    <s v="D0"/>
  </r>
  <r>
    <d v="2026-09-05T00:00:00"/>
    <x v="2"/>
    <x v="10"/>
    <x v="2"/>
    <x v="155"/>
    <n v="5.5"/>
    <n v="0"/>
    <n v="0"/>
    <n v="0"/>
    <n v="0"/>
    <n v="0"/>
    <n v="0"/>
    <n v="0"/>
    <n v="0"/>
    <n v="0"/>
    <m/>
    <n v="0"/>
    <x v="7"/>
    <n v="0"/>
    <m/>
    <s v=""/>
    <n v="5.5"/>
    <x v="0"/>
    <x v="0"/>
    <x v="0"/>
    <x v="0"/>
    <s v="3Maleh"/>
    <s v="3SHARK"/>
    <s v="C0"/>
  </r>
  <r>
    <d v="2026-09-05T00:00:00"/>
    <x v="2"/>
    <x v="16"/>
    <x v="0"/>
    <x v="238"/>
    <n v="5.5"/>
    <n v="0"/>
    <n v="2"/>
    <n v="0"/>
    <n v="0"/>
    <n v="0"/>
    <n v="0"/>
    <n v="0"/>
    <n v="0"/>
    <n v="0"/>
    <m/>
    <n v="0"/>
    <x v="9"/>
    <n v="0"/>
    <m/>
    <s v=""/>
    <n v="3.5"/>
    <x v="0"/>
    <x v="0"/>
    <x v="0"/>
    <x v="0"/>
    <s v="3Muric"/>
    <s v="3AC ASPARAGHESE"/>
    <s v="P2"/>
  </r>
  <r>
    <d v="2026-09-05T00:00:00"/>
    <x v="2"/>
    <x v="12"/>
    <x v="3"/>
    <x v="35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Mota"/>
    <s v="3"/>
    <s v="A0"/>
  </r>
  <r>
    <d v="2026-09-05T00:00:00"/>
    <x v="2"/>
    <x v="1"/>
    <x v="2"/>
    <x v="35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Moro N."/>
    <s v="3"/>
    <s v="C0"/>
  </r>
  <r>
    <d v="2026-09-05T00:00:00"/>
    <x v="2"/>
    <x v="19"/>
    <x v="1"/>
    <x v="358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3Moreno M."/>
    <s v="3"/>
    <s v="D0"/>
  </r>
  <r>
    <d v="2026-09-05T00:00:00"/>
    <x v="2"/>
    <x v="11"/>
    <x v="2"/>
    <x v="359"/>
    <n v="5"/>
    <n v="0"/>
    <n v="0"/>
    <n v="0"/>
    <n v="0"/>
    <n v="0"/>
    <n v="0"/>
    <n v="0"/>
    <n v="0"/>
    <n v="0"/>
    <m/>
    <n v="0"/>
    <x v="4"/>
    <n v="0"/>
    <m/>
    <s v=""/>
    <n v="5"/>
    <x v="0"/>
    <x v="0"/>
    <x v="0"/>
    <x v="0"/>
    <s v="3Moreira"/>
    <s v="3AS PIPPERIA"/>
    <s v="C0"/>
  </r>
  <r>
    <d v="2026-09-05T00:00:00"/>
    <x v="2"/>
    <x v="8"/>
    <x v="1"/>
    <x v="313"/>
    <n v="6.5"/>
    <n v="0"/>
    <n v="0"/>
    <n v="0"/>
    <n v="0"/>
    <n v="0"/>
    <n v="0"/>
    <n v="0"/>
    <n v="0"/>
    <n v="0"/>
    <m/>
    <n v="0"/>
    <x v="1"/>
    <n v="0"/>
    <m/>
    <s v=""/>
    <n v="6.5"/>
    <x v="1"/>
    <x v="2"/>
    <x v="1"/>
    <x v="2"/>
    <s v="3Lucumì"/>
    <s v="3SESTO ASENSIO"/>
    <s v="D0"/>
  </r>
  <r>
    <d v="2026-09-05T00:00:00"/>
    <x v="2"/>
    <x v="10"/>
    <x v="2"/>
    <x v="36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Monteiro J."/>
    <s v="3"/>
    <s v="C0"/>
  </r>
  <r>
    <d v="2026-09-05T00:00:00"/>
    <x v="2"/>
    <x v="9"/>
    <x v="2"/>
    <x v="308"/>
    <n v="7"/>
    <n v="1"/>
    <n v="0"/>
    <n v="0"/>
    <n v="0"/>
    <n v="0"/>
    <n v="0"/>
    <n v="0"/>
    <n v="0"/>
    <n v="0"/>
    <n v="1"/>
    <n v="0"/>
    <x v="3"/>
    <n v="1"/>
    <n v="1"/>
    <n v="11"/>
    <n v="11"/>
    <x v="1"/>
    <x v="10"/>
    <x v="1"/>
    <x v="10"/>
    <s v="3Gudmundsson A."/>
    <s v="3TRICCHETRACHT1"/>
    <s v="C0"/>
  </r>
  <r>
    <d v="2026-09-05T00:00:00"/>
    <x v="2"/>
    <x v="1"/>
    <x v="1"/>
    <x v="18"/>
    <n v="6"/>
    <n v="0"/>
    <n v="0"/>
    <n v="0"/>
    <n v="0"/>
    <n v="0"/>
    <n v="0"/>
    <n v="1"/>
    <n v="0"/>
    <n v="0"/>
    <m/>
    <n v="0"/>
    <x v="1"/>
    <n v="0"/>
    <m/>
    <s v=""/>
    <n v="5.5"/>
    <x v="0"/>
    <x v="0"/>
    <x v="0"/>
    <x v="0"/>
    <s v="3Holm"/>
    <s v="3SESTO ASENSIO"/>
    <s v="D0"/>
  </r>
  <r>
    <d v="2026-09-05T00:00:00"/>
    <x v="2"/>
    <x v="17"/>
    <x v="1"/>
    <x v="361"/>
    <n v="6.5"/>
    <n v="0"/>
    <n v="0"/>
    <n v="0"/>
    <n v="0"/>
    <n v="0"/>
    <n v="0"/>
    <n v="0"/>
    <n v="0"/>
    <n v="1"/>
    <m/>
    <n v="0"/>
    <x v="6"/>
    <n v="0"/>
    <n v="1"/>
    <n v="7.5"/>
    <n v="7.5"/>
    <x v="1"/>
    <x v="8"/>
    <x v="1"/>
    <x v="8"/>
    <s v="3Belghali"/>
    <s v="3FC INTERNAZIOANALE1"/>
    <s v="D0"/>
  </r>
  <r>
    <d v="2026-09-05T00:00:00"/>
    <x v="2"/>
    <x v="18"/>
    <x v="2"/>
    <x v="279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3Miller L."/>
    <s v="3"/>
    <s v="C0"/>
  </r>
  <r>
    <d v="2026-09-05T00:00:00"/>
    <x v="2"/>
    <x v="6"/>
    <x v="2"/>
    <x v="9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Messias"/>
    <s v="3"/>
    <s v="C0"/>
  </r>
  <r>
    <d v="2026-09-05T00:00:00"/>
    <x v="2"/>
    <x v="11"/>
    <x v="1"/>
    <x v="166"/>
    <n v="6"/>
    <n v="0"/>
    <n v="0"/>
    <n v="0"/>
    <n v="0"/>
    <n v="0"/>
    <n v="0"/>
    <n v="1"/>
    <n v="0"/>
    <n v="0"/>
    <m/>
    <n v="0"/>
    <x v="5"/>
    <n v="0"/>
    <m/>
    <s v=""/>
    <n v="5.5"/>
    <x v="1"/>
    <x v="3"/>
    <x v="1"/>
    <x v="3"/>
    <s v="3Estupinan"/>
    <s v="3PESCICULINI"/>
    <s v="D0"/>
  </r>
  <r>
    <d v="2026-09-05T00:00:00"/>
    <x v="2"/>
    <x v="2"/>
    <x v="3"/>
    <x v="43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Mendy P."/>
    <s v="3"/>
    <s v="A0"/>
  </r>
  <r>
    <d v="2026-09-05T00:00:00"/>
    <x v="2"/>
    <x v="16"/>
    <x v="2"/>
    <x v="244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Matic"/>
    <s v="3"/>
    <s v="C0"/>
  </r>
  <r>
    <d v="2026-09-05T00:00:00"/>
    <x v="2"/>
    <x v="2"/>
    <x v="1"/>
    <x v="299"/>
    <n v="6"/>
    <n v="0"/>
    <n v="0"/>
    <n v="0"/>
    <n v="0"/>
    <n v="0"/>
    <n v="0"/>
    <n v="0"/>
    <n v="0"/>
    <n v="0"/>
    <m/>
    <n v="0"/>
    <x v="9"/>
    <n v="0"/>
    <m/>
    <s v=""/>
    <n v="6"/>
    <x v="1"/>
    <x v="7"/>
    <x v="1"/>
    <x v="7"/>
    <s v="3Kofler"/>
    <s v="3AC ASPARAGHESE"/>
    <s v="D0"/>
  </r>
  <r>
    <d v="2026-09-05T00:00:00"/>
    <x v="2"/>
    <x v="5"/>
    <x v="2"/>
    <x v="83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3Masini"/>
    <s v="3"/>
    <s v="C0"/>
  </r>
  <r>
    <d v="2026-09-05T00:00:00"/>
    <x v="2"/>
    <x v="0"/>
    <x v="2"/>
    <x v="7"/>
    <n v="5.5"/>
    <n v="0"/>
    <n v="0"/>
    <n v="0"/>
    <n v="0"/>
    <n v="0"/>
    <n v="0"/>
    <n v="0"/>
    <n v="1"/>
    <n v="0"/>
    <m/>
    <n v="0"/>
    <x v="3"/>
    <n v="0"/>
    <m/>
    <s v=""/>
    <n v="4.5"/>
    <x v="0"/>
    <x v="0"/>
    <x v="0"/>
    <x v="0"/>
    <s v="3Gaetano"/>
    <s v="3TRICCHETRACHT"/>
    <s v="C0"/>
  </r>
  <r>
    <d v="2026-09-05T00:00:00"/>
    <x v="2"/>
    <x v="17"/>
    <x v="2"/>
    <x v="258"/>
    <n v="5.5"/>
    <n v="0"/>
    <n v="0"/>
    <n v="0"/>
    <n v="0"/>
    <n v="0"/>
    <n v="0"/>
    <n v="0"/>
    <n v="0"/>
    <n v="0"/>
    <m/>
    <n v="0"/>
    <x v="6"/>
    <n v="0"/>
    <n v="1"/>
    <n v="5.5"/>
    <n v="5.5"/>
    <x v="0"/>
    <x v="0"/>
    <x v="0"/>
    <x v="0"/>
    <s v="3Vlasic"/>
    <s v="3FC INTERNAZIOANALE1"/>
    <s v="C0"/>
  </r>
  <r>
    <d v="2026-09-05T00:00:00"/>
    <x v="2"/>
    <x v="13"/>
    <x v="1"/>
    <x v="197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3Marin R."/>
    <s v="3"/>
    <s v="D0"/>
  </r>
  <r>
    <d v="2026-09-05T00:00:00"/>
    <x v="2"/>
    <x v="6"/>
    <x v="1"/>
    <x v="92"/>
    <n v="4.5"/>
    <n v="0"/>
    <n v="0"/>
    <n v="0"/>
    <n v="0"/>
    <n v="0"/>
    <n v="0"/>
    <n v="0"/>
    <n v="0"/>
    <n v="0"/>
    <m/>
    <n v="0"/>
    <x v="4"/>
    <n v="0"/>
    <m/>
    <s v=""/>
    <n v="4.5"/>
    <x v="0"/>
    <x v="0"/>
    <x v="0"/>
    <x v="0"/>
    <s v="3Marcandalli"/>
    <s v="3AS PIPPERIA"/>
    <s v="D0"/>
  </r>
  <r>
    <d v="2026-09-05T00:00:00"/>
    <x v="2"/>
    <x v="12"/>
    <x v="1"/>
    <x v="185"/>
    <n v="6"/>
    <n v="0"/>
    <n v="0"/>
    <n v="0"/>
    <n v="0"/>
    <n v="0"/>
    <n v="0"/>
    <n v="0"/>
    <n v="0"/>
    <n v="1"/>
    <m/>
    <n v="0"/>
    <x v="8"/>
    <n v="0"/>
    <m/>
    <s v=""/>
    <n v="7"/>
    <x v="0"/>
    <x v="0"/>
    <x v="0"/>
    <x v="0"/>
    <s v="3Mangas"/>
    <s v="3"/>
    <s v="D0"/>
  </r>
  <r>
    <d v="2026-09-05T00:00:00"/>
    <x v="2"/>
    <x v="17"/>
    <x v="2"/>
    <x v="64"/>
    <n v="7.5"/>
    <n v="1"/>
    <n v="0"/>
    <n v="0"/>
    <n v="0"/>
    <n v="0"/>
    <n v="0"/>
    <n v="0"/>
    <n v="0"/>
    <n v="0"/>
    <m/>
    <n v="0"/>
    <x v="8"/>
    <n v="1"/>
    <m/>
    <s v=""/>
    <n v="10.5"/>
    <x v="0"/>
    <x v="0"/>
    <x v="0"/>
    <x v="0"/>
    <s v="3Mandragora"/>
    <s v="3"/>
    <s v="C0"/>
  </r>
  <r>
    <d v="2026-09-05T00:00:00"/>
    <x v="2"/>
    <x v="3"/>
    <x v="1"/>
    <x v="46"/>
    <n v="7"/>
    <n v="0"/>
    <n v="0"/>
    <n v="0"/>
    <n v="0"/>
    <n v="0"/>
    <n v="0"/>
    <n v="0"/>
    <n v="0"/>
    <n v="1"/>
    <m/>
    <n v="0"/>
    <x v="4"/>
    <n v="0"/>
    <n v="1"/>
    <n v="8"/>
    <n v="8"/>
    <x v="1"/>
    <x v="9"/>
    <x v="1"/>
    <x v="9"/>
    <s v="3Couto"/>
    <s v="3AS PIPPERIA1"/>
    <s v="D0"/>
  </r>
  <r>
    <d v="2026-09-05T00:00:00"/>
    <x v="2"/>
    <x v="7"/>
    <x v="1"/>
    <x v="362"/>
    <n v="6.5"/>
    <n v="0"/>
    <n v="0"/>
    <n v="0"/>
    <n v="0"/>
    <n v="0"/>
    <n v="0"/>
    <n v="0"/>
    <n v="0"/>
    <n v="1"/>
    <m/>
    <n v="0"/>
    <x v="5"/>
    <n v="0"/>
    <m/>
    <s v=""/>
    <n v="7.5"/>
    <x v="1"/>
    <x v="8"/>
    <x v="1"/>
    <x v="8"/>
    <s v="3Carlos Augusto"/>
    <s v="3PESCICULINI"/>
    <s v="D0"/>
  </r>
  <r>
    <d v="2026-09-05T00:00:00"/>
    <x v="2"/>
    <x v="8"/>
    <x v="1"/>
    <x v="123"/>
    <n v="6.5"/>
    <n v="0"/>
    <n v="0"/>
    <n v="0"/>
    <n v="0"/>
    <n v="0"/>
    <n v="0"/>
    <n v="0"/>
    <n v="0"/>
    <n v="0"/>
    <m/>
    <n v="0"/>
    <x v="9"/>
    <n v="0"/>
    <n v="1"/>
    <n v="6.5"/>
    <n v="6.5"/>
    <x v="1"/>
    <x v="2"/>
    <x v="1"/>
    <x v="2"/>
    <s v="3Kalulu"/>
    <s v="3AC ASPARAGHESE1"/>
    <s v="D0"/>
  </r>
  <r>
    <d v="2026-09-05T00:00:00"/>
    <x v="2"/>
    <x v="11"/>
    <x v="2"/>
    <x v="172"/>
    <n v="5.5"/>
    <n v="0"/>
    <n v="0"/>
    <n v="0"/>
    <n v="0"/>
    <n v="0"/>
    <n v="0"/>
    <n v="0"/>
    <n v="0"/>
    <n v="0"/>
    <m/>
    <n v="0"/>
    <x v="7"/>
    <n v="0"/>
    <m/>
    <s v=""/>
    <n v="5.5"/>
    <x v="0"/>
    <x v="0"/>
    <x v="0"/>
    <x v="0"/>
    <s v="3Loftus-Cheek"/>
    <s v="3SHARK"/>
    <s v="C0"/>
  </r>
  <r>
    <d v="2026-09-05T00:00:00"/>
    <x v="2"/>
    <x v="0"/>
    <x v="2"/>
    <x v="6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3Pasalic"/>
    <s v="3ATL. IMPROVVISATO"/>
    <s v="C0"/>
  </r>
  <r>
    <d v="2026-09-05T00:00:00"/>
    <x v="2"/>
    <x v="11"/>
    <x v="1"/>
    <x v="167"/>
    <n v="6.5"/>
    <n v="0"/>
    <n v="0"/>
    <n v="0"/>
    <n v="0"/>
    <n v="0"/>
    <n v="0"/>
    <n v="1"/>
    <n v="0"/>
    <n v="0"/>
    <m/>
    <n v="0"/>
    <x v="1"/>
    <n v="0"/>
    <n v="1"/>
    <n v="6"/>
    <n v="6"/>
    <x v="1"/>
    <x v="7"/>
    <x v="1"/>
    <x v="7"/>
    <s v="3De Winter"/>
    <s v="3SESTO ASENSIO1"/>
    <s v="D0"/>
  </r>
  <r>
    <d v="2026-09-05T00:00:00"/>
    <x v="2"/>
    <x v="18"/>
    <x v="1"/>
    <x v="273"/>
    <n v="6"/>
    <n v="0"/>
    <n v="0"/>
    <n v="0"/>
    <n v="0"/>
    <n v="0"/>
    <n v="0"/>
    <n v="0"/>
    <n v="0"/>
    <n v="0"/>
    <m/>
    <n v="0"/>
    <x v="10"/>
    <n v="0"/>
    <n v="1"/>
    <n v="6"/>
    <n v="6"/>
    <x v="1"/>
    <x v="7"/>
    <x v="1"/>
    <x v="7"/>
    <s v="3Solet"/>
    <s v="3PARTIZAN DEGRADO1"/>
    <s v="D0"/>
  </r>
  <r>
    <d v="2026-09-05T00:00:00"/>
    <x v="2"/>
    <x v="17"/>
    <x v="1"/>
    <x v="255"/>
    <n v="6"/>
    <n v="0"/>
    <n v="0"/>
    <n v="0"/>
    <n v="0"/>
    <n v="0"/>
    <n v="0"/>
    <n v="0"/>
    <n v="0"/>
    <n v="0"/>
    <m/>
    <n v="0"/>
    <x v="1"/>
    <n v="0"/>
    <n v="1"/>
    <n v="6"/>
    <n v="6"/>
    <x v="0"/>
    <x v="0"/>
    <x v="1"/>
    <x v="7"/>
    <s v="3Comuzzo"/>
    <s v="3SESTO ASENSIO1"/>
    <s v="D0"/>
  </r>
  <r>
    <d v="2026-09-05T00:00:00"/>
    <x v="2"/>
    <x v="12"/>
    <x v="1"/>
    <x v="18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Lucchesi"/>
    <s v="3"/>
    <s v="D0"/>
  </r>
  <r>
    <d v="2026-09-05T00:00:00"/>
    <x v="2"/>
    <x v="0"/>
    <x v="1"/>
    <x v="363"/>
    <n v="5.5"/>
    <n v="0"/>
    <n v="0"/>
    <n v="0"/>
    <n v="0"/>
    <n v="0"/>
    <n v="0"/>
    <n v="1"/>
    <n v="0"/>
    <n v="0"/>
    <m/>
    <n v="0"/>
    <x v="5"/>
    <n v="0"/>
    <n v="1"/>
    <n v="5"/>
    <n v="5"/>
    <x v="0"/>
    <x v="0"/>
    <x v="1"/>
    <x v="4"/>
    <s v="3Bellanova"/>
    <s v="3PESCICULINI1"/>
    <s v="D0"/>
  </r>
  <r>
    <d v="2026-09-05T00:00:00"/>
    <x v="2"/>
    <x v="0"/>
    <x v="2"/>
    <x v="9"/>
    <n v="5.5"/>
    <n v="0"/>
    <n v="0"/>
    <n v="0"/>
    <n v="0"/>
    <n v="0"/>
    <n v="0"/>
    <n v="0"/>
    <n v="0"/>
    <n v="0"/>
    <m/>
    <n v="0"/>
    <x v="5"/>
    <n v="0"/>
    <m/>
    <s v=""/>
    <n v="5.5"/>
    <x v="1"/>
    <x v="3"/>
    <x v="0"/>
    <x v="0"/>
    <s v="3Zalewski"/>
    <s v="3PESCICULINI"/>
    <s v="C0"/>
  </r>
  <r>
    <d v="2026-09-05T00:00:00"/>
    <x v="2"/>
    <x v="13"/>
    <x v="2"/>
    <x v="201"/>
    <n v="6.5"/>
    <n v="0"/>
    <n v="0"/>
    <n v="0"/>
    <n v="0"/>
    <n v="0"/>
    <n v="0"/>
    <n v="0"/>
    <n v="0"/>
    <n v="0"/>
    <m/>
    <n v="0"/>
    <x v="7"/>
    <n v="0"/>
    <n v="1"/>
    <n v="6.5"/>
    <n v="6.5"/>
    <x v="1"/>
    <x v="2"/>
    <x v="1"/>
    <x v="2"/>
    <s v="3Lobotka"/>
    <s v="3SHARK1"/>
    <s v="C0"/>
  </r>
  <r>
    <d v="2026-09-05T00:00:00"/>
    <x v="2"/>
    <x v="8"/>
    <x v="2"/>
    <x v="126"/>
    <n v="5.5"/>
    <n v="0"/>
    <n v="0"/>
    <n v="0"/>
    <n v="0"/>
    <n v="0"/>
    <n v="0"/>
    <n v="0"/>
    <n v="0"/>
    <n v="0"/>
    <m/>
    <n v="0"/>
    <x v="2"/>
    <n v="0"/>
    <n v="1"/>
    <n v="5.5"/>
    <n v="5.5"/>
    <x v="0"/>
    <x v="0"/>
    <x v="0"/>
    <x v="0"/>
    <s v="3Locatelli"/>
    <s v="3ATL. IMPROVVISATO1"/>
    <s v="C0"/>
  </r>
  <r>
    <d v="2026-09-05T00:00:00"/>
    <x v="2"/>
    <x v="14"/>
    <x v="2"/>
    <x v="216"/>
    <n v="6"/>
    <n v="0"/>
    <n v="0"/>
    <n v="0"/>
    <n v="0"/>
    <n v="0"/>
    <n v="0"/>
    <n v="1"/>
    <n v="0"/>
    <n v="0"/>
    <m/>
    <n v="0"/>
    <x v="7"/>
    <n v="0"/>
    <n v="1"/>
    <n v="5.5"/>
    <n v="5.5"/>
    <x v="0"/>
    <x v="0"/>
    <x v="0"/>
    <x v="0"/>
    <s v="3Keita M."/>
    <s v="3SHARK1"/>
    <s v="C0"/>
  </r>
  <r>
    <d v="2026-09-05T00:00:00"/>
    <x v="2"/>
    <x v="16"/>
    <x v="2"/>
    <x v="36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Lipani"/>
    <s v="3"/>
    <s v="C0"/>
  </r>
  <r>
    <d v="2026-09-05T00:00:00"/>
    <x v="2"/>
    <x v="1"/>
    <x v="2"/>
    <x v="36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Libra"/>
    <s v="3"/>
    <s v="C0"/>
  </r>
  <r>
    <d v="2026-09-05T00:00:00"/>
    <x v="2"/>
    <x v="3"/>
    <x v="2"/>
    <x v="51"/>
    <s v="6*"/>
    <n v="0"/>
    <n v="0"/>
    <n v="0"/>
    <n v="0"/>
    <n v="0"/>
    <n v="0"/>
    <n v="0"/>
    <n v="0"/>
    <n v="0"/>
    <m/>
    <n v="0"/>
    <x v="8"/>
    <n v="0"/>
    <m/>
    <s v=""/>
    <n v="0"/>
    <x v="0"/>
    <x v="0"/>
    <x v="0"/>
    <x v="0"/>
    <s v="3Liberali"/>
    <s v="3"/>
    <s v="C0"/>
  </r>
  <r>
    <d v="2026-09-05T00:00:00"/>
    <x v="2"/>
    <x v="11"/>
    <x v="2"/>
    <x v="174"/>
    <n v="5.5"/>
    <n v="0"/>
    <n v="0"/>
    <n v="0"/>
    <n v="0"/>
    <n v="0"/>
    <n v="0"/>
    <n v="0"/>
    <n v="0"/>
    <n v="0"/>
    <m/>
    <n v="0"/>
    <x v="11"/>
    <n v="0"/>
    <m/>
    <s v=""/>
    <n v="5.5"/>
    <x v="1"/>
    <x v="3"/>
    <x v="1"/>
    <x v="3"/>
    <s v="3Saelemaekers"/>
    <s v="3SAN GRIA"/>
    <s v="C0"/>
  </r>
  <r>
    <d v="2026-09-05T00:00:00"/>
    <x v="2"/>
    <x v="8"/>
    <x v="1"/>
    <x v="121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3Bremer"/>
    <s v="3SESTO ASENSIO"/>
    <s v="D0"/>
  </r>
  <r>
    <d v="2026-09-05T00:00:00"/>
    <x v="2"/>
    <x v="11"/>
    <x v="2"/>
    <x v="170"/>
    <n v="5"/>
    <n v="0"/>
    <n v="0"/>
    <n v="0"/>
    <n v="0"/>
    <n v="0"/>
    <n v="0"/>
    <n v="0"/>
    <n v="0"/>
    <n v="0"/>
    <m/>
    <n v="0"/>
    <x v="11"/>
    <n v="0"/>
    <n v="1"/>
    <n v="5"/>
    <n v="5"/>
    <x v="0"/>
    <x v="0"/>
    <x v="0"/>
    <x v="0"/>
    <s v="3Rabiot"/>
    <s v="3SAN GRIA1"/>
    <s v="C0"/>
  </r>
  <r>
    <d v="2026-09-05T00:00:00"/>
    <x v="2"/>
    <x v="3"/>
    <x v="1"/>
    <x v="48"/>
    <n v="6"/>
    <n v="0"/>
    <n v="0"/>
    <n v="0"/>
    <n v="0"/>
    <n v="0"/>
    <n v="0"/>
    <n v="0"/>
    <n v="0"/>
    <n v="0"/>
    <m/>
    <n v="0"/>
    <x v="10"/>
    <n v="0"/>
    <n v="1"/>
    <n v="6"/>
    <n v="6"/>
    <x v="1"/>
    <x v="7"/>
    <x v="1"/>
    <x v="7"/>
    <s v="3Ramon"/>
    <s v="3PARTIZAN DEGRADO1"/>
    <s v="D0"/>
  </r>
  <r>
    <d v="2026-09-05T00:00:00"/>
    <x v="2"/>
    <x v="13"/>
    <x v="2"/>
    <x v="198"/>
    <n v="6.5"/>
    <n v="1"/>
    <n v="0"/>
    <n v="0"/>
    <n v="0"/>
    <n v="0"/>
    <n v="0"/>
    <n v="0"/>
    <n v="0"/>
    <n v="0"/>
    <m/>
    <n v="0"/>
    <x v="5"/>
    <n v="1"/>
    <n v="1"/>
    <n v="9.5"/>
    <n v="9.5"/>
    <x v="1"/>
    <x v="11"/>
    <x v="1"/>
    <x v="11"/>
    <s v="3Politano"/>
    <s v="3PESCICULINI1"/>
    <s v="C0"/>
  </r>
  <r>
    <d v="2026-09-05T00:00:00"/>
    <x v="2"/>
    <x v="12"/>
    <x v="1"/>
    <x v="18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Kouadio"/>
    <s v="3"/>
    <s v="D0"/>
  </r>
  <r>
    <d v="2026-09-05T00:00:00"/>
    <x v="2"/>
    <x v="0"/>
    <x v="1"/>
    <x v="4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Kossounou"/>
    <s v="3"/>
    <s v="D0"/>
  </r>
  <r>
    <d v="2026-09-05T00:00:00"/>
    <x v="2"/>
    <x v="13"/>
    <x v="2"/>
    <x v="203"/>
    <n v="5.5"/>
    <n v="0"/>
    <n v="0"/>
    <n v="0"/>
    <n v="0"/>
    <n v="0"/>
    <n v="0"/>
    <n v="1"/>
    <n v="0"/>
    <n v="0"/>
    <m/>
    <n v="0"/>
    <x v="1"/>
    <n v="0"/>
    <m/>
    <s v=""/>
    <n v="5"/>
    <x v="0"/>
    <x v="0"/>
    <x v="0"/>
    <x v="0"/>
    <s v="3Vergara"/>
    <s v="3SESTO ASENSIO"/>
    <s v="C0"/>
  </r>
  <r>
    <d v="2026-09-05T00:00:00"/>
    <x v="2"/>
    <x v="9"/>
    <x v="1"/>
    <x v="137"/>
    <n v="6.5"/>
    <n v="0"/>
    <n v="0"/>
    <n v="0"/>
    <n v="0"/>
    <n v="0"/>
    <n v="0"/>
    <n v="0"/>
    <n v="0"/>
    <n v="1"/>
    <m/>
    <n v="0"/>
    <x v="9"/>
    <n v="0"/>
    <n v="1"/>
    <n v="7.5"/>
    <n v="7.5"/>
    <x v="1"/>
    <x v="8"/>
    <x v="1"/>
    <x v="8"/>
    <s v="3Doekhi"/>
    <s v="3AC ASPARAGHESE1"/>
    <s v="D0"/>
  </r>
  <r>
    <d v="2026-09-05T00:00:00"/>
    <x v="2"/>
    <x v="3"/>
    <x v="2"/>
    <x v="50"/>
    <n v="6.5"/>
    <n v="0"/>
    <n v="0"/>
    <n v="0"/>
    <n v="0"/>
    <n v="0"/>
    <n v="0"/>
    <n v="0"/>
    <n v="0"/>
    <n v="0"/>
    <m/>
    <n v="0"/>
    <x v="11"/>
    <n v="0"/>
    <m/>
    <s v=""/>
    <n v="6.5"/>
    <x v="1"/>
    <x v="2"/>
    <x v="1"/>
    <x v="2"/>
    <s v="3Perrone"/>
    <s v="3SAN GRIA"/>
    <s v="C0"/>
  </r>
  <r>
    <d v="2026-09-05T00:00:00"/>
    <x v="2"/>
    <x v="0"/>
    <x v="1"/>
    <x v="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Kolasinac"/>
    <s v="3"/>
    <s v="D0"/>
  </r>
  <r>
    <d v="2026-09-05T00:00:00"/>
    <x v="2"/>
    <x v="4"/>
    <x v="2"/>
    <x v="69"/>
    <n v="5.5"/>
    <n v="0"/>
    <n v="0"/>
    <n v="0"/>
    <n v="0"/>
    <n v="0"/>
    <n v="0"/>
    <n v="0"/>
    <n v="0"/>
    <n v="0"/>
    <m/>
    <n v="0"/>
    <x v="9"/>
    <n v="0"/>
    <n v="1"/>
    <n v="5.5"/>
    <n v="5.5"/>
    <x v="1"/>
    <x v="3"/>
    <x v="1"/>
    <x v="3"/>
    <s v="3Mastantuono"/>
    <s v="3AC ASPARAGHESE1"/>
    <s v="C0"/>
  </r>
  <r>
    <d v="2026-09-05T00:00:00"/>
    <x v="2"/>
    <x v="18"/>
    <x v="2"/>
    <x v="275"/>
    <n v="7"/>
    <n v="1"/>
    <n v="0"/>
    <n v="0"/>
    <n v="0"/>
    <n v="0"/>
    <n v="0"/>
    <n v="1"/>
    <n v="0"/>
    <n v="0"/>
    <m/>
    <n v="0"/>
    <x v="7"/>
    <n v="1"/>
    <m/>
    <s v=""/>
    <n v="9.5"/>
    <x v="1"/>
    <x v="11"/>
    <x v="1"/>
    <x v="11"/>
    <s v="3Karlstrom"/>
    <s v="3SHARK"/>
    <s v="C0"/>
  </r>
  <r>
    <d v="2026-09-05T00:00:00"/>
    <x v="2"/>
    <x v="4"/>
    <x v="2"/>
    <x v="261"/>
    <n v="6"/>
    <n v="0"/>
    <n v="0"/>
    <n v="0"/>
    <n v="0"/>
    <n v="0"/>
    <n v="0"/>
    <n v="0"/>
    <n v="0"/>
    <n v="0"/>
    <m/>
    <n v="0"/>
    <x v="5"/>
    <n v="0"/>
    <n v="1"/>
    <n v="6"/>
    <n v="6"/>
    <x v="1"/>
    <x v="7"/>
    <x v="1"/>
    <x v="7"/>
    <s v="3Njie"/>
    <s v="3PESCICULINI1"/>
    <s v="C0"/>
  </r>
  <r>
    <d v="2026-09-05T00:00:00"/>
    <x v="2"/>
    <x v="1"/>
    <x v="3"/>
    <x v="28"/>
    <n v="6.5"/>
    <n v="1"/>
    <n v="0"/>
    <n v="0"/>
    <n v="0"/>
    <n v="0"/>
    <n v="0"/>
    <n v="1"/>
    <n v="0"/>
    <n v="0"/>
    <m/>
    <n v="0"/>
    <x v="7"/>
    <n v="1"/>
    <n v="1"/>
    <n v="9"/>
    <n v="9"/>
    <x v="1"/>
    <x v="12"/>
    <x v="1"/>
    <x v="12"/>
    <s v="3Piccoli"/>
    <s v="3SHARK1"/>
    <s v="A0"/>
  </r>
  <r>
    <d v="2026-09-05T00:00:00"/>
    <x v="2"/>
    <x v="9"/>
    <x v="2"/>
    <x v="141"/>
    <n v="7"/>
    <n v="1"/>
    <n v="0"/>
    <n v="0"/>
    <n v="0"/>
    <n v="0"/>
    <n v="0"/>
    <n v="0"/>
    <n v="0"/>
    <n v="0"/>
    <m/>
    <n v="0"/>
    <x v="3"/>
    <n v="1"/>
    <n v="1"/>
    <n v="10"/>
    <n v="10"/>
    <x v="1"/>
    <x v="13"/>
    <x v="1"/>
    <x v="13"/>
    <s v="3Frattesi"/>
    <s v="3TRICCHETRACHT1"/>
    <s v="C0"/>
  </r>
  <r>
    <d v="2026-09-05T00:00:00"/>
    <x v="2"/>
    <x v="15"/>
    <x v="2"/>
    <x v="231"/>
    <n v="6"/>
    <n v="0"/>
    <n v="0"/>
    <n v="0"/>
    <n v="0"/>
    <n v="0"/>
    <n v="0"/>
    <n v="0"/>
    <n v="0"/>
    <n v="0"/>
    <m/>
    <n v="0"/>
    <x v="9"/>
    <n v="0"/>
    <n v="1"/>
    <n v="6"/>
    <n v="6"/>
    <x v="1"/>
    <x v="7"/>
    <x v="1"/>
    <x v="7"/>
    <s v="3Konè M."/>
    <s v="3AC ASPARAGHESE1"/>
    <s v="C0"/>
  </r>
  <r>
    <d v="2026-09-05T00:00:00"/>
    <x v="2"/>
    <x v="18"/>
    <x v="1"/>
    <x v="366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Kabasele"/>
    <s v="3"/>
    <s v="D0"/>
  </r>
  <r>
    <d v="2026-09-05T00:00:00"/>
    <x v="2"/>
    <x v="15"/>
    <x v="1"/>
    <x v="229"/>
    <n v="6"/>
    <n v="0"/>
    <n v="0"/>
    <n v="0"/>
    <n v="0"/>
    <n v="0"/>
    <n v="0"/>
    <n v="0"/>
    <n v="0"/>
    <n v="0"/>
    <m/>
    <n v="0"/>
    <x v="10"/>
    <n v="0"/>
    <m/>
    <s v=""/>
    <n v="6"/>
    <x v="1"/>
    <x v="7"/>
    <x v="1"/>
    <x v="7"/>
    <s v="3Lulli"/>
    <s v="3PARTIZAN DEGRADO"/>
    <s v="D0"/>
  </r>
  <r>
    <d v="2026-09-05T00:00:00"/>
    <x v="2"/>
    <x v="4"/>
    <x v="1"/>
    <x v="6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Joao Mario"/>
    <s v="3"/>
    <s v="D0"/>
  </r>
  <r>
    <d v="2026-09-05T00:00:00"/>
    <x v="2"/>
    <x v="17"/>
    <x v="1"/>
    <x v="25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Ismajli"/>
    <s v="3"/>
    <s v="D0"/>
  </r>
  <r>
    <d v="2026-09-05T00:00:00"/>
    <x v="2"/>
    <x v="9"/>
    <x v="2"/>
    <x v="144"/>
    <n v="5.5"/>
    <n v="0"/>
    <n v="0"/>
    <n v="0"/>
    <n v="0"/>
    <n v="0"/>
    <n v="0"/>
    <n v="1"/>
    <n v="0"/>
    <n v="0"/>
    <m/>
    <n v="0"/>
    <x v="5"/>
    <n v="0"/>
    <n v="1"/>
    <n v="5"/>
    <n v="5"/>
    <x v="0"/>
    <x v="0"/>
    <x v="0"/>
    <x v="0"/>
    <s v="3Isaksen"/>
    <s v="3PESCICULINI1"/>
    <s v="C0"/>
  </r>
  <r>
    <d v="2026-09-05T00:00:00"/>
    <x v="2"/>
    <x v="10"/>
    <x v="2"/>
    <x v="320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3Ilic"/>
    <s v="3"/>
    <s v="C0"/>
  </r>
  <r>
    <d v="2026-09-05T00:00:00"/>
    <x v="2"/>
    <x v="16"/>
    <x v="1"/>
    <x v="333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3Idzes"/>
    <s v="3"/>
    <s v="D0"/>
  </r>
  <r>
    <d v="2026-09-05T00:00:00"/>
    <x v="2"/>
    <x v="15"/>
    <x v="2"/>
    <x v="233"/>
    <n v="6"/>
    <n v="0"/>
    <n v="0"/>
    <n v="0"/>
    <n v="0"/>
    <n v="0"/>
    <n v="0"/>
    <n v="0"/>
    <n v="0"/>
    <n v="0"/>
    <m/>
    <n v="0"/>
    <x v="1"/>
    <n v="0"/>
    <n v="1"/>
    <n v="6"/>
    <n v="6"/>
    <x v="0"/>
    <x v="0"/>
    <x v="0"/>
    <x v="0"/>
    <s v="3Mora"/>
    <s v="3SESTO ASENSIO1"/>
    <s v="C0"/>
  </r>
  <r>
    <d v="2026-09-05T00:00:00"/>
    <x v="2"/>
    <x v="9"/>
    <x v="2"/>
    <x v="140"/>
    <n v="6.5"/>
    <n v="0"/>
    <n v="0"/>
    <n v="0"/>
    <n v="0"/>
    <n v="0"/>
    <n v="0"/>
    <n v="0"/>
    <n v="0"/>
    <n v="1"/>
    <m/>
    <n v="0"/>
    <x v="4"/>
    <n v="0"/>
    <n v="1"/>
    <n v="7.5"/>
    <n v="7.5"/>
    <x v="1"/>
    <x v="8"/>
    <x v="1"/>
    <x v="8"/>
    <s v="3Zaccagni"/>
    <s v="3AS PIPPERIA1"/>
    <s v="C0"/>
  </r>
  <r>
    <d v="2026-09-05T00:00:00"/>
    <x v="2"/>
    <x v="15"/>
    <x v="1"/>
    <x v="226"/>
    <n v="7"/>
    <n v="1"/>
    <n v="0"/>
    <n v="0"/>
    <n v="0"/>
    <n v="0"/>
    <n v="0"/>
    <n v="0"/>
    <n v="0"/>
    <n v="0"/>
    <m/>
    <n v="0"/>
    <x v="10"/>
    <n v="1"/>
    <n v="1"/>
    <n v="10"/>
    <n v="10"/>
    <x v="1"/>
    <x v="13"/>
    <x v="1"/>
    <x v="13"/>
    <s v="3Hermoso"/>
    <s v="3PARTIZAN DEGRADO1"/>
    <s v="D0"/>
  </r>
  <r>
    <d v="2026-09-05T00:00:00"/>
    <x v="2"/>
    <x v="1"/>
    <x v="1"/>
    <x v="19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3Heggem"/>
    <s v="3"/>
    <s v="D0"/>
  </r>
  <r>
    <d v="2026-09-05T00:00:00"/>
    <x v="2"/>
    <x v="16"/>
    <x v="2"/>
    <x v="246"/>
    <n v="6"/>
    <n v="0"/>
    <n v="0"/>
    <n v="0"/>
    <n v="0"/>
    <n v="0"/>
    <n v="0"/>
    <n v="0"/>
    <n v="0"/>
    <n v="0"/>
    <m/>
    <n v="0"/>
    <x v="6"/>
    <n v="0"/>
    <n v="1"/>
    <n v="6"/>
    <n v="6"/>
    <x v="1"/>
    <x v="7"/>
    <x v="1"/>
    <x v="7"/>
    <s v="3Thorstvedt"/>
    <s v="3FC INTERNAZIOANALE1"/>
    <s v="C0"/>
  </r>
  <r>
    <d v="2026-09-05T00:00:00"/>
    <x v="2"/>
    <x v="19"/>
    <x v="1"/>
    <x v="342"/>
    <n v="4.5"/>
    <n v="0"/>
    <n v="0"/>
    <n v="0"/>
    <n v="0"/>
    <n v="0"/>
    <n v="0"/>
    <n v="1"/>
    <n v="0"/>
    <n v="0"/>
    <m/>
    <n v="0"/>
    <x v="8"/>
    <n v="0"/>
    <m/>
    <s v=""/>
    <n v="4"/>
    <x v="0"/>
    <x v="0"/>
    <x v="0"/>
    <x v="0"/>
    <s v="3Halhal"/>
    <s v="3"/>
    <s v="D0"/>
  </r>
  <r>
    <d v="2026-09-05T00:00:00"/>
    <x v="2"/>
    <x v="19"/>
    <x v="1"/>
    <x v="285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3Hainaut"/>
    <s v="3"/>
    <s v="D0"/>
  </r>
  <r>
    <d v="2026-09-05T00:00:00"/>
    <x v="2"/>
    <x v="5"/>
    <x v="2"/>
    <x v="84"/>
    <n v="6.5"/>
    <n v="0"/>
    <n v="0"/>
    <n v="0"/>
    <n v="0"/>
    <n v="0"/>
    <n v="0"/>
    <n v="0"/>
    <n v="0"/>
    <n v="0"/>
    <m/>
    <n v="0"/>
    <x v="3"/>
    <n v="0"/>
    <m/>
    <s v=""/>
    <n v="6.5"/>
    <x v="1"/>
    <x v="2"/>
    <x v="1"/>
    <x v="2"/>
    <s v="3Calò"/>
    <s v="3TRICCHETRACHT"/>
    <s v="C0"/>
  </r>
  <r>
    <d v="2026-09-05T00:00:00"/>
    <x v="2"/>
    <x v="11"/>
    <x v="2"/>
    <x v="171"/>
    <n v="6"/>
    <n v="0"/>
    <n v="0"/>
    <n v="0"/>
    <n v="0"/>
    <n v="0"/>
    <n v="0"/>
    <n v="0"/>
    <n v="0"/>
    <n v="0"/>
    <m/>
    <n v="0"/>
    <x v="1"/>
    <n v="0"/>
    <n v="1"/>
    <n v="6"/>
    <n v="6"/>
    <x v="0"/>
    <x v="0"/>
    <x v="0"/>
    <x v="0"/>
    <s v="3Modric"/>
    <s v="3SESTO ASENSIO1"/>
    <s v="C0"/>
  </r>
  <r>
    <d v="2026-09-05T00:00:00"/>
    <x v="2"/>
    <x v="6"/>
    <x v="2"/>
    <x v="96"/>
    <n v="5"/>
    <n v="0"/>
    <n v="0"/>
    <n v="0"/>
    <n v="0"/>
    <n v="0"/>
    <n v="0"/>
    <n v="0"/>
    <n v="0"/>
    <n v="0"/>
    <m/>
    <n v="0"/>
    <x v="11"/>
    <n v="0"/>
    <m/>
    <s v=""/>
    <n v="5"/>
    <x v="0"/>
    <x v="0"/>
    <x v="0"/>
    <x v="0"/>
    <s v="3Frendrup"/>
    <s v="3SAN GRIA"/>
    <s v="C0"/>
  </r>
  <r>
    <d v="2026-09-05T00:00:00"/>
    <x v="2"/>
    <x v="17"/>
    <x v="2"/>
    <x v="26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Gineitis"/>
    <s v="3"/>
    <s v="C0"/>
  </r>
  <r>
    <d v="2026-09-05T00:00:00"/>
    <x v="2"/>
    <x v="15"/>
    <x v="2"/>
    <x v="230"/>
    <n v="6"/>
    <n v="0"/>
    <n v="0"/>
    <n v="0"/>
    <n v="0"/>
    <n v="0"/>
    <n v="0"/>
    <n v="0"/>
    <n v="0"/>
    <n v="0"/>
    <m/>
    <n v="0"/>
    <x v="11"/>
    <n v="0"/>
    <n v="1"/>
    <n v="6"/>
    <n v="6"/>
    <x v="1"/>
    <x v="7"/>
    <x v="1"/>
    <x v="7"/>
    <s v="3Cristante"/>
    <s v="3SAN GRIA1"/>
    <s v="C0"/>
  </r>
  <r>
    <d v="2026-09-05T00:00:00"/>
    <x v="2"/>
    <x v="15"/>
    <x v="1"/>
    <x v="33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Ghilardi"/>
    <s v="3"/>
    <s v="D0"/>
  </r>
  <r>
    <d v="2026-09-05T00:00:00"/>
    <x v="2"/>
    <x v="5"/>
    <x v="3"/>
    <x v="36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Ghedjemis"/>
    <s v="3"/>
    <s v="A0"/>
  </r>
  <r>
    <d v="2026-09-05T00:00:00"/>
    <x v="2"/>
    <x v="8"/>
    <x v="1"/>
    <x v="368"/>
    <n v="7"/>
    <n v="1"/>
    <n v="0"/>
    <n v="0"/>
    <n v="0"/>
    <n v="0"/>
    <n v="0"/>
    <n v="1"/>
    <n v="0"/>
    <n v="0"/>
    <m/>
    <n v="0"/>
    <x v="8"/>
    <n v="1"/>
    <m/>
    <s v=""/>
    <n v="9.5"/>
    <x v="0"/>
    <x v="0"/>
    <x v="0"/>
    <x v="0"/>
    <s v="3Gatti"/>
    <s v="3"/>
    <s v="D0"/>
  </r>
  <r>
    <d v="2026-09-05T00:00:00"/>
    <x v="2"/>
    <x v="0"/>
    <x v="2"/>
    <x v="8"/>
    <n v="6"/>
    <n v="0"/>
    <n v="0"/>
    <n v="0"/>
    <n v="0"/>
    <n v="0"/>
    <n v="0"/>
    <n v="0"/>
    <n v="0"/>
    <n v="0"/>
    <m/>
    <n v="0"/>
    <x v="4"/>
    <n v="0"/>
    <m/>
    <s v=""/>
    <n v="6"/>
    <x v="1"/>
    <x v="7"/>
    <x v="1"/>
    <x v="7"/>
    <s v="3Samardzic"/>
    <s v="3AS PIPPERIA"/>
    <s v="C0"/>
  </r>
  <r>
    <d v="2026-09-05T00:00:00"/>
    <x v="2"/>
    <x v="9"/>
    <x v="2"/>
    <x v="143"/>
    <n v="6"/>
    <n v="0"/>
    <n v="0"/>
    <n v="0"/>
    <n v="0"/>
    <n v="0"/>
    <n v="0"/>
    <n v="0"/>
    <n v="0"/>
    <n v="0"/>
    <m/>
    <n v="0"/>
    <x v="2"/>
    <n v="0"/>
    <n v="1"/>
    <n v="6"/>
    <n v="6"/>
    <x v="1"/>
    <x v="7"/>
    <x v="1"/>
    <x v="7"/>
    <s v="3Cancellieri"/>
    <s v="3ATL. IMPROVVISATO1"/>
    <s v="C0"/>
  </r>
  <r>
    <d v="2026-09-05T00:00:00"/>
    <x v="2"/>
    <x v="2"/>
    <x v="2"/>
    <x v="36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Gagliardini"/>
    <s v="3"/>
    <s v="C0"/>
  </r>
  <r>
    <d v="2026-09-05T00:00:00"/>
    <x v="2"/>
    <x v="7"/>
    <x v="2"/>
    <x v="112"/>
    <n v="6"/>
    <n v="0"/>
    <n v="0"/>
    <n v="0"/>
    <n v="0"/>
    <n v="0"/>
    <n v="0"/>
    <n v="0"/>
    <n v="0"/>
    <n v="0"/>
    <m/>
    <n v="0"/>
    <x v="3"/>
    <n v="0"/>
    <n v="1"/>
    <n v="6"/>
    <n v="6"/>
    <x v="0"/>
    <x v="0"/>
    <x v="0"/>
    <x v="0"/>
    <s v="3Calhanoglu"/>
    <s v="3TRICCHETRACHT1"/>
    <s v="C0"/>
  </r>
  <r>
    <d v="2026-09-05T00:00:00"/>
    <x v="2"/>
    <x v="14"/>
    <x v="3"/>
    <x v="37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Frigan"/>
    <s v="3"/>
    <s v="A0"/>
  </r>
  <r>
    <d v="2026-09-05T00:00:00"/>
    <x v="2"/>
    <x v="8"/>
    <x v="2"/>
    <x v="130"/>
    <n v="6.5"/>
    <n v="0"/>
    <n v="0"/>
    <n v="0"/>
    <n v="0"/>
    <n v="0"/>
    <n v="0"/>
    <n v="0"/>
    <n v="0"/>
    <n v="0"/>
    <m/>
    <n v="0"/>
    <x v="11"/>
    <n v="0"/>
    <n v="1"/>
    <n v="6.5"/>
    <n v="6.5"/>
    <x v="1"/>
    <x v="2"/>
    <x v="1"/>
    <x v="2"/>
    <s v="3Conceicao"/>
    <s v="3SAN GRIA1"/>
    <s v="C0"/>
  </r>
  <r>
    <d v="2026-09-05T00:00:00"/>
    <x v="2"/>
    <x v="3"/>
    <x v="2"/>
    <x v="55"/>
    <n v="6"/>
    <n v="0"/>
    <n v="0"/>
    <n v="0"/>
    <n v="0"/>
    <n v="0"/>
    <n v="0"/>
    <n v="0"/>
    <n v="0"/>
    <n v="0"/>
    <m/>
    <n v="0"/>
    <x v="3"/>
    <n v="0"/>
    <n v="1"/>
    <n v="6"/>
    <n v="6"/>
    <x v="0"/>
    <x v="0"/>
    <x v="0"/>
    <x v="0"/>
    <s v="3Milla"/>
    <s v="3TRICCHETRACHT1"/>
    <s v="C0"/>
  </r>
  <r>
    <d v="2026-09-05T00:00:00"/>
    <x v="2"/>
    <x v="4"/>
    <x v="2"/>
    <x v="67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3Ndour"/>
    <s v="3FC INTERNAZIOANALE"/>
    <s v="C0"/>
  </r>
  <r>
    <d v="2026-09-05T00:00:00"/>
    <x v="2"/>
    <x v="12"/>
    <x v="2"/>
    <x v="18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Forson O."/>
    <s v="3"/>
    <s v="C0"/>
  </r>
  <r>
    <d v="2026-09-05T00:00:00"/>
    <x v="2"/>
    <x v="12"/>
    <x v="2"/>
    <x v="324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3Folorunsho"/>
    <s v="3"/>
    <s v="C0"/>
  </r>
  <r>
    <d v="2026-09-05T00:00:00"/>
    <x v="2"/>
    <x v="9"/>
    <x v="1"/>
    <x v="13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Floriani Mussolini"/>
    <s v="3"/>
    <s v="D0"/>
  </r>
  <r>
    <d v="2026-09-05T00:00:00"/>
    <x v="2"/>
    <x v="17"/>
    <x v="2"/>
    <x v="264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Fitz-Jim"/>
    <s v="3"/>
    <s v="C0"/>
  </r>
  <r>
    <d v="2026-09-05T00:00:00"/>
    <x v="2"/>
    <x v="5"/>
    <x v="2"/>
    <x v="8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Fini "/>
    <s v="3"/>
    <s v="C0"/>
  </r>
  <r>
    <d v="2026-09-05T00:00:00"/>
    <x v="2"/>
    <x v="19"/>
    <x v="2"/>
    <x v="37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Fernandez T."/>
    <s v="3"/>
    <s v="C0"/>
  </r>
  <r>
    <d v="2026-09-05T00:00:00"/>
    <x v="2"/>
    <x v="1"/>
    <x v="2"/>
    <x v="2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Ferguson"/>
    <s v="3"/>
    <s v="C0"/>
  </r>
  <r>
    <d v="2026-09-05T00:00:00"/>
    <x v="2"/>
    <x v="2"/>
    <x v="2"/>
    <x v="38"/>
    <n v="7"/>
    <n v="0"/>
    <n v="0"/>
    <n v="0"/>
    <n v="0"/>
    <n v="0"/>
    <n v="0"/>
    <n v="0"/>
    <n v="0"/>
    <n v="1"/>
    <m/>
    <n v="0"/>
    <x v="6"/>
    <n v="0"/>
    <n v="1"/>
    <n v="8"/>
    <n v="8"/>
    <x v="1"/>
    <x v="9"/>
    <x v="1"/>
    <x v="9"/>
    <s v="3Fazzini"/>
    <s v="3FC INTERNAZIOANALE1"/>
    <s v="C0"/>
  </r>
  <r>
    <d v="2026-09-05T00:00:00"/>
    <x v="2"/>
    <x v="10"/>
    <x v="3"/>
    <x v="32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Fatah"/>
    <s v="3"/>
    <s v="A0"/>
  </r>
  <r>
    <d v="2026-09-05T00:00:00"/>
    <x v="2"/>
    <x v="2"/>
    <x v="2"/>
    <x v="40"/>
    <n v="6.5"/>
    <n v="0"/>
    <n v="0"/>
    <n v="0"/>
    <n v="0"/>
    <n v="0"/>
    <n v="0"/>
    <n v="0"/>
    <n v="0"/>
    <n v="0"/>
    <m/>
    <n v="0"/>
    <x v="10"/>
    <n v="0"/>
    <n v="1"/>
    <n v="6.5"/>
    <n v="6.5"/>
    <x v="1"/>
    <x v="2"/>
    <x v="1"/>
    <x v="2"/>
    <s v="3Romano"/>
    <s v="3PARTIZAN DEGRADO1"/>
    <s v="C0"/>
  </r>
  <r>
    <d v="2026-09-05T00:00:00"/>
    <x v="2"/>
    <x v="4"/>
    <x v="2"/>
    <x v="6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Fagioli"/>
    <s v="3"/>
    <s v="C0"/>
  </r>
  <r>
    <d v="2026-09-05T00:00:00"/>
    <x v="2"/>
    <x v="2"/>
    <x v="2"/>
    <x v="30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Fadera"/>
    <s v="3"/>
    <s v="C0"/>
  </r>
  <r>
    <d v="2026-09-05T00:00:00"/>
    <x v="2"/>
    <x v="14"/>
    <x v="2"/>
    <x v="372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Fabbian"/>
    <s v="3"/>
    <s v="C0"/>
  </r>
  <r>
    <d v="2026-09-05T00:00:00"/>
    <x v="2"/>
    <x v="7"/>
    <x v="2"/>
    <x v="111"/>
    <n v="5.5"/>
    <n v="0"/>
    <n v="0"/>
    <n v="0"/>
    <n v="0"/>
    <n v="0"/>
    <n v="0"/>
    <n v="0"/>
    <n v="0"/>
    <n v="0"/>
    <m/>
    <n v="0"/>
    <x v="5"/>
    <n v="0"/>
    <n v="1"/>
    <n v="5.5"/>
    <n v="5.5"/>
    <x v="1"/>
    <x v="3"/>
    <x v="1"/>
    <x v="3"/>
    <s v="3Barella"/>
    <s v="3PESCICULINI1"/>
    <s v="C0"/>
  </r>
  <r>
    <d v="2026-09-05T00:00:00"/>
    <x v="2"/>
    <x v="8"/>
    <x v="3"/>
    <x v="373"/>
    <n v="6"/>
    <n v="0"/>
    <n v="0"/>
    <n v="0"/>
    <n v="0"/>
    <n v="0"/>
    <n v="0"/>
    <n v="0"/>
    <n v="0"/>
    <n v="0"/>
    <m/>
    <n v="0"/>
    <x v="2"/>
    <n v="0"/>
    <n v="1"/>
    <n v="6"/>
    <n v="6"/>
    <x v="1"/>
    <x v="7"/>
    <x v="1"/>
    <x v="7"/>
    <s v="3Woltemade"/>
    <s v="3ATL. IMPROVVISATO1"/>
    <s v="A0"/>
  </r>
  <r>
    <d v="2026-09-05T00:00:00"/>
    <x v="2"/>
    <x v="0"/>
    <x v="2"/>
    <x v="295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3Elmas"/>
    <s v="3FC INTERNAZIOANALE"/>
    <s v="C0"/>
  </r>
  <r>
    <d v="2026-09-05T00:00:00"/>
    <x v="2"/>
    <x v="6"/>
    <x v="2"/>
    <x v="9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Ellertsson"/>
    <s v="3"/>
    <s v="C0"/>
  </r>
  <r>
    <d v="2026-09-05T00:00:00"/>
    <x v="2"/>
    <x v="7"/>
    <x v="2"/>
    <x v="311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3Jones C."/>
    <s v="3PARTIZAN DEGRADO"/>
    <s v="C0"/>
  </r>
  <r>
    <d v="2026-09-05T00:00:00"/>
    <x v="2"/>
    <x v="6"/>
    <x v="1"/>
    <x v="374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Ehizibue"/>
    <s v="3"/>
    <s v="D0"/>
  </r>
  <r>
    <d v="2026-09-05T00:00:00"/>
    <x v="2"/>
    <x v="0"/>
    <x v="2"/>
    <x v="10"/>
    <n v="7"/>
    <n v="1"/>
    <n v="0"/>
    <n v="0"/>
    <n v="0"/>
    <n v="0"/>
    <n v="0"/>
    <n v="0"/>
    <n v="0"/>
    <n v="0"/>
    <m/>
    <n v="0"/>
    <x v="6"/>
    <n v="1"/>
    <m/>
    <s v=""/>
    <n v="10"/>
    <x v="1"/>
    <x v="13"/>
    <x v="1"/>
    <x v="13"/>
    <s v="3Ederson D.S."/>
    <s v="3FC INTERNAZIOANALE"/>
    <s v="C0"/>
  </r>
  <r>
    <d v="2026-09-05T00:00:00"/>
    <x v="2"/>
    <x v="18"/>
    <x v="1"/>
    <x v="27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Ebosse"/>
    <s v="3"/>
    <s v="D0"/>
  </r>
  <r>
    <d v="2026-09-05T00:00:00"/>
    <x v="2"/>
    <x v="13"/>
    <x v="2"/>
    <x v="199"/>
    <n v="6"/>
    <n v="0"/>
    <n v="0"/>
    <n v="0"/>
    <n v="0"/>
    <n v="0"/>
    <n v="0"/>
    <n v="0"/>
    <n v="0"/>
    <n v="0"/>
    <m/>
    <n v="0"/>
    <x v="6"/>
    <n v="0"/>
    <n v="1"/>
    <n v="6"/>
    <n v="6"/>
    <x v="1"/>
    <x v="7"/>
    <x v="0"/>
    <x v="0"/>
    <s v="3De Bruyne"/>
    <s v="3FC INTERNAZIOANALE1"/>
    <s v="C0"/>
  </r>
  <r>
    <d v="2026-09-05T00:00:00"/>
    <x v="2"/>
    <x v="4"/>
    <x v="1"/>
    <x v="60"/>
    <n v="5.5"/>
    <n v="0"/>
    <n v="0"/>
    <n v="0"/>
    <n v="0"/>
    <n v="0"/>
    <n v="0"/>
    <n v="0"/>
    <n v="0"/>
    <n v="1"/>
    <m/>
    <n v="0"/>
    <x v="8"/>
    <n v="0"/>
    <m/>
    <s v=""/>
    <n v="6.5"/>
    <x v="0"/>
    <x v="0"/>
    <x v="0"/>
    <x v="0"/>
    <s v="3Dragusin"/>
    <s v="3"/>
    <s v="D0"/>
  </r>
  <r>
    <d v="2026-09-05T00:00:00"/>
    <x v="2"/>
    <x v="18"/>
    <x v="2"/>
    <x v="276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3Ekkelenkamp"/>
    <s v="3PARTIZAN DEGRADO"/>
    <s v="C0"/>
  </r>
  <r>
    <d v="2026-09-05T00:00:00"/>
    <x v="2"/>
    <x v="8"/>
    <x v="2"/>
    <x v="315"/>
    <n v="6.5"/>
    <n v="0"/>
    <n v="0"/>
    <n v="0"/>
    <n v="0"/>
    <n v="0"/>
    <n v="0"/>
    <n v="0"/>
    <n v="0"/>
    <n v="1"/>
    <m/>
    <n v="0"/>
    <x v="1"/>
    <n v="0"/>
    <m/>
    <s v=""/>
    <n v="7.5"/>
    <x v="1"/>
    <x v="8"/>
    <x v="1"/>
    <x v="8"/>
    <s v="3Koopmeiners"/>
    <s v="3SESTO ASENSIO"/>
    <s v="C0"/>
  </r>
  <r>
    <d v="2026-09-05T00:00:00"/>
    <x v="2"/>
    <x v="8"/>
    <x v="2"/>
    <x v="127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3Douglas Luiz"/>
    <s v="3AS PIPPERIA"/>
    <s v="C0"/>
  </r>
  <r>
    <d v="2026-09-05T00:00:00"/>
    <x v="2"/>
    <x v="16"/>
    <x v="1"/>
    <x v="239"/>
    <n v="6.5"/>
    <n v="1"/>
    <n v="0"/>
    <n v="0"/>
    <n v="0"/>
    <n v="0"/>
    <n v="0"/>
    <n v="0"/>
    <n v="0"/>
    <n v="0"/>
    <m/>
    <n v="0"/>
    <x v="8"/>
    <n v="1"/>
    <m/>
    <s v=""/>
    <n v="9.5"/>
    <x v="0"/>
    <x v="0"/>
    <x v="0"/>
    <x v="0"/>
    <s v="3Doig"/>
    <s v="3"/>
    <s v="D0"/>
  </r>
  <r>
    <d v="2026-09-05T00:00:00"/>
    <x v="2"/>
    <x v="1"/>
    <x v="2"/>
    <x v="21"/>
    <n v="6"/>
    <n v="0"/>
    <n v="0"/>
    <n v="0"/>
    <n v="0"/>
    <n v="0"/>
    <n v="0"/>
    <n v="0"/>
    <n v="0"/>
    <n v="0"/>
    <m/>
    <n v="0"/>
    <x v="9"/>
    <n v="0"/>
    <n v="1"/>
    <n v="6"/>
    <n v="6"/>
    <x v="1"/>
    <x v="7"/>
    <x v="1"/>
    <x v="7"/>
    <s v="3Bernardeschi"/>
    <s v="3AC ASPARAGHESE1"/>
    <s v="C0"/>
  </r>
  <r>
    <d v="2026-09-05T00:00:00"/>
    <x v="2"/>
    <x v="7"/>
    <x v="2"/>
    <x v="114"/>
    <n v="6"/>
    <n v="0"/>
    <n v="0"/>
    <n v="0"/>
    <n v="0"/>
    <n v="0"/>
    <n v="0"/>
    <n v="0"/>
    <n v="0"/>
    <n v="0"/>
    <m/>
    <n v="0"/>
    <x v="10"/>
    <n v="0"/>
    <n v="1"/>
    <n v="6"/>
    <n v="6"/>
    <x v="0"/>
    <x v="0"/>
    <x v="0"/>
    <x v="0"/>
    <s v="3Diouf"/>
    <s v="3PARTIZAN DEGRADO1"/>
    <s v="C0"/>
  </r>
  <r>
    <d v="2026-09-05T00:00:00"/>
    <x v="2"/>
    <x v="19"/>
    <x v="3"/>
    <x v="293"/>
    <n v="7"/>
    <n v="1"/>
    <n v="0"/>
    <n v="0"/>
    <n v="0"/>
    <n v="0"/>
    <n v="0"/>
    <n v="0"/>
    <n v="0"/>
    <n v="0"/>
    <m/>
    <n v="0"/>
    <x v="3"/>
    <n v="1"/>
    <m/>
    <s v=""/>
    <n v="10"/>
    <x v="1"/>
    <x v="13"/>
    <x v="1"/>
    <x v="13"/>
    <s v="3Yeboah J."/>
    <s v="3TRICCHETRACHT"/>
    <s v="A0"/>
  </r>
  <r>
    <d v="2026-09-05T00:00:00"/>
    <x v="2"/>
    <x v="14"/>
    <x v="1"/>
    <x v="37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Diego Carlos"/>
    <s v="3"/>
    <s v="D0"/>
  </r>
  <r>
    <d v="2026-09-05T00:00:00"/>
    <x v="2"/>
    <x v="13"/>
    <x v="3"/>
    <x v="205"/>
    <n v="5.5"/>
    <n v="0"/>
    <n v="0"/>
    <n v="0"/>
    <n v="0"/>
    <n v="0"/>
    <n v="0"/>
    <n v="0"/>
    <n v="0"/>
    <n v="0"/>
    <m/>
    <n v="0"/>
    <x v="5"/>
    <n v="0"/>
    <m/>
    <s v=""/>
    <n v="5.5"/>
    <x v="0"/>
    <x v="0"/>
    <x v="0"/>
    <x v="0"/>
    <s v="3Lucca"/>
    <s v="3PESCICULINI"/>
    <s v="A0"/>
  </r>
  <r>
    <d v="2026-09-05T00:00:00"/>
    <x v="2"/>
    <x v="3"/>
    <x v="2"/>
    <x v="52"/>
    <n v="7"/>
    <n v="1"/>
    <n v="0"/>
    <n v="0"/>
    <n v="0"/>
    <n v="0"/>
    <n v="0"/>
    <n v="0"/>
    <n v="0"/>
    <n v="0"/>
    <m/>
    <n v="0"/>
    <x v="4"/>
    <n v="1"/>
    <n v="1"/>
    <n v="10"/>
    <n v="10"/>
    <x v="1"/>
    <x v="13"/>
    <x v="1"/>
    <x v="13"/>
    <s v="3Paz N."/>
    <s v="3AS PIPPERIA1"/>
    <s v="C0"/>
  </r>
  <r>
    <d v="2026-09-05T00:00:00"/>
    <x v="2"/>
    <x v="12"/>
    <x v="2"/>
    <x v="187"/>
    <n v="6"/>
    <n v="0"/>
    <n v="0"/>
    <n v="0"/>
    <n v="0"/>
    <n v="0"/>
    <n v="0"/>
    <n v="0"/>
    <n v="0"/>
    <n v="0"/>
    <m/>
    <n v="0"/>
    <x v="4"/>
    <n v="0"/>
    <n v="1"/>
    <n v="6"/>
    <n v="6"/>
    <x v="1"/>
    <x v="7"/>
    <x v="1"/>
    <x v="7"/>
    <s v="3Colpani"/>
    <s v="3AS PIPPERIA1"/>
    <s v="C0"/>
  </r>
  <r>
    <d v="2026-09-05T00:00:00"/>
    <x v="2"/>
    <x v="2"/>
    <x v="2"/>
    <x v="35"/>
    <n v="6.5"/>
    <n v="0"/>
    <n v="0"/>
    <n v="0"/>
    <n v="0"/>
    <n v="0"/>
    <n v="0"/>
    <n v="1"/>
    <n v="0"/>
    <n v="0"/>
    <m/>
    <n v="0"/>
    <x v="8"/>
    <n v="0"/>
    <m/>
    <s v=""/>
    <n v="6"/>
    <x v="0"/>
    <x v="0"/>
    <x v="0"/>
    <x v="0"/>
    <s v="3Deiola"/>
    <s v="3"/>
    <s v="C0"/>
  </r>
  <r>
    <d v="2026-09-05T00:00:00"/>
    <x v="2"/>
    <x v="8"/>
    <x v="2"/>
    <x v="314"/>
    <n v="6.5"/>
    <n v="0"/>
    <n v="0"/>
    <n v="0"/>
    <n v="0"/>
    <n v="0"/>
    <n v="0"/>
    <n v="0"/>
    <n v="0"/>
    <n v="0"/>
    <m/>
    <n v="0"/>
    <x v="1"/>
    <n v="0"/>
    <m/>
    <s v=""/>
    <n v="6.5"/>
    <x v="1"/>
    <x v="2"/>
    <x v="0"/>
    <x v="0"/>
    <s v="3Gonzalez N."/>
    <s v="3SESTO ASENSIO"/>
    <s v="C0"/>
  </r>
  <r>
    <d v="2026-09-05T00:00:00"/>
    <x v="2"/>
    <x v="14"/>
    <x v="3"/>
    <x v="222"/>
    <n v="7"/>
    <n v="1"/>
    <n v="0"/>
    <n v="0"/>
    <n v="0"/>
    <n v="0"/>
    <n v="0"/>
    <n v="0"/>
    <n v="0"/>
    <n v="0"/>
    <m/>
    <n v="0"/>
    <x v="5"/>
    <n v="1"/>
    <m/>
    <s v=""/>
    <n v="10"/>
    <x v="1"/>
    <x v="13"/>
    <x v="1"/>
    <x v="13"/>
    <s v="3Lontani"/>
    <s v="3PESCICULINI"/>
    <s v="A0"/>
  </r>
  <r>
    <d v="2026-09-05T00:00:00"/>
    <x v="2"/>
    <x v="0"/>
    <x v="3"/>
    <x v="14"/>
    <n v="5"/>
    <n v="0"/>
    <n v="0"/>
    <n v="0"/>
    <n v="0"/>
    <n v="0"/>
    <n v="0"/>
    <n v="0"/>
    <n v="0"/>
    <n v="0"/>
    <m/>
    <n v="0"/>
    <x v="5"/>
    <n v="0"/>
    <m/>
    <s v=""/>
    <n v="5"/>
    <x v="0"/>
    <x v="0"/>
    <x v="0"/>
    <x v="0"/>
    <s v="3Krstovic"/>
    <s v="3PESCICULINI"/>
    <s v="A0"/>
  </r>
  <r>
    <d v="2026-09-05T00:00:00"/>
    <x v="2"/>
    <x v="7"/>
    <x v="3"/>
    <x v="312"/>
    <n v="7"/>
    <n v="1"/>
    <n v="0"/>
    <n v="0"/>
    <n v="0"/>
    <n v="0"/>
    <n v="0"/>
    <n v="0"/>
    <n v="0"/>
    <n v="0"/>
    <m/>
    <n v="0"/>
    <x v="6"/>
    <n v="1"/>
    <m/>
    <s v=""/>
    <n v="10"/>
    <x v="1"/>
    <x v="13"/>
    <x v="1"/>
    <x v="13"/>
    <s v="3Thuram"/>
    <s v="3FC INTERNAZIOANALE"/>
    <s v="A0"/>
  </r>
  <r>
    <d v="2026-09-05T00:00:00"/>
    <x v="2"/>
    <x v="3"/>
    <x v="2"/>
    <x v="49"/>
    <n v="6.5"/>
    <n v="0"/>
    <n v="0"/>
    <n v="0"/>
    <n v="0"/>
    <n v="0"/>
    <n v="0"/>
    <n v="0"/>
    <n v="0"/>
    <n v="0"/>
    <m/>
    <n v="0"/>
    <x v="10"/>
    <n v="0"/>
    <n v="1"/>
    <n v="6.5"/>
    <n v="6.5"/>
    <x v="1"/>
    <x v="2"/>
    <x v="1"/>
    <x v="2"/>
    <s v="3Da Cunha"/>
    <s v="3PARTIZAN DEGRADO1"/>
    <s v="C0"/>
  </r>
  <r>
    <d v="2026-09-05T00:00:00"/>
    <x v="2"/>
    <x v="17"/>
    <x v="2"/>
    <x v="262"/>
    <n v="6.5"/>
    <n v="0"/>
    <n v="0"/>
    <n v="0"/>
    <n v="0"/>
    <n v="0"/>
    <n v="0"/>
    <n v="0"/>
    <n v="0"/>
    <n v="0"/>
    <m/>
    <n v="0"/>
    <x v="10"/>
    <n v="0"/>
    <m/>
    <s v=""/>
    <n v="6.5"/>
    <x v="1"/>
    <x v="2"/>
    <x v="1"/>
    <x v="2"/>
    <s v="3Cacciamani"/>
    <s v="3PARTIZAN DEGRADO"/>
    <s v="C0"/>
  </r>
  <r>
    <d v="2026-09-05T00:00:00"/>
    <x v="2"/>
    <x v="11"/>
    <x v="2"/>
    <x v="173"/>
    <n v="6.5"/>
    <n v="0"/>
    <n v="0"/>
    <n v="0"/>
    <n v="0"/>
    <n v="0"/>
    <n v="0"/>
    <n v="0"/>
    <n v="0"/>
    <n v="1"/>
    <m/>
    <n v="0"/>
    <x v="11"/>
    <n v="0"/>
    <n v="1"/>
    <n v="7.5"/>
    <n v="7.5"/>
    <x v="1"/>
    <x v="8"/>
    <x v="1"/>
    <x v="8"/>
    <s v="3Chukwueze"/>
    <s v="3SAN GRIA1"/>
    <s v="C0"/>
  </r>
  <r>
    <d v="2026-09-05T00:00:00"/>
    <x v="2"/>
    <x v="17"/>
    <x v="3"/>
    <x v="265"/>
    <n v="6"/>
    <n v="0"/>
    <n v="0"/>
    <n v="0"/>
    <n v="0"/>
    <n v="0"/>
    <n v="0"/>
    <n v="0"/>
    <n v="0"/>
    <n v="0"/>
    <m/>
    <n v="0"/>
    <x v="4"/>
    <n v="0"/>
    <n v="1"/>
    <n v="6"/>
    <n v="6"/>
    <x v="1"/>
    <x v="7"/>
    <x v="1"/>
    <x v="7"/>
    <s v="3Simeone"/>
    <s v="3AS PIPPERIA1"/>
    <s v="A0"/>
  </r>
  <r>
    <d v="2026-09-05T00:00:00"/>
    <x v="2"/>
    <x v="10"/>
    <x v="2"/>
    <x v="15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Coulibaly L."/>
    <s v="3"/>
    <s v="C0"/>
  </r>
  <r>
    <d v="2026-09-05T00:00:00"/>
    <x v="2"/>
    <x v="6"/>
    <x v="2"/>
    <x v="97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3Baldanzi"/>
    <s v="3PARTIZAN DEGRADO"/>
    <s v="C0"/>
  </r>
  <r>
    <d v="2026-09-05T00:00:00"/>
    <x v="2"/>
    <x v="6"/>
    <x v="3"/>
    <x v="309"/>
    <n v="6.5"/>
    <n v="1"/>
    <n v="0"/>
    <n v="0"/>
    <n v="0"/>
    <n v="0"/>
    <n v="0"/>
    <n v="0"/>
    <n v="0"/>
    <n v="0"/>
    <m/>
    <n v="0"/>
    <x v="11"/>
    <n v="1"/>
    <n v="1"/>
    <n v="9.5"/>
    <n v="9.5"/>
    <x v="1"/>
    <x v="11"/>
    <x v="1"/>
    <x v="11"/>
    <s v="3Osmajic"/>
    <s v="3SAN GRIA1"/>
    <s v="A0"/>
  </r>
  <r>
    <d v="2026-09-05T00:00:00"/>
    <x v="2"/>
    <x v="11"/>
    <x v="2"/>
    <x v="176"/>
    <n v="7"/>
    <n v="1"/>
    <n v="0"/>
    <n v="0"/>
    <n v="0"/>
    <n v="0"/>
    <n v="0"/>
    <n v="1"/>
    <n v="0"/>
    <n v="0"/>
    <m/>
    <n v="0"/>
    <x v="1"/>
    <n v="1"/>
    <n v="1"/>
    <n v="9.5"/>
    <n v="9.5"/>
    <x v="1"/>
    <x v="11"/>
    <x v="1"/>
    <x v="11"/>
    <s v="3Cissè A."/>
    <s v="3SESTO ASENSIO1"/>
    <s v="C0"/>
  </r>
  <r>
    <d v="2026-09-05T00:00:00"/>
    <x v="2"/>
    <x v="17"/>
    <x v="1"/>
    <x v="336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3Comert"/>
    <s v="3"/>
    <s v="D0"/>
  </r>
  <r>
    <d v="2026-09-05T00:00:00"/>
    <x v="2"/>
    <x v="13"/>
    <x v="3"/>
    <x v="204"/>
    <n v="7"/>
    <n v="1"/>
    <n v="0"/>
    <n v="0"/>
    <n v="0"/>
    <n v="0"/>
    <n v="0"/>
    <n v="0"/>
    <n v="0"/>
    <n v="0"/>
    <m/>
    <n v="0"/>
    <x v="4"/>
    <n v="1"/>
    <m/>
    <s v=""/>
    <n v="10"/>
    <x v="1"/>
    <x v="13"/>
    <x v="1"/>
    <x v="13"/>
    <s v="3Hojlund"/>
    <s v="3AS PIPPERIA"/>
    <s v="A0"/>
  </r>
  <r>
    <d v="2026-09-05T00:00:00"/>
    <x v="2"/>
    <x v="12"/>
    <x v="2"/>
    <x v="376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3Colombo L."/>
    <s v="3"/>
    <s v="C0"/>
  </r>
  <r>
    <d v="2026-09-05T00:00:00"/>
    <x v="2"/>
    <x v="5"/>
    <x v="3"/>
    <x v="88"/>
    <n v="7"/>
    <n v="1"/>
    <n v="0"/>
    <n v="0"/>
    <n v="0"/>
    <n v="0"/>
    <n v="0"/>
    <n v="0"/>
    <n v="0"/>
    <n v="0"/>
    <n v="1"/>
    <n v="0"/>
    <x v="10"/>
    <n v="1"/>
    <n v="1"/>
    <n v="11"/>
    <n v="11"/>
    <x v="1"/>
    <x v="10"/>
    <x v="1"/>
    <x v="10"/>
    <s v="3Kvernadze"/>
    <s v="3PARTIZAN DEGRADO1"/>
    <s v="A0"/>
  </r>
  <r>
    <d v="2026-09-05T00:00:00"/>
    <x v="2"/>
    <x v="17"/>
    <x v="1"/>
    <x v="25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Coco"/>
    <s v="3"/>
    <s v="D0"/>
  </r>
  <r>
    <d v="2026-09-05T00:00:00"/>
    <x v="2"/>
    <x v="5"/>
    <x v="1"/>
    <x v="7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Cittadini"/>
    <s v="3"/>
    <s v="D0"/>
  </r>
  <r>
    <d v="2026-09-05T00:00:00"/>
    <x v="2"/>
    <x v="3"/>
    <x v="2"/>
    <x v="53"/>
    <n v="7"/>
    <n v="1"/>
    <n v="0"/>
    <n v="0"/>
    <n v="0"/>
    <n v="0"/>
    <n v="0"/>
    <n v="1"/>
    <n v="0"/>
    <n v="0"/>
    <m/>
    <n v="0"/>
    <x v="1"/>
    <n v="1"/>
    <n v="1"/>
    <n v="9.5"/>
    <n v="9.5"/>
    <x v="1"/>
    <x v="11"/>
    <x v="1"/>
    <x v="11"/>
    <s v="3Baturina"/>
    <s v="3SESTO ASENSIO1"/>
    <s v="C0"/>
  </r>
  <r>
    <d v="2026-09-05T00:00:00"/>
    <x v="2"/>
    <x v="16"/>
    <x v="1"/>
    <x v="243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3Cinquegrano"/>
    <s v="3"/>
    <s v="D0"/>
  </r>
  <r>
    <d v="2026-09-05T00:00:00"/>
    <x v="2"/>
    <x v="5"/>
    <x v="2"/>
    <x v="8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Cichella"/>
    <s v="3"/>
    <s v="C0"/>
  </r>
  <r>
    <d v="2026-09-05T00:00:00"/>
    <x v="2"/>
    <x v="19"/>
    <x v="3"/>
    <x v="377"/>
    <n v="5.5"/>
    <n v="0"/>
    <n v="0"/>
    <n v="0"/>
    <n v="0"/>
    <n v="0"/>
    <n v="0"/>
    <n v="0"/>
    <n v="0"/>
    <n v="0"/>
    <m/>
    <n v="0"/>
    <x v="11"/>
    <n v="0"/>
    <m/>
    <s v=""/>
    <n v="5.5"/>
    <x v="0"/>
    <x v="0"/>
    <x v="0"/>
    <x v="0"/>
    <s v="3Lauberbach"/>
    <s v="3SAN GRIA"/>
    <s v="A0"/>
  </r>
  <r>
    <d v="2026-09-05T00:00:00"/>
    <x v="2"/>
    <x v="4"/>
    <x v="3"/>
    <x v="72"/>
    <n v="6.5"/>
    <n v="1"/>
    <n v="0"/>
    <n v="0"/>
    <n v="0"/>
    <n v="0"/>
    <n v="0"/>
    <n v="0"/>
    <n v="0"/>
    <n v="0"/>
    <m/>
    <n v="0"/>
    <x v="7"/>
    <n v="1"/>
    <n v="1"/>
    <n v="9.5"/>
    <n v="9.5"/>
    <x v="1"/>
    <x v="11"/>
    <x v="1"/>
    <x v="11"/>
    <s v="3Pellegrino M."/>
    <s v="3SHARK1"/>
    <s v="A0"/>
  </r>
  <r>
    <d v="2026-09-05T00:00:00"/>
    <x v="2"/>
    <x v="9"/>
    <x v="3"/>
    <x v="378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3Noslin"/>
    <s v="3FC INTERNAZIOANALE"/>
    <s v="A0"/>
  </r>
  <r>
    <d v="2026-09-05T00:00:00"/>
    <x v="2"/>
    <x v="5"/>
    <x v="3"/>
    <x v="87"/>
    <n v="7.5"/>
    <n v="2"/>
    <n v="0"/>
    <n v="0"/>
    <n v="0"/>
    <n v="0"/>
    <n v="0"/>
    <n v="0"/>
    <n v="0"/>
    <n v="0"/>
    <m/>
    <n v="0"/>
    <x v="1"/>
    <n v="2"/>
    <n v="1"/>
    <n v="13.5"/>
    <n v="13.5"/>
    <x v="1"/>
    <x v="14"/>
    <x v="1"/>
    <x v="14"/>
    <s v="3Raimondo"/>
    <s v="3SESTO ASENSIO1"/>
    <s v="A0"/>
  </r>
  <r>
    <d v="2026-09-05T00:00:00"/>
    <x v="2"/>
    <x v="1"/>
    <x v="3"/>
    <x v="29"/>
    <n v="7"/>
    <n v="1"/>
    <n v="0"/>
    <n v="0"/>
    <n v="0"/>
    <n v="0"/>
    <n v="0"/>
    <n v="1"/>
    <n v="0"/>
    <n v="0"/>
    <m/>
    <n v="0"/>
    <x v="10"/>
    <n v="1"/>
    <m/>
    <s v=""/>
    <n v="9.5"/>
    <x v="1"/>
    <x v="11"/>
    <x v="1"/>
    <x v="11"/>
    <s v="3Dovbyk"/>
    <s v="3PARTIZAN DEGRADO"/>
    <s v="A0"/>
  </r>
  <r>
    <d v="2026-09-05T00:00:00"/>
    <x v="2"/>
    <x v="3"/>
    <x v="3"/>
    <x v="71"/>
    <n v="6.5"/>
    <n v="0"/>
    <n v="0"/>
    <n v="0"/>
    <n v="0"/>
    <n v="0"/>
    <n v="0"/>
    <n v="0"/>
    <n v="0"/>
    <n v="1"/>
    <m/>
    <n v="0"/>
    <x v="5"/>
    <n v="0"/>
    <n v="1"/>
    <n v="7.5"/>
    <n v="7.5"/>
    <x v="1"/>
    <x v="8"/>
    <x v="1"/>
    <x v="8"/>
    <s v="3Kean"/>
    <s v="3PESCICULINI1"/>
    <s v="A0"/>
  </r>
  <r>
    <d v="2026-09-05T00:00:00"/>
    <x v="2"/>
    <x v="12"/>
    <x v="1"/>
    <x v="18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Carboni A."/>
    <s v="3"/>
    <s v="D0"/>
  </r>
  <r>
    <d v="2026-09-05T00:00:00"/>
    <x v="2"/>
    <x v="3"/>
    <x v="2"/>
    <x v="304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Caqueret"/>
    <s v="3"/>
    <s v="C0"/>
  </r>
  <r>
    <d v="2026-09-05T00:00:00"/>
    <x v="2"/>
    <x v="4"/>
    <x v="2"/>
    <x v="68"/>
    <n v="6"/>
    <n v="0"/>
    <n v="0"/>
    <n v="0"/>
    <n v="0"/>
    <n v="0"/>
    <n v="0"/>
    <n v="0"/>
    <n v="0"/>
    <n v="0"/>
    <m/>
    <n v="0"/>
    <x v="9"/>
    <n v="0"/>
    <m/>
    <s v=""/>
    <n v="6"/>
    <x v="1"/>
    <x v="7"/>
    <x v="1"/>
    <x v="7"/>
    <s v="3Atta"/>
    <s v="3AC ASPARAGHESE"/>
    <s v="C0"/>
  </r>
  <r>
    <d v="2026-09-05T00:00:00"/>
    <x v="2"/>
    <x v="14"/>
    <x v="3"/>
    <x v="220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3Tourè E."/>
    <s v="3ATL. IMPROVVISATO"/>
    <s v="A0"/>
  </r>
  <r>
    <d v="2026-09-05T00:00:00"/>
    <x v="2"/>
    <x v="1"/>
    <x v="2"/>
    <x v="2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Cambiaghi"/>
    <s v="3"/>
    <s v="C0"/>
  </r>
  <r>
    <d v="2026-09-05T00:00:00"/>
    <x v="2"/>
    <x v="5"/>
    <x v="1"/>
    <x v="78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Calvani"/>
    <s v="3"/>
    <s v="D0"/>
  </r>
  <r>
    <d v="2026-09-05T00:00:00"/>
    <x v="2"/>
    <x v="0"/>
    <x v="3"/>
    <x v="11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3Scamacca"/>
    <s v="3TRICCHETRACHT"/>
    <s v="A0"/>
  </r>
  <r>
    <d v="2026-09-05T00:00:00"/>
    <x v="2"/>
    <x v="13"/>
    <x v="3"/>
    <x v="207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3Santos A."/>
    <s v="3TRICCHETRACHT"/>
    <s v="A0"/>
  </r>
  <r>
    <d v="2026-09-05T00:00:00"/>
    <x v="2"/>
    <x v="18"/>
    <x v="3"/>
    <x v="341"/>
    <n v="6.5"/>
    <n v="0"/>
    <n v="0"/>
    <n v="0"/>
    <n v="0"/>
    <n v="0"/>
    <n v="0"/>
    <n v="0"/>
    <n v="0"/>
    <n v="1"/>
    <m/>
    <n v="0"/>
    <x v="10"/>
    <n v="0"/>
    <n v="1"/>
    <n v="7.5"/>
    <n v="7.5"/>
    <x v="1"/>
    <x v="8"/>
    <x v="1"/>
    <x v="8"/>
    <s v="3Davis K."/>
    <s v="3PARTIZAN DEGRADO1"/>
    <s v="A0"/>
  </r>
  <r>
    <d v="2026-09-05T00:00:00"/>
    <x v="2"/>
    <x v="16"/>
    <x v="3"/>
    <x v="250"/>
    <n v="6.5"/>
    <n v="0"/>
    <n v="0"/>
    <n v="0"/>
    <n v="0"/>
    <n v="0"/>
    <n v="0"/>
    <n v="0"/>
    <n v="0"/>
    <n v="0"/>
    <m/>
    <n v="0"/>
    <x v="1"/>
    <n v="0"/>
    <n v="1"/>
    <n v="6.5"/>
    <n v="6.5"/>
    <x v="1"/>
    <x v="2"/>
    <x v="1"/>
    <x v="2"/>
    <s v="3Laurientè"/>
    <s v="3SESTO ASENSIO1"/>
    <s v="A0"/>
  </r>
  <r>
    <d v="2026-09-05T00:00:00"/>
    <x v="2"/>
    <x v="19"/>
    <x v="2"/>
    <x v="289"/>
    <n v="6.5"/>
    <n v="0"/>
    <n v="0"/>
    <n v="0"/>
    <n v="0"/>
    <n v="0"/>
    <n v="0"/>
    <n v="1"/>
    <n v="0"/>
    <n v="1"/>
    <m/>
    <n v="0"/>
    <x v="8"/>
    <n v="0"/>
    <m/>
    <s v=""/>
    <n v="7"/>
    <x v="0"/>
    <x v="0"/>
    <x v="0"/>
    <x v="0"/>
    <s v="3Busio"/>
    <s v="3"/>
    <s v="C0"/>
  </r>
  <r>
    <d v="2026-09-05T00:00:00"/>
    <x v="2"/>
    <x v="14"/>
    <x v="1"/>
    <x v="32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Britschgi"/>
    <s v="3"/>
    <s v="D0"/>
  </r>
  <r>
    <d v="2026-09-05T00:00:00"/>
    <x v="2"/>
    <x v="4"/>
    <x v="2"/>
    <x v="6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Brescianini"/>
    <s v="3"/>
    <s v="C0"/>
  </r>
  <r>
    <d v="2026-09-05T00:00:00"/>
    <x v="2"/>
    <x v="3"/>
    <x v="3"/>
    <x v="57"/>
    <n v="5.5"/>
    <n v="0"/>
    <n v="0"/>
    <n v="0"/>
    <n v="0"/>
    <n v="0"/>
    <n v="0"/>
    <n v="0"/>
    <n v="0"/>
    <n v="0"/>
    <m/>
    <n v="0"/>
    <x v="1"/>
    <n v="0"/>
    <n v="1"/>
    <n v="5.5"/>
    <n v="5.5"/>
    <x v="0"/>
    <x v="0"/>
    <x v="0"/>
    <x v="0"/>
    <s v="3Douvikas"/>
    <s v="3SESTO ASENSIO1"/>
    <s v="A0"/>
  </r>
  <r>
    <d v="2026-09-05T00:00:00"/>
    <x v="2"/>
    <x v="17"/>
    <x v="2"/>
    <x v="37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Braganca"/>
    <s v="3"/>
    <s v="C0"/>
  </r>
  <r>
    <d v="2026-09-05T00:00:00"/>
    <x v="2"/>
    <x v="8"/>
    <x v="3"/>
    <x v="132"/>
    <n v="4.5"/>
    <n v="0"/>
    <n v="0"/>
    <n v="0"/>
    <n v="0"/>
    <n v="0"/>
    <n v="0"/>
    <n v="0"/>
    <n v="0"/>
    <n v="0"/>
    <m/>
    <n v="0"/>
    <x v="11"/>
    <n v="0"/>
    <n v="1"/>
    <n v="4.5"/>
    <n v="4.5"/>
    <x v="0"/>
    <x v="0"/>
    <x v="0"/>
    <x v="0"/>
    <s v="3Kolo Muani"/>
    <s v="3SAN GRIA1"/>
    <s v="A0"/>
  </r>
  <r>
    <d v="2026-09-05T00:00:00"/>
    <x v="2"/>
    <x v="15"/>
    <x v="3"/>
    <x v="234"/>
    <n v="7"/>
    <n v="0"/>
    <n v="0"/>
    <n v="0"/>
    <n v="0"/>
    <n v="0"/>
    <n v="0"/>
    <n v="0"/>
    <n v="0"/>
    <n v="1"/>
    <m/>
    <n v="0"/>
    <x v="6"/>
    <n v="0"/>
    <n v="1"/>
    <n v="8"/>
    <n v="8"/>
    <x v="1"/>
    <x v="9"/>
    <x v="1"/>
    <x v="9"/>
    <s v="3Dybala"/>
    <s v="3FC INTERNAZIOANALE1"/>
    <s v="A0"/>
  </r>
  <r>
    <d v="2026-09-05T00:00:00"/>
    <x v="2"/>
    <x v="7"/>
    <x v="3"/>
    <x v="116"/>
    <n v="7.5"/>
    <n v="2"/>
    <n v="0"/>
    <n v="0"/>
    <n v="0"/>
    <n v="0"/>
    <n v="0"/>
    <n v="1"/>
    <n v="0"/>
    <n v="0"/>
    <n v="1"/>
    <n v="0"/>
    <x v="3"/>
    <n v="2"/>
    <n v="1"/>
    <n v="14"/>
    <n v="14"/>
    <x v="1"/>
    <x v="15"/>
    <x v="1"/>
    <x v="15"/>
    <s v="3Martinez L."/>
    <s v="3TRICCHETRACHT1"/>
    <s v="A0"/>
  </r>
  <r>
    <d v="2026-09-05T00:00:00"/>
    <x v="2"/>
    <x v="2"/>
    <x v="3"/>
    <x v="41"/>
    <n v="7"/>
    <n v="1"/>
    <n v="0"/>
    <n v="0"/>
    <n v="0"/>
    <n v="0"/>
    <n v="0"/>
    <n v="0"/>
    <n v="0"/>
    <n v="0"/>
    <n v="1"/>
    <n v="0"/>
    <x v="2"/>
    <n v="1"/>
    <n v="1"/>
    <n v="11"/>
    <n v="11"/>
    <x v="1"/>
    <x v="10"/>
    <x v="1"/>
    <x v="10"/>
    <s v="3Maldini"/>
    <s v="3ATL. IMPROVVISATO1"/>
    <s v="A0"/>
  </r>
  <r>
    <d v="2026-09-05T00:00:00"/>
    <x v="2"/>
    <x v="12"/>
    <x v="1"/>
    <x v="18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Birindelli"/>
    <s v="3"/>
    <s v="D0"/>
  </r>
  <r>
    <d v="2026-09-05T00:00:00"/>
    <x v="2"/>
    <x v="6"/>
    <x v="0"/>
    <x v="89"/>
    <n v="5.5"/>
    <n v="0"/>
    <n v="4"/>
    <n v="0"/>
    <n v="0"/>
    <n v="0"/>
    <n v="0"/>
    <n v="0"/>
    <n v="0"/>
    <n v="0"/>
    <m/>
    <n v="0"/>
    <x v="4"/>
    <n v="0"/>
    <m/>
    <s v=""/>
    <n v="1.5"/>
    <x v="0"/>
    <x v="0"/>
    <x v="0"/>
    <x v="0"/>
    <s v="3Bijlow"/>
    <s v="3AS PIPPERIA"/>
    <s v="P4"/>
  </r>
  <r>
    <d v="2026-09-05T00:00:00"/>
    <x v="2"/>
    <x v="4"/>
    <x v="3"/>
    <x v="380"/>
    <n v="5.5"/>
    <n v="0"/>
    <n v="0"/>
    <n v="0"/>
    <n v="0"/>
    <n v="0"/>
    <n v="0"/>
    <n v="0"/>
    <n v="0"/>
    <n v="0"/>
    <m/>
    <n v="0"/>
    <x v="11"/>
    <n v="0"/>
    <m/>
    <s v=""/>
    <n v="5.5"/>
    <x v="0"/>
    <x v="0"/>
    <x v="0"/>
    <x v="0"/>
    <s v="3Gnonto"/>
    <s v="3SAN GRIA"/>
    <s v="A0"/>
  </r>
  <r>
    <d v="2026-09-05T00:00:00"/>
    <x v="2"/>
    <x v="18"/>
    <x v="1"/>
    <x v="339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3Bertola"/>
    <s v="3"/>
    <s v="D0"/>
  </r>
  <r>
    <d v="2026-09-05T00:00:00"/>
    <x v="2"/>
    <x v="15"/>
    <x v="3"/>
    <x v="236"/>
    <n v="7.5"/>
    <n v="1"/>
    <n v="0"/>
    <n v="0"/>
    <n v="0"/>
    <n v="0"/>
    <n v="0"/>
    <n v="0"/>
    <n v="0"/>
    <n v="1"/>
    <n v="1"/>
    <n v="0"/>
    <x v="9"/>
    <n v="1"/>
    <n v="1"/>
    <n v="12.5"/>
    <n v="12.5"/>
    <x v="1"/>
    <x v="16"/>
    <x v="1"/>
    <x v="16"/>
    <s v="3Soulè"/>
    <s v="3AC ASPARAGHESE1"/>
    <s v="A0"/>
  </r>
  <r>
    <d v="2026-09-05T00:00:00"/>
    <x v="2"/>
    <x v="6"/>
    <x v="3"/>
    <x v="102"/>
    <n v="6.5"/>
    <n v="0"/>
    <n v="0"/>
    <n v="0"/>
    <n v="0"/>
    <n v="0"/>
    <n v="0"/>
    <n v="0"/>
    <n v="0"/>
    <n v="1"/>
    <m/>
    <n v="0"/>
    <x v="10"/>
    <n v="0"/>
    <m/>
    <s v=""/>
    <n v="7.5"/>
    <x v="0"/>
    <x v="0"/>
    <x v="0"/>
    <x v="0"/>
    <s v="3Colombo"/>
    <s v="3PARTIZAN DEGRADO"/>
    <s v="A0"/>
  </r>
  <r>
    <d v="2026-09-05T00:00:00"/>
    <x v="2"/>
    <x v="3"/>
    <x v="3"/>
    <x v="56"/>
    <n v="7.5"/>
    <n v="2"/>
    <n v="0"/>
    <n v="0"/>
    <n v="0"/>
    <n v="0"/>
    <n v="0"/>
    <n v="0"/>
    <n v="0"/>
    <n v="0"/>
    <n v="1"/>
    <n v="0"/>
    <x v="5"/>
    <n v="2"/>
    <n v="1"/>
    <n v="14.5"/>
    <n v="14.5"/>
    <x v="1"/>
    <x v="17"/>
    <x v="1"/>
    <x v="17"/>
    <s v="3Diao"/>
    <s v="3PESCICULINI1"/>
    <s v="A0"/>
  </r>
  <r>
    <d v="2026-09-05T00:00:00"/>
    <x v="2"/>
    <x v="16"/>
    <x v="3"/>
    <x v="251"/>
    <n v="7"/>
    <n v="0"/>
    <n v="0"/>
    <n v="0"/>
    <n v="0"/>
    <n v="0"/>
    <n v="0"/>
    <n v="0"/>
    <n v="0"/>
    <n v="0"/>
    <m/>
    <n v="0"/>
    <x v="6"/>
    <n v="0"/>
    <m/>
    <s v=""/>
    <n v="7"/>
    <x v="0"/>
    <x v="0"/>
    <x v="0"/>
    <x v="0"/>
    <s v="3Bowie"/>
    <s v="3FC INTERNAZIOANALE"/>
    <s v="A0"/>
  </r>
  <r>
    <d v="2026-09-05T00:00:00"/>
    <x v="2"/>
    <x v="9"/>
    <x v="2"/>
    <x v="319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Belahyane"/>
    <s v="3"/>
    <s v="C0"/>
  </r>
  <r>
    <d v="2026-09-05T00:00:00"/>
    <x v="2"/>
    <x v="18"/>
    <x v="3"/>
    <x v="280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3Bayo V."/>
    <s v="3"/>
    <s v="A0"/>
  </r>
  <r>
    <d v="2026-09-05T00:00:00"/>
    <x v="2"/>
    <x v="15"/>
    <x v="3"/>
    <x v="237"/>
    <n v="6.5"/>
    <n v="0"/>
    <n v="0"/>
    <n v="0"/>
    <n v="0"/>
    <n v="0"/>
    <n v="0"/>
    <n v="0"/>
    <n v="0"/>
    <n v="0"/>
    <m/>
    <n v="0"/>
    <x v="1"/>
    <n v="0"/>
    <m/>
    <s v=""/>
    <n v="6.5"/>
    <x v="1"/>
    <x v="2"/>
    <x v="1"/>
    <x v="2"/>
    <s v="3Castro S."/>
    <s v="3SESTO ASENSIO"/>
    <s v="A0"/>
  </r>
  <r>
    <d v="2026-09-05T00:00:00"/>
    <x v="2"/>
    <x v="4"/>
    <x v="3"/>
    <x v="381"/>
    <n v="5.5"/>
    <n v="0"/>
    <n v="0"/>
    <n v="0"/>
    <n v="0"/>
    <n v="0"/>
    <n v="0"/>
    <n v="0"/>
    <n v="0"/>
    <n v="0"/>
    <m/>
    <n v="0"/>
    <x v="11"/>
    <n v="0"/>
    <n v="1"/>
    <n v="5.5"/>
    <n v="5.5"/>
    <x v="0"/>
    <x v="0"/>
    <x v="0"/>
    <x v="0"/>
    <s v="3Beto"/>
    <s v="3SAN GRIA1"/>
    <s v="A0"/>
  </r>
  <r>
    <d v="2026-09-05T00:00:00"/>
    <x v="2"/>
    <x v="0"/>
    <x v="3"/>
    <x v="13"/>
    <n v="6"/>
    <n v="0"/>
    <n v="0"/>
    <n v="0"/>
    <n v="0"/>
    <n v="0"/>
    <n v="0"/>
    <n v="0"/>
    <n v="0"/>
    <n v="0"/>
    <m/>
    <n v="0"/>
    <x v="5"/>
    <n v="0"/>
    <n v="1"/>
    <n v="6"/>
    <n v="6"/>
    <x v="0"/>
    <x v="0"/>
    <x v="0"/>
    <x v="0"/>
    <s v="3De Ketelaere"/>
    <s v="3PESCICULINI1"/>
    <s v="A0"/>
  </r>
  <r>
    <d v="2026-09-05T00:00:00"/>
    <x v="2"/>
    <x v="15"/>
    <x v="1"/>
    <x v="38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Balerdi"/>
    <s v="3"/>
    <s v="D0"/>
  </r>
  <r>
    <d v="2026-09-05T00:00:00"/>
    <x v="2"/>
    <x v="16"/>
    <x v="3"/>
    <x v="335"/>
    <n v="6.5"/>
    <n v="0"/>
    <n v="0"/>
    <n v="0"/>
    <n v="0"/>
    <n v="0"/>
    <n v="0"/>
    <n v="0"/>
    <n v="0"/>
    <n v="0"/>
    <m/>
    <n v="0"/>
    <x v="10"/>
    <n v="0"/>
    <n v="1"/>
    <n v="6.5"/>
    <n v="6.5"/>
    <x v="0"/>
    <x v="0"/>
    <x v="0"/>
    <x v="0"/>
    <s v="3Berardi"/>
    <s v="3PARTIZAN DEGRADO1"/>
    <s v="A0"/>
  </r>
  <r>
    <d v="2026-09-05T00:00:00"/>
    <x v="2"/>
    <x v="13"/>
    <x v="1"/>
    <x v="383"/>
    <n v="5"/>
    <n v="0"/>
    <n v="0"/>
    <n v="0"/>
    <n v="0"/>
    <n v="0"/>
    <n v="0"/>
    <n v="0"/>
    <n v="0"/>
    <n v="0"/>
    <m/>
    <n v="0"/>
    <x v="9"/>
    <n v="0"/>
    <m/>
    <s v=""/>
    <n v="5"/>
    <x v="0"/>
    <x v="0"/>
    <x v="0"/>
    <x v="0"/>
    <s v="3Badiashile"/>
    <s v="3AC ASPARAGHESE"/>
    <s v="D0"/>
  </r>
  <r>
    <d v="2026-09-05T00:00:00"/>
    <x v="2"/>
    <x v="15"/>
    <x v="3"/>
    <x v="235"/>
    <n v="6"/>
    <n v="0"/>
    <n v="0"/>
    <n v="0"/>
    <n v="0"/>
    <n v="0"/>
    <n v="0"/>
    <n v="0"/>
    <n v="0"/>
    <n v="0"/>
    <m/>
    <n v="0"/>
    <x v="9"/>
    <n v="0"/>
    <n v="1"/>
    <n v="6"/>
    <n v="6"/>
    <x v="1"/>
    <x v="7"/>
    <x v="1"/>
    <x v="7"/>
    <s v="3Malen"/>
    <s v="3AC ASPARAGHESE1"/>
    <s v="A0"/>
  </r>
  <r>
    <d v="2026-09-05T00:00:00"/>
    <x v="2"/>
    <x v="6"/>
    <x v="2"/>
    <x v="10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Amorim"/>
    <s v="3"/>
    <s v="C0"/>
  </r>
  <r>
    <d v="2026-09-05T00:00:00"/>
    <x v="2"/>
    <x v="14"/>
    <x v="2"/>
    <x v="213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3Almqvist"/>
    <s v="3"/>
    <s v="C0"/>
  </r>
  <r>
    <d v="2026-09-05T00:00:00"/>
    <x v="2"/>
    <x v="1"/>
    <x v="1"/>
    <x v="296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Alhassane"/>
    <s v="3"/>
    <s v="D0"/>
  </r>
  <r>
    <d v="2026-09-05T00:00:00"/>
    <x v="2"/>
    <x v="8"/>
    <x v="2"/>
    <x v="316"/>
    <n v="5.5"/>
    <n v="0"/>
    <n v="0"/>
    <n v="0"/>
    <n v="0"/>
    <n v="0"/>
    <n v="0"/>
    <n v="0"/>
    <n v="0"/>
    <n v="0"/>
    <m/>
    <n v="0"/>
    <x v="9"/>
    <n v="0"/>
    <m/>
    <s v=""/>
    <n v="5.5"/>
    <x v="0"/>
    <x v="0"/>
    <x v="0"/>
    <x v="0"/>
    <s v="3Alajbegovic"/>
    <s v="3AC ASPARAGHESE"/>
    <s v="C0"/>
  </r>
  <r>
    <d v="2026-09-05T00:00:00"/>
    <x v="2"/>
    <x v="12"/>
    <x v="2"/>
    <x v="32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Akinsanmiro"/>
    <s v="3"/>
    <s v="C0"/>
  </r>
  <r>
    <d v="2026-09-05T00:00:00"/>
    <x v="2"/>
    <x v="13"/>
    <x v="3"/>
    <x v="384"/>
    <n v="5.5"/>
    <n v="0"/>
    <n v="0"/>
    <n v="0"/>
    <n v="0"/>
    <n v="0"/>
    <n v="0"/>
    <n v="0"/>
    <n v="0"/>
    <n v="0"/>
    <m/>
    <n v="0"/>
    <x v="7"/>
    <n v="0"/>
    <n v="1"/>
    <n v="5.5"/>
    <n v="5.5"/>
    <x v="0"/>
    <x v="0"/>
    <x v="0"/>
    <x v="0"/>
    <s v="3Neres"/>
    <s v="3SHARK1"/>
    <s v="A0"/>
  </r>
  <r>
    <d v="2026-09-05T00:00:00"/>
    <x v="2"/>
    <x v="16"/>
    <x v="2"/>
    <x v="247"/>
    <n v="7"/>
    <n v="1"/>
    <n v="0"/>
    <n v="0"/>
    <n v="0"/>
    <n v="0"/>
    <n v="0"/>
    <n v="0"/>
    <n v="0"/>
    <n v="0"/>
    <m/>
    <n v="0"/>
    <x v="8"/>
    <n v="1"/>
    <m/>
    <s v=""/>
    <n v="10"/>
    <x v="0"/>
    <x v="0"/>
    <x v="0"/>
    <x v="0"/>
    <s v="3Adzic"/>
    <s v="3"/>
    <s v="C0"/>
  </r>
  <r>
    <d v="2026-09-05T00:00:00"/>
    <x v="2"/>
    <x v="2"/>
    <x v="2"/>
    <x v="37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Adopo"/>
    <s v="3"/>
    <s v="C0"/>
  </r>
  <r>
    <d v="2026-09-05T00:00:00"/>
    <x v="2"/>
    <x v="17"/>
    <x v="3"/>
    <x v="266"/>
    <n v="7"/>
    <n v="1"/>
    <n v="0"/>
    <n v="0"/>
    <n v="0"/>
    <n v="0"/>
    <n v="0"/>
    <n v="0"/>
    <n v="0"/>
    <n v="0"/>
    <n v="1"/>
    <n v="0"/>
    <x v="6"/>
    <n v="1"/>
    <n v="1"/>
    <n v="11"/>
    <n v="11"/>
    <x v="1"/>
    <x v="10"/>
    <x v="1"/>
    <x v="10"/>
    <s v="3Adams C."/>
    <s v="3FC INTERNAZIOANALE1"/>
    <s v="A0"/>
  </r>
  <r>
    <d v="2026-09-05T00:00:00"/>
    <x v="2"/>
    <x v="19"/>
    <x v="3"/>
    <x v="294"/>
    <n v="5.5"/>
    <n v="0"/>
    <n v="0"/>
    <n v="0"/>
    <n v="0"/>
    <n v="0"/>
    <n v="0"/>
    <n v="0"/>
    <n v="0"/>
    <n v="0"/>
    <m/>
    <n v="0"/>
    <x v="4"/>
    <n v="0"/>
    <n v="1"/>
    <n v="5.5"/>
    <n v="5.5"/>
    <x v="1"/>
    <x v="3"/>
    <x v="0"/>
    <x v="0"/>
    <s v="3Adams A."/>
    <s v="3AS PIPPERIA1"/>
    <s v="A0"/>
  </r>
  <r>
    <d v="2026-09-05T00:00:00"/>
    <x v="2"/>
    <x v="18"/>
    <x v="1"/>
    <x v="27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Abankwah"/>
    <s v="3"/>
    <s v="D0"/>
  </r>
  <r>
    <d v="2026-09-05T00:00:00"/>
    <x v="2"/>
    <x v="7"/>
    <x v="3"/>
    <x v="118"/>
    <n v="6"/>
    <n v="0"/>
    <n v="0"/>
    <n v="0"/>
    <n v="0"/>
    <n v="0"/>
    <n v="0"/>
    <n v="0"/>
    <n v="0"/>
    <n v="0"/>
    <m/>
    <n v="0"/>
    <x v="2"/>
    <n v="0"/>
    <n v="1"/>
    <n v="6"/>
    <n v="6"/>
    <x v="1"/>
    <x v="7"/>
    <x v="1"/>
    <x v="7"/>
    <s v="3Esposito F.P."/>
    <s v="3ATL. IMPROVVISATO1"/>
    <s v="A0"/>
  </r>
  <r>
    <d v="2026-09-05T00:00:00"/>
    <x v="2"/>
    <x v="8"/>
    <x v="3"/>
    <x v="131"/>
    <n v="5.5"/>
    <n v="0"/>
    <n v="0"/>
    <n v="0"/>
    <n v="0"/>
    <n v="0"/>
    <n v="0"/>
    <n v="0"/>
    <n v="0"/>
    <n v="0"/>
    <m/>
    <n v="0"/>
    <x v="3"/>
    <n v="0"/>
    <n v="1"/>
    <n v="5.5"/>
    <n v="5.5"/>
    <x v="0"/>
    <x v="0"/>
    <x v="0"/>
    <x v="0"/>
    <s v="3Boga"/>
    <s v="3TRICCHETRACHT1"/>
    <s v="A0"/>
  </r>
  <r>
    <d v="2026-09-12T00:00:00"/>
    <x v="3"/>
    <x v="0"/>
    <x v="0"/>
    <x v="0"/>
    <n v="6.5"/>
    <n v="0"/>
    <n v="2"/>
    <n v="0"/>
    <n v="0"/>
    <n v="0"/>
    <n v="0"/>
    <n v="0"/>
    <n v="0"/>
    <n v="0"/>
    <m/>
    <n v="0"/>
    <x v="10"/>
    <n v="0"/>
    <m/>
    <s v=""/>
    <n v="4.5"/>
    <x v="0"/>
    <x v="0"/>
    <x v="0"/>
    <x v="0"/>
    <s v="4Carnesecchi"/>
    <s v="4PARTIZAN DEGRADO"/>
    <s v="P2"/>
  </r>
  <r>
    <d v="2026-09-12T00:00:00"/>
    <x v="3"/>
    <x v="0"/>
    <x v="1"/>
    <x v="2"/>
    <n v="4.5"/>
    <n v="0"/>
    <n v="0"/>
    <n v="0"/>
    <n v="0"/>
    <n v="0"/>
    <n v="0"/>
    <n v="0"/>
    <n v="0"/>
    <n v="0"/>
    <m/>
    <n v="0"/>
    <x v="8"/>
    <n v="0"/>
    <m/>
    <s v=""/>
    <n v="4.5"/>
    <x v="0"/>
    <x v="0"/>
    <x v="0"/>
    <x v="0"/>
    <s v="4Kolasinac"/>
    <s v="4"/>
    <s v="D0"/>
  </r>
  <r>
    <d v="2026-09-12T00:00:00"/>
    <x v="3"/>
    <x v="0"/>
    <x v="1"/>
    <x v="363"/>
    <n v="5.5"/>
    <n v="0"/>
    <n v="0"/>
    <n v="0"/>
    <n v="0"/>
    <n v="0"/>
    <n v="0"/>
    <n v="0"/>
    <n v="0"/>
    <n v="0"/>
    <m/>
    <n v="0"/>
    <x v="5"/>
    <n v="0"/>
    <m/>
    <s v=""/>
    <n v="5.5"/>
    <x v="0"/>
    <x v="0"/>
    <x v="0"/>
    <x v="0"/>
    <s v="4Bellanova"/>
    <s v="4PESCICULINI"/>
    <s v="D0"/>
  </r>
  <r>
    <d v="2026-09-12T00:00:00"/>
    <x v="3"/>
    <x v="0"/>
    <x v="1"/>
    <x v="3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4Scalvini"/>
    <s v="4SESTO ASENSIO"/>
    <s v="D0"/>
  </r>
  <r>
    <d v="2026-09-12T00:00:00"/>
    <x v="3"/>
    <x v="0"/>
    <x v="1"/>
    <x v="4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4Kossounou"/>
    <s v="4"/>
    <s v="D0"/>
  </r>
  <r>
    <d v="2026-09-12T00:00:00"/>
    <x v="3"/>
    <x v="0"/>
    <x v="1"/>
    <x v="5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4Bernasconi"/>
    <s v="4PARTIZAN DEGRADO"/>
    <s v="D0"/>
  </r>
  <r>
    <d v="2026-09-12T00:00:00"/>
    <x v="3"/>
    <x v="0"/>
    <x v="2"/>
    <x v="385"/>
    <n v="5.5"/>
    <n v="0"/>
    <n v="0"/>
    <n v="0"/>
    <n v="0"/>
    <n v="0"/>
    <n v="0"/>
    <n v="0"/>
    <n v="0"/>
    <n v="0"/>
    <m/>
    <n v="0"/>
    <x v="9"/>
    <n v="0"/>
    <m/>
    <s v=""/>
    <n v="5.5"/>
    <x v="0"/>
    <x v="0"/>
    <x v="0"/>
    <x v="0"/>
    <s v="4Kessiè"/>
    <s v="4AC ASPARAGHESE"/>
    <s v="C0"/>
  </r>
  <r>
    <d v="2026-09-12T00:00:00"/>
    <x v="3"/>
    <x v="0"/>
    <x v="2"/>
    <x v="8"/>
    <n v="5"/>
    <n v="0"/>
    <n v="0"/>
    <n v="0"/>
    <n v="0"/>
    <n v="0"/>
    <n v="0"/>
    <n v="0"/>
    <n v="0"/>
    <n v="0"/>
    <m/>
    <n v="0"/>
    <x v="4"/>
    <n v="0"/>
    <m/>
    <s v=""/>
    <n v="5"/>
    <x v="0"/>
    <x v="0"/>
    <x v="0"/>
    <x v="0"/>
    <s v="4Samardzic"/>
    <s v="4AS PIPPERIA"/>
    <s v="C0"/>
  </r>
  <r>
    <d v="2026-09-12T00:00:00"/>
    <x v="3"/>
    <x v="0"/>
    <x v="2"/>
    <x v="1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Ederson D.S."/>
    <s v="4"/>
    <s v="C0"/>
  </r>
  <r>
    <d v="2026-09-12T00:00:00"/>
    <x v="3"/>
    <x v="1"/>
    <x v="2"/>
    <x v="27"/>
    <n v="5.5"/>
    <n v="0"/>
    <n v="0"/>
    <n v="0"/>
    <n v="0"/>
    <n v="0"/>
    <n v="0"/>
    <n v="0"/>
    <n v="0"/>
    <n v="0"/>
    <m/>
    <n v="0"/>
    <x v="3"/>
    <n v="0"/>
    <m/>
    <s v=""/>
    <n v="5.5"/>
    <x v="0"/>
    <x v="0"/>
    <x v="0"/>
    <x v="0"/>
    <s v="4Rowe"/>
    <s v="4TRICCHETRACHT"/>
    <s v="C0"/>
  </r>
  <r>
    <d v="2026-09-12T00:00:00"/>
    <x v="3"/>
    <x v="0"/>
    <x v="3"/>
    <x v="11"/>
    <n v="7"/>
    <n v="1"/>
    <n v="0"/>
    <n v="0"/>
    <n v="0"/>
    <n v="0"/>
    <n v="0"/>
    <n v="0"/>
    <n v="0"/>
    <n v="0"/>
    <m/>
    <n v="0"/>
    <x v="3"/>
    <n v="1"/>
    <m/>
    <s v=""/>
    <n v="10"/>
    <x v="0"/>
    <x v="0"/>
    <x v="0"/>
    <x v="0"/>
    <s v="4Scamacca"/>
    <s v="4TRICCHETRACHT"/>
    <s v="A0"/>
  </r>
  <r>
    <d v="2026-09-12T00:00:00"/>
    <x v="3"/>
    <x v="0"/>
    <x v="3"/>
    <x v="1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Raspadori"/>
    <s v="4"/>
    <s v="A0"/>
  </r>
  <r>
    <d v="2026-09-12T00:00:00"/>
    <x v="3"/>
    <x v="0"/>
    <x v="3"/>
    <x v="13"/>
    <n v="5"/>
    <n v="0"/>
    <n v="0"/>
    <n v="0"/>
    <n v="0"/>
    <n v="0"/>
    <n v="0"/>
    <n v="0"/>
    <n v="0"/>
    <n v="0"/>
    <m/>
    <n v="0"/>
    <x v="5"/>
    <n v="0"/>
    <m/>
    <s v=""/>
    <n v="5"/>
    <x v="0"/>
    <x v="0"/>
    <x v="0"/>
    <x v="0"/>
    <s v="4De Ketelaere"/>
    <s v="4PESCICULINI"/>
    <s v="A0"/>
  </r>
  <r>
    <d v="2026-09-12T00:00:00"/>
    <x v="3"/>
    <x v="0"/>
    <x v="3"/>
    <x v="14"/>
    <n v="5.5"/>
    <n v="0"/>
    <n v="0"/>
    <n v="0"/>
    <n v="0"/>
    <n v="0"/>
    <n v="0"/>
    <n v="0"/>
    <n v="0"/>
    <n v="0"/>
    <m/>
    <n v="0"/>
    <x v="5"/>
    <n v="0"/>
    <m/>
    <s v=""/>
    <n v="5.5"/>
    <x v="0"/>
    <x v="0"/>
    <x v="0"/>
    <x v="0"/>
    <s v="4Krstovic"/>
    <s v="4PESCICULINI"/>
    <s v="A0"/>
  </r>
  <r>
    <d v="2026-09-12T00:00:00"/>
    <x v="3"/>
    <x v="2"/>
    <x v="0"/>
    <x v="30"/>
    <n v="6.5"/>
    <n v="0"/>
    <n v="1"/>
    <n v="0"/>
    <n v="0"/>
    <n v="0"/>
    <n v="0"/>
    <n v="0"/>
    <n v="0"/>
    <n v="0"/>
    <m/>
    <n v="0"/>
    <x v="9"/>
    <n v="0"/>
    <m/>
    <s v=""/>
    <n v="5.5"/>
    <x v="0"/>
    <x v="0"/>
    <x v="0"/>
    <x v="0"/>
    <s v="4Caprile"/>
    <s v="4AC ASPARAGHESE"/>
    <s v="P1"/>
  </r>
  <r>
    <d v="2026-09-12T00:00:00"/>
    <x v="3"/>
    <x v="2"/>
    <x v="1"/>
    <x v="3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Obert"/>
    <s v="4"/>
    <s v="D0"/>
  </r>
  <r>
    <d v="2026-09-12T00:00:00"/>
    <x v="3"/>
    <x v="2"/>
    <x v="1"/>
    <x v="33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Rodriguez Ju."/>
    <s v="4"/>
    <s v="D0"/>
  </r>
  <r>
    <d v="2026-09-12T00:00:00"/>
    <x v="3"/>
    <x v="2"/>
    <x v="1"/>
    <x v="34"/>
    <n v="7"/>
    <n v="0"/>
    <n v="0"/>
    <n v="0"/>
    <n v="0"/>
    <n v="0"/>
    <n v="0"/>
    <n v="0"/>
    <n v="0"/>
    <n v="0"/>
    <m/>
    <n v="0"/>
    <x v="2"/>
    <n v="0"/>
    <m/>
    <s v=""/>
    <n v="7"/>
    <x v="0"/>
    <x v="0"/>
    <x v="0"/>
    <x v="0"/>
    <s v="4Zè Pedro"/>
    <s v="4ATL. IMPROVVISATO"/>
    <s v="D0"/>
  </r>
  <r>
    <d v="2026-09-12T00:00:00"/>
    <x v="3"/>
    <x v="2"/>
    <x v="1"/>
    <x v="38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Sugawara"/>
    <s v="4"/>
    <s v="D0"/>
  </r>
  <r>
    <d v="2026-09-12T00:00:00"/>
    <x v="3"/>
    <x v="2"/>
    <x v="2"/>
    <x v="35"/>
    <n v="7"/>
    <n v="0"/>
    <n v="0"/>
    <n v="0"/>
    <n v="0"/>
    <n v="0"/>
    <n v="0"/>
    <n v="0"/>
    <n v="0"/>
    <n v="0"/>
    <m/>
    <n v="0"/>
    <x v="8"/>
    <n v="0"/>
    <m/>
    <s v=""/>
    <n v="7"/>
    <x v="0"/>
    <x v="0"/>
    <x v="0"/>
    <x v="0"/>
    <s v="4Deiola"/>
    <s v="4"/>
    <s v="C0"/>
  </r>
  <r>
    <d v="2026-09-12T00:00:00"/>
    <x v="3"/>
    <x v="2"/>
    <x v="2"/>
    <x v="36"/>
    <n v="7"/>
    <n v="0"/>
    <n v="0"/>
    <n v="0"/>
    <n v="0"/>
    <n v="0"/>
    <n v="0"/>
    <n v="0"/>
    <n v="0"/>
    <n v="0"/>
    <m/>
    <n v="0"/>
    <x v="8"/>
    <n v="0"/>
    <m/>
    <s v=""/>
    <n v="7"/>
    <x v="0"/>
    <x v="0"/>
    <x v="0"/>
    <x v="0"/>
    <s v="4Winks"/>
    <s v="4"/>
    <s v="C0"/>
  </r>
  <r>
    <d v="2026-09-12T00:00:00"/>
    <x v="3"/>
    <x v="2"/>
    <x v="2"/>
    <x v="37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4Adopo"/>
    <s v="4"/>
    <s v="C0"/>
  </r>
  <r>
    <d v="2026-09-12T00:00:00"/>
    <x v="3"/>
    <x v="2"/>
    <x v="2"/>
    <x v="3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Fazzini"/>
    <s v="4"/>
    <s v="C0"/>
  </r>
  <r>
    <d v="2026-09-12T00:00:00"/>
    <x v="3"/>
    <x v="2"/>
    <x v="2"/>
    <x v="30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Fadera"/>
    <s v="4"/>
    <s v="C0"/>
  </r>
  <r>
    <d v="2026-09-12T00:00:00"/>
    <x v="3"/>
    <x v="2"/>
    <x v="2"/>
    <x v="40"/>
    <n v="7"/>
    <n v="0"/>
    <n v="0"/>
    <n v="0"/>
    <n v="0"/>
    <n v="0"/>
    <n v="0"/>
    <n v="0"/>
    <n v="0"/>
    <n v="0"/>
    <m/>
    <n v="0"/>
    <x v="10"/>
    <n v="0"/>
    <m/>
    <s v=""/>
    <n v="7"/>
    <x v="0"/>
    <x v="0"/>
    <x v="0"/>
    <x v="0"/>
    <s v="4Romano"/>
    <s v="4PARTIZAN DEGRADO"/>
    <s v="C0"/>
  </r>
  <r>
    <d v="2026-09-12T00:00:00"/>
    <x v="3"/>
    <x v="2"/>
    <x v="3"/>
    <x v="41"/>
    <n v="7"/>
    <n v="0"/>
    <n v="0"/>
    <n v="0"/>
    <n v="0"/>
    <n v="1"/>
    <n v="0"/>
    <n v="0"/>
    <n v="0"/>
    <n v="0"/>
    <n v="1"/>
    <n v="0"/>
    <x v="2"/>
    <n v="1"/>
    <m/>
    <s v=""/>
    <n v="11"/>
    <x v="0"/>
    <x v="0"/>
    <x v="0"/>
    <x v="0"/>
    <s v="4Maldini"/>
    <s v="4ATL. IMPROVVISATO"/>
    <s v="A0"/>
  </r>
  <r>
    <d v="2026-09-12T00:00:00"/>
    <x v="3"/>
    <x v="2"/>
    <x v="3"/>
    <x v="43"/>
    <n v="7"/>
    <n v="1"/>
    <n v="0"/>
    <n v="0"/>
    <n v="0"/>
    <n v="0"/>
    <n v="0"/>
    <n v="0"/>
    <n v="0"/>
    <n v="0"/>
    <m/>
    <n v="0"/>
    <x v="8"/>
    <n v="1"/>
    <m/>
    <s v=""/>
    <n v="10"/>
    <x v="0"/>
    <x v="0"/>
    <x v="0"/>
    <x v="0"/>
    <s v="4Mendy P."/>
    <s v="4"/>
    <s v="A0"/>
  </r>
  <r>
    <d v="2026-09-12T00:00:00"/>
    <x v="3"/>
    <x v="4"/>
    <x v="0"/>
    <x v="58"/>
    <n v="6"/>
    <n v="0"/>
    <n v="2"/>
    <n v="0"/>
    <n v="0"/>
    <n v="0"/>
    <n v="0"/>
    <n v="0"/>
    <n v="0"/>
    <n v="0"/>
    <m/>
    <n v="0"/>
    <x v="5"/>
    <n v="0"/>
    <m/>
    <s v=""/>
    <n v="4"/>
    <x v="0"/>
    <x v="0"/>
    <x v="0"/>
    <x v="0"/>
    <s v="4De Gea"/>
    <s v="4PESCICULINI"/>
    <s v="P2"/>
  </r>
  <r>
    <d v="2026-09-12T00:00:00"/>
    <x v="3"/>
    <x v="4"/>
    <x v="1"/>
    <x v="5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Ranieri L."/>
    <s v="4"/>
    <s v="D0"/>
  </r>
  <r>
    <d v="2026-09-12T00:00:00"/>
    <x v="3"/>
    <x v="4"/>
    <x v="1"/>
    <x v="60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Dragusin"/>
    <s v="4"/>
    <s v="D0"/>
  </r>
  <r>
    <d v="2026-09-12T00:00:00"/>
    <x v="3"/>
    <x v="4"/>
    <x v="1"/>
    <x v="62"/>
    <n v="6.5"/>
    <n v="0"/>
    <n v="0"/>
    <n v="0"/>
    <n v="0"/>
    <n v="0"/>
    <n v="0"/>
    <n v="0"/>
    <n v="0"/>
    <n v="1"/>
    <m/>
    <n v="0"/>
    <x v="4"/>
    <n v="0"/>
    <m/>
    <s v=""/>
    <n v="7.5"/>
    <x v="0"/>
    <x v="0"/>
    <x v="0"/>
    <x v="0"/>
    <s v="4Jimenez A."/>
    <s v="4AS PIPPERIA"/>
    <s v="D0"/>
  </r>
  <r>
    <d v="2026-09-12T00:00:00"/>
    <x v="3"/>
    <x v="4"/>
    <x v="1"/>
    <x v="307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4Viery"/>
    <s v="4SAN GRIA"/>
    <s v="D0"/>
  </r>
  <r>
    <d v="2026-09-12T00:00:00"/>
    <x v="3"/>
    <x v="4"/>
    <x v="2"/>
    <x v="65"/>
    <n v="7"/>
    <n v="0"/>
    <n v="0"/>
    <n v="0"/>
    <n v="0"/>
    <n v="0"/>
    <n v="0"/>
    <n v="0"/>
    <n v="0"/>
    <n v="1"/>
    <m/>
    <n v="0"/>
    <x v="8"/>
    <n v="0"/>
    <m/>
    <s v=""/>
    <n v="8"/>
    <x v="0"/>
    <x v="0"/>
    <x v="0"/>
    <x v="0"/>
    <s v="4Fagioli"/>
    <s v="4"/>
    <s v="C0"/>
  </r>
  <r>
    <d v="2026-09-12T00:00:00"/>
    <x v="3"/>
    <x v="4"/>
    <x v="2"/>
    <x v="67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Ndour"/>
    <s v="4"/>
    <s v="C0"/>
  </r>
  <r>
    <d v="2026-09-12T00:00:00"/>
    <x v="3"/>
    <x v="4"/>
    <x v="2"/>
    <x v="261"/>
    <n v="6.5"/>
    <n v="0"/>
    <n v="0"/>
    <n v="0"/>
    <n v="0"/>
    <n v="0"/>
    <n v="0"/>
    <n v="1"/>
    <n v="0"/>
    <n v="0"/>
    <m/>
    <n v="0"/>
    <x v="5"/>
    <n v="0"/>
    <m/>
    <s v=""/>
    <n v="6"/>
    <x v="0"/>
    <x v="0"/>
    <x v="0"/>
    <x v="0"/>
    <s v="4Njie"/>
    <s v="4PESCICULINI"/>
    <s v="C0"/>
  </r>
  <r>
    <d v="2026-09-12T00:00:00"/>
    <x v="3"/>
    <x v="4"/>
    <x v="2"/>
    <x v="68"/>
    <n v="6.5"/>
    <n v="0"/>
    <n v="0"/>
    <n v="0"/>
    <n v="0"/>
    <n v="0"/>
    <n v="0"/>
    <n v="0"/>
    <n v="0"/>
    <n v="0"/>
    <m/>
    <n v="0"/>
    <x v="9"/>
    <n v="0"/>
    <m/>
    <s v=""/>
    <n v="6.5"/>
    <x v="0"/>
    <x v="0"/>
    <x v="0"/>
    <x v="0"/>
    <s v="4Atta"/>
    <s v="4AC ASPARAGHESE"/>
    <s v="C0"/>
  </r>
  <r>
    <d v="2026-09-12T00:00:00"/>
    <x v="3"/>
    <x v="4"/>
    <x v="2"/>
    <x v="69"/>
    <n v="8.5"/>
    <n v="3"/>
    <n v="0"/>
    <n v="0"/>
    <n v="0"/>
    <n v="0"/>
    <n v="0"/>
    <n v="0"/>
    <n v="0"/>
    <n v="0"/>
    <m/>
    <n v="0"/>
    <x v="9"/>
    <n v="3"/>
    <m/>
    <s v=""/>
    <n v="17.5"/>
    <x v="0"/>
    <x v="0"/>
    <x v="0"/>
    <x v="0"/>
    <s v="4Mastantuono"/>
    <s v="4AC ASPARAGHESE"/>
    <s v="C0"/>
  </r>
  <r>
    <d v="2026-09-12T00:00:00"/>
    <x v="3"/>
    <x v="4"/>
    <x v="3"/>
    <x v="381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4Beto"/>
    <s v="4SAN GRIA"/>
    <s v="A0"/>
  </r>
  <r>
    <d v="2026-09-12T00:00:00"/>
    <x v="3"/>
    <x v="4"/>
    <x v="3"/>
    <x v="72"/>
    <n v="7"/>
    <n v="1"/>
    <n v="0"/>
    <n v="0"/>
    <n v="0"/>
    <n v="0"/>
    <n v="0"/>
    <n v="0"/>
    <n v="0"/>
    <n v="0"/>
    <n v="1"/>
    <n v="0"/>
    <x v="8"/>
    <n v="1"/>
    <m/>
    <s v=""/>
    <n v="11"/>
    <x v="0"/>
    <x v="0"/>
    <x v="0"/>
    <x v="0"/>
    <s v="4Pellegrino M."/>
    <s v="4"/>
    <s v="A0"/>
  </r>
  <r>
    <d v="2026-09-12T00:00:00"/>
    <x v="3"/>
    <x v="4"/>
    <x v="3"/>
    <x v="380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4Gnonto"/>
    <s v="4SAN GRIA"/>
    <s v="A0"/>
  </r>
  <r>
    <d v="2026-09-12T00:00:00"/>
    <x v="3"/>
    <x v="5"/>
    <x v="0"/>
    <x v="73"/>
    <n v="7"/>
    <n v="0"/>
    <n v="1"/>
    <n v="0"/>
    <n v="0"/>
    <n v="0"/>
    <n v="0"/>
    <n v="0"/>
    <n v="0"/>
    <n v="0"/>
    <m/>
    <n v="0"/>
    <x v="3"/>
    <n v="0"/>
    <m/>
    <s v=""/>
    <n v="6"/>
    <x v="0"/>
    <x v="0"/>
    <x v="0"/>
    <x v="0"/>
    <s v="4Palmisani"/>
    <s v="4TRICCHETRACHT"/>
    <s v="P1"/>
  </r>
  <r>
    <d v="2026-09-12T00:00:00"/>
    <x v="3"/>
    <x v="5"/>
    <x v="1"/>
    <x v="7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Monterisi"/>
    <s v="4"/>
    <s v="D0"/>
  </r>
  <r>
    <d v="2026-09-12T00:00:00"/>
    <x v="3"/>
    <x v="5"/>
    <x v="1"/>
    <x v="76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4Cittadini"/>
    <s v="4"/>
    <s v="D0"/>
  </r>
  <r>
    <d v="2026-09-12T00:00:00"/>
    <x v="3"/>
    <x v="5"/>
    <x v="1"/>
    <x v="7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Oyono A."/>
    <s v="4"/>
    <s v="D0"/>
  </r>
  <r>
    <d v="2026-09-12T00:00:00"/>
    <x v="3"/>
    <x v="5"/>
    <x v="1"/>
    <x v="7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Calvani"/>
    <s v="4"/>
    <s v="D0"/>
  </r>
  <r>
    <d v="2026-09-12T00:00:00"/>
    <x v="3"/>
    <x v="5"/>
    <x v="1"/>
    <x v="79"/>
    <n v="6"/>
    <n v="0"/>
    <n v="0"/>
    <n v="0"/>
    <n v="0"/>
    <n v="0"/>
    <n v="0"/>
    <n v="1"/>
    <n v="0"/>
    <n v="0"/>
    <m/>
    <n v="0"/>
    <x v="11"/>
    <n v="0"/>
    <m/>
    <s v=""/>
    <n v="5.5"/>
    <x v="0"/>
    <x v="0"/>
    <x v="0"/>
    <x v="0"/>
    <s v="4Bracaglia"/>
    <s v="4SAN GRIA"/>
    <s v="D0"/>
  </r>
  <r>
    <d v="2026-09-12T00:00:00"/>
    <x v="3"/>
    <x v="5"/>
    <x v="2"/>
    <x v="81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Fini "/>
    <s v="4"/>
    <s v="C0"/>
  </r>
  <r>
    <d v="2026-09-12T00:00:00"/>
    <x v="3"/>
    <x v="5"/>
    <x v="2"/>
    <x v="8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Hasa"/>
    <s v="4"/>
    <s v="C0"/>
  </r>
  <r>
    <d v="2026-09-12T00:00:00"/>
    <x v="3"/>
    <x v="5"/>
    <x v="2"/>
    <x v="83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Masini"/>
    <s v="4"/>
    <s v="C0"/>
  </r>
  <r>
    <d v="2026-09-12T00:00:00"/>
    <x v="3"/>
    <x v="5"/>
    <x v="2"/>
    <x v="84"/>
    <n v="6.5"/>
    <n v="0"/>
    <n v="0"/>
    <n v="0"/>
    <n v="0"/>
    <n v="0"/>
    <n v="0"/>
    <n v="0"/>
    <n v="0"/>
    <n v="0"/>
    <m/>
    <n v="0"/>
    <x v="3"/>
    <n v="0"/>
    <m/>
    <s v=""/>
    <n v="6.5"/>
    <x v="0"/>
    <x v="0"/>
    <x v="0"/>
    <x v="0"/>
    <s v="4Calò"/>
    <s v="4TRICCHETRACHT"/>
    <s v="C0"/>
  </r>
  <r>
    <d v="2026-09-12T00:00:00"/>
    <x v="3"/>
    <x v="5"/>
    <x v="2"/>
    <x v="86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4Schmid"/>
    <s v="4"/>
    <s v="C0"/>
  </r>
  <r>
    <d v="2026-09-12T00:00:00"/>
    <x v="3"/>
    <x v="5"/>
    <x v="3"/>
    <x v="87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4Raimondo"/>
    <s v="4SESTO ASENSIO"/>
    <s v="A0"/>
  </r>
  <r>
    <d v="2026-09-12T00:00:00"/>
    <x v="3"/>
    <x v="5"/>
    <x v="3"/>
    <x v="88"/>
    <n v="7"/>
    <n v="1"/>
    <n v="0"/>
    <n v="0"/>
    <n v="0"/>
    <n v="0"/>
    <n v="0"/>
    <n v="0"/>
    <n v="0"/>
    <n v="0"/>
    <m/>
    <n v="0"/>
    <x v="10"/>
    <n v="1"/>
    <m/>
    <s v=""/>
    <n v="10"/>
    <x v="0"/>
    <x v="0"/>
    <x v="0"/>
    <x v="0"/>
    <s v="4Kvernadze"/>
    <s v="4PARTIZAN DEGRADO"/>
    <s v="A0"/>
  </r>
  <r>
    <d v="2026-09-12T00:00:00"/>
    <x v="3"/>
    <x v="5"/>
    <x v="3"/>
    <x v="367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Ghedjemis"/>
    <s v="4"/>
    <s v="A0"/>
  </r>
  <r>
    <d v="2026-09-12T00:00:00"/>
    <x v="3"/>
    <x v="5"/>
    <x v="3"/>
    <x v="38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Bobcek"/>
    <s v="4"/>
    <s v="A0"/>
  </r>
  <r>
    <d v="2026-09-12T00:00:00"/>
    <x v="3"/>
    <x v="6"/>
    <x v="0"/>
    <x v="89"/>
    <n v="6.5"/>
    <n v="0"/>
    <n v="1"/>
    <n v="0"/>
    <n v="0"/>
    <n v="0"/>
    <n v="0"/>
    <n v="0"/>
    <n v="0"/>
    <n v="0"/>
    <m/>
    <n v="0"/>
    <x v="4"/>
    <n v="0"/>
    <m/>
    <s v=""/>
    <n v="5.5"/>
    <x v="0"/>
    <x v="0"/>
    <x v="0"/>
    <x v="0"/>
    <s v="4Bijlow"/>
    <s v="4AS PIPPERIA"/>
    <s v="P1"/>
  </r>
  <r>
    <d v="2026-09-12T00:00:00"/>
    <x v="3"/>
    <x v="6"/>
    <x v="1"/>
    <x v="90"/>
    <n v="6"/>
    <n v="1"/>
    <n v="0"/>
    <n v="0"/>
    <n v="0"/>
    <n v="0"/>
    <n v="0"/>
    <n v="0"/>
    <n v="1"/>
    <n v="0"/>
    <m/>
    <n v="0"/>
    <x v="9"/>
    <n v="1"/>
    <m/>
    <s v=""/>
    <n v="8"/>
    <x v="0"/>
    <x v="0"/>
    <x v="0"/>
    <x v="0"/>
    <s v="4Vasquez"/>
    <s v="4AC ASPARAGHESE"/>
    <s v="D0"/>
  </r>
  <r>
    <d v="2026-09-12T00:00:00"/>
    <x v="3"/>
    <x v="6"/>
    <x v="1"/>
    <x v="9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Ostigard"/>
    <s v="4"/>
    <s v="D0"/>
  </r>
  <r>
    <d v="2026-09-12T00:00:00"/>
    <x v="3"/>
    <x v="6"/>
    <x v="1"/>
    <x v="374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4Ehizibue"/>
    <s v="4"/>
    <s v="D0"/>
  </r>
  <r>
    <d v="2026-09-12T00:00:00"/>
    <x v="3"/>
    <x v="6"/>
    <x v="1"/>
    <x v="92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4Marcandalli"/>
    <s v="4AS PIPPERIA"/>
    <s v="D0"/>
  </r>
  <r>
    <d v="2026-09-12T00:00:00"/>
    <x v="3"/>
    <x v="6"/>
    <x v="2"/>
    <x v="38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El Shaarawy"/>
    <s v="4"/>
    <s v="C0"/>
  </r>
  <r>
    <d v="2026-09-12T00:00:00"/>
    <x v="3"/>
    <x v="6"/>
    <x v="2"/>
    <x v="95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Messias"/>
    <s v="4"/>
    <s v="C0"/>
  </r>
  <r>
    <d v="2026-09-12T00:00:00"/>
    <x v="3"/>
    <x v="6"/>
    <x v="2"/>
    <x v="96"/>
    <n v="5.5"/>
    <n v="0"/>
    <n v="0"/>
    <n v="0"/>
    <n v="0"/>
    <n v="0"/>
    <n v="0"/>
    <n v="0"/>
    <n v="0"/>
    <n v="0"/>
    <m/>
    <n v="0"/>
    <x v="11"/>
    <n v="0"/>
    <m/>
    <s v=""/>
    <n v="5.5"/>
    <x v="0"/>
    <x v="0"/>
    <x v="0"/>
    <x v="0"/>
    <s v="4Frendrup"/>
    <s v="4SAN GRIA"/>
    <s v="C0"/>
  </r>
  <r>
    <d v="2026-09-12T00:00:00"/>
    <x v="3"/>
    <x v="6"/>
    <x v="2"/>
    <x v="97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4Baldanzi"/>
    <s v="4PARTIZAN DEGRADO"/>
    <s v="C0"/>
  </r>
  <r>
    <d v="2026-09-12T00:00:00"/>
    <x v="3"/>
    <x v="6"/>
    <x v="2"/>
    <x v="98"/>
    <n v="6"/>
    <n v="0"/>
    <n v="0"/>
    <n v="0"/>
    <n v="0"/>
    <n v="0"/>
    <n v="0"/>
    <n v="0"/>
    <n v="0"/>
    <n v="1"/>
    <m/>
    <n v="0"/>
    <x v="8"/>
    <n v="0"/>
    <m/>
    <s v=""/>
    <n v="7"/>
    <x v="0"/>
    <x v="0"/>
    <x v="0"/>
    <x v="0"/>
    <s v="4Sow"/>
    <s v="4"/>
    <s v="C0"/>
  </r>
  <r>
    <d v="2026-09-12T00:00:00"/>
    <x v="3"/>
    <x v="6"/>
    <x v="2"/>
    <x v="9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Ellertsson"/>
    <s v="4"/>
    <s v="C0"/>
  </r>
  <r>
    <d v="2026-09-12T00:00:00"/>
    <x v="3"/>
    <x v="6"/>
    <x v="3"/>
    <x v="102"/>
    <n v="5"/>
    <n v="0"/>
    <n v="0"/>
    <n v="0"/>
    <n v="1"/>
    <n v="0"/>
    <n v="0"/>
    <n v="0"/>
    <n v="0"/>
    <n v="0"/>
    <m/>
    <n v="0"/>
    <x v="10"/>
    <n v="0"/>
    <m/>
    <s v=""/>
    <n v="2"/>
    <x v="0"/>
    <x v="0"/>
    <x v="0"/>
    <x v="0"/>
    <s v="4Colombo"/>
    <s v="4PARTIZAN DEGRADO"/>
    <s v="A0"/>
  </r>
  <r>
    <d v="2026-09-12T00:00:00"/>
    <x v="3"/>
    <x v="6"/>
    <x v="3"/>
    <x v="10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Vitinha O."/>
    <s v="4"/>
    <s v="A0"/>
  </r>
  <r>
    <d v="2026-09-12T00:00:00"/>
    <x v="3"/>
    <x v="6"/>
    <x v="3"/>
    <x v="309"/>
    <n v="5"/>
    <n v="0"/>
    <n v="0"/>
    <n v="0"/>
    <n v="0"/>
    <n v="0"/>
    <n v="0"/>
    <n v="0"/>
    <n v="0"/>
    <n v="0"/>
    <m/>
    <n v="0"/>
    <x v="11"/>
    <n v="0"/>
    <m/>
    <s v=""/>
    <n v="5"/>
    <x v="0"/>
    <x v="0"/>
    <x v="0"/>
    <x v="0"/>
    <s v="4Osmajic"/>
    <s v="4SAN GRIA"/>
    <s v="A0"/>
  </r>
  <r>
    <d v="2026-09-12T00:00:00"/>
    <x v="3"/>
    <x v="9"/>
    <x v="0"/>
    <x v="134"/>
    <n v="6.5"/>
    <n v="0"/>
    <n v="2"/>
    <n v="0"/>
    <n v="0"/>
    <n v="0"/>
    <n v="0"/>
    <n v="0"/>
    <n v="0"/>
    <n v="0"/>
    <m/>
    <n v="0"/>
    <x v="4"/>
    <n v="0"/>
    <m/>
    <s v=""/>
    <n v="4.5"/>
    <x v="0"/>
    <x v="0"/>
    <x v="0"/>
    <x v="0"/>
    <s v="4Mandas"/>
    <s v="4AS PIPPERIA"/>
    <s v="P2"/>
  </r>
  <r>
    <d v="2026-09-12T00:00:00"/>
    <x v="3"/>
    <x v="9"/>
    <x v="1"/>
    <x v="318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4Tavares N."/>
    <s v="4SAN GRIA"/>
    <s v="D0"/>
  </r>
  <r>
    <d v="2026-09-12T00:00:00"/>
    <x v="3"/>
    <x v="9"/>
    <x v="1"/>
    <x v="13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Provstgaard"/>
    <s v="4"/>
    <s v="D0"/>
  </r>
  <r>
    <d v="2026-09-12T00:00:00"/>
    <x v="3"/>
    <x v="9"/>
    <x v="1"/>
    <x v="13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Floriani Mussolini"/>
    <s v="4"/>
    <s v="D0"/>
  </r>
  <r>
    <d v="2026-09-12T00:00:00"/>
    <x v="3"/>
    <x v="9"/>
    <x v="1"/>
    <x v="38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Sutalo J."/>
    <s v="4"/>
    <s v="D0"/>
  </r>
  <r>
    <d v="2026-09-12T00:00:00"/>
    <x v="3"/>
    <x v="9"/>
    <x v="2"/>
    <x v="140"/>
    <n v="6.5"/>
    <n v="0"/>
    <n v="0"/>
    <n v="0"/>
    <n v="0"/>
    <n v="0"/>
    <n v="0"/>
    <n v="1"/>
    <n v="0"/>
    <n v="1"/>
    <m/>
    <n v="0"/>
    <x v="4"/>
    <n v="0"/>
    <m/>
    <s v=""/>
    <n v="7"/>
    <x v="0"/>
    <x v="0"/>
    <x v="0"/>
    <x v="0"/>
    <s v="4Zaccagni"/>
    <s v="4AS PIPPERIA"/>
    <s v="C0"/>
  </r>
  <r>
    <d v="2026-09-12T00:00:00"/>
    <x v="3"/>
    <x v="9"/>
    <x v="2"/>
    <x v="141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4Frattesi"/>
    <s v="4TRICCHETRACHT"/>
    <s v="C0"/>
  </r>
  <r>
    <d v="2026-09-12T00:00:00"/>
    <x v="3"/>
    <x v="9"/>
    <x v="2"/>
    <x v="143"/>
    <n v="7"/>
    <n v="1"/>
    <n v="0"/>
    <n v="0"/>
    <n v="0"/>
    <n v="0"/>
    <n v="0"/>
    <n v="0"/>
    <n v="0"/>
    <n v="0"/>
    <m/>
    <n v="0"/>
    <x v="2"/>
    <n v="1"/>
    <m/>
    <s v=""/>
    <n v="10"/>
    <x v="0"/>
    <x v="0"/>
    <x v="0"/>
    <x v="0"/>
    <s v="4Cancellieri"/>
    <s v="4ATL. IMPROVVISATO"/>
    <s v="C0"/>
  </r>
  <r>
    <d v="2026-09-12T00:00:00"/>
    <x v="3"/>
    <x v="9"/>
    <x v="2"/>
    <x v="308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4Gudmundsson A."/>
    <s v="4TRICCHETRACHT"/>
    <s v="C0"/>
  </r>
  <r>
    <d v="2026-09-12T00:00:00"/>
    <x v="3"/>
    <x v="9"/>
    <x v="2"/>
    <x v="319"/>
    <n v="6.5"/>
    <n v="0"/>
    <n v="0"/>
    <n v="0"/>
    <n v="0"/>
    <n v="0"/>
    <n v="0"/>
    <n v="1"/>
    <n v="0"/>
    <n v="0"/>
    <m/>
    <n v="0"/>
    <x v="8"/>
    <n v="0"/>
    <m/>
    <s v=""/>
    <n v="6"/>
    <x v="0"/>
    <x v="0"/>
    <x v="0"/>
    <x v="0"/>
    <s v="4Belahyane"/>
    <s v="4"/>
    <s v="C0"/>
  </r>
  <r>
    <d v="2026-09-12T00:00:00"/>
    <x v="3"/>
    <x v="9"/>
    <x v="2"/>
    <x v="144"/>
    <n v="5.5"/>
    <n v="0"/>
    <n v="0"/>
    <n v="0"/>
    <n v="0"/>
    <n v="0"/>
    <n v="0"/>
    <n v="0"/>
    <n v="0"/>
    <n v="0"/>
    <m/>
    <n v="0"/>
    <x v="5"/>
    <n v="0"/>
    <m/>
    <s v=""/>
    <n v="5.5"/>
    <x v="0"/>
    <x v="0"/>
    <x v="0"/>
    <x v="0"/>
    <s v="4Isaksen"/>
    <s v="4PESCICULINI"/>
    <s v="C0"/>
  </r>
  <r>
    <d v="2026-09-12T00:00:00"/>
    <x v="3"/>
    <x v="9"/>
    <x v="2"/>
    <x v="14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Taylor K."/>
    <s v="4"/>
    <s v="C0"/>
  </r>
  <r>
    <d v="2026-09-12T00:00:00"/>
    <x v="3"/>
    <x v="9"/>
    <x v="3"/>
    <x v="353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4Pinamonti"/>
    <s v="4AS PIPPERIA"/>
    <s v="A0"/>
  </r>
  <r>
    <d v="2026-09-12T00:00:00"/>
    <x v="3"/>
    <x v="9"/>
    <x v="3"/>
    <x v="378"/>
    <n v="7"/>
    <n v="1"/>
    <n v="0"/>
    <n v="0"/>
    <n v="0"/>
    <n v="0"/>
    <n v="0"/>
    <n v="0"/>
    <n v="0"/>
    <n v="0"/>
    <m/>
    <n v="0"/>
    <x v="8"/>
    <n v="1"/>
    <m/>
    <s v=""/>
    <n v="10"/>
    <x v="0"/>
    <x v="0"/>
    <x v="0"/>
    <x v="0"/>
    <s v="4Noslin"/>
    <s v="4"/>
    <s v="A0"/>
  </r>
  <r>
    <d v="2026-09-12T00:00:00"/>
    <x v="3"/>
    <x v="11"/>
    <x v="0"/>
    <x v="163"/>
    <n v="6.5"/>
    <n v="0"/>
    <n v="2"/>
    <n v="0"/>
    <n v="0"/>
    <n v="0"/>
    <n v="0"/>
    <n v="0"/>
    <n v="0"/>
    <n v="0"/>
    <m/>
    <n v="0"/>
    <x v="1"/>
    <n v="0"/>
    <m/>
    <s v=""/>
    <n v="4.5"/>
    <x v="0"/>
    <x v="0"/>
    <x v="0"/>
    <x v="0"/>
    <s v="4Maignan"/>
    <s v="4SESTO ASENSIO"/>
    <s v="P2"/>
  </r>
  <r>
    <d v="2026-09-12T00:00:00"/>
    <x v="3"/>
    <x v="11"/>
    <x v="1"/>
    <x v="165"/>
    <n v="5.5"/>
    <n v="0"/>
    <n v="0"/>
    <n v="0"/>
    <n v="0"/>
    <n v="0"/>
    <n v="0"/>
    <n v="1"/>
    <n v="0"/>
    <n v="0"/>
    <m/>
    <n v="0"/>
    <x v="1"/>
    <n v="0"/>
    <m/>
    <s v=""/>
    <n v="5"/>
    <x v="0"/>
    <x v="0"/>
    <x v="0"/>
    <x v="0"/>
    <s v="4Pavlovic"/>
    <s v="4SESTO ASENSIO"/>
    <s v="D0"/>
  </r>
  <r>
    <d v="2026-09-12T00:00:00"/>
    <x v="3"/>
    <x v="11"/>
    <x v="1"/>
    <x v="166"/>
    <n v="5"/>
    <n v="0"/>
    <n v="0"/>
    <n v="0"/>
    <n v="0"/>
    <n v="0"/>
    <n v="0"/>
    <n v="0"/>
    <n v="0"/>
    <n v="0"/>
    <m/>
    <n v="0"/>
    <x v="5"/>
    <n v="0"/>
    <m/>
    <s v=""/>
    <n v="5"/>
    <x v="0"/>
    <x v="0"/>
    <x v="0"/>
    <x v="0"/>
    <s v="4Estupinan"/>
    <s v="4PESCICULINI"/>
    <s v="D0"/>
  </r>
  <r>
    <d v="2026-09-12T00:00:00"/>
    <x v="3"/>
    <x v="11"/>
    <x v="1"/>
    <x v="167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4De Winter"/>
    <s v="4SESTO ASENSIO"/>
    <s v="D0"/>
  </r>
  <r>
    <d v="2026-09-12T00:00:00"/>
    <x v="3"/>
    <x v="11"/>
    <x v="1"/>
    <x v="168"/>
    <n v="5.5"/>
    <n v="0"/>
    <n v="0"/>
    <n v="0"/>
    <n v="0"/>
    <n v="0"/>
    <n v="0"/>
    <n v="1"/>
    <n v="0"/>
    <n v="0"/>
    <m/>
    <n v="0"/>
    <x v="11"/>
    <n v="0"/>
    <m/>
    <s v=""/>
    <n v="5"/>
    <x v="0"/>
    <x v="0"/>
    <x v="0"/>
    <x v="0"/>
    <s v="4Gila"/>
    <s v="4SAN GRIA"/>
    <s v="D0"/>
  </r>
  <r>
    <d v="2026-09-12T00:00:00"/>
    <x v="3"/>
    <x v="11"/>
    <x v="2"/>
    <x v="170"/>
    <n v="6.5"/>
    <n v="0"/>
    <n v="0"/>
    <n v="0"/>
    <n v="0"/>
    <n v="0"/>
    <n v="0"/>
    <n v="0"/>
    <n v="0"/>
    <n v="1"/>
    <m/>
    <n v="0"/>
    <x v="11"/>
    <n v="0"/>
    <m/>
    <s v=""/>
    <n v="7.5"/>
    <x v="0"/>
    <x v="0"/>
    <x v="0"/>
    <x v="0"/>
    <s v="4Rabiot"/>
    <s v="4SAN GRIA"/>
    <s v="C0"/>
  </r>
  <r>
    <d v="2026-09-12T00:00:00"/>
    <x v="3"/>
    <x v="11"/>
    <x v="2"/>
    <x v="390"/>
    <n v="6.5"/>
    <n v="0"/>
    <n v="0"/>
    <n v="0"/>
    <n v="0"/>
    <n v="0"/>
    <n v="0"/>
    <n v="1"/>
    <n v="0"/>
    <n v="1"/>
    <m/>
    <n v="0"/>
    <x v="9"/>
    <n v="0"/>
    <m/>
    <s v=""/>
    <n v="7"/>
    <x v="0"/>
    <x v="0"/>
    <x v="0"/>
    <x v="0"/>
    <s v="4Pulisic"/>
    <s v="4AC ASPARAGHESE"/>
    <s v="C0"/>
  </r>
  <r>
    <d v="2026-09-12T00:00:00"/>
    <x v="3"/>
    <x v="11"/>
    <x v="2"/>
    <x v="171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4Modric"/>
    <s v="4SESTO ASENSIO"/>
    <s v="C0"/>
  </r>
  <r>
    <d v="2026-09-12T00:00:00"/>
    <x v="3"/>
    <x v="11"/>
    <x v="2"/>
    <x v="172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Loftus-Cheek"/>
    <s v="4"/>
    <s v="C0"/>
  </r>
  <r>
    <d v="2026-09-12T00:00:00"/>
    <x v="3"/>
    <x v="11"/>
    <x v="2"/>
    <x v="173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4Chukwueze"/>
    <s v="4SAN GRIA"/>
    <s v="C0"/>
  </r>
  <r>
    <d v="2026-09-12T00:00:00"/>
    <x v="3"/>
    <x v="11"/>
    <x v="2"/>
    <x v="175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Musah"/>
    <s v="4"/>
    <s v="C0"/>
  </r>
  <r>
    <d v="2026-09-12T00:00:00"/>
    <x v="3"/>
    <x v="11"/>
    <x v="2"/>
    <x v="359"/>
    <n v="8"/>
    <n v="2"/>
    <n v="0"/>
    <n v="0"/>
    <n v="0"/>
    <n v="0"/>
    <n v="0"/>
    <n v="0"/>
    <n v="0"/>
    <n v="0"/>
    <m/>
    <n v="0"/>
    <x v="4"/>
    <n v="2"/>
    <m/>
    <s v=""/>
    <n v="14"/>
    <x v="0"/>
    <x v="0"/>
    <x v="0"/>
    <x v="0"/>
    <s v="4Moreira"/>
    <s v="4AS PIPPERIA"/>
    <s v="C0"/>
  </r>
  <r>
    <d v="2026-09-12T00:00:00"/>
    <x v="3"/>
    <x v="11"/>
    <x v="2"/>
    <x v="176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4Cissè A."/>
    <s v="4SESTO ASENSIO"/>
    <s v="C0"/>
  </r>
  <r>
    <d v="2026-09-12T00:00:00"/>
    <x v="3"/>
    <x v="11"/>
    <x v="3"/>
    <x v="178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4Ramos G."/>
    <s v="4AS PIPPERIA"/>
    <s v="A0"/>
  </r>
  <r>
    <d v="2026-09-12T00:00:00"/>
    <x v="3"/>
    <x v="19"/>
    <x v="0"/>
    <x v="282"/>
    <n v="6"/>
    <n v="0"/>
    <n v="4"/>
    <n v="0"/>
    <n v="0"/>
    <n v="0"/>
    <n v="0"/>
    <n v="0"/>
    <n v="0"/>
    <n v="0"/>
    <m/>
    <n v="0"/>
    <x v="8"/>
    <n v="0"/>
    <m/>
    <s v=""/>
    <n v="2"/>
    <x v="0"/>
    <x v="0"/>
    <x v="0"/>
    <x v="0"/>
    <s v="4Stankovic F."/>
    <s v="4"/>
    <s v="P4"/>
  </r>
  <r>
    <d v="2026-09-12T00:00:00"/>
    <x v="3"/>
    <x v="19"/>
    <x v="1"/>
    <x v="39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Juan Jesus"/>
    <s v="4"/>
    <s v="D0"/>
  </r>
  <r>
    <d v="2026-09-12T00:00:00"/>
    <x v="3"/>
    <x v="19"/>
    <x v="1"/>
    <x v="28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Correia T."/>
    <s v="4"/>
    <s v="D0"/>
  </r>
  <r>
    <d v="2026-09-12T00:00:00"/>
    <x v="3"/>
    <x v="19"/>
    <x v="1"/>
    <x v="284"/>
    <n v="4.5"/>
    <n v="0"/>
    <n v="0"/>
    <n v="0"/>
    <n v="0"/>
    <n v="0"/>
    <n v="0"/>
    <n v="0"/>
    <n v="0"/>
    <n v="1"/>
    <m/>
    <n v="0"/>
    <x v="8"/>
    <n v="0"/>
    <m/>
    <s v=""/>
    <n v="5.5"/>
    <x v="0"/>
    <x v="0"/>
    <x v="0"/>
    <x v="0"/>
    <s v="4Haps"/>
    <s v="4"/>
    <s v="D0"/>
  </r>
  <r>
    <d v="2026-09-12T00:00:00"/>
    <x v="3"/>
    <x v="19"/>
    <x v="1"/>
    <x v="349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4Sagrado"/>
    <s v="4"/>
    <s v="D0"/>
  </r>
  <r>
    <d v="2026-09-12T00:00:00"/>
    <x v="3"/>
    <x v="19"/>
    <x v="1"/>
    <x v="285"/>
    <n v="6.5"/>
    <n v="1"/>
    <n v="0"/>
    <n v="0"/>
    <n v="0"/>
    <n v="0"/>
    <n v="0"/>
    <n v="0"/>
    <n v="0"/>
    <n v="0"/>
    <m/>
    <n v="0"/>
    <x v="8"/>
    <n v="1"/>
    <m/>
    <s v=""/>
    <n v="9.5"/>
    <x v="0"/>
    <x v="0"/>
    <x v="0"/>
    <x v="0"/>
    <s v="4Hainaut"/>
    <s v="4"/>
    <s v="D0"/>
  </r>
  <r>
    <d v="2026-09-12T00:00:00"/>
    <x v="3"/>
    <x v="19"/>
    <x v="1"/>
    <x v="358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4Moreno M."/>
    <s v="4"/>
    <s v="D0"/>
  </r>
  <r>
    <d v="2026-09-12T00:00:00"/>
    <x v="3"/>
    <x v="19"/>
    <x v="1"/>
    <x v="286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4Schingtienne"/>
    <s v="4"/>
    <s v="D0"/>
  </r>
  <r>
    <d v="2026-09-12T00:00:00"/>
    <x v="3"/>
    <x v="19"/>
    <x v="2"/>
    <x v="343"/>
    <n v="5"/>
    <n v="0"/>
    <n v="0"/>
    <n v="0"/>
    <n v="0"/>
    <n v="0"/>
    <n v="0"/>
    <n v="1"/>
    <n v="0"/>
    <n v="0"/>
    <m/>
    <n v="0"/>
    <x v="8"/>
    <n v="0"/>
    <m/>
    <s v=""/>
    <n v="4.5"/>
    <x v="0"/>
    <x v="0"/>
    <x v="0"/>
    <x v="0"/>
    <s v="4Sohm"/>
    <s v="4"/>
    <s v="C0"/>
  </r>
  <r>
    <d v="2026-09-12T00:00:00"/>
    <x v="3"/>
    <x v="19"/>
    <x v="2"/>
    <x v="289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4Busio"/>
    <s v="4"/>
    <s v="C0"/>
  </r>
  <r>
    <d v="2026-09-12T00:00:00"/>
    <x v="3"/>
    <x v="19"/>
    <x v="2"/>
    <x v="392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Helgason"/>
    <s v="4"/>
    <s v="C0"/>
  </r>
  <r>
    <d v="2026-09-12T00:00:00"/>
    <x v="3"/>
    <x v="19"/>
    <x v="2"/>
    <x v="29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Perez K."/>
    <s v="4"/>
    <s v="C0"/>
  </r>
  <r>
    <d v="2026-09-12T00:00:00"/>
    <x v="3"/>
    <x v="19"/>
    <x v="3"/>
    <x v="293"/>
    <n v="5.5"/>
    <n v="0"/>
    <n v="0"/>
    <n v="0"/>
    <n v="0"/>
    <n v="0"/>
    <n v="0"/>
    <n v="0"/>
    <n v="0"/>
    <n v="0"/>
    <m/>
    <n v="0"/>
    <x v="3"/>
    <n v="0"/>
    <m/>
    <s v=""/>
    <n v="5.5"/>
    <x v="0"/>
    <x v="0"/>
    <x v="0"/>
    <x v="0"/>
    <s v="4Yeboah J."/>
    <s v="4TRICCHETRACHT"/>
    <s v="A0"/>
  </r>
  <r>
    <d v="2026-09-12T00:00:00"/>
    <x v="3"/>
    <x v="19"/>
    <x v="3"/>
    <x v="294"/>
    <n v="6.5"/>
    <n v="1"/>
    <n v="0"/>
    <n v="0"/>
    <n v="0"/>
    <n v="0"/>
    <n v="0"/>
    <n v="0"/>
    <n v="0"/>
    <n v="0"/>
    <m/>
    <n v="0"/>
    <x v="4"/>
    <n v="1"/>
    <m/>
    <s v=""/>
    <n v="9.5"/>
    <x v="0"/>
    <x v="0"/>
    <x v="0"/>
    <x v="0"/>
    <s v="4Adams A."/>
    <s v="4AS PIPPERIA"/>
    <s v="A0"/>
  </r>
  <r>
    <d v="2026-09-12T00:00:00"/>
    <x v="3"/>
    <x v="1"/>
    <x v="0"/>
    <x v="393"/>
    <n v="6"/>
    <n v="0"/>
    <n v="1"/>
    <n v="0"/>
    <n v="0"/>
    <n v="0"/>
    <n v="0"/>
    <n v="0"/>
    <n v="0"/>
    <n v="0"/>
    <m/>
    <n v="0"/>
    <x v="8"/>
    <n v="0"/>
    <m/>
    <s v=""/>
    <n v="5"/>
    <x v="0"/>
    <x v="0"/>
    <x v="0"/>
    <x v="0"/>
    <s v="4Pessina Mas."/>
    <s v="4"/>
    <s v="P1"/>
  </r>
  <r>
    <d v="2026-09-12T00:00:00"/>
    <x v="3"/>
    <x v="1"/>
    <x v="1"/>
    <x v="1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Miranda J."/>
    <s v="4"/>
    <s v="D0"/>
  </r>
  <r>
    <d v="2026-09-12T00:00:00"/>
    <x v="3"/>
    <x v="1"/>
    <x v="1"/>
    <x v="34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Theate"/>
    <s v="4"/>
    <s v="D0"/>
  </r>
  <r>
    <d v="2026-09-12T00:00:00"/>
    <x v="3"/>
    <x v="1"/>
    <x v="1"/>
    <x v="18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4Holm"/>
    <s v="4SESTO ASENSIO"/>
    <s v="D0"/>
  </r>
  <r>
    <d v="2026-09-12T00:00:00"/>
    <x v="3"/>
    <x v="1"/>
    <x v="1"/>
    <x v="19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Heggem"/>
    <s v="4"/>
    <s v="D0"/>
  </r>
  <r>
    <d v="2026-09-12T00:00:00"/>
    <x v="3"/>
    <x v="1"/>
    <x v="2"/>
    <x v="21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4Bernardeschi"/>
    <s v="4AC ASPARAGHESE"/>
    <s v="C0"/>
  </r>
  <r>
    <d v="2026-09-12T00:00:00"/>
    <x v="3"/>
    <x v="1"/>
    <x v="2"/>
    <x v="23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4Odgaard"/>
    <s v="4AS PIPPERIA"/>
    <s v="C0"/>
  </r>
  <r>
    <d v="2026-09-12T00:00:00"/>
    <x v="3"/>
    <x v="1"/>
    <x v="2"/>
    <x v="24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Cambiaghi"/>
    <s v="4"/>
    <s v="C0"/>
  </r>
  <r>
    <d v="2026-09-12T00:00:00"/>
    <x v="3"/>
    <x v="1"/>
    <x v="2"/>
    <x v="29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Pobega"/>
    <s v="4"/>
    <s v="C0"/>
  </r>
  <r>
    <d v="2026-09-12T00:00:00"/>
    <x v="3"/>
    <x v="1"/>
    <x v="2"/>
    <x v="25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Ferguson"/>
    <s v="4"/>
    <s v="C0"/>
  </r>
  <r>
    <d v="2026-09-12T00:00:00"/>
    <x v="3"/>
    <x v="1"/>
    <x v="2"/>
    <x v="35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Moro N."/>
    <s v="4"/>
    <s v="C0"/>
  </r>
  <r>
    <d v="2026-09-12T00:00:00"/>
    <x v="3"/>
    <x v="1"/>
    <x v="2"/>
    <x v="298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4Amondarain"/>
    <s v="4"/>
    <s v="C0"/>
  </r>
  <r>
    <d v="2026-09-12T00:00:00"/>
    <x v="3"/>
    <x v="1"/>
    <x v="2"/>
    <x v="365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4Libra"/>
    <s v="4"/>
    <s v="C0"/>
  </r>
  <r>
    <d v="2026-09-12T00:00:00"/>
    <x v="3"/>
    <x v="1"/>
    <x v="3"/>
    <x v="2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Piccoli"/>
    <s v="4"/>
    <s v="A0"/>
  </r>
  <r>
    <d v="2026-09-12T00:00:00"/>
    <x v="3"/>
    <x v="21"/>
    <x v="0"/>
    <x v="394"/>
    <n v="6"/>
    <n v="0"/>
    <n v="1"/>
    <n v="0"/>
    <n v="0"/>
    <n v="0"/>
    <n v="0"/>
    <n v="0"/>
    <n v="0"/>
    <n v="0"/>
    <m/>
    <n v="0"/>
    <x v="8"/>
    <n v="0"/>
    <m/>
    <s v=""/>
    <n v="5"/>
    <x v="0"/>
    <x v="0"/>
    <x v="0"/>
    <x v="0"/>
    <s v="4Sanchez Ro."/>
    <s v="4"/>
    <s v="P1"/>
  </r>
  <r>
    <d v="2026-09-12T00:00:00"/>
    <x v="3"/>
    <x v="3"/>
    <x v="1"/>
    <x v="46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4Couto"/>
    <s v="4AS PIPPERIA"/>
    <s v="D0"/>
  </r>
  <r>
    <d v="2026-09-12T00:00:00"/>
    <x v="3"/>
    <x v="3"/>
    <x v="1"/>
    <x v="48"/>
    <n v="7"/>
    <n v="1"/>
    <n v="0"/>
    <n v="0"/>
    <n v="0"/>
    <n v="0"/>
    <n v="0"/>
    <n v="0"/>
    <n v="0"/>
    <n v="0"/>
    <m/>
    <n v="0"/>
    <x v="10"/>
    <n v="1"/>
    <m/>
    <s v=""/>
    <n v="10"/>
    <x v="0"/>
    <x v="0"/>
    <x v="0"/>
    <x v="0"/>
    <s v="4Ramon"/>
    <s v="4PARTIZAN DEGRADO"/>
    <s v="D0"/>
  </r>
  <r>
    <d v="2026-09-12T00:00:00"/>
    <x v="3"/>
    <x v="3"/>
    <x v="1"/>
    <x v="30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Kempf"/>
    <s v="4"/>
    <s v="D0"/>
  </r>
  <r>
    <d v="2026-09-12T00:00:00"/>
    <x v="3"/>
    <x v="3"/>
    <x v="1"/>
    <x v="395"/>
    <n v="6.5"/>
    <n v="1"/>
    <n v="0"/>
    <n v="0"/>
    <n v="0"/>
    <n v="0"/>
    <n v="0"/>
    <n v="0"/>
    <n v="0"/>
    <n v="0"/>
    <n v="1"/>
    <n v="0"/>
    <x v="3"/>
    <n v="1"/>
    <m/>
    <s v=""/>
    <n v="10.5"/>
    <x v="0"/>
    <x v="0"/>
    <x v="0"/>
    <x v="0"/>
    <s v="4Kaiki"/>
    <s v="4TRICCHETRACHT"/>
    <s v="D0"/>
  </r>
  <r>
    <d v="2026-09-12T00:00:00"/>
    <x v="3"/>
    <x v="3"/>
    <x v="2"/>
    <x v="304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4Caqueret"/>
    <s v="4"/>
    <s v="C0"/>
  </r>
  <r>
    <d v="2026-09-12T00:00:00"/>
    <x v="3"/>
    <x v="3"/>
    <x v="2"/>
    <x v="49"/>
    <n v="6.5"/>
    <n v="0"/>
    <n v="0"/>
    <n v="0"/>
    <n v="0"/>
    <n v="0"/>
    <n v="0"/>
    <n v="0"/>
    <n v="0"/>
    <n v="0"/>
    <m/>
    <n v="0"/>
    <x v="10"/>
    <n v="0"/>
    <m/>
    <s v=""/>
    <n v="6.5"/>
    <x v="0"/>
    <x v="0"/>
    <x v="0"/>
    <x v="0"/>
    <s v="4Da Cunha"/>
    <s v="4PARTIZAN DEGRADO"/>
    <s v="C0"/>
  </r>
  <r>
    <d v="2026-09-12T00:00:00"/>
    <x v="3"/>
    <x v="3"/>
    <x v="2"/>
    <x v="50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4Perrone"/>
    <s v="4SAN GRIA"/>
    <s v="C0"/>
  </r>
  <r>
    <d v="2026-09-12T00:00:00"/>
    <x v="3"/>
    <x v="3"/>
    <x v="2"/>
    <x v="52"/>
    <n v="6.5"/>
    <n v="0"/>
    <n v="0"/>
    <n v="0"/>
    <n v="0"/>
    <n v="0"/>
    <n v="0"/>
    <n v="0"/>
    <n v="0"/>
    <n v="1"/>
    <m/>
    <n v="0"/>
    <x v="4"/>
    <n v="0"/>
    <m/>
    <s v=""/>
    <n v="7.5"/>
    <x v="0"/>
    <x v="0"/>
    <x v="0"/>
    <x v="0"/>
    <s v="4Paz N."/>
    <s v="4AS PIPPERIA"/>
    <s v="C0"/>
  </r>
  <r>
    <d v="2026-09-12T00:00:00"/>
    <x v="3"/>
    <x v="3"/>
    <x v="2"/>
    <x v="53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4Baturina"/>
    <s v="4SESTO ASENSIO"/>
    <s v="C0"/>
  </r>
  <r>
    <d v="2026-09-12T00:00:00"/>
    <x v="3"/>
    <x v="3"/>
    <x v="2"/>
    <x v="5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Rodriguez Je."/>
    <s v="4"/>
    <s v="C0"/>
  </r>
  <r>
    <d v="2026-09-12T00:00:00"/>
    <x v="3"/>
    <x v="3"/>
    <x v="3"/>
    <x v="71"/>
    <n v="5.5"/>
    <n v="0"/>
    <n v="0"/>
    <n v="0"/>
    <n v="0"/>
    <n v="0"/>
    <n v="0"/>
    <n v="0"/>
    <n v="0"/>
    <n v="0"/>
    <m/>
    <n v="0"/>
    <x v="5"/>
    <n v="0"/>
    <m/>
    <s v=""/>
    <n v="5.5"/>
    <x v="0"/>
    <x v="0"/>
    <x v="0"/>
    <x v="0"/>
    <s v="4Kean"/>
    <s v="4PESCICULINI"/>
    <s v="A0"/>
  </r>
  <r>
    <d v="2026-09-12T00:00:00"/>
    <x v="3"/>
    <x v="3"/>
    <x v="3"/>
    <x v="56"/>
    <n v="6.5"/>
    <n v="0"/>
    <n v="0"/>
    <n v="0"/>
    <n v="0"/>
    <n v="0"/>
    <n v="0"/>
    <n v="0"/>
    <n v="0"/>
    <n v="0"/>
    <m/>
    <n v="0"/>
    <x v="5"/>
    <n v="0"/>
    <m/>
    <s v=""/>
    <n v="6.5"/>
    <x v="0"/>
    <x v="0"/>
    <x v="0"/>
    <x v="0"/>
    <s v="4Diao"/>
    <s v="4PESCICULINI"/>
    <s v="A0"/>
  </r>
  <r>
    <d v="2026-09-12T00:00:00"/>
    <x v="3"/>
    <x v="3"/>
    <x v="3"/>
    <x v="57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4Douvikas"/>
    <s v="4SESTO ASENSIO"/>
    <s v="A0"/>
  </r>
  <r>
    <d v="2026-09-12T00:00:00"/>
    <x v="3"/>
    <x v="7"/>
    <x v="0"/>
    <x v="104"/>
    <n v="5"/>
    <n v="0"/>
    <n v="3"/>
    <n v="0"/>
    <n v="0"/>
    <n v="0"/>
    <n v="0"/>
    <n v="0"/>
    <n v="0"/>
    <n v="0"/>
    <m/>
    <n v="0"/>
    <x v="8"/>
    <n v="0"/>
    <m/>
    <s v=""/>
    <n v="2"/>
    <x v="0"/>
    <x v="0"/>
    <x v="0"/>
    <x v="0"/>
    <s v="4Martinez Jo."/>
    <s v="4"/>
    <s v="P3"/>
  </r>
  <r>
    <d v="2026-09-12T00:00:00"/>
    <x v="3"/>
    <x v="7"/>
    <x v="1"/>
    <x v="105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4Dimarco"/>
    <s v="4TRICCHETRACHT"/>
    <s v="D0"/>
  </r>
  <r>
    <d v="2026-09-12T00:00:00"/>
    <x v="3"/>
    <x v="7"/>
    <x v="1"/>
    <x v="106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4Bastoni"/>
    <s v="4SAN GRIA"/>
    <s v="D0"/>
  </r>
  <r>
    <d v="2026-09-12T00:00:00"/>
    <x v="3"/>
    <x v="7"/>
    <x v="1"/>
    <x v="10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Stones"/>
    <s v="4"/>
    <s v="D0"/>
  </r>
  <r>
    <d v="2026-09-12T00:00:00"/>
    <x v="3"/>
    <x v="7"/>
    <x v="1"/>
    <x v="10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Akanji"/>
    <s v="4"/>
    <s v="D0"/>
  </r>
  <r>
    <d v="2026-09-12T00:00:00"/>
    <x v="3"/>
    <x v="7"/>
    <x v="1"/>
    <x v="310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4Pavard"/>
    <s v="4ATL. IMPROVVISATO"/>
    <s v="D0"/>
  </r>
  <r>
    <d v="2026-09-12T00:00:00"/>
    <x v="3"/>
    <x v="7"/>
    <x v="1"/>
    <x v="362"/>
    <n v="7.5"/>
    <n v="1"/>
    <n v="0"/>
    <n v="0"/>
    <n v="0"/>
    <n v="0"/>
    <n v="0"/>
    <n v="0"/>
    <n v="0"/>
    <n v="0"/>
    <m/>
    <n v="0"/>
    <x v="5"/>
    <n v="1"/>
    <m/>
    <s v=""/>
    <n v="10.5"/>
    <x v="0"/>
    <x v="0"/>
    <x v="0"/>
    <x v="0"/>
    <s v="4Carlos Augusto"/>
    <s v="4PESCICULINI"/>
    <s v="D0"/>
  </r>
  <r>
    <d v="2026-09-12T00:00:00"/>
    <x v="3"/>
    <x v="7"/>
    <x v="2"/>
    <x v="110"/>
    <n v="7"/>
    <n v="0"/>
    <n v="0"/>
    <n v="0"/>
    <n v="0"/>
    <n v="0"/>
    <n v="0"/>
    <n v="0"/>
    <n v="0"/>
    <n v="1"/>
    <m/>
    <n v="0"/>
    <x v="2"/>
    <n v="0"/>
    <m/>
    <s v=""/>
    <n v="8"/>
    <x v="0"/>
    <x v="0"/>
    <x v="0"/>
    <x v="0"/>
    <s v="4Zielinski"/>
    <s v="4ATL. IMPROVVISATO"/>
    <s v="C0"/>
  </r>
  <r>
    <d v="2026-09-12T00:00:00"/>
    <x v="3"/>
    <x v="7"/>
    <x v="2"/>
    <x v="111"/>
    <n v="7.5"/>
    <n v="1"/>
    <n v="0"/>
    <n v="0"/>
    <n v="0"/>
    <n v="0"/>
    <n v="0"/>
    <n v="0"/>
    <n v="0"/>
    <n v="0"/>
    <m/>
    <n v="0"/>
    <x v="5"/>
    <n v="1"/>
    <m/>
    <s v=""/>
    <n v="10.5"/>
    <x v="0"/>
    <x v="0"/>
    <x v="0"/>
    <x v="0"/>
    <s v="4Barella"/>
    <s v="4PESCICULINI"/>
    <s v="C0"/>
  </r>
  <r>
    <d v="2026-09-12T00:00:00"/>
    <x v="3"/>
    <x v="7"/>
    <x v="2"/>
    <x v="396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4Mkhitaryan"/>
    <s v="4"/>
    <s v="C0"/>
  </r>
  <r>
    <d v="2026-09-12T00:00:00"/>
    <x v="3"/>
    <x v="7"/>
    <x v="2"/>
    <x v="311"/>
    <n v="6.5"/>
    <n v="0"/>
    <n v="0"/>
    <n v="0"/>
    <n v="0"/>
    <n v="0"/>
    <n v="0"/>
    <n v="0"/>
    <n v="0"/>
    <n v="0"/>
    <m/>
    <n v="0"/>
    <x v="10"/>
    <n v="0"/>
    <m/>
    <s v=""/>
    <n v="6.5"/>
    <x v="0"/>
    <x v="0"/>
    <x v="0"/>
    <x v="0"/>
    <s v="4Jones C."/>
    <s v="4PARTIZAN DEGRADO"/>
    <s v="C0"/>
  </r>
  <r>
    <d v="2026-09-12T00:00:00"/>
    <x v="3"/>
    <x v="7"/>
    <x v="2"/>
    <x v="114"/>
    <n v="6.5"/>
    <n v="0"/>
    <n v="0"/>
    <n v="0"/>
    <n v="0"/>
    <n v="0"/>
    <n v="0"/>
    <n v="0"/>
    <n v="0"/>
    <n v="1"/>
    <m/>
    <n v="0"/>
    <x v="10"/>
    <n v="0"/>
    <m/>
    <s v=""/>
    <n v="7.5"/>
    <x v="0"/>
    <x v="0"/>
    <x v="0"/>
    <x v="0"/>
    <s v="4Diouf"/>
    <s v="4PARTIZAN DEGRADO"/>
    <s v="C0"/>
  </r>
  <r>
    <d v="2026-09-12T00:00:00"/>
    <x v="3"/>
    <x v="7"/>
    <x v="3"/>
    <x v="312"/>
    <n v="7.5"/>
    <n v="1"/>
    <n v="0"/>
    <n v="0"/>
    <n v="0"/>
    <n v="0"/>
    <n v="0"/>
    <n v="0"/>
    <n v="0"/>
    <n v="1"/>
    <m/>
    <n v="0"/>
    <x v="8"/>
    <n v="1"/>
    <m/>
    <s v=""/>
    <n v="11.5"/>
    <x v="0"/>
    <x v="0"/>
    <x v="0"/>
    <x v="0"/>
    <s v="4Thuram"/>
    <s v="4"/>
    <s v="A0"/>
  </r>
  <r>
    <d v="2026-09-12T00:00:00"/>
    <x v="3"/>
    <x v="7"/>
    <x v="3"/>
    <x v="117"/>
    <n v="7"/>
    <n v="1"/>
    <n v="0"/>
    <n v="0"/>
    <n v="0"/>
    <n v="0"/>
    <n v="0"/>
    <n v="0"/>
    <n v="0"/>
    <n v="0"/>
    <m/>
    <n v="0"/>
    <x v="2"/>
    <n v="1"/>
    <m/>
    <s v=""/>
    <n v="10"/>
    <x v="0"/>
    <x v="0"/>
    <x v="0"/>
    <x v="0"/>
    <s v="4Bonny"/>
    <s v="4ATL. IMPROVVISATO"/>
    <s v="A0"/>
  </r>
  <r>
    <d v="2026-09-12T00:00:00"/>
    <x v="3"/>
    <x v="7"/>
    <x v="3"/>
    <x v="118"/>
    <n v="7"/>
    <n v="1"/>
    <n v="0"/>
    <n v="0"/>
    <n v="0"/>
    <n v="0"/>
    <n v="0"/>
    <n v="0"/>
    <n v="0"/>
    <n v="0"/>
    <n v="1"/>
    <n v="0"/>
    <x v="2"/>
    <n v="1"/>
    <m/>
    <s v=""/>
    <n v="11"/>
    <x v="0"/>
    <x v="0"/>
    <x v="0"/>
    <x v="0"/>
    <s v="4Esposito F.P."/>
    <s v="4ATL. IMPROVVISATO"/>
    <s v="A0"/>
  </r>
  <r>
    <d v="2026-09-12T00:00:00"/>
    <x v="3"/>
    <x v="8"/>
    <x v="0"/>
    <x v="120"/>
    <n v="6"/>
    <n v="0"/>
    <n v="3"/>
    <n v="0"/>
    <n v="0"/>
    <n v="0"/>
    <n v="0"/>
    <n v="0"/>
    <n v="0"/>
    <n v="0"/>
    <m/>
    <n v="0"/>
    <x v="3"/>
    <n v="0"/>
    <m/>
    <s v=""/>
    <n v="3"/>
    <x v="0"/>
    <x v="0"/>
    <x v="0"/>
    <x v="0"/>
    <s v="4Vicario"/>
    <s v="4TRICCHETRACHT"/>
    <s v="P3"/>
  </r>
  <r>
    <d v="2026-09-12T00:00:00"/>
    <x v="3"/>
    <x v="8"/>
    <x v="1"/>
    <x v="121"/>
    <n v="5"/>
    <n v="0"/>
    <n v="0"/>
    <n v="0"/>
    <n v="0"/>
    <n v="0"/>
    <n v="0"/>
    <n v="0"/>
    <n v="0"/>
    <n v="0"/>
    <m/>
    <n v="0"/>
    <x v="1"/>
    <n v="0"/>
    <m/>
    <s v=""/>
    <n v="5"/>
    <x v="0"/>
    <x v="0"/>
    <x v="0"/>
    <x v="0"/>
    <s v="4Bremer"/>
    <s v="4SESTO ASENSIO"/>
    <s v="D0"/>
  </r>
  <r>
    <d v="2026-09-12T00:00:00"/>
    <x v="3"/>
    <x v="8"/>
    <x v="1"/>
    <x v="122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Celik"/>
    <s v="4"/>
    <s v="D0"/>
  </r>
  <r>
    <d v="2026-09-12T00:00:00"/>
    <x v="3"/>
    <x v="8"/>
    <x v="1"/>
    <x v="123"/>
    <n v="5"/>
    <n v="0"/>
    <n v="0"/>
    <n v="0"/>
    <n v="0"/>
    <n v="0"/>
    <n v="0"/>
    <n v="0"/>
    <n v="0"/>
    <n v="0"/>
    <m/>
    <n v="0"/>
    <x v="9"/>
    <n v="0"/>
    <m/>
    <s v=""/>
    <n v="5"/>
    <x v="0"/>
    <x v="0"/>
    <x v="0"/>
    <x v="0"/>
    <s v="4Kalulu"/>
    <s v="4AC ASPARAGHESE"/>
    <s v="D0"/>
  </r>
  <r>
    <d v="2026-09-12T00:00:00"/>
    <x v="3"/>
    <x v="8"/>
    <x v="1"/>
    <x v="313"/>
    <n v="6"/>
    <n v="0"/>
    <n v="0"/>
    <n v="0"/>
    <n v="0"/>
    <n v="0"/>
    <n v="0"/>
    <n v="1"/>
    <n v="0"/>
    <n v="0"/>
    <m/>
    <n v="0"/>
    <x v="1"/>
    <n v="0"/>
    <m/>
    <s v=""/>
    <n v="5.5"/>
    <x v="0"/>
    <x v="0"/>
    <x v="0"/>
    <x v="0"/>
    <s v="4Lucumì"/>
    <s v="4SESTO ASENSIO"/>
    <s v="D0"/>
  </r>
  <r>
    <d v="2026-09-12T00:00:00"/>
    <x v="3"/>
    <x v="8"/>
    <x v="1"/>
    <x v="125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4Kelly L."/>
    <s v="4"/>
    <s v="D0"/>
  </r>
  <r>
    <d v="2026-09-12T00:00:00"/>
    <x v="3"/>
    <x v="8"/>
    <x v="2"/>
    <x v="314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4Gonzalez N."/>
    <s v="4SESTO ASENSIO"/>
    <s v="C0"/>
  </r>
  <r>
    <d v="2026-09-12T00:00:00"/>
    <x v="3"/>
    <x v="8"/>
    <x v="2"/>
    <x v="127"/>
    <n v="4.5"/>
    <n v="0"/>
    <n v="0"/>
    <n v="0"/>
    <n v="0"/>
    <n v="0"/>
    <n v="0"/>
    <n v="1"/>
    <n v="0"/>
    <n v="0"/>
    <m/>
    <n v="0"/>
    <x v="4"/>
    <n v="0"/>
    <m/>
    <s v=""/>
    <n v="4"/>
    <x v="0"/>
    <x v="0"/>
    <x v="0"/>
    <x v="0"/>
    <s v="4Douglas Luiz"/>
    <s v="4AS PIPPERIA"/>
    <s v="C0"/>
  </r>
  <r>
    <d v="2026-09-12T00:00:00"/>
    <x v="3"/>
    <x v="21"/>
    <x v="2"/>
    <x v="39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Sarr P."/>
    <s v="4"/>
    <s v="C0"/>
  </r>
  <r>
    <d v="2026-09-12T00:00:00"/>
    <x v="3"/>
    <x v="8"/>
    <x v="2"/>
    <x v="315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4Koopmeiners"/>
    <s v="4SESTO ASENSIO"/>
    <s v="C0"/>
  </r>
  <r>
    <d v="2026-09-12T00:00:00"/>
    <x v="3"/>
    <x v="8"/>
    <x v="2"/>
    <x v="129"/>
    <n v="7.5"/>
    <n v="2"/>
    <n v="0"/>
    <n v="0"/>
    <n v="0"/>
    <n v="0"/>
    <n v="0"/>
    <n v="0"/>
    <n v="0"/>
    <n v="0"/>
    <m/>
    <n v="0"/>
    <x v="8"/>
    <n v="2"/>
    <m/>
    <s v=""/>
    <n v="13.5"/>
    <x v="0"/>
    <x v="0"/>
    <x v="0"/>
    <x v="0"/>
    <s v="4Zhegrova"/>
    <s v="4"/>
    <s v="C0"/>
  </r>
  <r>
    <d v="2026-09-12T00:00:00"/>
    <x v="3"/>
    <x v="8"/>
    <x v="2"/>
    <x v="130"/>
    <n v="5.5"/>
    <n v="0"/>
    <n v="0"/>
    <n v="0"/>
    <n v="0"/>
    <n v="0"/>
    <n v="0"/>
    <n v="0"/>
    <n v="0"/>
    <n v="0"/>
    <m/>
    <n v="0"/>
    <x v="11"/>
    <n v="0"/>
    <m/>
    <s v=""/>
    <n v="5.5"/>
    <x v="0"/>
    <x v="0"/>
    <x v="0"/>
    <x v="0"/>
    <s v="4Conceicao"/>
    <s v="4SAN GRIA"/>
    <s v="C0"/>
  </r>
  <r>
    <d v="2026-09-12T00:00:00"/>
    <x v="3"/>
    <x v="8"/>
    <x v="2"/>
    <x v="316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4Alajbegovic"/>
    <s v="4AC ASPARAGHESE"/>
    <s v="C0"/>
  </r>
  <r>
    <d v="2026-09-12T00:00:00"/>
    <x v="3"/>
    <x v="8"/>
    <x v="3"/>
    <x v="132"/>
    <n v="5"/>
    <n v="0"/>
    <n v="0"/>
    <n v="0"/>
    <n v="0"/>
    <n v="0"/>
    <n v="0"/>
    <n v="0"/>
    <n v="0"/>
    <n v="1"/>
    <m/>
    <n v="0"/>
    <x v="11"/>
    <n v="0"/>
    <m/>
    <s v=""/>
    <n v="6"/>
    <x v="0"/>
    <x v="0"/>
    <x v="0"/>
    <x v="0"/>
    <s v="4Kolo Muani"/>
    <s v="4SAN GRIA"/>
    <s v="A0"/>
  </r>
  <r>
    <d v="2026-09-12T00:00:00"/>
    <x v="3"/>
    <x v="8"/>
    <x v="3"/>
    <x v="373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4Woltemade"/>
    <s v="4ATL. IMPROVVISATO"/>
    <s v="A0"/>
  </r>
  <r>
    <d v="2026-09-12T00:00:00"/>
    <x v="3"/>
    <x v="10"/>
    <x v="0"/>
    <x v="148"/>
    <n v="5.5"/>
    <n v="0"/>
    <n v="2"/>
    <n v="0"/>
    <n v="0"/>
    <n v="0"/>
    <n v="0"/>
    <n v="0"/>
    <n v="0"/>
    <n v="0"/>
    <m/>
    <n v="0"/>
    <x v="10"/>
    <n v="0"/>
    <m/>
    <s v=""/>
    <n v="3.5"/>
    <x v="0"/>
    <x v="0"/>
    <x v="0"/>
    <x v="0"/>
    <s v="4Falcone"/>
    <s v="4PARTIZAN DEGRADO"/>
    <s v="P2"/>
  </r>
  <r>
    <d v="2026-09-12T00:00:00"/>
    <x v="3"/>
    <x v="10"/>
    <x v="1"/>
    <x v="149"/>
    <n v="6.5"/>
    <n v="0"/>
    <n v="0"/>
    <n v="0"/>
    <n v="0"/>
    <n v="0"/>
    <n v="0"/>
    <n v="0"/>
    <n v="0"/>
    <n v="0"/>
    <m/>
    <n v="0"/>
    <x v="2"/>
    <n v="0"/>
    <m/>
    <s v=""/>
    <n v="6.5"/>
    <x v="0"/>
    <x v="0"/>
    <x v="0"/>
    <x v="0"/>
    <s v="4Gallo"/>
    <s v="4ATL. IMPROVVISATO"/>
    <s v="D0"/>
  </r>
  <r>
    <d v="2026-09-12T00:00:00"/>
    <x v="3"/>
    <x v="10"/>
    <x v="1"/>
    <x v="151"/>
    <n v="7"/>
    <n v="1"/>
    <n v="0"/>
    <n v="0"/>
    <n v="0"/>
    <n v="0"/>
    <n v="0"/>
    <n v="0"/>
    <n v="0"/>
    <n v="0"/>
    <m/>
    <n v="0"/>
    <x v="10"/>
    <n v="1"/>
    <m/>
    <s v=""/>
    <n v="10"/>
    <x v="0"/>
    <x v="0"/>
    <x v="0"/>
    <x v="0"/>
    <s v="4Tiago Gabriel"/>
    <s v="4PARTIZAN DEGRADO"/>
    <s v="D0"/>
  </r>
  <r>
    <d v="2026-09-12T00:00:00"/>
    <x v="3"/>
    <x v="10"/>
    <x v="1"/>
    <x v="152"/>
    <n v="6.5"/>
    <n v="0"/>
    <n v="0"/>
    <n v="0"/>
    <n v="0"/>
    <n v="0"/>
    <n v="0"/>
    <n v="1"/>
    <n v="0"/>
    <n v="1"/>
    <m/>
    <n v="0"/>
    <x v="3"/>
    <n v="0"/>
    <m/>
    <s v=""/>
    <n v="7"/>
    <x v="0"/>
    <x v="0"/>
    <x v="0"/>
    <x v="0"/>
    <s v="4Veiga D."/>
    <s v="4TRICCHETRACHT"/>
    <s v="D0"/>
  </r>
  <r>
    <d v="2026-09-12T00:00:00"/>
    <x v="3"/>
    <x v="10"/>
    <x v="1"/>
    <x v="15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Siebert"/>
    <s v="4"/>
    <s v="D0"/>
  </r>
  <r>
    <d v="2026-09-12T00:00:00"/>
    <x v="3"/>
    <x v="10"/>
    <x v="2"/>
    <x v="320"/>
    <n v="7"/>
    <n v="0"/>
    <n v="0"/>
    <n v="0"/>
    <n v="0"/>
    <n v="0"/>
    <n v="0"/>
    <n v="0"/>
    <n v="0"/>
    <n v="2"/>
    <m/>
    <n v="0"/>
    <x v="8"/>
    <n v="0"/>
    <m/>
    <s v=""/>
    <n v="9"/>
    <x v="0"/>
    <x v="0"/>
    <x v="0"/>
    <x v="0"/>
    <s v="4Ilic"/>
    <s v="4"/>
    <s v="C0"/>
  </r>
  <r>
    <d v="2026-09-12T00:00:00"/>
    <x v="3"/>
    <x v="10"/>
    <x v="2"/>
    <x v="155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Maleh"/>
    <s v="4"/>
    <s v="C0"/>
  </r>
  <r>
    <d v="2026-09-12T00:00:00"/>
    <x v="3"/>
    <x v="10"/>
    <x v="2"/>
    <x v="156"/>
    <n v="7.5"/>
    <n v="2"/>
    <n v="0"/>
    <n v="0"/>
    <n v="0"/>
    <n v="0"/>
    <n v="0"/>
    <n v="0"/>
    <n v="0"/>
    <n v="0"/>
    <n v="1"/>
    <n v="0"/>
    <x v="8"/>
    <n v="2"/>
    <m/>
    <s v=""/>
    <n v="14.5"/>
    <x v="0"/>
    <x v="0"/>
    <x v="0"/>
    <x v="0"/>
    <s v="4Coulibaly L."/>
    <s v="4"/>
    <s v="C0"/>
  </r>
  <r>
    <d v="2026-09-12T00:00:00"/>
    <x v="3"/>
    <x v="10"/>
    <x v="2"/>
    <x v="15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Pierotti"/>
    <s v="4"/>
    <s v="C0"/>
  </r>
  <r>
    <d v="2026-09-12T00:00:00"/>
    <x v="3"/>
    <x v="10"/>
    <x v="2"/>
    <x v="15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Ngom"/>
    <s v="4"/>
    <s v="C0"/>
  </r>
  <r>
    <d v="2026-09-12T00:00:00"/>
    <x v="3"/>
    <x v="10"/>
    <x v="2"/>
    <x v="36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Monteiro J."/>
    <s v="4"/>
    <s v="C0"/>
  </r>
  <r>
    <d v="2026-09-12T00:00:00"/>
    <x v="3"/>
    <x v="10"/>
    <x v="3"/>
    <x v="161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4N'Dri"/>
    <s v="4"/>
    <s v="A0"/>
  </r>
  <r>
    <d v="2026-09-12T00:00:00"/>
    <x v="3"/>
    <x v="10"/>
    <x v="3"/>
    <x v="16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Stulic"/>
    <s v="4"/>
    <s v="A0"/>
  </r>
  <r>
    <d v="2026-09-12T00:00:00"/>
    <x v="3"/>
    <x v="10"/>
    <x v="3"/>
    <x v="32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Fatah"/>
    <s v="4"/>
    <s v="A0"/>
  </r>
  <r>
    <d v="2026-09-12T00:00:00"/>
    <x v="3"/>
    <x v="21"/>
    <x v="3"/>
    <x v="39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Esteban"/>
    <s v="4"/>
    <s v="A0"/>
  </r>
  <r>
    <d v="2026-09-12T00:00:00"/>
    <x v="3"/>
    <x v="12"/>
    <x v="0"/>
    <x v="322"/>
    <n v="5"/>
    <n v="0"/>
    <n v="3"/>
    <n v="0"/>
    <n v="0"/>
    <n v="0"/>
    <n v="0"/>
    <n v="0"/>
    <n v="0"/>
    <n v="0"/>
    <m/>
    <n v="0"/>
    <x v="9"/>
    <n v="0"/>
    <m/>
    <s v=""/>
    <n v="2"/>
    <x v="0"/>
    <x v="0"/>
    <x v="0"/>
    <x v="0"/>
    <s v="4Thiam"/>
    <s v="4AC ASPARAGHESE"/>
    <s v="P3"/>
  </r>
  <r>
    <d v="2026-09-12T00:00:00"/>
    <x v="3"/>
    <x v="12"/>
    <x v="1"/>
    <x v="18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Carboni A."/>
    <s v="4"/>
    <s v="D0"/>
  </r>
  <r>
    <d v="2026-09-12T00:00:00"/>
    <x v="3"/>
    <x v="12"/>
    <x v="1"/>
    <x v="181"/>
    <n v="6"/>
    <n v="0"/>
    <n v="0"/>
    <n v="0"/>
    <n v="0"/>
    <n v="0"/>
    <n v="0"/>
    <n v="0"/>
    <n v="0"/>
    <n v="1"/>
    <m/>
    <n v="0"/>
    <x v="8"/>
    <n v="0"/>
    <m/>
    <s v=""/>
    <n v="7"/>
    <x v="0"/>
    <x v="0"/>
    <x v="0"/>
    <x v="0"/>
    <s v="4Birindelli"/>
    <s v="4"/>
    <s v="D0"/>
  </r>
  <r>
    <d v="2026-09-12T00:00:00"/>
    <x v="3"/>
    <x v="12"/>
    <x v="1"/>
    <x v="182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4Lucchesi"/>
    <s v="4"/>
    <s v="D0"/>
  </r>
  <r>
    <d v="2026-09-12T00:00:00"/>
    <x v="3"/>
    <x v="12"/>
    <x v="1"/>
    <x v="183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4Kouadio"/>
    <s v="4"/>
    <s v="D0"/>
  </r>
  <r>
    <d v="2026-09-12T00:00:00"/>
    <x v="3"/>
    <x v="12"/>
    <x v="1"/>
    <x v="184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Bakoune"/>
    <s v="4"/>
    <s v="D0"/>
  </r>
  <r>
    <d v="2026-09-12T00:00:00"/>
    <x v="3"/>
    <x v="12"/>
    <x v="1"/>
    <x v="185"/>
    <n v="7"/>
    <n v="1"/>
    <n v="0"/>
    <n v="0"/>
    <n v="0"/>
    <n v="0"/>
    <n v="0"/>
    <n v="0"/>
    <n v="0"/>
    <n v="0"/>
    <m/>
    <n v="0"/>
    <x v="8"/>
    <n v="1"/>
    <m/>
    <s v=""/>
    <n v="10"/>
    <x v="0"/>
    <x v="0"/>
    <x v="0"/>
    <x v="0"/>
    <s v="4Mangas"/>
    <s v="4"/>
    <s v="D0"/>
  </r>
  <r>
    <d v="2026-09-12T00:00:00"/>
    <x v="3"/>
    <x v="12"/>
    <x v="2"/>
    <x v="187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4Colpani"/>
    <s v="4AS PIPPERIA"/>
    <s v="C0"/>
  </r>
  <r>
    <d v="2026-09-12T00:00:00"/>
    <x v="3"/>
    <x v="12"/>
    <x v="2"/>
    <x v="324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4Folorunsho"/>
    <s v="4"/>
    <s v="C0"/>
  </r>
  <r>
    <d v="2026-09-12T00:00:00"/>
    <x v="3"/>
    <x v="12"/>
    <x v="2"/>
    <x v="18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Forson O."/>
    <s v="4"/>
    <s v="C0"/>
  </r>
  <r>
    <d v="2026-09-12T00:00:00"/>
    <x v="3"/>
    <x v="12"/>
    <x v="2"/>
    <x v="32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Akinsanmiro"/>
    <s v="4"/>
    <s v="C0"/>
  </r>
  <r>
    <d v="2026-09-12T00:00:00"/>
    <x v="3"/>
    <x v="12"/>
    <x v="3"/>
    <x v="19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Cutrone"/>
    <s v="4"/>
    <s v="A0"/>
  </r>
  <r>
    <d v="2026-09-12T00:00:00"/>
    <x v="3"/>
    <x v="12"/>
    <x v="3"/>
    <x v="192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4Varela G."/>
    <s v="4AC ASPARAGHESE"/>
    <s v="A0"/>
  </r>
  <r>
    <d v="2026-09-12T00:00:00"/>
    <x v="3"/>
    <x v="12"/>
    <x v="3"/>
    <x v="35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Robinson J."/>
    <s v="4"/>
    <s v="A0"/>
  </r>
  <r>
    <d v="2026-09-12T00:00:00"/>
    <x v="3"/>
    <x v="21"/>
    <x v="3"/>
    <x v="399"/>
    <n v="6.5"/>
    <n v="1"/>
    <n v="0"/>
    <n v="0"/>
    <n v="0"/>
    <n v="0"/>
    <n v="0"/>
    <n v="0"/>
    <n v="0"/>
    <n v="0"/>
    <m/>
    <n v="0"/>
    <x v="8"/>
    <n v="1"/>
    <m/>
    <s v=""/>
    <n v="9.5"/>
    <x v="0"/>
    <x v="0"/>
    <x v="0"/>
    <x v="0"/>
    <s v="4Zeballos"/>
    <s v="4"/>
    <s v="A0"/>
  </r>
  <r>
    <d v="2026-09-12T00:00:00"/>
    <x v="3"/>
    <x v="13"/>
    <x v="0"/>
    <x v="400"/>
    <n v="6"/>
    <n v="0"/>
    <n v="0"/>
    <n v="0"/>
    <n v="0"/>
    <n v="0"/>
    <n v="0"/>
    <n v="0"/>
    <n v="0"/>
    <n v="0"/>
    <m/>
    <n v="1"/>
    <x v="5"/>
    <n v="0"/>
    <m/>
    <s v=""/>
    <n v="7"/>
    <x v="0"/>
    <x v="0"/>
    <x v="0"/>
    <x v="0"/>
    <s v="4Milinkovic-Savic V."/>
    <s v="4PESCICULINI"/>
    <s v="P0"/>
  </r>
  <r>
    <d v="2026-09-12T00:00:00"/>
    <x v="3"/>
    <x v="13"/>
    <x v="1"/>
    <x v="194"/>
    <n v="6.5"/>
    <n v="0"/>
    <n v="0"/>
    <n v="0"/>
    <n v="0"/>
    <n v="0"/>
    <n v="0"/>
    <n v="0"/>
    <n v="0"/>
    <n v="0"/>
    <m/>
    <n v="0"/>
    <x v="2"/>
    <n v="0"/>
    <m/>
    <s v=""/>
    <n v="6.5"/>
    <x v="0"/>
    <x v="0"/>
    <x v="0"/>
    <x v="0"/>
    <s v="4Spinazzola"/>
    <s v="4ATL. IMPROVVISATO"/>
    <s v="D0"/>
  </r>
  <r>
    <d v="2026-09-12T00:00:00"/>
    <x v="3"/>
    <x v="13"/>
    <x v="1"/>
    <x v="195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4Di Lorenzo"/>
    <s v="4AS PIPPERIA"/>
    <s v="D0"/>
  </r>
  <r>
    <d v="2026-09-12T00:00:00"/>
    <x v="3"/>
    <x v="13"/>
    <x v="1"/>
    <x v="196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Rrahmani"/>
    <s v="4"/>
    <s v="D0"/>
  </r>
  <r>
    <d v="2026-09-12T00:00:00"/>
    <x v="3"/>
    <x v="13"/>
    <x v="1"/>
    <x v="19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Marin R."/>
    <s v="4"/>
    <s v="D0"/>
  </r>
  <r>
    <d v="2026-09-12T00:00:00"/>
    <x v="3"/>
    <x v="13"/>
    <x v="1"/>
    <x v="401"/>
    <n v="7"/>
    <n v="0"/>
    <n v="0"/>
    <n v="0"/>
    <n v="0"/>
    <n v="0"/>
    <n v="0"/>
    <n v="0"/>
    <n v="0"/>
    <n v="1"/>
    <m/>
    <n v="0"/>
    <x v="8"/>
    <n v="0"/>
    <m/>
    <s v=""/>
    <n v="8"/>
    <x v="0"/>
    <x v="0"/>
    <x v="0"/>
    <x v="0"/>
    <s v="4Favasuli"/>
    <s v="4"/>
    <s v="D0"/>
  </r>
  <r>
    <d v="2026-09-12T00:00:00"/>
    <x v="3"/>
    <x v="13"/>
    <x v="2"/>
    <x v="198"/>
    <n v="5.5"/>
    <n v="0"/>
    <n v="0"/>
    <n v="0"/>
    <n v="0"/>
    <n v="0"/>
    <n v="0"/>
    <n v="0"/>
    <n v="0"/>
    <n v="0"/>
    <m/>
    <n v="0"/>
    <x v="5"/>
    <n v="0"/>
    <m/>
    <s v=""/>
    <n v="5.5"/>
    <x v="0"/>
    <x v="0"/>
    <x v="0"/>
    <x v="0"/>
    <s v="4Politano"/>
    <s v="4PESCICULINI"/>
    <s v="C0"/>
  </r>
  <r>
    <d v="2026-09-12T00:00:00"/>
    <x v="3"/>
    <x v="13"/>
    <x v="2"/>
    <x v="199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De Bruyne"/>
    <s v="4"/>
    <s v="C0"/>
  </r>
  <r>
    <d v="2026-09-12T00:00:00"/>
    <x v="3"/>
    <x v="13"/>
    <x v="2"/>
    <x v="201"/>
    <n v="7.5"/>
    <n v="1"/>
    <n v="0"/>
    <n v="0"/>
    <n v="0"/>
    <n v="0"/>
    <n v="0"/>
    <n v="0"/>
    <n v="0"/>
    <n v="0"/>
    <n v="1"/>
    <n v="0"/>
    <x v="8"/>
    <n v="1"/>
    <m/>
    <s v=""/>
    <n v="11.5"/>
    <x v="0"/>
    <x v="0"/>
    <x v="0"/>
    <x v="0"/>
    <s v="4Lobotka"/>
    <s v="4"/>
    <s v="C0"/>
  </r>
  <r>
    <d v="2026-09-12T00:00:00"/>
    <x v="3"/>
    <x v="13"/>
    <x v="2"/>
    <x v="40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Gilmour"/>
    <s v="4"/>
    <s v="C0"/>
  </r>
  <r>
    <d v="2026-09-12T00:00:00"/>
    <x v="3"/>
    <x v="13"/>
    <x v="2"/>
    <x v="203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4Vergara"/>
    <s v="4SESTO ASENSIO"/>
    <s v="C0"/>
  </r>
  <r>
    <d v="2026-09-12T00:00:00"/>
    <x v="3"/>
    <x v="13"/>
    <x v="3"/>
    <x v="204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4Hojlund"/>
    <s v="4AS PIPPERIA"/>
    <s v="A0"/>
  </r>
  <r>
    <d v="2026-09-12T00:00:00"/>
    <x v="3"/>
    <x v="13"/>
    <x v="3"/>
    <x v="205"/>
    <n v="5.5"/>
    <n v="0"/>
    <n v="0"/>
    <n v="0"/>
    <n v="0"/>
    <n v="0"/>
    <n v="0"/>
    <n v="0"/>
    <n v="0"/>
    <n v="0"/>
    <m/>
    <n v="0"/>
    <x v="5"/>
    <n v="0"/>
    <m/>
    <s v=""/>
    <n v="5.5"/>
    <x v="0"/>
    <x v="0"/>
    <x v="0"/>
    <x v="0"/>
    <s v="4Lucca"/>
    <s v="4PESCICULINI"/>
    <s v="A0"/>
  </r>
  <r>
    <d v="2026-09-12T00:00:00"/>
    <x v="3"/>
    <x v="13"/>
    <x v="3"/>
    <x v="206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4Lang"/>
    <s v="4ATL. IMPROVVISATO"/>
    <s v="A0"/>
  </r>
  <r>
    <d v="2026-09-12T00:00:00"/>
    <x v="3"/>
    <x v="14"/>
    <x v="0"/>
    <x v="208"/>
    <n v="6"/>
    <n v="0"/>
    <n v="2"/>
    <n v="0"/>
    <n v="0"/>
    <n v="0"/>
    <n v="0"/>
    <n v="0"/>
    <n v="0"/>
    <n v="0"/>
    <m/>
    <n v="0"/>
    <x v="10"/>
    <n v="0"/>
    <m/>
    <s v=""/>
    <n v="4"/>
    <x v="0"/>
    <x v="0"/>
    <x v="0"/>
    <x v="0"/>
    <s v="4Corvi"/>
    <s v="4PARTIZAN DEGRADO"/>
    <s v="P2"/>
  </r>
  <r>
    <d v="2026-09-12T00:00:00"/>
    <x v="3"/>
    <x v="14"/>
    <x v="1"/>
    <x v="37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Diego Carlos"/>
    <s v="4"/>
    <s v="D0"/>
  </r>
  <r>
    <d v="2026-09-12T00:00:00"/>
    <x v="3"/>
    <x v="14"/>
    <x v="1"/>
    <x v="209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4Valeri"/>
    <s v="4TRICCHETRACHT"/>
    <s v="D0"/>
  </r>
  <r>
    <d v="2026-09-12T00:00:00"/>
    <x v="3"/>
    <x v="14"/>
    <x v="1"/>
    <x v="210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4Delprato"/>
    <s v="4AS PIPPERIA"/>
    <s v="D0"/>
  </r>
  <r>
    <d v="2026-09-12T00:00:00"/>
    <x v="3"/>
    <x v="14"/>
    <x v="1"/>
    <x v="21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Troilo"/>
    <s v="4"/>
    <s v="D0"/>
  </r>
  <r>
    <d v="2026-09-12T00:00:00"/>
    <x v="3"/>
    <x v="14"/>
    <x v="1"/>
    <x v="32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Britschgi"/>
    <s v="4"/>
    <s v="D0"/>
  </r>
  <r>
    <d v="2026-09-12T00:00:00"/>
    <x v="3"/>
    <x v="14"/>
    <x v="2"/>
    <x v="213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4Almqvist"/>
    <s v="4"/>
    <s v="C0"/>
  </r>
  <r>
    <d v="2026-09-12T00:00:00"/>
    <x v="3"/>
    <x v="14"/>
    <x v="2"/>
    <x v="214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4Bernabè"/>
    <s v="4ATL. IMPROVVISATO"/>
    <s v="C0"/>
  </r>
  <r>
    <d v="2026-09-12T00:00:00"/>
    <x v="3"/>
    <x v="14"/>
    <x v="2"/>
    <x v="21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Keita M."/>
    <s v="4"/>
    <s v="C0"/>
  </r>
  <r>
    <d v="2026-09-12T00:00:00"/>
    <x v="3"/>
    <x v="14"/>
    <x v="2"/>
    <x v="34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Sierro"/>
    <s v="4"/>
    <s v="C0"/>
  </r>
  <r>
    <d v="2026-09-12T00:00:00"/>
    <x v="3"/>
    <x v="14"/>
    <x v="3"/>
    <x v="220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4Tourè E."/>
    <s v="4ATL. IMPROVVISATO"/>
    <s v="A0"/>
  </r>
  <r>
    <d v="2026-09-12T00:00:00"/>
    <x v="3"/>
    <x v="14"/>
    <x v="3"/>
    <x v="37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Frigan"/>
    <s v="4"/>
    <s v="A0"/>
  </r>
  <r>
    <d v="2026-09-12T00:00:00"/>
    <x v="3"/>
    <x v="14"/>
    <x v="3"/>
    <x v="221"/>
    <n v="5.5"/>
    <n v="0"/>
    <n v="0"/>
    <n v="0"/>
    <n v="0"/>
    <n v="0"/>
    <n v="0"/>
    <n v="0"/>
    <n v="0"/>
    <n v="0"/>
    <m/>
    <n v="0"/>
    <x v="3"/>
    <n v="0"/>
    <m/>
    <s v=""/>
    <n v="5.5"/>
    <x v="0"/>
    <x v="0"/>
    <x v="0"/>
    <x v="0"/>
    <s v="4Elphege"/>
    <s v="4TRICCHETRACHT"/>
    <s v="A0"/>
  </r>
  <r>
    <d v="2026-09-12T00:00:00"/>
    <x v="3"/>
    <x v="14"/>
    <x v="3"/>
    <x v="330"/>
    <n v="7"/>
    <n v="1"/>
    <n v="0"/>
    <n v="0"/>
    <n v="0"/>
    <n v="0"/>
    <n v="0"/>
    <n v="0"/>
    <n v="0"/>
    <n v="0"/>
    <m/>
    <n v="0"/>
    <x v="9"/>
    <n v="1"/>
    <m/>
    <s v=""/>
    <n v="10"/>
    <x v="0"/>
    <x v="0"/>
    <x v="0"/>
    <x v="0"/>
    <s v="4Romero D."/>
    <s v="4AC ASPARAGHESE"/>
    <s v="A0"/>
  </r>
  <r>
    <d v="2026-09-12T00:00:00"/>
    <x v="3"/>
    <x v="14"/>
    <x v="3"/>
    <x v="222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4Lontani"/>
    <s v="4PESCICULINI"/>
    <s v="A0"/>
  </r>
  <r>
    <d v="2026-09-12T00:00:00"/>
    <x v="3"/>
    <x v="15"/>
    <x v="0"/>
    <x v="223"/>
    <n v="6.5"/>
    <n v="0"/>
    <n v="0"/>
    <n v="0"/>
    <n v="0"/>
    <n v="0"/>
    <n v="0"/>
    <n v="0"/>
    <n v="0"/>
    <n v="0"/>
    <m/>
    <n v="1"/>
    <x v="11"/>
    <n v="0"/>
    <m/>
    <s v=""/>
    <n v="7.5"/>
    <x v="0"/>
    <x v="0"/>
    <x v="0"/>
    <x v="0"/>
    <s v="4Svilar"/>
    <s v="4SAN GRIA"/>
    <s v="P0"/>
  </r>
  <r>
    <d v="2026-09-12T00:00:00"/>
    <x v="3"/>
    <x v="15"/>
    <x v="1"/>
    <x v="224"/>
    <n v="7"/>
    <n v="0"/>
    <n v="0"/>
    <n v="0"/>
    <n v="0"/>
    <n v="0"/>
    <n v="0"/>
    <n v="0"/>
    <n v="0"/>
    <n v="0"/>
    <m/>
    <n v="0"/>
    <x v="5"/>
    <n v="0"/>
    <m/>
    <s v=""/>
    <n v="7"/>
    <x v="0"/>
    <x v="0"/>
    <x v="0"/>
    <x v="0"/>
    <s v="4Mancini"/>
    <s v="4PESCICULINI"/>
    <s v="D0"/>
  </r>
  <r>
    <d v="2026-09-12T00:00:00"/>
    <x v="3"/>
    <x v="15"/>
    <x v="1"/>
    <x v="382"/>
    <n v="7"/>
    <n v="0"/>
    <n v="0"/>
    <n v="0"/>
    <n v="0"/>
    <n v="0"/>
    <n v="0"/>
    <n v="0"/>
    <n v="0"/>
    <n v="0"/>
    <m/>
    <n v="0"/>
    <x v="8"/>
    <n v="0"/>
    <m/>
    <s v=""/>
    <n v="7"/>
    <x v="0"/>
    <x v="0"/>
    <x v="0"/>
    <x v="0"/>
    <s v="4Balerdi"/>
    <s v="4"/>
    <s v="D0"/>
  </r>
  <r>
    <d v="2026-09-12T00:00:00"/>
    <x v="3"/>
    <x v="15"/>
    <x v="1"/>
    <x v="226"/>
    <n v="6"/>
    <n v="0"/>
    <n v="0"/>
    <n v="0"/>
    <n v="0"/>
    <n v="0"/>
    <n v="0"/>
    <n v="1"/>
    <n v="0"/>
    <n v="0"/>
    <m/>
    <n v="0"/>
    <x v="10"/>
    <n v="0"/>
    <m/>
    <s v=""/>
    <n v="5.5"/>
    <x v="0"/>
    <x v="0"/>
    <x v="0"/>
    <x v="0"/>
    <s v="4Hermoso"/>
    <s v="4PARTIZAN DEGRADO"/>
    <s v="D0"/>
  </r>
  <r>
    <d v="2026-09-12T00:00:00"/>
    <x v="3"/>
    <x v="15"/>
    <x v="1"/>
    <x v="331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4Molina N."/>
    <s v="4TRICCHETRACHT"/>
    <s v="D0"/>
  </r>
  <r>
    <d v="2026-09-12T00:00:00"/>
    <x v="3"/>
    <x v="15"/>
    <x v="1"/>
    <x v="229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4Lulli"/>
    <s v="4PARTIZAN DEGRADO"/>
    <s v="D0"/>
  </r>
  <r>
    <d v="2026-09-12T00:00:00"/>
    <x v="3"/>
    <x v="0"/>
    <x v="2"/>
    <x v="403"/>
    <n v="6.5"/>
    <n v="0"/>
    <n v="0"/>
    <n v="0"/>
    <n v="0"/>
    <n v="0"/>
    <n v="0"/>
    <n v="0"/>
    <n v="0"/>
    <n v="0"/>
    <m/>
    <n v="0"/>
    <x v="5"/>
    <n v="0"/>
    <m/>
    <s v=""/>
    <n v="6.5"/>
    <x v="0"/>
    <x v="0"/>
    <x v="0"/>
    <x v="0"/>
    <s v="4De Roon"/>
    <s v="4PESCICULINI"/>
    <s v="C0"/>
  </r>
  <r>
    <d v="2026-09-12T00:00:00"/>
    <x v="3"/>
    <x v="15"/>
    <x v="2"/>
    <x v="230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4Cristante"/>
    <s v="4SAN GRIA"/>
    <s v="C0"/>
  </r>
  <r>
    <d v="2026-09-12T00:00:00"/>
    <x v="3"/>
    <x v="15"/>
    <x v="2"/>
    <x v="231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4Konè M."/>
    <s v="4AC ASPARAGHESE"/>
    <s v="C0"/>
  </r>
  <r>
    <d v="2026-09-12T00:00:00"/>
    <x v="3"/>
    <x v="15"/>
    <x v="2"/>
    <x v="232"/>
    <n v="6.5"/>
    <n v="1"/>
    <n v="0"/>
    <n v="0"/>
    <n v="0"/>
    <n v="0"/>
    <n v="0"/>
    <n v="1"/>
    <n v="0"/>
    <n v="0"/>
    <m/>
    <n v="0"/>
    <x v="8"/>
    <n v="1"/>
    <m/>
    <s v=""/>
    <n v="9"/>
    <x v="0"/>
    <x v="0"/>
    <x v="0"/>
    <x v="0"/>
    <s v="4Pisilli"/>
    <s v="4"/>
    <s v="C0"/>
  </r>
  <r>
    <d v="2026-09-12T00:00:00"/>
    <x v="3"/>
    <x v="15"/>
    <x v="2"/>
    <x v="233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4Mora"/>
    <s v="4SESTO ASENSIO"/>
    <s v="C0"/>
  </r>
  <r>
    <d v="2026-09-12T00:00:00"/>
    <x v="3"/>
    <x v="15"/>
    <x v="3"/>
    <x v="234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Dybala"/>
    <s v="4"/>
    <s v="A0"/>
  </r>
  <r>
    <d v="2026-09-12T00:00:00"/>
    <x v="3"/>
    <x v="15"/>
    <x v="3"/>
    <x v="235"/>
    <n v="7"/>
    <n v="1"/>
    <n v="0"/>
    <n v="0"/>
    <n v="0"/>
    <n v="0"/>
    <n v="0"/>
    <n v="0"/>
    <n v="0"/>
    <n v="0"/>
    <n v="1"/>
    <n v="0"/>
    <x v="9"/>
    <n v="1"/>
    <m/>
    <s v=""/>
    <n v="11"/>
    <x v="0"/>
    <x v="0"/>
    <x v="0"/>
    <x v="0"/>
    <s v="4Malen"/>
    <s v="4AC ASPARAGHESE"/>
    <s v="A0"/>
  </r>
  <r>
    <d v="2026-09-12T00:00:00"/>
    <x v="3"/>
    <x v="15"/>
    <x v="3"/>
    <x v="236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4Soulè"/>
    <s v="4AC ASPARAGHESE"/>
    <s v="A0"/>
  </r>
  <r>
    <d v="2026-09-12T00:00:00"/>
    <x v="3"/>
    <x v="15"/>
    <x v="3"/>
    <x v="237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4Castro S."/>
    <s v="4SESTO ASENSIO"/>
    <s v="A0"/>
  </r>
  <r>
    <d v="2026-09-12T00:00:00"/>
    <x v="3"/>
    <x v="16"/>
    <x v="0"/>
    <x v="238"/>
    <n v="5.5"/>
    <n v="0"/>
    <n v="2"/>
    <n v="0"/>
    <n v="0"/>
    <n v="0"/>
    <n v="0"/>
    <n v="0"/>
    <n v="0"/>
    <n v="0"/>
    <m/>
    <n v="0"/>
    <x v="9"/>
    <n v="0"/>
    <m/>
    <s v=""/>
    <n v="3.5"/>
    <x v="0"/>
    <x v="0"/>
    <x v="0"/>
    <x v="0"/>
    <s v="4Muric"/>
    <s v="4AC ASPARAGHESE"/>
    <s v="P2"/>
  </r>
  <r>
    <d v="2026-09-12T00:00:00"/>
    <x v="3"/>
    <x v="16"/>
    <x v="1"/>
    <x v="239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Doig"/>
    <s v="4"/>
    <s v="D0"/>
  </r>
  <r>
    <d v="2026-09-12T00:00:00"/>
    <x v="3"/>
    <x v="16"/>
    <x v="1"/>
    <x v="333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Idzes"/>
    <s v="4"/>
    <s v="D0"/>
  </r>
  <r>
    <d v="2026-09-12T00:00:00"/>
    <x v="3"/>
    <x v="16"/>
    <x v="1"/>
    <x v="242"/>
    <n v="6.5"/>
    <n v="0"/>
    <n v="0"/>
    <n v="0"/>
    <n v="0"/>
    <n v="0"/>
    <n v="0"/>
    <n v="1"/>
    <n v="0"/>
    <n v="0"/>
    <m/>
    <n v="0"/>
    <x v="11"/>
    <n v="0"/>
    <m/>
    <s v=""/>
    <n v="6"/>
    <x v="0"/>
    <x v="0"/>
    <x v="0"/>
    <x v="0"/>
    <s v="4Leysen F."/>
    <s v="4SAN GRIA"/>
    <s v="D0"/>
  </r>
  <r>
    <d v="2026-09-12T00:00:00"/>
    <x v="3"/>
    <x v="16"/>
    <x v="1"/>
    <x v="24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Cinquegrano"/>
    <s v="4"/>
    <s v="D0"/>
  </r>
  <r>
    <d v="2026-09-12T00:00:00"/>
    <x v="3"/>
    <x v="16"/>
    <x v="2"/>
    <x v="244"/>
    <n v="7.5"/>
    <n v="0"/>
    <n v="0"/>
    <n v="0"/>
    <n v="0"/>
    <n v="0"/>
    <n v="0"/>
    <n v="0"/>
    <n v="0"/>
    <n v="1"/>
    <m/>
    <n v="0"/>
    <x v="8"/>
    <n v="0"/>
    <m/>
    <s v=""/>
    <n v="8.5"/>
    <x v="0"/>
    <x v="0"/>
    <x v="0"/>
    <x v="0"/>
    <s v="4Matic"/>
    <s v="4"/>
    <s v="C0"/>
  </r>
  <r>
    <d v="2026-09-12T00:00:00"/>
    <x v="3"/>
    <x v="16"/>
    <x v="2"/>
    <x v="246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Thorstvedt"/>
    <s v="4"/>
    <s v="C0"/>
  </r>
  <r>
    <d v="2026-09-12T00:00:00"/>
    <x v="3"/>
    <x v="16"/>
    <x v="2"/>
    <x v="364"/>
    <n v="6.5"/>
    <n v="0"/>
    <n v="0"/>
    <n v="0"/>
    <n v="0"/>
    <n v="0"/>
    <n v="0"/>
    <n v="1"/>
    <n v="0"/>
    <n v="0"/>
    <m/>
    <n v="0"/>
    <x v="8"/>
    <n v="0"/>
    <m/>
    <s v=""/>
    <n v="6"/>
    <x v="0"/>
    <x v="0"/>
    <x v="0"/>
    <x v="0"/>
    <s v="4Lipani"/>
    <s v="4"/>
    <s v="C0"/>
  </r>
  <r>
    <d v="2026-09-12T00:00:00"/>
    <x v="3"/>
    <x v="16"/>
    <x v="2"/>
    <x v="247"/>
    <n v="7"/>
    <n v="1"/>
    <n v="0"/>
    <n v="0"/>
    <n v="0"/>
    <n v="0"/>
    <n v="0"/>
    <n v="0"/>
    <n v="0"/>
    <n v="0"/>
    <n v="1"/>
    <n v="0"/>
    <x v="8"/>
    <n v="1"/>
    <m/>
    <s v=""/>
    <n v="11"/>
    <x v="0"/>
    <x v="0"/>
    <x v="0"/>
    <x v="0"/>
    <s v="4Adzic"/>
    <s v="4"/>
    <s v="C0"/>
  </r>
  <r>
    <d v="2026-09-12T00:00:00"/>
    <x v="3"/>
    <x v="16"/>
    <x v="2"/>
    <x v="24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Dominguez B."/>
    <s v="4"/>
    <s v="C0"/>
  </r>
  <r>
    <d v="2026-09-12T00:00:00"/>
    <x v="3"/>
    <x v="16"/>
    <x v="2"/>
    <x v="249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4Bakola"/>
    <s v="4"/>
    <s v="C0"/>
  </r>
  <r>
    <d v="2026-09-12T00:00:00"/>
    <x v="3"/>
    <x v="16"/>
    <x v="3"/>
    <x v="335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4Berardi"/>
    <s v="4PARTIZAN DEGRADO"/>
    <s v="A0"/>
  </r>
  <r>
    <d v="2026-09-12T00:00:00"/>
    <x v="3"/>
    <x v="2"/>
    <x v="3"/>
    <x v="404"/>
    <n v="7.5"/>
    <n v="1"/>
    <n v="0"/>
    <n v="0"/>
    <n v="0"/>
    <n v="0"/>
    <n v="0"/>
    <n v="0"/>
    <n v="0"/>
    <n v="0"/>
    <m/>
    <n v="0"/>
    <x v="8"/>
    <n v="1"/>
    <m/>
    <s v=""/>
    <n v="10.5"/>
    <x v="0"/>
    <x v="0"/>
    <x v="0"/>
    <x v="0"/>
    <s v="4Esposito Se."/>
    <s v="4"/>
    <s v="A0"/>
  </r>
  <r>
    <d v="2026-09-12T00:00:00"/>
    <x v="3"/>
    <x v="16"/>
    <x v="3"/>
    <x v="250"/>
    <n v="6.5"/>
    <n v="0"/>
    <n v="0"/>
    <n v="0"/>
    <n v="0"/>
    <n v="0"/>
    <n v="0"/>
    <n v="0"/>
    <n v="0"/>
    <n v="1"/>
    <m/>
    <n v="0"/>
    <x v="1"/>
    <n v="0"/>
    <m/>
    <s v=""/>
    <n v="7.5"/>
    <x v="0"/>
    <x v="0"/>
    <x v="0"/>
    <x v="0"/>
    <s v="4Laurientè"/>
    <s v="4SESTO ASENSIO"/>
    <s v="A0"/>
  </r>
  <r>
    <d v="2026-09-12T00:00:00"/>
    <x v="3"/>
    <x v="16"/>
    <x v="3"/>
    <x v="251"/>
    <n v="7"/>
    <n v="1"/>
    <n v="0"/>
    <n v="0"/>
    <n v="0"/>
    <n v="0"/>
    <n v="0"/>
    <n v="0"/>
    <n v="0"/>
    <n v="0"/>
    <m/>
    <n v="0"/>
    <x v="8"/>
    <n v="1"/>
    <m/>
    <s v=""/>
    <n v="10"/>
    <x v="0"/>
    <x v="0"/>
    <x v="0"/>
    <x v="0"/>
    <s v="4Bowie"/>
    <s v="4"/>
    <s v="A0"/>
  </r>
  <r>
    <d v="2026-09-12T00:00:00"/>
    <x v="3"/>
    <x v="17"/>
    <x v="0"/>
    <x v="354"/>
    <n v="5.5"/>
    <n v="0"/>
    <n v="2"/>
    <n v="0"/>
    <n v="0"/>
    <n v="0"/>
    <n v="0"/>
    <n v="0"/>
    <n v="0"/>
    <n v="0"/>
    <m/>
    <n v="0"/>
    <x v="4"/>
    <n v="0"/>
    <m/>
    <s v=""/>
    <n v="3.5"/>
    <x v="0"/>
    <x v="0"/>
    <x v="0"/>
    <x v="0"/>
    <s v="4Perri"/>
    <s v="4AS PIPPERIA"/>
    <s v="P2"/>
  </r>
  <r>
    <d v="2026-09-12T00:00:00"/>
    <x v="3"/>
    <x v="21"/>
    <x v="1"/>
    <x v="40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Rodriguez R."/>
    <s v="4"/>
    <s v="D0"/>
  </r>
  <r>
    <d v="2026-09-12T00:00:00"/>
    <x v="3"/>
    <x v="17"/>
    <x v="1"/>
    <x v="255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4Comuzzo"/>
    <s v="4SESTO ASENSIO"/>
    <s v="D0"/>
  </r>
  <r>
    <d v="2026-09-12T00:00:00"/>
    <x v="3"/>
    <x v="17"/>
    <x v="1"/>
    <x v="25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Coco"/>
    <s v="4"/>
    <s v="D0"/>
  </r>
  <r>
    <d v="2026-09-12T00:00:00"/>
    <x v="3"/>
    <x v="17"/>
    <x v="1"/>
    <x v="25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Fortini"/>
    <s v="4"/>
    <s v="D0"/>
  </r>
  <r>
    <d v="2026-09-12T00:00:00"/>
    <x v="3"/>
    <x v="17"/>
    <x v="1"/>
    <x v="36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Belghali"/>
    <s v="4"/>
    <s v="D0"/>
  </r>
  <r>
    <d v="2026-09-12T00:00:00"/>
    <x v="3"/>
    <x v="17"/>
    <x v="1"/>
    <x v="336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Comert"/>
    <s v="4"/>
    <s v="D0"/>
  </r>
  <r>
    <d v="2026-09-12T00:00:00"/>
    <x v="3"/>
    <x v="17"/>
    <x v="2"/>
    <x v="64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Mandragora"/>
    <s v="4"/>
    <s v="C0"/>
  </r>
  <r>
    <d v="2026-09-12T00:00:00"/>
    <x v="3"/>
    <x v="17"/>
    <x v="2"/>
    <x v="25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Vlasic"/>
    <s v="4"/>
    <s v="C0"/>
  </r>
  <r>
    <d v="2026-09-12T00:00:00"/>
    <x v="3"/>
    <x v="17"/>
    <x v="2"/>
    <x v="33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Ilkhan"/>
    <s v="4"/>
    <s v="C0"/>
  </r>
  <r>
    <d v="2026-09-12T00:00:00"/>
    <x v="3"/>
    <x v="17"/>
    <x v="2"/>
    <x v="26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Gineitis"/>
    <s v="4"/>
    <s v="C0"/>
  </r>
  <r>
    <d v="2026-09-12T00:00:00"/>
    <x v="3"/>
    <x v="17"/>
    <x v="2"/>
    <x v="262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4Cacciamani"/>
    <s v="4PARTIZAN DEGRADO"/>
    <s v="C0"/>
  </r>
  <r>
    <d v="2026-09-12T00:00:00"/>
    <x v="3"/>
    <x v="17"/>
    <x v="2"/>
    <x v="264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Fitz-Jim"/>
    <s v="4"/>
    <s v="C0"/>
  </r>
  <r>
    <d v="2026-09-12T00:00:00"/>
    <x v="3"/>
    <x v="17"/>
    <x v="2"/>
    <x v="379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Braganca"/>
    <s v="4"/>
    <s v="C0"/>
  </r>
  <r>
    <d v="2026-09-12T00:00:00"/>
    <x v="3"/>
    <x v="17"/>
    <x v="3"/>
    <x v="406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Zapata D."/>
    <s v="4"/>
    <s v="A0"/>
  </r>
  <r>
    <d v="2026-09-12T00:00:00"/>
    <x v="3"/>
    <x v="17"/>
    <x v="3"/>
    <x v="265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4Simeone"/>
    <s v="4AS PIPPERIA"/>
    <s v="A0"/>
  </r>
  <r>
    <d v="2026-09-12T00:00:00"/>
    <x v="3"/>
    <x v="18"/>
    <x v="0"/>
    <x v="267"/>
    <n v="7"/>
    <n v="0"/>
    <n v="5"/>
    <n v="0"/>
    <n v="0"/>
    <n v="0"/>
    <n v="0"/>
    <n v="0"/>
    <n v="0"/>
    <n v="0"/>
    <m/>
    <n v="0"/>
    <x v="2"/>
    <n v="0"/>
    <m/>
    <s v=""/>
    <n v="2"/>
    <x v="0"/>
    <x v="0"/>
    <x v="0"/>
    <x v="0"/>
    <s v="4Okoye"/>
    <s v="4ATL. IMPROVVISATO"/>
    <s v="P5"/>
  </r>
  <r>
    <d v="2026-09-12T00:00:00"/>
    <x v="3"/>
    <x v="18"/>
    <x v="1"/>
    <x v="366"/>
    <n v="4.5"/>
    <n v="0"/>
    <n v="0"/>
    <n v="0"/>
    <n v="0"/>
    <n v="0"/>
    <n v="0"/>
    <n v="0"/>
    <n v="0"/>
    <n v="0"/>
    <m/>
    <n v="0"/>
    <x v="8"/>
    <n v="0"/>
    <m/>
    <s v=""/>
    <n v="4.5"/>
    <x v="0"/>
    <x v="0"/>
    <x v="0"/>
    <x v="0"/>
    <s v="4Kabasele"/>
    <s v="4"/>
    <s v="D0"/>
  </r>
  <r>
    <d v="2026-09-12T00:00:00"/>
    <x v="3"/>
    <x v="18"/>
    <x v="1"/>
    <x v="268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4Vojvoda"/>
    <s v="4PARTIZAN DEGRADO"/>
    <s v="D0"/>
  </r>
  <r>
    <d v="2026-09-12T00:00:00"/>
    <x v="3"/>
    <x v="18"/>
    <x v="1"/>
    <x v="269"/>
    <n v="5"/>
    <n v="0"/>
    <n v="0"/>
    <n v="0"/>
    <n v="0"/>
    <n v="0"/>
    <n v="0"/>
    <n v="0"/>
    <n v="0"/>
    <n v="0"/>
    <m/>
    <n v="0"/>
    <x v="3"/>
    <n v="0"/>
    <m/>
    <s v=""/>
    <n v="5"/>
    <x v="0"/>
    <x v="0"/>
    <x v="0"/>
    <x v="0"/>
    <s v="4Kamara H."/>
    <s v="4TRICCHETRACHT"/>
    <s v="D0"/>
  </r>
  <r>
    <d v="2026-09-12T00:00:00"/>
    <x v="3"/>
    <x v="18"/>
    <x v="1"/>
    <x v="33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Bertola"/>
    <s v="4"/>
    <s v="D0"/>
  </r>
  <r>
    <d v="2026-09-12T00:00:00"/>
    <x v="3"/>
    <x v="18"/>
    <x v="1"/>
    <x v="270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4Ebosse"/>
    <s v="4"/>
    <s v="D0"/>
  </r>
  <r>
    <d v="2026-09-12T00:00:00"/>
    <x v="3"/>
    <x v="18"/>
    <x v="1"/>
    <x v="271"/>
    <n v="6"/>
    <n v="1"/>
    <n v="0"/>
    <n v="0"/>
    <n v="0"/>
    <n v="0"/>
    <n v="0"/>
    <n v="0"/>
    <n v="0"/>
    <n v="0"/>
    <m/>
    <n v="0"/>
    <x v="8"/>
    <n v="1"/>
    <m/>
    <s v=""/>
    <n v="9"/>
    <x v="0"/>
    <x v="0"/>
    <x v="0"/>
    <x v="0"/>
    <s v="4Abankwah"/>
    <s v="4"/>
    <s v="D0"/>
  </r>
  <r>
    <d v="2026-09-12T00:00:00"/>
    <x v="3"/>
    <x v="18"/>
    <x v="2"/>
    <x v="275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4Karlstrom"/>
    <s v="4"/>
    <s v="C0"/>
  </r>
  <r>
    <d v="2026-09-12T00:00:00"/>
    <x v="3"/>
    <x v="18"/>
    <x v="2"/>
    <x v="276"/>
    <n v="6.5"/>
    <n v="1"/>
    <n v="0"/>
    <n v="0"/>
    <n v="0"/>
    <n v="0"/>
    <n v="0"/>
    <n v="0"/>
    <n v="0"/>
    <n v="0"/>
    <m/>
    <n v="0"/>
    <x v="10"/>
    <n v="1"/>
    <m/>
    <s v=""/>
    <n v="9.5"/>
    <x v="0"/>
    <x v="0"/>
    <x v="0"/>
    <x v="0"/>
    <s v="4Ekkelenkamp"/>
    <s v="4PARTIZAN DEGRADO"/>
    <s v="C0"/>
  </r>
  <r>
    <d v="2026-09-12T00:00:00"/>
    <x v="3"/>
    <x v="18"/>
    <x v="2"/>
    <x v="277"/>
    <n v="6"/>
    <n v="0"/>
    <n v="0"/>
    <n v="0"/>
    <n v="0"/>
    <n v="0"/>
    <n v="0"/>
    <n v="0"/>
    <n v="0"/>
    <n v="1"/>
    <m/>
    <n v="0"/>
    <x v="8"/>
    <n v="0"/>
    <m/>
    <s v=""/>
    <n v="7"/>
    <x v="0"/>
    <x v="0"/>
    <x v="0"/>
    <x v="0"/>
    <s v="4Unai Gomez"/>
    <s v="4"/>
    <s v="C0"/>
  </r>
  <r>
    <d v="2026-09-12T00:00:00"/>
    <x v="3"/>
    <x v="18"/>
    <x v="2"/>
    <x v="27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Miller L."/>
    <s v="4"/>
    <s v="C0"/>
  </r>
  <r>
    <d v="2026-09-12T00:00:00"/>
    <x v="3"/>
    <x v="18"/>
    <x v="2"/>
    <x v="40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Chakvetadze"/>
    <s v="4"/>
    <s v="C0"/>
  </r>
  <r>
    <d v="2026-09-12T00:00:00"/>
    <x v="3"/>
    <x v="18"/>
    <x v="3"/>
    <x v="341"/>
    <n v="6.5"/>
    <n v="0"/>
    <n v="0"/>
    <n v="0"/>
    <n v="0"/>
    <n v="0"/>
    <n v="0"/>
    <n v="1"/>
    <n v="0"/>
    <n v="1"/>
    <m/>
    <n v="0"/>
    <x v="10"/>
    <n v="0"/>
    <m/>
    <s v=""/>
    <n v="7"/>
    <x v="0"/>
    <x v="0"/>
    <x v="0"/>
    <x v="0"/>
    <s v="4Davis K."/>
    <s v="4PARTIZAN DEGRADO"/>
    <s v="A0"/>
  </r>
  <r>
    <d v="2026-09-12T00:00:00"/>
    <x v="3"/>
    <x v="18"/>
    <x v="3"/>
    <x v="281"/>
    <n v="6.5"/>
    <n v="1"/>
    <n v="0"/>
    <n v="0"/>
    <n v="0"/>
    <n v="0"/>
    <n v="0"/>
    <n v="0"/>
    <n v="0"/>
    <n v="0"/>
    <m/>
    <n v="0"/>
    <x v="9"/>
    <n v="1"/>
    <m/>
    <s v=""/>
    <n v="9.5"/>
    <x v="0"/>
    <x v="0"/>
    <x v="0"/>
    <x v="0"/>
    <s v="4Gueye"/>
    <s v="4AC ASPARAGHESE"/>
    <s v="A0"/>
  </r>
  <r>
    <m/>
    <x v="4"/>
    <x v="22"/>
    <x v="4"/>
    <x v="408"/>
    <m/>
    <m/>
    <m/>
    <m/>
    <m/>
    <m/>
    <m/>
    <m/>
    <m/>
    <m/>
    <m/>
    <n v="0"/>
    <x v="8"/>
    <n v="0"/>
    <m/>
    <s v=""/>
    <n v="0"/>
    <x v="0"/>
    <x v="0"/>
    <x v="0"/>
    <x v="0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B13FDA-D291-4689-9CF4-235B69E269F4}" name="GiocatoriPIV" cacheId="0" applyNumberFormats="0" applyBorderFormats="0" applyFontFormats="0" applyPatternFormats="0" applyAlignmentFormats="0" applyWidthHeightFormats="1" dataCaption="Valori" errorCaption="0,00" showError="1" updatedVersion="8" minRefreshableVersion="3" showDrill="0" colGrandTotals="0" itemPrintTitles="1" mergeItem="1" createdVersion="7" indent="0" compact="0" outline="1" outlineData="1" compactData="0" chartFormat="4">
  <location ref="B8:X358" firstHeaderRow="0" firstDataRow="1" firstDataCol="1" rowPageCount="4" colPageCount="1"/>
  <pivotFields count="29">
    <pivotField compact="0" numFmtId="165" multipleItemSelectionAllowed="1" showAll="0"/>
    <pivotField axis="axisPage" compact="0" numFmtId="1" multipleItemSelectionAllowed="1" showAll="0">
      <items count="40">
        <item h="1" x="0"/>
        <item h="1" x="1"/>
        <item x="2"/>
        <item x="3"/>
        <item h="1" m="1" x="9"/>
        <item h="1" m="1" x="12"/>
        <item h="1" m="1" x="17"/>
        <item h="1" m="1" x="25"/>
        <item h="1" m="1" x="28"/>
        <item h="1" m="1" x="31"/>
        <item h="1" m="1" x="34"/>
        <item h="1" m="1" x="37"/>
        <item h="1" m="1" x="6"/>
        <item h="1" m="1" x="10"/>
        <item h="1" m="1" x="11"/>
        <item h="1" m="1" x="13"/>
        <item h="1" m="1" x="14"/>
        <item h="1" m="1" x="15"/>
        <item h="1" m="1" x="16"/>
        <item h="1" m="1" x="18"/>
        <item h="1" m="1" x="20"/>
        <item h="1" m="1" x="22"/>
        <item h="1" m="1" x="24"/>
        <item h="1" m="1" x="26"/>
        <item h="1" m="1" x="27"/>
        <item h="1" m="1" x="29"/>
        <item h="1" m="1" x="30"/>
        <item h="1" m="1" x="32"/>
        <item h="1" m="1" x="33"/>
        <item h="1" m="1" x="35"/>
        <item h="1" m="1" x="36"/>
        <item h="1" m="1" x="38"/>
        <item h="1" m="1" x="19"/>
        <item h="1" m="1" x="5"/>
        <item h="1" m="1" x="21"/>
        <item h="1" m="1" x="7"/>
        <item h="1" m="1" x="23"/>
        <item h="1" m="1" x="8"/>
        <item x="4"/>
        <item t="default"/>
      </items>
    </pivotField>
    <pivotField axis="axisPage" compact="0" showAll="0">
      <items count="24">
        <item x="0"/>
        <item x="1"/>
        <item x="2"/>
        <item x="4"/>
        <item x="6"/>
        <item x="7"/>
        <item x="9"/>
        <item x="11"/>
        <item x="13"/>
        <item x="15"/>
        <item x="17"/>
        <item x="18"/>
        <item x="19"/>
        <item x="10"/>
        <item x="12"/>
        <item x="3"/>
        <item x="14"/>
        <item x="22"/>
        <item x="5"/>
        <item x="8"/>
        <item x="16"/>
        <item x="20"/>
        <item x="21"/>
        <item t="default"/>
      </items>
    </pivotField>
    <pivotField axis="axisPage" compact="0" multipleItemSelectionAllowed="1" showAll="0">
      <items count="6">
        <item x="3"/>
        <item x="2"/>
        <item x="1"/>
        <item x="0"/>
        <item x="4"/>
        <item t="default"/>
      </items>
    </pivotField>
    <pivotField axis="axisRow" compact="0" showAll="0" sortType="descending" defaultSubtotal="0">
      <items count="1165">
        <item m="1" x="1010"/>
        <item m="1" x="550"/>
        <item m="1" x="797"/>
        <item x="37"/>
        <item m="1" x="950"/>
        <item m="1" x="465"/>
        <item m="1" x="925"/>
        <item m="1" x="884"/>
        <item m="1" x="785"/>
        <item m="1" x="1058"/>
        <item m="1" x="963"/>
        <item m="1" x="606"/>
        <item m="1" x="572"/>
        <item m="1" x="868"/>
        <item m="1" x="1025"/>
        <item m="1" x="1056"/>
        <item m="1" x="1137"/>
        <item m="1" x="479"/>
        <item m="1" x="1057"/>
        <item m="1" x="969"/>
        <item m="1" x="781"/>
        <item m="1" x="889"/>
        <item m="1" x="786"/>
        <item m="1" x="1154"/>
        <item m="1" x="592"/>
        <item m="1" x="757"/>
        <item m="1" x="820"/>
        <item m="1" x="857"/>
        <item m="1" x="909"/>
        <item m="1" x="928"/>
        <item m="1" x="871"/>
        <item m="1" x="510"/>
        <item m="1" x="1146"/>
        <item m="1" x="844"/>
        <item m="1" x="431"/>
        <item m="1" x="675"/>
        <item m="1" x="676"/>
        <item m="1" x="754"/>
        <item x="97"/>
        <item m="1" x="1012"/>
        <item m="1" x="746"/>
        <item m="1" x="526"/>
        <item m="1" x="892"/>
        <item m="1" x="519"/>
        <item m="1" x="588"/>
        <item m="1" x="954"/>
        <item m="1" x="1109"/>
        <item x="111"/>
        <item m="1" x="825"/>
        <item m="1" x="565"/>
        <item m="1" x="470"/>
        <item x="290"/>
        <item x="106"/>
        <item m="1" x="1087"/>
        <item m="1" x="819"/>
        <item m="1" x="1072"/>
        <item x="363"/>
        <item m="1" x="515"/>
        <item m="1" x="1111"/>
        <item m="1" x="452"/>
        <item m="1" x="1020"/>
        <item x="335"/>
        <item m="1" x="612"/>
        <item m="1" x="618"/>
        <item x="21"/>
        <item m="1" x="832"/>
        <item x="381"/>
        <item m="1" x="883"/>
        <item m="1" x="755"/>
        <item m="1" x="433"/>
        <item m="1" x="833"/>
        <item m="1" x="418"/>
        <item m="1" x="614"/>
        <item x="181"/>
        <item m="1" x="831"/>
        <item m="1" x="678"/>
        <item x="131"/>
        <item m="1" x="972"/>
        <item m="1" x="679"/>
        <item m="1" x="625"/>
        <item m="1" x="650"/>
        <item m="1" x="830"/>
        <item m="1" x="1102"/>
        <item m="1" x="717"/>
        <item m="1" x="906"/>
        <item m="1" x="681"/>
        <item m="1" x="607"/>
        <item m="1" x="718"/>
        <item x="121"/>
        <item m="1" x="936"/>
        <item m="1" x="968"/>
        <item m="1" x="799"/>
        <item m="1" x="1088"/>
        <item m="1" x="597"/>
        <item x="289"/>
        <item m="1" x="447"/>
        <item m="1" x="763"/>
        <item m="1" x="586"/>
        <item m="1" x="1016"/>
        <item m="1" x="1112"/>
        <item m="1" x="553"/>
        <item m="1" x="1054"/>
        <item m="1" x="1043"/>
        <item m="1" x="529"/>
        <item x="112"/>
        <item m="1" x="764"/>
        <item x="24"/>
        <item x="124"/>
        <item x="143"/>
        <item m="1" x="626"/>
        <item m="1" x="769"/>
        <item m="1" x="494"/>
        <item m="1" x="721"/>
        <item m="1" x="1129"/>
        <item m="1" x="1161"/>
        <item x="362"/>
        <item m="1" x="451"/>
        <item m="1" x="1047"/>
        <item m="1" x="1064"/>
        <item m="1" x="765"/>
        <item m="1" x="683"/>
        <item m="1" x="1110"/>
        <item m="1" x="845"/>
        <item m="1" x="946"/>
        <item m="1" x="722"/>
        <item x="122"/>
        <item m="1" x="807"/>
        <item m="1" x="1000"/>
        <item m="1" x="929"/>
        <item m="1" x="1118"/>
        <item m="1" x="652"/>
        <item m="1" x="981"/>
        <item m="1" x="1091"/>
        <item m="1" x="877"/>
        <item m="1" x="627"/>
        <item m="1" x="1065"/>
        <item m="1" x="1018"/>
        <item x="102"/>
        <item x="187"/>
        <item m="1" x="643"/>
        <item m="1" x="888"/>
        <item m="1" x="508"/>
        <item m="1" x="814"/>
        <item x="156"/>
        <item m="1" x="1099"/>
        <item m="1" x="989"/>
        <item m="1" x="744"/>
        <item x="230"/>
        <item m="1" x="507"/>
        <item m="1" x="1070"/>
        <item m="1" x="608"/>
        <item m="1" x="962"/>
        <item x="191"/>
        <item m="1" x="852"/>
        <item m="1" x="926"/>
        <item m="1" x="609"/>
        <item m="1" x="1048"/>
        <item m="1" x="923"/>
        <item m="1" x="610"/>
        <item m="1" x="1100"/>
        <item m="1" x="520"/>
        <item m="1" x="456"/>
        <item x="13"/>
        <item m="1" x="809"/>
        <item m="1" x="894"/>
        <item m="1" x="760"/>
        <item x="403"/>
        <item m="1" x="747"/>
        <item m="1" x="1152"/>
        <item m="1" x="611"/>
        <item x="167"/>
        <item m="1" x="726"/>
        <item x="35"/>
        <item x="323"/>
        <item m="1" x="866"/>
        <item m="1" x="775"/>
        <item m="1" x="914"/>
        <item m="1" x="1066"/>
        <item m="1" x="727"/>
        <item m="1" x="817"/>
        <item m="1" x="1127"/>
        <item m="1" x="756"/>
        <item m="1" x="728"/>
        <item m="1" x="432"/>
        <item x="195"/>
        <item m="1" x="986"/>
        <item m="1" x="1029"/>
        <item m="1" x="1078"/>
        <item x="147"/>
        <item m="1" x="1063"/>
        <item m="1" x="941"/>
        <item m="1" x="839"/>
        <item x="105"/>
        <item m="1" x="1160"/>
        <item m="1" x="459"/>
        <item m="1" x="596"/>
        <item m="1" x="1124"/>
        <item m="1" x="477"/>
        <item x="239"/>
        <item m="1" x="684"/>
        <item m="1" x="824"/>
        <item x="60"/>
        <item m="1" x="484"/>
        <item m="1" x="541"/>
        <item x="234"/>
        <item m="1" x="893"/>
        <item x="270"/>
        <item m="1" x="613"/>
        <item x="10"/>
        <item x="374"/>
        <item m="1" x="1074"/>
        <item m="1" x="800"/>
        <item m="1" x="591"/>
        <item x="388"/>
        <item x="99"/>
        <item x="295"/>
        <item m="1" x="429"/>
        <item m="1" x="891"/>
        <item x="65"/>
        <item m="1" x="890"/>
        <item x="148"/>
        <item m="1" x="1042"/>
        <item m="1" x="674"/>
        <item m="1" x="772"/>
        <item m="1" x="1060"/>
        <item m="1" x="1015"/>
        <item m="1" x="635"/>
        <item m="1" x="629"/>
        <item m="1" x="1141"/>
        <item m="1" x="803"/>
        <item m="1" x="998"/>
        <item m="1" x="875"/>
        <item m="1" x="751"/>
        <item m="1" x="1101"/>
        <item m="1" x="810"/>
        <item m="1" x="1033"/>
        <item m="1" x="1075"/>
        <item x="141"/>
        <item x="96"/>
        <item m="1" x="437"/>
        <item x="164"/>
        <item m="1" x="859"/>
        <item x="7"/>
        <item x="369"/>
        <item m="1" x="1027"/>
        <item x="186"/>
        <item m="1" x="978"/>
        <item x="149"/>
        <item x="368"/>
        <item m="1" x="1156"/>
        <item m="1" x="551"/>
        <item m="1" x="917"/>
        <item m="1" x="1093"/>
        <item m="1" x="940"/>
        <item m="1" x="653"/>
        <item m="1" x="767"/>
        <item m="1" x="562"/>
        <item m="1" x="570"/>
        <item m="1" x="1136"/>
        <item m="1" x="688"/>
        <item x="314"/>
        <item m="1" x="1069"/>
        <item m="1" x="689"/>
        <item x="308"/>
        <item m="1" x="779"/>
        <item m="1" x="475"/>
        <item m="1" x="637"/>
        <item m="1" x="544"/>
        <item m="1" x="587"/>
        <item m="1" x="1130"/>
        <item x="284"/>
        <item m="1" x="458"/>
        <item m="1" x="758"/>
        <item m="1" x="638"/>
        <item x="392"/>
        <item m="1" x="441"/>
        <item m="1" x="994"/>
        <item m="1" x="490"/>
        <item m="1" x="1001"/>
        <item m="1" x="999"/>
        <item m="1" x="1081"/>
        <item m="1" x="435"/>
        <item m="1" x="1119"/>
        <item x="204"/>
        <item x="18"/>
        <item m="1" x="690"/>
        <item m="1" x="1061"/>
        <item m="1" x="1067"/>
        <item m="1" x="641"/>
        <item m="1" x="815"/>
        <item m="1" x="900"/>
        <item m="1" x="838"/>
        <item m="1" x="480"/>
        <item x="320"/>
        <item m="1" x="759"/>
        <item x="337"/>
        <item m="1" x="655"/>
        <item m="1" x="851"/>
        <item x="253"/>
        <item m="1" x="453"/>
        <item m="1" x="1050"/>
        <item m="1" x="935"/>
        <item m="1" x="783"/>
        <item m="1" x="1133"/>
        <item m="1" x="732"/>
        <item m="1" x="566"/>
        <item x="391"/>
        <item m="1" x="1142"/>
        <item m="1" x="1041"/>
        <item m="1" x="802"/>
        <item x="123"/>
        <item m="1" x="644"/>
        <item m="1" x="1003"/>
        <item m="1" x="457"/>
        <item x="71"/>
        <item m="1" x="1094"/>
        <item m="1" x="996"/>
        <item m="1" x="1128"/>
        <item m="1" x="792"/>
        <item m="1" x="1090"/>
        <item m="1" x="1151"/>
        <item m="1" x="993"/>
        <item m="1" x="1083"/>
        <item m="1" x="927"/>
        <item m="1" x="1138"/>
        <item m="1" x="1092"/>
        <item sd="0" x="315"/>
        <item m="1" x="739"/>
        <item m="1" x="518"/>
        <item m="1" x="870"/>
        <item m="1" x="856"/>
        <item m="1" x="696"/>
        <item m="1" x="902"/>
        <item m="1" x="631"/>
        <item m="1" x="967"/>
        <item m="1" x="796"/>
        <item m="1" x="531"/>
        <item m="1" x="492"/>
        <item m="1" x="840"/>
        <item m="1" x="1024"/>
        <item m="1" x="882"/>
        <item m="1" x="656"/>
        <item m="1" x="424"/>
        <item m="1" x="421"/>
        <item m="1" x="450"/>
        <item m="1" x="846"/>
        <item m="1" x="848"/>
        <item m="1" x="503"/>
        <item m="1" x="1105"/>
        <item x="201"/>
        <item x="126"/>
        <item m="1" x="879"/>
        <item m="1" x="657"/>
        <item m="1" x="699"/>
        <item m="1" x="648"/>
        <item sd="0" m="1" x="559"/>
        <item m="1" x="843"/>
        <item m="1" x="861"/>
        <item m="1" x="577"/>
        <item m="1" x="632"/>
        <item m="1" x="748"/>
        <item m="1" x="965"/>
        <item m="1" x="735"/>
        <item m="1" x="1132"/>
        <item m="1" x="466"/>
        <item m="1" x="436"/>
        <item m="1" x="701"/>
        <item m="1" x="977"/>
        <item m="1" x="1145"/>
        <item m="1" x="702"/>
        <item m="1" x="782"/>
        <item m="1" x="455"/>
        <item x="163"/>
        <item m="1" x="1162"/>
        <item m="1" x="1013"/>
        <item m="1" x="980"/>
        <item m="1" x="1028"/>
        <item x="41"/>
        <item x="155"/>
        <item m="1" x="444"/>
        <item m="1" x="907"/>
        <item x="224"/>
        <item m="1" x="991"/>
        <item x="64"/>
        <item m="1" x="1148"/>
        <item m="1" x="649"/>
        <item m="1" x="1026"/>
        <item m="1" x="528"/>
        <item m="1" x="439"/>
        <item m="1" x="616"/>
        <item m="1" x="812"/>
        <item m="1" x="955"/>
        <item x="116"/>
        <item m="1" x="517"/>
        <item x="135"/>
        <item m="1" x="778"/>
        <item m="1" x="536"/>
        <item m="1" x="880"/>
        <item m="1" x="705"/>
        <item x="244"/>
        <item m="1" x="766"/>
        <item sd="0" m="1" x="567"/>
        <item m="1" x="869"/>
        <item x="128"/>
        <item m="1" x="959"/>
        <item m="1" x="762"/>
        <item m="1" x="768"/>
        <item x="193"/>
        <item m="1" x="924"/>
        <item x="95"/>
        <item m="1" x="910"/>
        <item m="1" x="534"/>
        <item m="1" x="1017"/>
        <item m="1" x="617"/>
        <item m="1" x="662"/>
        <item m="1" x="975"/>
        <item x="400"/>
        <item m="1" x="828"/>
        <item m="1" x="707"/>
        <item x="396"/>
        <item m="1" x="798"/>
        <item x="331"/>
        <item m="1" x="1096"/>
        <item m="1" x="860"/>
        <item m="1" x="427"/>
        <item m="1" x="422"/>
        <item m="1" x="794"/>
        <item x="357"/>
        <item x="356"/>
        <item m="1" x="806"/>
        <item m="1" x="1014"/>
        <item m="1" x="822"/>
        <item m="1" x="1114"/>
        <item m="1" x="740"/>
        <item m="1" x="789"/>
        <item m="1" x="979"/>
        <item m="1" x="1157"/>
        <item m="1" x="428"/>
        <item m="1" x="634"/>
        <item m="1" x="1153"/>
        <item m="1" x="987"/>
        <item m="1" x="971"/>
        <item m="1" x="784"/>
        <item m="1" x="1002"/>
        <item m="1" x="1095"/>
        <item m="1" x="997"/>
        <item m="1" x="1021"/>
        <item m="1" x="663"/>
        <item x="32"/>
        <item m="1" x="931"/>
        <item m="1" x="1040"/>
        <item m="1" x="1163"/>
        <item m="1" x="887"/>
        <item m="1" x="818"/>
        <item m="1" x="1008"/>
        <item m="1" x="1107"/>
        <item x="326"/>
        <item m="1" x="1053"/>
        <item x="22"/>
        <item m="1" x="664"/>
        <item m="1" x="780"/>
        <item x="91"/>
        <item m="1" x="1007"/>
        <item m="1" x="937"/>
        <item m="1" x="985"/>
        <item m="1" x="579"/>
        <item m="1" x="834"/>
        <item m="1" x="953"/>
        <item m="1" x="598"/>
        <item m="1" x="476"/>
        <item x="6"/>
        <item m="1" x="593"/>
        <item m="1" x="468"/>
        <item m="1" x="733"/>
        <item m="1" x="827"/>
        <item m="1" x="734"/>
        <item m="1" x="500"/>
        <item m="1" x="659"/>
        <item m="1" x="949"/>
        <item m="1" x="932"/>
        <item sd="0" m="1" x="1035"/>
        <item m="1" x="506"/>
        <item x="119"/>
        <item m="1" x="881"/>
        <item m="1" x="1135"/>
        <item x="50"/>
        <item m="1" x="530"/>
        <item m="1" x="556"/>
        <item m="1" x="473"/>
        <item sd="0" m="1" x="855"/>
        <item x="28"/>
        <item m="1" x="943"/>
        <item x="353"/>
        <item m="1" x="745"/>
        <item x="297"/>
        <item m="1" x="823"/>
        <item x="198"/>
        <item x="305"/>
        <item m="1" x="1068"/>
        <item m="1" x="462"/>
        <item m="1" x="896"/>
        <item m="1" x="1126"/>
        <item m="1" x="521"/>
        <item m="1" x="821"/>
        <item m="1" x="1084"/>
        <item m="1" x="836"/>
        <item m="1" x="826"/>
        <item m="1" x="1120"/>
        <item x="170"/>
        <item m="1" x="642"/>
        <item m="1" x="912"/>
        <item m="1" x="918"/>
        <item m="1" x="1115"/>
        <item m="1" x="604"/>
        <item m="1" x="666"/>
        <item m="1" x="816"/>
        <item x="59"/>
        <item m="1" x="1147"/>
        <item m="1" x="988"/>
        <item x="12"/>
        <item m="1" x="752"/>
        <item m="1" x="1055"/>
        <item m="1" x="569"/>
        <item m="1" x="905"/>
        <item m="1" x="1117"/>
        <item m="1" x="538"/>
        <item m="1" x="911"/>
        <item sd="0" m="1" x="850"/>
        <item m="1" x="1052"/>
        <item sd="0" x="405"/>
        <item m="1" x="804"/>
        <item m="1" x="1023"/>
        <item m="1" x="486"/>
        <item m="1" x="665"/>
        <item m="1" x="1059"/>
        <item m="1" x="829"/>
        <item m="1" x="1045"/>
        <item x="142"/>
        <item x="196"/>
        <item m="1" x="776"/>
        <item m="1" x="1071"/>
        <item m="1" x="423"/>
        <item m="1" x="723"/>
        <item m="1" x="948"/>
        <item m="1" x="995"/>
        <item x="350"/>
        <item m="1" x="1030"/>
        <item x="174"/>
        <item m="1" x="862"/>
        <item m="1" x="921"/>
        <item x="8"/>
        <item m="1" x="919"/>
        <item m="1" x="961"/>
        <item m="1" x="1076"/>
        <item m="1" x="504"/>
        <item m="1" x="983"/>
        <item m="1" x="984"/>
        <item m="1" x="864"/>
        <item m="1" x="645"/>
        <item m="1" x="770"/>
        <item x="3"/>
        <item x="11"/>
        <item m="1" x="974"/>
        <item m="1" x="872"/>
        <item m="1" x="1131"/>
        <item m="1" x="619"/>
        <item m="1" x="736"/>
        <item m="1" x="1104"/>
        <item m="1" x="1140"/>
        <item sd="0" m="1" x="916"/>
        <item m="1" x="1051"/>
        <item m="1" x="1082"/>
        <item m="1" x="966"/>
        <item m="1" x="599"/>
        <item m="1" x="908"/>
        <item m="1" x="730"/>
        <item x="265"/>
        <item m="1" x="1158"/>
        <item m="1" x="1022"/>
        <item m="1" x="920"/>
        <item x="15"/>
        <item m="1" x="743"/>
        <item m="1" x="933"/>
        <item m="1" x="620"/>
        <item m="1" x="990"/>
        <item m="1" x="958"/>
        <item m="1" x="589"/>
        <item m="1" x="801"/>
        <item x="194"/>
        <item m="1" x="1044"/>
        <item m="1" x="904"/>
        <item m="1" x="1034"/>
        <item m="1" x="944"/>
        <item m="1" x="471"/>
        <item m="1" x="885"/>
        <item m="1" x="712"/>
        <item m="1" x="1062"/>
        <item m="1" x="854"/>
        <item m="1" x="1149"/>
        <item m="1" x="738"/>
        <item m="1" x="898"/>
        <item m="1" x="841"/>
        <item m="1" x="942"/>
        <item m="1" x="561"/>
        <item m="1" x="605"/>
        <item m="1" x="537"/>
        <item m="1" x="808"/>
        <item m="1" x="516"/>
        <item m="1" x="621"/>
        <item x="74"/>
        <item m="1" x="1004"/>
        <item x="345"/>
        <item m="1" x="483"/>
        <item x="246"/>
        <item m="1" x="668"/>
        <item m="1" x="1077"/>
        <item m="1" x="527"/>
        <item m="1" x="874"/>
        <item m="1" x="761"/>
        <item m="1" x="913"/>
        <item m="1" x="749"/>
        <item m="1" x="1011"/>
        <item m="1" x="1121"/>
        <item m="1" x="1155"/>
        <item m="1" x="1073"/>
        <item m="1" x="1037"/>
        <item m="1" x="867"/>
        <item m="1" x="1123"/>
        <item m="1" x="1103"/>
        <item m="1" x="922"/>
        <item x="209"/>
        <item m="1" x="934"/>
        <item m="1" x="957"/>
        <item m="1" x="837"/>
        <item x="90"/>
        <item m="1" x="487"/>
        <item m="1" x="1009"/>
        <item m="1" x="1139"/>
        <item m="1" x="549"/>
        <item m="1" x="982"/>
        <item m="1" x="951"/>
        <item m="1" x="915"/>
        <item m="1" x="1150"/>
        <item x="120"/>
        <item m="1" x="1134"/>
        <item m="1" x="847"/>
        <item m="1" x="1036"/>
        <item m="1" x="1019"/>
        <item m="1" x="973"/>
        <item m="1" x="938"/>
        <item m="1" x="670"/>
        <item m="1" x="791"/>
        <item m="1" x="474"/>
        <item m="1" x="449"/>
        <item sd="0" x="258"/>
        <item x="268"/>
        <item x="245"/>
        <item m="1" x="947"/>
        <item m="1" x="715"/>
        <item m="1" x="440"/>
        <item m="1" x="886"/>
        <item m="1" x="805"/>
        <item m="1" x="1032"/>
        <item sd="0" x="140"/>
        <item m="1" x="793"/>
        <item x="9"/>
        <item x="200"/>
        <item m="1" x="1125"/>
        <item x="274"/>
        <item m="1" x="482"/>
        <item x="406"/>
        <item x="31"/>
        <item x="1"/>
        <item m="1" x="1098"/>
        <item m="1" x="835"/>
        <item x="80"/>
        <item x="110"/>
        <item m="1" x="672"/>
        <item m="1" x="667"/>
        <item m="1" x="1108"/>
        <item x="16"/>
        <item m="1" x="849"/>
        <item x="408"/>
        <item x="38"/>
        <item m="1" x="853"/>
        <item m="1" x="878"/>
        <item m="1" x="960"/>
        <item m="1" x="1049"/>
        <item x="25"/>
        <item m="1" x="811"/>
        <item x="168"/>
        <item m="1" x="873"/>
        <item m="1" x="897"/>
        <item m="1" x="1038"/>
        <item m="1" x="1097"/>
        <item m="1" x="661"/>
        <item x="346"/>
        <item x="0"/>
        <item m="1" x="573"/>
        <item m="1" x="992"/>
        <item m="1" x="493"/>
        <item m="1" x="1046"/>
        <item m="1" x="1006"/>
        <item m="1" x="1159"/>
        <item m="1" x="502"/>
        <item m="1" x="1039"/>
        <item m="1" x="505"/>
        <item m="1" x="1085"/>
        <item m="1" x="774"/>
        <item m="1" x="1164"/>
        <item m="1" x="1113"/>
        <item m="1" x="481"/>
        <item m="1" x="708"/>
        <item m="1" x="1089"/>
        <item m="1" x="1116"/>
        <item m="1" x="602"/>
        <item m="1" x="1080"/>
        <item x="36"/>
        <item m="1" x="865"/>
        <item m="1" x="795"/>
        <item m="1" x="1086"/>
        <item m="1" x="1106"/>
        <item m="1" x="425"/>
        <item m="1" x="495"/>
        <item m="1" x="788"/>
        <item m="1" x="777"/>
        <item m="1" x="1122"/>
        <item m="1" x="633"/>
        <item m="1" x="574"/>
        <item m="1" x="901"/>
        <item m="1" x="787"/>
        <item m="1" x="876"/>
        <item m="1" x="790"/>
        <item m="1" x="903"/>
        <item m="1" x="899"/>
        <item m="1" x="773"/>
        <item m="1" x="442"/>
        <item m="1" x="945"/>
        <item m="1" x="709"/>
        <item m="1" x="677"/>
        <item m="1" x="1143"/>
        <item m="1" x="930"/>
        <item m="1" x="713"/>
        <item m="1" x="1031"/>
        <item m="1" x="895"/>
        <item m="1" x="750"/>
        <item m="1" x="771"/>
        <item m="1" x="615"/>
        <item m="1" x="964"/>
        <item m="1" x="813"/>
        <item m="1" x="956"/>
        <item x="260"/>
        <item m="1" x="970"/>
        <item m="1" x="842"/>
        <item m="1" x="639"/>
        <item m="1" x="753"/>
        <item x="223"/>
        <item m="1" x="654"/>
        <item m="1" x="976"/>
        <item m="1" x="555"/>
        <item m="1" x="863"/>
        <item m="1" x="1005"/>
        <item m="1" x="1144"/>
        <item m="1" x="858"/>
        <item m="1" x="1079"/>
        <item x="271"/>
        <item m="1" x="952"/>
        <item m="1" x="939"/>
        <item m="1" x="460"/>
        <item x="2"/>
        <item m="1" x="463"/>
        <item m="1" x="685"/>
        <item m="1" x="464"/>
        <item m="1" x="622"/>
        <item m="1" x="578"/>
        <item x="372"/>
        <item m="1" x="647"/>
        <item m="1" x="714"/>
        <item m="1" x="445"/>
        <item m="1" x="511"/>
        <item m="1" x="628"/>
        <item m="1" x="694"/>
        <item m="1" x="469"/>
        <item m="1" x="703"/>
        <item m="1" x="542"/>
        <item m="1" x="583"/>
        <item m="1" x="438"/>
        <item x="30"/>
        <item m="1" x="737"/>
        <item m="1" x="478"/>
        <item m="1" x="716"/>
        <item m="1" x="640"/>
        <item m="1" x="673"/>
        <item m="1" x="692"/>
        <item m="1" x="624"/>
        <item m="1" x="700"/>
        <item x="42"/>
        <item x="66"/>
        <item m="1" x="720"/>
        <item m="1" x="651"/>
        <item m="1" x="725"/>
        <item m="1" x="687"/>
        <item x="88"/>
        <item m="1" x="585"/>
        <item x="75"/>
        <item m="1" x="658"/>
        <item m="1" x="729"/>
        <item m="1" x="686"/>
        <item m="1" x="693"/>
        <item x="104"/>
        <item m="1" x="443"/>
        <item m="1" x="697"/>
        <item m="1" x="409"/>
        <item x="312"/>
        <item m="1" x="691"/>
        <item x="133"/>
        <item m="1" x="414"/>
        <item x="144"/>
        <item m="1" x="630"/>
        <item m="1" x="488"/>
        <item m="1" x="724"/>
        <item m="1" x="719"/>
        <item m="1" x="522"/>
        <item m="1" x="695"/>
        <item m="1" x="523"/>
        <item x="213"/>
        <item m="1" x="552"/>
        <item x="14"/>
        <item x="172"/>
        <item m="1" x="416"/>
        <item m="1" x="491"/>
        <item x="175"/>
        <item x="390"/>
        <item x="173"/>
        <item m="1" x="741"/>
        <item m="1" x="660"/>
        <item x="180"/>
        <item m="1" x="682"/>
        <item x="324"/>
        <item m="1" x="646"/>
        <item m="1" x="711"/>
        <item m="1" x="623"/>
        <item m="1" x="704"/>
        <item m="1" x="680"/>
        <item m="1" x="742"/>
        <item x="254"/>
        <item m="1" x="710"/>
        <item m="1" x="669"/>
        <item m="1" x="698"/>
        <item m="1" x="731"/>
        <item x="205"/>
        <item m="1" x="636"/>
        <item x="366"/>
        <item x="269"/>
        <item x="340"/>
        <item m="1" x="671"/>
        <item m="1" x="706"/>
        <item m="1" x="546"/>
        <item m="1" x="461"/>
        <item x="237"/>
        <item m="1" x="426"/>
        <item m="1" x="467"/>
        <item m="1" x="512"/>
        <item m="1" x="563"/>
        <item m="1" x="548"/>
        <item x="49"/>
        <item m="1" x="513"/>
        <item m="1" x="564"/>
        <item m="1" x="514"/>
        <item m="1" x="472"/>
        <item m="1" x="430"/>
        <item x="404"/>
        <item x="255"/>
        <item m="1" x="413"/>
        <item x="103"/>
        <item x="109"/>
        <item m="1" x="446"/>
        <item m="1" x="485"/>
        <item x="127"/>
        <item m="1" x="448"/>
        <item m="1" x="411"/>
        <item m="1" x="489"/>
        <item x="145"/>
        <item m="1" x="415"/>
        <item x="378"/>
        <item x="150"/>
        <item m="1" x="524"/>
        <item m="1" x="525"/>
        <item x="157"/>
        <item m="1" x="554"/>
        <item x="179"/>
        <item m="1" x="568"/>
        <item m="1" x="496"/>
        <item m="1" x="497"/>
        <item m="1" x="498"/>
        <item m="1" x="532"/>
        <item m="1" x="557"/>
        <item x="343"/>
        <item m="1" x="417"/>
        <item m="1" x="499"/>
        <item m="1" x="533"/>
        <item x="285"/>
        <item x="117"/>
        <item x="225"/>
        <item m="1" x="535"/>
        <item m="1" x="501"/>
        <item x="29"/>
        <item m="1" x="558"/>
        <item x="256"/>
        <item x="266"/>
        <item x="267"/>
        <item m="1" x="419"/>
        <item m="1" x="560"/>
        <item x="275"/>
        <item x="276"/>
        <item m="1" x="454"/>
        <item m="1" x="571"/>
        <item m="1" x="539"/>
        <item m="1" x="540"/>
        <item x="349"/>
        <item m="1" x="420"/>
        <item m="1" x="543"/>
        <item m="1" x="434"/>
        <item m="1" x="545"/>
        <item x="319"/>
        <item m="1" x="509"/>
        <item m="1" x="410"/>
        <item m="1" x="412"/>
        <item m="1" x="547"/>
        <item m="1" x="575"/>
        <item m="1" x="576"/>
        <item x="17"/>
        <item x="23"/>
        <item m="1" x="580"/>
        <item m="1" x="581"/>
        <item m="1" x="582"/>
        <item m="1" x="584"/>
        <item x="52"/>
        <item m="1" x="590"/>
        <item x="310"/>
        <item m="1" x="594"/>
        <item x="165"/>
        <item m="1" x="595"/>
        <item x="384"/>
        <item x="210"/>
        <item m="1" x="600"/>
        <item m="1" x="601"/>
        <item x="333"/>
        <item x="87"/>
        <item m="1" x="603"/>
        <item x="4"/>
        <item x="5"/>
        <item x="19"/>
        <item x="20"/>
        <item x="26"/>
        <item x="27"/>
        <item x="33"/>
        <item x="34"/>
        <item x="39"/>
        <item x="40"/>
        <item x="43"/>
        <item x="44"/>
        <item x="45"/>
        <item x="46"/>
        <item x="47"/>
        <item x="48"/>
        <item x="51"/>
        <item x="53"/>
        <item x="54"/>
        <item x="55"/>
        <item x="56"/>
        <item x="57"/>
        <item x="58"/>
        <item x="61"/>
        <item x="62"/>
        <item x="63"/>
        <item x="67"/>
        <item x="68"/>
        <item x="69"/>
        <item x="70"/>
        <item x="72"/>
        <item x="73"/>
        <item x="76"/>
        <item x="77"/>
        <item x="78"/>
        <item x="79"/>
        <item x="81"/>
        <item x="82"/>
        <item x="83"/>
        <item x="84"/>
        <item x="85"/>
        <item x="86"/>
        <item x="89"/>
        <item x="92"/>
        <item x="93"/>
        <item x="94"/>
        <item x="98"/>
        <item x="100"/>
        <item x="101"/>
        <item x="107"/>
        <item x="108"/>
        <item x="113"/>
        <item x="114"/>
        <item x="115"/>
        <item x="118"/>
        <item x="125"/>
        <item x="129"/>
        <item x="130"/>
        <item x="132"/>
        <item x="134"/>
        <item x="136"/>
        <item x="137"/>
        <item x="138"/>
        <item x="139"/>
        <item x="146"/>
        <item x="151"/>
        <item x="152"/>
        <item x="153"/>
        <item x="154"/>
        <item x="158"/>
        <item x="159"/>
        <item x="160"/>
        <item x="161"/>
        <item x="162"/>
        <item x="166"/>
        <item x="169"/>
        <item x="171"/>
        <item x="176"/>
        <item x="177"/>
        <item x="178"/>
        <item x="182"/>
        <item x="183"/>
        <item x="184"/>
        <item x="185"/>
        <item x="188"/>
        <item x="189"/>
        <item x="190"/>
        <item x="192"/>
        <item x="197"/>
        <item x="199"/>
        <item x="202"/>
        <item x="203"/>
        <item x="206"/>
        <item x="207"/>
        <item x="208"/>
        <item x="211"/>
        <item x="212"/>
        <item x="214"/>
        <item x="215"/>
        <item x="216"/>
        <item x="217"/>
        <item x="218"/>
        <item x="219"/>
        <item x="220"/>
        <item x="221"/>
        <item x="222"/>
        <item x="226"/>
        <item x="227"/>
        <item x="228"/>
        <item x="229"/>
        <item x="231"/>
        <item x="232"/>
        <item x="233"/>
        <item x="235"/>
        <item x="236"/>
        <item x="238"/>
        <item x="240"/>
        <item x="241"/>
        <item x="242"/>
        <item x="243"/>
        <item x="247"/>
        <item x="248"/>
        <item x="249"/>
        <item x="250"/>
        <item x="251"/>
        <item x="252"/>
        <item x="257"/>
        <item x="259"/>
        <item x="261"/>
        <item x="262"/>
        <item x="263"/>
        <item x="264"/>
        <item x="272"/>
        <item x="273"/>
        <item x="277"/>
        <item x="278"/>
        <item x="279"/>
        <item x="280"/>
        <item x="281"/>
        <item x="282"/>
        <item x="283"/>
        <item x="286"/>
        <item x="287"/>
        <item x="288"/>
        <item x="291"/>
        <item x="292"/>
        <item x="293"/>
        <item x="294"/>
        <item x="296"/>
        <item x="298"/>
        <item x="299"/>
        <item x="300"/>
        <item x="301"/>
        <item x="302"/>
        <item x="303"/>
        <item x="304"/>
        <item x="306"/>
        <item x="307"/>
        <item x="309"/>
        <item x="311"/>
        <item x="313"/>
        <item x="316"/>
        <item x="317"/>
        <item x="318"/>
        <item x="321"/>
        <item x="322"/>
        <item x="325"/>
        <item x="327"/>
        <item x="328"/>
        <item x="329"/>
        <item x="330"/>
        <item x="332"/>
        <item x="334"/>
        <item x="336"/>
        <item x="338"/>
        <item x="339"/>
        <item x="341"/>
        <item x="342"/>
        <item x="344"/>
        <item x="347"/>
        <item x="348"/>
        <item x="351"/>
        <item x="352"/>
        <item x="354"/>
        <item x="355"/>
        <item x="358"/>
        <item x="359"/>
        <item x="360"/>
        <item x="361"/>
        <item x="364"/>
        <item x="365"/>
        <item x="367"/>
        <item x="370"/>
        <item x="371"/>
        <item x="373"/>
        <item x="375"/>
        <item x="376"/>
        <item x="377"/>
        <item x="379"/>
        <item x="380"/>
        <item x="382"/>
        <item x="383"/>
        <item x="385"/>
        <item x="386"/>
        <item x="387"/>
        <item x="389"/>
        <item x="393"/>
        <item x="394"/>
        <item x="395"/>
        <item x="397"/>
        <item x="398"/>
        <item x="399"/>
        <item x="401"/>
        <item x="402"/>
        <item x="407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axis="axisPage" compact="0" multipleItemSelectionAllowed="1" showAll="0" defaultSubtotal="0">
      <items count="30">
        <item h="1" m="1" x="24"/>
        <item h="1" m="1" x="25"/>
        <item h="1" m="1" x="29"/>
        <item h="1" m="1" x="19"/>
        <item h="1" m="1" x="23"/>
        <item h="1" m="1" x="27"/>
        <item h="1" m="1" x="22"/>
        <item x="0"/>
        <item h="1" m="1" x="21"/>
        <item x="8"/>
        <item h="1" m="1" x="18"/>
        <item m="1" x="28"/>
        <item m="1" x="26"/>
        <item h="1" m="1" x="20"/>
        <item m="1" x="14"/>
        <item m="1" x="13"/>
        <item h="1" m="1" x="12"/>
        <item x="10"/>
        <item h="1" m="1" x="15"/>
        <item h="1" m="1" x="16"/>
        <item h="1" m="1" x="17"/>
        <item x="1"/>
        <item x="2"/>
        <item x="5"/>
        <item x="9"/>
        <item x="4"/>
        <item x="3"/>
        <item x="11"/>
        <item x="6"/>
        <item x="7"/>
      </items>
    </pivotField>
    <pivotField dataField="1" compact="0" showAll="0"/>
    <pivotField dataField="1" compact="0" showAll="0"/>
    <pivotField dataField="1" compact="0" showAll="0"/>
    <pivotField dataField="1" compact="0" showAll="0"/>
    <pivotField dataField="1" compact="0" multipleItemSelectionAllowed="1" showAll="0">
      <items count="3">
        <item x="0"/>
        <item x="1"/>
        <item t="default"/>
      </items>
    </pivotField>
    <pivotField dataField="1" compact="0" showAll="0">
      <items count="33">
        <item x="4"/>
        <item x="3"/>
        <item x="7"/>
        <item x="2"/>
        <item x="6"/>
        <item x="8"/>
        <item x="9"/>
        <item m="1" x="24"/>
        <item x="11"/>
        <item x="13"/>
        <item m="1" x="26"/>
        <item x="10"/>
        <item m="1" x="29"/>
        <item m="1" x="31"/>
        <item x="14"/>
        <item m="1" x="23"/>
        <item m="1" x="21"/>
        <item m="1" x="22"/>
        <item x="1"/>
        <item m="1" x="19"/>
        <item x="16"/>
        <item x="5"/>
        <item x="17"/>
        <item x="12"/>
        <item m="1" x="20"/>
        <item m="1" x="18"/>
        <item m="1" x="28"/>
        <item m="1" x="25"/>
        <item x="15"/>
        <item m="1" x="27"/>
        <item m="1" x="30"/>
        <item x="0"/>
        <item t="default"/>
      </items>
    </pivotField>
    <pivotField dataField="1" compact="0" multipleItemSelectionAllowed="1" showAll="0">
      <items count="3">
        <item x="0"/>
        <item h="1" x="1"/>
        <item t="default"/>
      </items>
    </pivotField>
    <pivotField dataField="1" compact="0" showAll="0">
      <items count="33">
        <item x="4"/>
        <item x="3"/>
        <item x="7"/>
        <item x="2"/>
        <item x="6"/>
        <item x="8"/>
        <item x="9"/>
        <item m="1" x="24"/>
        <item x="11"/>
        <item x="13"/>
        <item m="1" x="26"/>
        <item x="10"/>
        <item m="1" x="29"/>
        <item m="1" x="31"/>
        <item x="14"/>
        <item m="1" x="23"/>
        <item m="1" x="21"/>
        <item m="1" x="22"/>
        <item x="1"/>
        <item m="1" x="19"/>
        <item x="16"/>
        <item x="5"/>
        <item x="17"/>
        <item x="12"/>
        <item m="1" x="20"/>
        <item m="1" x="18"/>
        <item m="1" x="28"/>
        <item m="1" x="25"/>
        <item x="15"/>
        <item m="1" x="27"/>
        <item m="1" x="30"/>
        <item x="0"/>
        <item t="default"/>
      </items>
    </pivotField>
    <pivotField compact="0" showAll="0"/>
    <pivotField compact="0" showAll="0"/>
    <pivotField compact="0" showAll="0"/>
  </pivotFields>
  <rowFields count="1">
    <field x="4"/>
  </rowFields>
  <rowItems count="350">
    <i>
      <x v="978"/>
    </i>
    <i>
      <x v="377"/>
    </i>
    <i>
      <x v="813"/>
    </i>
    <i>
      <x v="970"/>
    </i>
    <i>
      <x v="1070"/>
    </i>
    <i>
      <x v="802"/>
    </i>
    <i>
      <x v="980"/>
    </i>
    <i>
      <x v="143"/>
    </i>
    <i>
      <x v="948"/>
    </i>
    <i>
      <x v="1136"/>
    </i>
    <i>
      <x v="1064"/>
    </i>
    <i>
      <x v="349"/>
    </i>
    <i>
      <x v="115"/>
    </i>
    <i>
      <x v="937"/>
    </i>
    <i>
      <x v="1033"/>
    </i>
    <i>
      <x v="263"/>
    </i>
    <i>
      <x v="1063"/>
    </i>
    <i>
      <x v="383"/>
    </i>
    <i>
      <x v="1004"/>
    </i>
    <i>
      <x v="1074"/>
    </i>
    <i>
      <x v="901"/>
    </i>
    <i>
      <x v="960"/>
    </i>
    <i>
      <x v="1132"/>
    </i>
    <i>
      <x v="108"/>
    </i>
    <i>
      <x v="198"/>
    </i>
    <i>
      <x v="561"/>
    </i>
    <i>
      <x v="1055"/>
    </i>
    <i>
      <x v="884"/>
    </i>
    <i>
      <x v="47"/>
    </i>
    <i>
      <x v="237"/>
    </i>
    <i>
      <x v="965"/>
    </i>
    <i>
      <x v="208"/>
    </i>
    <i>
      <x v="967"/>
    </i>
    <i>
      <x v="1096"/>
    </i>
    <i>
      <x v="1056"/>
    </i>
    <i>
      <x v="1120"/>
    </i>
    <i>
      <x v="283"/>
    </i>
    <i>
      <x v="496"/>
    </i>
    <i>
      <x v="1015"/>
    </i>
    <i>
      <x v="1097"/>
    </i>
    <i>
      <x v="765"/>
    </i>
    <i>
      <x v="1027"/>
    </i>
    <i>
      <x v="399"/>
    </i>
    <i>
      <x v="914"/>
    </i>
    <i>
      <x v="919"/>
    </i>
    <i>
      <x v="1126"/>
    </i>
    <i>
      <x v="1108"/>
    </i>
    <i>
      <x v="490"/>
    </i>
    <i>
      <x v="94"/>
    </i>
    <i>
      <x v="663"/>
    </i>
    <i>
      <x v="913"/>
    </i>
    <i>
      <x v="676"/>
    </i>
    <i>
      <x v="204"/>
    </i>
    <i>
      <x v="293"/>
    </i>
    <i>
      <x v="3"/>
    </i>
    <i>
      <x v="392"/>
    </i>
    <i>
      <x v="1073"/>
    </i>
    <i>
      <x v="963"/>
    </i>
    <i>
      <x v="988"/>
    </i>
    <i>
      <x v="683"/>
    </i>
    <i>
      <x v="957"/>
    </i>
    <i>
      <x v="1069"/>
    </i>
    <i>
      <x v="717"/>
    </i>
    <i>
      <x v="1006"/>
    </i>
    <i>
      <x v="192"/>
    </i>
    <i>
      <x v="959"/>
    </i>
    <i>
      <x v="983"/>
    </i>
    <i>
      <x v="1150"/>
    </i>
    <i>
      <x v="1002"/>
    </i>
    <i>
      <x v="833"/>
    </i>
    <i>
      <x v="218"/>
    </i>
    <i>
      <x v="260"/>
    </i>
    <i>
      <x v="1123"/>
    </i>
    <i>
      <x v="931"/>
    </i>
    <i>
      <x v="991"/>
    </i>
    <i>
      <x v="1138"/>
    </i>
    <i>
      <x v="314"/>
    </i>
    <i>
      <x v="634"/>
    </i>
    <i>
      <x v="184"/>
    </i>
    <i>
      <x v="326"/>
    </i>
    <i>
      <x v="172"/>
    </i>
    <i>
      <x v="865"/>
    </i>
    <i>
      <x v="73"/>
    </i>
    <i>
      <x v="989"/>
    </i>
    <i>
      <x v="201"/>
    </i>
    <i>
      <x v="485"/>
    </i>
    <i>
      <x v="1000"/>
    </i>
    <i>
      <x v="1016"/>
    </i>
    <i>
      <x v="825"/>
    </i>
    <i>
      <x v="986"/>
    </i>
    <i>
      <x v="508"/>
    </i>
    <i>
      <x v="1109"/>
    </i>
    <i>
      <x v="1068"/>
    </i>
    <i>
      <x v="448"/>
    </i>
    <i>
      <x v="787"/>
    </i>
    <i>
      <x v="1141"/>
    </i>
    <i>
      <x v="688"/>
    </i>
    <i>
      <x v="984"/>
    </i>
    <i>
      <x v="1148"/>
    </i>
    <i>
      <x v="1113"/>
    </i>
    <i>
      <x v="977"/>
    </i>
    <i>
      <x v="409"/>
    </i>
    <i>
      <x v="1076"/>
    </i>
    <i>
      <x v="1039"/>
    </i>
    <i>
      <x v="1079"/>
    </i>
    <i>
      <x v="831"/>
    </i>
    <i>
      <x v="1084"/>
    </i>
    <i>
      <x v="756"/>
    </i>
    <i>
      <x v="630"/>
    </i>
    <i>
      <x v="924"/>
    </i>
    <i>
      <x v="956"/>
    </i>
    <i>
      <x v="1117"/>
    </i>
    <i>
      <x v="588"/>
    </i>
    <i>
      <x v="1059"/>
    </i>
    <i>
      <x v="52"/>
    </i>
    <i>
      <x v="1101"/>
    </i>
    <i>
      <x v="859"/>
    </i>
    <i>
      <x v="538"/>
    </i>
    <i>
      <x v="908"/>
    </i>
    <i>
      <x v="1062"/>
    </i>
    <i>
      <x v="378"/>
    </i>
    <i>
      <x v="1081"/>
    </i>
    <i>
      <x v="944"/>
    </i>
    <i>
      <x v="247"/>
    </i>
    <i>
      <x v="947"/>
    </i>
    <i>
      <x v="1007"/>
    </i>
    <i>
      <x v="381"/>
    </i>
    <i>
      <x v="1046"/>
    </i>
    <i>
      <x v="38"/>
    </i>
    <i>
      <x v="1060"/>
    </i>
    <i>
      <x v="61"/>
    </i>
    <i>
      <x v="560"/>
    </i>
    <i>
      <x v="976"/>
    </i>
    <i>
      <x v="1078"/>
    </i>
    <i>
      <x v="421"/>
    </i>
    <i>
      <x v="1094"/>
    </i>
    <i>
      <x v="64"/>
    </i>
    <i>
      <x v="1105"/>
    </i>
    <i>
      <x v="996"/>
    </i>
    <i>
      <x v="1110"/>
    </i>
    <i>
      <x v="494"/>
    </i>
    <i>
      <x v="1139"/>
    </i>
    <i>
      <x v="147"/>
    </i>
    <i>
      <x v="1014"/>
    </i>
    <i>
      <x v="853"/>
    </i>
    <i>
      <x v="985"/>
    </i>
    <i>
      <x v="613"/>
    </i>
    <i>
      <x v="1149"/>
    </i>
    <i>
      <x v="836"/>
    </i>
    <i>
      <x v="1020"/>
    </i>
    <i>
      <x v="1144"/>
    </i>
    <i>
      <x v="1022"/>
    </i>
    <i>
      <x v="66"/>
    </i>
    <i>
      <x v="1023"/>
    </i>
    <i>
      <x v="1107"/>
    </i>
    <i>
      <x v="1026"/>
    </i>
    <i>
      <x v="1114"/>
    </i>
    <i>
      <x v="1030"/>
    </i>
    <i>
      <x v="690"/>
    </i>
    <i>
      <x v="1034"/>
    </i>
    <i>
      <x v="611"/>
    </i>
    <i>
      <x v="284"/>
    </i>
    <i>
      <x v="170"/>
    </i>
    <i>
      <x v="138"/>
    </i>
    <i>
      <x v="427"/>
    </i>
    <i>
      <x v="1049"/>
    </i>
    <i>
      <x v="214"/>
    </i>
    <i>
      <x v="1053"/>
    </i>
    <i>
      <x v="106"/>
    </i>
    <i>
      <x v="872"/>
    </i>
    <i>
      <x v="1111"/>
    </i>
    <i>
      <x v="874"/>
    </i>
    <i>
      <x v="1116"/>
    </i>
    <i>
      <x v="971"/>
    </i>
    <i>
      <x v="1130"/>
    </i>
    <i>
      <x v="310"/>
    </i>
    <i>
      <x v="952"/>
    </i>
    <i>
      <x v="576"/>
    </i>
    <i>
      <x v="1012"/>
    </i>
    <i>
      <x v="888"/>
    </i>
    <i>
      <x v="751"/>
    </i>
    <i>
      <x v="909"/>
    </i>
    <i>
      <x v="1145"/>
    </i>
    <i>
      <x v="125"/>
    </i>
    <i>
      <x v="209"/>
    </i>
    <i>
      <x v="270"/>
    </i>
    <i>
      <x v="654"/>
    </i>
    <i>
      <x v="1137"/>
    </i>
    <i>
      <x v="1086"/>
    </i>
    <i>
      <x v="1142"/>
    </i>
    <i>
      <x v="1038"/>
    </i>
    <i>
      <x v="1031"/>
    </i>
    <i>
      <x v="769"/>
    </i>
    <i>
      <x v="1125"/>
    </i>
    <i>
      <x v="1041"/>
    </i>
    <i>
      <x v="162"/>
    </i>
    <i>
      <x v="941"/>
    </i>
    <i>
      <x v="982"/>
    </i>
    <i>
      <x v="850"/>
    </i>
    <i>
      <x v="1140"/>
    </i>
    <i>
      <x v="88"/>
    </i>
    <i>
      <x v="206"/>
    </i>
    <i>
      <x v="550"/>
    </i>
    <i>
      <x v="932"/>
    </i>
    <i>
      <x v="1013"/>
    </i>
    <i>
      <x v="828"/>
    </i>
    <i>
      <x v="1018"/>
    </i>
    <i>
      <x v="817"/>
    </i>
    <i>
      <x v="56"/>
    </i>
    <i>
      <x v="492"/>
    </i>
    <i>
      <x v="1008"/>
    </i>
    <i>
      <x v="871"/>
    </i>
    <i>
      <x v="1024"/>
    </i>
    <i>
      <x v="827"/>
    </i>
    <i>
      <x v="1029"/>
    </i>
    <i>
      <x v="1158"/>
    </i>
    <i>
      <x v="950"/>
    </i>
    <i>
      <x v="238"/>
    </i>
    <i>
      <x v="461"/>
    </i>
    <i>
      <x v="902"/>
    </i>
    <i>
      <x v="993"/>
    </i>
    <i>
      <x v="852"/>
    </i>
    <i>
      <x v="981"/>
    </i>
    <i>
      <x v="1009"/>
    </i>
    <i>
      <x v="1135"/>
    </i>
    <i>
      <x v="838"/>
    </i>
    <i>
      <x v="1044"/>
    </i>
    <i>
      <x v="655"/>
    </i>
    <i>
      <x v="697"/>
    </i>
    <i>
      <x v="1161"/>
    </i>
    <i>
      <x v="1091"/>
    </i>
    <i>
      <x v="1088"/>
    </i>
    <i>
      <x v="372"/>
    </i>
    <i>
      <x v="906"/>
    </i>
    <i>
      <x v="137"/>
    </i>
    <i>
      <x v="248"/>
    </i>
    <i>
      <x v="897"/>
    </i>
    <i>
      <x v="878"/>
    </i>
    <i>
      <x v="1061"/>
    </i>
    <i>
      <x v="220"/>
    </i>
    <i>
      <x v="1162"/>
    </i>
    <i>
      <x v="972"/>
    </i>
    <i>
      <x v="643"/>
    </i>
    <i>
      <x v="964"/>
    </i>
    <i>
      <x v="1133"/>
    </i>
    <i>
      <x v="1011"/>
    </i>
    <i>
      <x v="1072"/>
    </i>
    <i>
      <x v="974"/>
    </i>
    <i>
      <x v="1057"/>
    </i>
    <i>
      <x v="832"/>
    </i>
    <i>
      <x v="1115"/>
    </i>
    <i>
      <x v="416"/>
    </i>
    <i>
      <x v="1065"/>
    </i>
    <i>
      <x v="992"/>
    </i>
    <i>
      <x v="166"/>
    </i>
    <i>
      <x v="1129"/>
    </i>
    <i>
      <x v="875"/>
    </i>
    <i>
      <x v="809"/>
    </i>
    <i>
      <x v="656"/>
    </i>
    <i>
      <x v="152"/>
    </i>
    <i>
      <x v="968"/>
    </i>
    <i>
      <x v="1122"/>
    </i>
    <i>
      <x v="1083"/>
    </i>
    <i>
      <x v="1042"/>
    </i>
    <i>
      <x v="529"/>
    </i>
    <i>
      <x v="519"/>
    </i>
    <i>
      <x v="1090"/>
    </i>
    <i>
      <x v="104"/>
    </i>
    <i>
      <x v="1037"/>
    </i>
    <i>
      <x v="1163"/>
    </i>
    <i>
      <x v="797"/>
    </i>
    <i>
      <x v="962"/>
    </i>
    <i>
      <x v="951"/>
    </i>
    <i>
      <x v="428"/>
    </i>
    <i>
      <x v="1128"/>
    </i>
    <i>
      <x v="1121"/>
    </i>
    <i>
      <x v="1071"/>
    </i>
    <i>
      <x v="213"/>
    </i>
    <i>
      <x v="1047"/>
    </i>
    <i>
      <x v="969"/>
    </i>
    <i>
      <x v="987"/>
    </i>
    <i>
      <x v="298"/>
    </i>
    <i>
      <x v="1134"/>
    </i>
    <i>
      <x v="696"/>
    </i>
    <i>
      <x v="990"/>
    </i>
    <i>
      <x v="910"/>
    </i>
    <i>
      <x v="1154"/>
    </i>
    <i>
      <x v="1100"/>
    </i>
    <i>
      <x v="1143"/>
    </i>
    <i>
      <x v="516"/>
    </i>
    <i>
      <x v="1153"/>
    </i>
    <i>
      <x v="1103"/>
    </i>
    <i>
      <x v="1160"/>
    </i>
    <i>
      <x v="979"/>
    </i>
    <i>
      <x v="306"/>
    </i>
    <i>
      <x v="1043"/>
    </i>
    <i>
      <x v="547"/>
    </i>
    <i>
      <x v="215"/>
    </i>
    <i>
      <x v="997"/>
    </i>
    <i>
      <x v="804"/>
    </i>
    <i>
      <x v="1155"/>
    </i>
    <i>
      <x v="1085"/>
    </i>
    <i>
      <x v="1164"/>
    </i>
    <i>
      <x v="295"/>
    </i>
    <i>
      <x v="350"/>
    </i>
    <i>
      <x v="975"/>
    </i>
    <i>
      <x v="670"/>
    </i>
    <i>
      <x v="1131"/>
    </i>
    <i>
      <x v="1159"/>
    </i>
    <i>
      <x v="76"/>
    </i>
    <i>
      <x v="672"/>
    </i>
    <i>
      <x v="775"/>
    </i>
    <i>
      <x v="1032"/>
    </i>
    <i>
      <x v="665"/>
    </i>
    <i>
      <x v="1147"/>
    </i>
    <i>
      <x v="939"/>
    </i>
    <i>
      <x v="999"/>
    </i>
    <i>
      <x v="419"/>
    </i>
    <i>
      <x v="1152"/>
    </i>
    <i>
      <x v="470"/>
    </i>
    <i>
      <x v="1098"/>
    </i>
    <i>
      <x v="903"/>
    </i>
    <i>
      <x v="1054"/>
    </i>
    <i>
      <x v="666"/>
    </i>
    <i>
      <x v="1003"/>
    </i>
    <i>
      <x v="243"/>
    </i>
    <i>
      <x v="274"/>
    </i>
    <i>
      <x v="854"/>
    </i>
    <i>
      <x v="943"/>
    </i>
    <i>
      <x v="1050"/>
    </i>
    <i>
      <x v="955"/>
    </i>
    <i>
      <x v="1156"/>
    </i>
    <i>
      <x v="1089"/>
    </i>
    <i>
      <x v="961"/>
    </i>
    <i>
      <x v="545"/>
    </i>
    <i>
      <x v="1099"/>
    </i>
    <i>
      <x v="1087"/>
    </i>
    <i>
      <x v="1157"/>
    </i>
    <i>
      <x v="1151"/>
    </i>
    <i>
      <x v="1146"/>
    </i>
    <i>
      <x v="1106"/>
    </i>
    <i>
      <x v="1005"/>
    </i>
    <i>
      <x v="885"/>
    </i>
    <i>
      <x v="580"/>
    </i>
    <i>
      <x v="242"/>
    </i>
    <i>
      <x v="407"/>
    </i>
    <i>
      <x v="1127"/>
    </i>
    <i>
      <x v="966"/>
    </i>
    <i>
      <x v="682"/>
    </i>
    <i t="grand">
      <x/>
    </i>
  </rowItems>
  <colFields count="1">
    <field x="-2"/>
  </colFields>
  <colItems count="2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</colItems>
  <pageFields count="4">
    <pageField fld="3" hier="-1"/>
    <pageField fld="2" hier="-1"/>
    <pageField fld="17" hier="-1"/>
    <pageField fld="1" hier="-1"/>
  </pageFields>
  <dataFields count="22">
    <dataField name="AVG Voto" fld="5" subtotal="average" baseField="3" baseItem="0" numFmtId="2"/>
    <dataField name="AVG FVoto" fld="21" subtotal="average" baseField="3" baseItem="0" numFmtId="2"/>
    <dataField name="TOT FVoto" fld="21" baseField="3" baseItem="0"/>
    <dataField name="Gol F " fld="6" baseField="3" baseItem="0"/>
    <dataField name="Gol S" fld="7" baseField="3" baseItem="0"/>
    <dataField name="Rig P" fld="8" baseField="3" baseItem="0"/>
    <dataField name="Rig KO" fld="9" baseField="3" baseItem="0"/>
    <dataField name="Rig OK" fld="10" baseField="3" baseItem="0"/>
    <dataField name="AutoG" fld="11" baseField="3" baseItem="0"/>
    <dataField name="Amm " fld="12" baseField="3" baseItem="0"/>
    <dataField name="Esp " fld="13" baseField="3" baseItem="0"/>
    <dataField name="Assist" fld="14" baseField="3" baseItem="0"/>
    <dataField name="Gol VITT" fld="15" baseField="3" baseItem="0"/>
    <dataField name="CL SHT" fld="16" baseField="3" baseItem="0"/>
    <dataField name="GOL" fld="18" baseField="3" baseItem="0"/>
    <dataField name="N° FantaTit " fld="19" baseField="3" baseItem="0"/>
    <dataField name="AVG FantaTit" fld="20" subtotal="average" baseField="3" baseItem="0" numFmtId="166"/>
    <dataField name="TOT FantaTit" fld="20" baseField="3" baseItem="0"/>
    <dataField name="Best11" fld="23" baseField="4" baseItem="296"/>
    <dataField name="Conteggio di Best 11" fld="22" subtotal="count" baseField="0" baseItem="0"/>
    <dataField name="Best11 MOD" fld="25" baseField="4" baseItem="296"/>
    <dataField name="Conteggio di Best 11 MOD" fld="24" subtotal="count" baseField="0" baseItem="0"/>
  </dataFields>
  <formats count="44">
    <format dxfId="73">
      <pivotArea field="4" type="button" dataOnly="0" labelOnly="1" outline="0" axis="axisRow" fieldPosition="0"/>
    </format>
    <format dxfId="72">
      <pivotArea dataOnly="0" labelOnly="1" outline="0" fieldPosition="0">
        <references count="1">
          <reference field="4294967294" count="16">
            <x v="0"/>
            <x v="1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</references>
      </pivotArea>
    </format>
    <format dxfId="71">
      <pivotArea dataOnly="0" labelOnly="1" outline="0" fieldPosition="0">
        <references count="1">
          <reference field="4294967294" count="16">
            <x v="0"/>
            <x v="1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</references>
      </pivotArea>
    </format>
    <format dxfId="70">
      <pivotArea dataOnly="0" labelOnly="1" outline="0" fieldPosition="0">
        <references count="1">
          <reference field="4294967294" count="1">
            <x v="17"/>
          </reference>
        </references>
      </pivotArea>
    </format>
    <format dxfId="69">
      <pivotArea dataOnly="0" labelOnly="1" outline="0" fieldPosition="0">
        <references count="1">
          <reference field="4294967294" count="1">
            <x v="17"/>
          </reference>
        </references>
      </pivotArea>
    </format>
    <format dxfId="68">
      <pivotArea outline="0" fieldPosition="0">
        <references count="1">
          <reference field="4294967294" count="1" selected="0">
            <x v="16"/>
          </reference>
        </references>
      </pivotArea>
    </format>
    <format dxfId="67">
      <pivotArea dataOnly="0" labelOnly="1" outline="0" fieldPosition="0">
        <references count="1">
          <reference field="4294967294" count="1">
            <x v="16"/>
          </reference>
        </references>
      </pivotArea>
    </format>
    <format dxfId="66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6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64">
      <pivotArea outline="0" fieldPosition="0">
        <references count="1">
          <reference field="4294967294" count="2" selected="0">
            <x v="0"/>
            <x v="1"/>
          </reference>
        </references>
      </pivotArea>
    </format>
    <format dxfId="6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2">
      <pivotArea dataOnly="0" outline="0" fieldPosition="0">
        <references count="1">
          <reference field="4294967294" count="18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</reference>
        </references>
      </pivotArea>
    </format>
    <format dxfId="61">
      <pivotArea field="3" type="button" dataOnly="0" labelOnly="1" outline="0" axis="axisPage" fieldPosition="0"/>
    </format>
    <format dxfId="60">
      <pivotArea outline="0" fieldPosition="0">
        <references count="1">
          <reference field="4294967294" count="1" selected="0">
            <x v="16"/>
          </reference>
        </references>
      </pivotArea>
    </format>
    <format dxfId="59">
      <pivotArea outline="0" fieldPosition="0">
        <references count="1">
          <reference field="4294967294" count="1" selected="0">
            <x v="16"/>
          </reference>
        </references>
      </pivotArea>
    </format>
    <format dxfId="58">
      <pivotArea grandRow="1" outline="0" collapsedLevelsAreSubtotals="1" fieldPosition="0"/>
    </format>
    <format dxfId="57">
      <pivotArea dataOnly="0" labelOnly="1" grandRow="1" outline="0" fieldPosition="0"/>
    </format>
    <format dxfId="56">
      <pivotArea grandRow="1" outline="0" collapsedLevelsAreSubtotals="1" fieldPosition="0"/>
    </format>
    <format dxfId="55">
      <pivotArea dataOnly="0" labelOnly="1" grandRow="1" outline="0" fieldPosition="0"/>
    </format>
    <format dxfId="54">
      <pivotArea dataOnly="0" labelOnly="1" outline="0" fieldPosition="0">
        <references count="1">
          <reference field="4294967294" count="1">
            <x v="16"/>
          </reference>
        </references>
      </pivotArea>
    </format>
    <format dxfId="53">
      <pivotArea field="4" type="button" dataOnly="0" labelOnly="1" outline="0" axis="axisRow" fieldPosition="0"/>
    </format>
    <format dxfId="52">
      <pivotArea field="22" type="button" dataOnly="0" labelOnly="1" outline="0"/>
    </format>
    <format dxfId="51">
      <pivotArea field="23" type="button" dataOnly="0" labelOnly="1" outline="0"/>
    </format>
    <format dxfId="50">
      <pivotArea field="24" type="button" dataOnly="0" labelOnly="1" outline="0"/>
    </format>
    <format dxfId="49">
      <pivotArea field="25" type="button" dataOnly="0" labelOnly="1" outline="0"/>
    </format>
    <format dxfId="48">
      <pivotArea dataOnly="0" labelOnly="1" outline="0" fieldPosition="0">
        <references count="1">
          <reference field="4294967294" count="18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</reference>
        </references>
      </pivotArea>
    </format>
    <format dxfId="47">
      <pivotArea field="24" type="button" dataOnly="0" labelOnly="1" outline="0"/>
    </format>
    <format dxfId="46">
      <pivotArea field="25" type="button" dataOnly="0" labelOnly="1" outline="0"/>
    </format>
    <format dxfId="45">
      <pivotArea dataOnly="0" labelOnly="1" outline="0" fieldPosition="0">
        <references count="1">
          <reference field="4294967294" count="1">
            <x v="18"/>
          </reference>
        </references>
      </pivotArea>
    </format>
    <format dxfId="44">
      <pivotArea dataOnly="0" labelOnly="1" outline="0" fieldPosition="0">
        <references count="1">
          <reference field="4294967294" count="1">
            <x v="20"/>
          </reference>
        </references>
      </pivotArea>
    </format>
    <format dxfId="43">
      <pivotArea dataOnly="0" labelOnly="1" outline="0" fieldPosition="0">
        <references count="1">
          <reference field="4294967294" count="1">
            <x v="18"/>
          </reference>
        </references>
      </pivotArea>
    </format>
    <format dxfId="42">
      <pivotArea dataOnly="0" labelOnly="1" outline="0" fieldPosition="0">
        <references count="1">
          <reference field="4294967294" count="1">
            <x v="21"/>
          </reference>
        </references>
      </pivotArea>
    </format>
    <format dxfId="41">
      <pivotArea dataOnly="0" labelOnly="1" outline="0" fieldPosition="0">
        <references count="1">
          <reference field="4294967294" count="1">
            <x v="19"/>
          </reference>
        </references>
      </pivotArea>
    </format>
    <format dxfId="40">
      <pivotArea dataOnly="0" labelOnly="1" outline="0" fieldPosition="0">
        <references count="1">
          <reference field="4" count="2">
            <x v="115"/>
            <x v="416"/>
          </reference>
        </references>
      </pivotArea>
    </format>
    <format dxfId="39">
      <pivotArea dataOnly="0" labelOnly="1" outline="0" fieldPosition="0">
        <references count="1">
          <reference field="4" count="2">
            <x v="38"/>
            <x v="542"/>
          </reference>
        </references>
      </pivotArea>
    </format>
    <format dxfId="38">
      <pivotArea dataOnly="0" labelOnly="1" outline="0" fieldPosition="0">
        <references count="1">
          <reference field="4" count="3">
            <x v="111"/>
            <x v="112"/>
            <x v="202"/>
          </reference>
        </references>
      </pivotArea>
    </format>
    <format dxfId="37">
      <pivotArea dataOnly="0" labelOnly="1" outline="0" fieldPosition="0">
        <references count="1">
          <reference field="4" count="2">
            <x v="489"/>
            <x v="560"/>
          </reference>
        </references>
      </pivotArea>
    </format>
    <format dxfId="36">
      <pivotArea dataOnly="0" labelOnly="1" outline="0" fieldPosition="0">
        <references count="1">
          <reference field="4" count="2">
            <x v="401"/>
            <x v="654"/>
          </reference>
        </references>
      </pivotArea>
    </format>
    <format dxfId="35">
      <pivotArea dataOnly="0" labelOnly="1" outline="0" fieldPosition="0">
        <references count="1">
          <reference field="4" count="9">
            <x v="61"/>
            <x v="134"/>
            <x v="215"/>
            <x v="283"/>
            <x v="296"/>
            <x v="326"/>
            <x v="480"/>
            <x v="663"/>
            <x v="676"/>
          </reference>
        </references>
      </pivotArea>
    </format>
    <format dxfId="34">
      <pivotArea dataOnly="0" labelOnly="1" outline="0" fieldPosition="0">
        <references count="1">
          <reference field="4" count="1">
            <x v="663"/>
          </reference>
        </references>
      </pivotArea>
    </format>
    <format dxfId="33">
      <pivotArea dataOnly="0" labelOnly="1" outline="0" fieldPosition="0">
        <references count="1">
          <reference field="4" count="50">
            <x v="17"/>
            <x v="38"/>
            <x v="108"/>
            <x v="111"/>
            <x v="141"/>
            <x v="147"/>
            <x v="208"/>
            <x v="248"/>
            <x v="265"/>
            <x v="277"/>
            <x v="292"/>
            <x v="469"/>
            <x v="472"/>
            <x v="476"/>
            <x v="481"/>
            <x v="488"/>
            <x v="490"/>
            <x v="499"/>
            <x v="532"/>
            <x v="554"/>
            <x v="593"/>
            <x v="612"/>
            <x v="630"/>
            <x v="635"/>
            <x v="652"/>
            <x v="655"/>
            <x v="665"/>
            <x v="669"/>
            <x v="671"/>
            <x v="683"/>
            <x v="700"/>
            <x v="704"/>
            <x v="782"/>
            <x v="819"/>
            <x v="825"/>
            <x v="828"/>
            <x v="830"/>
            <x v="861"/>
            <x v="870"/>
            <x v="871"/>
            <x v="874"/>
            <x v="877"/>
            <x v="878"/>
            <x v="881"/>
            <x v="892"/>
            <x v="893"/>
            <x v="894"/>
            <x v="899"/>
            <x v="914"/>
            <x v="924"/>
          </reference>
        </references>
      </pivotArea>
    </format>
    <format dxfId="32">
      <pivotArea dataOnly="0" labelOnly="1" outline="0" fieldPosition="0">
        <references count="1">
          <reference field="4" count="50">
            <x v="3"/>
            <x v="31"/>
            <x v="41"/>
            <x v="57"/>
            <x v="103"/>
            <x v="106"/>
            <x v="115"/>
            <x v="137"/>
            <x v="162"/>
            <x v="166"/>
            <x v="209"/>
            <x v="218"/>
            <x v="243"/>
            <x v="267"/>
            <x v="347"/>
            <x v="383"/>
            <x v="387"/>
            <x v="396"/>
            <x v="502"/>
            <x v="525"/>
            <x v="547"/>
            <x v="588"/>
            <x v="605"/>
            <x v="607"/>
            <x v="706"/>
            <x v="711"/>
            <x v="723"/>
            <x v="768"/>
            <x v="770"/>
            <x v="772"/>
            <x v="775"/>
            <x v="784"/>
            <x v="789"/>
            <x v="822"/>
            <x v="833"/>
            <x v="857"/>
            <x v="862"/>
            <x v="865"/>
            <x v="866"/>
            <x v="868"/>
            <x v="872"/>
            <x v="895"/>
            <x v="901"/>
            <x v="905"/>
            <x v="909"/>
            <x v="910"/>
            <x v="913"/>
            <x v="918"/>
            <x v="925"/>
            <x v="928"/>
          </reference>
        </references>
      </pivotArea>
    </format>
    <format dxfId="31">
      <pivotArea dataOnly="0" labelOnly="1" outline="0" fieldPosition="0">
        <references count="1">
          <reference field="4" count="50">
            <x v="43"/>
            <x v="100"/>
            <x v="104"/>
            <x v="125"/>
            <x v="152"/>
            <x v="160"/>
            <x v="172"/>
            <x v="203"/>
            <x v="247"/>
            <x v="250"/>
            <x v="270"/>
            <x v="314"/>
            <x v="328"/>
            <x v="336"/>
            <x v="372"/>
            <x v="377"/>
            <x v="393"/>
            <x v="411"/>
            <x v="419"/>
            <x v="428"/>
            <x v="456"/>
            <x v="486"/>
            <x v="487"/>
            <x v="496"/>
            <x v="537"/>
            <x v="545"/>
            <x v="576"/>
            <x v="603"/>
            <x v="616"/>
            <x v="634"/>
            <x v="638"/>
            <x v="759"/>
            <x v="779"/>
            <x v="824"/>
            <x v="832"/>
            <x v="850"/>
            <x v="864"/>
            <x v="886"/>
            <x v="887"/>
            <x v="888"/>
            <x v="889"/>
            <x v="900"/>
            <x v="904"/>
            <x v="906"/>
            <x v="907"/>
            <x v="912"/>
            <x v="917"/>
            <x v="919"/>
            <x v="921"/>
            <x v="923"/>
          </reference>
        </references>
      </pivotArea>
    </format>
    <format dxfId="30">
      <pivotArea dataOnly="0" labelOnly="1" outline="0" fieldPosition="0">
        <references count="1">
          <reference field="4" count="34">
            <x v="1"/>
            <x v="12"/>
            <x v="49"/>
            <x v="143"/>
            <x v="170"/>
            <x v="184"/>
            <x v="220"/>
            <x v="256"/>
            <x v="257"/>
            <x v="305"/>
            <x v="306"/>
            <x v="349"/>
            <x v="355"/>
            <x v="392"/>
            <x v="401"/>
            <x v="407"/>
            <x v="416"/>
            <x v="497"/>
            <x v="519"/>
            <x v="522"/>
            <x v="538"/>
            <x v="666"/>
            <x v="682"/>
            <x v="698"/>
            <x v="728"/>
            <x v="826"/>
            <x v="827"/>
            <x v="863"/>
            <x v="867"/>
            <x v="875"/>
            <x v="885"/>
            <x v="891"/>
            <x v="896"/>
            <x v="916"/>
          </reference>
        </references>
      </pivotArea>
    </format>
  </formats>
  <pivotTableStyleInfo name="PivotStyleDark2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GG" xr10:uid="{872894E1-35CE-4B74-987B-BDDA83241882}" sourceName="GG">
  <pivotTables>
    <pivotTable tabId="15" name="GiocatoriPIV"/>
  </pivotTables>
  <data>
    <tabular pivotCacheId="1734385354">
      <items count="39">
        <i x="0"/>
        <i x="1"/>
        <i x="2" s="1"/>
        <i x="3" s="1"/>
        <i x="4" s="1"/>
        <i x="9" nd="1"/>
        <i x="12" nd="1"/>
        <i x="17" nd="1"/>
        <i x="25" nd="1"/>
        <i x="28" nd="1"/>
        <i x="31" nd="1"/>
        <i x="34" nd="1"/>
        <i x="37" nd="1"/>
        <i x="6" nd="1"/>
        <i x="10" nd="1"/>
        <i x="11" nd="1"/>
        <i x="13" nd="1"/>
        <i x="14" nd="1"/>
        <i x="15" nd="1"/>
        <i x="16" nd="1"/>
        <i x="18" nd="1"/>
        <i x="20" nd="1"/>
        <i x="22" nd="1"/>
        <i x="24" nd="1"/>
        <i x="26" nd="1"/>
        <i x="27" nd="1"/>
        <i x="29" nd="1"/>
        <i x="30" nd="1"/>
        <i x="32" nd="1"/>
        <i x="33" nd="1"/>
        <i x="35" nd="1"/>
        <i x="36" nd="1"/>
        <i x="38" nd="1"/>
        <i x="19" nd="1"/>
        <i x="5" nd="1"/>
        <i x="21" nd="1"/>
        <i x="7" nd="1"/>
        <i x="23" nd="1"/>
        <i x="8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GG" xr10:uid="{7FFC64C9-8387-44F6-B3C6-E3590A4F7D7B}" cache="FiltroDati_GG" caption="GG" columnCount="7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AC0A32-5BF1-4F12-9166-1AA8514EBAB0}" name="Tabella3" displayName="Tabella3" ref="B1:AD212" totalsRowCount="1" headerRowDxfId="344" dataDxfId="343">
  <autoFilter ref="B1:AD211" xr:uid="{0EAC0A32-5BF1-4F12-9166-1AA8514EBAB0}"/>
  <sortState xmlns:xlrd2="http://schemas.microsoft.com/office/spreadsheetml/2017/richdata2" ref="B2:AD211">
    <sortCondition ref="B1:B211"/>
  </sortState>
  <tableColumns count="29">
    <tableColumn id="1" xr3:uid="{C4081594-A1E2-4F66-A92E-6A4332C78971}" name="giornata" totalsRowLabel="Totale" dataDxfId="342" totalsRowDxfId="29"/>
    <tableColumn id="2" xr3:uid="{0B152A97-FFAF-4B07-866F-89BC4AED15D1}" name="squadra" dataDxfId="341" totalsRowDxfId="28"/>
    <tableColumn id="3" xr3:uid="{C24E621E-556E-45E7-83E2-CEF819947B30}" name="pt base" dataDxfId="340" totalsRowDxfId="27"/>
    <tableColumn id="27" xr3:uid="{70B3049E-7636-4CAF-9730-00F99F249F8D}" name="bonus" dataDxfId="339" totalsRowDxfId="26"/>
    <tableColumn id="4" xr3:uid="{82755DD9-492E-4814-8C50-3A3A491AA5AF}" name="mod dif" dataDxfId="338" totalsRowDxfId="25"/>
    <tableColumn id="22" xr3:uid="{ECB573D9-18A5-4266-8CE5-D5852DD51384}" name="Pt Tot" dataDxfId="337" totalsRowDxfId="24">
      <calculatedColumnFormula>SUM(D2:F2)</calculatedColumnFormula>
    </tableColumn>
    <tableColumn id="5" xr3:uid="{601E84AC-B4B0-45A2-9FAB-AAF2B0E4455D}" name="pt class" dataDxfId="336" totalsRowDxfId="23"/>
    <tableColumn id="6" xr3:uid="{835B31E9-F085-4D8D-85E6-1057D0C39A57}" name="gol pt  f" totalsRowFunction="sum" dataDxfId="335" totalsRowDxfId="22">
      <calculatedColumnFormula>VLOOKUP(G2,$AH$32:$AI$40,2,TRUE)</calculatedColumnFormula>
    </tableColumn>
    <tableColumn id="7" xr3:uid="{CAF00B56-45D1-45AD-BBDC-D65E3D26B3F5}" name="gol pt s" totalsRowFunction="sum" dataDxfId="334" totalsRowDxfId="21"/>
    <tableColumn id="8" xr3:uid="{78067D83-D05A-4BBD-A40C-DAA7F72BB9A7}" name="gol f " totalsRowFunction="sum" dataDxfId="333" totalsRowDxfId="20"/>
    <tableColumn id="9" xr3:uid="{B8523FF2-93B4-429A-A68D-65241DB4DE3F}" name="gol s" totalsRowFunction="sum" dataDxfId="332" totalsRowDxfId="19"/>
    <tableColumn id="10" xr3:uid="{27E9916C-9B2D-4D4E-B890-BED958303E63}" name="gol port f" totalsRowFunction="sum" dataDxfId="331" totalsRowDxfId="18"/>
    <tableColumn id="11" xr3:uid="{7C050793-D53E-4DE2-97DF-F3DAF59954B4}" name="gol port s" totalsRowFunction="sum" dataDxfId="330" totalsRowDxfId="17"/>
    <tableColumn id="12" xr3:uid="{06428B8D-179F-4302-B4AB-85DBEC8986EF}" name="assist f" totalsRowFunction="sum" dataDxfId="329" totalsRowDxfId="16"/>
    <tableColumn id="13" xr3:uid="{27B12BBE-F0A6-4076-B201-ED3F26479F85}" name="assist s" totalsRowFunction="sum" dataDxfId="328" totalsRowDxfId="15"/>
    <tableColumn id="14" xr3:uid="{B7566069-C34F-41FC-B41E-B3E47B969AC8}" name="amm f" totalsRowFunction="sum" dataDxfId="327" totalsRowDxfId="14"/>
    <tableColumn id="15" xr3:uid="{75943FC3-08F8-40DA-A2D8-6BCA3EB62454}" name="amm s" totalsRowFunction="sum" dataDxfId="326" totalsRowDxfId="13"/>
    <tableColumn id="16" xr3:uid="{8568ACC5-663E-4EDF-A6FB-2BC8FE788B07}" name="esp f" totalsRowFunction="sum" dataDxfId="325" totalsRowDxfId="12"/>
    <tableColumn id="17" xr3:uid="{850B7B53-BA11-46C9-8340-79D1251416B3}" name="esp s" totalsRowFunction="sum" dataDxfId="324" totalsRowDxfId="11"/>
    <tableColumn id="18" xr3:uid="{AD4BDBE1-62A4-49F7-B8BE-C7A790D0D016}" name="auto f" totalsRowFunction="sum" dataDxfId="323" totalsRowDxfId="10"/>
    <tableColumn id="19" xr3:uid="{8885599D-01FA-42A7-9729-C36D2C5CBC9F}" name="auto s" totalsRowFunction="sum" dataDxfId="322" totalsRowDxfId="9"/>
    <tableColumn id="28" xr3:uid="{42E0E7CE-DF26-448F-B138-2C6AE94DA79A}" name="rig f" dataDxfId="321" totalsRowDxfId="8"/>
    <tableColumn id="29" xr3:uid="{32F778CB-0310-4694-80A0-E7F1A853059D}" name="rig s" dataDxfId="320" totalsRowDxfId="7"/>
    <tableColumn id="20" xr3:uid="{2790539A-B6E1-449D-BE0D-C10AE847EECB}" name="rig sb f" totalsRowFunction="sum" dataDxfId="319" totalsRowDxfId="6"/>
    <tableColumn id="21" xr3:uid="{1955994B-4FB7-4714-9798-D8467038F7E4}" name="rig sb s" totalsRowFunction="sum" dataDxfId="318" totalsRowDxfId="5"/>
    <tableColumn id="25" xr3:uid="{83492EF5-E938-418D-81D2-28E932E30A24}" name="rig par f" dataDxfId="317" totalsRowDxfId="4"/>
    <tableColumn id="26" xr3:uid="{493AC2EC-F462-4955-8C1D-08E0B95D92D3}" name="rig par s" dataDxfId="316" totalsRowDxfId="3"/>
    <tableColumn id="23" xr3:uid="{BA1BDC99-FC45-4BA8-9095-F182D9510D94}" name="Cln Sht F" dataDxfId="315" totalsRowDxfId="2">
      <calculatedColumnFormula>IF(Tabella3[[#This Row],[gol port f]]="","",IF(Tabella3[[#This Row],[gol port f]]=0,1,0))</calculatedColumnFormula>
    </tableColumn>
    <tableColumn id="24" xr3:uid="{E4D1F4BE-B2B7-435E-95F0-E1015B0AFEE4}" name="Cln Sht S" dataDxfId="314" totalsRowDxfId="1">
      <calculatedColumnFormula>IF(Tabella3[[#This Row],[gol port s]]="","",IF(Tabella3[[#This Row],[gol port s]]=0,1,0))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EFB6D2-836C-4B60-B8F1-32A99C1102EF}" name="Tabella2" displayName="Tabella2" ref="AG1:BF11" totalsRowShown="0" headerRowDxfId="313" dataDxfId="311" headerRowBorderDxfId="312">
  <autoFilter ref="AG1:BF11" xr:uid="{28EFB6D2-836C-4B60-B8F1-32A99C1102EF}"/>
  <sortState xmlns:xlrd2="http://schemas.microsoft.com/office/spreadsheetml/2017/richdata2" ref="AG2:BF7">
    <sortCondition ref="AG1:AG7"/>
  </sortState>
  <tableColumns count="26">
    <tableColumn id="1" xr3:uid="{5E46E743-B3EE-44BB-A7A2-58D588160DB1}" name="squadra" dataDxfId="310"/>
    <tableColumn id="2" xr3:uid="{FE047794-ED30-4A20-BD9F-0ABFBACE9694}" name="Pt Class " dataDxfId="309">
      <calculatedColumnFormula>RANK(AH18,AH$18:AH$27,1)</calculatedColumnFormula>
    </tableColumn>
    <tableColumn id="3" xr3:uid="{F56A8C3A-FA87-4704-B2EB-08E1FA0D7C83}" name="Pt Mod Dif " dataDxfId="308">
      <calculatedColumnFormula>RANK(AI18,AI$18:AI$27,1)</calculatedColumnFormula>
    </tableColumn>
    <tableColumn id="26" xr3:uid="{6898382E-7CE7-4A09-A848-0A858E9C2AA6}" name="Pt Bonus" dataDxfId="307">
      <calculatedColumnFormula>RANK(AJ18,AJ$18:AJ$27,1)</calculatedColumnFormula>
    </tableColumn>
    <tableColumn id="4" xr3:uid="{C6DEA2DB-9D29-4B5B-810B-523A942A4039}" name="Pt Tot Class" dataDxfId="306">
      <calculatedColumnFormula>RANK(AK18,AK$18:AK$27,1)</calculatedColumnFormula>
    </tableColumn>
    <tableColumn id="5" xr3:uid="{0823E97E-8E89-4656-BD7C-D9AE99240205}" name="Pt FLega" dataDxfId="305">
      <calculatedColumnFormula>RANK(AL18,AL$18:AL$27,1)</calculatedColumnFormula>
    </tableColumn>
    <tableColumn id="6" xr3:uid="{BDDC92D5-A6B7-4CFB-9416-B67FC267F6CB}" name="Gol Pt F" dataDxfId="304">
      <calculatedColumnFormula>RANK(AM18,AM$18:AM$27,1)</calculatedColumnFormula>
    </tableColumn>
    <tableColumn id="7" xr3:uid="{CCA036D9-E97A-4EBF-9EE6-23E7911B053C}" name="Gol Pt S " dataDxfId="303">
      <calculatedColumnFormula>RANK(AN18,AN$18:AN$27,1)</calculatedColumnFormula>
    </tableColumn>
    <tableColumn id="8" xr3:uid="{85C5D8C4-68F6-4659-ABF4-AA6E32A8FEE1}" name="Gol Eff F " dataDxfId="302">
      <calculatedColumnFormula>RANK(AO18,AO$18:AO$27,1)</calculatedColumnFormula>
    </tableColumn>
    <tableColumn id="9" xr3:uid="{DCA83B17-7938-45D6-AEA3-B05D40C54671}" name="Gol Eff S" dataDxfId="301">
      <calculatedColumnFormula>RANK(AP18,AP$18:AP$27,1)</calculatedColumnFormula>
    </tableColumn>
    <tableColumn id="10" xr3:uid="{8C42D62B-D206-4305-90BD-7FB5F830318B}" name="Gol sub F" dataDxfId="300">
      <calculatedColumnFormula>RANK(AQ18,AQ$18:AQ$27,1)</calculatedColumnFormula>
    </tableColumn>
    <tableColumn id="11" xr3:uid="{AE75DBEB-2955-4BE7-9348-5C318C531750}" name="Gol sub S " dataDxfId="299">
      <calculatedColumnFormula>RANK(AR18,AR$18:AR$27,1)</calculatedColumnFormula>
    </tableColumn>
    <tableColumn id="12" xr3:uid="{C30A749E-7004-4BCD-84A6-8C2C64B7E03D}" name="Assist F " dataDxfId="298">
      <calculatedColumnFormula>RANK(AS18,AS$18:AS$27,1)</calculatedColumnFormula>
    </tableColumn>
    <tableColumn id="13" xr3:uid="{A7A35B04-E475-445A-A989-7FA202B9A50D}" name="Assist S " dataDxfId="297">
      <calculatedColumnFormula>RANK(AT18,AT$18:AT$27,1)</calculatedColumnFormula>
    </tableColumn>
    <tableColumn id="14" xr3:uid="{85E3950B-4887-466A-B517-A9829CBF3966}" name="Amm F " dataDxfId="296">
      <calculatedColumnFormula>RANK(AU18,AU$18:AU$27,1)</calculatedColumnFormula>
    </tableColumn>
    <tableColumn id="15" xr3:uid="{4BF88CC6-3A82-4942-B5C4-E54E096BB090}" name="Amm S " dataDxfId="295">
      <calculatedColumnFormula>RANK(AV18,AV$18:AV$27,1)</calculatedColumnFormula>
    </tableColumn>
    <tableColumn id="16" xr3:uid="{F631AB36-B26C-4DCD-A3D9-4E7905C01030}" name="Esp F " dataDxfId="294">
      <calculatedColumnFormula>RANK(AW18,AW$18:AW$27,1)</calculatedColumnFormula>
    </tableColumn>
    <tableColumn id="17" xr3:uid="{FB60F45E-5328-4D1C-9EF1-DF3916DB38B9}" name="Esp S " dataDxfId="293">
      <calculatedColumnFormula>RANK(AX18,AX$18:AX$27,1)</calculatedColumnFormula>
    </tableColumn>
    <tableColumn id="18" xr3:uid="{52292967-4251-4F9C-B111-D469D2CA1A74}" name="Autogol F " dataDxfId="292">
      <calculatedColumnFormula>RANK(AY18,AY$18:AY$27,1)</calculatedColumnFormula>
    </tableColumn>
    <tableColumn id="19" xr3:uid="{A08C5099-0401-4B38-A2F6-BBC400BC0478}" name="Autogol S " dataDxfId="291">
      <calculatedColumnFormula>RANK(AZ18,AZ$18:AZ$27,1)</calculatedColumnFormula>
    </tableColumn>
    <tableColumn id="20" xr3:uid="{AEDA4042-133A-4FAE-84E9-7F94F706B4BF}" name="Rig Sba F " dataDxfId="290">
      <calculatedColumnFormula>RANK(BA18,BA$18:BA$27,1)</calculatedColumnFormula>
    </tableColumn>
    <tableColumn id="21" xr3:uid="{5F1A736D-BCA0-409F-8B8E-3A4E68F8A68C}" name="Rig Sba S " dataDxfId="289">
      <calculatedColumnFormula>RANK(BB18,BB$18:BB$27,1)</calculatedColumnFormula>
    </tableColumn>
    <tableColumn id="24" xr3:uid="{958E8BA8-6F2C-44AE-9A1C-533395EDFB36}" name="cln sht F" dataDxfId="288">
      <calculatedColumnFormula>RANK(BC18,BC$18:BC$27,1)</calculatedColumnFormula>
    </tableColumn>
    <tableColumn id="25" xr3:uid="{0A070BBA-A975-4A93-B8AF-9CCCBE268F51}" name="cln sht S" dataDxfId="287">
      <calculatedColumnFormula>RANK(BD18,BD$18:BD$27,1)</calculatedColumnFormula>
    </tableColumn>
    <tableColumn id="22" xr3:uid="{AC336D7D-0603-4044-9944-873FE3C19ABD}" name="Colonna1" dataDxfId="0">
      <calculatedColumnFormula>SUM((Tabella2[[#This Row],[Pt Class ]]*3),AI2:AM2,AO2,AS2,BC2)</calculatedColumnFormula>
    </tableColumn>
    <tableColumn id="23" xr3:uid="{87468839-936F-45BB-A105-534BCF6EBD3E}" name="Colonna2" dataDxfId="286">
      <calculatedColumnFormula>RANK(BF18,BF$18:BF$27,1)</calculatedColumnFormula>
    </tableColumn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8782011-358B-4063-A6C1-4EBDB965EE28}" name="Tabella4" displayName="Tabella4" ref="C4:BL552" totalsRowCount="1" headerRowDxfId="276" headerRowBorderDxfId="275" tableBorderDxfId="274">
  <autoFilter ref="C4:BL551" xr:uid="{78782011-358B-4063-A6C1-4EBDB965EE28}"/>
  <sortState xmlns:xlrd2="http://schemas.microsoft.com/office/spreadsheetml/2017/richdata2" ref="C5:BL535">
    <sortCondition ref="D4:D535"/>
  </sortState>
  <tableColumns count="62">
    <tableColumn id="3" xr3:uid="{179FBF13-CE31-475A-8C59-40F641E614E2}" name="NOME" totalsRowLabel="Totale" dataDxfId="273" totalsRowDxfId="272"/>
    <tableColumn id="4" xr3:uid="{CE250D94-6748-4939-B267-F2D55B30D2AD}" name="SQUADRA" dataDxfId="271" totalsRowDxfId="270"/>
    <tableColumn id="59" xr3:uid="{C4AEC3EA-E501-44F8-815E-D6C26A826054}" name="FANTA SQ2" dataDxfId="269" totalsRowDxfId="268">
      <calculatedColumnFormula>_xlfn.XLOOKUP(Tabella4[[#This Row],[NOME]],'ROSE SQUADRE'!$N$3:$N$253,'ROSE SQUADRE'!$O$3:$O$253,"")</calculatedColumnFormula>
    </tableColumn>
    <tableColumn id="60" xr3:uid="{EAAE137D-1BE7-4280-85E5-3B69B4B227AE}" name="RUOLO " dataDxfId="267" totalsRowDxfId="266"/>
    <tableColumn id="5" xr3:uid="{2448C469-3C80-40F8-8CFA-1C6743F7B9F3}" name="QUOT INIZ" dataDxfId="265" totalsRowDxfId="264"/>
    <tableColumn id="6" xr3:uid="{AADBBDA5-A5D2-4712-BC92-D94693C3BD0D}" name="QUOT ATT" dataDxfId="263" totalsRowDxfId="262"/>
    <tableColumn id="7" xr3:uid="{8293440B-7624-4B27-88EB-8BD505EAF990}" name="DIFF QUOT" dataDxfId="261" totalsRowDxfId="260">
      <calculatedColumnFormula>SUM(H5-G5)</calculatedColumnFormula>
    </tableColumn>
    <tableColumn id="8" xr3:uid="{AB06A1B6-5DB2-4F43-A91A-5B7AA7006924}" name="PRES" totalsRowDxfId="259">
      <calculatedColumnFormula>COUNT(Z5:CJ5)</calculatedColumnFormula>
    </tableColumn>
    <tableColumn id="9" xr3:uid="{990B252B-7B11-4F92-920D-2CA0BD76354F}" name="VOTO AVG" totalsRowFunction="average" dataDxfId="258" totalsRowDxfId="257">
      <calculatedColumnFormula>IF(J5=0,0,AVERAGE(Z5:CJ5))</calculatedColumnFormula>
    </tableColumn>
    <tableColumn id="10" xr3:uid="{BE443DA9-73D9-4D4E-9FDB-00FFF6308184}" name="FVOTO  AVG" totalsRowFunction="average" dataDxfId="256" totalsRowDxfId="255">
      <calculatedColumnFormula>IF(J5=0,0,M5/J5)</calculatedColumnFormula>
    </tableColumn>
    <tableColumn id="11" xr3:uid="{E9E29619-6A36-49D4-85A9-EE2F82B047C4}" name="FVOTO TOT" totalsRowFunction="sum" dataDxfId="254" totalsRowDxfId="253">
      <calculatedColumnFormula>SUM(Z5:CJ5)+(O5*3)+P5+(Q5*3)-(R5*3)-(T5*2)-(U5/2)-V5+W5+X5+Y5</calculatedColumnFormula>
    </tableColumn>
    <tableColumn id="12" xr3:uid="{A8534009-86C4-4F79-A6DA-162BD06DB562}" name="LEGA TIT" totalsRowFunction="sum" dataDxfId="252" totalsRowDxfId="251" dataCellStyle="Stile 2">
      <calculatedColumnFormula>ContaCellePerColore(Z5:BK5,$C$3)</calculatedColumnFormula>
    </tableColumn>
    <tableColumn id="13" xr3:uid="{8FCF0453-1A6C-4471-92C6-4367BA29233F}" name="GOL                               F" totalsRowFunction="sum" dataDxfId="250" totalsRowDxfId="249">
      <calculatedColumnFormula>SUMIF(Tabella1[Nome],Tabella4[[#This Row],[NOME]],Tabella1[Gf])</calculatedColumnFormula>
    </tableColumn>
    <tableColumn id="14" xr3:uid="{AB686A07-079F-4B43-BDF8-55C85014918F}" name="GOL                                S" totalsRowFunction="sum" dataDxfId="248" totalsRowDxfId="247">
      <calculatedColumnFormula>-(SUMIF(Tabella1[Nome],Tabella4[[#This Row],[NOME]],Tabella1[Gs]))</calculatedColumnFormula>
    </tableColumn>
    <tableColumn id="15" xr3:uid="{06E4256B-D612-4BD7-A1F1-E719BE6CCC0F}" name="RIG                            PAR" totalsRowFunction="sum" dataDxfId="246" totalsRowDxfId="245">
      <calculatedColumnFormula>SUMIF(Tabella1[Nome],Tabella4[[#This Row],[NOME]],Tabella1[Rp])</calculatedColumnFormula>
    </tableColumn>
    <tableColumn id="16" xr3:uid="{08397B9B-2990-4CC7-8834-EF462DEE6AC2}" name="RIG                                KO" totalsRowFunction="sum" dataDxfId="244" totalsRowDxfId="243">
      <calculatedColumnFormula>SUMIF(Tabella1[Nome],Tabella4[[#This Row],[NOME]],Tabella1[Rs])</calculatedColumnFormula>
    </tableColumn>
    <tableColumn id="17" xr3:uid="{DA03F42B-E0E6-41A3-9160-5DB028961661}" name="RIG                               OK" totalsRowFunction="sum" dataDxfId="242" totalsRowDxfId="241">
      <calculatedColumnFormula>SUMIF(Tabella1[Nome],Tabella4[[#This Row],[NOME]],Tabella1[Rf])</calculatedColumnFormula>
    </tableColumn>
    <tableColumn id="18" xr3:uid="{CC71D230-2EE3-455C-A5D5-BC905D3CCFD0}" name="AUTO                           GOL" totalsRowFunction="sum" dataDxfId="240" totalsRowDxfId="239">
      <calculatedColumnFormula>SUMIF(Tabella1[Nome],Tabella4[[#This Row],[NOME]],Tabella1[Au])</calculatedColumnFormula>
    </tableColumn>
    <tableColumn id="19" xr3:uid="{0D3C77DE-A1E4-4030-B648-C20C1EEFF14F}" name="AMM" totalsRowFunction="sum" dataDxfId="238" totalsRowDxfId="237">
      <calculatedColumnFormula>SUMIF(Tabella1[Nome],Tabella4[[#This Row],[NOME]],Tabella1[Amm])</calculatedColumnFormula>
    </tableColumn>
    <tableColumn id="20" xr3:uid="{9F190298-2B36-4FA0-AD68-2786C4BA84E4}" name="ESP" totalsRowFunction="sum" dataDxfId="236" totalsRowDxfId="235">
      <calculatedColumnFormula>SUMIF(Tabella1[Nome],Tabella4[[#This Row],[NOME]],Tabella1[Esp])</calculatedColumnFormula>
    </tableColumn>
    <tableColumn id="21" xr3:uid="{3A5B2A7B-9FB9-4DDB-825E-44F17E72DFAC}" name="ASS" totalsRowFunction="sum" dataDxfId="234" totalsRowDxfId="233">
      <calculatedColumnFormula>SUMIF(Tabella1[Nome],Tabella4[[#This Row],[NOME]],Tabella1[Ass])</calculatedColumnFormula>
    </tableColumn>
    <tableColumn id="22" xr3:uid="{F1DB650D-2968-43BB-B484-5532187D9040}" name="GOL                                VITT" totalsRowFunction="sum" dataDxfId="232" totalsRowDxfId="231">
      <calculatedColumnFormula>SUMIF(Tabella1[Nome],Tabella4[[#This Row],[NOME]],Tabella1[Gdv])</calculatedColumnFormula>
    </tableColumn>
    <tableColumn id="23" xr3:uid="{9F7CD91C-F1B9-432D-A864-00C492554DBF}" name="CLN                               SHT" totalsRowFunction="sum" dataDxfId="230" totalsRowDxfId="229">
      <calculatedColumnFormula>SUMIF(Tabella1[Nome],Tabella4[[#This Row],[NOME]],Tabella1[cl sh])</calculatedColumnFormula>
    </tableColumn>
    <tableColumn id="24" xr3:uid="{303EB64F-F607-4C24-9E2C-F55437ECF2E7}" name="1" totalsRowFunction="custom" dataDxfId="228" totalsRowDxfId="227">
      <calculatedColumnFormula>_xlfn.IFNA(_xlfn.XLOOKUP(CONCATENATE(Z$4,$C5),Tabella1[CONC X VOTI IN TAB GIOC],Tabella1[Voto],""),"")</calculatedColumnFormula>
      <totalsRowFormula>ContaCellePerColore(Z5:Z551,$C$3)</totalsRowFormula>
    </tableColumn>
    <tableColumn id="25" xr3:uid="{C29347BC-2BE6-46A6-A493-F1AD12ED599E}" name="2" totalsRowFunction="custom" dataDxfId="226" totalsRowDxfId="225">
      <calculatedColumnFormula>_xlfn.IFNA(_xlfn.XLOOKUP(CONCATENATE(AA$4,$C5),Tabella1[CONC X VOTI IN TAB GIOC],Tabella1[Voto],""),"")</calculatedColumnFormula>
      <totalsRowFormula>ContaCellePerColore(AA5:AA551,$C$3)</totalsRowFormula>
    </tableColumn>
    <tableColumn id="26" xr3:uid="{90D6648D-CD08-41E7-9928-2E58B5F692F7}" name="3" totalsRowFunction="custom" dataDxfId="224" totalsRowDxfId="223">
      <calculatedColumnFormula>_xlfn.IFNA(_xlfn.XLOOKUP(CONCATENATE(AB$4,$C5),Tabella1[CONC X VOTI IN TAB GIOC],Tabella1[Voto]),"")</calculatedColumnFormula>
      <totalsRowFormula>ContaCellePerColore(AB5:AB551,$C$3)</totalsRowFormula>
    </tableColumn>
    <tableColumn id="27" xr3:uid="{DDB305FE-2A21-450B-B695-1284DFDF6110}" name="4" totalsRowFunction="custom" dataDxfId="222" totalsRowDxfId="221">
      <calculatedColumnFormula array="1">_xlfn.IFNA(_xlfn.XLOOKUP(CONCATENATE(AC$4,$C5),INDEX(Tabella1[],0,MATCH("CONC X VOTI IN TAB GIOC",Tabella1[#Headers],0)),INDEX(Tabella1[],0,MATCH("Voto",Tabella1[#Headers],0))),"")</calculatedColumnFormula>
      <totalsRowFormula>ContaCellePerColore(AC5:AC551,$C$3)</totalsRowFormula>
    </tableColumn>
    <tableColumn id="28" xr3:uid="{D3A3D68C-417A-4FC3-A14E-36FC71327E59}" name="5" totalsRowFunction="custom" dataDxfId="220" totalsRowDxfId="219">
      <calculatedColumnFormula>_xlfn.IFNA(_xlfn.XLOOKUP(CONCATENATE(AD$4,$C5),Tabella1[CONC X VOTI IN TAB GIOC],Tabella1[Voto]),"")</calculatedColumnFormula>
      <totalsRowFormula>ContaCellePerColore(AD5:AD551,$C$3)</totalsRowFormula>
    </tableColumn>
    <tableColumn id="29" xr3:uid="{350E1E11-E207-4242-AD07-DC97DDA724B1}" name="6" totalsRowFunction="custom" dataDxfId="218" totalsRowDxfId="217">
      <calculatedColumnFormula>_xlfn.IFNA(VLOOKUP(CONCATENATE(AE$4,$C5),'INSER DATA'!$A:$F,6,0),"")</calculatedColumnFormula>
      <totalsRowFormula>ContaCellePerColore(AE5:AE551,$C$3)</totalsRowFormula>
    </tableColumn>
    <tableColumn id="30" xr3:uid="{CADE8C66-316E-41F7-9CF4-07AC0B2D5AD5}" name="7" totalsRowFunction="custom" dataDxfId="216" totalsRowDxfId="215">
      <calculatedColumnFormula>_xlfn.IFNA(VLOOKUP(CONCATENATE(AF$4,$C5),'INSER DATA'!$A:$F,6,0),"")</calculatedColumnFormula>
      <totalsRowFormula>ContaCellePerColore(AF5:AF551,$C$3)</totalsRowFormula>
    </tableColumn>
    <tableColumn id="31" xr3:uid="{3317F622-094D-45E1-83E5-37B181834591}" name="8" totalsRowFunction="custom" dataDxfId="214" totalsRowDxfId="213">
      <calculatedColumnFormula>_xlfn.IFNA(VLOOKUP(CONCATENATE(AG$4,$C5),'INSER DATA'!$A:$F,6,0),"")</calculatedColumnFormula>
      <totalsRowFormula>ContaCellePerColore(AG5:AG551,$C$3)</totalsRowFormula>
    </tableColumn>
    <tableColumn id="32" xr3:uid="{F5381FF8-88EB-4F31-867B-D137230412A2}" name="9" totalsRowFunction="custom" dataDxfId="212" totalsRowDxfId="211">
      <calculatedColumnFormula>_xlfn.IFNA(VLOOKUP(CONCATENATE(AH$4,$C5),'INSER DATA'!$A:$F,7,0),"")</calculatedColumnFormula>
      <totalsRowFormula>ContaCellePerColore(AH5:AH551,$C$3)</totalsRowFormula>
    </tableColumn>
    <tableColumn id="33" xr3:uid="{104D7BED-72C9-4275-9A18-70663E188FC8}" name="10" totalsRowFunction="custom" dataDxfId="210" totalsRowDxfId="209">
      <calculatedColumnFormula>_xlfn.IFNA(VLOOKUP(CONCATENATE(AI$4,$C5),'INSER DATA'!$A:$F,7,0),"")</calculatedColumnFormula>
      <totalsRowFormula>ContaCellePerColore(AI5:AI551,$C$3)</totalsRowFormula>
    </tableColumn>
    <tableColumn id="34" xr3:uid="{2D09D5F2-26CC-4739-B3DB-C520F85F54AD}" name="11" totalsRowFunction="custom" dataDxfId="208" totalsRowDxfId="207">
      <calculatedColumnFormula>_xlfn.IFNA(VLOOKUP(CONCATENATE(AJ$4,$C5),'INSER DATA'!$A:$F,7,0),"")</calculatedColumnFormula>
      <totalsRowFormula>ContaCellePerColore(AJ5:AJ551,$C$3)</totalsRowFormula>
    </tableColumn>
    <tableColumn id="35" xr3:uid="{A9705B79-4532-49EC-AD68-2077798F27D8}" name="12" totalsRowFunction="custom" dataDxfId="206" totalsRowDxfId="205">
      <calculatedColumnFormula>_xlfn.IFNA(VLOOKUP(CONCATENATE(AK$4,$C5),'INSER DATA'!$A:$F,7,0),"")</calculatedColumnFormula>
      <totalsRowFormula>ContaCellePerColore(AK5:AK551,$C$3)</totalsRowFormula>
    </tableColumn>
    <tableColumn id="36" xr3:uid="{1D4B7C07-30D8-47A3-B43C-515A810BAA80}" name="13" totalsRowFunction="custom" dataDxfId="204" totalsRowDxfId="203">
      <calculatedColumnFormula>_xlfn.IFNA(VLOOKUP(CONCATENATE(AL$4,$C5),'INSER DATA'!$A:$F,7,0),"")</calculatedColumnFormula>
      <totalsRowFormula>ContaCellePerColore(AL5:AL551,$C$3)</totalsRowFormula>
    </tableColumn>
    <tableColumn id="37" xr3:uid="{D96C7775-8673-4F99-BD36-26F2D805C293}" name="14" totalsRowFunction="custom" dataDxfId="202" totalsRowDxfId="201">
      <calculatedColumnFormula>_xlfn.IFNA(VLOOKUP(CONCATENATE(AM$4,$C5),'INSER DATA'!$A:$F,7,0),"")</calculatedColumnFormula>
      <totalsRowFormula>ContaCellePerColore(AM5:AM551,$C$3)</totalsRowFormula>
    </tableColumn>
    <tableColumn id="38" xr3:uid="{CB4C9FC8-296D-48AC-8BAC-9E12EE40908E}" name="15" totalsRowFunction="custom" dataDxfId="200" totalsRowDxfId="199">
      <calculatedColumnFormula>_xlfn.IFNA(VLOOKUP(CONCATENATE(AN$4,$C5),'INSER DATA'!$A:$F,7,0),"")</calculatedColumnFormula>
      <totalsRowFormula>ContaCellePerColore(AN5:AN551,$C$3)</totalsRowFormula>
    </tableColumn>
    <tableColumn id="39" xr3:uid="{AA3C4BF9-822B-41CC-AC4E-6534602FF820}" name="16" totalsRowFunction="custom" dataDxfId="198" totalsRowDxfId="197">
      <calculatedColumnFormula>_xlfn.IFNA(VLOOKUP(CONCATENATE(AO$4,$C5),'INSER DATA'!$A:$F,7,0),"")</calculatedColumnFormula>
      <totalsRowFormula>ContaCellePerColore(AO5:AO551,$C$3)</totalsRowFormula>
    </tableColumn>
    <tableColumn id="40" xr3:uid="{B423A25E-EA09-44B9-978D-C6EB1424DD09}" name="17" totalsRowFunction="custom" dataDxfId="196" totalsRowDxfId="195">
      <calculatedColumnFormula>_xlfn.IFNA(VLOOKUP(CONCATENATE(AP$4,$C5),'INSER DATA'!$A:$F,7,0),"")</calculatedColumnFormula>
      <totalsRowFormula>ContaCellePerColore(AP5:AP551,$C$3)</totalsRowFormula>
    </tableColumn>
    <tableColumn id="41" xr3:uid="{6B0EA62D-ACEB-41B6-A8C1-E6A4ED18761C}" name="18" totalsRowFunction="custom" dataDxfId="194" totalsRowDxfId="193">
      <calculatedColumnFormula>_xlfn.IFNA(VLOOKUP(CONCATENATE(AQ$4,$C5),'INSER DATA'!$A:$F,7,0),"")</calculatedColumnFormula>
      <totalsRowFormula>ContaCellePerColore(AQ5:AQ551,$C$3)</totalsRowFormula>
    </tableColumn>
    <tableColumn id="42" xr3:uid="{8B28FBD5-0D6A-41D9-AA10-BA60FD7CC4BB}" name="19" totalsRowFunction="custom" dataDxfId="192" totalsRowDxfId="191">
      <calculatedColumnFormula>_xlfn.IFNA(VLOOKUP(CONCATENATE(AR$4,$C5),'INSER DATA'!$A:$F,7,0),"")</calculatedColumnFormula>
      <totalsRowFormula>ContaCellePerColore(AR5:AR551,$C$3)</totalsRowFormula>
    </tableColumn>
    <tableColumn id="43" xr3:uid="{E2DDA3BC-7EBE-4F09-B0CC-50C99E4B2F56}" name="20" totalsRowFunction="custom" dataDxfId="190" totalsRowDxfId="189">
      <calculatedColumnFormula>_xlfn.IFNA(VLOOKUP(CONCATENATE(AS$4,$C5),'INSER DATA'!$A:$F,7,0),"")</calculatedColumnFormula>
      <totalsRowFormula>ContaCellePerColore(AS5:AS551,$C$3)</totalsRowFormula>
    </tableColumn>
    <tableColumn id="44" xr3:uid="{3F74AF97-8B8B-4F97-ABD7-B1A8EB0C0A23}" name="21" totalsRowFunction="custom" dataDxfId="188" totalsRowDxfId="187">
      <calculatedColumnFormula>_xlfn.IFNA(VLOOKUP(CONCATENATE(AT$4,$C5),'INSER DATA'!$A:$F,7,0),"")</calculatedColumnFormula>
      <totalsRowFormula>ContaCellePerColore(AT5:AT551,$C$3)</totalsRowFormula>
    </tableColumn>
    <tableColumn id="45" xr3:uid="{7AE5026F-4E93-4835-8CAF-D88521630818}" name="22" totalsRowFunction="custom" dataDxfId="186" totalsRowDxfId="185">
      <calculatedColumnFormula>_xlfn.IFNA(VLOOKUP(CONCATENATE(AU$4,$C5),'INSER DATA'!$A:$F,7,0),"")</calculatedColumnFormula>
      <totalsRowFormula>ContaCellePerColore(AU5:AU551,$C$3)</totalsRowFormula>
    </tableColumn>
    <tableColumn id="46" xr3:uid="{5B75496C-F949-47AB-8502-A66C3DC15AD5}" name="23" totalsRowFunction="custom" dataDxfId="184" totalsRowDxfId="183">
      <calculatedColumnFormula>_xlfn.IFNA(VLOOKUP(CONCATENATE(AV$4,$C5),'INSER DATA'!$A:$F,7,0),"")</calculatedColumnFormula>
      <totalsRowFormula>ContaCellePerColore(AV5:AV551,$C$3)</totalsRowFormula>
    </tableColumn>
    <tableColumn id="47" xr3:uid="{1D8BEE5C-0C42-40EC-B98C-E5B8B6CE0214}" name="24" totalsRowFunction="custom" dataDxfId="182" totalsRowDxfId="181">
      <calculatedColumnFormula>_xlfn.IFNA(VLOOKUP(CONCATENATE(AW$4,$C5),'INSER DATA'!$A:$F,7,0),"")</calculatedColumnFormula>
      <totalsRowFormula>ContaCellePerColore(AW5:AW551,$C$3)</totalsRowFormula>
    </tableColumn>
    <tableColumn id="48" xr3:uid="{747F7B7F-6A7C-4A0F-8D90-942FA9FDA0EF}" name="25" totalsRowFunction="custom" dataDxfId="180" totalsRowDxfId="179">
      <calculatedColumnFormula>_xlfn.IFNA(VLOOKUP(CONCATENATE(AX$4,$C5),'INSER DATA'!$A:$F,7,0),"")</calculatedColumnFormula>
      <totalsRowFormula>ContaCellePerColore(AX5:AX551,$C$3)</totalsRowFormula>
    </tableColumn>
    <tableColumn id="49" xr3:uid="{ECE02E09-9A02-411C-9677-318153DDFD4C}" name="26" totalsRowFunction="custom" dataDxfId="178" totalsRowDxfId="177">
      <calculatedColumnFormula>_xlfn.IFNA(VLOOKUP(CONCATENATE(AY$4,$C5),'INSER DATA'!$A:$F,7,0),"")</calculatedColumnFormula>
      <totalsRowFormula>ContaCellePerColore(AY5:AY551,$C$3)</totalsRowFormula>
    </tableColumn>
    <tableColumn id="50" xr3:uid="{5EAAE941-156D-4325-9AA4-98C38FE7E81B}" name="27" totalsRowFunction="custom" dataDxfId="176" totalsRowDxfId="175">
      <calculatedColumnFormula>_xlfn.IFNA(VLOOKUP(CONCATENATE(AZ$4,$C5),'INSER DATA'!$A:$F,7,0),"")</calculatedColumnFormula>
      <totalsRowFormula>ContaCellePerColore(AZ5:AZ551,$C$3)</totalsRowFormula>
    </tableColumn>
    <tableColumn id="51" xr3:uid="{218D1C92-A2AA-4E65-AA97-53722FB92BB6}" name="28" totalsRowFunction="custom" dataDxfId="174" totalsRowDxfId="173">
      <calculatedColumnFormula>_xlfn.IFNA(VLOOKUP(CONCATENATE(BA$4,$C5),'INSER DATA'!$A:$F,7,0),"")</calculatedColumnFormula>
      <totalsRowFormula>ContaCellePerColore(BA5:BA551,$C$3)</totalsRowFormula>
    </tableColumn>
    <tableColumn id="52" xr3:uid="{47692DE0-F64E-4E84-AD62-C31BF258C3AD}" name="29" totalsRowFunction="custom" dataDxfId="172" totalsRowDxfId="171">
      <calculatedColumnFormula>_xlfn.IFNA(VLOOKUP(CONCATENATE(BB$4,$C5),'INSER DATA'!$A:$F,7,0),"")</calculatedColumnFormula>
      <totalsRowFormula>ContaCellePerColore(BB5:BB551,$C$3)</totalsRowFormula>
    </tableColumn>
    <tableColumn id="53" xr3:uid="{CF37BFAF-8878-4478-983A-F71DF825DF32}" name="30" totalsRowFunction="custom" dataDxfId="170" totalsRowDxfId="169">
      <calculatedColumnFormula>_xlfn.IFNA(VLOOKUP(CONCATENATE(BC$4,$C5),'INSER DATA'!$A:$F,7,0),"")</calculatedColumnFormula>
      <totalsRowFormula>ContaCellePerColore(BC5:BC551,$C$3)</totalsRowFormula>
    </tableColumn>
    <tableColumn id="54" xr3:uid="{6F52B436-90AA-486C-8A04-0DEE120921D8}" name="31" totalsRowFunction="custom" dataDxfId="168" totalsRowDxfId="167">
      <calculatedColumnFormula>_xlfn.IFNA(VLOOKUP(CONCATENATE(BD$4,$C5),'INSER DATA'!$A:$F,7,0),"")</calculatedColumnFormula>
      <totalsRowFormula>ContaCellePerColore(BD5:BD551,$C$3)</totalsRowFormula>
    </tableColumn>
    <tableColumn id="55" xr3:uid="{96C32C9C-33EB-4742-A71A-B186265BD731}" name="32" totalsRowFunction="custom" dataDxfId="166" totalsRowDxfId="165">
      <calculatedColumnFormula>_xlfn.IFNA(VLOOKUP(CONCATENATE(BE$4,$C5),'INSER DATA'!$A:$F,7,0),"")</calculatedColumnFormula>
      <totalsRowFormula>ContaCellePerColore(BE5:BE551,$C$3)</totalsRowFormula>
    </tableColumn>
    <tableColumn id="56" xr3:uid="{67359F04-F3F0-41AE-A9A9-B55AEFB1D574}" name="33" totalsRowFunction="custom" dataDxfId="164" totalsRowDxfId="163">
      <calculatedColumnFormula>_xlfn.IFNA(VLOOKUP(CONCATENATE(BF$4,$C5),'INSER DATA'!$A:$F,7,0),"")</calculatedColumnFormula>
      <totalsRowFormula>ContaCellePerColore(BF5:BF551,$C$3)</totalsRowFormula>
    </tableColumn>
    <tableColumn id="57" xr3:uid="{E380305F-7F47-4ABA-87DE-44D56BB454E4}" name="34" totalsRowFunction="custom" dataDxfId="162" totalsRowDxfId="161">
      <calculatedColumnFormula>_xlfn.IFNA(VLOOKUP(CONCATENATE(BG$4,$C5),'INSER DATA'!$A:$F,7,0),"")</calculatedColumnFormula>
      <totalsRowFormula>ContaCellePerColore(BG5:BG551,$C$3)</totalsRowFormula>
    </tableColumn>
    <tableColumn id="1" xr3:uid="{704BFB65-CD41-412F-AA37-E391C4149227}" name="35" totalsRowFunction="custom" dataDxfId="160" totalsRowDxfId="159">
      <calculatedColumnFormula>_xlfn.IFNA(VLOOKUP(CONCATENATE(BH$4,$C5),'INSER DATA'!$A:$F,7,0),"")</calculatedColumnFormula>
      <totalsRowFormula>ContaCellePerColore(BH5:BH551,$C$3)</totalsRowFormula>
    </tableColumn>
    <tableColumn id="2" xr3:uid="{13C07A4B-0FC9-404A-8298-ECAF24BC9DED}" name="36" totalsRowFunction="custom" dataDxfId="158" totalsRowDxfId="157">
      <calculatedColumnFormula>_xlfn.IFNA(VLOOKUP(CONCATENATE(BI$4,$C5),'INSER DATA'!$A:$F,7,0),"")</calculatedColumnFormula>
      <totalsRowFormula>ContaCellePerColore(BI5:BI551,$C$3)</totalsRowFormula>
    </tableColumn>
    <tableColumn id="61" xr3:uid="{FD42CAA7-9838-4A87-B877-68769EA94EEA}" name="37" totalsRowFunction="custom" dataDxfId="156" totalsRowDxfId="155">
      <calculatedColumnFormula>_xlfn.IFNA(VLOOKUP(CONCATENATE(BJ$4,$C5),'INSER DATA'!$A:$F,7,0),"")</calculatedColumnFormula>
      <totalsRowFormula>ContaCellePerColore(BJ5:BJ551,$C$3)</totalsRowFormula>
    </tableColumn>
    <tableColumn id="62" xr3:uid="{68E7BFAC-2D66-4D43-8E7A-126DBAB2E284}" name="38" totalsRowFunction="custom" dataDxfId="154" totalsRowDxfId="153">
      <calculatedColumnFormula>_xlfn.IFNA(VLOOKUP(CONCATENATE(BK$4,$C5),'INSER DATA'!$A:$F,7,0),"")</calculatedColumnFormula>
      <totalsRowFormula>ContaCellePerColore(BK5:BK551,$C$3)</totalsRowFormula>
    </tableColumn>
    <tableColumn id="58" xr3:uid="{F2AD33EA-2F7D-4650-81BA-121371BF4507}" name="39" dataDxfId="152" totalsRowDxfId="15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50B742B-A08C-459D-8C04-251AB2D86229}" name="Tabella1" displayName="Tabella1" ref="A1:AC1177" totalsRowCount="1" headerRowDxfId="131" dataDxfId="129" totalsRowDxfId="127" headerRowBorderDxfId="130" tableBorderDxfId="128">
  <autoFilter ref="A1:AC1176" xr:uid="{F50B742B-A08C-459D-8C04-251AB2D86229}">
    <filterColumn colId="1">
      <filters>
        <filter val="3"/>
        <filter val="4"/>
      </filters>
    </filterColumn>
    <filterColumn colId="18">
      <filters>
        <filter val="1"/>
        <filter val="2"/>
      </filters>
    </filterColumn>
    <filterColumn colId="19">
      <customFilters>
        <customFilter operator="notEqual" val=" "/>
      </customFilters>
    </filterColumn>
  </autoFilter>
  <sortState xmlns:xlrd2="http://schemas.microsoft.com/office/spreadsheetml/2017/richdata2" ref="A897:AC1165">
    <sortCondition descending="1" ref="D1:D1176"/>
  </sortState>
  <tableColumns count="29">
    <tableColumn id="1" xr3:uid="{AB3561E3-E9B0-4A7E-A317-30EF746A7EFB}" name="DATA" totalsRowLabel="Totale" dataDxfId="126" totalsRowDxfId="125"/>
    <tableColumn id="19" xr3:uid="{BF982211-E73B-45AB-B0C2-88008644E35D}" name="GG" dataDxfId="124" totalsRowDxfId="123"/>
    <tableColumn id="2" xr3:uid="{81B8C3DE-427F-4C24-A7C8-A59CA1C38C3C}" name="SQUADRA" dataDxfId="122" totalsRowDxfId="121">
      <calculatedColumnFormula>_xlfn.XLOOKUP(Tabella1[[#This Row],[Nome]],Tabella4[NOME],Tabella4[SQUADRA],"")</calculatedColumnFormula>
    </tableColumn>
    <tableColumn id="3" xr3:uid="{572DE214-CC7D-4272-9D3E-200D79F991D1}" name="Ruolo" dataDxfId="120" totalsRowDxfId="119"/>
    <tableColumn id="4" xr3:uid="{9079AF3A-6B7E-4B45-8F33-D606F7551B12}" name="Nome" totalsRowFunction="countNums" dataDxfId="118" totalsRowDxfId="117"/>
    <tableColumn id="5" xr3:uid="{F100E057-E2DB-4489-ACD0-E5D6685D3B82}" name="Voto" totalsRowFunction="average" dataDxfId="116" totalsRowDxfId="115"/>
    <tableColumn id="6" xr3:uid="{490F8ACB-CBBB-4662-B55B-A973AFFC1279}" name="Gf" totalsRowFunction="sum" dataDxfId="114" totalsRowDxfId="113"/>
    <tableColumn id="7" xr3:uid="{DD9446CA-83B8-40C9-A3ED-55FB176A4B22}" name="Gs" totalsRowFunction="sum" dataDxfId="112" totalsRowDxfId="111"/>
    <tableColumn id="8" xr3:uid="{BD8B1F3E-12F6-4874-B649-3142DDC19280}" name="Rp" totalsRowFunction="sum" dataDxfId="110" totalsRowDxfId="109"/>
    <tableColumn id="9" xr3:uid="{5799FE28-E9A0-4862-9366-E3A5CEDF2802}" name="Rs" totalsRowFunction="sum" dataDxfId="108" totalsRowDxfId="107"/>
    <tableColumn id="10" xr3:uid="{3DD5C76F-5B23-4EA7-A07C-AC69C7334CE7}" name="Rf" totalsRowFunction="sum" dataDxfId="106" totalsRowDxfId="105"/>
    <tableColumn id="11" xr3:uid="{02466382-701D-451E-A273-F54461AF6E41}" name="Au" totalsRowFunction="sum" dataDxfId="104" totalsRowDxfId="103"/>
    <tableColumn id="12" xr3:uid="{A67650D5-AB62-4D9E-931C-636B8A68DEE0}" name="Amm" totalsRowFunction="sum" dataDxfId="102" totalsRowDxfId="101"/>
    <tableColumn id="13" xr3:uid="{C9FBB0A3-780A-47D1-AA53-7B2EFAB614A2}" name="Esp" totalsRowFunction="sum" dataDxfId="100" totalsRowDxfId="99"/>
    <tableColumn id="14" xr3:uid="{24BE6D8D-ED3E-4CBD-9114-3886FBEAB3CA}" name="Ass" totalsRowFunction="sum" dataDxfId="98" totalsRowDxfId="97"/>
    <tableColumn id="15" xr3:uid="{EE089CB3-426B-4C13-B021-D0F825C0D0D6}" name="Gdv" totalsRowFunction="sum" dataDxfId="96" totalsRowDxfId="95"/>
    <tableColumn id="16" xr3:uid="{97FA3042-A7E4-4CF6-BCE2-ADC0A8C8B9B6}" name="cl sh" totalsRowLabel="0" dataDxfId="94" totalsRowDxfId="93">
      <calculatedColumnFormula>IF(AC2="P0",1,0)</calculatedColumnFormula>
    </tableColumn>
    <tableColumn id="17" xr3:uid="{76E9E4D9-E9D5-4EED-8BB1-3128C6EF3840}" name="Fanta SQ" dataDxfId="92" totalsRowDxfId="91">
      <calculatedColumnFormula>_xlfn.IFNA(VLOOKUP(Tabella1[[#This Row],[Nome]],'ROSE SQUADRE'!$N$3:$O$203,2,0),"")</calculatedColumnFormula>
    </tableColumn>
    <tableColumn id="20" xr3:uid="{B51EC99E-1BC8-4CD6-B0EF-CD602CC48BCC}" name="Gol " dataDxfId="90" totalsRowDxfId="89">
      <calculatedColumnFormula>SUM(Tabella1[[#This Row],[Gf]],Tabella1[[#This Row],[Rf]])</calculatedColumnFormula>
    </tableColumn>
    <tableColumn id="23" xr3:uid="{5703146E-8F33-438D-B0C1-75DF6327D71A}" name="N° FantaTit" totalsRowFunction="sum" dataDxfId="88" totalsRowDxfId="87"/>
    <tableColumn id="26" xr3:uid="{07E027B9-EA57-483E-93F8-3D4A5787B4A7}" name="Votot FantaTit " totalsRowFunction="average" dataDxfId="86" totalsRowDxfId="85">
      <calculatedColumnFormula>IF(Tabella1[[#This Row],[N° FantaTit]]="","",Tabella1[[#This Row],[fanta voto]])</calculatedColumnFormula>
    </tableColumn>
    <tableColumn id="18" xr3:uid="{09C75500-EE67-4CEF-9905-B36940D7BA7E}" name="fanta voto" totalsRowFunction="average" dataDxfId="84" totalsRowDxfId="83">
      <calculatedColumnFormula>SUM(Tabella1[[#This Row],[Voto]],(G2*3),Q2,P2,O2,-(N2),(-M2/2),(-L2*2),(-H2),(I2*3),(-J2*3),(K2*3))</calculatedColumnFormula>
    </tableColumn>
    <tableColumn id="22" xr3:uid="{336EA0D7-3237-47F3-8125-916C3DF8464F}" name="Best 11" dataDxfId="82"/>
    <tableColumn id="21" xr3:uid="{4FDCE39C-A9FF-4935-A9BA-FA68D08F44DC}" name="Voti Best11" totalsRowFunction="sum" dataDxfId="81" totalsRowDxfId="80">
      <calculatedColumnFormula>IF(Tabella1[[#This Row],[Best 11]]=1,Tabella1[[#This Row],[fanta voto]],"")</calculatedColumnFormula>
    </tableColumn>
    <tableColumn id="27" xr3:uid="{9C54CD15-B19B-46E0-841B-CB06711C5A3E}" name="Best 11 MOD" dataDxfId="79"/>
    <tableColumn id="28" xr3:uid="{3733EC42-CF3A-4695-AB96-745FAAA40311}" name="Voti Best11 MOD" totalsRowFunction="sum" dataDxfId="78" totalsRowDxfId="77">
      <calculatedColumnFormula>IF(Tabella1[[#This Row],[Best 11 MOD]]=1,Tabella1[[#This Row],[fanta voto]],"")</calculatedColumnFormula>
    </tableColumn>
    <tableColumn id="24" xr3:uid="{2C09C5A0-AE55-4A9D-A2D4-B8E1B568075D}" name="CONC X VOTI IN TAB GIOC" dataDxfId="76">
      <calculatedColumnFormula>CONCATENATE(Tabella1[[#This Row],[GG]],Tabella1[[#This Row],[Nome]])</calculatedColumnFormula>
    </tableColumn>
    <tableColumn id="25" xr3:uid="{32314D84-95FA-44EF-85FF-88F59C1D7E53}" name="CONC X DATI IN BASE FANTASQ" dataDxfId="75">
      <calculatedColumnFormula>CONCATENATE(B2,R2,T2)</calculatedColumnFormula>
    </tableColumn>
    <tableColumn id="29" xr3:uid="{C45AC353-DB7A-4C40-B788-7F5D2A41806A}" name="concat cln sht" dataDxfId="74">
      <calculatedColumnFormula>_xlfn.CONCAT(Tabella1[[#This Row],[Ruolo]],Tabella1[[#This Row],[Gs]])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8EE7A-1E35-4371-9848-277BE7469202}">
  <sheetPr codeName="Foglio6">
    <tabColor rgb="FF92D050"/>
  </sheetPr>
  <dimension ref="A1:AD46"/>
  <sheetViews>
    <sheetView zoomScale="73" zoomScaleNormal="73" workbookViewId="0">
      <selection activeCell="L13" sqref="L13"/>
    </sheetView>
  </sheetViews>
  <sheetFormatPr defaultRowHeight="14.4" x14ac:dyDescent="0.3"/>
  <cols>
    <col min="5" max="5" width="6.5546875" customWidth="1"/>
    <col min="6" max="14" width="9.109375" style="70"/>
    <col min="15" max="15" width="6.6640625" customWidth="1"/>
    <col min="21" max="21" width="14" customWidth="1"/>
    <col min="23" max="23" width="13.33203125" customWidth="1"/>
    <col min="24" max="24" width="11.6640625" customWidth="1"/>
  </cols>
  <sheetData>
    <row r="1" spans="1:30" x14ac:dyDescent="0.3">
      <c r="A1" s="70"/>
      <c r="B1" s="70"/>
      <c r="C1" s="70"/>
      <c r="D1" s="70"/>
      <c r="E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</row>
    <row r="2" spans="1:30" x14ac:dyDescent="0.3">
      <c r="A2" s="70"/>
      <c r="B2" s="70"/>
      <c r="C2" s="70"/>
      <c r="D2" s="70"/>
      <c r="E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  <c r="AD2" s="70"/>
    </row>
    <row r="3" spans="1:30" x14ac:dyDescent="0.3">
      <c r="A3" s="70"/>
      <c r="B3" s="70"/>
      <c r="C3" s="70"/>
      <c r="D3" s="70"/>
      <c r="E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70"/>
      <c r="AC3" s="70"/>
      <c r="AD3" s="70"/>
    </row>
    <row r="4" spans="1:30" x14ac:dyDescent="0.3">
      <c r="A4" s="70"/>
      <c r="B4" s="70"/>
      <c r="C4" s="70"/>
      <c r="D4" s="70"/>
      <c r="E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0"/>
      <c r="AC4" s="70"/>
      <c r="AD4" s="70"/>
    </row>
    <row r="5" spans="1:30" x14ac:dyDescent="0.3">
      <c r="A5" s="70"/>
      <c r="B5" s="70"/>
      <c r="C5" s="70"/>
      <c r="D5" s="70"/>
      <c r="E5" s="70"/>
      <c r="O5" s="70"/>
      <c r="P5" s="426"/>
      <c r="Q5" s="426"/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  <c r="AC5" s="70"/>
      <c r="AD5" s="70"/>
    </row>
    <row r="6" spans="1:30" x14ac:dyDescent="0.3">
      <c r="A6" s="70"/>
      <c r="B6" s="70"/>
      <c r="C6" s="70"/>
      <c r="D6" s="70"/>
      <c r="E6" s="70"/>
      <c r="O6" s="70"/>
      <c r="P6" s="426"/>
      <c r="Q6" s="426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</row>
    <row r="7" spans="1:30" x14ac:dyDescent="0.3">
      <c r="A7" s="70"/>
      <c r="B7" s="70"/>
      <c r="C7" s="70"/>
      <c r="D7" s="70"/>
      <c r="E7" s="70"/>
      <c r="O7" s="70"/>
      <c r="P7" s="426"/>
      <c r="Q7" s="426"/>
      <c r="R7" s="70"/>
      <c r="S7" s="70"/>
      <c r="T7" s="70"/>
      <c r="U7" s="70"/>
      <c r="V7" s="70"/>
      <c r="W7" s="70"/>
      <c r="X7" s="70"/>
      <c r="Y7" s="70"/>
      <c r="Z7" s="70"/>
      <c r="AA7" s="70"/>
      <c r="AB7" s="70"/>
      <c r="AC7" s="70"/>
      <c r="AD7" s="70"/>
    </row>
    <row r="8" spans="1:30" x14ac:dyDescent="0.3">
      <c r="A8" s="70"/>
      <c r="B8" s="70"/>
      <c r="C8" s="70"/>
      <c r="D8" s="70"/>
      <c r="E8" s="70"/>
      <c r="O8" s="70"/>
      <c r="P8" s="426"/>
      <c r="Q8" s="426"/>
      <c r="R8" s="70"/>
      <c r="S8" s="70"/>
      <c r="T8" s="70"/>
      <c r="U8" s="70"/>
      <c r="V8" s="70"/>
      <c r="W8" s="70"/>
      <c r="X8" s="70"/>
      <c r="Y8" s="70"/>
      <c r="Z8" s="70"/>
      <c r="AA8" s="70"/>
      <c r="AB8" s="70"/>
      <c r="AC8" s="70"/>
      <c r="AD8" s="70"/>
    </row>
    <row r="9" spans="1:30" x14ac:dyDescent="0.3">
      <c r="A9" s="70"/>
      <c r="B9" s="70"/>
      <c r="C9" s="70"/>
      <c r="D9" s="70"/>
      <c r="E9" s="70"/>
      <c r="O9" s="70"/>
      <c r="P9" s="426"/>
      <c r="Q9" s="426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</row>
    <row r="10" spans="1:30" x14ac:dyDescent="0.3">
      <c r="A10" s="70"/>
      <c r="B10" s="70"/>
      <c r="C10" s="70"/>
      <c r="D10" s="70"/>
      <c r="E10" s="70"/>
      <c r="O10" s="70"/>
      <c r="P10" s="427"/>
      <c r="Q10" s="427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</row>
    <row r="11" spans="1:30" ht="15.75" customHeight="1" x14ac:dyDescent="0.3">
      <c r="A11" s="70"/>
      <c r="B11" s="70"/>
      <c r="C11" s="70"/>
      <c r="D11" s="70"/>
      <c r="E11" s="70"/>
      <c r="O11" s="70"/>
      <c r="P11" s="428" t="s">
        <v>998</v>
      </c>
      <c r="Q11" s="428"/>
      <c r="R11" s="429" t="s">
        <v>999</v>
      </c>
      <c r="S11" s="429"/>
      <c r="T11" s="429" t="s">
        <v>1000</v>
      </c>
      <c r="U11" s="429"/>
      <c r="V11" s="429" t="s">
        <v>477</v>
      </c>
      <c r="W11" s="429"/>
      <c r="X11" s="422" t="s">
        <v>627</v>
      </c>
      <c r="Y11" s="423"/>
      <c r="Z11" s="70"/>
      <c r="AA11" s="70"/>
      <c r="AB11" s="70"/>
      <c r="AC11" s="70"/>
      <c r="AD11" s="70"/>
    </row>
    <row r="12" spans="1:30" ht="28.2" customHeight="1" x14ac:dyDescent="0.3">
      <c r="A12" s="70"/>
      <c r="B12" s="70"/>
      <c r="C12" s="70"/>
      <c r="D12" s="70"/>
      <c r="E12" s="70"/>
      <c r="O12" s="70"/>
      <c r="P12" s="428"/>
      <c r="Q12" s="428"/>
      <c r="R12" s="429"/>
      <c r="S12" s="429"/>
      <c r="T12" s="429"/>
      <c r="U12" s="429"/>
      <c r="V12" s="429"/>
      <c r="W12" s="429"/>
      <c r="X12" s="424"/>
      <c r="Y12" s="425"/>
      <c r="Z12" s="70"/>
      <c r="AA12" s="70"/>
      <c r="AB12" s="70"/>
      <c r="AC12" s="70"/>
      <c r="AD12" s="70"/>
    </row>
    <row r="13" spans="1:30" x14ac:dyDescent="0.3">
      <c r="A13" s="70"/>
      <c r="B13" s="70"/>
      <c r="C13" s="70"/>
      <c r="D13" s="70"/>
      <c r="E13" s="70"/>
      <c r="O13" s="70"/>
      <c r="P13" s="430"/>
      <c r="Q13" s="430"/>
      <c r="R13" s="430"/>
      <c r="S13" s="430"/>
      <c r="T13" s="430"/>
      <c r="U13" s="430"/>
      <c r="V13" s="430"/>
      <c r="W13" s="430"/>
      <c r="X13" s="430"/>
      <c r="Y13" s="70"/>
      <c r="Z13" s="70"/>
      <c r="AA13" s="70"/>
      <c r="AB13" s="70"/>
      <c r="AC13" s="70"/>
      <c r="AD13" s="70"/>
    </row>
    <row r="14" spans="1:30" x14ac:dyDescent="0.3">
      <c r="A14" s="70"/>
      <c r="B14" s="70"/>
      <c r="C14" s="70"/>
      <c r="D14" s="70"/>
      <c r="E14" s="70"/>
      <c r="O14" s="70"/>
      <c r="P14" s="430"/>
      <c r="Q14" s="430"/>
      <c r="R14" s="430"/>
      <c r="S14" s="430"/>
      <c r="T14" s="430"/>
      <c r="U14" s="430"/>
      <c r="V14" s="430"/>
      <c r="W14" s="430"/>
      <c r="X14" s="430"/>
      <c r="Y14" s="70"/>
      <c r="Z14" s="70"/>
      <c r="AA14" s="70"/>
      <c r="AB14" s="70"/>
      <c r="AC14" s="70"/>
      <c r="AD14" s="70"/>
    </row>
    <row r="15" spans="1:30" x14ac:dyDescent="0.3">
      <c r="A15" s="70"/>
      <c r="B15" s="70"/>
      <c r="C15" s="70"/>
      <c r="D15" s="70"/>
      <c r="E15" s="70"/>
      <c r="O15" s="70"/>
      <c r="P15" s="430"/>
      <c r="Q15" s="430"/>
      <c r="R15" s="430"/>
      <c r="S15" s="430"/>
      <c r="T15" s="430"/>
      <c r="U15" s="430"/>
      <c r="V15" s="430"/>
      <c r="W15" s="430"/>
      <c r="X15" s="430"/>
      <c r="Y15" s="70"/>
      <c r="Z15" s="70"/>
      <c r="AA15" s="70"/>
      <c r="AB15" s="70"/>
      <c r="AC15" s="70"/>
      <c r="AD15" s="70"/>
    </row>
    <row r="16" spans="1:30" ht="14.4" customHeight="1" x14ac:dyDescent="0.3">
      <c r="A16" s="70"/>
      <c r="B16" s="70"/>
      <c r="C16" s="70"/>
      <c r="D16" s="70"/>
      <c r="E16" s="70"/>
      <c r="O16" s="70"/>
      <c r="P16" s="429" t="s">
        <v>496</v>
      </c>
      <c r="Q16" s="429"/>
      <c r="R16" s="428" t="s">
        <v>1001</v>
      </c>
      <c r="S16" s="428"/>
      <c r="T16" s="429" t="s">
        <v>603</v>
      </c>
      <c r="U16" s="429"/>
      <c r="V16" s="429" t="s">
        <v>626</v>
      </c>
      <c r="W16" s="429"/>
      <c r="X16" s="422" t="s">
        <v>625</v>
      </c>
      <c r="Y16" s="423"/>
      <c r="Z16" s="70"/>
      <c r="AA16" s="70"/>
      <c r="AB16" s="70"/>
      <c r="AC16" s="70"/>
      <c r="AD16" s="70"/>
    </row>
    <row r="17" spans="1:30" ht="32.4" customHeight="1" x14ac:dyDescent="0.3">
      <c r="A17" s="70"/>
      <c r="B17" s="70"/>
      <c r="C17" s="70"/>
      <c r="D17" s="70"/>
      <c r="E17" s="70"/>
      <c r="O17" s="70"/>
      <c r="P17" s="429"/>
      <c r="Q17" s="429"/>
      <c r="R17" s="428"/>
      <c r="S17" s="428"/>
      <c r="T17" s="429"/>
      <c r="U17" s="429"/>
      <c r="V17" s="429"/>
      <c r="W17" s="429"/>
      <c r="X17" s="424"/>
      <c r="Y17" s="425"/>
      <c r="Z17" s="70"/>
      <c r="AA17" s="70"/>
      <c r="AB17" s="70"/>
      <c r="AC17" s="70"/>
      <c r="AD17" s="70"/>
    </row>
    <row r="18" spans="1:30" ht="14.4" customHeight="1" x14ac:dyDescent="0.3">
      <c r="A18" s="70"/>
      <c r="B18" s="70"/>
      <c r="C18" s="70"/>
      <c r="D18" s="70"/>
      <c r="E18" s="70"/>
      <c r="O18" s="70"/>
      <c r="P18" s="275"/>
      <c r="Q18" s="275"/>
      <c r="R18" s="275"/>
      <c r="S18" s="275"/>
      <c r="T18" s="275"/>
      <c r="U18" s="275"/>
      <c r="V18" s="275"/>
      <c r="W18" s="275"/>
      <c r="X18" s="275"/>
      <c r="Y18" s="70"/>
      <c r="Z18" s="70"/>
      <c r="AA18" s="70"/>
      <c r="AB18" s="70"/>
      <c r="AC18" s="70"/>
      <c r="AD18" s="70"/>
    </row>
    <row r="19" spans="1:30" x14ac:dyDescent="0.3">
      <c r="A19" s="70"/>
      <c r="B19" s="70"/>
      <c r="C19" s="70"/>
      <c r="D19" s="70"/>
      <c r="E19" s="70"/>
      <c r="O19" s="70"/>
      <c r="P19" s="70"/>
      <c r="Q19" s="70"/>
      <c r="R19" s="70"/>
      <c r="S19" s="70"/>
      <c r="T19" s="70"/>
      <c r="U19" s="70"/>
      <c r="V19" s="70"/>
      <c r="W19" s="70"/>
      <c r="X19" s="70"/>
      <c r="Y19" s="70"/>
      <c r="Z19" s="70"/>
      <c r="AA19" s="70"/>
      <c r="AB19" s="70"/>
      <c r="AC19" s="70"/>
      <c r="AD19" s="70"/>
    </row>
    <row r="20" spans="1:30" x14ac:dyDescent="0.3">
      <c r="A20" s="70"/>
      <c r="B20" s="70"/>
      <c r="C20" s="70"/>
      <c r="D20" s="70"/>
      <c r="E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</row>
    <row r="21" spans="1:30" x14ac:dyDescent="0.3">
      <c r="A21" s="70"/>
      <c r="B21" s="70"/>
      <c r="C21" s="70"/>
      <c r="D21" s="70"/>
      <c r="E21" s="70"/>
      <c r="O21" s="70"/>
      <c r="P21" s="70"/>
      <c r="Q21" s="70"/>
      <c r="R21" s="70"/>
      <c r="S21" s="70"/>
      <c r="T21" s="70"/>
      <c r="U21" s="70"/>
      <c r="V21" s="70"/>
      <c r="W21" s="70"/>
      <c r="X21" s="70"/>
      <c r="Y21" s="70"/>
      <c r="Z21" s="70"/>
      <c r="AA21" s="70"/>
      <c r="AB21" s="70"/>
      <c r="AC21" s="70"/>
      <c r="AD21" s="70"/>
    </row>
    <row r="22" spans="1:30" x14ac:dyDescent="0.3">
      <c r="A22" s="70"/>
      <c r="B22" s="70"/>
      <c r="C22" s="70"/>
      <c r="D22" s="70"/>
      <c r="E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</row>
    <row r="23" spans="1:30" x14ac:dyDescent="0.3">
      <c r="A23" s="70"/>
      <c r="B23" s="70"/>
      <c r="C23" s="70"/>
      <c r="D23" s="70"/>
      <c r="E23" s="70"/>
      <c r="O23" s="70"/>
      <c r="P23" s="70"/>
      <c r="Q23" s="70"/>
      <c r="R23" s="70"/>
      <c r="S23" s="70"/>
      <c r="T23" s="70"/>
      <c r="U23" s="70"/>
      <c r="V23" s="70"/>
      <c r="W23" s="70"/>
      <c r="X23" s="70"/>
      <c r="Y23" s="70"/>
      <c r="Z23" s="70"/>
      <c r="AA23" s="70"/>
      <c r="AB23" s="70"/>
      <c r="AC23" s="70"/>
      <c r="AD23" s="70"/>
    </row>
    <row r="24" spans="1:30" x14ac:dyDescent="0.3">
      <c r="A24" s="70"/>
      <c r="B24" s="70"/>
      <c r="C24" s="70"/>
      <c r="D24" s="70"/>
      <c r="E24" s="70"/>
      <c r="O24" s="70"/>
      <c r="P24" s="70"/>
      <c r="Q24" s="70"/>
      <c r="R24" s="70"/>
      <c r="S24" s="70"/>
      <c r="T24" s="70"/>
      <c r="U24" s="70"/>
      <c r="V24" s="70"/>
      <c r="W24" s="70"/>
      <c r="X24" s="70"/>
      <c r="Y24" s="70"/>
      <c r="Z24" s="70"/>
      <c r="AA24" s="70"/>
      <c r="AB24" s="70"/>
      <c r="AC24" s="70"/>
      <c r="AD24" s="70"/>
    </row>
    <row r="25" spans="1:30" x14ac:dyDescent="0.3">
      <c r="A25" s="70"/>
      <c r="B25" s="70"/>
      <c r="C25" s="70"/>
      <c r="D25" s="70"/>
      <c r="E25" s="70"/>
      <c r="O25" s="70"/>
      <c r="P25" s="70"/>
      <c r="Q25" s="70"/>
      <c r="R25" s="70"/>
      <c r="S25" s="70"/>
      <c r="T25" s="70"/>
      <c r="U25" s="70"/>
      <c r="V25" s="70"/>
      <c r="W25" s="70"/>
      <c r="X25" s="70"/>
      <c r="Y25" s="70"/>
      <c r="Z25" s="70"/>
      <c r="AA25" s="70"/>
      <c r="AB25" s="70"/>
      <c r="AC25" s="70"/>
      <c r="AD25" s="70"/>
    </row>
    <row r="26" spans="1:30" x14ac:dyDescent="0.3">
      <c r="A26" s="70"/>
      <c r="B26" s="70"/>
      <c r="C26" s="70"/>
      <c r="D26" s="70"/>
      <c r="E26" s="70"/>
      <c r="O26" s="70"/>
      <c r="P26" s="70"/>
      <c r="Q26" s="70"/>
      <c r="R26" s="70"/>
      <c r="S26" s="70"/>
      <c r="T26" s="70"/>
      <c r="U26" s="70"/>
      <c r="V26" s="70"/>
      <c r="W26" s="70"/>
      <c r="X26" s="70"/>
      <c r="Y26" s="70"/>
      <c r="Z26" s="70"/>
      <c r="AA26" s="70"/>
      <c r="AB26" s="70"/>
      <c r="AC26" s="70"/>
      <c r="AD26" s="70"/>
    </row>
    <row r="27" spans="1:30" x14ac:dyDescent="0.3">
      <c r="A27" s="70"/>
      <c r="B27" s="70"/>
      <c r="C27" s="70"/>
      <c r="D27" s="70"/>
      <c r="E27" s="70"/>
      <c r="O27" s="70"/>
      <c r="P27" s="70"/>
      <c r="Q27" s="70"/>
      <c r="R27" s="70"/>
      <c r="S27" s="70"/>
      <c r="T27" s="70"/>
      <c r="U27" s="70"/>
      <c r="V27" s="70"/>
      <c r="W27" s="70"/>
      <c r="X27" s="70"/>
      <c r="Y27" s="70"/>
      <c r="Z27" s="70"/>
      <c r="AA27" s="70"/>
      <c r="AB27" s="70"/>
      <c r="AC27" s="70"/>
      <c r="AD27" s="70"/>
    </row>
    <row r="28" spans="1:30" x14ac:dyDescent="0.3">
      <c r="A28" s="70"/>
      <c r="B28" s="70"/>
      <c r="C28" s="70"/>
      <c r="D28" s="70"/>
      <c r="E28" s="70"/>
      <c r="O28" s="70"/>
      <c r="P28" s="70"/>
      <c r="Q28" s="70"/>
      <c r="R28" s="70"/>
      <c r="S28" s="70"/>
      <c r="T28" s="70"/>
      <c r="U28" s="70"/>
      <c r="V28" s="70"/>
      <c r="W28" s="70"/>
      <c r="X28" s="70"/>
      <c r="Y28" s="70"/>
      <c r="Z28" s="70"/>
      <c r="AA28" s="70"/>
      <c r="AB28" s="70"/>
      <c r="AC28" s="70"/>
      <c r="AD28" s="70"/>
    </row>
    <row r="29" spans="1:30" x14ac:dyDescent="0.3">
      <c r="A29" s="70"/>
      <c r="B29" s="70"/>
      <c r="C29" s="70"/>
      <c r="D29" s="70"/>
      <c r="E29" s="70"/>
      <c r="O29" s="70"/>
      <c r="P29" s="70"/>
      <c r="Q29" s="70"/>
      <c r="R29" s="70"/>
      <c r="S29" s="70"/>
      <c r="T29" s="70"/>
      <c r="U29" s="70"/>
      <c r="V29" s="70"/>
      <c r="W29" s="70"/>
      <c r="X29" s="70"/>
      <c r="Y29" s="70"/>
      <c r="Z29" s="70"/>
      <c r="AA29" s="70"/>
      <c r="AB29" s="70"/>
      <c r="AC29" s="70"/>
      <c r="AD29" s="70"/>
    </row>
    <row r="30" spans="1:30" x14ac:dyDescent="0.3">
      <c r="A30" s="70"/>
      <c r="B30" s="70"/>
      <c r="C30" s="70"/>
      <c r="D30" s="70"/>
      <c r="E30" s="70"/>
      <c r="O30" s="70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0"/>
      <c r="AC30" s="70"/>
      <c r="AD30" s="70"/>
    </row>
    <row r="31" spans="1:30" x14ac:dyDescent="0.3">
      <c r="A31" s="70"/>
      <c r="B31" s="70"/>
      <c r="C31" s="70"/>
      <c r="D31" s="70"/>
      <c r="E31" s="70"/>
      <c r="O31" s="70"/>
      <c r="P31" s="70"/>
      <c r="Q31" s="70"/>
      <c r="R31" s="70"/>
      <c r="S31" s="70"/>
      <c r="T31" s="70"/>
      <c r="U31" s="70"/>
      <c r="V31" s="70"/>
      <c r="W31" s="70"/>
      <c r="X31" s="70"/>
      <c r="Y31" s="70"/>
      <c r="Z31" s="70"/>
      <c r="AA31" s="70"/>
      <c r="AB31" s="70"/>
      <c r="AC31" s="70"/>
      <c r="AD31" s="70"/>
    </row>
    <row r="32" spans="1:30" x14ac:dyDescent="0.3">
      <c r="A32" s="70"/>
      <c r="B32" s="70"/>
      <c r="C32" s="70"/>
      <c r="D32" s="70"/>
      <c r="E32" s="70"/>
      <c r="O32" s="70"/>
      <c r="P32" s="70"/>
      <c r="Q32" s="70"/>
      <c r="R32" s="70"/>
      <c r="S32" s="70"/>
      <c r="T32" s="70"/>
      <c r="U32" s="70"/>
      <c r="V32" s="70"/>
      <c r="W32" s="70"/>
      <c r="X32" s="70"/>
      <c r="Y32" s="70"/>
      <c r="Z32" s="70"/>
      <c r="AA32" s="70"/>
      <c r="AB32" s="70"/>
      <c r="AC32" s="70"/>
      <c r="AD32" s="70"/>
    </row>
    <row r="33" spans="1:30" x14ac:dyDescent="0.3">
      <c r="A33" s="70"/>
      <c r="B33" s="70"/>
      <c r="C33" s="70"/>
      <c r="D33" s="70"/>
      <c r="E33" s="70"/>
      <c r="O33" s="70"/>
      <c r="P33" s="70"/>
      <c r="Q33" s="70"/>
      <c r="R33" s="70"/>
      <c r="S33" s="70"/>
      <c r="T33" s="70"/>
      <c r="U33" s="70"/>
      <c r="V33" s="70"/>
      <c r="W33" s="70"/>
      <c r="X33" s="70"/>
      <c r="Y33" s="70"/>
      <c r="Z33" s="70"/>
      <c r="AA33" s="70"/>
      <c r="AB33" s="70"/>
      <c r="AC33" s="70"/>
      <c r="AD33" s="70"/>
    </row>
    <row r="34" spans="1:30" x14ac:dyDescent="0.3">
      <c r="A34" s="70"/>
      <c r="B34" s="70"/>
      <c r="C34" s="70"/>
      <c r="D34" s="70"/>
      <c r="E34" s="70"/>
      <c r="O34" s="70"/>
      <c r="P34" s="70"/>
      <c r="Q34" s="70"/>
      <c r="R34" s="70"/>
      <c r="S34" s="70"/>
      <c r="T34" s="70"/>
      <c r="U34" s="70"/>
      <c r="V34" s="70"/>
      <c r="W34" s="70"/>
      <c r="X34" s="70"/>
      <c r="Y34" s="70"/>
      <c r="Z34" s="70"/>
      <c r="AA34" s="70"/>
      <c r="AB34" s="70"/>
      <c r="AC34" s="70"/>
      <c r="AD34" s="70"/>
    </row>
    <row r="35" spans="1:30" x14ac:dyDescent="0.3">
      <c r="A35" s="70"/>
      <c r="B35" s="70"/>
      <c r="C35" s="70"/>
      <c r="D35" s="70"/>
      <c r="E35" s="70"/>
      <c r="O35" s="70"/>
      <c r="P35" s="70"/>
      <c r="Q35" s="70"/>
      <c r="R35" s="70"/>
      <c r="S35" s="70"/>
      <c r="T35" s="70"/>
      <c r="U35" s="70"/>
      <c r="V35" s="70"/>
      <c r="W35" s="70"/>
      <c r="X35" s="70"/>
      <c r="Y35" s="70"/>
      <c r="Z35" s="70"/>
      <c r="AA35" s="70"/>
      <c r="AB35" s="70"/>
      <c r="AC35" s="70"/>
      <c r="AD35" s="70"/>
    </row>
    <row r="36" spans="1:30" x14ac:dyDescent="0.3">
      <c r="A36" s="70"/>
      <c r="B36" s="70"/>
      <c r="C36" s="70"/>
      <c r="D36" s="70"/>
      <c r="E36" s="70"/>
      <c r="O36" s="70"/>
      <c r="P36" s="70"/>
      <c r="Q36" s="70"/>
      <c r="R36" s="70"/>
      <c r="S36" s="70"/>
      <c r="T36" s="70"/>
      <c r="U36" s="70"/>
      <c r="V36" s="70"/>
      <c r="W36" s="70"/>
      <c r="X36" s="70"/>
      <c r="Y36" s="70"/>
      <c r="Z36" s="70"/>
      <c r="AA36" s="70"/>
      <c r="AB36" s="70"/>
      <c r="AC36" s="70"/>
      <c r="AD36" s="70"/>
    </row>
    <row r="37" spans="1:30" x14ac:dyDescent="0.3">
      <c r="A37" s="70"/>
      <c r="B37" s="70"/>
      <c r="C37" s="70"/>
      <c r="D37" s="70"/>
      <c r="E37" s="70"/>
      <c r="O37" s="70"/>
      <c r="P37" s="70"/>
      <c r="Q37" s="70"/>
      <c r="R37" s="70"/>
      <c r="S37" s="70"/>
      <c r="T37" s="70"/>
      <c r="U37" s="70"/>
      <c r="V37" s="70"/>
      <c r="W37" s="70"/>
      <c r="X37" s="70"/>
      <c r="Y37" s="70"/>
      <c r="Z37" s="70"/>
      <c r="AA37" s="70"/>
      <c r="AB37" s="70"/>
      <c r="AC37" s="70"/>
      <c r="AD37" s="70"/>
    </row>
    <row r="38" spans="1:30" x14ac:dyDescent="0.3">
      <c r="A38" s="70"/>
      <c r="B38" s="70"/>
      <c r="C38" s="70"/>
      <c r="D38" s="70"/>
      <c r="E38" s="70"/>
      <c r="O38" s="70"/>
      <c r="P38" s="70"/>
      <c r="Q38" s="70"/>
      <c r="R38" s="70"/>
      <c r="S38" s="70"/>
      <c r="T38" s="70"/>
      <c r="U38" s="70"/>
      <c r="V38" s="70"/>
      <c r="W38" s="70"/>
      <c r="X38" s="70"/>
      <c r="Y38" s="70"/>
      <c r="Z38" s="70"/>
      <c r="AA38" s="70"/>
      <c r="AB38" s="70"/>
      <c r="AC38" s="70"/>
      <c r="AD38" s="70"/>
    </row>
    <row r="39" spans="1:30" x14ac:dyDescent="0.3">
      <c r="A39" s="70"/>
      <c r="B39" s="70"/>
      <c r="C39" s="70"/>
      <c r="D39" s="70"/>
      <c r="E39" s="70"/>
      <c r="O39" s="70"/>
      <c r="P39" s="70"/>
      <c r="Q39" s="70"/>
      <c r="R39" s="70"/>
      <c r="S39" s="70"/>
      <c r="T39" s="70"/>
      <c r="U39" s="70"/>
      <c r="V39" s="70"/>
      <c r="W39" s="70"/>
      <c r="X39" s="70"/>
      <c r="Y39" s="70"/>
      <c r="Z39" s="70"/>
      <c r="AA39" s="70"/>
      <c r="AB39" s="70"/>
      <c r="AC39" s="70"/>
      <c r="AD39" s="70"/>
    </row>
    <row r="40" spans="1:30" x14ac:dyDescent="0.3">
      <c r="A40" s="70"/>
      <c r="B40" s="70"/>
      <c r="C40" s="70"/>
      <c r="D40" s="70"/>
      <c r="E40" s="70"/>
      <c r="O40" s="70"/>
      <c r="P40" s="70"/>
      <c r="Q40" s="70"/>
      <c r="R40" s="70"/>
      <c r="S40" s="70"/>
      <c r="T40" s="70"/>
      <c r="U40" s="70"/>
      <c r="V40" s="70"/>
      <c r="W40" s="70"/>
      <c r="X40" s="70"/>
      <c r="Y40" s="70"/>
      <c r="Z40" s="70"/>
      <c r="AA40" s="70"/>
      <c r="AB40" s="70"/>
      <c r="AC40" s="70"/>
      <c r="AD40" s="70"/>
    </row>
    <row r="41" spans="1:30" x14ac:dyDescent="0.3">
      <c r="A41" s="70"/>
      <c r="B41" s="70"/>
      <c r="C41" s="70"/>
      <c r="D41" s="70"/>
      <c r="E41" s="70"/>
      <c r="O41" s="70"/>
      <c r="P41" s="70"/>
      <c r="Q41" s="70"/>
      <c r="R41" s="70"/>
      <c r="S41" s="70"/>
      <c r="T41" s="70"/>
      <c r="U41" s="70"/>
      <c r="V41" s="70"/>
      <c r="W41" s="70"/>
      <c r="X41" s="70"/>
      <c r="Y41" s="70"/>
      <c r="Z41" s="70"/>
      <c r="AA41" s="70"/>
      <c r="AB41" s="70"/>
      <c r="AC41" s="70"/>
      <c r="AD41" s="70"/>
    </row>
    <row r="42" spans="1:30" x14ac:dyDescent="0.3">
      <c r="A42" s="70"/>
      <c r="B42" s="70"/>
      <c r="C42" s="70"/>
      <c r="D42" s="70"/>
      <c r="E42" s="70"/>
      <c r="O42" s="70"/>
      <c r="P42" s="70"/>
      <c r="Q42" s="70"/>
      <c r="R42" s="70"/>
      <c r="S42" s="70"/>
      <c r="T42" s="70"/>
      <c r="U42" s="70"/>
      <c r="V42" s="70"/>
      <c r="W42" s="70"/>
      <c r="X42" s="70"/>
      <c r="Y42" s="70"/>
      <c r="Z42" s="70"/>
      <c r="AA42" s="70"/>
      <c r="AB42" s="70"/>
      <c r="AC42" s="70"/>
      <c r="AD42" s="70"/>
    </row>
    <row r="43" spans="1:30" x14ac:dyDescent="0.3">
      <c r="A43" s="70"/>
      <c r="B43" s="70"/>
      <c r="C43" s="70"/>
      <c r="D43" s="70"/>
      <c r="E43" s="70"/>
      <c r="O43" s="70"/>
      <c r="P43" s="70"/>
      <c r="Q43" s="70"/>
      <c r="R43" s="70"/>
      <c r="S43" s="70"/>
      <c r="T43" s="70"/>
      <c r="U43" s="70"/>
      <c r="V43" s="70"/>
      <c r="W43" s="70"/>
      <c r="X43" s="70"/>
      <c r="Y43" s="70"/>
      <c r="Z43" s="70"/>
      <c r="AA43" s="70"/>
      <c r="AB43" s="70"/>
      <c r="AC43" s="70"/>
      <c r="AD43" s="70"/>
    </row>
    <row r="44" spans="1:30" x14ac:dyDescent="0.3">
      <c r="A44" s="70"/>
      <c r="B44" s="70"/>
      <c r="C44" s="70"/>
      <c r="D44" s="70"/>
      <c r="E44" s="70"/>
      <c r="O44" s="70"/>
      <c r="P44" s="70"/>
      <c r="Q44" s="70"/>
      <c r="R44" s="70"/>
      <c r="S44" s="70"/>
      <c r="T44" s="70"/>
      <c r="U44" s="70"/>
      <c r="V44" s="70"/>
      <c r="W44" s="70"/>
      <c r="X44" s="70"/>
      <c r="Y44" s="70"/>
      <c r="Z44" s="70"/>
      <c r="AA44" s="70"/>
      <c r="AB44" s="70"/>
      <c r="AC44" s="70"/>
      <c r="AD44" s="70"/>
    </row>
    <row r="45" spans="1:30" x14ac:dyDescent="0.3">
      <c r="A45" s="70"/>
      <c r="B45" s="70"/>
      <c r="C45" s="70"/>
      <c r="D45" s="70"/>
      <c r="E45" s="70"/>
      <c r="O45" s="70"/>
      <c r="P45" s="70"/>
      <c r="Q45" s="70"/>
      <c r="R45" s="70"/>
      <c r="S45" s="70"/>
      <c r="T45" s="70"/>
      <c r="U45" s="70"/>
      <c r="V45" s="70"/>
      <c r="W45" s="70"/>
      <c r="X45" s="70"/>
      <c r="Y45" s="70"/>
      <c r="Z45" s="70"/>
      <c r="AA45" s="70"/>
      <c r="AB45" s="70"/>
      <c r="AC45" s="70"/>
      <c r="AD45" s="70"/>
    </row>
    <row r="46" spans="1:30" x14ac:dyDescent="0.3">
      <c r="A46" s="70"/>
      <c r="B46" s="70"/>
      <c r="C46" s="70"/>
      <c r="D46" s="70"/>
      <c r="E46" s="70"/>
      <c r="O46" s="70"/>
      <c r="P46" s="70"/>
      <c r="Q46" s="70"/>
      <c r="R46" s="70"/>
      <c r="S46" s="70"/>
      <c r="T46" s="70"/>
      <c r="U46" s="70"/>
      <c r="V46" s="70"/>
      <c r="W46" s="70"/>
      <c r="X46" s="70"/>
      <c r="Y46" s="70"/>
    </row>
  </sheetData>
  <mergeCells count="14">
    <mergeCell ref="X11:Y12"/>
    <mergeCell ref="X16:Y17"/>
    <mergeCell ref="P5:Q10"/>
    <mergeCell ref="P11:Q12"/>
    <mergeCell ref="R11:S12"/>
    <mergeCell ref="T11:U12"/>
    <mergeCell ref="V11:W12"/>
    <mergeCell ref="P16:Q17"/>
    <mergeCell ref="R16:S17"/>
    <mergeCell ref="T16:U17"/>
    <mergeCell ref="V16:W17"/>
    <mergeCell ref="P13:R15"/>
    <mergeCell ref="S13:U15"/>
    <mergeCell ref="V13:X15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5408D-2750-4739-8E60-BC990A8501BC}">
  <sheetPr codeName="Foglio2">
    <tabColor rgb="FF92D050"/>
  </sheetPr>
  <dimension ref="A1:AJ33"/>
  <sheetViews>
    <sheetView zoomScale="110" zoomScaleNormal="110" workbookViewId="0">
      <selection activeCell="S9" sqref="S9"/>
    </sheetView>
  </sheetViews>
  <sheetFormatPr defaultRowHeight="14.4" x14ac:dyDescent="0.3"/>
  <cols>
    <col min="1" max="1" width="1.5546875" customWidth="1"/>
    <col min="2" max="2" width="23.6640625" customWidth="1"/>
    <col min="3" max="3" width="2.33203125" customWidth="1"/>
    <col min="4" max="4" width="7" customWidth="1"/>
    <col min="5" max="5" width="12.109375" customWidth="1"/>
    <col min="6" max="6" width="28.21875" customWidth="1"/>
    <col min="7" max="13" width="4.21875" customWidth="1"/>
    <col min="14" max="14" width="4.33203125" customWidth="1"/>
    <col min="15" max="15" width="13.33203125" customWidth="1"/>
    <col min="16" max="16" width="3.44140625" customWidth="1"/>
    <col min="17" max="17" width="5.33203125" customWidth="1"/>
    <col min="18" max="23" width="11.5546875" customWidth="1"/>
    <col min="24" max="24" width="93.33203125" customWidth="1"/>
    <col min="25" max="25" width="20.44140625" customWidth="1"/>
    <col min="26" max="31" width="8.5546875" customWidth="1"/>
    <col min="32" max="35" width="12.5546875" customWidth="1"/>
  </cols>
  <sheetData>
    <row r="1" spans="1:36" ht="8.2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</row>
    <row r="2" spans="1:36" ht="29.25" customHeight="1" x14ac:dyDescent="0.3">
      <c r="A2" s="71"/>
      <c r="B2" s="88"/>
      <c r="C2" s="73"/>
      <c r="D2" s="433" t="s">
        <v>0</v>
      </c>
      <c r="E2" s="434"/>
      <c r="F2" s="434"/>
      <c r="G2" s="434"/>
      <c r="H2" s="434"/>
      <c r="I2" s="434"/>
      <c r="J2" s="434"/>
      <c r="K2" s="434"/>
      <c r="L2" s="434"/>
      <c r="M2" s="434"/>
      <c r="N2" s="434"/>
      <c r="O2" s="435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</row>
    <row r="3" spans="1:36" ht="27.75" customHeight="1" thickBot="1" x14ac:dyDescent="0.35">
      <c r="A3" s="71"/>
      <c r="B3" s="89"/>
      <c r="C3" s="73"/>
      <c r="D3" s="436"/>
      <c r="E3" s="437"/>
      <c r="F3" s="437"/>
      <c r="G3" s="437"/>
      <c r="H3" s="437"/>
      <c r="I3" s="437"/>
      <c r="J3" s="437"/>
      <c r="K3" s="437"/>
      <c r="L3" s="437"/>
      <c r="M3" s="437"/>
      <c r="N3" s="437"/>
      <c r="O3" s="438"/>
      <c r="P3" s="71"/>
      <c r="Q3" s="71"/>
      <c r="R3" s="71"/>
      <c r="S3" s="71"/>
      <c r="T3" s="71"/>
      <c r="U3" s="71"/>
      <c r="V3" s="71"/>
      <c r="W3" s="71"/>
      <c r="X3" s="71"/>
      <c r="Y3" s="71"/>
      <c r="Z3" s="73"/>
      <c r="AA3" s="71"/>
      <c r="AB3" s="71"/>
      <c r="AC3" s="71"/>
      <c r="AD3" s="71"/>
      <c r="AE3" s="71"/>
      <c r="AF3" s="71"/>
      <c r="AG3" s="71"/>
      <c r="AH3" s="71"/>
      <c r="AI3" s="71"/>
      <c r="AJ3" s="71"/>
    </row>
    <row r="4" spans="1:36" ht="15" thickBot="1" x14ac:dyDescent="0.35">
      <c r="A4" s="71"/>
      <c r="B4" s="89"/>
      <c r="C4" s="73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</row>
    <row r="5" spans="1:36" s="47" customFormat="1" ht="42" customHeight="1" thickTop="1" thickBot="1" x14ac:dyDescent="0.45">
      <c r="A5" s="72"/>
      <c r="B5" s="90"/>
      <c r="C5" s="92"/>
      <c r="D5" s="94"/>
      <c r="E5" s="431" t="s">
        <v>1</v>
      </c>
      <c r="F5" s="432"/>
      <c r="G5" s="336" t="s">
        <v>2</v>
      </c>
      <c r="H5" s="337" t="s">
        <v>3</v>
      </c>
      <c r="I5" s="338" t="s">
        <v>4</v>
      </c>
      <c r="J5" s="339" t="s">
        <v>5</v>
      </c>
      <c r="K5" s="337" t="s">
        <v>6</v>
      </c>
      <c r="L5" s="338" t="s">
        <v>7</v>
      </c>
      <c r="M5" s="339" t="s">
        <v>8</v>
      </c>
      <c r="N5" s="340" t="s">
        <v>9</v>
      </c>
      <c r="O5" s="340" t="s">
        <v>10</v>
      </c>
      <c r="P5" s="341"/>
      <c r="Q5" s="72"/>
      <c r="R5" s="72"/>
      <c r="S5" s="72"/>
      <c r="T5" s="72"/>
      <c r="U5" s="72"/>
      <c r="V5" s="72"/>
      <c r="W5" s="72"/>
      <c r="X5" s="72"/>
      <c r="Y5" s="145"/>
      <c r="Z5" s="147" t="s">
        <v>11</v>
      </c>
      <c r="AA5" s="147" t="s">
        <v>12</v>
      </c>
      <c r="AB5" s="147" t="s">
        <v>13</v>
      </c>
      <c r="AC5" s="147" t="s">
        <v>14</v>
      </c>
      <c r="AD5" s="147" t="s">
        <v>15</v>
      </c>
      <c r="AE5" s="147" t="s">
        <v>16</v>
      </c>
      <c r="AF5" s="146"/>
      <c r="AG5" s="71"/>
      <c r="AH5" s="71"/>
      <c r="AI5" s="72"/>
      <c r="AJ5" s="72"/>
    </row>
    <row r="6" spans="1:36" ht="48.75" customHeight="1" thickTop="1" thickBot="1" x14ac:dyDescent="0.35">
      <c r="A6" s="71"/>
      <c r="B6" s="89"/>
      <c r="C6" s="73"/>
      <c r="D6" s="59">
        <v>1</v>
      </c>
      <c r="E6" s="93"/>
      <c r="F6" s="69" t="str" cm="1">
        <f t="array" ref="F6">_xlfn.SINGLE(INDEX('INSER DATA CALENDARIO'!N$7:N$16,_xlfn.AGGREGATE(15,6,(ROW($Y$6:$Y$15)-ROW($Y$6)+1)/('INSER DATA CALENDARIO'!$X$7:$X$16=$N6),COUNTIF($N$6:$N6,$N6))))</f>
        <v>TRICCHETRACHT</v>
      </c>
      <c r="G6" s="62" cm="1">
        <f t="array" ref="G6">_xlfn.SINGLE(INDEX('INSER DATA CALENDARIO'!O$7:O$16,_xlfn.AGGREGATE(15,6,(ROW($Y$6:$Y$15)-ROW($Y$6)+1)/('INSER DATA CALENDARIO'!$X$7:$X$16=$N6),COUNTIF($N$6:$N6,$N6))))</f>
        <v>2</v>
      </c>
      <c r="H6" s="63" cm="1">
        <f t="array" ref="H6">_xlfn.SINGLE(INDEX('INSER DATA CALENDARIO'!P$7:P$16,_xlfn.AGGREGATE(15,6,(ROW($Y$6:$Y$15)-ROW($Y$6)+1)/('INSER DATA CALENDARIO'!$X$7:$X$16=$N6),COUNTIF($N$6:$N6,$N6))))</f>
        <v>2</v>
      </c>
      <c r="I6" s="63" cm="1">
        <f t="array" ref="I6">_xlfn.SINGLE(INDEX('INSER DATA CALENDARIO'!Q$7:Q$16,_xlfn.AGGREGATE(15,6,(ROW($Y$6:$Y$15)-ROW($Y$6)+1)/('INSER DATA CALENDARIO'!$X$7:$X$16=$N6),COUNTIF($N$6:$N6,$N6))))</f>
        <v>0</v>
      </c>
      <c r="J6" s="63" cm="1">
        <f t="array" ref="J6">_xlfn.SINGLE(INDEX('INSER DATA CALENDARIO'!R$7:R$16,_xlfn.AGGREGATE(15,6,(ROW($Y$6:$Y$15)-ROW($Y$6)+1)/('INSER DATA CALENDARIO'!$X$7:$X$16=$N6),COUNTIF($N$6:$N6,$N6))))</f>
        <v>0</v>
      </c>
      <c r="K6" s="64" cm="1">
        <f t="array" ref="K6">_xlfn.SINGLE(INDEX('INSER DATA CALENDARIO'!S$7:S$16,_xlfn.AGGREGATE(15,6,(ROW($Y$6:$Y$15)-ROW($Y$6)+1)/('INSER DATA CALENDARIO'!$X$7:$X$16=$N6),COUNTIF($N$6:$N6,$N6))))</f>
        <v>6</v>
      </c>
      <c r="L6" s="65" cm="1">
        <f t="array" ref="L6">_xlfn.SINGLE(INDEX('INSER DATA CALENDARIO'!T$7:T$16,_xlfn.AGGREGATE(15,6,(ROW($Y$6:$Y$15)-ROW($Y$6)+1)/('INSER DATA CALENDARIO'!$X$7:$X$16=$N6),COUNTIF($N$6:$N6,$N6))))</f>
        <v>1</v>
      </c>
      <c r="M6" s="66" cm="1">
        <f t="array" ref="M6">_xlfn.SINGLE(INDEX('INSER DATA CALENDARIO'!U$7:U$16,_xlfn.AGGREGATE(15,6,(ROW($Y$6:$Y$15)-ROW($Y$6)+1)/('INSER DATA CALENDARIO'!$X$7:$X$16=$N6),COUNTIF($N$6:$N6,$N6))))</f>
        <v>5</v>
      </c>
      <c r="N6" s="67">
        <f>LARGE('INSER DATA CALENDARIO'!$X$7:$X$16,'INSER DATA CALENDARIO'!M7)</f>
        <v>6.0050005999999998</v>
      </c>
      <c r="O6" s="68" cm="1">
        <f t="array" ref="O6">_xlfn.SINGLE(INDEX('INSER DATA CALENDARIO'!W$7:W$16,_xlfn.AGGREGATE(15,6,(ROW($Y$6:$Y$15)-ROW($Y$6)+1)/('INSER DATA CALENDARIO'!$X$7:$X$16=$N6),COUNTIF($N$6:$N6,$N6))))</f>
        <v>158</v>
      </c>
      <c r="P6" s="71"/>
      <c r="Q6" s="71"/>
      <c r="R6" s="71"/>
      <c r="S6" s="71"/>
      <c r="T6" s="71"/>
      <c r="U6" s="71"/>
      <c r="V6" s="71"/>
      <c r="W6" s="71"/>
      <c r="X6" s="71"/>
      <c r="Y6" s="146"/>
      <c r="Z6" s="146"/>
      <c r="AA6" s="146"/>
      <c r="AB6" s="146"/>
      <c r="AC6" s="146"/>
      <c r="AD6" s="146"/>
      <c r="AE6" s="146"/>
      <c r="AF6" s="146"/>
      <c r="AG6" s="71"/>
      <c r="AH6" s="71"/>
      <c r="AI6" s="71"/>
      <c r="AJ6" s="71"/>
    </row>
    <row r="7" spans="1:36" ht="48.75" customHeight="1" thickTop="1" thickBot="1" x14ac:dyDescent="0.35">
      <c r="A7" s="71"/>
      <c r="B7" s="89"/>
      <c r="C7" s="73"/>
      <c r="D7" s="60">
        <v>2</v>
      </c>
      <c r="E7" s="27"/>
      <c r="F7" s="69" t="str" cm="1">
        <f t="array" ref="F7">_xlfn.SINGLE(INDEX('INSER DATA CALENDARIO'!N$7:N$16,_xlfn.AGGREGATE(15,6,(ROW($Y$6:$Y$15)-ROW($Y$6)+1)/('INSER DATA CALENDARIO'!$X$7:$X$16=$N7),COUNTIF($N$6:$N7,$N7))))</f>
        <v>PARTIZAN DEGRADO</v>
      </c>
      <c r="G7" s="62" cm="1">
        <f t="array" ref="G7">_xlfn.SINGLE(INDEX('INSER DATA CALENDARIO'!O$7:O$16,_xlfn.AGGREGATE(15,6,(ROW($Y$6:$Y$15)-ROW($Y$6)+1)/('INSER DATA CALENDARIO'!$X$7:$X$16=$N7),COUNTIF($N$6:$N7,$N7))))</f>
        <v>2</v>
      </c>
      <c r="H7" s="63" cm="1">
        <f t="array" ref="H7">_xlfn.SINGLE(INDEX('INSER DATA CALENDARIO'!P$7:P$16,_xlfn.AGGREGATE(15,6,(ROW($Y$6:$Y$15)-ROW($Y$6)+1)/('INSER DATA CALENDARIO'!$X$7:$X$16=$N7),COUNTIF($N$6:$N7,$N7))))</f>
        <v>2</v>
      </c>
      <c r="I7" s="63" cm="1">
        <f t="array" ref="I7">_xlfn.SINGLE(INDEX('INSER DATA CALENDARIO'!Q$7:Q$16,_xlfn.AGGREGATE(15,6,(ROW($Y$6:$Y$15)-ROW($Y$6)+1)/('INSER DATA CALENDARIO'!$X$7:$X$16=$N7),COUNTIF($N$6:$N7,$N7))))</f>
        <v>0</v>
      </c>
      <c r="J7" s="63" cm="1">
        <f t="array" ref="J7">_xlfn.SINGLE(INDEX('INSER DATA CALENDARIO'!R$7:R$16,_xlfn.AGGREGATE(15,6,(ROW($Y$6:$Y$15)-ROW($Y$6)+1)/('INSER DATA CALENDARIO'!$X$7:$X$16=$N7),COUNTIF($N$6:$N7,$N7))))</f>
        <v>0</v>
      </c>
      <c r="K7" s="64" cm="1">
        <f t="array" ref="K7">_xlfn.SINGLE(INDEX('INSER DATA CALENDARIO'!S$7:S$16,_xlfn.AGGREGATE(15,6,(ROW($Y$6:$Y$15)-ROW($Y$6)+1)/('INSER DATA CALENDARIO'!$X$7:$X$16=$N7),COUNTIF($N$6:$N7,$N7))))</f>
        <v>6</v>
      </c>
      <c r="L7" s="65" cm="1">
        <f t="array" ref="L7">_xlfn.SINGLE(INDEX('INSER DATA CALENDARIO'!T$7:T$16,_xlfn.AGGREGATE(15,6,(ROW($Y$6:$Y$15)-ROW($Y$6)+1)/('INSER DATA CALENDARIO'!$X$7:$X$16=$N7),COUNTIF($N$6:$N7,$N7))))</f>
        <v>1</v>
      </c>
      <c r="M7" s="66" cm="1">
        <f t="array" ref="M7">_xlfn.SINGLE(INDEX('INSER DATA CALENDARIO'!U$7:U$16,_xlfn.AGGREGATE(15,6,(ROW($Y$6:$Y$15)-ROW($Y$6)+1)/('INSER DATA CALENDARIO'!$X$7:$X$16=$N7),COUNTIF($N$6:$N7,$N7))))</f>
        <v>5</v>
      </c>
      <c r="N7" s="67">
        <f>LARGE('INSER DATA CALENDARIO'!$X$7:$X$16,'INSER DATA CALENDARIO'!M8)</f>
        <v>6.0050005999999998</v>
      </c>
      <c r="O7" s="68" cm="1">
        <f t="array" ref="O7">_xlfn.SINGLE(INDEX('INSER DATA CALENDARIO'!W$7:W$16,_xlfn.AGGREGATE(15,6,(ROW($Y$6:$Y$15)-ROW($Y$6)+1)/('INSER DATA CALENDARIO'!$X$7:$X$16=$N7),COUNTIF($N$6:$N7,$N7))))</f>
        <v>156</v>
      </c>
      <c r="P7" s="71"/>
      <c r="Q7" s="71"/>
      <c r="R7" s="165"/>
      <c r="S7" s="165"/>
      <c r="T7" s="165"/>
      <c r="U7" s="166"/>
      <c r="V7" s="165"/>
      <c r="W7" s="165"/>
      <c r="X7" s="71"/>
      <c r="Y7" s="146"/>
      <c r="Z7" s="146"/>
      <c r="AA7" s="146"/>
      <c r="AB7" s="146"/>
      <c r="AC7" s="146"/>
      <c r="AD7" s="146"/>
      <c r="AE7" s="146"/>
      <c r="AF7" s="146"/>
      <c r="AG7" s="71"/>
      <c r="AH7" s="71"/>
      <c r="AI7" s="71"/>
      <c r="AJ7" s="71"/>
    </row>
    <row r="8" spans="1:36" ht="48.75" customHeight="1" thickTop="1" thickBot="1" x14ac:dyDescent="0.35">
      <c r="A8" s="71"/>
      <c r="B8" s="89"/>
      <c r="C8" s="73"/>
      <c r="D8" s="60">
        <v>3</v>
      </c>
      <c r="E8" s="27"/>
      <c r="F8" s="69" t="str" cm="1">
        <f t="array" ref="F8">_xlfn.SINGLE(INDEX('INSER DATA CALENDARIO'!N$7:N$16,_xlfn.AGGREGATE(15,6,(ROW($Y$6:$Y$15)-ROW($Y$6)+1)/('INSER DATA CALENDARIO'!$X$7:$X$16=$N8),COUNTIF($N$6:$N8,$N8))))</f>
        <v>AC ASPARAGHESE</v>
      </c>
      <c r="G8" s="62" cm="1">
        <f t="array" ref="G8">_xlfn.SINGLE(INDEX('INSER DATA CALENDARIO'!O$7:O$16,_xlfn.AGGREGATE(15,6,(ROW($Y$6:$Y$15)-ROW($Y$6)+1)/('INSER DATA CALENDARIO'!$X$7:$X$16=$N8),COUNTIF($N$6:$N8,$N8))))</f>
        <v>2</v>
      </c>
      <c r="H8" s="63" cm="1">
        <f t="array" ref="H8">_xlfn.SINGLE(INDEX('INSER DATA CALENDARIO'!P$7:P$16,_xlfn.AGGREGATE(15,6,(ROW($Y$6:$Y$15)-ROW($Y$6)+1)/('INSER DATA CALENDARIO'!$X$7:$X$16=$N8),COUNTIF($N$6:$N8,$N8))))</f>
        <v>2</v>
      </c>
      <c r="I8" s="63" cm="1">
        <f t="array" ref="I8">_xlfn.SINGLE(INDEX('INSER DATA CALENDARIO'!Q$7:Q$16,_xlfn.AGGREGATE(15,6,(ROW($Y$6:$Y$15)-ROW($Y$6)+1)/('INSER DATA CALENDARIO'!$X$7:$X$16=$N8),COUNTIF($N$6:$N8,$N8))))</f>
        <v>0</v>
      </c>
      <c r="J8" s="63" cm="1">
        <f t="array" ref="J8">_xlfn.SINGLE(INDEX('INSER DATA CALENDARIO'!R$7:R$16,_xlfn.AGGREGATE(15,6,(ROW($Y$6:$Y$15)-ROW($Y$6)+1)/('INSER DATA CALENDARIO'!$X$7:$X$16=$N8),COUNTIF($N$6:$N8,$N8))))</f>
        <v>0</v>
      </c>
      <c r="K8" s="64" cm="1">
        <f t="array" ref="K8">_xlfn.SINGLE(INDEX('INSER DATA CALENDARIO'!S$7:S$16,_xlfn.AGGREGATE(15,6,(ROW($Y$6:$Y$15)-ROW($Y$6)+1)/('INSER DATA CALENDARIO'!$X$7:$X$16=$N8),COUNTIF($N$6:$N8,$N8))))</f>
        <v>6</v>
      </c>
      <c r="L8" s="65" cm="1">
        <f t="array" ref="L8">_xlfn.SINGLE(INDEX('INSER DATA CALENDARIO'!T$7:T$16,_xlfn.AGGREGATE(15,6,(ROW($Y$6:$Y$15)-ROW($Y$6)+1)/('INSER DATA CALENDARIO'!$X$7:$X$16=$N8),COUNTIF($N$6:$N8,$N8))))</f>
        <v>3</v>
      </c>
      <c r="M8" s="66" cm="1">
        <f t="array" ref="M8">_xlfn.SINGLE(INDEX('INSER DATA CALENDARIO'!U$7:U$16,_xlfn.AGGREGATE(15,6,(ROW($Y$6:$Y$15)-ROW($Y$6)+1)/('INSER DATA CALENDARIO'!$X$7:$X$16=$N8),COUNTIF($N$6:$N8,$N8))))</f>
        <v>3</v>
      </c>
      <c r="N8" s="67">
        <f>LARGE('INSER DATA CALENDARIO'!$X$7:$X$16,'INSER DATA CALENDARIO'!M9)</f>
        <v>6.0030006</v>
      </c>
      <c r="O8" s="68" cm="1">
        <f t="array" ref="O8">_xlfn.SINGLE(INDEX('INSER DATA CALENDARIO'!W$7:W$16,_xlfn.AGGREGATE(15,6,(ROW($Y$6:$Y$15)-ROW($Y$6)+1)/('INSER DATA CALENDARIO'!$X$7:$X$16=$N8),COUNTIF($N$6:$N8,$N8))))</f>
        <v>161</v>
      </c>
      <c r="P8" s="71"/>
      <c r="Q8" s="71"/>
      <c r="R8" s="167"/>
      <c r="S8" s="167"/>
      <c r="T8" s="167"/>
      <c r="U8" s="167"/>
      <c r="V8" s="167"/>
      <c r="W8" s="167"/>
      <c r="X8" s="71"/>
      <c r="Y8" s="146"/>
      <c r="Z8" s="146"/>
      <c r="AA8" s="146"/>
      <c r="AB8" s="146"/>
      <c r="AC8" s="146"/>
      <c r="AD8" s="146"/>
      <c r="AE8" s="146"/>
      <c r="AF8" s="146"/>
      <c r="AG8" s="71"/>
      <c r="AH8" s="71"/>
      <c r="AI8" s="71"/>
      <c r="AJ8" s="71"/>
    </row>
    <row r="9" spans="1:36" ht="48.75" customHeight="1" thickTop="1" thickBot="1" x14ac:dyDescent="0.35">
      <c r="A9" s="71"/>
      <c r="B9" s="89"/>
      <c r="C9" s="73"/>
      <c r="D9" s="60">
        <v>4</v>
      </c>
      <c r="E9" s="27"/>
      <c r="F9" s="69" t="str" cm="1">
        <f t="array" ref="F9">_xlfn.SINGLE(INDEX('INSER DATA CALENDARIO'!N$7:N$16,_xlfn.AGGREGATE(15,6,(ROW($Y$6:$Y$15)-ROW($Y$6)+1)/('INSER DATA CALENDARIO'!$X$7:$X$16=$N9),COUNTIF($N$6:$N9,$N9))))</f>
        <v>ATL. IMPROVVISATO</v>
      </c>
      <c r="G9" s="62" cm="1">
        <f t="array" ref="G9">_xlfn.SINGLE(INDEX('INSER DATA CALENDARIO'!O$7:O$16,_xlfn.AGGREGATE(15,6,(ROW($Y$6:$Y$15)-ROW($Y$6)+1)/('INSER DATA CALENDARIO'!$X$7:$X$16=$N9),COUNTIF($N$6:$N9,$N9))))</f>
        <v>2</v>
      </c>
      <c r="H9" s="63" cm="1">
        <f t="array" ref="H9">_xlfn.SINGLE(INDEX('INSER DATA CALENDARIO'!P$7:P$16,_xlfn.AGGREGATE(15,6,(ROW($Y$6:$Y$15)-ROW($Y$6)+1)/('INSER DATA CALENDARIO'!$X$7:$X$16=$N9),COUNTIF($N$6:$N9,$N9))))</f>
        <v>1</v>
      </c>
      <c r="I9" s="63" cm="1">
        <f t="array" ref="I9">_xlfn.SINGLE(INDEX('INSER DATA CALENDARIO'!Q$7:Q$16,_xlfn.AGGREGATE(15,6,(ROW($Y$6:$Y$15)-ROW($Y$6)+1)/('INSER DATA CALENDARIO'!$X$7:$X$16=$N9),COUNTIF($N$6:$N9,$N9))))</f>
        <v>0</v>
      </c>
      <c r="J9" s="63" cm="1">
        <f t="array" ref="J9">_xlfn.SINGLE(INDEX('INSER DATA CALENDARIO'!R$7:R$16,_xlfn.AGGREGATE(15,6,(ROW($Y$6:$Y$15)-ROW($Y$6)+1)/('INSER DATA CALENDARIO'!$X$7:$X$16=$N9),COUNTIF($N$6:$N9,$N9))))</f>
        <v>1</v>
      </c>
      <c r="K9" s="64" cm="1">
        <f t="array" ref="K9">_xlfn.SINGLE(INDEX('INSER DATA CALENDARIO'!S$7:S$16,_xlfn.AGGREGATE(15,6,(ROW($Y$6:$Y$15)-ROW($Y$6)+1)/('INSER DATA CALENDARIO'!$X$7:$X$16=$N9),COUNTIF($N$6:$N9,$N9))))</f>
        <v>5</v>
      </c>
      <c r="L9" s="65" cm="1">
        <f t="array" ref="L9">_xlfn.SINGLE(INDEX('INSER DATA CALENDARIO'!T$7:T$16,_xlfn.AGGREGATE(15,6,(ROW($Y$6:$Y$15)-ROW($Y$6)+1)/('INSER DATA CALENDARIO'!$X$7:$X$16=$N9),COUNTIF($N$6:$N9,$N9))))</f>
        <v>5</v>
      </c>
      <c r="M9" s="66" cm="1">
        <f t="array" ref="M9">_xlfn.SINGLE(INDEX('INSER DATA CALENDARIO'!U$7:U$16,_xlfn.AGGREGATE(15,6,(ROW($Y$6:$Y$15)-ROW($Y$6)+1)/('INSER DATA CALENDARIO'!$X$7:$X$16=$N9),COUNTIF($N$6:$N9,$N9))))</f>
        <v>0</v>
      </c>
      <c r="N9" s="67">
        <f>LARGE('INSER DATA CALENDARIO'!$X$7:$X$16,'INSER DATA CALENDARIO'!M10)</f>
        <v>3.0000005000000001</v>
      </c>
      <c r="O9" s="68" cm="1">
        <f t="array" ref="O9">_xlfn.SINGLE(INDEX('INSER DATA CALENDARIO'!W$7:W$16,_xlfn.AGGREGATE(15,6,(ROW($Y$6:$Y$15)-ROW($Y$6)+1)/('INSER DATA CALENDARIO'!$X$7:$X$16=$N9),COUNTIF($N$6:$N9,$N9))))</f>
        <v>155.5</v>
      </c>
      <c r="P9" s="71"/>
      <c r="Q9" s="71"/>
      <c r="R9" s="99"/>
      <c r="S9" s="99"/>
      <c r="T9" s="99"/>
      <c r="U9" s="99"/>
      <c r="V9" s="99"/>
      <c r="W9" s="99"/>
      <c r="X9" s="71"/>
      <c r="Y9" s="146"/>
      <c r="Z9" s="146"/>
      <c r="AA9" s="146"/>
      <c r="AB9" s="146"/>
      <c r="AC9" s="146"/>
      <c r="AD9" s="146"/>
      <c r="AE9" s="146"/>
      <c r="AF9" s="146"/>
      <c r="AG9" s="71"/>
      <c r="AH9" s="71"/>
      <c r="AI9" s="71"/>
      <c r="AJ9" s="71"/>
    </row>
    <row r="10" spans="1:36" ht="48.75" customHeight="1" thickTop="1" thickBot="1" x14ac:dyDescent="0.35">
      <c r="A10" s="71"/>
      <c r="B10" s="89"/>
      <c r="C10" s="73"/>
      <c r="D10" s="60">
        <v>5</v>
      </c>
      <c r="E10" s="27"/>
      <c r="F10" s="69" t="str" cm="1">
        <f t="array" ref="F10">_xlfn.SINGLE(INDEX('INSER DATA CALENDARIO'!N$7:N$16,_xlfn.AGGREGATE(15,6,(ROW($Y$6:$Y$15)-ROW($Y$6)+1)/('INSER DATA CALENDARIO'!$X$7:$X$16=$N10),COUNTIF($N$6:$N10,$N10))))</f>
        <v>SESTO ASENSIO</v>
      </c>
      <c r="G10" s="62" cm="1">
        <f t="array" ref="G10">_xlfn.SINGLE(INDEX('INSER DATA CALENDARIO'!O$7:O$16,_xlfn.AGGREGATE(15,6,(ROW($Y$6:$Y$15)-ROW($Y$6)+1)/('INSER DATA CALENDARIO'!$X$7:$X$16=$N10),COUNTIF($N$6:$N10,$N10))))</f>
        <v>2</v>
      </c>
      <c r="H10" s="63" cm="1">
        <f t="array" ref="H10">_xlfn.SINGLE(INDEX('INSER DATA CALENDARIO'!P$7:P$16,_xlfn.AGGREGATE(15,6,(ROW($Y$6:$Y$15)-ROW($Y$6)+1)/('INSER DATA CALENDARIO'!$X$7:$X$16=$N10),COUNTIF($N$6:$N10,$N10))))</f>
        <v>1</v>
      </c>
      <c r="I10" s="63" cm="1">
        <f t="array" ref="I10">_xlfn.SINGLE(INDEX('INSER DATA CALENDARIO'!Q$7:Q$16,_xlfn.AGGREGATE(15,6,(ROW($Y$6:$Y$15)-ROW($Y$6)+1)/('INSER DATA CALENDARIO'!$X$7:$X$16=$N10),COUNTIF($N$6:$N10,$N10))))</f>
        <v>0</v>
      </c>
      <c r="J10" s="63" cm="1">
        <f t="array" ref="J10">_xlfn.SINGLE(INDEX('INSER DATA CALENDARIO'!R$7:R$16,_xlfn.AGGREGATE(15,6,(ROW($Y$6:$Y$15)-ROW($Y$6)+1)/('INSER DATA CALENDARIO'!$X$7:$X$16=$N10),COUNTIF($N$6:$N10,$N10))))</f>
        <v>1</v>
      </c>
      <c r="K10" s="64" cm="1">
        <f t="array" ref="K10">_xlfn.SINGLE(INDEX('INSER DATA CALENDARIO'!S$7:S$16,_xlfn.AGGREGATE(15,6,(ROW($Y$6:$Y$15)-ROW($Y$6)+1)/('INSER DATA CALENDARIO'!$X$7:$X$16=$N10),COUNTIF($N$6:$N10,$N10))))</f>
        <v>3</v>
      </c>
      <c r="L10" s="65" cm="1">
        <f t="array" ref="L10">_xlfn.SINGLE(INDEX('INSER DATA CALENDARIO'!T$7:T$16,_xlfn.AGGREGATE(15,6,(ROW($Y$6:$Y$15)-ROW($Y$6)+1)/('INSER DATA CALENDARIO'!$X$7:$X$16=$N10),COUNTIF($N$6:$N10,$N10))))</f>
        <v>3</v>
      </c>
      <c r="M10" s="66" cm="1">
        <f t="array" ref="M10">_xlfn.SINGLE(INDEX('INSER DATA CALENDARIO'!U$7:U$16,_xlfn.AGGREGATE(15,6,(ROW($Y$6:$Y$15)-ROW($Y$6)+1)/('INSER DATA CALENDARIO'!$X$7:$X$16=$N10),COUNTIF($N$6:$N10,$N10))))</f>
        <v>0</v>
      </c>
      <c r="N10" s="67">
        <f>LARGE('INSER DATA CALENDARIO'!$X$7:$X$16,'INSER DATA CALENDARIO'!M11)</f>
        <v>3.0000003</v>
      </c>
      <c r="O10" s="68" cm="1">
        <f t="array" ref="O10">_xlfn.SINGLE(INDEX('INSER DATA CALENDARIO'!W$7:W$16,_xlfn.AGGREGATE(15,6,(ROW($Y$6:$Y$15)-ROW($Y$6)+1)/('INSER DATA CALENDARIO'!$X$7:$X$16=$N10),COUNTIF($N$6:$N10,$N10))))</f>
        <v>143</v>
      </c>
      <c r="P10" s="71"/>
      <c r="Q10" s="71"/>
      <c r="R10" s="71"/>
      <c r="S10" s="71"/>
      <c r="T10" s="71"/>
      <c r="U10" s="71"/>
      <c r="V10" s="71"/>
      <c r="W10" s="71"/>
      <c r="X10" s="71"/>
      <c r="Y10" s="146"/>
      <c r="Z10" s="146"/>
      <c r="AA10" s="146"/>
      <c r="AB10" s="146"/>
      <c r="AC10" s="146"/>
      <c r="AD10" s="146"/>
      <c r="AE10" s="146"/>
      <c r="AF10" s="146"/>
      <c r="AG10" s="71"/>
      <c r="AH10" s="71"/>
      <c r="AI10" s="71"/>
      <c r="AJ10" s="71"/>
    </row>
    <row r="11" spans="1:36" ht="48.75" customHeight="1" thickTop="1" thickBot="1" x14ac:dyDescent="0.35">
      <c r="A11" s="71"/>
      <c r="B11" s="89"/>
      <c r="C11" s="73"/>
      <c r="D11" s="61">
        <v>6</v>
      </c>
      <c r="E11" s="27"/>
      <c r="F11" s="69" t="str" cm="1">
        <f t="array" ref="F11">_xlfn.SINGLE(INDEX('INSER DATA CALENDARIO'!N$7:N$16,_xlfn.AGGREGATE(15,6,(ROW($Y$6:$Y$15)-ROW($Y$6)+1)/('INSER DATA CALENDARIO'!$X$7:$X$16=$N11),COUNTIF($N$6:$N11,$N11))))</f>
        <v>FC INTERNAZIOANALE</v>
      </c>
      <c r="G11" s="62" cm="1">
        <f t="array" ref="G11">_xlfn.SINGLE(INDEX('INSER DATA CALENDARIO'!O$7:O$16,_xlfn.AGGREGATE(15,6,(ROW($Y$6:$Y$15)-ROW($Y$6)+1)/('INSER DATA CALENDARIO'!$X$7:$X$16=$N11),COUNTIF($N$6:$N11,$N11))))</f>
        <v>2</v>
      </c>
      <c r="H11" s="63" cm="1">
        <f t="array" ref="H11">_xlfn.SINGLE(INDEX('INSER DATA CALENDARIO'!P$7:P$16,_xlfn.AGGREGATE(15,6,(ROW($Y$6:$Y$15)-ROW($Y$6)+1)/('INSER DATA CALENDARIO'!$X$7:$X$16=$N11),COUNTIF($N$6:$N11,$N11))))</f>
        <v>1</v>
      </c>
      <c r="I11" s="63" cm="1">
        <f t="array" ref="I11">_xlfn.SINGLE(INDEX('INSER DATA CALENDARIO'!Q$7:Q$16,_xlfn.AGGREGATE(15,6,(ROW($Y$6:$Y$15)-ROW($Y$6)+1)/('INSER DATA CALENDARIO'!$X$7:$X$16=$N11),COUNTIF($N$6:$N11,$N11))))</f>
        <v>0</v>
      </c>
      <c r="J11" s="63" cm="1">
        <f t="array" ref="J11">_xlfn.SINGLE(INDEX('INSER DATA CALENDARIO'!R$7:R$16,_xlfn.AGGREGATE(15,6,(ROW($Y$6:$Y$15)-ROW($Y$6)+1)/('INSER DATA CALENDARIO'!$X$7:$X$16=$N11),COUNTIF($N$6:$N11,$N11))))</f>
        <v>1</v>
      </c>
      <c r="K11" s="64" cm="1">
        <f t="array" ref="K11">_xlfn.SINGLE(INDEX('INSER DATA CALENDARIO'!S$7:S$16,_xlfn.AGGREGATE(15,6,(ROW($Y$6:$Y$15)-ROW($Y$6)+1)/('INSER DATA CALENDARIO'!$X$7:$X$16=$N11),COUNTIF($N$6:$N11,$N11))))</f>
        <v>3</v>
      </c>
      <c r="L11" s="65" cm="1">
        <f t="array" ref="L11">_xlfn.SINGLE(INDEX('INSER DATA CALENDARIO'!T$7:T$16,_xlfn.AGGREGATE(15,6,(ROW($Y$6:$Y$15)-ROW($Y$6)+1)/('INSER DATA CALENDARIO'!$X$7:$X$16=$N11),COUNTIF($N$6:$N11,$N11))))</f>
        <v>4</v>
      </c>
      <c r="M11" s="66" cm="1">
        <f t="array" ref="M11">_xlfn.SINGLE(INDEX('INSER DATA CALENDARIO'!U$7:U$16,_xlfn.AGGREGATE(15,6,(ROW($Y$6:$Y$15)-ROW($Y$6)+1)/('INSER DATA CALENDARIO'!$X$7:$X$16=$N11),COUNTIF($N$6:$N11,$N11))))</f>
        <v>-1</v>
      </c>
      <c r="N11" s="67">
        <f>LARGE('INSER DATA CALENDARIO'!$X$7:$X$16,'INSER DATA CALENDARIO'!M12)</f>
        <v>2.9990003000000001</v>
      </c>
      <c r="O11" s="68" cm="1">
        <f t="array" ref="O11">_xlfn.SINGLE(INDEX('INSER DATA CALENDARIO'!W$7:W$16,_xlfn.AGGREGATE(15,6,(ROW($Y$6:$Y$15)-ROW($Y$6)+1)/('INSER DATA CALENDARIO'!$X$7:$X$16=$N11),COUNTIF($N$6:$N11,$N11))))</f>
        <v>143</v>
      </c>
      <c r="P11" s="71"/>
      <c r="Q11" s="71"/>
      <c r="R11" s="71"/>
      <c r="S11" s="71"/>
      <c r="T11" s="71"/>
      <c r="U11" s="71"/>
      <c r="V11" s="71"/>
      <c r="W11" s="71"/>
      <c r="X11" s="71"/>
      <c r="Y11" s="146"/>
      <c r="Z11" s="146"/>
      <c r="AA11" s="146"/>
      <c r="AB11" s="146"/>
      <c r="AC11" s="146"/>
      <c r="AD11" s="146"/>
      <c r="AE11" s="146"/>
      <c r="AF11" s="146"/>
      <c r="AG11" s="71"/>
      <c r="AH11" s="71"/>
      <c r="AI11" s="71"/>
      <c r="AJ11" s="71"/>
    </row>
    <row r="12" spans="1:36" ht="49.95" customHeight="1" thickTop="1" thickBot="1" x14ac:dyDescent="0.35">
      <c r="A12" s="71"/>
      <c r="B12" s="89"/>
      <c r="C12" s="73"/>
      <c r="D12" s="61">
        <v>7</v>
      </c>
      <c r="E12" s="27"/>
      <c r="F12" s="69" t="str" cm="1">
        <f t="array" ref="F12">_xlfn.SINGLE(INDEX('INSER DATA CALENDARIO'!N$7:N$16,_xlfn.AGGREGATE(15,6,(ROW($Y$6:$Y$15)-ROW($Y$6)+1)/('INSER DATA CALENDARIO'!$X$7:$X$16=$N12),COUNTIF($N$6:$N12,$N12))))</f>
        <v>SAN GRIA</v>
      </c>
      <c r="G12" s="62" cm="1">
        <f t="array" ref="G12">_xlfn.SINGLE(INDEX('INSER DATA CALENDARIO'!O$7:O$16,_xlfn.AGGREGATE(15,6,(ROW($Y$6:$Y$15)-ROW($Y$6)+1)/('INSER DATA CALENDARIO'!$X$7:$X$16=$N12),COUNTIF($N$6:$N12,$N12))))</f>
        <v>2</v>
      </c>
      <c r="H12" s="63" cm="1">
        <f t="array" ref="H12">_xlfn.SINGLE(INDEX('INSER DATA CALENDARIO'!P$7:P$16,_xlfn.AGGREGATE(15,6,(ROW($Y$6:$Y$15)-ROW($Y$6)+1)/('INSER DATA CALENDARIO'!$X$7:$X$16=$N12),COUNTIF($N$6:$N12,$N12))))</f>
        <v>1</v>
      </c>
      <c r="I12" s="63" cm="1">
        <f t="array" ref="I12">_xlfn.SINGLE(INDEX('INSER DATA CALENDARIO'!Q$7:Q$16,_xlfn.AGGREGATE(15,6,(ROW($Y$6:$Y$15)-ROW($Y$6)+1)/('INSER DATA CALENDARIO'!$X$7:$X$16=$N12),COUNTIF($N$6:$N12,$N12))))</f>
        <v>0</v>
      </c>
      <c r="J12" s="63" cm="1">
        <f t="array" ref="J12">_xlfn.SINGLE(INDEX('INSER DATA CALENDARIO'!R$7:R$16,_xlfn.AGGREGATE(15,6,(ROW($Y$6:$Y$15)-ROW($Y$6)+1)/('INSER DATA CALENDARIO'!$X$7:$X$16=$N12),COUNTIF($N$6:$N12,$N12))))</f>
        <v>1</v>
      </c>
      <c r="K12" s="64" cm="1">
        <f t="array" ref="K12">_xlfn.SINGLE(INDEX('INSER DATA CALENDARIO'!S$7:S$16,_xlfn.AGGREGATE(15,6,(ROW($Y$6:$Y$15)-ROW($Y$6)+1)/('INSER DATA CALENDARIO'!$X$7:$X$16=$N12),COUNTIF($N$6:$N12,$N12))))</f>
        <v>2</v>
      </c>
      <c r="L12" s="65" cm="1">
        <f t="array" ref="L12">_xlfn.SINGLE(INDEX('INSER DATA CALENDARIO'!T$7:T$16,_xlfn.AGGREGATE(15,6,(ROW($Y$6:$Y$15)-ROW($Y$6)+1)/('INSER DATA CALENDARIO'!$X$7:$X$16=$N12),COUNTIF($N$6:$N12,$N12))))</f>
        <v>4</v>
      </c>
      <c r="M12" s="66" cm="1">
        <f t="array" ref="M12">_xlfn.SINGLE(INDEX('INSER DATA CALENDARIO'!U$7:U$16,_xlfn.AGGREGATE(15,6,(ROW($Y$6:$Y$15)-ROW($Y$6)+1)/('INSER DATA CALENDARIO'!$X$7:$X$16=$N12),COUNTIF($N$6:$N12,$N12))))</f>
        <v>-2</v>
      </c>
      <c r="N12" s="67">
        <f>LARGE('INSER DATA CALENDARIO'!$X$7:$X$16,'INSER DATA CALENDARIO'!M13)</f>
        <v>2.9980002000000003</v>
      </c>
      <c r="O12" s="68" cm="1">
        <f t="array" ref="O12">_xlfn.SINGLE(INDEX('INSER DATA CALENDARIO'!W$7:W$16,_xlfn.AGGREGATE(15,6,(ROW($Y$6:$Y$15)-ROW($Y$6)+1)/('INSER DATA CALENDARIO'!$X$7:$X$16=$N12),COUNTIF($N$6:$N12,$N12))))</f>
        <v>137</v>
      </c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 t="s">
        <v>17</v>
      </c>
      <c r="AA12" s="71"/>
      <c r="AB12" s="71"/>
      <c r="AC12" s="71"/>
      <c r="AD12" s="71"/>
      <c r="AE12" s="71"/>
      <c r="AF12" s="71"/>
      <c r="AG12" s="71"/>
      <c r="AH12" s="71"/>
      <c r="AI12" s="71"/>
      <c r="AJ12" s="71"/>
    </row>
    <row r="13" spans="1:36" ht="49.95" customHeight="1" thickTop="1" thickBot="1" x14ac:dyDescent="0.35">
      <c r="A13" s="71"/>
      <c r="B13" s="91"/>
      <c r="C13" s="73"/>
      <c r="D13" s="61">
        <v>8</v>
      </c>
      <c r="E13" s="27"/>
      <c r="F13" s="69" t="str" cm="1">
        <f t="array" ref="F13">_xlfn.SINGLE(INDEX('INSER DATA CALENDARIO'!N$7:N$16,_xlfn.AGGREGATE(15,6,(ROW($Y$6:$Y$15)-ROW($Y$6)+1)/('INSER DATA CALENDARIO'!$X$7:$X$16=$N13),COUNTIF($N$6:$N13,$N13))))</f>
        <v>AS PIPPERIA</v>
      </c>
      <c r="G13" s="62" cm="1">
        <f t="array" ref="G13">_xlfn.SINGLE(INDEX('INSER DATA CALENDARIO'!O$7:O$16,_xlfn.AGGREGATE(15,6,(ROW($Y$6:$Y$15)-ROW($Y$6)+1)/('INSER DATA CALENDARIO'!$X$7:$X$16=$N13),COUNTIF($N$6:$N13,$N13))))</f>
        <v>2</v>
      </c>
      <c r="H13" s="63" cm="1">
        <f t="array" ref="H13">_xlfn.SINGLE(INDEX('INSER DATA CALENDARIO'!P$7:P$16,_xlfn.AGGREGATE(15,6,(ROW($Y$6:$Y$15)-ROW($Y$6)+1)/('INSER DATA CALENDARIO'!$X$7:$X$16=$N13),COUNTIF($N$6:$N13,$N13))))</f>
        <v>0</v>
      </c>
      <c r="I13" s="63" cm="1">
        <f t="array" ref="I13">_xlfn.SINGLE(INDEX('INSER DATA CALENDARIO'!Q$7:Q$16,_xlfn.AGGREGATE(15,6,(ROW($Y$6:$Y$15)-ROW($Y$6)+1)/('INSER DATA CALENDARIO'!$X$7:$X$16=$N13),COUNTIF($N$6:$N13,$N13))))</f>
        <v>0</v>
      </c>
      <c r="J13" s="63" cm="1">
        <f t="array" ref="J13">_xlfn.SINGLE(INDEX('INSER DATA CALENDARIO'!R$7:R$16,_xlfn.AGGREGATE(15,6,(ROW($Y$6:$Y$15)-ROW($Y$6)+1)/('INSER DATA CALENDARIO'!$X$7:$X$16=$N13),COUNTIF($N$6:$N13,$N13))))</f>
        <v>2</v>
      </c>
      <c r="K13" s="64" cm="1">
        <f t="array" ref="K13">_xlfn.SINGLE(INDEX('INSER DATA CALENDARIO'!S$7:S$16,_xlfn.AGGREGATE(15,6,(ROW($Y$6:$Y$15)-ROW($Y$6)+1)/('INSER DATA CALENDARIO'!$X$7:$X$16=$N13),COUNTIF($N$6:$N13,$N13))))</f>
        <v>1</v>
      </c>
      <c r="L13" s="65" cm="1">
        <f t="array" ref="L13">_xlfn.SINGLE(INDEX('INSER DATA CALENDARIO'!T$7:T$16,_xlfn.AGGREGATE(15,6,(ROW($Y$6:$Y$15)-ROW($Y$6)+1)/('INSER DATA CALENDARIO'!$X$7:$X$16=$N13),COUNTIF($N$6:$N13,$N13))))</f>
        <v>3</v>
      </c>
      <c r="M13" s="66" cm="1">
        <f t="array" ref="M13">_xlfn.SINGLE(INDEX('INSER DATA CALENDARIO'!U$7:U$16,_xlfn.AGGREGATE(15,6,(ROW($Y$6:$Y$15)-ROW($Y$6)+1)/('INSER DATA CALENDARIO'!$X$7:$X$16=$N13),COUNTIF($N$6:$N13,$N13))))</f>
        <v>-2</v>
      </c>
      <c r="N13" s="67">
        <f>LARGE('INSER DATA CALENDARIO'!$X$7:$X$16,'INSER DATA CALENDARIO'!M14)</f>
        <v>-1.9999000000000002E-3</v>
      </c>
      <c r="O13" s="68" cm="1">
        <f t="array" ref="O13">_xlfn.SINGLE(INDEX('INSER DATA CALENDARIO'!W$7:W$16,_xlfn.AGGREGATE(15,6,(ROW($Y$6:$Y$15)-ROW($Y$6)+1)/('INSER DATA CALENDARIO'!$X$7:$X$16=$N13),COUNTIF($N$6:$N13,$N13))))</f>
        <v>133</v>
      </c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  <c r="AA13" s="71"/>
      <c r="AB13" s="71"/>
      <c r="AC13" s="71"/>
      <c r="AD13" s="71"/>
      <c r="AE13" s="71"/>
      <c r="AF13" s="71"/>
      <c r="AG13" s="71"/>
      <c r="AH13" s="71"/>
      <c r="AI13" s="71"/>
      <c r="AJ13" s="71"/>
    </row>
    <row r="14" spans="1:36" ht="49.5" customHeight="1" thickTop="1" thickBot="1" x14ac:dyDescent="0.35">
      <c r="A14" s="71"/>
      <c r="B14" s="71"/>
      <c r="C14" s="71"/>
      <c r="D14" s="61">
        <v>9</v>
      </c>
      <c r="E14" s="27"/>
      <c r="F14" s="69" t="str" cm="1">
        <f t="array" ref="F14">_xlfn.SINGLE(INDEX('INSER DATA CALENDARIO'!N$7:N$16,_xlfn.AGGREGATE(15,6,(ROW($Y$6:$Y$15)-ROW($Y$6)+1)/('INSER DATA CALENDARIO'!$X$7:$X$16=$N14),COUNTIF($N$6:$N14,$N14))))</f>
        <v>PESCICULINI</v>
      </c>
      <c r="G14" s="62" cm="1">
        <f t="array" ref="G14">_xlfn.SINGLE(INDEX('INSER DATA CALENDARIO'!O$7:O$16,_xlfn.AGGREGATE(15,6,(ROW($Y$6:$Y$15)-ROW($Y$6)+1)/('INSER DATA CALENDARIO'!$X$7:$X$16=$N14),COUNTIF($N$6:$N14,$N14))))</f>
        <v>2</v>
      </c>
      <c r="H14" s="63" cm="1">
        <f t="array" ref="H14">_xlfn.SINGLE(INDEX('INSER DATA CALENDARIO'!P$7:P$16,_xlfn.AGGREGATE(15,6,(ROW($Y$6:$Y$15)-ROW($Y$6)+1)/('INSER DATA CALENDARIO'!$X$7:$X$16=$N14),COUNTIF($N$6:$N14,$N14))))</f>
        <v>0</v>
      </c>
      <c r="I14" s="63" cm="1">
        <f t="array" ref="I14">_xlfn.SINGLE(INDEX('INSER DATA CALENDARIO'!Q$7:Q$16,_xlfn.AGGREGATE(15,6,(ROW($Y$6:$Y$15)-ROW($Y$6)+1)/('INSER DATA CALENDARIO'!$X$7:$X$16=$N14),COUNTIF($N$6:$N14,$N14))))</f>
        <v>0</v>
      </c>
      <c r="J14" s="63" cm="1">
        <f t="array" ref="J14">_xlfn.SINGLE(INDEX('INSER DATA CALENDARIO'!R$7:R$16,_xlfn.AGGREGATE(15,6,(ROW($Y$6:$Y$15)-ROW($Y$6)+1)/('INSER DATA CALENDARIO'!$X$7:$X$16=$N14),COUNTIF($N$6:$N14,$N14))))</f>
        <v>2</v>
      </c>
      <c r="K14" s="64" cm="1">
        <f t="array" ref="K14">_xlfn.SINGLE(INDEX('INSER DATA CALENDARIO'!S$7:S$16,_xlfn.AGGREGATE(15,6,(ROW($Y$6:$Y$15)-ROW($Y$6)+1)/('INSER DATA CALENDARIO'!$X$7:$X$16=$N14),COUNTIF($N$6:$N14,$N14))))</f>
        <v>3</v>
      </c>
      <c r="L14" s="65" cm="1">
        <f t="array" ref="L14">_xlfn.SINGLE(INDEX('INSER DATA CALENDARIO'!T$7:T$16,_xlfn.AGGREGATE(15,6,(ROW($Y$6:$Y$15)-ROW($Y$6)+1)/('INSER DATA CALENDARIO'!$X$7:$X$16=$N14),COUNTIF($N$6:$N14,$N14))))</f>
        <v>7</v>
      </c>
      <c r="M14" s="66" cm="1">
        <f t="array" ref="M14">_xlfn.SINGLE(INDEX('INSER DATA CALENDARIO'!U$7:U$16,_xlfn.AGGREGATE(15,6,(ROW($Y$6:$Y$15)-ROW($Y$6)+1)/('INSER DATA CALENDARIO'!$X$7:$X$16=$N14),COUNTIF($N$6:$N14,$N14))))</f>
        <v>-4</v>
      </c>
      <c r="N14" s="67">
        <f>LARGE('INSER DATA CALENDARIO'!$X$7:$X$16,'INSER DATA CALENDARIO'!M15)</f>
        <v>-3.9997000000000001E-3</v>
      </c>
      <c r="O14" s="68" cm="1">
        <f t="array" ref="O14">_xlfn.SINGLE(INDEX('INSER DATA CALENDARIO'!W$7:W$16,_xlfn.AGGREGATE(15,6,(ROW($Y$6:$Y$15)-ROW($Y$6)+1)/('INSER DATA CALENDARIO'!$X$7:$X$16=$N14),COUNTIF($N$6:$N14,$N14))))</f>
        <v>145</v>
      </c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/>
      <c r="AD14" s="71"/>
      <c r="AE14" s="71"/>
      <c r="AF14" s="71"/>
      <c r="AG14" s="71"/>
      <c r="AH14" s="71"/>
      <c r="AI14" s="71"/>
      <c r="AJ14" s="71"/>
    </row>
    <row r="15" spans="1:36" ht="49.5" customHeight="1" thickTop="1" thickBot="1" x14ac:dyDescent="0.35">
      <c r="A15" s="71"/>
      <c r="B15" s="71"/>
      <c r="C15" s="71"/>
      <c r="D15" s="61">
        <v>10</v>
      </c>
      <c r="E15" s="27"/>
      <c r="F15" s="69" t="str" cm="1">
        <f t="array" ref="F15">_xlfn.SINGLE(INDEX('INSER DATA CALENDARIO'!N$7:N$16,_xlfn.AGGREGATE(15,6,(ROW($Y$6:$Y$15)-ROW($Y$6)+1)/('INSER DATA CALENDARIO'!$X$7:$X$16=$N15),COUNTIF($N$6:$N15,$N15))))</f>
        <v>SHARK</v>
      </c>
      <c r="G15" s="62" cm="1">
        <f t="array" ref="G15">_xlfn.SINGLE(INDEX('INSER DATA CALENDARIO'!O$7:O$16,_xlfn.AGGREGATE(15,6,(ROW($Y$6:$Y$15)-ROW($Y$6)+1)/('INSER DATA CALENDARIO'!$X$7:$X$16=$N15),COUNTIF($N$6:$N15,$N15))))</f>
        <v>2</v>
      </c>
      <c r="H15" s="63" cm="1">
        <f t="array" ref="H15">_xlfn.SINGLE(INDEX('INSER DATA CALENDARIO'!P$7:P$16,_xlfn.AGGREGATE(15,6,(ROW($Y$6:$Y$15)-ROW($Y$6)+1)/('INSER DATA CALENDARIO'!$X$7:$X$16=$N15),COUNTIF($N$6:$N15,$N15))))</f>
        <v>0</v>
      </c>
      <c r="I15" s="63" cm="1">
        <f t="array" ref="I15">_xlfn.SINGLE(INDEX('INSER DATA CALENDARIO'!Q$7:Q$16,_xlfn.AGGREGATE(15,6,(ROW($Y$6:$Y$15)-ROW($Y$6)+1)/('INSER DATA CALENDARIO'!$X$7:$X$16=$N15),COUNTIF($N$6:$N15,$N15))))</f>
        <v>0</v>
      </c>
      <c r="J15" s="63" cm="1">
        <f t="array" ref="J15">_xlfn.SINGLE(INDEX('INSER DATA CALENDARIO'!R$7:R$16,_xlfn.AGGREGATE(15,6,(ROW($Y$6:$Y$15)-ROW($Y$6)+1)/('INSER DATA CALENDARIO'!$X$7:$X$16=$N15),COUNTIF($N$6:$N15,$N15))))</f>
        <v>2</v>
      </c>
      <c r="K15" s="64" cm="1">
        <f t="array" ref="K15">_xlfn.SINGLE(INDEX('INSER DATA CALENDARIO'!S$7:S$16,_xlfn.AGGREGATE(15,6,(ROW($Y$6:$Y$15)-ROW($Y$6)+1)/('INSER DATA CALENDARIO'!$X$7:$X$16=$N15),COUNTIF($N$6:$N15,$N15))))</f>
        <v>3</v>
      </c>
      <c r="L15" s="65" cm="1">
        <f t="array" ref="L15">_xlfn.SINGLE(INDEX('INSER DATA CALENDARIO'!T$7:T$16,_xlfn.AGGREGATE(15,6,(ROW($Y$6:$Y$15)-ROW($Y$6)+1)/('INSER DATA CALENDARIO'!$X$7:$X$16=$N15),COUNTIF($N$6:$N15,$N15))))</f>
        <v>7</v>
      </c>
      <c r="M15" s="66" cm="1">
        <f t="array" ref="M15">_xlfn.SINGLE(INDEX('INSER DATA CALENDARIO'!U$7:U$16,_xlfn.AGGREGATE(15,6,(ROW($Y$6:$Y$15)-ROW($Y$6)+1)/('INSER DATA CALENDARIO'!$X$7:$X$16=$N15),COUNTIF($N$6:$N15,$N15))))</f>
        <v>-4</v>
      </c>
      <c r="N15" s="67">
        <f>LARGE('INSER DATA CALENDARIO'!$X$7:$X$16,'INSER DATA CALENDARIO'!M16)</f>
        <v>-3.9997000000000001E-3</v>
      </c>
      <c r="O15" s="68" cm="1">
        <f t="array" ref="O15">_xlfn.SINGLE(INDEX('INSER DATA CALENDARIO'!W$7:W$16,_xlfn.AGGREGATE(15,6,(ROW($Y$6:$Y$15)-ROW($Y$6)+1)/('INSER DATA CALENDARIO'!$X$7:$X$16=$N15),COUNTIF($N$6:$N15,$N15))))</f>
        <v>144.5</v>
      </c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  <c r="AA15" s="71"/>
      <c r="AB15" s="71"/>
      <c r="AC15" s="71"/>
      <c r="AD15" s="71"/>
      <c r="AE15" s="71"/>
      <c r="AF15" s="71"/>
      <c r="AG15" s="71"/>
      <c r="AH15" s="71"/>
      <c r="AI15" s="71"/>
      <c r="AJ15" s="71"/>
    </row>
    <row r="16" spans="1:36" ht="15" thickTop="1" x14ac:dyDescent="0.3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 t="e">
        <f ca="1">OFFSET('TAB GIOC GG X GG'!#REF!,MATCH(Z12&amp;"*",Tabella4[NOME],0)-1,,COUNTIF(Tabella4[NOME],Z12&amp;"*"))</f>
        <v>#REF!</v>
      </c>
      <c r="AA16" s="71" t="s">
        <v>18</v>
      </c>
      <c r="AB16" s="71" t="s">
        <v>19</v>
      </c>
      <c r="AC16" s="71"/>
      <c r="AD16" s="71"/>
      <c r="AE16" s="71"/>
      <c r="AF16" s="71"/>
      <c r="AG16" s="71"/>
      <c r="AH16" s="71"/>
      <c r="AI16" s="71"/>
      <c r="AJ16" s="71"/>
    </row>
    <row r="17" spans="1:36" x14ac:dyDescent="0.3">
      <c r="A17" s="71"/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  <c r="AA17" s="71"/>
      <c r="AB17" s="71"/>
      <c r="AC17" s="71"/>
      <c r="AD17" s="71"/>
      <c r="AE17" s="71"/>
      <c r="AF17" s="71"/>
      <c r="AG17" s="71"/>
      <c r="AH17" s="71"/>
      <c r="AI17" s="71"/>
      <c r="AJ17" s="71"/>
    </row>
    <row r="18" spans="1:36" x14ac:dyDescent="0.3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  <c r="AA18" s="71"/>
      <c r="AB18" s="71"/>
      <c r="AC18" s="71"/>
      <c r="AD18" s="71"/>
      <c r="AE18" s="71"/>
      <c r="AF18" s="71"/>
      <c r="AG18" s="71"/>
      <c r="AH18" s="71"/>
      <c r="AI18" s="71"/>
      <c r="AJ18" s="71"/>
    </row>
    <row r="19" spans="1:36" x14ac:dyDescent="0.3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  <c r="AA19" s="71"/>
      <c r="AB19" s="71"/>
      <c r="AC19" s="71"/>
      <c r="AD19" s="71"/>
      <c r="AE19" s="71"/>
      <c r="AF19" s="71"/>
      <c r="AG19" s="71"/>
      <c r="AH19" s="71"/>
      <c r="AI19" s="71"/>
      <c r="AJ19" s="71"/>
    </row>
    <row r="20" spans="1:36" x14ac:dyDescent="0.3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71"/>
      <c r="AE20" s="71"/>
      <c r="AF20" s="71"/>
      <c r="AG20" s="71"/>
      <c r="AH20" s="71"/>
      <c r="AI20" s="71"/>
      <c r="AJ20" s="71"/>
    </row>
    <row r="21" spans="1:36" x14ac:dyDescent="0.3">
      <c r="F21" s="13" t="s">
        <v>20</v>
      </c>
      <c r="G21" s="13"/>
      <c r="H21" s="13" t="s">
        <v>21</v>
      </c>
      <c r="I21" s="13"/>
      <c r="J21" s="13" t="s">
        <v>22</v>
      </c>
      <c r="K21" s="13"/>
    </row>
    <row r="23" spans="1:36" x14ac:dyDescent="0.3">
      <c r="F23" s="30" t="s">
        <v>23</v>
      </c>
      <c r="G23" s="30"/>
      <c r="H23" s="30" t="s">
        <v>24</v>
      </c>
      <c r="I23" s="30"/>
      <c r="J23" s="30" t="s">
        <v>12</v>
      </c>
      <c r="K23" s="30"/>
      <c r="L23" s="30" t="s">
        <v>13</v>
      </c>
      <c r="M23" s="30"/>
      <c r="N23" t="s">
        <v>25</v>
      </c>
      <c r="P23" t="s">
        <v>26</v>
      </c>
      <c r="Z23" t="s">
        <v>27</v>
      </c>
    </row>
    <row r="25" spans="1:36" x14ac:dyDescent="0.3">
      <c r="H25" t="s">
        <v>28</v>
      </c>
      <c r="L25" t="s">
        <v>29</v>
      </c>
      <c r="N25" t="s">
        <v>30</v>
      </c>
      <c r="P25" t="s">
        <v>31</v>
      </c>
      <c r="Z25" t="s">
        <v>32</v>
      </c>
    </row>
    <row r="28" spans="1:36" x14ac:dyDescent="0.3">
      <c r="F28" t="s">
        <v>33</v>
      </c>
      <c r="H28" t="s">
        <v>34</v>
      </c>
      <c r="J28" t="s">
        <v>35</v>
      </c>
    </row>
    <row r="31" spans="1:36" x14ac:dyDescent="0.3">
      <c r="F31" t="s">
        <v>36</v>
      </c>
      <c r="G31" t="s">
        <v>37</v>
      </c>
    </row>
    <row r="33" spans="7:10" x14ac:dyDescent="0.3">
      <c r="G33" s="30" t="s">
        <v>38</v>
      </c>
      <c r="H33" s="30"/>
      <c r="I33" s="30"/>
      <c r="J33" s="30"/>
    </row>
  </sheetData>
  <mergeCells count="2">
    <mergeCell ref="E5:F5"/>
    <mergeCell ref="D2:O3"/>
  </mergeCells>
  <conditionalFormatting sqref="F6:N15">
    <cfRule type="expression" dxfId="285" priority="9">
      <formula>"F6=""AOSTICAZZI"""</formula>
    </cfRule>
  </conditionalFormatting>
  <conditionalFormatting sqref="F6:F15">
    <cfRule type="containsText" dxfId="284" priority="8" operator="containsText" text="AOSTICAZZI">
      <formula>NOT(ISERROR(SEARCH("AOSTICAZZI",F6)))</formula>
    </cfRule>
  </conditionalFormatting>
  <conditionalFormatting sqref="H6:N15">
    <cfRule type="expression" priority="7">
      <formula>"SE F6=""AOSTICAZZI"""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E9611A-212C-4C40-875E-1E4243C2B16E}">
  <sheetPr codeName="Foglio8"/>
  <dimension ref="A1:O253"/>
  <sheetViews>
    <sheetView topLeftCell="B1" zoomScale="80" zoomScaleNormal="80" workbookViewId="0">
      <selection activeCell="B28" sqref="B28:K28"/>
    </sheetView>
  </sheetViews>
  <sheetFormatPr defaultRowHeight="14.4" x14ac:dyDescent="0.3"/>
  <cols>
    <col min="1" max="1" width="7" customWidth="1"/>
    <col min="2" max="2" width="18.33203125" style="8" customWidth="1"/>
    <col min="3" max="3" width="19.5546875" style="8" customWidth="1"/>
    <col min="4" max="11" width="18.33203125" style="8" customWidth="1"/>
    <col min="12" max="12" width="8.6640625" customWidth="1"/>
    <col min="14" max="14" width="17.6640625" customWidth="1"/>
    <col min="15" max="15" width="20" customWidth="1"/>
  </cols>
  <sheetData>
    <row r="1" spans="1:15" x14ac:dyDescent="0.3">
      <c r="B1" s="8" t="s">
        <v>497</v>
      </c>
      <c r="C1" s="8" t="s">
        <v>498</v>
      </c>
      <c r="D1" s="8" t="s">
        <v>501</v>
      </c>
      <c r="E1" s="8" t="s">
        <v>500</v>
      </c>
      <c r="F1" s="8" t="s">
        <v>499</v>
      </c>
      <c r="G1" s="8" t="s">
        <v>502</v>
      </c>
      <c r="H1" s="8" t="s">
        <v>601</v>
      </c>
      <c r="I1" s="8" t="s">
        <v>631</v>
      </c>
      <c r="J1" s="8" t="s">
        <v>633</v>
      </c>
      <c r="K1" s="8" t="s">
        <v>634</v>
      </c>
    </row>
    <row r="2" spans="1:15" ht="15" thickBot="1" x14ac:dyDescent="0.35">
      <c r="B2" s="8" t="s">
        <v>624</v>
      </c>
      <c r="C2" s="8" t="s">
        <v>630</v>
      </c>
      <c r="D2" s="8" t="s">
        <v>628</v>
      </c>
      <c r="E2" s="8" t="s">
        <v>477</v>
      </c>
      <c r="F2" s="8" t="s">
        <v>629</v>
      </c>
      <c r="G2" s="8" t="s">
        <v>627</v>
      </c>
      <c r="H2" s="8" t="s">
        <v>603</v>
      </c>
      <c r="I2" s="8" t="s">
        <v>632</v>
      </c>
      <c r="J2" s="8" t="s">
        <v>626</v>
      </c>
      <c r="K2" s="8" t="s">
        <v>625</v>
      </c>
    </row>
    <row r="3" spans="1:15" x14ac:dyDescent="0.3">
      <c r="A3" t="s">
        <v>5</v>
      </c>
      <c r="B3" s="48" t="s">
        <v>1002</v>
      </c>
      <c r="C3" s="367" t="s">
        <v>266</v>
      </c>
      <c r="D3" s="368" t="s">
        <v>265</v>
      </c>
      <c r="E3" s="48" t="s">
        <v>604</v>
      </c>
      <c r="F3" s="369" t="s">
        <v>661</v>
      </c>
      <c r="G3" s="369" t="s">
        <v>280</v>
      </c>
      <c r="H3" s="369" t="s">
        <v>421</v>
      </c>
      <c r="I3" s="48" t="s">
        <v>575</v>
      </c>
      <c r="J3" s="367" t="s">
        <v>795</v>
      </c>
      <c r="K3" s="281" t="s">
        <v>767</v>
      </c>
      <c r="N3" s="48" t="s">
        <v>780</v>
      </c>
      <c r="O3" s="8" t="s">
        <v>1018</v>
      </c>
    </row>
    <row r="4" spans="1:15" x14ac:dyDescent="0.3">
      <c r="A4" t="s">
        <v>5</v>
      </c>
      <c r="B4" s="49" t="s">
        <v>1003</v>
      </c>
      <c r="C4" t="s">
        <v>264</v>
      </c>
      <c r="D4" s="370" t="s">
        <v>680</v>
      </c>
      <c r="E4" s="49" t="s">
        <v>873</v>
      </c>
      <c r="F4" s="371" t="s">
        <v>909</v>
      </c>
      <c r="G4" s="371" t="s">
        <v>970</v>
      </c>
      <c r="H4" s="371" t="s">
        <v>893</v>
      </c>
      <c r="I4" s="49" t="s">
        <v>1043</v>
      </c>
      <c r="J4" t="s">
        <v>748</v>
      </c>
      <c r="K4" s="282" t="s">
        <v>279</v>
      </c>
      <c r="N4" s="279" t="s">
        <v>1036</v>
      </c>
      <c r="O4" s="8" t="s">
        <v>1018</v>
      </c>
    </row>
    <row r="5" spans="1:15" ht="15" thickBot="1" x14ac:dyDescent="0.35">
      <c r="A5" t="s">
        <v>5</v>
      </c>
      <c r="B5" s="49" t="s">
        <v>1004</v>
      </c>
      <c r="C5" t="s">
        <v>706</v>
      </c>
      <c r="D5" s="370" t="s">
        <v>827</v>
      </c>
      <c r="E5" s="49" t="s">
        <v>296</v>
      </c>
      <c r="F5" s="371" t="s">
        <v>844</v>
      </c>
      <c r="G5" s="371" t="s">
        <v>968</v>
      </c>
      <c r="H5" s="371" t="s">
        <v>210</v>
      </c>
      <c r="I5" s="49" t="s">
        <v>797</v>
      </c>
      <c r="J5" t="s">
        <v>1046</v>
      </c>
      <c r="K5" s="282" t="s">
        <v>765</v>
      </c>
      <c r="N5" s="279" t="s">
        <v>723</v>
      </c>
      <c r="O5" s="8" t="s">
        <v>1018</v>
      </c>
    </row>
    <row r="6" spans="1:15" x14ac:dyDescent="0.3">
      <c r="A6" t="s">
        <v>161</v>
      </c>
      <c r="B6" s="48" t="s">
        <v>1005</v>
      </c>
      <c r="C6" s="367" t="s">
        <v>900</v>
      </c>
      <c r="D6" s="368" t="s">
        <v>244</v>
      </c>
      <c r="E6" s="48" t="s">
        <v>959</v>
      </c>
      <c r="F6" s="369" t="s">
        <v>781</v>
      </c>
      <c r="G6" s="369" t="s">
        <v>768</v>
      </c>
      <c r="H6" s="369" t="s">
        <v>243</v>
      </c>
      <c r="I6" s="48" t="s">
        <v>451</v>
      </c>
      <c r="J6" s="367" t="s">
        <v>270</v>
      </c>
      <c r="K6" s="372" t="s">
        <v>566</v>
      </c>
      <c r="N6" s="48" t="s">
        <v>275</v>
      </c>
      <c r="O6" s="8" t="s">
        <v>1018</v>
      </c>
    </row>
    <row r="7" spans="1:15" x14ac:dyDescent="0.3">
      <c r="A7" t="s">
        <v>161</v>
      </c>
      <c r="B7" s="373" t="s">
        <v>1006</v>
      </c>
      <c r="C7" t="s">
        <v>277</v>
      </c>
      <c r="D7" s="370" t="s">
        <v>615</v>
      </c>
      <c r="E7" s="49" t="s">
        <v>688</v>
      </c>
      <c r="F7" s="371" t="s">
        <v>213</v>
      </c>
      <c r="G7" s="371" t="s">
        <v>253</v>
      </c>
      <c r="H7" s="371" t="s">
        <v>804</v>
      </c>
      <c r="I7" s="373" t="s">
        <v>298</v>
      </c>
      <c r="J7" t="s">
        <v>828</v>
      </c>
      <c r="K7" s="282" t="s">
        <v>506</v>
      </c>
      <c r="N7" s="280" t="s">
        <v>898</v>
      </c>
      <c r="O7" s="8" t="s">
        <v>1018</v>
      </c>
    </row>
    <row r="8" spans="1:15" x14ac:dyDescent="0.3">
      <c r="A8" t="s">
        <v>161</v>
      </c>
      <c r="B8" s="49" t="s">
        <v>1007</v>
      </c>
      <c r="C8" t="s">
        <v>607</v>
      </c>
      <c r="D8" s="370" t="s">
        <v>783</v>
      </c>
      <c r="E8" s="49" t="s">
        <v>712</v>
      </c>
      <c r="F8" s="371" t="s">
        <v>690</v>
      </c>
      <c r="G8" s="371" t="s">
        <v>770</v>
      </c>
      <c r="H8" s="371" t="s">
        <v>832</v>
      </c>
      <c r="I8" s="49" t="s">
        <v>971</v>
      </c>
      <c r="J8" t="s">
        <v>685</v>
      </c>
      <c r="K8" s="282" t="s">
        <v>321</v>
      </c>
      <c r="N8" s="49" t="s">
        <v>469</v>
      </c>
      <c r="O8" s="8" t="s">
        <v>1018</v>
      </c>
    </row>
    <row r="9" spans="1:15" x14ac:dyDescent="0.3">
      <c r="A9" t="s">
        <v>161</v>
      </c>
      <c r="B9" s="49" t="s">
        <v>1019</v>
      </c>
      <c r="C9" t="s">
        <v>617</v>
      </c>
      <c r="D9" s="370" t="s">
        <v>307</v>
      </c>
      <c r="E9" s="49" t="s">
        <v>896</v>
      </c>
      <c r="F9" s="371" t="s">
        <v>831</v>
      </c>
      <c r="G9" s="371" t="s">
        <v>684</v>
      </c>
      <c r="H9" s="371" t="s">
        <v>727</v>
      </c>
      <c r="I9" s="49" t="s">
        <v>228</v>
      </c>
      <c r="J9" t="s">
        <v>643</v>
      </c>
      <c r="K9" s="282" t="s">
        <v>584</v>
      </c>
      <c r="N9" s="49" t="s">
        <v>686</v>
      </c>
      <c r="O9" s="8" t="s">
        <v>1018</v>
      </c>
    </row>
    <row r="10" spans="1:15" x14ac:dyDescent="0.3">
      <c r="A10" t="s">
        <v>161</v>
      </c>
      <c r="B10" s="49" t="s">
        <v>1024</v>
      </c>
      <c r="C10" t="s">
        <v>347</v>
      </c>
      <c r="D10" s="370" t="s">
        <v>636</v>
      </c>
      <c r="E10" s="49" t="s">
        <v>638</v>
      </c>
      <c r="F10" s="371" t="s">
        <v>1038</v>
      </c>
      <c r="G10" s="371" t="s">
        <v>769</v>
      </c>
      <c r="H10" s="371" t="s">
        <v>802</v>
      </c>
      <c r="I10" s="49" t="s">
        <v>670</v>
      </c>
      <c r="J10" t="s">
        <v>752</v>
      </c>
      <c r="K10" s="282" t="s">
        <v>938</v>
      </c>
      <c r="N10" s="49" t="s">
        <v>554</v>
      </c>
      <c r="O10" s="8" t="s">
        <v>1018</v>
      </c>
    </row>
    <row r="11" spans="1:15" x14ac:dyDescent="0.3">
      <c r="A11" t="s">
        <v>161</v>
      </c>
      <c r="B11" s="49" t="s">
        <v>1027</v>
      </c>
      <c r="C11" t="s">
        <v>251</v>
      </c>
      <c r="D11" s="370" t="s">
        <v>897</v>
      </c>
      <c r="E11" s="49" t="s">
        <v>815</v>
      </c>
      <c r="F11" s="371" t="s">
        <v>799</v>
      </c>
      <c r="G11" s="371" t="s">
        <v>756</v>
      </c>
      <c r="H11" s="371" t="s">
        <v>996</v>
      </c>
      <c r="I11" s="49" t="s">
        <v>917</v>
      </c>
      <c r="J11" t="s">
        <v>619</v>
      </c>
      <c r="K11" s="282" t="s">
        <v>1047</v>
      </c>
      <c r="N11" s="49" t="s">
        <v>918</v>
      </c>
      <c r="O11" s="8" t="s">
        <v>1018</v>
      </c>
    </row>
    <row r="12" spans="1:15" x14ac:dyDescent="0.3">
      <c r="A12" t="s">
        <v>161</v>
      </c>
      <c r="B12" s="49" t="s">
        <v>1028</v>
      </c>
      <c r="C12" t="s">
        <v>830</v>
      </c>
      <c r="D12" s="370" t="s">
        <v>526</v>
      </c>
      <c r="E12" s="49" t="s">
        <v>326</v>
      </c>
      <c r="F12" s="371" t="s">
        <v>667</v>
      </c>
      <c r="G12" s="371" t="s">
        <v>972</v>
      </c>
      <c r="H12" s="371" t="s">
        <v>754</v>
      </c>
      <c r="I12" s="49" t="s">
        <v>612</v>
      </c>
      <c r="J12" t="s">
        <v>540</v>
      </c>
      <c r="K12" s="282" t="s">
        <v>654</v>
      </c>
      <c r="N12" s="49" t="s">
        <v>816</v>
      </c>
      <c r="O12" s="8" t="s">
        <v>1018</v>
      </c>
    </row>
    <row r="13" spans="1:15" ht="15" thickBot="1" x14ac:dyDescent="0.35">
      <c r="A13" t="s">
        <v>161</v>
      </c>
      <c r="B13" s="50" t="s">
        <v>1029</v>
      </c>
      <c r="C13" s="374" t="s">
        <v>1037</v>
      </c>
      <c r="D13" s="375" t="s">
        <v>652</v>
      </c>
      <c r="E13" s="50" t="s">
        <v>994</v>
      </c>
      <c r="F13" s="376" t="s">
        <v>708</v>
      </c>
      <c r="G13" s="376" t="s">
        <v>879</v>
      </c>
      <c r="H13" s="376" t="s">
        <v>713</v>
      </c>
      <c r="I13" s="50" t="s">
        <v>212</v>
      </c>
      <c r="J13" s="374" t="s">
        <v>710</v>
      </c>
      <c r="K13" s="377" t="s">
        <v>1049</v>
      </c>
      <c r="N13" s="50" t="s">
        <v>801</v>
      </c>
      <c r="O13" s="8" t="s">
        <v>1018</v>
      </c>
    </row>
    <row r="14" spans="1:15" x14ac:dyDescent="0.3">
      <c r="A14" t="s">
        <v>162</v>
      </c>
      <c r="B14" s="49" t="s">
        <v>1011</v>
      </c>
      <c r="C14" t="s">
        <v>276</v>
      </c>
      <c r="D14" s="370" t="s">
        <v>693</v>
      </c>
      <c r="E14" s="49" t="s">
        <v>517</v>
      </c>
      <c r="F14" s="371" t="s">
        <v>463</v>
      </c>
      <c r="G14" s="371" t="s">
        <v>303</v>
      </c>
      <c r="H14" s="371" t="s">
        <v>786</v>
      </c>
      <c r="I14" s="49" t="s">
        <v>775</v>
      </c>
      <c r="J14" t="s">
        <v>609</v>
      </c>
      <c r="K14" s="282" t="s">
        <v>867</v>
      </c>
      <c r="N14" s="49" t="s">
        <v>218</v>
      </c>
      <c r="O14" s="8" t="s">
        <v>1018</v>
      </c>
    </row>
    <row r="15" spans="1:15" x14ac:dyDescent="0.3">
      <c r="A15" t="s">
        <v>162</v>
      </c>
      <c r="B15" s="49" t="s">
        <v>1012</v>
      </c>
      <c r="C15" t="s">
        <v>268</v>
      </c>
      <c r="D15" s="370" t="s">
        <v>836</v>
      </c>
      <c r="E15" s="49" t="s">
        <v>771</v>
      </c>
      <c r="F15" s="371" t="s">
        <v>903</v>
      </c>
      <c r="G15" s="371" t="s">
        <v>295</v>
      </c>
      <c r="H15" s="371" t="s">
        <v>838</v>
      </c>
      <c r="I15" s="49" t="s">
        <v>263</v>
      </c>
      <c r="J15" t="s">
        <v>606</v>
      </c>
      <c r="K15" s="282" t="s">
        <v>864</v>
      </c>
      <c r="N15" s="49" t="s">
        <v>258</v>
      </c>
      <c r="O15" s="8" t="s">
        <v>1018</v>
      </c>
    </row>
    <row r="16" spans="1:15" x14ac:dyDescent="0.3">
      <c r="A16" t="s">
        <v>162</v>
      </c>
      <c r="B16" s="49" t="s">
        <v>1025</v>
      </c>
      <c r="C16" t="s">
        <v>261</v>
      </c>
      <c r="D16" s="370" t="s">
        <v>904</v>
      </c>
      <c r="E16" s="49" t="s">
        <v>1015</v>
      </c>
      <c r="F16" s="371" t="s">
        <v>774</v>
      </c>
      <c r="G16" s="371" t="s">
        <v>464</v>
      </c>
      <c r="H16" s="371" t="s">
        <v>249</v>
      </c>
      <c r="I16" s="49" t="s">
        <v>835</v>
      </c>
      <c r="J16" t="s">
        <v>302</v>
      </c>
      <c r="K16" s="282" t="s">
        <v>640</v>
      </c>
      <c r="N16" s="49" t="s">
        <v>660</v>
      </c>
      <c r="O16" s="8" t="s">
        <v>1018</v>
      </c>
    </row>
    <row r="17" spans="1:15" x14ac:dyDescent="0.3">
      <c r="A17" t="s">
        <v>162</v>
      </c>
      <c r="B17" s="49" t="s">
        <v>1020</v>
      </c>
      <c r="C17" t="s">
        <v>457</v>
      </c>
      <c r="D17" s="370" t="s">
        <v>868</v>
      </c>
      <c r="E17" s="49" t="s">
        <v>579</v>
      </c>
      <c r="F17" s="371" t="s">
        <v>1039</v>
      </c>
      <c r="G17" s="371" t="s">
        <v>807</v>
      </c>
      <c r="H17" s="371" t="s">
        <v>462</v>
      </c>
      <c r="I17" s="49" t="s">
        <v>881</v>
      </c>
      <c r="J17" t="s">
        <v>788</v>
      </c>
      <c r="K17" s="282" t="s">
        <v>948</v>
      </c>
      <c r="N17" s="49" t="s">
        <v>715</v>
      </c>
      <c r="O17" s="8" t="s">
        <v>1018</v>
      </c>
    </row>
    <row r="18" spans="1:15" x14ac:dyDescent="0.3">
      <c r="A18" t="s">
        <v>162</v>
      </c>
      <c r="B18" s="49" t="s">
        <v>1026</v>
      </c>
      <c r="C18" t="s">
        <v>773</v>
      </c>
      <c r="D18" s="370" t="s">
        <v>833</v>
      </c>
      <c r="E18" s="49" t="s">
        <v>320</v>
      </c>
      <c r="F18" s="371" t="s">
        <v>714</v>
      </c>
      <c r="G18" s="371" t="s">
        <v>884</v>
      </c>
      <c r="H18" s="371" t="s">
        <v>605</v>
      </c>
      <c r="I18" s="49" t="s">
        <v>254</v>
      </c>
      <c r="J18" t="s">
        <v>533</v>
      </c>
      <c r="K18" s="282" t="s">
        <v>1013</v>
      </c>
      <c r="N18" s="49" t="s">
        <v>698</v>
      </c>
      <c r="O18" s="8" t="s">
        <v>1018</v>
      </c>
    </row>
    <row r="19" spans="1:15" x14ac:dyDescent="0.3">
      <c r="A19" t="s">
        <v>162</v>
      </c>
      <c r="B19" s="49" t="s">
        <v>1022</v>
      </c>
      <c r="C19" t="s">
        <v>947</v>
      </c>
      <c r="D19" s="370" t="s">
        <v>1016</v>
      </c>
      <c r="E19" s="49" t="s">
        <v>943</v>
      </c>
      <c r="F19" s="371" t="s">
        <v>716</v>
      </c>
      <c r="G19" s="371" t="s">
        <v>578</v>
      </c>
      <c r="H19" s="371" t="s">
        <v>281</v>
      </c>
      <c r="I19" s="49" t="s">
        <v>330</v>
      </c>
      <c r="J19" t="s">
        <v>837</v>
      </c>
      <c r="K19" s="282" t="s">
        <v>352</v>
      </c>
      <c r="N19" s="49" t="s">
        <v>734</v>
      </c>
      <c r="O19" s="8" t="s">
        <v>1018</v>
      </c>
    </row>
    <row r="20" spans="1:15" x14ac:dyDescent="0.3">
      <c r="A20" t="s">
        <v>162</v>
      </c>
      <c r="B20" s="49" t="s">
        <v>1023</v>
      </c>
      <c r="C20" t="s">
        <v>317</v>
      </c>
      <c r="D20" s="370" t="s">
        <v>255</v>
      </c>
      <c r="E20" s="49" t="s">
        <v>673</v>
      </c>
      <c r="F20" s="371" t="s">
        <v>785</v>
      </c>
      <c r="G20" s="371" t="s">
        <v>466</v>
      </c>
      <c r="H20" s="371" t="s">
        <v>448</v>
      </c>
      <c r="I20" s="49" t="s">
        <v>925</v>
      </c>
      <c r="J20" t="s">
        <v>328</v>
      </c>
      <c r="K20" s="282" t="s">
        <v>928</v>
      </c>
      <c r="N20" s="49" t="s">
        <v>929</v>
      </c>
      <c r="O20" s="8" t="s">
        <v>1018</v>
      </c>
    </row>
    <row r="21" spans="1:15" ht="15" thickBot="1" x14ac:dyDescent="0.35">
      <c r="A21" t="s">
        <v>162</v>
      </c>
      <c r="B21" s="49" t="s">
        <v>1030</v>
      </c>
      <c r="C21" t="s">
        <v>623</v>
      </c>
      <c r="D21" s="370" t="s">
        <v>787</v>
      </c>
      <c r="E21" s="49" t="s">
        <v>942</v>
      </c>
      <c r="F21" s="371" t="s">
        <v>656</v>
      </c>
      <c r="G21" s="371" t="s">
        <v>242</v>
      </c>
      <c r="H21" s="371" t="s">
        <v>608</v>
      </c>
      <c r="I21" s="49" t="s">
        <v>271</v>
      </c>
      <c r="J21" t="s">
        <v>508</v>
      </c>
      <c r="K21" s="282" t="s">
        <v>717</v>
      </c>
      <c r="N21" s="49" t="s">
        <v>639</v>
      </c>
      <c r="O21" s="8" t="s">
        <v>1018</v>
      </c>
    </row>
    <row r="22" spans="1:15" x14ac:dyDescent="0.3">
      <c r="A22" t="s">
        <v>163</v>
      </c>
      <c r="B22" s="281" t="s">
        <v>1008</v>
      </c>
      <c r="C22" s="367" t="s">
        <v>305</v>
      </c>
      <c r="D22" s="368" t="s">
        <v>702</v>
      </c>
      <c r="E22" s="48" t="s">
        <v>930</v>
      </c>
      <c r="F22" s="369" t="s">
        <v>906</v>
      </c>
      <c r="G22" s="369" t="s">
        <v>260</v>
      </c>
      <c r="H22" s="369" t="s">
        <v>793</v>
      </c>
      <c r="I22" s="281" t="s">
        <v>776</v>
      </c>
      <c r="J22" s="367" t="s">
        <v>841</v>
      </c>
      <c r="K22" s="372" t="s">
        <v>453</v>
      </c>
      <c r="N22" s="281" t="s">
        <v>233</v>
      </c>
      <c r="O22" s="8" t="s">
        <v>1018</v>
      </c>
    </row>
    <row r="23" spans="1:15" x14ac:dyDescent="0.3">
      <c r="A23" t="s">
        <v>163</v>
      </c>
      <c r="B23" s="282" t="s">
        <v>1009</v>
      </c>
      <c r="C23" t="s">
        <v>701</v>
      </c>
      <c r="D23" s="370" t="s">
        <v>509</v>
      </c>
      <c r="E23" s="49" t="s">
        <v>455</v>
      </c>
      <c r="F23" s="371" t="s">
        <v>907</v>
      </c>
      <c r="G23" s="371" t="s">
        <v>618</v>
      </c>
      <c r="H23" s="371" t="s">
        <v>1041</v>
      </c>
      <c r="I23" s="282" t="s">
        <v>1044</v>
      </c>
      <c r="J23" t="s">
        <v>870</v>
      </c>
      <c r="K23" s="282" t="s">
        <v>256</v>
      </c>
      <c r="N23" s="282" t="s">
        <v>641</v>
      </c>
      <c r="O23" s="8" t="s">
        <v>1018</v>
      </c>
    </row>
    <row r="24" spans="1:15" x14ac:dyDescent="0.3">
      <c r="A24" t="s">
        <v>163</v>
      </c>
      <c r="B24" s="378" t="s">
        <v>1010</v>
      </c>
      <c r="C24" t="s">
        <v>545</v>
      </c>
      <c r="D24" s="370" t="s">
        <v>932</v>
      </c>
      <c r="E24" s="49" t="s">
        <v>227</v>
      </c>
      <c r="F24" s="371" t="s">
        <v>965</v>
      </c>
      <c r="G24" s="371" t="s">
        <v>525</v>
      </c>
      <c r="H24" s="371" t="s">
        <v>1042</v>
      </c>
      <c r="I24" s="378" t="s">
        <v>355</v>
      </c>
      <c r="J24" t="s">
        <v>611</v>
      </c>
      <c r="K24" s="282" t="s">
        <v>224</v>
      </c>
      <c r="N24" s="282" t="s">
        <v>988</v>
      </c>
      <c r="O24" s="8" t="s">
        <v>1018</v>
      </c>
    </row>
    <row r="25" spans="1:15" x14ac:dyDescent="0.3">
      <c r="A25" t="s">
        <v>163</v>
      </c>
      <c r="B25" s="282" t="s">
        <v>1031</v>
      </c>
      <c r="C25" t="s">
        <v>248</v>
      </c>
      <c r="D25" s="370" t="s">
        <v>591</v>
      </c>
      <c r="E25" s="49" t="s">
        <v>580</v>
      </c>
      <c r="F25" s="371" t="s">
        <v>1040</v>
      </c>
      <c r="G25" s="371" t="s">
        <v>719</v>
      </c>
      <c r="H25" s="371" t="s">
        <v>1014</v>
      </c>
      <c r="I25" s="282" t="s">
        <v>565</v>
      </c>
      <c r="J25" t="s">
        <v>345</v>
      </c>
      <c r="K25" s="282" t="s">
        <v>574</v>
      </c>
      <c r="N25" s="282" t="s">
        <v>872</v>
      </c>
      <c r="O25" s="8" t="s">
        <v>1018</v>
      </c>
    </row>
    <row r="26" spans="1:15" x14ac:dyDescent="0.3">
      <c r="A26" t="s">
        <v>163</v>
      </c>
      <c r="B26" s="282" t="s">
        <v>1021</v>
      </c>
      <c r="C26" t="s">
        <v>472</v>
      </c>
      <c r="D26" s="370" t="s">
        <v>839</v>
      </c>
      <c r="E26" s="49" t="s">
        <v>569</v>
      </c>
      <c r="F26" s="371" t="s">
        <v>891</v>
      </c>
      <c r="G26" s="371" t="s">
        <v>1045</v>
      </c>
      <c r="H26" s="371" t="s">
        <v>985</v>
      </c>
      <c r="I26" s="282" t="s">
        <v>871</v>
      </c>
      <c r="J26" t="s">
        <v>983</v>
      </c>
      <c r="K26" s="282" t="s">
        <v>931</v>
      </c>
      <c r="N26" s="282" t="s">
        <v>888</v>
      </c>
      <c r="O26" s="8" t="s">
        <v>1018</v>
      </c>
    </row>
    <row r="27" spans="1:15" ht="15" thickBot="1" x14ac:dyDescent="0.35">
      <c r="A27" t="s">
        <v>163</v>
      </c>
      <c r="B27" s="379" t="s">
        <v>1032</v>
      </c>
      <c r="C27" s="374" t="s">
        <v>890</v>
      </c>
      <c r="D27" s="375" t="s">
        <v>869</v>
      </c>
      <c r="E27" s="50" t="s">
        <v>747</v>
      </c>
      <c r="F27" s="376" t="s">
        <v>858</v>
      </c>
      <c r="G27" s="376" t="s">
        <v>522</v>
      </c>
      <c r="H27" s="376" t="s">
        <v>364</v>
      </c>
      <c r="I27" s="379" t="s">
        <v>892</v>
      </c>
      <c r="J27" s="374" t="s">
        <v>823</v>
      </c>
      <c r="K27" s="377" t="s">
        <v>539</v>
      </c>
      <c r="N27" s="294" t="s">
        <v>791</v>
      </c>
      <c r="O27" s="8" t="s">
        <v>1018</v>
      </c>
    </row>
    <row r="28" spans="1:15" ht="92.25" customHeight="1" thickBot="1" x14ac:dyDescent="0.35">
      <c r="A28" s="51" t="s">
        <v>386</v>
      </c>
      <c r="B28" s="262"/>
      <c r="C28" s="52"/>
      <c r="D28" s="54"/>
      <c r="E28" s="53"/>
      <c r="F28" s="53"/>
      <c r="G28" s="53"/>
      <c r="H28" s="53"/>
      <c r="I28" s="53"/>
      <c r="J28" s="326"/>
      <c r="K28" s="327"/>
      <c r="O28" s="8"/>
    </row>
    <row r="29" spans="1:15" x14ac:dyDescent="0.3">
      <c r="N29" s="48" t="s">
        <v>604</v>
      </c>
      <c r="O29" s="8" t="s">
        <v>477</v>
      </c>
    </row>
    <row r="30" spans="1:15" x14ac:dyDescent="0.3">
      <c r="N30" s="49" t="s">
        <v>873</v>
      </c>
      <c r="O30" s="8" t="s">
        <v>477</v>
      </c>
    </row>
    <row r="31" spans="1:15" ht="15" thickBot="1" x14ac:dyDescent="0.35">
      <c r="N31" s="49" t="s">
        <v>296</v>
      </c>
      <c r="O31" s="8" t="s">
        <v>477</v>
      </c>
    </row>
    <row r="32" spans="1:15" x14ac:dyDescent="0.3">
      <c r="N32" s="48" t="s">
        <v>959</v>
      </c>
      <c r="O32" s="8" t="s">
        <v>477</v>
      </c>
    </row>
    <row r="33" spans="14:15" x14ac:dyDescent="0.3">
      <c r="N33" s="49" t="s">
        <v>688</v>
      </c>
      <c r="O33" s="8" t="s">
        <v>477</v>
      </c>
    </row>
    <row r="34" spans="14:15" x14ac:dyDescent="0.3">
      <c r="N34" s="49" t="s">
        <v>712</v>
      </c>
      <c r="O34" s="8" t="s">
        <v>477</v>
      </c>
    </row>
    <row r="35" spans="14:15" x14ac:dyDescent="0.3">
      <c r="N35" s="49" t="s">
        <v>896</v>
      </c>
      <c r="O35" s="8" t="s">
        <v>477</v>
      </c>
    </row>
    <row r="36" spans="14:15" x14ac:dyDescent="0.3">
      <c r="N36" s="49" t="s">
        <v>638</v>
      </c>
      <c r="O36" s="8" t="s">
        <v>477</v>
      </c>
    </row>
    <row r="37" spans="14:15" x14ac:dyDescent="0.3">
      <c r="N37" s="49" t="s">
        <v>815</v>
      </c>
      <c r="O37" s="8" t="s">
        <v>477</v>
      </c>
    </row>
    <row r="38" spans="14:15" x14ac:dyDescent="0.3">
      <c r="N38" s="49" t="s">
        <v>326</v>
      </c>
      <c r="O38" s="8" t="s">
        <v>477</v>
      </c>
    </row>
    <row r="39" spans="14:15" ht="15" thickBot="1" x14ac:dyDescent="0.35">
      <c r="N39" s="50" t="s">
        <v>994</v>
      </c>
      <c r="O39" s="8" t="s">
        <v>477</v>
      </c>
    </row>
    <row r="40" spans="14:15" x14ac:dyDescent="0.3">
      <c r="N40" s="49" t="s">
        <v>517</v>
      </c>
      <c r="O40" s="8" t="s">
        <v>477</v>
      </c>
    </row>
    <row r="41" spans="14:15" x14ac:dyDescent="0.3">
      <c r="N41" s="49" t="s">
        <v>771</v>
      </c>
      <c r="O41" s="8" t="s">
        <v>477</v>
      </c>
    </row>
    <row r="42" spans="14:15" x14ac:dyDescent="0.3">
      <c r="N42" s="49" t="s">
        <v>1015</v>
      </c>
      <c r="O42" s="8" t="s">
        <v>477</v>
      </c>
    </row>
    <row r="43" spans="14:15" x14ac:dyDescent="0.3">
      <c r="N43" s="49" t="s">
        <v>579</v>
      </c>
      <c r="O43" s="8" t="s">
        <v>477</v>
      </c>
    </row>
    <row r="44" spans="14:15" x14ac:dyDescent="0.3">
      <c r="N44" s="49" t="s">
        <v>320</v>
      </c>
      <c r="O44" s="8" t="s">
        <v>477</v>
      </c>
    </row>
    <row r="45" spans="14:15" x14ac:dyDescent="0.3">
      <c r="N45" s="49" t="s">
        <v>943</v>
      </c>
      <c r="O45" s="8" t="s">
        <v>477</v>
      </c>
    </row>
    <row r="46" spans="14:15" x14ac:dyDescent="0.3">
      <c r="N46" s="49" t="s">
        <v>673</v>
      </c>
      <c r="O46" s="8" t="s">
        <v>477</v>
      </c>
    </row>
    <row r="47" spans="14:15" ht="15" thickBot="1" x14ac:dyDescent="0.35">
      <c r="N47" s="49" t="s">
        <v>942</v>
      </c>
      <c r="O47" s="8" t="s">
        <v>477</v>
      </c>
    </row>
    <row r="48" spans="14:15" x14ac:dyDescent="0.3">
      <c r="N48" s="281" t="s">
        <v>930</v>
      </c>
      <c r="O48" s="8" t="s">
        <v>477</v>
      </c>
    </row>
    <row r="49" spans="14:15" x14ac:dyDescent="0.3">
      <c r="N49" s="282" t="s">
        <v>455</v>
      </c>
      <c r="O49" s="8" t="s">
        <v>477</v>
      </c>
    </row>
    <row r="50" spans="14:15" x14ac:dyDescent="0.3">
      <c r="N50" s="282" t="s">
        <v>227</v>
      </c>
      <c r="O50" s="8" t="s">
        <v>477</v>
      </c>
    </row>
    <row r="51" spans="14:15" x14ac:dyDescent="0.3">
      <c r="N51" s="282" t="s">
        <v>580</v>
      </c>
      <c r="O51" s="8" t="s">
        <v>477</v>
      </c>
    </row>
    <row r="52" spans="14:15" x14ac:dyDescent="0.3">
      <c r="N52" s="282" t="s">
        <v>569</v>
      </c>
      <c r="O52" s="8" t="s">
        <v>477</v>
      </c>
    </row>
    <row r="53" spans="14:15" ht="15" thickBot="1" x14ac:dyDescent="0.35">
      <c r="N53" s="294" t="s">
        <v>747</v>
      </c>
      <c r="O53" s="8" t="s">
        <v>477</v>
      </c>
    </row>
    <row r="54" spans="14:15" x14ac:dyDescent="0.3">
      <c r="N54" s="48" t="s">
        <v>661</v>
      </c>
      <c r="O54" s="8" t="s">
        <v>629</v>
      </c>
    </row>
    <row r="55" spans="14:15" x14ac:dyDescent="0.3">
      <c r="N55" s="49" t="s">
        <v>909</v>
      </c>
      <c r="O55" s="8" t="s">
        <v>629</v>
      </c>
    </row>
    <row r="56" spans="14:15" ht="15" thickBot="1" x14ac:dyDescent="0.35">
      <c r="N56" s="49" t="s">
        <v>844</v>
      </c>
      <c r="O56" s="8" t="s">
        <v>629</v>
      </c>
    </row>
    <row r="57" spans="14:15" x14ac:dyDescent="0.3">
      <c r="N57" s="48" t="s">
        <v>781</v>
      </c>
      <c r="O57" s="8" t="s">
        <v>629</v>
      </c>
    </row>
    <row r="58" spans="14:15" x14ac:dyDescent="0.3">
      <c r="N58" s="49" t="s">
        <v>213</v>
      </c>
      <c r="O58" s="8" t="s">
        <v>629</v>
      </c>
    </row>
    <row r="59" spans="14:15" x14ac:dyDescent="0.3">
      <c r="N59" s="49" t="s">
        <v>690</v>
      </c>
      <c r="O59" s="8" t="s">
        <v>629</v>
      </c>
    </row>
    <row r="60" spans="14:15" x14ac:dyDescent="0.3">
      <c r="N60" s="49" t="s">
        <v>831</v>
      </c>
      <c r="O60" s="8" t="s">
        <v>629</v>
      </c>
    </row>
    <row r="61" spans="14:15" x14ac:dyDescent="0.3">
      <c r="N61" s="49" t="s">
        <v>1038</v>
      </c>
      <c r="O61" s="8" t="s">
        <v>629</v>
      </c>
    </row>
    <row r="62" spans="14:15" x14ac:dyDescent="0.3">
      <c r="N62" s="49" t="s">
        <v>799</v>
      </c>
      <c r="O62" s="8" t="s">
        <v>629</v>
      </c>
    </row>
    <row r="63" spans="14:15" x14ac:dyDescent="0.3">
      <c r="N63" s="49" t="s">
        <v>667</v>
      </c>
      <c r="O63" s="8" t="s">
        <v>629</v>
      </c>
    </row>
    <row r="64" spans="14:15" ht="15" thickBot="1" x14ac:dyDescent="0.35">
      <c r="N64" s="50" t="s">
        <v>708</v>
      </c>
      <c r="O64" s="8" t="s">
        <v>629</v>
      </c>
    </row>
    <row r="65" spans="14:15" x14ac:dyDescent="0.3">
      <c r="N65" s="49" t="s">
        <v>463</v>
      </c>
      <c r="O65" s="8" t="s">
        <v>629</v>
      </c>
    </row>
    <row r="66" spans="14:15" x14ac:dyDescent="0.3">
      <c r="N66" s="49" t="s">
        <v>903</v>
      </c>
      <c r="O66" s="8" t="s">
        <v>629</v>
      </c>
    </row>
    <row r="67" spans="14:15" x14ac:dyDescent="0.3">
      <c r="N67" s="49" t="s">
        <v>774</v>
      </c>
      <c r="O67" s="8" t="s">
        <v>629</v>
      </c>
    </row>
    <row r="68" spans="14:15" x14ac:dyDescent="0.3">
      <c r="N68" s="49" t="s">
        <v>1039</v>
      </c>
      <c r="O68" s="8" t="s">
        <v>629</v>
      </c>
    </row>
    <row r="69" spans="14:15" x14ac:dyDescent="0.3">
      <c r="N69" s="49" t="s">
        <v>714</v>
      </c>
      <c r="O69" s="8" t="s">
        <v>629</v>
      </c>
    </row>
    <row r="70" spans="14:15" x14ac:dyDescent="0.3">
      <c r="N70" s="49" t="s">
        <v>716</v>
      </c>
      <c r="O70" s="8" t="s">
        <v>629</v>
      </c>
    </row>
    <row r="71" spans="14:15" x14ac:dyDescent="0.3">
      <c r="N71" s="49" t="s">
        <v>785</v>
      </c>
      <c r="O71" s="8" t="s">
        <v>629</v>
      </c>
    </row>
    <row r="72" spans="14:15" ht="15" thickBot="1" x14ac:dyDescent="0.35">
      <c r="N72" s="49" t="s">
        <v>656</v>
      </c>
      <c r="O72" s="8" t="s">
        <v>629</v>
      </c>
    </row>
    <row r="73" spans="14:15" x14ac:dyDescent="0.3">
      <c r="N73" s="281" t="s">
        <v>906</v>
      </c>
      <c r="O73" s="8" t="s">
        <v>629</v>
      </c>
    </row>
    <row r="74" spans="14:15" x14ac:dyDescent="0.3">
      <c r="N74" s="282" t="s">
        <v>907</v>
      </c>
      <c r="O74" s="8" t="s">
        <v>629</v>
      </c>
    </row>
    <row r="75" spans="14:15" x14ac:dyDescent="0.3">
      <c r="N75" s="282" t="s">
        <v>965</v>
      </c>
      <c r="O75" s="8" t="s">
        <v>629</v>
      </c>
    </row>
    <row r="76" spans="14:15" x14ac:dyDescent="0.3">
      <c r="N76" s="282" t="s">
        <v>1040</v>
      </c>
      <c r="O76" s="8" t="s">
        <v>629</v>
      </c>
    </row>
    <row r="77" spans="14:15" x14ac:dyDescent="0.3">
      <c r="N77" s="282" t="s">
        <v>891</v>
      </c>
      <c r="O77" s="8" t="s">
        <v>629</v>
      </c>
    </row>
    <row r="78" spans="14:15" ht="15" thickBot="1" x14ac:dyDescent="0.35">
      <c r="N78" s="294" t="s">
        <v>858</v>
      </c>
      <c r="O78" s="8" t="s">
        <v>629</v>
      </c>
    </row>
    <row r="79" spans="14:15" x14ac:dyDescent="0.3">
      <c r="N79" s="48" t="s">
        <v>421</v>
      </c>
      <c r="O79" s="8" t="s">
        <v>603</v>
      </c>
    </row>
    <row r="80" spans="14:15" x14ac:dyDescent="0.3">
      <c r="N80" s="49" t="s">
        <v>893</v>
      </c>
      <c r="O80" s="8" t="s">
        <v>603</v>
      </c>
    </row>
    <row r="81" spans="14:15" ht="15" thickBot="1" x14ac:dyDescent="0.35">
      <c r="N81" s="49" t="s">
        <v>210</v>
      </c>
      <c r="O81" s="8" t="s">
        <v>603</v>
      </c>
    </row>
    <row r="82" spans="14:15" x14ac:dyDescent="0.3">
      <c r="N82" s="48" t="s">
        <v>243</v>
      </c>
      <c r="O82" s="8" t="s">
        <v>603</v>
      </c>
    </row>
    <row r="83" spans="14:15" x14ac:dyDescent="0.3">
      <c r="N83" s="49" t="s">
        <v>804</v>
      </c>
      <c r="O83" s="8" t="s">
        <v>603</v>
      </c>
    </row>
    <row r="84" spans="14:15" x14ac:dyDescent="0.3">
      <c r="N84" s="49" t="s">
        <v>832</v>
      </c>
      <c r="O84" s="8" t="s">
        <v>603</v>
      </c>
    </row>
    <row r="85" spans="14:15" x14ac:dyDescent="0.3">
      <c r="N85" s="49" t="s">
        <v>727</v>
      </c>
      <c r="O85" s="8" t="s">
        <v>603</v>
      </c>
    </row>
    <row r="86" spans="14:15" x14ac:dyDescent="0.3">
      <c r="N86" s="49" t="s">
        <v>802</v>
      </c>
      <c r="O86" s="8" t="s">
        <v>603</v>
      </c>
    </row>
    <row r="87" spans="14:15" x14ac:dyDescent="0.3">
      <c r="N87" s="49" t="s">
        <v>996</v>
      </c>
      <c r="O87" s="8" t="s">
        <v>603</v>
      </c>
    </row>
    <row r="88" spans="14:15" x14ac:dyDescent="0.3">
      <c r="N88" s="49" t="s">
        <v>754</v>
      </c>
      <c r="O88" s="8" t="s">
        <v>603</v>
      </c>
    </row>
    <row r="89" spans="14:15" ht="15" thickBot="1" x14ac:dyDescent="0.35">
      <c r="N89" s="50" t="s">
        <v>713</v>
      </c>
      <c r="O89" s="8" t="s">
        <v>603</v>
      </c>
    </row>
    <row r="90" spans="14:15" x14ac:dyDescent="0.3">
      <c r="N90" s="49" t="s">
        <v>786</v>
      </c>
      <c r="O90" s="8" t="s">
        <v>603</v>
      </c>
    </row>
    <row r="91" spans="14:15" x14ac:dyDescent="0.3">
      <c r="N91" s="49" t="s">
        <v>838</v>
      </c>
      <c r="O91" s="8" t="s">
        <v>603</v>
      </c>
    </row>
    <row r="92" spans="14:15" x14ac:dyDescent="0.3">
      <c r="N92" s="49" t="s">
        <v>249</v>
      </c>
      <c r="O92" s="8" t="s">
        <v>603</v>
      </c>
    </row>
    <row r="93" spans="14:15" x14ac:dyDescent="0.3">
      <c r="N93" s="49" t="s">
        <v>462</v>
      </c>
      <c r="O93" s="8" t="s">
        <v>603</v>
      </c>
    </row>
    <row r="94" spans="14:15" x14ac:dyDescent="0.3">
      <c r="N94" s="49" t="s">
        <v>605</v>
      </c>
      <c r="O94" s="8" t="s">
        <v>603</v>
      </c>
    </row>
    <row r="95" spans="14:15" x14ac:dyDescent="0.3">
      <c r="N95" s="49" t="s">
        <v>281</v>
      </c>
      <c r="O95" s="8" t="s">
        <v>603</v>
      </c>
    </row>
    <row r="96" spans="14:15" x14ac:dyDescent="0.3">
      <c r="N96" s="49" t="s">
        <v>448</v>
      </c>
      <c r="O96" s="8" t="s">
        <v>603</v>
      </c>
    </row>
    <row r="97" spans="14:15" ht="15" thickBot="1" x14ac:dyDescent="0.35">
      <c r="N97" s="49" t="s">
        <v>608</v>
      </c>
      <c r="O97" s="8" t="s">
        <v>603</v>
      </c>
    </row>
    <row r="98" spans="14:15" x14ac:dyDescent="0.3">
      <c r="N98" s="281" t="s">
        <v>793</v>
      </c>
      <c r="O98" s="8" t="s">
        <v>603</v>
      </c>
    </row>
    <row r="99" spans="14:15" x14ac:dyDescent="0.3">
      <c r="N99" s="282" t="s">
        <v>1041</v>
      </c>
      <c r="O99" s="8" t="s">
        <v>603</v>
      </c>
    </row>
    <row r="100" spans="14:15" x14ac:dyDescent="0.3">
      <c r="N100" s="282" t="s">
        <v>1042</v>
      </c>
      <c r="O100" s="8" t="s">
        <v>603</v>
      </c>
    </row>
    <row r="101" spans="14:15" x14ac:dyDescent="0.3">
      <c r="N101" s="282" t="s">
        <v>1014</v>
      </c>
      <c r="O101" s="8" t="s">
        <v>603</v>
      </c>
    </row>
    <row r="102" spans="14:15" x14ac:dyDescent="0.3">
      <c r="N102" s="282" t="s">
        <v>985</v>
      </c>
      <c r="O102" s="8" t="s">
        <v>603</v>
      </c>
    </row>
    <row r="103" spans="14:15" ht="15" thickBot="1" x14ac:dyDescent="0.35">
      <c r="N103" s="294" t="s">
        <v>364</v>
      </c>
      <c r="O103" s="8" t="s">
        <v>603</v>
      </c>
    </row>
    <row r="104" spans="14:15" x14ac:dyDescent="0.3">
      <c r="N104" s="48" t="s">
        <v>265</v>
      </c>
      <c r="O104" s="8" t="s">
        <v>628</v>
      </c>
    </row>
    <row r="105" spans="14:15" x14ac:dyDescent="0.3">
      <c r="N105" s="49" t="s">
        <v>680</v>
      </c>
      <c r="O105" s="8" t="s">
        <v>628</v>
      </c>
    </row>
    <row r="106" spans="14:15" ht="15" thickBot="1" x14ac:dyDescent="0.35">
      <c r="N106" s="49" t="s">
        <v>827</v>
      </c>
      <c r="O106" s="8" t="s">
        <v>628</v>
      </c>
    </row>
    <row r="107" spans="14:15" x14ac:dyDescent="0.3">
      <c r="N107" s="48" t="s">
        <v>244</v>
      </c>
      <c r="O107" s="8" t="s">
        <v>628</v>
      </c>
    </row>
    <row r="108" spans="14:15" x14ac:dyDescent="0.3">
      <c r="N108" s="49" t="s">
        <v>615</v>
      </c>
      <c r="O108" s="8" t="s">
        <v>628</v>
      </c>
    </row>
    <row r="109" spans="14:15" x14ac:dyDescent="0.3">
      <c r="N109" s="49" t="s">
        <v>783</v>
      </c>
      <c r="O109" s="8" t="s">
        <v>628</v>
      </c>
    </row>
    <row r="110" spans="14:15" x14ac:dyDescent="0.3">
      <c r="N110" s="49" t="s">
        <v>307</v>
      </c>
      <c r="O110" s="8" t="s">
        <v>628</v>
      </c>
    </row>
    <row r="111" spans="14:15" x14ac:dyDescent="0.3">
      <c r="N111" s="49" t="s">
        <v>636</v>
      </c>
      <c r="O111" s="8" t="s">
        <v>628</v>
      </c>
    </row>
    <row r="112" spans="14:15" x14ac:dyDescent="0.3">
      <c r="N112" s="49" t="s">
        <v>897</v>
      </c>
      <c r="O112" s="8" t="s">
        <v>628</v>
      </c>
    </row>
    <row r="113" spans="14:15" x14ac:dyDescent="0.3">
      <c r="N113" s="49" t="s">
        <v>526</v>
      </c>
      <c r="O113" s="8" t="s">
        <v>628</v>
      </c>
    </row>
    <row r="114" spans="14:15" ht="15" thickBot="1" x14ac:dyDescent="0.35">
      <c r="N114" s="50" t="s">
        <v>652</v>
      </c>
      <c r="O114" s="8" t="s">
        <v>628</v>
      </c>
    </row>
    <row r="115" spans="14:15" x14ac:dyDescent="0.3">
      <c r="N115" s="49" t="s">
        <v>693</v>
      </c>
      <c r="O115" s="8" t="s">
        <v>628</v>
      </c>
    </row>
    <row r="116" spans="14:15" x14ac:dyDescent="0.3">
      <c r="N116" s="49" t="s">
        <v>836</v>
      </c>
      <c r="O116" s="8" t="s">
        <v>628</v>
      </c>
    </row>
    <row r="117" spans="14:15" x14ac:dyDescent="0.3">
      <c r="N117" s="49" t="s">
        <v>904</v>
      </c>
      <c r="O117" s="8" t="s">
        <v>628</v>
      </c>
    </row>
    <row r="118" spans="14:15" x14ac:dyDescent="0.3">
      <c r="N118" s="49" t="s">
        <v>868</v>
      </c>
      <c r="O118" s="8" t="s">
        <v>628</v>
      </c>
    </row>
    <row r="119" spans="14:15" x14ac:dyDescent="0.3">
      <c r="N119" s="49" t="s">
        <v>833</v>
      </c>
      <c r="O119" s="8" t="s">
        <v>628</v>
      </c>
    </row>
    <row r="120" spans="14:15" x14ac:dyDescent="0.3">
      <c r="N120" s="49" t="s">
        <v>1016</v>
      </c>
      <c r="O120" s="8" t="s">
        <v>628</v>
      </c>
    </row>
    <row r="121" spans="14:15" x14ac:dyDescent="0.3">
      <c r="N121" s="49" t="s">
        <v>255</v>
      </c>
      <c r="O121" s="8" t="s">
        <v>628</v>
      </c>
    </row>
    <row r="122" spans="14:15" ht="15" thickBot="1" x14ac:dyDescent="0.35">
      <c r="N122" s="49" t="s">
        <v>787</v>
      </c>
      <c r="O122" s="8" t="s">
        <v>628</v>
      </c>
    </row>
    <row r="123" spans="14:15" x14ac:dyDescent="0.3">
      <c r="N123" s="281" t="s">
        <v>702</v>
      </c>
      <c r="O123" s="8" t="s">
        <v>628</v>
      </c>
    </row>
    <row r="124" spans="14:15" x14ac:dyDescent="0.3">
      <c r="N124" s="282" t="s">
        <v>509</v>
      </c>
      <c r="O124" s="8" t="s">
        <v>628</v>
      </c>
    </row>
    <row r="125" spans="14:15" x14ac:dyDescent="0.3">
      <c r="N125" s="282" t="s">
        <v>932</v>
      </c>
      <c r="O125" s="8" t="s">
        <v>628</v>
      </c>
    </row>
    <row r="126" spans="14:15" x14ac:dyDescent="0.3">
      <c r="N126" s="282" t="s">
        <v>591</v>
      </c>
      <c r="O126" s="8" t="s">
        <v>628</v>
      </c>
    </row>
    <row r="127" spans="14:15" x14ac:dyDescent="0.3">
      <c r="N127" s="282" t="s">
        <v>839</v>
      </c>
      <c r="O127" s="8" t="s">
        <v>628</v>
      </c>
    </row>
    <row r="128" spans="14:15" ht="15" thickBot="1" x14ac:dyDescent="0.35">
      <c r="N128" s="294" t="s">
        <v>869</v>
      </c>
      <c r="O128" s="8" t="s">
        <v>628</v>
      </c>
    </row>
    <row r="129" spans="14:15" x14ac:dyDescent="0.3">
      <c r="N129" s="48" t="s">
        <v>266</v>
      </c>
      <c r="O129" s="8" t="s">
        <v>630</v>
      </c>
    </row>
    <row r="130" spans="14:15" x14ac:dyDescent="0.3">
      <c r="N130" s="49" t="s">
        <v>264</v>
      </c>
      <c r="O130" s="8" t="s">
        <v>630</v>
      </c>
    </row>
    <row r="131" spans="14:15" ht="15" thickBot="1" x14ac:dyDescent="0.35">
      <c r="N131" s="49" t="s">
        <v>706</v>
      </c>
      <c r="O131" s="8" t="s">
        <v>630</v>
      </c>
    </row>
    <row r="132" spans="14:15" x14ac:dyDescent="0.3">
      <c r="N132" s="48" t="s">
        <v>900</v>
      </c>
      <c r="O132" s="8" t="s">
        <v>630</v>
      </c>
    </row>
    <row r="133" spans="14:15" x14ac:dyDescent="0.3">
      <c r="N133" s="49" t="s">
        <v>277</v>
      </c>
      <c r="O133" s="8" t="s">
        <v>630</v>
      </c>
    </row>
    <row r="134" spans="14:15" x14ac:dyDescent="0.3">
      <c r="N134" s="49" t="s">
        <v>607</v>
      </c>
      <c r="O134" s="8" t="s">
        <v>630</v>
      </c>
    </row>
    <row r="135" spans="14:15" x14ac:dyDescent="0.3">
      <c r="N135" s="49" t="s">
        <v>617</v>
      </c>
      <c r="O135" s="8" t="s">
        <v>630</v>
      </c>
    </row>
    <row r="136" spans="14:15" x14ac:dyDescent="0.3">
      <c r="N136" s="49" t="s">
        <v>347</v>
      </c>
      <c r="O136" s="8" t="s">
        <v>630</v>
      </c>
    </row>
    <row r="137" spans="14:15" x14ac:dyDescent="0.3">
      <c r="N137" s="49" t="s">
        <v>251</v>
      </c>
      <c r="O137" s="8" t="s">
        <v>630</v>
      </c>
    </row>
    <row r="138" spans="14:15" x14ac:dyDescent="0.3">
      <c r="N138" s="49" t="s">
        <v>830</v>
      </c>
      <c r="O138" s="8" t="s">
        <v>630</v>
      </c>
    </row>
    <row r="139" spans="14:15" ht="15" thickBot="1" x14ac:dyDescent="0.35">
      <c r="N139" s="50" t="s">
        <v>1037</v>
      </c>
      <c r="O139" s="8" t="s">
        <v>630</v>
      </c>
    </row>
    <row r="140" spans="14:15" x14ac:dyDescent="0.3">
      <c r="N140" s="49" t="s">
        <v>276</v>
      </c>
      <c r="O140" s="8" t="s">
        <v>630</v>
      </c>
    </row>
    <row r="141" spans="14:15" x14ac:dyDescent="0.3">
      <c r="N141" s="49" t="s">
        <v>268</v>
      </c>
      <c r="O141" s="8" t="s">
        <v>630</v>
      </c>
    </row>
    <row r="142" spans="14:15" x14ac:dyDescent="0.3">
      <c r="N142" s="49" t="s">
        <v>261</v>
      </c>
      <c r="O142" s="8" t="s">
        <v>630</v>
      </c>
    </row>
    <row r="143" spans="14:15" x14ac:dyDescent="0.3">
      <c r="N143" s="49" t="s">
        <v>457</v>
      </c>
      <c r="O143" s="8" t="s">
        <v>630</v>
      </c>
    </row>
    <row r="144" spans="14:15" x14ac:dyDescent="0.3">
      <c r="N144" s="49" t="s">
        <v>773</v>
      </c>
      <c r="O144" s="8" t="s">
        <v>630</v>
      </c>
    </row>
    <row r="145" spans="14:15" x14ac:dyDescent="0.3">
      <c r="N145" s="49" t="s">
        <v>947</v>
      </c>
      <c r="O145" s="8" t="s">
        <v>630</v>
      </c>
    </row>
    <row r="146" spans="14:15" x14ac:dyDescent="0.3">
      <c r="N146" s="49" t="s">
        <v>317</v>
      </c>
      <c r="O146" s="8" t="s">
        <v>630</v>
      </c>
    </row>
    <row r="147" spans="14:15" ht="15" thickBot="1" x14ac:dyDescent="0.35">
      <c r="N147" s="49" t="s">
        <v>623</v>
      </c>
      <c r="O147" s="8" t="s">
        <v>630</v>
      </c>
    </row>
    <row r="148" spans="14:15" x14ac:dyDescent="0.3">
      <c r="N148" s="281" t="s">
        <v>305</v>
      </c>
      <c r="O148" s="8" t="s">
        <v>630</v>
      </c>
    </row>
    <row r="149" spans="14:15" x14ac:dyDescent="0.3">
      <c r="N149" s="282" t="s">
        <v>701</v>
      </c>
      <c r="O149" s="8" t="s">
        <v>630</v>
      </c>
    </row>
    <row r="150" spans="14:15" x14ac:dyDescent="0.3">
      <c r="N150" s="282" t="s">
        <v>545</v>
      </c>
      <c r="O150" s="8" t="s">
        <v>630</v>
      </c>
    </row>
    <row r="151" spans="14:15" x14ac:dyDescent="0.3">
      <c r="N151" s="282" t="s">
        <v>248</v>
      </c>
      <c r="O151" s="8" t="s">
        <v>630</v>
      </c>
    </row>
    <row r="152" spans="14:15" x14ac:dyDescent="0.3">
      <c r="N152" s="282" t="s">
        <v>472</v>
      </c>
      <c r="O152" s="8" t="s">
        <v>630</v>
      </c>
    </row>
    <row r="153" spans="14:15" ht="15" thickBot="1" x14ac:dyDescent="0.35">
      <c r="N153" s="294" t="s">
        <v>890</v>
      </c>
      <c r="O153" s="8" t="s">
        <v>630</v>
      </c>
    </row>
    <row r="154" spans="14:15" x14ac:dyDescent="0.3">
      <c r="N154" s="48" t="s">
        <v>575</v>
      </c>
      <c r="O154" s="8" t="s">
        <v>632</v>
      </c>
    </row>
    <row r="155" spans="14:15" x14ac:dyDescent="0.3">
      <c r="N155" s="49" t="s">
        <v>1043</v>
      </c>
      <c r="O155" s="8" t="s">
        <v>632</v>
      </c>
    </row>
    <row r="156" spans="14:15" ht="15" thickBot="1" x14ac:dyDescent="0.35">
      <c r="N156" s="49" t="s">
        <v>797</v>
      </c>
      <c r="O156" s="8" t="s">
        <v>632</v>
      </c>
    </row>
    <row r="157" spans="14:15" x14ac:dyDescent="0.3">
      <c r="N157" s="48" t="s">
        <v>451</v>
      </c>
      <c r="O157" s="8" t="s">
        <v>632</v>
      </c>
    </row>
    <row r="158" spans="14:15" x14ac:dyDescent="0.3">
      <c r="N158" s="49" t="s">
        <v>298</v>
      </c>
      <c r="O158" s="8" t="s">
        <v>632</v>
      </c>
    </row>
    <row r="159" spans="14:15" x14ac:dyDescent="0.3">
      <c r="N159" s="49" t="s">
        <v>971</v>
      </c>
      <c r="O159" s="8" t="s">
        <v>632</v>
      </c>
    </row>
    <row r="160" spans="14:15" x14ac:dyDescent="0.3">
      <c r="N160" s="49" t="s">
        <v>228</v>
      </c>
      <c r="O160" s="8" t="s">
        <v>632</v>
      </c>
    </row>
    <row r="161" spans="14:15" x14ac:dyDescent="0.3">
      <c r="N161" s="49" t="s">
        <v>670</v>
      </c>
      <c r="O161" s="8" t="s">
        <v>632</v>
      </c>
    </row>
    <row r="162" spans="14:15" x14ac:dyDescent="0.3">
      <c r="N162" s="49" t="s">
        <v>917</v>
      </c>
      <c r="O162" s="8" t="s">
        <v>632</v>
      </c>
    </row>
    <row r="163" spans="14:15" x14ac:dyDescent="0.3">
      <c r="N163" s="49" t="s">
        <v>612</v>
      </c>
      <c r="O163" s="8" t="s">
        <v>632</v>
      </c>
    </row>
    <row r="164" spans="14:15" ht="15" thickBot="1" x14ac:dyDescent="0.35">
      <c r="N164" s="50" t="s">
        <v>212</v>
      </c>
      <c r="O164" s="8" t="s">
        <v>632</v>
      </c>
    </row>
    <row r="165" spans="14:15" x14ac:dyDescent="0.3">
      <c r="N165" s="49" t="s">
        <v>775</v>
      </c>
      <c r="O165" s="8" t="s">
        <v>632</v>
      </c>
    </row>
    <row r="166" spans="14:15" x14ac:dyDescent="0.3">
      <c r="N166" s="49" t="s">
        <v>263</v>
      </c>
      <c r="O166" s="8" t="s">
        <v>632</v>
      </c>
    </row>
    <row r="167" spans="14:15" x14ac:dyDescent="0.3">
      <c r="N167" s="49" t="s">
        <v>835</v>
      </c>
      <c r="O167" s="8" t="s">
        <v>632</v>
      </c>
    </row>
    <row r="168" spans="14:15" x14ac:dyDescent="0.3">
      <c r="N168" s="49" t="s">
        <v>881</v>
      </c>
      <c r="O168" s="8" t="s">
        <v>632</v>
      </c>
    </row>
    <row r="169" spans="14:15" x14ac:dyDescent="0.3">
      <c r="N169" s="49" t="s">
        <v>254</v>
      </c>
      <c r="O169" s="8" t="s">
        <v>632</v>
      </c>
    </row>
    <row r="170" spans="14:15" x14ac:dyDescent="0.3">
      <c r="N170" s="49" t="s">
        <v>330</v>
      </c>
      <c r="O170" s="8" t="s">
        <v>632</v>
      </c>
    </row>
    <row r="171" spans="14:15" x14ac:dyDescent="0.3">
      <c r="N171" s="49" t="s">
        <v>925</v>
      </c>
      <c r="O171" s="8" t="s">
        <v>632</v>
      </c>
    </row>
    <row r="172" spans="14:15" ht="15" thickBot="1" x14ac:dyDescent="0.35">
      <c r="N172" s="49" t="s">
        <v>271</v>
      </c>
      <c r="O172" s="8" t="s">
        <v>632</v>
      </c>
    </row>
    <row r="173" spans="14:15" x14ac:dyDescent="0.3">
      <c r="N173" s="281" t="s">
        <v>776</v>
      </c>
      <c r="O173" s="8" t="s">
        <v>632</v>
      </c>
    </row>
    <row r="174" spans="14:15" x14ac:dyDescent="0.3">
      <c r="N174" s="282" t="s">
        <v>1044</v>
      </c>
      <c r="O174" s="8" t="s">
        <v>632</v>
      </c>
    </row>
    <row r="175" spans="14:15" x14ac:dyDescent="0.3">
      <c r="N175" s="282" t="s">
        <v>355</v>
      </c>
      <c r="O175" s="8" t="s">
        <v>632</v>
      </c>
    </row>
    <row r="176" spans="14:15" x14ac:dyDescent="0.3">
      <c r="N176" s="282" t="s">
        <v>565</v>
      </c>
      <c r="O176" s="8" t="s">
        <v>632</v>
      </c>
    </row>
    <row r="177" spans="14:15" x14ac:dyDescent="0.3">
      <c r="N177" s="282" t="s">
        <v>871</v>
      </c>
      <c r="O177" s="8" t="s">
        <v>632</v>
      </c>
    </row>
    <row r="178" spans="14:15" ht="15" thickBot="1" x14ac:dyDescent="0.35">
      <c r="N178" s="294" t="s">
        <v>892</v>
      </c>
      <c r="O178" s="8" t="s">
        <v>632</v>
      </c>
    </row>
    <row r="179" spans="14:15" x14ac:dyDescent="0.3">
      <c r="N179" s="48" t="s">
        <v>795</v>
      </c>
      <c r="O179" s="8" t="s">
        <v>626</v>
      </c>
    </row>
    <row r="180" spans="14:15" x14ac:dyDescent="0.3">
      <c r="N180" s="49" t="s">
        <v>748</v>
      </c>
      <c r="O180" s="8" t="s">
        <v>626</v>
      </c>
    </row>
    <row r="181" spans="14:15" ht="15" thickBot="1" x14ac:dyDescent="0.35">
      <c r="N181" s="49" t="s">
        <v>1046</v>
      </c>
      <c r="O181" s="8" t="s">
        <v>626</v>
      </c>
    </row>
    <row r="182" spans="14:15" x14ac:dyDescent="0.3">
      <c r="N182" s="48" t="s">
        <v>270</v>
      </c>
      <c r="O182" s="8" t="s">
        <v>626</v>
      </c>
    </row>
    <row r="183" spans="14:15" x14ac:dyDescent="0.3">
      <c r="N183" s="49" t="s">
        <v>828</v>
      </c>
      <c r="O183" s="8" t="s">
        <v>626</v>
      </c>
    </row>
    <row r="184" spans="14:15" x14ac:dyDescent="0.3">
      <c r="N184" s="49" t="s">
        <v>685</v>
      </c>
      <c r="O184" s="8" t="s">
        <v>626</v>
      </c>
    </row>
    <row r="185" spans="14:15" x14ac:dyDescent="0.3">
      <c r="N185" s="49" t="s">
        <v>643</v>
      </c>
      <c r="O185" s="8" t="s">
        <v>626</v>
      </c>
    </row>
    <row r="186" spans="14:15" x14ac:dyDescent="0.3">
      <c r="N186" s="49" t="s">
        <v>752</v>
      </c>
      <c r="O186" s="8" t="s">
        <v>626</v>
      </c>
    </row>
    <row r="187" spans="14:15" x14ac:dyDescent="0.3">
      <c r="N187" s="49" t="s">
        <v>619</v>
      </c>
      <c r="O187" s="8" t="s">
        <v>626</v>
      </c>
    </row>
    <row r="188" spans="14:15" x14ac:dyDescent="0.3">
      <c r="N188" s="49" t="s">
        <v>540</v>
      </c>
      <c r="O188" s="8" t="s">
        <v>626</v>
      </c>
    </row>
    <row r="189" spans="14:15" ht="15" thickBot="1" x14ac:dyDescent="0.35">
      <c r="N189" s="50" t="s">
        <v>710</v>
      </c>
      <c r="O189" s="8" t="s">
        <v>626</v>
      </c>
    </row>
    <row r="190" spans="14:15" x14ac:dyDescent="0.3">
      <c r="N190" s="49" t="s">
        <v>609</v>
      </c>
      <c r="O190" s="8" t="s">
        <v>626</v>
      </c>
    </row>
    <row r="191" spans="14:15" x14ac:dyDescent="0.3">
      <c r="N191" s="49" t="s">
        <v>606</v>
      </c>
      <c r="O191" s="8" t="s">
        <v>626</v>
      </c>
    </row>
    <row r="192" spans="14:15" x14ac:dyDescent="0.3">
      <c r="N192" s="49" t="s">
        <v>302</v>
      </c>
      <c r="O192" s="8" t="s">
        <v>626</v>
      </c>
    </row>
    <row r="193" spans="14:15" x14ac:dyDescent="0.3">
      <c r="N193" s="49" t="s">
        <v>788</v>
      </c>
      <c r="O193" s="8" t="s">
        <v>626</v>
      </c>
    </row>
    <row r="194" spans="14:15" x14ac:dyDescent="0.3">
      <c r="N194" s="49" t="s">
        <v>533</v>
      </c>
      <c r="O194" s="8" t="s">
        <v>626</v>
      </c>
    </row>
    <row r="195" spans="14:15" x14ac:dyDescent="0.3">
      <c r="N195" s="49" t="s">
        <v>837</v>
      </c>
      <c r="O195" s="8" t="s">
        <v>626</v>
      </c>
    </row>
    <row r="196" spans="14:15" x14ac:dyDescent="0.3">
      <c r="N196" s="49" t="s">
        <v>328</v>
      </c>
      <c r="O196" s="8" t="s">
        <v>626</v>
      </c>
    </row>
    <row r="197" spans="14:15" ht="15" thickBot="1" x14ac:dyDescent="0.35">
      <c r="N197" s="49" t="s">
        <v>508</v>
      </c>
      <c r="O197" s="8" t="s">
        <v>626</v>
      </c>
    </row>
    <row r="198" spans="14:15" x14ac:dyDescent="0.3">
      <c r="N198" s="281" t="s">
        <v>841</v>
      </c>
      <c r="O198" s="8" t="s">
        <v>626</v>
      </c>
    </row>
    <row r="199" spans="14:15" x14ac:dyDescent="0.3">
      <c r="N199" s="282" t="s">
        <v>870</v>
      </c>
      <c r="O199" s="8" t="s">
        <v>626</v>
      </c>
    </row>
    <row r="200" spans="14:15" x14ac:dyDescent="0.3">
      <c r="N200" s="282" t="s">
        <v>611</v>
      </c>
      <c r="O200" s="8" t="s">
        <v>626</v>
      </c>
    </row>
    <row r="201" spans="14:15" x14ac:dyDescent="0.3">
      <c r="N201" s="282" t="s">
        <v>345</v>
      </c>
      <c r="O201" s="8" t="s">
        <v>626</v>
      </c>
    </row>
    <row r="202" spans="14:15" x14ac:dyDescent="0.3">
      <c r="N202" s="282" t="s">
        <v>983</v>
      </c>
      <c r="O202" s="8" t="s">
        <v>626</v>
      </c>
    </row>
    <row r="203" spans="14:15" ht="15" thickBot="1" x14ac:dyDescent="0.35">
      <c r="N203" s="294" t="s">
        <v>823</v>
      </c>
      <c r="O203" s="8" t="s">
        <v>626</v>
      </c>
    </row>
    <row r="204" spans="14:15" x14ac:dyDescent="0.3">
      <c r="N204" s="48" t="s">
        <v>767</v>
      </c>
      <c r="O204" s="8" t="s">
        <v>625</v>
      </c>
    </row>
    <row r="205" spans="14:15" x14ac:dyDescent="0.3">
      <c r="N205" s="49" t="s">
        <v>279</v>
      </c>
      <c r="O205" s="8" t="s">
        <v>625</v>
      </c>
    </row>
    <row r="206" spans="14:15" ht="15" thickBot="1" x14ac:dyDescent="0.35">
      <c r="N206" s="49" t="s">
        <v>765</v>
      </c>
      <c r="O206" s="8" t="s">
        <v>625</v>
      </c>
    </row>
    <row r="207" spans="14:15" x14ac:dyDescent="0.3">
      <c r="N207" s="48" t="s">
        <v>566</v>
      </c>
      <c r="O207" s="8" t="s">
        <v>625</v>
      </c>
    </row>
    <row r="208" spans="14:15" x14ac:dyDescent="0.3">
      <c r="N208" s="49" t="s">
        <v>506</v>
      </c>
      <c r="O208" s="8" t="s">
        <v>625</v>
      </c>
    </row>
    <row r="209" spans="14:15" x14ac:dyDescent="0.3">
      <c r="N209" s="49" t="s">
        <v>321</v>
      </c>
      <c r="O209" s="8" t="s">
        <v>625</v>
      </c>
    </row>
    <row r="210" spans="14:15" x14ac:dyDescent="0.3">
      <c r="N210" s="49" t="s">
        <v>584</v>
      </c>
      <c r="O210" s="8" t="s">
        <v>625</v>
      </c>
    </row>
    <row r="211" spans="14:15" x14ac:dyDescent="0.3">
      <c r="N211" s="49" t="s">
        <v>938</v>
      </c>
      <c r="O211" s="8" t="s">
        <v>625</v>
      </c>
    </row>
    <row r="212" spans="14:15" x14ac:dyDescent="0.3">
      <c r="N212" s="49" t="s">
        <v>1047</v>
      </c>
      <c r="O212" s="8" t="s">
        <v>625</v>
      </c>
    </row>
    <row r="213" spans="14:15" x14ac:dyDescent="0.3">
      <c r="N213" s="49" t="s">
        <v>654</v>
      </c>
      <c r="O213" s="8" t="s">
        <v>625</v>
      </c>
    </row>
    <row r="214" spans="14:15" ht="15" thickBot="1" x14ac:dyDescent="0.35">
      <c r="N214" s="50" t="s">
        <v>1049</v>
      </c>
      <c r="O214" s="8" t="s">
        <v>625</v>
      </c>
    </row>
    <row r="215" spans="14:15" x14ac:dyDescent="0.3">
      <c r="N215" s="49" t="s">
        <v>867</v>
      </c>
      <c r="O215" s="8" t="s">
        <v>625</v>
      </c>
    </row>
    <row r="216" spans="14:15" x14ac:dyDescent="0.3">
      <c r="N216" s="49" t="s">
        <v>864</v>
      </c>
      <c r="O216" s="8" t="s">
        <v>625</v>
      </c>
    </row>
    <row r="217" spans="14:15" x14ac:dyDescent="0.3">
      <c r="N217" s="49" t="s">
        <v>640</v>
      </c>
      <c r="O217" s="8" t="s">
        <v>625</v>
      </c>
    </row>
    <row r="218" spans="14:15" x14ac:dyDescent="0.3">
      <c r="N218" s="49" t="s">
        <v>948</v>
      </c>
      <c r="O218" s="8" t="s">
        <v>625</v>
      </c>
    </row>
    <row r="219" spans="14:15" x14ac:dyDescent="0.3">
      <c r="N219" s="49" t="s">
        <v>1013</v>
      </c>
      <c r="O219" s="8" t="s">
        <v>625</v>
      </c>
    </row>
    <row r="220" spans="14:15" x14ac:dyDescent="0.3">
      <c r="N220" s="49" t="s">
        <v>352</v>
      </c>
      <c r="O220" s="8" t="s">
        <v>625</v>
      </c>
    </row>
    <row r="221" spans="14:15" x14ac:dyDescent="0.3">
      <c r="N221" s="49" t="s">
        <v>928</v>
      </c>
      <c r="O221" s="8" t="s">
        <v>625</v>
      </c>
    </row>
    <row r="222" spans="14:15" ht="15" thickBot="1" x14ac:dyDescent="0.35">
      <c r="N222" s="49" t="s">
        <v>717</v>
      </c>
      <c r="O222" s="8" t="s">
        <v>625</v>
      </c>
    </row>
    <row r="223" spans="14:15" x14ac:dyDescent="0.3">
      <c r="N223" s="281" t="s">
        <v>453</v>
      </c>
      <c r="O223" s="8" t="s">
        <v>625</v>
      </c>
    </row>
    <row r="224" spans="14:15" x14ac:dyDescent="0.3">
      <c r="N224" s="282" t="s">
        <v>256</v>
      </c>
      <c r="O224" s="8" t="s">
        <v>625</v>
      </c>
    </row>
    <row r="225" spans="14:15" x14ac:dyDescent="0.3">
      <c r="N225" s="282" t="s">
        <v>224</v>
      </c>
      <c r="O225" s="8" t="s">
        <v>625</v>
      </c>
    </row>
    <row r="226" spans="14:15" x14ac:dyDescent="0.3">
      <c r="N226" s="282" t="s">
        <v>574</v>
      </c>
      <c r="O226" s="8" t="s">
        <v>625</v>
      </c>
    </row>
    <row r="227" spans="14:15" x14ac:dyDescent="0.3">
      <c r="N227" s="282" t="s">
        <v>931</v>
      </c>
      <c r="O227" s="8" t="s">
        <v>625</v>
      </c>
    </row>
    <row r="228" spans="14:15" ht="15" thickBot="1" x14ac:dyDescent="0.35">
      <c r="N228" s="294" t="s">
        <v>539</v>
      </c>
      <c r="O228" s="8" t="s">
        <v>625</v>
      </c>
    </row>
    <row r="229" spans="14:15" x14ac:dyDescent="0.3">
      <c r="N229" s="48" t="s">
        <v>280</v>
      </c>
      <c r="O229" s="8" t="s">
        <v>627</v>
      </c>
    </row>
    <row r="230" spans="14:15" x14ac:dyDescent="0.3">
      <c r="N230" s="49" t="s">
        <v>970</v>
      </c>
      <c r="O230" s="8" t="s">
        <v>627</v>
      </c>
    </row>
    <row r="231" spans="14:15" ht="15" thickBot="1" x14ac:dyDescent="0.35">
      <c r="N231" s="49" t="s">
        <v>968</v>
      </c>
      <c r="O231" s="8" t="s">
        <v>627</v>
      </c>
    </row>
    <row r="232" spans="14:15" x14ac:dyDescent="0.3">
      <c r="N232" s="48" t="s">
        <v>768</v>
      </c>
      <c r="O232" s="8" t="s">
        <v>627</v>
      </c>
    </row>
    <row r="233" spans="14:15" x14ac:dyDescent="0.3">
      <c r="N233" s="49" t="s">
        <v>253</v>
      </c>
      <c r="O233" s="8" t="s">
        <v>627</v>
      </c>
    </row>
    <row r="234" spans="14:15" x14ac:dyDescent="0.3">
      <c r="N234" s="49" t="s">
        <v>770</v>
      </c>
      <c r="O234" s="8" t="s">
        <v>627</v>
      </c>
    </row>
    <row r="235" spans="14:15" x14ac:dyDescent="0.3">
      <c r="N235" s="49" t="s">
        <v>684</v>
      </c>
      <c r="O235" s="8" t="s">
        <v>627</v>
      </c>
    </row>
    <row r="236" spans="14:15" x14ac:dyDescent="0.3">
      <c r="N236" s="49" t="s">
        <v>769</v>
      </c>
      <c r="O236" s="8" t="s">
        <v>627</v>
      </c>
    </row>
    <row r="237" spans="14:15" x14ac:dyDescent="0.3">
      <c r="N237" s="49" t="s">
        <v>756</v>
      </c>
      <c r="O237" s="8" t="s">
        <v>627</v>
      </c>
    </row>
    <row r="238" spans="14:15" x14ac:dyDescent="0.3">
      <c r="N238" s="49" t="s">
        <v>972</v>
      </c>
      <c r="O238" s="8" t="s">
        <v>627</v>
      </c>
    </row>
    <row r="239" spans="14:15" ht="15" thickBot="1" x14ac:dyDescent="0.35">
      <c r="N239" s="50" t="s">
        <v>879</v>
      </c>
      <c r="O239" s="8" t="s">
        <v>627</v>
      </c>
    </row>
    <row r="240" spans="14:15" x14ac:dyDescent="0.3">
      <c r="N240" s="49" t="s">
        <v>303</v>
      </c>
      <c r="O240" s="8" t="s">
        <v>627</v>
      </c>
    </row>
    <row r="241" spans="14:15" x14ac:dyDescent="0.3">
      <c r="N241" s="49" t="s">
        <v>295</v>
      </c>
      <c r="O241" s="8" t="s">
        <v>627</v>
      </c>
    </row>
    <row r="242" spans="14:15" x14ac:dyDescent="0.3">
      <c r="N242" s="49" t="s">
        <v>464</v>
      </c>
      <c r="O242" s="8" t="s">
        <v>627</v>
      </c>
    </row>
    <row r="243" spans="14:15" x14ac:dyDescent="0.3">
      <c r="N243" s="49" t="s">
        <v>807</v>
      </c>
      <c r="O243" s="8" t="s">
        <v>627</v>
      </c>
    </row>
    <row r="244" spans="14:15" x14ac:dyDescent="0.3">
      <c r="N244" s="49" t="s">
        <v>884</v>
      </c>
      <c r="O244" s="8" t="s">
        <v>627</v>
      </c>
    </row>
    <row r="245" spans="14:15" x14ac:dyDescent="0.3">
      <c r="N245" s="49" t="s">
        <v>578</v>
      </c>
      <c r="O245" s="8" t="s">
        <v>627</v>
      </c>
    </row>
    <row r="246" spans="14:15" x14ac:dyDescent="0.3">
      <c r="N246" s="49" t="s">
        <v>466</v>
      </c>
      <c r="O246" s="8" t="s">
        <v>627</v>
      </c>
    </row>
    <row r="247" spans="14:15" ht="15" thickBot="1" x14ac:dyDescent="0.35">
      <c r="N247" s="49" t="s">
        <v>242</v>
      </c>
      <c r="O247" s="8" t="s">
        <v>627</v>
      </c>
    </row>
    <row r="248" spans="14:15" x14ac:dyDescent="0.3">
      <c r="N248" s="281" t="s">
        <v>260</v>
      </c>
      <c r="O248" s="8" t="s">
        <v>627</v>
      </c>
    </row>
    <row r="249" spans="14:15" x14ac:dyDescent="0.3">
      <c r="N249" s="282" t="s">
        <v>618</v>
      </c>
      <c r="O249" s="8" t="s">
        <v>627</v>
      </c>
    </row>
    <row r="250" spans="14:15" x14ac:dyDescent="0.3">
      <c r="N250" s="282" t="s">
        <v>525</v>
      </c>
      <c r="O250" s="8" t="s">
        <v>627</v>
      </c>
    </row>
    <row r="251" spans="14:15" x14ac:dyDescent="0.3">
      <c r="N251" s="282" t="s">
        <v>719</v>
      </c>
      <c r="O251" s="8" t="s">
        <v>627</v>
      </c>
    </row>
    <row r="252" spans="14:15" x14ac:dyDescent="0.3">
      <c r="N252" s="282" t="s">
        <v>1045</v>
      </c>
      <c r="O252" s="8" t="s">
        <v>627</v>
      </c>
    </row>
    <row r="253" spans="14:15" ht="15" thickBot="1" x14ac:dyDescent="0.35">
      <c r="N253" s="294" t="s">
        <v>522</v>
      </c>
      <c r="O253" s="8" t="s">
        <v>627</v>
      </c>
    </row>
  </sheetData>
  <phoneticPr fontId="5" type="noConversion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29E2F-884F-4C93-8342-238F31E2ABC0}">
  <sheetPr codeName="Foglio5">
    <tabColor rgb="FF92D050"/>
  </sheetPr>
  <dimension ref="A1:AH201"/>
  <sheetViews>
    <sheetView zoomScale="94" zoomScaleNormal="94" workbookViewId="0">
      <pane xSplit="2" topLeftCell="C1" activePane="topRight" state="frozen"/>
      <selection pane="topRight" activeCell="N13" sqref="N13"/>
    </sheetView>
  </sheetViews>
  <sheetFormatPr defaultRowHeight="14.4" x14ac:dyDescent="0.3"/>
  <cols>
    <col min="1" max="1" width="1.44140625" customWidth="1"/>
    <col min="2" max="2" width="24.6640625" customWidth="1"/>
    <col min="3" max="3" width="1.44140625" customWidth="1"/>
    <col min="4" max="4" width="4.5546875" style="8" customWidth="1"/>
    <col min="5" max="5" width="20.44140625" style="8" customWidth="1"/>
    <col min="6" max="6" width="6.5546875" style="8" customWidth="1"/>
    <col min="7" max="7" width="6.44140625" style="8" customWidth="1"/>
    <col min="8" max="8" width="6.5546875" style="8" customWidth="1"/>
    <col min="9" max="9" width="7" style="8" customWidth="1"/>
    <col min="10" max="10" width="21.33203125" style="8" customWidth="1"/>
    <col min="11" max="11" width="1.5546875" customWidth="1"/>
    <col min="12" max="12" width="17.33203125" customWidth="1"/>
    <col min="13" max="13" width="3.44140625" customWidth="1"/>
    <col min="14" max="14" width="20.6640625" customWidth="1"/>
    <col min="15" max="22" width="5.44140625" style="3" customWidth="1"/>
    <col min="23" max="23" width="9.5546875" style="3" customWidth="1"/>
    <col min="24" max="24" width="21" customWidth="1"/>
  </cols>
  <sheetData>
    <row r="1" spans="1:34" ht="7.5" customHeight="1" thickBot="1" x14ac:dyDescent="0.35">
      <c r="A1" s="71"/>
      <c r="B1" s="71"/>
      <c r="C1" s="71"/>
      <c r="D1" s="74"/>
      <c r="E1" s="74"/>
      <c r="F1" s="74"/>
      <c r="G1" s="74"/>
      <c r="H1" s="74"/>
      <c r="I1" s="74"/>
      <c r="J1" s="74"/>
      <c r="K1" s="71"/>
      <c r="L1" s="71"/>
      <c r="M1" s="71"/>
      <c r="N1" s="71"/>
      <c r="O1" s="99"/>
      <c r="P1" s="99"/>
      <c r="Q1" s="99"/>
      <c r="R1" s="99"/>
      <c r="S1" s="99"/>
      <c r="T1" s="99"/>
      <c r="U1" s="99"/>
      <c r="V1" s="99"/>
      <c r="W1" s="99"/>
      <c r="X1" s="71"/>
      <c r="Y1" s="71"/>
      <c r="Z1" s="71"/>
      <c r="AA1" s="71"/>
      <c r="AB1" s="71"/>
      <c r="AC1" s="71"/>
      <c r="AD1" s="71"/>
    </row>
    <row r="2" spans="1:34" ht="15" thickTop="1" x14ac:dyDescent="0.3">
      <c r="A2" s="71"/>
      <c r="B2" s="95"/>
      <c r="C2" s="71"/>
      <c r="D2" s="439" t="s">
        <v>39</v>
      </c>
      <c r="E2" s="440"/>
      <c r="F2" s="440"/>
      <c r="G2" s="440"/>
      <c r="H2" s="440"/>
      <c r="I2" s="440"/>
      <c r="J2" s="441"/>
      <c r="K2" s="71"/>
      <c r="L2" s="71"/>
      <c r="Y2" s="71"/>
      <c r="Z2" s="71"/>
      <c r="AA2" s="71"/>
      <c r="AB2" s="71"/>
      <c r="AC2" s="71"/>
      <c r="AD2" s="71"/>
      <c r="AE2" s="71"/>
      <c r="AF2" s="71"/>
      <c r="AG2" s="71"/>
      <c r="AH2" s="71"/>
    </row>
    <row r="3" spans="1:34" ht="35.25" customHeight="1" thickBot="1" x14ac:dyDescent="0.35">
      <c r="A3" s="71"/>
      <c r="B3" s="96"/>
      <c r="C3" s="71"/>
      <c r="D3" s="442"/>
      <c r="E3" s="443"/>
      <c r="F3" s="443"/>
      <c r="G3" s="443"/>
      <c r="H3" s="443"/>
      <c r="I3" s="443"/>
      <c r="J3" s="444"/>
      <c r="K3" s="71"/>
      <c r="L3" s="71"/>
      <c r="Y3" s="71"/>
      <c r="Z3" s="71"/>
      <c r="AA3" s="71"/>
      <c r="AB3" s="71"/>
      <c r="AC3" s="71"/>
      <c r="AD3" s="71"/>
      <c r="AE3" s="71"/>
      <c r="AF3" s="71"/>
      <c r="AG3" s="71"/>
      <c r="AH3" s="71"/>
    </row>
    <row r="4" spans="1:34" ht="5.25" customHeight="1" thickTop="1" thickBot="1" x14ac:dyDescent="0.35">
      <c r="A4" s="71"/>
      <c r="B4" s="96"/>
      <c r="C4" s="71"/>
      <c r="D4" s="74"/>
      <c r="E4" s="74"/>
      <c r="F4" s="74"/>
      <c r="G4" s="74"/>
      <c r="H4" s="74"/>
      <c r="I4" s="74"/>
      <c r="J4" s="74"/>
      <c r="K4" s="71"/>
      <c r="L4" s="71"/>
      <c r="Y4" s="71"/>
      <c r="Z4" s="71"/>
      <c r="AA4" s="71"/>
      <c r="AB4" s="71"/>
      <c r="AC4" s="71"/>
      <c r="AD4" s="71"/>
      <c r="AE4" s="71"/>
      <c r="AF4" s="71"/>
      <c r="AG4" s="71"/>
      <c r="AH4" s="71"/>
    </row>
    <row r="5" spans="1:34" ht="30.75" customHeight="1" thickTop="1" thickBot="1" x14ac:dyDescent="0.35">
      <c r="A5" s="71"/>
      <c r="B5" s="97"/>
      <c r="C5" s="73"/>
      <c r="D5" s="105" t="s">
        <v>2</v>
      </c>
      <c r="E5" s="105" t="s">
        <v>40</v>
      </c>
      <c r="F5" s="105" t="s">
        <v>41</v>
      </c>
      <c r="G5" s="105" t="s">
        <v>42</v>
      </c>
      <c r="H5" s="105" t="s">
        <v>43</v>
      </c>
      <c r="I5" s="105" t="s">
        <v>44</v>
      </c>
      <c r="J5" s="105" t="s">
        <v>45</v>
      </c>
      <c r="K5" s="71"/>
      <c r="L5" s="71"/>
      <c r="N5" t="s">
        <v>46</v>
      </c>
      <c r="Y5" s="71"/>
      <c r="Z5" s="71"/>
      <c r="AA5" s="71"/>
      <c r="AB5" s="71"/>
      <c r="AC5" s="71"/>
      <c r="AD5" s="71"/>
      <c r="AE5" s="71"/>
      <c r="AF5" s="71"/>
    </row>
    <row r="6" spans="1:34" ht="15.6" thickTop="1" thickBot="1" x14ac:dyDescent="0.35">
      <c r="A6" s="71"/>
      <c r="B6" s="97"/>
      <c r="C6" s="73"/>
      <c r="D6" s="126">
        <v>1</v>
      </c>
      <c r="E6" s="198" t="s">
        <v>632</v>
      </c>
      <c r="F6" s="106" cm="1">
        <f t="array" ref="F6">_xlfn.XLOOKUP(CONCATENATE(D6,E6),'Base dati fantasquadre'!$A$2:$A$211,Tabella3[Pt Tot],"")</f>
        <v>70.5</v>
      </c>
      <c r="G6" s="107">
        <f>_xlfn.IFNA(VLOOKUP(F6,'Base dati fantasquadre'!$AH$32:$AI$40,2,TRUE),"")</f>
        <v>1</v>
      </c>
      <c r="H6" s="107">
        <f>_xlfn.IFNA(VLOOKUP(I6,'Base dati fantasquadre'!$AH$32:$AI$40,2,TRUE),"")</f>
        <v>4</v>
      </c>
      <c r="I6" s="106" cm="1">
        <f t="array" ref="I6">_xlfn.XLOOKUP(CONCATENATE(D6,J6),'Base dati fantasquadre'!$A$2:$A$211,Tabella3[Pt Tot],"")</f>
        <v>84</v>
      </c>
      <c r="J6" s="108" t="s">
        <v>477</v>
      </c>
      <c r="K6" s="71"/>
      <c r="L6" s="71">
        <v>0</v>
      </c>
      <c r="N6" s="16" t="s">
        <v>1</v>
      </c>
      <c r="O6" s="18" t="s">
        <v>2</v>
      </c>
      <c r="P6" s="19" t="s">
        <v>3</v>
      </c>
      <c r="Q6" s="20" t="s">
        <v>4</v>
      </c>
      <c r="R6" s="21" t="s">
        <v>5</v>
      </c>
      <c r="S6" s="19" t="s">
        <v>6</v>
      </c>
      <c r="T6" s="20" t="s">
        <v>7</v>
      </c>
      <c r="U6" s="22" t="s">
        <v>8</v>
      </c>
      <c r="V6" s="23" t="s">
        <v>9</v>
      </c>
      <c r="W6" s="24" t="s">
        <v>10</v>
      </c>
      <c r="X6" s="17" t="s">
        <v>47</v>
      </c>
      <c r="Y6" s="71"/>
      <c r="Z6" s="71"/>
      <c r="AA6" s="71"/>
      <c r="AB6" s="71"/>
      <c r="AC6" s="71"/>
      <c r="AD6" s="71"/>
      <c r="AE6" s="71"/>
      <c r="AF6" s="71"/>
    </row>
    <row r="7" spans="1:34" ht="15.6" thickTop="1" thickBot="1" x14ac:dyDescent="0.35">
      <c r="A7" s="71"/>
      <c r="B7" s="97"/>
      <c r="C7" s="73"/>
      <c r="D7" s="127">
        <v>1</v>
      </c>
      <c r="E7" s="132" t="s">
        <v>625</v>
      </c>
      <c r="F7" s="106" cm="1">
        <f t="array" ref="F7">_xlfn.XLOOKUP(CONCATENATE(D7,E7),'Base dati fantasquadre'!$A$2:$A$211,Tabella3[Pt Tot],"")</f>
        <v>78</v>
      </c>
      <c r="G7" s="107">
        <f>_xlfn.IFNA(VLOOKUP(F7,'Base dati fantasquadre'!$AH$32:$AI$40,2,TRUE),"")</f>
        <v>3</v>
      </c>
      <c r="H7" s="107">
        <f>_xlfn.IFNA(VLOOKUP(I7,'Base dati fantasquadre'!$AH$32:$AI$40,2,TRUE),"")</f>
        <v>2</v>
      </c>
      <c r="I7" s="106" cm="1">
        <f t="array" ref="I7">_xlfn.XLOOKUP(CONCATENATE(D7,J7),'Base dati fantasquadre'!$A$2:$A$211,Tabella3[Pt Tot],"")</f>
        <v>73.5</v>
      </c>
      <c r="J7" s="110" t="s">
        <v>630</v>
      </c>
      <c r="K7" s="71"/>
      <c r="L7" s="71"/>
      <c r="M7">
        <v>1</v>
      </c>
      <c r="N7" s="17" t="s">
        <v>1018</v>
      </c>
      <c r="O7" s="25">
        <f t="shared" ref="O7:O12" si="0">SUM(P7:R7)</f>
        <v>2</v>
      </c>
      <c r="P7" s="25">
        <f t="shared" ref="P7:P12" si="1">SUMPRODUCT(--(SQ_C=N7),--(RIS_C&gt;RIS_F))+(SUMPRODUCT(--(SQ_F=N7),--(RIS_F&gt;RIS_C)))</f>
        <v>2</v>
      </c>
      <c r="Q7" s="25">
        <f t="shared" ref="Q7:Q12" si="2">SUMPRODUCT(--(SQ_C=N7),--(RIS_C=RIS_F),--(RIS_C&lt;&gt;""))+(SUMPRODUCT(--(SQ_F=N7),--(RIS_F=RIS_C),--(RIS_F&lt;&gt;"")))</f>
        <v>0</v>
      </c>
      <c r="R7" s="25">
        <f t="shared" ref="R7:R12" si="3">SUMPRODUCT(--(SQ_C=N7),--(RIS_C&lt;RIS_F))+(SUMPRODUCT(--(SQ_F=N7),--(RIS_F&lt;RIS_C)))</f>
        <v>0</v>
      </c>
      <c r="S7" s="25">
        <f t="shared" ref="S7:S12" si="4">SUMIFS(RIS_C,SQ_C,N7)+SUMIFS(RIS_F,SQ_F,N7)</f>
        <v>6</v>
      </c>
      <c r="T7" s="25">
        <f t="shared" ref="T7:T12" si="5">SUMIFS(RIS_F,SQ_C,N7)+SUMIFS(RIS_C,SQ_F,N7)</f>
        <v>1</v>
      </c>
      <c r="U7" s="25">
        <f t="shared" ref="U7:U12" si="6">SUM(S7-T7)</f>
        <v>5</v>
      </c>
      <c r="V7" s="26">
        <f t="shared" ref="V7:V12" si="7">P7*3+Q7</f>
        <v>6</v>
      </c>
      <c r="W7" s="28">
        <f t="shared" ref="W7:W12" si="8">SUMIFS(PT1_,SQ_C,N7)+SUMIFS(PT2_,SQ_F,N7)</f>
        <v>158</v>
      </c>
      <c r="X7" s="17">
        <f t="shared" ref="X7:X12" si="9">V7+(U7/1000)+(S7/10000000)</f>
        <v>6.0050005999999998</v>
      </c>
      <c r="Y7" s="71"/>
      <c r="Z7" s="71"/>
      <c r="AA7" s="71"/>
      <c r="AB7" s="71"/>
      <c r="AC7" s="71"/>
      <c r="AD7" s="71"/>
      <c r="AE7" s="71"/>
      <c r="AF7" s="71"/>
    </row>
    <row r="8" spans="1:34" ht="15.6" thickTop="1" thickBot="1" x14ac:dyDescent="0.35">
      <c r="A8" s="71"/>
      <c r="B8" s="97"/>
      <c r="C8" s="73"/>
      <c r="D8" s="129">
        <v>1</v>
      </c>
      <c r="E8" s="132" t="s">
        <v>628</v>
      </c>
      <c r="F8" s="106" cm="1">
        <f t="array" ref="F8">_xlfn.XLOOKUP(CONCATENATE(D8,E8),'Base dati fantasquadre'!$A$2:$A$211,Tabella3[Pt Tot],"")</f>
        <v>80.5</v>
      </c>
      <c r="G8" s="107">
        <f>_xlfn.IFNA(VLOOKUP(F8,'Base dati fantasquadre'!$AH$32:$AI$40,2,TRUE),"")</f>
        <v>3</v>
      </c>
      <c r="H8" s="107">
        <f>_xlfn.IFNA(VLOOKUP(I8,'Base dati fantasquadre'!$AH$32:$AI$40,2,TRUE),"")</f>
        <v>1</v>
      </c>
      <c r="I8" s="106" cm="1">
        <f t="array" ref="I8">_xlfn.XLOOKUP(CONCATENATE(D8,J8),'Base dati fantasquadre'!$A$2:$A$211,Tabella3[Pt Tot],"")</f>
        <v>68.5</v>
      </c>
      <c r="J8" s="110" t="s">
        <v>627</v>
      </c>
      <c r="K8" s="71"/>
      <c r="L8" s="71"/>
      <c r="M8">
        <v>2</v>
      </c>
      <c r="N8" s="17" t="s">
        <v>477</v>
      </c>
      <c r="O8" s="25">
        <f t="shared" si="0"/>
        <v>2</v>
      </c>
      <c r="P8" s="25">
        <f t="shared" si="1"/>
        <v>2</v>
      </c>
      <c r="Q8" s="25">
        <f t="shared" si="2"/>
        <v>0</v>
      </c>
      <c r="R8" s="25">
        <f t="shared" si="3"/>
        <v>0</v>
      </c>
      <c r="S8" s="25">
        <f t="shared" si="4"/>
        <v>6</v>
      </c>
      <c r="T8" s="25">
        <f t="shared" si="5"/>
        <v>1</v>
      </c>
      <c r="U8" s="25">
        <f t="shared" si="6"/>
        <v>5</v>
      </c>
      <c r="V8" s="26">
        <f t="shared" si="7"/>
        <v>6</v>
      </c>
      <c r="W8" s="28">
        <f t="shared" si="8"/>
        <v>156</v>
      </c>
      <c r="X8" s="17">
        <f t="shared" si="9"/>
        <v>6.0050005999999998</v>
      </c>
      <c r="Y8" s="71"/>
      <c r="Z8" s="71"/>
      <c r="AA8" s="71"/>
      <c r="AB8" s="71"/>
      <c r="AC8" s="71"/>
      <c r="AD8" s="71"/>
      <c r="AE8" s="71"/>
      <c r="AF8" s="71"/>
    </row>
    <row r="9" spans="1:34" ht="15.6" thickTop="1" thickBot="1" x14ac:dyDescent="0.35">
      <c r="A9" s="71"/>
      <c r="B9" s="97"/>
      <c r="C9" s="73"/>
      <c r="D9" s="126">
        <v>1</v>
      </c>
      <c r="E9" s="111" t="s">
        <v>629</v>
      </c>
      <c r="F9" s="106" cm="1">
        <f t="array" ref="F9">_xlfn.XLOOKUP(CONCATENATE(D9,E9),'Base dati fantasquadre'!$A$2:$A$211,Tabella3[Pt Tot],"")</f>
        <v>76</v>
      </c>
      <c r="G9" s="107">
        <f>_xlfn.IFNA(VLOOKUP(F9,'Base dati fantasquadre'!$AH$32:$AI$40,2,TRUE),"")</f>
        <v>2</v>
      </c>
      <c r="H9" s="107">
        <f>_xlfn.IFNA(VLOOKUP(I9,'Base dati fantasquadre'!$AH$32:$AI$40,2,TRUE),"")</f>
        <v>1</v>
      </c>
      <c r="I9" s="106" cm="1">
        <f t="array" ref="I9">_xlfn.XLOOKUP(CONCATENATE(D9,J9),'Base dati fantasquadre'!$A$2:$A$211,Tabella3[Pt Tot],"")</f>
        <v>69.5</v>
      </c>
      <c r="J9" s="112" t="s">
        <v>626</v>
      </c>
      <c r="K9" s="71"/>
      <c r="L9" s="71"/>
      <c r="M9">
        <v>3</v>
      </c>
      <c r="N9" s="17" t="s">
        <v>629</v>
      </c>
      <c r="O9" s="25">
        <f t="shared" si="0"/>
        <v>2</v>
      </c>
      <c r="P9" s="25">
        <f t="shared" si="1"/>
        <v>2</v>
      </c>
      <c r="Q9" s="25">
        <f t="shared" si="2"/>
        <v>0</v>
      </c>
      <c r="R9" s="25">
        <f t="shared" si="3"/>
        <v>0</v>
      </c>
      <c r="S9" s="25">
        <f t="shared" si="4"/>
        <v>6</v>
      </c>
      <c r="T9" s="25">
        <f t="shared" si="5"/>
        <v>3</v>
      </c>
      <c r="U9" s="25">
        <f t="shared" si="6"/>
        <v>3</v>
      </c>
      <c r="V9" s="26">
        <f t="shared" si="7"/>
        <v>6</v>
      </c>
      <c r="W9" s="28">
        <f t="shared" si="8"/>
        <v>161</v>
      </c>
      <c r="X9" s="17">
        <f t="shared" si="9"/>
        <v>6.0030006</v>
      </c>
      <c r="Y9" s="71"/>
      <c r="Z9" s="71"/>
      <c r="AA9" s="71"/>
      <c r="AB9" s="71"/>
      <c r="AC9" s="71"/>
      <c r="AD9" s="71"/>
      <c r="AE9" s="71"/>
      <c r="AF9" s="71"/>
    </row>
    <row r="10" spans="1:34" ht="15.6" thickTop="1" thickBot="1" x14ac:dyDescent="0.35">
      <c r="A10" s="71"/>
      <c r="B10" s="97"/>
      <c r="C10" s="73"/>
      <c r="D10" s="127">
        <v>1</v>
      </c>
      <c r="E10" s="392" t="s">
        <v>603</v>
      </c>
      <c r="F10" s="393" cm="1">
        <f t="array" ref="F10">_xlfn.XLOOKUP(CONCATENATE(D10,E10),'Base dati fantasquadre'!$A$2:$A$211,Tabella3[Pt Tot],"")</f>
        <v>69</v>
      </c>
      <c r="G10" s="393">
        <f>_xlfn.IFNA(VLOOKUP(F10,'Base dati fantasquadre'!$AH$32:$AI$40,2,TRUE),"")</f>
        <v>1</v>
      </c>
      <c r="H10" s="393">
        <f>_xlfn.IFNA(VLOOKUP(I10,'Base dati fantasquadre'!$AH$32:$AI$40,2,TRUE),"")</f>
        <v>4</v>
      </c>
      <c r="I10" s="393" cm="1">
        <f t="array" ref="I10">_xlfn.XLOOKUP(CONCATENATE(D10,J10),'Base dati fantasquadre'!$A$2:$A$211,Tabella3[Pt Tot],"")</f>
        <v>86</v>
      </c>
      <c r="J10" s="394" t="s">
        <v>1018</v>
      </c>
      <c r="K10" s="71"/>
      <c r="L10" s="71"/>
      <c r="M10">
        <v>4</v>
      </c>
      <c r="N10" s="17" t="s">
        <v>603</v>
      </c>
      <c r="O10" s="25">
        <f t="shared" si="0"/>
        <v>2</v>
      </c>
      <c r="P10" s="25">
        <f t="shared" si="1"/>
        <v>1</v>
      </c>
      <c r="Q10" s="25">
        <f t="shared" si="2"/>
        <v>0</v>
      </c>
      <c r="R10" s="25">
        <f t="shared" si="3"/>
        <v>1</v>
      </c>
      <c r="S10" s="25">
        <f t="shared" si="4"/>
        <v>2</v>
      </c>
      <c r="T10" s="25">
        <f t="shared" si="5"/>
        <v>4</v>
      </c>
      <c r="U10" s="25">
        <f t="shared" si="6"/>
        <v>-2</v>
      </c>
      <c r="V10" s="26">
        <f t="shared" si="7"/>
        <v>3</v>
      </c>
      <c r="W10" s="28">
        <f t="shared" si="8"/>
        <v>137</v>
      </c>
      <c r="X10" s="17">
        <f t="shared" si="9"/>
        <v>2.9980002000000003</v>
      </c>
      <c r="Y10" s="71"/>
      <c r="Z10" s="71"/>
      <c r="AA10" s="71"/>
      <c r="AB10" s="71"/>
      <c r="AC10" s="71"/>
      <c r="AD10" s="71"/>
      <c r="AE10" s="71"/>
      <c r="AF10" s="71"/>
    </row>
    <row r="11" spans="1:34" ht="15.6" thickTop="1" thickBot="1" x14ac:dyDescent="0.35">
      <c r="A11" s="71"/>
      <c r="B11" s="97"/>
      <c r="C11" s="73"/>
      <c r="D11" s="128">
        <v>2</v>
      </c>
      <c r="E11" s="133" t="s">
        <v>477</v>
      </c>
      <c r="F11" s="106" cm="1">
        <f t="array" ref="F11">_xlfn.XLOOKUP(CONCATENATE(D11,E11),'Base dati fantasquadre'!$A$2:$A$211,Tabella3[Pt Tot],"")</f>
        <v>72</v>
      </c>
      <c r="G11" s="107">
        <f>_xlfn.IFNA(VLOOKUP(F11,'Base dati fantasquadre'!$AH$32:$AI$40,2,TRUE),"")</f>
        <v>2</v>
      </c>
      <c r="H11" s="107">
        <f>_xlfn.IFNA(VLOOKUP(I11,'Base dati fantasquadre'!$AH$32:$AI$40,2,TRUE),"")</f>
        <v>0</v>
      </c>
      <c r="I11" s="106" cm="1">
        <f t="array" ref="I11">_xlfn.XLOOKUP(CONCATENATE(D11,J11),'Base dati fantasquadre'!$A$2:$A$211,Tabella3[Pt Tot],"")</f>
        <v>62.5</v>
      </c>
      <c r="J11" s="111" t="s">
        <v>628</v>
      </c>
      <c r="K11" s="71"/>
      <c r="L11" s="71"/>
      <c r="M11">
        <v>5</v>
      </c>
      <c r="N11" s="17" t="s">
        <v>630</v>
      </c>
      <c r="O11" s="25">
        <f t="shared" si="0"/>
        <v>2</v>
      </c>
      <c r="P11" s="25">
        <f t="shared" si="1"/>
        <v>0</v>
      </c>
      <c r="Q11" s="25">
        <f t="shared" si="2"/>
        <v>0</v>
      </c>
      <c r="R11" s="25">
        <f t="shared" si="3"/>
        <v>2</v>
      </c>
      <c r="S11" s="25">
        <f t="shared" si="4"/>
        <v>3</v>
      </c>
      <c r="T11" s="25">
        <f t="shared" si="5"/>
        <v>7</v>
      </c>
      <c r="U11" s="25">
        <f t="shared" si="6"/>
        <v>-4</v>
      </c>
      <c r="V11" s="26">
        <f t="shared" si="7"/>
        <v>0</v>
      </c>
      <c r="W11" s="28">
        <f t="shared" si="8"/>
        <v>145</v>
      </c>
      <c r="X11" s="17">
        <f t="shared" si="9"/>
        <v>-3.9997000000000001E-3</v>
      </c>
      <c r="Y11" s="71"/>
      <c r="Z11" s="71"/>
      <c r="AA11" s="71"/>
      <c r="AB11" s="71"/>
      <c r="AC11" s="71"/>
      <c r="AD11" s="71"/>
      <c r="AE11" s="71"/>
      <c r="AF11" s="71"/>
    </row>
    <row r="12" spans="1:34" ht="15.6" thickTop="1" thickBot="1" x14ac:dyDescent="0.35">
      <c r="A12" s="71"/>
      <c r="B12" s="97"/>
      <c r="C12" s="73"/>
      <c r="D12" s="130">
        <v>2</v>
      </c>
      <c r="E12" s="133" t="s">
        <v>627</v>
      </c>
      <c r="F12" s="106" cm="1">
        <f t="array" ref="F12">_xlfn.XLOOKUP(CONCATENATE(D12,E12),'Base dati fantasquadre'!$A$2:$A$211,Tabella3[Pt Tot],"")</f>
        <v>76</v>
      </c>
      <c r="G12" s="107">
        <f>_xlfn.IFNA(VLOOKUP(F12,'Base dati fantasquadre'!$AH$32:$AI$40,2,TRUE),"")</f>
        <v>2</v>
      </c>
      <c r="H12" s="107">
        <f>_xlfn.IFNA(VLOOKUP(I12,'Base dati fantasquadre'!$AH$32:$AI$40,2,TRUE),"")</f>
        <v>4</v>
      </c>
      <c r="I12" s="106" cm="1">
        <f t="array" ref="I12">_xlfn.XLOOKUP(CONCATENATE(D12,J12),'Base dati fantasquadre'!$A$2:$A$211,Tabella3[Pt Tot],"")</f>
        <v>85</v>
      </c>
      <c r="J12" s="111" t="s">
        <v>629</v>
      </c>
      <c r="K12" s="71"/>
      <c r="L12" s="71"/>
      <c r="M12">
        <v>6</v>
      </c>
      <c r="N12" s="17" t="s">
        <v>628</v>
      </c>
      <c r="O12" s="25">
        <f t="shared" si="0"/>
        <v>2</v>
      </c>
      <c r="P12" s="25">
        <f t="shared" si="1"/>
        <v>1</v>
      </c>
      <c r="Q12" s="25">
        <f t="shared" si="2"/>
        <v>0</v>
      </c>
      <c r="R12" s="25">
        <f t="shared" si="3"/>
        <v>1</v>
      </c>
      <c r="S12" s="25">
        <f t="shared" si="4"/>
        <v>3</v>
      </c>
      <c r="T12" s="25">
        <f t="shared" si="5"/>
        <v>3</v>
      </c>
      <c r="U12" s="25">
        <f t="shared" si="6"/>
        <v>0</v>
      </c>
      <c r="V12" s="26">
        <f t="shared" si="7"/>
        <v>3</v>
      </c>
      <c r="W12" s="28">
        <f t="shared" si="8"/>
        <v>143</v>
      </c>
      <c r="X12" s="17">
        <f t="shared" si="9"/>
        <v>3.0000003</v>
      </c>
      <c r="Y12" s="71"/>
      <c r="Z12" s="71"/>
      <c r="AA12" s="71"/>
      <c r="AB12" s="71"/>
      <c r="AC12" s="71"/>
      <c r="AD12" s="71"/>
      <c r="AE12" s="71"/>
      <c r="AF12" s="71"/>
    </row>
    <row r="13" spans="1:34" ht="15.6" thickTop="1" thickBot="1" x14ac:dyDescent="0.35">
      <c r="A13" s="71"/>
      <c r="B13" s="97"/>
      <c r="C13" s="73"/>
      <c r="D13" s="127">
        <v>2</v>
      </c>
      <c r="E13" s="133" t="s">
        <v>626</v>
      </c>
      <c r="F13" s="106" cm="1">
        <f t="array" ref="F13">_xlfn.XLOOKUP(CONCATENATE(D13,E13),'Base dati fantasquadre'!$A$2:$A$211,Tabella3[Pt Tot],"")</f>
        <v>63.5</v>
      </c>
      <c r="G13" s="107">
        <f>_xlfn.IFNA(VLOOKUP(F13,'Base dati fantasquadre'!$AH$32:$AI$40,2,TRUE),"")</f>
        <v>0</v>
      </c>
      <c r="H13" s="107">
        <f>_xlfn.IFNA(VLOOKUP(I13,'Base dati fantasquadre'!$AH$32:$AI$40,2,TRUE),"")</f>
        <v>1</v>
      </c>
      <c r="I13" s="106" cm="1">
        <f t="array" ref="I13">_xlfn.XLOOKUP(CONCATENATE(D13,J13),'Base dati fantasquadre'!$A$2:$A$211,Tabella3[Pt Tot],"")</f>
        <v>68</v>
      </c>
      <c r="J13" s="111" t="s">
        <v>603</v>
      </c>
      <c r="K13" s="71"/>
      <c r="L13" s="71"/>
      <c r="M13">
        <v>7</v>
      </c>
      <c r="N13" s="17" t="s">
        <v>627</v>
      </c>
      <c r="O13" s="25">
        <f>SUM(P13:R13)</f>
        <v>2</v>
      </c>
      <c r="P13" s="25">
        <f>SUMPRODUCT(--(SQ_C=N13),--(RIS_C&gt;RIS_F))+(SUMPRODUCT(--(SQ_F=N13),--(RIS_F&gt;RIS_C)))</f>
        <v>0</v>
      </c>
      <c r="Q13" s="25">
        <f>SUMPRODUCT(--(SQ_C=N13),--(RIS_C=RIS_F),--(RIS_C&lt;&gt;""))+(SUMPRODUCT(--(SQ_F=N13),--(RIS_F=RIS_C),--(RIS_F&lt;&gt;"")))</f>
        <v>0</v>
      </c>
      <c r="R13" s="25">
        <f>SUMPRODUCT(--(SQ_C=N13),--(RIS_C&lt;RIS_F))+(SUMPRODUCT(--(SQ_F=N13),--(RIS_F&lt;RIS_C)))</f>
        <v>2</v>
      </c>
      <c r="S13" s="25">
        <f>SUMIFS(RIS_C,SQ_C,N13)+SUMIFS(RIS_F,SQ_F,N13)</f>
        <v>3</v>
      </c>
      <c r="T13" s="25">
        <f>SUMIFS(RIS_F,SQ_C,N13)+SUMIFS(RIS_C,SQ_F,N13)</f>
        <v>7</v>
      </c>
      <c r="U13" s="25">
        <f>SUM(S13-T13)</f>
        <v>-4</v>
      </c>
      <c r="V13" s="26">
        <f>P13*3+Q13</f>
        <v>0</v>
      </c>
      <c r="W13" s="28">
        <f>SUMIFS(PT1_,SQ_C,N13)+SUMIFS(PT2_,SQ_F,N13)</f>
        <v>144.5</v>
      </c>
      <c r="X13" s="17">
        <f>V13+(U13/1000)+(S13/10000000)</f>
        <v>-3.9997000000000001E-3</v>
      </c>
      <c r="Y13" s="71"/>
      <c r="Z13" s="71"/>
      <c r="AA13" s="71"/>
      <c r="AB13" s="71"/>
      <c r="AC13" s="71"/>
      <c r="AD13" s="71"/>
      <c r="AE13" s="71"/>
      <c r="AF13" s="71"/>
    </row>
    <row r="14" spans="1:34" ht="15.6" thickTop="1" thickBot="1" x14ac:dyDescent="0.35">
      <c r="A14" s="71"/>
      <c r="B14" s="97"/>
      <c r="C14" s="73"/>
      <c r="D14" s="129">
        <v>2</v>
      </c>
      <c r="E14" s="133" t="s">
        <v>630</v>
      </c>
      <c r="F14" s="106" cm="1">
        <f t="array" ref="F14">_xlfn.XLOOKUP(CONCATENATE(D14,E14),'Base dati fantasquadre'!$A$2:$A$211,Tabella3[Pt Tot],"")</f>
        <v>71.5</v>
      </c>
      <c r="G14" s="107">
        <f>_xlfn.IFNA(VLOOKUP(F14,'Base dati fantasquadre'!$AH$32:$AI$40,2,TRUE),"")</f>
        <v>1</v>
      </c>
      <c r="H14" s="107">
        <f>_xlfn.IFNA(VLOOKUP(I14,'Base dati fantasquadre'!$AH$32:$AI$40,2,TRUE),"")</f>
        <v>4</v>
      </c>
      <c r="I14" s="106" cm="1">
        <f t="array" ref="I14">_xlfn.XLOOKUP(CONCATENATE(D14,J14),'Base dati fantasquadre'!$A$2:$A$211,Tabella3[Pt Tot],"")</f>
        <v>85</v>
      </c>
      <c r="J14" s="111" t="s">
        <v>632</v>
      </c>
      <c r="K14" s="71"/>
      <c r="L14" s="71"/>
      <c r="M14">
        <v>8</v>
      </c>
      <c r="N14" s="319" t="s">
        <v>632</v>
      </c>
      <c r="O14" s="25">
        <f>SUM(P14:R14)</f>
        <v>2</v>
      </c>
      <c r="P14" s="25">
        <f>SUMPRODUCT(--(SQ_C=N14),--(RIS_C&gt;RIS_F))+(SUMPRODUCT(--(SQ_F=N14),--(RIS_F&gt;RIS_C)))</f>
        <v>1</v>
      </c>
      <c r="Q14" s="25">
        <f>SUMPRODUCT(--(SQ_C=N14),--(RIS_C=RIS_F),--(RIS_C&lt;&gt;""))+(SUMPRODUCT(--(SQ_F=N14),--(RIS_F=RIS_C),--(RIS_F&lt;&gt;"")))</f>
        <v>0</v>
      </c>
      <c r="R14" s="25">
        <f>SUMPRODUCT(--(SQ_C=N14),--(RIS_C&lt;RIS_F))+(SUMPRODUCT(--(SQ_F=N14),--(RIS_F&lt;RIS_C)))</f>
        <v>1</v>
      </c>
      <c r="S14" s="25">
        <f>SUMIFS(RIS_C,SQ_C,N14)+SUMIFS(RIS_F,SQ_F,N14)</f>
        <v>5</v>
      </c>
      <c r="T14" s="25">
        <f>SUMIFS(RIS_F,SQ_C,N14)+SUMIFS(RIS_C,SQ_F,N14)</f>
        <v>5</v>
      </c>
      <c r="U14" s="25">
        <f>SUM(S14-T14)</f>
        <v>0</v>
      </c>
      <c r="V14" s="26">
        <f>P14*3+Q14</f>
        <v>3</v>
      </c>
      <c r="W14" s="28">
        <f>SUMIFS(PT1_,SQ_C,N14)+SUMIFS(PT2_,SQ_F,N14)</f>
        <v>155.5</v>
      </c>
      <c r="X14" s="17">
        <f>V14+(U14/1000)+(S14/10000000)</f>
        <v>3.0000005000000001</v>
      </c>
      <c r="Y14" s="71"/>
      <c r="Z14" s="71"/>
      <c r="AA14" s="71"/>
      <c r="AB14" s="71"/>
      <c r="AC14" s="71"/>
      <c r="AD14" s="71"/>
      <c r="AE14" s="71"/>
      <c r="AF14" s="71"/>
    </row>
    <row r="15" spans="1:34" ht="15.6" thickTop="1" thickBot="1" x14ac:dyDescent="0.35">
      <c r="A15" s="71"/>
      <c r="B15" s="97"/>
      <c r="C15" s="73"/>
      <c r="D15" s="126">
        <v>2</v>
      </c>
      <c r="E15" s="410" t="s">
        <v>1018</v>
      </c>
      <c r="F15" s="393" cm="1">
        <f t="array" ref="F15">_xlfn.XLOOKUP(CONCATENATE(D15,E15),'Base dati fantasquadre'!$A$2:$A$211,Tabella3[Pt Tot],"")</f>
        <v>72</v>
      </c>
      <c r="G15" s="393">
        <f>_xlfn.IFNA(VLOOKUP(F15,'Base dati fantasquadre'!$AH$32:$AI$40,2,TRUE),"")</f>
        <v>2</v>
      </c>
      <c r="H15" s="393">
        <f>_xlfn.IFNA(VLOOKUP(I15,'Base dati fantasquadre'!$AH$32:$AI$40,2,TRUE),"")</f>
        <v>0</v>
      </c>
      <c r="I15" s="393" cm="1">
        <f t="array" ref="I15">_xlfn.XLOOKUP(CONCATENATE(D15,J15),'Base dati fantasquadre'!$A$2:$A$211,Tabella3[Pt Tot],"")</f>
        <v>65</v>
      </c>
      <c r="J15" s="411" t="s">
        <v>625</v>
      </c>
      <c r="K15" s="71"/>
      <c r="L15" s="71"/>
      <c r="M15">
        <v>9</v>
      </c>
      <c r="N15" s="319" t="s">
        <v>626</v>
      </c>
      <c r="O15" s="25">
        <f>SUM(P15:R15)</f>
        <v>2</v>
      </c>
      <c r="P15" s="25">
        <f>SUMPRODUCT(--(SQ_C=N15),--(RIS_C&gt;RIS_F))+(SUMPRODUCT(--(SQ_F=N15),--(RIS_F&gt;RIS_C)))</f>
        <v>0</v>
      </c>
      <c r="Q15" s="25">
        <f>SUMPRODUCT(--(SQ_C=N15),--(RIS_C=RIS_F),--(RIS_C&lt;&gt;""))+(SUMPRODUCT(--(SQ_F=N15),--(RIS_F=RIS_C),--(RIS_F&lt;&gt;"")))</f>
        <v>0</v>
      </c>
      <c r="R15" s="25">
        <f>SUMPRODUCT(--(SQ_C=N15),--(RIS_C&lt;RIS_F))+(SUMPRODUCT(--(SQ_F=N15),--(RIS_F&lt;RIS_C)))</f>
        <v>2</v>
      </c>
      <c r="S15" s="25">
        <f>SUMIFS(RIS_C,SQ_C,N15)+SUMIFS(RIS_F,SQ_F,N15)</f>
        <v>1</v>
      </c>
      <c r="T15" s="25">
        <f>SUMIFS(RIS_F,SQ_C,N15)+SUMIFS(RIS_C,SQ_F,N15)</f>
        <v>3</v>
      </c>
      <c r="U15" s="25">
        <f>SUM(S15-T15)</f>
        <v>-2</v>
      </c>
      <c r="V15" s="26">
        <f>P15*3+Q15</f>
        <v>0</v>
      </c>
      <c r="W15" s="28">
        <f>SUMIFS(PT1_,SQ_C,N15)+SUMIFS(PT2_,SQ_F,N15)</f>
        <v>133</v>
      </c>
      <c r="X15" s="17">
        <f>V15+(U15/1000)+(S15/10000000)</f>
        <v>-1.9999000000000002E-3</v>
      </c>
      <c r="Y15" s="71"/>
      <c r="Z15" s="71"/>
      <c r="AA15" s="71"/>
      <c r="AB15" s="71"/>
      <c r="AC15" s="71"/>
      <c r="AD15" s="71"/>
      <c r="AE15" s="71"/>
      <c r="AF15" s="71"/>
    </row>
    <row r="16" spans="1:34" ht="15.6" thickTop="1" thickBot="1" x14ac:dyDescent="0.35">
      <c r="A16" s="71"/>
      <c r="B16" s="97"/>
      <c r="C16" s="73"/>
      <c r="D16" s="127">
        <v>3</v>
      </c>
      <c r="E16" s="133"/>
      <c r="F16" s="106" cm="1">
        <f t="array" ref="F16">_xlfn.XLOOKUP(CONCATENATE(D16,E16),'Base dati fantasquadre'!$A$2:$A$211,Tabella3[Pt Tot],"")</f>
        <v>0</v>
      </c>
      <c r="G16" s="107">
        <f>_xlfn.IFNA(VLOOKUP(F16,'Base dati fantasquadre'!$AH$32:$AI$40,2,TRUE),"")</f>
        <v>0</v>
      </c>
      <c r="H16" s="107">
        <f>_xlfn.IFNA(VLOOKUP(I16,'Base dati fantasquadre'!$AH$32:$AI$40,2,TRUE),"")</f>
        <v>0</v>
      </c>
      <c r="I16" s="106" cm="1">
        <f t="array" ref="I16">_xlfn.XLOOKUP(CONCATENATE(D16,J16),'Base dati fantasquadre'!$A$2:$A$211,Tabella3[Pt Tot],"")</f>
        <v>0</v>
      </c>
      <c r="J16" s="111"/>
      <c r="K16" s="71"/>
      <c r="L16" s="71"/>
      <c r="M16">
        <v>10</v>
      </c>
      <c r="N16" s="319" t="s">
        <v>625</v>
      </c>
      <c r="O16" s="25">
        <f>SUM(P16:R16)</f>
        <v>2</v>
      </c>
      <c r="P16" s="25">
        <f>SUMPRODUCT(--(SQ_C=N16),--(RIS_C&gt;RIS_F))+(SUMPRODUCT(--(SQ_F=N16),--(RIS_F&gt;RIS_C)))</f>
        <v>1</v>
      </c>
      <c r="Q16" s="25">
        <f>SUMPRODUCT(--(SQ_C=N16),--(RIS_C=RIS_F),--(RIS_C&lt;&gt;""))+(SUMPRODUCT(--(SQ_F=N16),--(RIS_F=RIS_C),--(RIS_F&lt;&gt;"")))</f>
        <v>0</v>
      </c>
      <c r="R16" s="25">
        <f>SUMPRODUCT(--(SQ_C=N16),--(RIS_C&lt;RIS_F))+(SUMPRODUCT(--(SQ_F=N16),--(RIS_F&lt;RIS_C)))</f>
        <v>1</v>
      </c>
      <c r="S16" s="25">
        <f>SUMIFS(RIS_C,SQ_C,N16)+SUMIFS(RIS_F,SQ_F,N16)</f>
        <v>3</v>
      </c>
      <c r="T16" s="25">
        <f>SUMIFS(RIS_F,SQ_C,N16)+SUMIFS(RIS_C,SQ_F,N16)</f>
        <v>4</v>
      </c>
      <c r="U16" s="25">
        <f>SUM(S16-T16)</f>
        <v>-1</v>
      </c>
      <c r="V16" s="26">
        <f>P16*3+Q16</f>
        <v>3</v>
      </c>
      <c r="W16" s="28">
        <f>SUMIFS(PT1_,SQ_C,N16)+SUMIFS(PT2_,SQ_F,N16)</f>
        <v>143</v>
      </c>
      <c r="X16" s="17">
        <f>V16+(U16/1000)+(S16/10000000)</f>
        <v>2.9990003000000001</v>
      </c>
      <c r="Y16" s="71"/>
      <c r="Z16" s="71"/>
      <c r="AA16" s="71"/>
      <c r="AB16" s="71"/>
      <c r="AC16" s="71"/>
      <c r="AD16" s="71"/>
      <c r="AE16" s="71"/>
      <c r="AF16" s="71"/>
    </row>
    <row r="17" spans="1:32" ht="15.6" thickTop="1" thickBot="1" x14ac:dyDescent="0.35">
      <c r="A17" s="71"/>
      <c r="B17" s="97"/>
      <c r="C17" s="73"/>
      <c r="D17" s="128">
        <v>3</v>
      </c>
      <c r="E17" s="133"/>
      <c r="F17" s="106" cm="1">
        <f t="array" ref="F17">_xlfn.XLOOKUP(CONCATENATE(D17,E17),'Base dati fantasquadre'!$A$2:$A$211,Tabella3[Pt Tot],"")</f>
        <v>0</v>
      </c>
      <c r="G17" s="107">
        <f>_xlfn.IFNA(VLOOKUP(F17,'Base dati fantasquadre'!$AH$32:$AI$40,2,TRUE),"")</f>
        <v>0</v>
      </c>
      <c r="H17" s="107">
        <f>_xlfn.IFNA(VLOOKUP(I17,'Base dati fantasquadre'!$AH$32:$AI$40,2,TRUE),"")</f>
        <v>0</v>
      </c>
      <c r="I17" s="106" cm="1">
        <f t="array" ref="I17">_xlfn.XLOOKUP(CONCATENATE(D17,J17),'Base dati fantasquadre'!$A$2:$A$211,Tabella3[Pt Tot],"")</f>
        <v>0</v>
      </c>
      <c r="J17" s="111"/>
      <c r="K17" s="71"/>
      <c r="L17" s="71"/>
      <c r="Y17" s="71"/>
      <c r="Z17" s="71"/>
      <c r="AA17" s="71"/>
      <c r="AB17" s="71"/>
      <c r="AC17" s="71"/>
      <c r="AD17" s="71"/>
      <c r="AE17" s="71"/>
      <c r="AF17" s="71"/>
    </row>
    <row r="18" spans="1:32" ht="15.6" thickTop="1" thickBot="1" x14ac:dyDescent="0.35">
      <c r="A18" s="71"/>
      <c r="B18" s="97"/>
      <c r="C18" s="73"/>
      <c r="D18" s="130">
        <v>3</v>
      </c>
      <c r="E18" s="133"/>
      <c r="F18" s="106" cm="1">
        <f t="array" ref="F18">_xlfn.XLOOKUP(CONCATENATE(D18,E18),'Base dati fantasquadre'!$A$2:$A$211,Tabella3[Pt Tot],"")</f>
        <v>0</v>
      </c>
      <c r="G18" s="107">
        <f>_xlfn.IFNA(VLOOKUP(F18,'Base dati fantasquadre'!$AH$32:$AI$40,2,TRUE),"")</f>
        <v>0</v>
      </c>
      <c r="H18" s="107">
        <f>_xlfn.IFNA(VLOOKUP(I18,'Base dati fantasquadre'!$AH$32:$AI$40,2,TRUE),"")</f>
        <v>0</v>
      </c>
      <c r="I18" s="106" cm="1">
        <f t="array" ref="I18">_xlfn.XLOOKUP(CONCATENATE(D18,J18),'Base dati fantasquadre'!$A$2:$A$211,Tabella3[Pt Tot],"")</f>
        <v>0</v>
      </c>
      <c r="J18" s="111"/>
      <c r="K18" s="71"/>
      <c r="L18" s="71"/>
      <c r="Y18" s="71"/>
      <c r="Z18" s="71"/>
      <c r="AA18" s="71"/>
      <c r="AB18" s="71"/>
      <c r="AC18" s="71"/>
      <c r="AD18" s="71"/>
      <c r="AE18" s="71"/>
      <c r="AF18" s="71"/>
    </row>
    <row r="19" spans="1:32" ht="15.6" thickTop="1" thickBot="1" x14ac:dyDescent="0.35">
      <c r="A19" s="71"/>
      <c r="B19" s="97"/>
      <c r="C19" s="73"/>
      <c r="D19" s="127">
        <v>3</v>
      </c>
      <c r="E19" s="133"/>
      <c r="F19" s="106" cm="1">
        <f t="array" ref="F19">_xlfn.XLOOKUP(CONCATENATE(D19,E19),'Base dati fantasquadre'!$A$2:$A$211,Tabella3[Pt Tot],"")</f>
        <v>0</v>
      </c>
      <c r="G19" s="107">
        <f>_xlfn.IFNA(VLOOKUP(F19,'Base dati fantasquadre'!$AH$32:$AI$40,2,TRUE),"")</f>
        <v>0</v>
      </c>
      <c r="H19" s="107">
        <f>_xlfn.IFNA(VLOOKUP(I19,'Base dati fantasquadre'!$AH$32:$AI$40,2,TRUE),"")</f>
        <v>0</v>
      </c>
      <c r="I19" s="106" cm="1">
        <f t="array" ref="I19">_xlfn.XLOOKUP(CONCATENATE(D19,J19),'Base dati fantasquadre'!$A$2:$A$211,Tabella3[Pt Tot],"")</f>
        <v>0</v>
      </c>
      <c r="J19" s="111"/>
      <c r="K19" s="71"/>
      <c r="L19" s="71"/>
      <c r="Y19" s="71"/>
      <c r="Z19" s="71"/>
      <c r="AA19" s="71"/>
      <c r="AB19" s="71"/>
      <c r="AC19" s="71"/>
      <c r="AD19" s="71"/>
      <c r="AE19" s="71"/>
      <c r="AF19" s="71"/>
    </row>
    <row r="20" spans="1:32" ht="15.6" thickTop="1" thickBot="1" x14ac:dyDescent="0.35">
      <c r="A20" s="71"/>
      <c r="B20" s="97"/>
      <c r="C20" s="73"/>
      <c r="D20" s="129">
        <v>3</v>
      </c>
      <c r="E20" s="133"/>
      <c r="F20" s="106" cm="1">
        <f t="array" ref="F20">_xlfn.XLOOKUP(CONCATENATE(D20,E20),'Base dati fantasquadre'!$A$2:$A$211,Tabella3[Pt Tot],"")</f>
        <v>0</v>
      </c>
      <c r="G20" s="107">
        <f>_xlfn.IFNA(VLOOKUP(F20,'Base dati fantasquadre'!$AH$32:$AI$40,2,TRUE),"")</f>
        <v>0</v>
      </c>
      <c r="H20" s="107">
        <f>_xlfn.IFNA(VLOOKUP(I20,'Base dati fantasquadre'!$AH$32:$AI$40,2,TRUE),"")</f>
        <v>0</v>
      </c>
      <c r="I20" s="106" cm="1">
        <f t="array" ref="I20">_xlfn.XLOOKUP(CONCATENATE(D20,J20),'Base dati fantasquadre'!$A$2:$A$211,Tabella3[Pt Tot],"")</f>
        <v>0</v>
      </c>
      <c r="J20" s="111"/>
      <c r="K20" s="71"/>
      <c r="L20" s="71"/>
      <c r="O20" s="3" t="s">
        <v>163</v>
      </c>
      <c r="P20" s="3" t="s">
        <v>473</v>
      </c>
      <c r="Q20" s="3" t="s">
        <v>162</v>
      </c>
      <c r="R20" s="3" t="s">
        <v>161</v>
      </c>
      <c r="S20" s="3" t="s">
        <v>476</v>
      </c>
      <c r="T20" s="3" t="s">
        <v>474</v>
      </c>
      <c r="U20" s="3" t="s">
        <v>2</v>
      </c>
      <c r="V20" s="3" t="s">
        <v>475</v>
      </c>
      <c r="Y20" s="71"/>
      <c r="Z20" s="71"/>
      <c r="AA20" s="71"/>
      <c r="AB20" s="71"/>
      <c r="AC20" s="71"/>
      <c r="AD20" s="71"/>
      <c r="AE20" s="71"/>
      <c r="AF20" s="71"/>
    </row>
    <row r="21" spans="1:32" ht="15.6" thickTop="1" thickBot="1" x14ac:dyDescent="0.35">
      <c r="A21" s="71"/>
      <c r="B21" s="97"/>
      <c r="C21" s="73"/>
      <c r="D21" s="126">
        <v>4</v>
      </c>
      <c r="E21" s="133"/>
      <c r="F21" s="106" cm="1">
        <f t="array" ref="F21">_xlfn.XLOOKUP(CONCATENATE(D21,E21),'Base dati fantasquadre'!$A$2:$A$211,Tabella3[Pt Tot],"")</f>
        <v>0</v>
      </c>
      <c r="G21" s="107">
        <f>_xlfn.IFNA(VLOOKUP(F21,'Base dati fantasquadre'!$AH$32:$AI$40,2,TRUE),"")</f>
        <v>0</v>
      </c>
      <c r="H21" s="107">
        <f>_xlfn.IFNA(VLOOKUP(I21,'Base dati fantasquadre'!$AH$32:$AI$40,2,TRUE),"")</f>
        <v>0</v>
      </c>
      <c r="I21" s="106" cm="1">
        <f t="array" ref="I21">_xlfn.XLOOKUP(CONCATENATE(D21,J21),'Base dati fantasquadre'!$A$2:$A$211,Tabella3[Pt Tot],"")</f>
        <v>0</v>
      </c>
      <c r="J21" s="111"/>
      <c r="K21" s="71"/>
      <c r="L21" s="71"/>
      <c r="N21" t="s">
        <v>163</v>
      </c>
      <c r="O21" s="276"/>
      <c r="P21" s="277"/>
      <c r="Q21" s="277"/>
      <c r="R21" s="277"/>
      <c r="S21" s="277"/>
      <c r="T21" s="277"/>
      <c r="U21" s="277"/>
      <c r="V21" s="277"/>
      <c r="Y21" s="71"/>
      <c r="Z21" s="71"/>
      <c r="AA21" s="71"/>
      <c r="AB21" s="71"/>
      <c r="AC21" s="71"/>
      <c r="AD21" s="71"/>
      <c r="AE21" s="71"/>
      <c r="AF21" s="71"/>
    </row>
    <row r="22" spans="1:32" ht="15.6" thickTop="1" thickBot="1" x14ac:dyDescent="0.35">
      <c r="A22" s="71"/>
      <c r="B22" s="98"/>
      <c r="C22" s="73"/>
      <c r="D22" s="127">
        <v>4</v>
      </c>
      <c r="E22" s="133"/>
      <c r="F22" s="106" cm="1">
        <f t="array" ref="F22">_xlfn.XLOOKUP(CONCATENATE(D22,E22),'Base dati fantasquadre'!$A$2:$A$211,Tabella3[Pt Tot],"")</f>
        <v>0</v>
      </c>
      <c r="G22" s="107">
        <f>_xlfn.IFNA(VLOOKUP(F22,'Base dati fantasquadre'!$AH$32:$AI$40,2,TRUE),"")</f>
        <v>0</v>
      </c>
      <c r="H22" s="107">
        <f>_xlfn.IFNA(VLOOKUP(I22,'Base dati fantasquadre'!$AH$32:$AI$40,2,TRUE),"")</f>
        <v>0</v>
      </c>
      <c r="I22" s="106" cm="1">
        <f t="array" ref="I22">_xlfn.XLOOKUP(CONCATENATE(D22,J22),'Base dati fantasquadre'!$A$2:$A$211,Tabella3[Pt Tot],"")</f>
        <v>0</v>
      </c>
      <c r="J22" s="111"/>
      <c r="K22" s="71"/>
      <c r="L22" s="71"/>
      <c r="N22" t="s">
        <v>473</v>
      </c>
      <c r="O22" s="277"/>
      <c r="P22" s="276"/>
      <c r="Q22" s="277"/>
      <c r="R22" s="277"/>
      <c r="S22" s="277"/>
      <c r="T22" s="277"/>
      <c r="U22" s="277"/>
      <c r="V22" s="277"/>
      <c r="Y22" s="71"/>
      <c r="Z22" s="71"/>
      <c r="AA22" s="71"/>
      <c r="AB22" s="71"/>
      <c r="AC22" s="71"/>
      <c r="AD22" s="71"/>
      <c r="AE22" s="71"/>
      <c r="AF22" s="71"/>
    </row>
    <row r="23" spans="1:32" ht="15.6" thickTop="1" thickBot="1" x14ac:dyDescent="0.35">
      <c r="A23" s="71"/>
      <c r="B23" s="73"/>
      <c r="C23" s="73"/>
      <c r="D23" s="128">
        <v>4</v>
      </c>
      <c r="E23" s="133"/>
      <c r="F23" s="106" cm="1">
        <f t="array" ref="F23">_xlfn.XLOOKUP(CONCATENATE(D23,E23),'Base dati fantasquadre'!$A$2:$A$211,Tabella3[Pt Tot],"")</f>
        <v>0</v>
      </c>
      <c r="G23" s="107">
        <f>_xlfn.IFNA(VLOOKUP(F23,'Base dati fantasquadre'!$AH$32:$AI$40,2,TRUE),"")</f>
        <v>0</v>
      </c>
      <c r="H23" s="107">
        <f>_xlfn.IFNA(VLOOKUP(I23,'Base dati fantasquadre'!$AH$32:$AI$40,2,TRUE),"")</f>
        <v>0</v>
      </c>
      <c r="I23" s="106" cm="1">
        <f t="array" ref="I23">_xlfn.XLOOKUP(CONCATENATE(D23,J23),'Base dati fantasquadre'!$A$2:$A$211,Tabella3[Pt Tot],"")</f>
        <v>0</v>
      </c>
      <c r="J23" s="111"/>
      <c r="K23" s="71"/>
      <c r="L23" s="71"/>
      <c r="N23" t="s">
        <v>162</v>
      </c>
      <c r="O23" s="277"/>
      <c r="P23" s="277"/>
      <c r="Q23" s="276"/>
      <c r="R23" s="277"/>
      <c r="S23" s="277"/>
      <c r="T23" s="277"/>
      <c r="U23" s="277"/>
      <c r="V23" s="277"/>
      <c r="Y23" s="71"/>
      <c r="Z23" s="71"/>
      <c r="AA23" s="71"/>
      <c r="AB23" s="71"/>
      <c r="AC23" s="71"/>
      <c r="AD23" s="71"/>
      <c r="AE23" s="71"/>
      <c r="AF23" s="71"/>
    </row>
    <row r="24" spans="1:32" ht="15.6" thickTop="1" thickBot="1" x14ac:dyDescent="0.35">
      <c r="A24" s="71"/>
      <c r="B24" s="73"/>
      <c r="C24" s="73"/>
      <c r="D24" s="130">
        <v>4</v>
      </c>
      <c r="E24" s="133"/>
      <c r="F24" s="106" cm="1">
        <f t="array" ref="F24">_xlfn.XLOOKUP(CONCATENATE(D24,E24),'Base dati fantasquadre'!$A$2:$A$211,Tabella3[Pt Tot],"")</f>
        <v>0</v>
      </c>
      <c r="G24" s="107">
        <f>_xlfn.IFNA(VLOOKUP(F24,'Base dati fantasquadre'!$AH$32:$AI$40,2,TRUE),"")</f>
        <v>0</v>
      </c>
      <c r="H24" s="107">
        <f>_xlfn.IFNA(VLOOKUP(I24,'Base dati fantasquadre'!$AH$32:$AI$40,2,TRUE),"")</f>
        <v>0</v>
      </c>
      <c r="I24" s="106" cm="1">
        <f t="array" ref="I24">_xlfn.XLOOKUP(CONCATENATE(D24,J24),'Base dati fantasquadre'!$A$2:$A$211,Tabella3[Pt Tot],"")</f>
        <v>0</v>
      </c>
      <c r="J24" s="111"/>
      <c r="K24" s="71"/>
      <c r="L24" s="71"/>
      <c r="N24" t="s">
        <v>161</v>
      </c>
      <c r="O24" s="277"/>
      <c r="P24" s="277"/>
      <c r="Q24" s="277"/>
      <c r="R24" s="276"/>
      <c r="S24" s="277"/>
      <c r="T24" s="277"/>
      <c r="U24" s="277"/>
      <c r="V24" s="277"/>
      <c r="Y24" s="71"/>
      <c r="Z24" s="71"/>
      <c r="AA24" s="71"/>
      <c r="AB24" s="71"/>
      <c r="AC24" s="71"/>
      <c r="AD24" s="71"/>
      <c r="AE24" s="71"/>
      <c r="AF24" s="71"/>
    </row>
    <row r="25" spans="1:32" ht="15.6" thickTop="1" thickBot="1" x14ac:dyDescent="0.35">
      <c r="A25" s="71"/>
      <c r="B25" s="73"/>
      <c r="C25" s="73"/>
      <c r="D25" s="127">
        <v>4</v>
      </c>
      <c r="E25" s="133"/>
      <c r="F25" s="106" cm="1">
        <f t="array" ref="F25">_xlfn.XLOOKUP(CONCATENATE(D25,E25),'Base dati fantasquadre'!$A$2:$A$211,Tabella3[Pt Tot],"")</f>
        <v>0</v>
      </c>
      <c r="G25" s="107">
        <f>_xlfn.IFNA(VLOOKUP(F25,'Base dati fantasquadre'!$AH$32:$AI$40,2,TRUE),"")</f>
        <v>0</v>
      </c>
      <c r="H25" s="107">
        <f>_xlfn.IFNA(VLOOKUP(I25,'Base dati fantasquadre'!$AH$32:$AI$40,2,TRUE),"")</f>
        <v>0</v>
      </c>
      <c r="I25" s="106" cm="1">
        <f t="array" ref="I25">_xlfn.XLOOKUP(CONCATENATE(D25,J25),'Base dati fantasquadre'!$A$2:$A$211,Tabella3[Pt Tot],"")</f>
        <v>0</v>
      </c>
      <c r="J25" s="111"/>
      <c r="K25" s="71"/>
      <c r="L25" s="71"/>
      <c r="N25" t="s">
        <v>476</v>
      </c>
      <c r="O25" s="277"/>
      <c r="P25" s="277"/>
      <c r="Q25" s="277"/>
      <c r="R25" s="277"/>
      <c r="S25" s="276"/>
      <c r="T25" s="277"/>
      <c r="U25" s="277"/>
      <c r="V25" s="277"/>
      <c r="Y25" s="71"/>
      <c r="Z25" s="71"/>
      <c r="AA25" s="71"/>
      <c r="AB25" s="71"/>
      <c r="AC25" s="71"/>
      <c r="AD25" s="71"/>
      <c r="AE25" s="71"/>
      <c r="AF25" s="71"/>
    </row>
    <row r="26" spans="1:32" ht="15.6" thickTop="1" thickBot="1" x14ac:dyDescent="0.35">
      <c r="A26" s="71"/>
      <c r="B26" s="73"/>
      <c r="C26" s="73"/>
      <c r="D26" s="129">
        <v>5</v>
      </c>
      <c r="E26" s="133"/>
      <c r="F26" s="106" cm="1">
        <f t="array" ref="F26">_xlfn.XLOOKUP(CONCATENATE(D26,E26),'Base dati fantasquadre'!$A$2:$A$211,Tabella3[Pt Tot],"")</f>
        <v>0</v>
      </c>
      <c r="G26" s="107">
        <f>_xlfn.IFNA(VLOOKUP(F26,'Base dati fantasquadre'!$AH$32:$AI$40,2,TRUE),"")</f>
        <v>0</v>
      </c>
      <c r="H26" s="107">
        <f>_xlfn.IFNA(VLOOKUP(I26,'Base dati fantasquadre'!$AH$32:$AI$40,2,TRUE),"")</f>
        <v>0</v>
      </c>
      <c r="I26" s="106" cm="1">
        <f t="array" ref="I26">_xlfn.XLOOKUP(CONCATENATE(D26,J26),'Base dati fantasquadre'!$A$2:$A$211,Tabella3[Pt Tot],"")</f>
        <v>0</v>
      </c>
      <c r="J26" s="111"/>
      <c r="K26" s="71"/>
      <c r="L26" s="71"/>
      <c r="N26" t="s">
        <v>474</v>
      </c>
      <c r="O26" s="277"/>
      <c r="P26" s="277"/>
      <c r="Q26" s="277"/>
      <c r="R26" s="277"/>
      <c r="S26" s="277"/>
      <c r="T26" s="276"/>
      <c r="U26" s="277"/>
      <c r="V26" s="277"/>
      <c r="Y26" s="71"/>
      <c r="Z26" s="71"/>
      <c r="AA26" s="71"/>
      <c r="AB26" s="71"/>
      <c r="AC26" s="71"/>
      <c r="AD26" s="71"/>
      <c r="AE26" s="71"/>
      <c r="AF26" s="71"/>
    </row>
    <row r="27" spans="1:32" ht="15.6" thickTop="1" thickBot="1" x14ac:dyDescent="0.35">
      <c r="A27" s="71"/>
      <c r="B27" s="73"/>
      <c r="C27" s="73"/>
      <c r="D27" s="126">
        <v>5</v>
      </c>
      <c r="E27" s="133"/>
      <c r="F27" s="106" cm="1">
        <f t="array" ref="F27">_xlfn.XLOOKUP(CONCATENATE(D27,E27),'Base dati fantasquadre'!$A$2:$A$211,Tabella3[Pt Tot],"")</f>
        <v>0</v>
      </c>
      <c r="G27" s="107">
        <f>_xlfn.IFNA(VLOOKUP(F27,'Base dati fantasquadre'!$AH$32:$AI$40,2,TRUE),"")</f>
        <v>0</v>
      </c>
      <c r="H27" s="107">
        <f>_xlfn.IFNA(VLOOKUP(I27,'Base dati fantasquadre'!$AH$32:$AI$40,2,TRUE),"")</f>
        <v>0</v>
      </c>
      <c r="I27" s="106" cm="1">
        <f t="array" ref="I27">_xlfn.XLOOKUP(CONCATENATE(D27,J27),'Base dati fantasquadre'!$A$2:$A$211,Tabella3[Pt Tot],"")</f>
        <v>0</v>
      </c>
      <c r="J27" s="111"/>
      <c r="K27" s="71"/>
      <c r="L27" s="71"/>
      <c r="N27" t="s">
        <v>2</v>
      </c>
      <c r="O27" s="277"/>
      <c r="P27" s="277"/>
      <c r="Q27" s="277"/>
      <c r="R27" s="277"/>
      <c r="S27" s="277"/>
      <c r="T27" s="277"/>
      <c r="U27" s="276"/>
      <c r="V27" s="277"/>
      <c r="Y27" s="71"/>
      <c r="Z27" s="71"/>
      <c r="AA27" s="71"/>
      <c r="AB27" s="71"/>
      <c r="AC27" s="71"/>
      <c r="AD27" s="71"/>
      <c r="AE27" s="71"/>
      <c r="AF27" s="71"/>
    </row>
    <row r="28" spans="1:32" ht="15.6" thickTop="1" thickBot="1" x14ac:dyDescent="0.35">
      <c r="A28" s="71"/>
      <c r="B28" s="73"/>
      <c r="C28" s="73"/>
      <c r="D28" s="127">
        <v>5</v>
      </c>
      <c r="E28" s="133"/>
      <c r="F28" s="106" cm="1">
        <f t="array" ref="F28">_xlfn.XLOOKUP(CONCATENATE(D28,E28),'Base dati fantasquadre'!$A$2:$A$211,Tabella3[Pt Tot],"")</f>
        <v>0</v>
      </c>
      <c r="G28" s="107">
        <f>_xlfn.IFNA(VLOOKUP(F28,'Base dati fantasquadre'!$AH$32:$AI$40,2,TRUE),"")</f>
        <v>0</v>
      </c>
      <c r="H28" s="107">
        <f>_xlfn.IFNA(VLOOKUP(I28,'Base dati fantasquadre'!$AH$32:$AI$40,2,TRUE),"")</f>
        <v>0</v>
      </c>
      <c r="I28" s="106" cm="1">
        <f t="array" ref="I28">_xlfn.XLOOKUP(CONCATENATE(D28,J28),'Base dati fantasquadre'!$A$2:$A$211,Tabella3[Pt Tot],"")</f>
        <v>0</v>
      </c>
      <c r="J28" s="111"/>
      <c r="K28" s="71"/>
      <c r="L28" s="71"/>
      <c r="N28" t="s">
        <v>475</v>
      </c>
      <c r="O28" s="277"/>
      <c r="P28" s="277"/>
      <c r="Q28" s="277"/>
      <c r="R28" s="277"/>
      <c r="S28" s="277"/>
      <c r="T28" s="277"/>
      <c r="U28" s="277"/>
      <c r="V28" s="276"/>
      <c r="Y28" s="71"/>
      <c r="Z28" s="71"/>
      <c r="AA28" s="71"/>
      <c r="AB28" s="71"/>
      <c r="AC28" s="71"/>
      <c r="AD28" s="71"/>
      <c r="AE28" s="71"/>
      <c r="AF28" s="71"/>
    </row>
    <row r="29" spans="1:32" ht="15.6" thickTop="1" thickBot="1" x14ac:dyDescent="0.35">
      <c r="A29" s="71"/>
      <c r="B29" s="73"/>
      <c r="C29" s="73"/>
      <c r="D29" s="128">
        <v>5</v>
      </c>
      <c r="E29" s="133"/>
      <c r="F29" s="106" cm="1">
        <f t="array" ref="F29">_xlfn.XLOOKUP(CONCATENATE(D29,E29),'Base dati fantasquadre'!$A$2:$A$211,Tabella3[Pt Tot],"")</f>
        <v>0</v>
      </c>
      <c r="G29" s="107">
        <f>_xlfn.IFNA(VLOOKUP(F29,'Base dati fantasquadre'!$AH$32:$AI$40,2,TRUE),"")</f>
        <v>0</v>
      </c>
      <c r="H29" s="107">
        <f>_xlfn.IFNA(VLOOKUP(I29,'Base dati fantasquadre'!$AH$32:$AI$40,2,TRUE),"")</f>
        <v>0</v>
      </c>
      <c r="I29" s="106" cm="1">
        <f t="array" ref="I29">_xlfn.XLOOKUP(CONCATENATE(D29,J29),'Base dati fantasquadre'!$A$2:$A$211,Tabella3[Pt Tot],"")</f>
        <v>0</v>
      </c>
      <c r="J29" s="111"/>
      <c r="K29" s="71"/>
      <c r="L29" s="71"/>
      <c r="Y29" s="71"/>
      <c r="Z29" s="71"/>
      <c r="AA29" s="71"/>
      <c r="AB29" s="71"/>
      <c r="AC29" s="71"/>
      <c r="AD29" s="71"/>
      <c r="AE29" s="71"/>
      <c r="AF29" s="71"/>
    </row>
    <row r="30" spans="1:32" ht="15.6" thickTop="1" thickBot="1" x14ac:dyDescent="0.35">
      <c r="A30" s="71"/>
      <c r="B30" s="73"/>
      <c r="C30" s="73"/>
      <c r="D30" s="130">
        <v>5</v>
      </c>
      <c r="E30" s="133"/>
      <c r="F30" s="106" cm="1">
        <f t="array" ref="F30">_xlfn.XLOOKUP(CONCATENATE(D30,E30),'Base dati fantasquadre'!$A$2:$A$211,Tabella3[Pt Tot],"")</f>
        <v>0</v>
      </c>
      <c r="G30" s="107">
        <f>_xlfn.IFNA(VLOOKUP(F30,'Base dati fantasquadre'!$AH$32:$AI$40,2,TRUE),"")</f>
        <v>0</v>
      </c>
      <c r="H30" s="107">
        <f>_xlfn.IFNA(VLOOKUP(I30,'Base dati fantasquadre'!$AH$32:$AI$40,2,TRUE),"")</f>
        <v>0</v>
      </c>
      <c r="I30" s="106" cm="1">
        <f t="array" ref="I30">_xlfn.XLOOKUP(CONCATENATE(D30,J30),'Base dati fantasquadre'!$A$2:$A$211,Tabella3[Pt Tot],"")</f>
        <v>0</v>
      </c>
      <c r="J30" s="111"/>
      <c r="K30" s="71"/>
      <c r="L30" s="71"/>
      <c r="Y30" s="71"/>
      <c r="Z30" s="71"/>
      <c r="AA30" s="71"/>
      <c r="AB30" s="71"/>
      <c r="AC30" s="71"/>
      <c r="AD30" s="71"/>
      <c r="AE30" s="71"/>
      <c r="AF30" s="71"/>
    </row>
    <row r="31" spans="1:32" ht="15.6" thickTop="1" thickBot="1" x14ac:dyDescent="0.35">
      <c r="A31" s="71"/>
      <c r="B31" s="73"/>
      <c r="C31" s="73"/>
      <c r="D31" s="127">
        <v>6</v>
      </c>
      <c r="E31" s="133"/>
      <c r="F31" s="106" cm="1">
        <f t="array" ref="F31">_xlfn.XLOOKUP(CONCATENATE(D31,E31),'Base dati fantasquadre'!$A$2:$A$211,Tabella3[Pt Tot],"")</f>
        <v>0</v>
      </c>
      <c r="G31" s="107">
        <f>_xlfn.IFNA(VLOOKUP(F31,'Base dati fantasquadre'!$AH$32:$AI$40,2,TRUE),"")</f>
        <v>0</v>
      </c>
      <c r="H31" s="107">
        <f>_xlfn.IFNA(VLOOKUP(I31,'Base dati fantasquadre'!$AH$32:$AI$40,2,TRUE),"")</f>
        <v>0</v>
      </c>
      <c r="I31" s="106" cm="1">
        <f t="array" ref="I31">_xlfn.XLOOKUP(CONCATENATE(D31,J31),'Base dati fantasquadre'!$A$2:$A$211,Tabella3[Pt Tot],"")</f>
        <v>0</v>
      </c>
      <c r="J31" s="111"/>
      <c r="K31" s="71"/>
      <c r="L31" s="71"/>
      <c r="Y31" s="71"/>
      <c r="Z31" s="71"/>
      <c r="AA31" s="71"/>
      <c r="AB31" s="71"/>
      <c r="AC31" s="71"/>
      <c r="AD31" s="71"/>
      <c r="AE31" s="71"/>
      <c r="AF31" s="71"/>
    </row>
    <row r="32" spans="1:32" ht="15.6" thickTop="1" thickBot="1" x14ac:dyDescent="0.35">
      <c r="A32" s="71"/>
      <c r="B32" s="73"/>
      <c r="C32" s="73"/>
      <c r="D32" s="129">
        <v>6</v>
      </c>
      <c r="E32" s="133"/>
      <c r="F32" s="106" cm="1">
        <f t="array" ref="F32">_xlfn.XLOOKUP(CONCATENATE(D32,E32),'Base dati fantasquadre'!$A$2:$A$211,Tabella3[Pt Tot],"")</f>
        <v>0</v>
      </c>
      <c r="G32" s="107">
        <f>_xlfn.IFNA(VLOOKUP(F32,'Base dati fantasquadre'!$AH$32:$AI$40,2,TRUE),"")</f>
        <v>0</v>
      </c>
      <c r="H32" s="107">
        <f>_xlfn.IFNA(VLOOKUP(I32,'Base dati fantasquadre'!$AH$32:$AI$40,2,TRUE),"")</f>
        <v>0</v>
      </c>
      <c r="I32" s="106" cm="1">
        <f t="array" ref="I32">_xlfn.XLOOKUP(CONCATENATE(D32,J32),'Base dati fantasquadre'!$A$2:$A$211,Tabella3[Pt Tot],"")</f>
        <v>0</v>
      </c>
      <c r="J32" s="111"/>
      <c r="K32" s="71"/>
      <c r="L32" s="71"/>
      <c r="O32" s="3" t="s">
        <v>163</v>
      </c>
      <c r="P32" s="3" t="s">
        <v>473</v>
      </c>
      <c r="R32" s="3">
        <f>VLOOKUP(O32,$N$21:$W$28,10,0)</f>
        <v>0</v>
      </c>
      <c r="S32" s="3">
        <f>VLOOKUP(P32,$N$21:$W$28,10,0)</f>
        <v>0</v>
      </c>
      <c r="T32"/>
      <c r="U32" s="71"/>
      <c r="V32" s="71"/>
      <c r="W32" s="71"/>
      <c r="X32" s="71"/>
      <c r="Y32" s="71"/>
      <c r="Z32" s="71"/>
      <c r="AA32" s="71"/>
      <c r="AB32" s="71"/>
    </row>
    <row r="33" spans="1:28" ht="15.6" thickTop="1" thickBot="1" x14ac:dyDescent="0.35">
      <c r="A33" s="71"/>
      <c r="B33" s="73"/>
      <c r="C33" s="73"/>
      <c r="D33" s="126">
        <v>6</v>
      </c>
      <c r="E33" s="133"/>
      <c r="F33" s="106" cm="1">
        <f t="array" ref="F33">_xlfn.XLOOKUP(CONCATENATE(D33,E33),'Base dati fantasquadre'!$A$2:$A$211,Tabella3[Pt Tot],"")</f>
        <v>0</v>
      </c>
      <c r="G33" s="107">
        <f>_xlfn.IFNA(VLOOKUP(F33,'Base dati fantasquadre'!$AH$32:$AI$40,2,TRUE),"")</f>
        <v>0</v>
      </c>
      <c r="H33" s="107">
        <f>_xlfn.IFNA(VLOOKUP(I33,'Base dati fantasquadre'!$AH$32:$AI$40,2,TRUE),"")</f>
        <v>0</v>
      </c>
      <c r="I33" s="106" cm="1">
        <f t="array" ref="I33">_xlfn.XLOOKUP(CONCATENATE(D33,J33),'Base dati fantasquadre'!$A$2:$A$211,Tabella3[Pt Tot],"")</f>
        <v>0</v>
      </c>
      <c r="J33" s="111"/>
      <c r="K33" s="71"/>
      <c r="L33" s="71"/>
      <c r="O33" s="3" t="s">
        <v>162</v>
      </c>
      <c r="P33" s="3" t="s">
        <v>161</v>
      </c>
      <c r="R33" s="3">
        <f t="shared" ref="R33:R96" si="10">VLOOKUP(O33,$N$21:$W$28,10,0)</f>
        <v>0</v>
      </c>
      <c r="S33" s="3">
        <f t="shared" ref="S33:S96" si="11">VLOOKUP(P33,$N$21:$W$28,10,0)</f>
        <v>0</v>
      </c>
      <c r="T33"/>
      <c r="U33" s="71"/>
      <c r="V33" s="71"/>
      <c r="W33" s="71"/>
      <c r="X33" s="71"/>
      <c r="Y33" s="71"/>
      <c r="Z33" s="71"/>
      <c r="AA33" s="71"/>
      <c r="AB33" s="71"/>
    </row>
    <row r="34" spans="1:28" ht="15.6" thickTop="1" thickBot="1" x14ac:dyDescent="0.35">
      <c r="A34" s="71"/>
      <c r="B34" s="71"/>
      <c r="C34" s="71"/>
      <c r="D34" s="127">
        <v>6</v>
      </c>
      <c r="E34" s="133"/>
      <c r="F34" s="106" cm="1">
        <f t="array" ref="F34">_xlfn.XLOOKUP(CONCATENATE(D34,E34),'Base dati fantasquadre'!$A$2:$A$211,Tabella3[Pt Tot],"")</f>
        <v>0</v>
      </c>
      <c r="G34" s="107">
        <f>_xlfn.IFNA(VLOOKUP(F34,'Base dati fantasquadre'!$AH$32:$AI$40,2,TRUE),"")</f>
        <v>0</v>
      </c>
      <c r="H34" s="107">
        <f>_xlfn.IFNA(VLOOKUP(I34,'Base dati fantasquadre'!$AH$32:$AI$40,2,TRUE),"")</f>
        <v>0</v>
      </c>
      <c r="I34" s="106" cm="1">
        <f t="array" ref="I34">_xlfn.XLOOKUP(CONCATENATE(D34,J34),'Base dati fantasquadre'!$A$2:$A$211,Tabella3[Pt Tot],"")</f>
        <v>0</v>
      </c>
      <c r="J34" s="111"/>
      <c r="K34" s="71"/>
      <c r="L34" s="71"/>
      <c r="O34" s="3" t="s">
        <v>476</v>
      </c>
      <c r="P34" s="3" t="s">
        <v>474</v>
      </c>
      <c r="R34" s="3">
        <f t="shared" si="10"/>
        <v>0</v>
      </c>
      <c r="S34" s="3">
        <f t="shared" si="11"/>
        <v>0</v>
      </c>
      <c r="T34"/>
      <c r="U34" s="71"/>
      <c r="V34" s="71"/>
      <c r="W34" s="71"/>
      <c r="X34" s="71"/>
      <c r="Y34" s="71"/>
      <c r="Z34" s="71"/>
      <c r="AA34" s="71"/>
      <c r="AB34" s="71"/>
    </row>
    <row r="35" spans="1:28" ht="15.6" thickTop="1" thickBot="1" x14ac:dyDescent="0.35">
      <c r="A35" s="71"/>
      <c r="B35" s="71"/>
      <c r="C35" s="71"/>
      <c r="D35" s="128">
        <v>6</v>
      </c>
      <c r="E35" s="133"/>
      <c r="F35" s="106" cm="1">
        <f t="array" ref="F35">_xlfn.XLOOKUP(CONCATENATE(D35,E35),'Base dati fantasquadre'!$A$2:$A$211,Tabella3[Pt Tot],"")</f>
        <v>0</v>
      </c>
      <c r="G35" s="107">
        <f>_xlfn.IFNA(VLOOKUP(F35,'Base dati fantasquadre'!$AH$32:$AI$40,2,TRUE),"")</f>
        <v>0</v>
      </c>
      <c r="H35" s="107">
        <f>_xlfn.IFNA(VLOOKUP(I35,'Base dati fantasquadre'!$AH$32:$AI$40,2,TRUE),"")</f>
        <v>0</v>
      </c>
      <c r="I35" s="106" cm="1">
        <f t="array" ref="I35">_xlfn.XLOOKUP(CONCATENATE(D35,J35),'Base dati fantasquadre'!$A$2:$A$211,Tabella3[Pt Tot],"")</f>
        <v>0</v>
      </c>
      <c r="J35" s="111"/>
      <c r="K35" s="71"/>
      <c r="L35" s="71"/>
      <c r="O35" s="3" t="s">
        <v>2</v>
      </c>
      <c r="P35" s="3" t="s">
        <v>475</v>
      </c>
      <c r="R35" s="3">
        <f t="shared" si="10"/>
        <v>0</v>
      </c>
      <c r="S35" s="3">
        <f t="shared" si="11"/>
        <v>0</v>
      </c>
      <c r="T35"/>
      <c r="U35" s="71"/>
      <c r="V35" s="71"/>
      <c r="W35" s="71"/>
      <c r="X35" s="71"/>
      <c r="Y35" s="71"/>
      <c r="Z35" s="71"/>
      <c r="AA35" s="71"/>
      <c r="AB35" s="71"/>
    </row>
    <row r="36" spans="1:28" ht="15.6" thickTop="1" thickBot="1" x14ac:dyDescent="0.35">
      <c r="A36" s="71"/>
      <c r="B36" s="71"/>
      <c r="C36" s="71"/>
      <c r="D36" s="130">
        <v>7</v>
      </c>
      <c r="E36" s="133"/>
      <c r="F36" s="106" t="str" cm="1">
        <f t="array" ref="F36">_xlfn.XLOOKUP(CONCATENATE(D36,E36),'Base dati fantasquadre'!$A$2:$A$211,Tabella3[Pt Tot],"")</f>
        <v/>
      </c>
      <c r="G36" s="107" t="str">
        <f>_xlfn.IFNA(VLOOKUP(F36,'Base dati fantasquadre'!$AH$32:$AI$40,2,TRUE),"")</f>
        <v/>
      </c>
      <c r="H36" s="107" t="str">
        <f>_xlfn.IFNA(VLOOKUP(I36,'Base dati fantasquadre'!$AH$32:$AI$40,2,TRUE),"")</f>
        <v/>
      </c>
      <c r="I36" s="106" t="str" cm="1">
        <f t="array" ref="I36">_xlfn.XLOOKUP(CONCATENATE(D36,J36),'Base dati fantasquadre'!$A$2:$A$211,Tabella3[Pt Tot],"")</f>
        <v/>
      </c>
      <c r="J36" s="111"/>
      <c r="K36" s="71"/>
      <c r="L36" s="71"/>
      <c r="O36" s="3" t="s">
        <v>163</v>
      </c>
      <c r="P36" s="3" t="s">
        <v>162</v>
      </c>
      <c r="R36" s="3">
        <f t="shared" si="10"/>
        <v>0</v>
      </c>
      <c r="S36" s="3">
        <f t="shared" si="11"/>
        <v>0</v>
      </c>
      <c r="T36"/>
      <c r="U36" s="71"/>
      <c r="V36" s="71"/>
      <c r="W36" s="71"/>
      <c r="X36" s="71"/>
      <c r="Y36" s="71"/>
      <c r="Z36" s="71"/>
      <c r="AA36" s="71"/>
      <c r="AB36" s="71"/>
    </row>
    <row r="37" spans="1:28" ht="15.6" thickTop="1" thickBot="1" x14ac:dyDescent="0.35">
      <c r="A37" s="71"/>
      <c r="B37" s="71"/>
      <c r="C37" s="71"/>
      <c r="D37" s="127">
        <v>7</v>
      </c>
      <c r="E37" s="133"/>
      <c r="F37" s="106" t="str" cm="1">
        <f t="array" ref="F37">_xlfn.XLOOKUP(CONCATENATE(D37,E37),'Base dati fantasquadre'!$A$2:$A$211,Tabella3[Pt Tot],"")</f>
        <v/>
      </c>
      <c r="G37" s="107" t="str">
        <f>_xlfn.IFNA(VLOOKUP(F37,'Base dati fantasquadre'!$AH$32:$AI$40,2,TRUE),"")</f>
        <v/>
      </c>
      <c r="H37" s="107" t="str">
        <f>_xlfn.IFNA(VLOOKUP(I37,'Base dati fantasquadre'!$AH$32:$AI$40,2,TRUE),"")</f>
        <v/>
      </c>
      <c r="I37" s="106" t="str" cm="1">
        <f t="array" ref="I37">_xlfn.XLOOKUP(CONCATENATE(D37,J37),'Base dati fantasquadre'!$A$2:$A$211,Tabella3[Pt Tot],"")</f>
        <v/>
      </c>
      <c r="J37" s="111"/>
      <c r="K37" s="71"/>
      <c r="L37" s="71"/>
      <c r="O37" s="3" t="s">
        <v>473</v>
      </c>
      <c r="P37" s="3" t="s">
        <v>161</v>
      </c>
      <c r="R37" s="3">
        <f t="shared" si="10"/>
        <v>0</v>
      </c>
      <c r="S37" s="3">
        <f t="shared" si="11"/>
        <v>0</v>
      </c>
      <c r="T37"/>
      <c r="U37" s="71"/>
      <c r="V37" s="71"/>
      <c r="W37" s="71"/>
      <c r="X37" s="71"/>
      <c r="Y37" s="71"/>
      <c r="Z37" s="71"/>
      <c r="AA37" s="71"/>
      <c r="AB37" s="71"/>
    </row>
    <row r="38" spans="1:28" ht="15.6" thickTop="1" thickBot="1" x14ac:dyDescent="0.35">
      <c r="A38" s="71"/>
      <c r="B38" s="71"/>
      <c r="C38" s="71"/>
      <c r="D38" s="129">
        <v>7</v>
      </c>
      <c r="E38" s="133"/>
      <c r="F38" s="106" t="str" cm="1">
        <f t="array" ref="F38">_xlfn.XLOOKUP(CONCATENATE(D38,E38),'Base dati fantasquadre'!$A$2:$A$211,Tabella3[Pt Tot],"")</f>
        <v/>
      </c>
      <c r="G38" s="107" t="str">
        <f>_xlfn.IFNA(VLOOKUP(F38,'Base dati fantasquadre'!$AH$32:$AI$40,2,TRUE),"")</f>
        <v/>
      </c>
      <c r="H38" s="107" t="str">
        <f>_xlfn.IFNA(VLOOKUP(I38,'Base dati fantasquadre'!$AH$32:$AI$40,2,TRUE),"")</f>
        <v/>
      </c>
      <c r="I38" s="106" t="str" cm="1">
        <f t="array" ref="I38">_xlfn.XLOOKUP(CONCATENATE(D38,J38),'Base dati fantasquadre'!$A$2:$A$211,Tabella3[Pt Tot],"")</f>
        <v/>
      </c>
      <c r="J38" s="111"/>
      <c r="K38" s="71"/>
      <c r="L38" s="71"/>
      <c r="O38" s="3" t="s">
        <v>476</v>
      </c>
      <c r="P38" s="3" t="s">
        <v>2</v>
      </c>
      <c r="R38" s="3">
        <f t="shared" si="10"/>
        <v>0</v>
      </c>
      <c r="S38" s="3">
        <f t="shared" si="11"/>
        <v>0</v>
      </c>
      <c r="T38"/>
      <c r="U38" s="71"/>
      <c r="V38" s="71"/>
      <c r="W38" s="71"/>
      <c r="X38" s="71"/>
      <c r="Y38" s="71"/>
      <c r="Z38" s="71"/>
      <c r="AA38" s="71"/>
      <c r="AB38" s="71"/>
    </row>
    <row r="39" spans="1:28" ht="15.6" thickTop="1" thickBot="1" x14ac:dyDescent="0.35">
      <c r="A39" s="71"/>
      <c r="B39" s="71"/>
      <c r="C39" s="71"/>
      <c r="D39" s="131">
        <v>7</v>
      </c>
      <c r="E39" s="133"/>
      <c r="F39" s="106" t="str" cm="1">
        <f t="array" ref="F39">_xlfn.XLOOKUP(CONCATENATE(D39,E39),'Base dati fantasquadre'!$A$2:$A$211,Tabella3[Pt Tot],"")</f>
        <v/>
      </c>
      <c r="G39" s="107" t="str">
        <f>_xlfn.IFNA(VLOOKUP(F39,'Base dati fantasquadre'!$AH$32:$AI$40,2,TRUE),"")</f>
        <v/>
      </c>
      <c r="H39" s="107" t="str">
        <f>_xlfn.IFNA(VLOOKUP(I39,'Base dati fantasquadre'!$AH$32:$AI$40,2,TRUE),"")</f>
        <v/>
      </c>
      <c r="I39" s="106" t="str" cm="1">
        <f t="array" ref="I39">_xlfn.XLOOKUP(CONCATENATE(D39,J39),'Base dati fantasquadre'!$A$2:$A$211,Tabella3[Pt Tot],"")</f>
        <v/>
      </c>
      <c r="J39" s="111"/>
      <c r="K39" s="71"/>
      <c r="L39" s="71"/>
      <c r="O39" s="3" t="s">
        <v>474</v>
      </c>
      <c r="P39" s="3" t="s">
        <v>475</v>
      </c>
      <c r="R39" s="3">
        <f t="shared" si="10"/>
        <v>0</v>
      </c>
      <c r="S39" s="3">
        <f t="shared" si="11"/>
        <v>0</v>
      </c>
      <c r="T39"/>
      <c r="U39" s="71"/>
      <c r="V39" s="71"/>
      <c r="W39" s="71"/>
      <c r="X39" s="71"/>
      <c r="Y39" s="71"/>
      <c r="Z39" s="71"/>
      <c r="AA39" s="71"/>
      <c r="AB39" s="71"/>
    </row>
    <row r="40" spans="1:28" ht="15.6" thickTop="1" thickBot="1" x14ac:dyDescent="0.35">
      <c r="A40" s="71"/>
      <c r="B40" s="71"/>
      <c r="C40" s="71"/>
      <c r="D40" s="130">
        <v>7</v>
      </c>
      <c r="E40" s="133"/>
      <c r="F40" s="106" t="str" cm="1">
        <f t="array" ref="F40">_xlfn.XLOOKUP(CONCATENATE(D40,E40),'Base dati fantasquadre'!$A$2:$A$211,Tabella3[Pt Tot],"")</f>
        <v/>
      </c>
      <c r="G40" s="107" t="str">
        <f>_xlfn.IFNA(VLOOKUP(F40,'Base dati fantasquadre'!$AH$32:$AI$40,2,TRUE),"")</f>
        <v/>
      </c>
      <c r="H40" s="107" t="str">
        <f>_xlfn.IFNA(VLOOKUP(I40,'Base dati fantasquadre'!$AH$32:$AI$40,2,TRUE),"")</f>
        <v/>
      </c>
      <c r="I40" s="106" t="str" cm="1">
        <f t="array" ref="I40">_xlfn.XLOOKUP(CONCATENATE(D40,J40),'Base dati fantasquadre'!$A$2:$A$211,Tabella3[Pt Tot],"")</f>
        <v/>
      </c>
      <c r="J40" s="111"/>
      <c r="K40" s="71"/>
      <c r="L40" s="71"/>
      <c r="O40" s="3" t="s">
        <v>163</v>
      </c>
      <c r="P40" s="3" t="s">
        <v>161</v>
      </c>
      <c r="R40" s="3">
        <f t="shared" si="10"/>
        <v>0</v>
      </c>
      <c r="S40" s="3">
        <f t="shared" si="11"/>
        <v>0</v>
      </c>
      <c r="T40"/>
      <c r="U40" s="71"/>
      <c r="V40" s="71"/>
      <c r="W40" s="71"/>
      <c r="X40" s="71"/>
      <c r="Y40" s="71"/>
      <c r="Z40" s="71"/>
      <c r="AA40" s="71"/>
      <c r="AB40" s="71"/>
    </row>
    <row r="41" spans="1:28" ht="15.6" thickTop="1" thickBot="1" x14ac:dyDescent="0.35">
      <c r="A41" s="71"/>
      <c r="B41" s="71"/>
      <c r="C41" s="71"/>
      <c r="D41" s="129">
        <v>8</v>
      </c>
      <c r="E41" s="133"/>
      <c r="F41" s="106" t="str" cm="1">
        <f t="array" ref="F41">_xlfn.XLOOKUP(CONCATENATE(D41,E41),'Base dati fantasquadre'!$A$2:$A$211,Tabella3[Pt Tot],"")</f>
        <v/>
      </c>
      <c r="G41" s="107" t="str">
        <f>_xlfn.IFNA(VLOOKUP(F41,'Base dati fantasquadre'!$AH$32:$AI$40,2,TRUE),"")</f>
        <v/>
      </c>
      <c r="H41" s="107" t="str">
        <f>_xlfn.IFNA(VLOOKUP(I41,'Base dati fantasquadre'!$AH$32:$AI$40,2,TRUE),"")</f>
        <v/>
      </c>
      <c r="I41" s="106" t="str" cm="1">
        <f t="array" ref="I41">_xlfn.XLOOKUP(CONCATENATE(D41,J41),'Base dati fantasquadre'!$A$2:$A$211,Tabella3[Pt Tot],"")</f>
        <v/>
      </c>
      <c r="J41" s="111"/>
      <c r="K41" s="71"/>
      <c r="L41" s="71"/>
      <c r="O41" s="3" t="s">
        <v>473</v>
      </c>
      <c r="P41" s="3" t="s">
        <v>162</v>
      </c>
      <c r="R41" s="3">
        <f t="shared" si="10"/>
        <v>0</v>
      </c>
      <c r="S41" s="3">
        <f t="shared" si="11"/>
        <v>0</v>
      </c>
      <c r="T41"/>
      <c r="U41" s="71"/>
      <c r="V41" s="71"/>
      <c r="W41" s="71"/>
      <c r="X41" s="71"/>
      <c r="Y41" s="71"/>
      <c r="Z41" s="71"/>
      <c r="AA41" s="71"/>
      <c r="AB41" s="71"/>
    </row>
    <row r="42" spans="1:28" ht="15.6" thickTop="1" thickBot="1" x14ac:dyDescent="0.35">
      <c r="A42" s="71"/>
      <c r="B42" s="71"/>
      <c r="C42" s="71"/>
      <c r="D42" s="126">
        <v>8</v>
      </c>
      <c r="E42" s="133"/>
      <c r="F42" s="106" t="str" cm="1">
        <f t="array" ref="F42">_xlfn.XLOOKUP(CONCATENATE(D42,E42),'Base dati fantasquadre'!$A$2:$A$211,Tabella3[Pt Tot],"")</f>
        <v/>
      </c>
      <c r="G42" s="107" t="str">
        <f>_xlfn.IFNA(VLOOKUP(F42,'Base dati fantasquadre'!$AH$32:$AI$40,2,TRUE),"")</f>
        <v/>
      </c>
      <c r="H42" s="107" t="str">
        <f>_xlfn.IFNA(VLOOKUP(I42,'Base dati fantasquadre'!$AH$32:$AI$40,2,TRUE),"")</f>
        <v/>
      </c>
      <c r="I42" s="106" t="str" cm="1">
        <f t="array" ref="I42">_xlfn.XLOOKUP(CONCATENATE(D42,J42),'Base dati fantasquadre'!$A$2:$A$211,Tabella3[Pt Tot],"")</f>
        <v/>
      </c>
      <c r="J42" s="111"/>
      <c r="K42" s="71"/>
      <c r="L42" s="71"/>
      <c r="O42" s="3" t="s">
        <v>476</v>
      </c>
      <c r="P42" s="3" t="s">
        <v>475</v>
      </c>
      <c r="R42" s="3">
        <f t="shared" si="10"/>
        <v>0</v>
      </c>
      <c r="S42" s="3">
        <f t="shared" si="11"/>
        <v>0</v>
      </c>
      <c r="T42"/>
      <c r="U42" s="71"/>
      <c r="V42" s="71"/>
      <c r="W42" s="71"/>
      <c r="X42" s="71"/>
      <c r="Y42" s="71"/>
      <c r="Z42" s="71"/>
      <c r="AA42" s="71"/>
      <c r="AB42" s="71"/>
    </row>
    <row r="43" spans="1:28" ht="15.6" thickTop="1" thickBot="1" x14ac:dyDescent="0.35">
      <c r="A43" s="71"/>
      <c r="B43" s="71"/>
      <c r="C43" s="71"/>
      <c r="D43" s="126">
        <v>8</v>
      </c>
      <c r="E43" s="133"/>
      <c r="F43" s="106" t="str" cm="1">
        <f t="array" ref="F43">_xlfn.XLOOKUP(CONCATENATE(D43,E43),'Base dati fantasquadre'!$A$2:$A$211,Tabella3[Pt Tot],"")</f>
        <v/>
      </c>
      <c r="G43" s="107" t="str">
        <f>_xlfn.IFNA(VLOOKUP(F43,'Base dati fantasquadre'!$AH$32:$AI$40,2,TRUE),"")</f>
        <v/>
      </c>
      <c r="H43" s="107" t="str">
        <f>_xlfn.IFNA(VLOOKUP(I43,'Base dati fantasquadre'!$AH$32:$AI$40,2,TRUE),"")</f>
        <v/>
      </c>
      <c r="I43" s="106" t="str" cm="1">
        <f t="array" ref="I43">_xlfn.XLOOKUP(CONCATENATE(D43,J43),'Base dati fantasquadre'!$A$2:$A$211,Tabella3[Pt Tot],"")</f>
        <v/>
      </c>
      <c r="J43" s="111"/>
      <c r="K43" s="71"/>
      <c r="L43" s="71"/>
      <c r="O43" s="3" t="s">
        <v>474</v>
      </c>
      <c r="P43" s="3" t="s">
        <v>2</v>
      </c>
      <c r="R43" s="3">
        <f t="shared" si="10"/>
        <v>0</v>
      </c>
      <c r="S43" s="3">
        <f t="shared" si="11"/>
        <v>0</v>
      </c>
      <c r="T43"/>
      <c r="U43" s="71"/>
      <c r="V43" s="71"/>
      <c r="W43" s="71"/>
      <c r="X43" s="71"/>
      <c r="Y43" s="71"/>
      <c r="Z43" s="71"/>
      <c r="AA43" s="71"/>
      <c r="AB43" s="71"/>
    </row>
    <row r="44" spans="1:28" ht="15.6" thickTop="1" thickBot="1" x14ac:dyDescent="0.35">
      <c r="A44" s="71"/>
      <c r="B44" s="71"/>
      <c r="C44" s="71"/>
      <c r="D44" s="126">
        <v>8</v>
      </c>
      <c r="E44" s="133"/>
      <c r="F44" s="106" t="str" cm="1">
        <f t="array" ref="F44">_xlfn.XLOOKUP(CONCATENATE(D44,E44),'Base dati fantasquadre'!$A$2:$A$211,Tabella3[Pt Tot],"")</f>
        <v/>
      </c>
      <c r="G44" s="107" t="str">
        <f>_xlfn.IFNA(VLOOKUP(F44,'Base dati fantasquadre'!$AH$32:$AI$40,2,TRUE),"")</f>
        <v/>
      </c>
      <c r="H44" s="107" t="str">
        <f>_xlfn.IFNA(VLOOKUP(I44,'Base dati fantasquadre'!$AH$32:$AI$40,2,TRUE),"")</f>
        <v/>
      </c>
      <c r="I44" s="106" t="str" cm="1">
        <f t="array" ref="I44">_xlfn.XLOOKUP(CONCATENATE(D44,J44),'Base dati fantasquadre'!$A$2:$A$211,Tabella3[Pt Tot],"")</f>
        <v/>
      </c>
      <c r="J44" s="111"/>
      <c r="K44" s="71"/>
      <c r="L44" s="71"/>
      <c r="O44" s="3" t="s">
        <v>163</v>
      </c>
      <c r="P44" s="3" t="s">
        <v>476</v>
      </c>
      <c r="R44" s="3">
        <f t="shared" si="10"/>
        <v>0</v>
      </c>
      <c r="S44" s="3">
        <f t="shared" si="11"/>
        <v>0</v>
      </c>
      <c r="T44"/>
      <c r="U44" s="71"/>
      <c r="V44" s="71"/>
      <c r="W44" s="71"/>
      <c r="X44" s="71"/>
      <c r="Y44" s="71"/>
      <c r="Z44" s="71"/>
      <c r="AA44" s="71"/>
      <c r="AB44" s="71"/>
    </row>
    <row r="45" spans="1:28" ht="15.6" thickTop="1" thickBot="1" x14ac:dyDescent="0.35">
      <c r="A45" s="71"/>
      <c r="B45" s="71"/>
      <c r="C45" s="71"/>
      <c r="D45" s="126">
        <v>8</v>
      </c>
      <c r="E45" s="133"/>
      <c r="F45" s="106" t="str" cm="1">
        <f t="array" ref="F45">_xlfn.XLOOKUP(CONCATENATE(D45,E45),'Base dati fantasquadre'!$A$2:$A$211,Tabella3[Pt Tot],"")</f>
        <v/>
      </c>
      <c r="G45" s="107" t="str">
        <f>_xlfn.IFNA(VLOOKUP(F45,'Base dati fantasquadre'!$AH$32:$AI$40,2,TRUE),"")</f>
        <v/>
      </c>
      <c r="H45" s="107" t="str">
        <f>_xlfn.IFNA(VLOOKUP(I45,'Base dati fantasquadre'!$AH$32:$AI$40,2,TRUE),"")</f>
        <v/>
      </c>
      <c r="I45" s="106" t="str" cm="1">
        <f t="array" ref="I45">_xlfn.XLOOKUP(CONCATENATE(D45,J45),'Base dati fantasquadre'!$A$2:$A$211,Tabella3[Pt Tot],"")</f>
        <v/>
      </c>
      <c r="J45" s="111"/>
      <c r="K45" s="71"/>
      <c r="L45" s="71"/>
      <c r="O45" s="3" t="s">
        <v>473</v>
      </c>
      <c r="P45" s="3" t="s">
        <v>474</v>
      </c>
      <c r="R45" s="3">
        <f t="shared" si="10"/>
        <v>0</v>
      </c>
      <c r="S45" s="3">
        <f t="shared" si="11"/>
        <v>0</v>
      </c>
      <c r="T45"/>
      <c r="U45" s="71"/>
      <c r="V45" s="71"/>
      <c r="W45" s="71"/>
      <c r="X45" s="71"/>
      <c r="Y45" s="71"/>
      <c r="Z45" s="71"/>
      <c r="AA45" s="71"/>
      <c r="AB45" s="71"/>
    </row>
    <row r="46" spans="1:28" ht="15.6" thickTop="1" thickBot="1" x14ac:dyDescent="0.35">
      <c r="A46" s="71"/>
      <c r="B46" s="71"/>
      <c r="C46" s="71"/>
      <c r="D46" s="127">
        <v>9</v>
      </c>
      <c r="E46" s="133"/>
      <c r="F46" s="106" t="str" cm="1">
        <f t="array" ref="F46">_xlfn.XLOOKUP(CONCATENATE(D46,E46),'Base dati fantasquadre'!$A$2:$A$211,Tabella3[Pt Tot],"")</f>
        <v/>
      </c>
      <c r="G46" s="107" t="str">
        <f>_xlfn.IFNA(VLOOKUP(F46,'Base dati fantasquadre'!$AH$32:$AI$40,2,TRUE),"")</f>
        <v/>
      </c>
      <c r="H46" s="107" t="str">
        <f>_xlfn.IFNA(VLOOKUP(I46,'Base dati fantasquadre'!$AH$32:$AI$40,2,TRUE),"")</f>
        <v/>
      </c>
      <c r="I46" s="106" t="str" cm="1">
        <f t="array" ref="I46">_xlfn.XLOOKUP(CONCATENATE(D46,J46),'Base dati fantasquadre'!$A$2:$A$211,Tabella3[Pt Tot],"")</f>
        <v/>
      </c>
      <c r="J46" s="111"/>
      <c r="K46" s="71"/>
      <c r="L46" s="71"/>
      <c r="O46" s="3" t="s">
        <v>162</v>
      </c>
      <c r="P46" s="3" t="s">
        <v>2</v>
      </c>
      <c r="R46" s="3">
        <f t="shared" si="10"/>
        <v>0</v>
      </c>
      <c r="S46" s="3">
        <f t="shared" si="11"/>
        <v>0</v>
      </c>
      <c r="T46"/>
      <c r="U46" s="71"/>
      <c r="V46" s="71"/>
      <c r="W46" s="71"/>
      <c r="X46" s="71"/>
      <c r="Y46" s="71"/>
      <c r="Z46" s="71"/>
      <c r="AA46" s="71"/>
      <c r="AB46" s="71"/>
    </row>
    <row r="47" spans="1:28" ht="15.6" thickTop="1" thickBot="1" x14ac:dyDescent="0.35">
      <c r="A47" s="71"/>
      <c r="B47" s="71"/>
      <c r="C47" s="71"/>
      <c r="D47" s="127">
        <v>9</v>
      </c>
      <c r="E47" s="133"/>
      <c r="F47" s="106" t="str" cm="1">
        <f t="array" ref="F47">_xlfn.XLOOKUP(CONCATENATE(D47,E47),'Base dati fantasquadre'!$A$2:$A$211,Tabella3[Pt Tot],"")</f>
        <v/>
      </c>
      <c r="G47" s="107" t="str">
        <f>_xlfn.IFNA(VLOOKUP(F47,'Base dati fantasquadre'!$AH$32:$AI$40,2,TRUE),"")</f>
        <v/>
      </c>
      <c r="H47" s="107" t="str">
        <f>_xlfn.IFNA(VLOOKUP(I47,'Base dati fantasquadre'!$AH$32:$AI$40,2,TRUE),"")</f>
        <v/>
      </c>
      <c r="I47" s="106" t="str" cm="1">
        <f t="array" ref="I47">_xlfn.XLOOKUP(CONCATENATE(D47,J47),'Base dati fantasquadre'!$A$2:$A$211,Tabella3[Pt Tot],"")</f>
        <v/>
      </c>
      <c r="J47" s="111"/>
      <c r="K47" s="71"/>
      <c r="L47" s="71"/>
      <c r="O47" s="3" t="s">
        <v>161</v>
      </c>
      <c r="P47" s="3" t="s">
        <v>475</v>
      </c>
      <c r="R47" s="3">
        <f t="shared" si="10"/>
        <v>0</v>
      </c>
      <c r="S47" s="3">
        <f t="shared" si="11"/>
        <v>0</v>
      </c>
      <c r="T47"/>
      <c r="U47" s="71"/>
      <c r="V47" s="71"/>
      <c r="W47" s="71"/>
      <c r="X47" s="71"/>
      <c r="Y47" s="71"/>
      <c r="Z47" s="71"/>
      <c r="AA47" s="71"/>
      <c r="AB47" s="71"/>
    </row>
    <row r="48" spans="1:28" ht="15.6" thickTop="1" thickBot="1" x14ac:dyDescent="0.35">
      <c r="A48" s="71"/>
      <c r="B48" s="71"/>
      <c r="C48" s="71"/>
      <c r="D48" s="127">
        <v>9</v>
      </c>
      <c r="E48" s="133"/>
      <c r="F48" s="106" t="str" cm="1">
        <f t="array" ref="F48">_xlfn.XLOOKUP(CONCATENATE(D48,E48),'Base dati fantasquadre'!$A$2:$A$211,Tabella3[Pt Tot],"")</f>
        <v/>
      </c>
      <c r="G48" s="107" t="str">
        <f>_xlfn.IFNA(VLOOKUP(F48,'Base dati fantasquadre'!$AH$32:$AI$40,2,TRUE),"")</f>
        <v/>
      </c>
      <c r="H48" s="107" t="str">
        <f>_xlfn.IFNA(VLOOKUP(I48,'Base dati fantasquadre'!$AH$32:$AI$40,2,TRUE),"")</f>
        <v/>
      </c>
      <c r="I48" s="106" t="str" cm="1">
        <f t="array" ref="I48">_xlfn.XLOOKUP(CONCATENATE(D48,J48),'Base dati fantasquadre'!$A$2:$A$211,Tabella3[Pt Tot],"")</f>
        <v/>
      </c>
      <c r="J48" s="111"/>
      <c r="K48" s="71"/>
      <c r="L48" s="71"/>
      <c r="O48" s="3" t="s">
        <v>163</v>
      </c>
      <c r="P48" s="3" t="s">
        <v>475</v>
      </c>
      <c r="R48" s="3">
        <f t="shared" si="10"/>
        <v>0</v>
      </c>
      <c r="S48" s="3">
        <f t="shared" si="11"/>
        <v>0</v>
      </c>
      <c r="T48"/>
      <c r="U48" s="71"/>
      <c r="V48" s="71"/>
      <c r="W48" s="71"/>
      <c r="X48" s="71"/>
      <c r="Y48" s="71"/>
      <c r="Z48" s="71"/>
      <c r="AA48" s="71"/>
      <c r="AB48" s="71"/>
    </row>
    <row r="49" spans="1:28" ht="15.6" thickTop="1" thickBot="1" x14ac:dyDescent="0.35">
      <c r="A49" s="71"/>
      <c r="B49" s="71"/>
      <c r="C49" s="71"/>
      <c r="D49" s="127">
        <v>9</v>
      </c>
      <c r="E49" s="133"/>
      <c r="F49" s="106" t="str" cm="1">
        <f t="array" ref="F49">_xlfn.XLOOKUP(CONCATENATE(D49,E49),'Base dati fantasquadre'!$A$2:$A$211,Tabella3[Pt Tot],"")</f>
        <v/>
      </c>
      <c r="G49" s="107" t="str">
        <f>_xlfn.IFNA(VLOOKUP(F49,'Base dati fantasquadre'!$AH$32:$AI$40,2,TRUE),"")</f>
        <v/>
      </c>
      <c r="H49" s="107" t="str">
        <f>_xlfn.IFNA(VLOOKUP(I49,'Base dati fantasquadre'!$AH$32:$AI$40,2,TRUE),"")</f>
        <v/>
      </c>
      <c r="I49" s="106" t="str" cm="1">
        <f t="array" ref="I49">_xlfn.XLOOKUP(CONCATENATE(D49,J49),'Base dati fantasquadre'!$A$2:$A$211,Tabella3[Pt Tot],"")</f>
        <v/>
      </c>
      <c r="J49" s="111"/>
      <c r="K49" s="71"/>
      <c r="L49" s="71"/>
      <c r="O49" s="3" t="s">
        <v>473</v>
      </c>
      <c r="P49" s="3" t="s">
        <v>2</v>
      </c>
      <c r="R49" s="3">
        <f t="shared" si="10"/>
        <v>0</v>
      </c>
      <c r="S49" s="3">
        <f t="shared" si="11"/>
        <v>0</v>
      </c>
      <c r="T49"/>
      <c r="U49" s="71"/>
      <c r="V49" s="71"/>
      <c r="W49" s="71"/>
      <c r="X49" s="71"/>
      <c r="Y49" s="71"/>
      <c r="Z49" s="71"/>
      <c r="AA49" s="71"/>
      <c r="AB49" s="71"/>
    </row>
    <row r="50" spans="1:28" ht="15.6" thickTop="1" thickBot="1" x14ac:dyDescent="0.35">
      <c r="A50" s="71"/>
      <c r="B50" s="71"/>
      <c r="C50" s="71"/>
      <c r="D50" s="129">
        <v>9</v>
      </c>
      <c r="E50" s="133"/>
      <c r="F50" s="106" t="str" cm="1">
        <f t="array" ref="F50">_xlfn.XLOOKUP(CONCATENATE(D50,E50),'Base dati fantasquadre'!$A$2:$A$211,Tabella3[Pt Tot],"")</f>
        <v/>
      </c>
      <c r="G50" s="107" t="str">
        <f>_xlfn.IFNA(VLOOKUP(F50,'Base dati fantasquadre'!$AH$32:$AI$40,2,TRUE),"")</f>
        <v/>
      </c>
      <c r="H50" s="107" t="str">
        <f>_xlfn.IFNA(VLOOKUP(I50,'Base dati fantasquadre'!$AH$32:$AI$40,2,TRUE),"")</f>
        <v/>
      </c>
      <c r="I50" s="106" t="str" cm="1">
        <f t="array" ref="I50">_xlfn.XLOOKUP(CONCATENATE(D50,J50),'Base dati fantasquadre'!$A$2:$A$211,Tabella3[Pt Tot],"")</f>
        <v/>
      </c>
      <c r="J50" s="111"/>
      <c r="K50" s="71"/>
      <c r="L50" s="71"/>
      <c r="O50" s="3" t="s">
        <v>162</v>
      </c>
      <c r="P50" s="3" t="s">
        <v>474</v>
      </c>
      <c r="R50" s="3">
        <f t="shared" si="10"/>
        <v>0</v>
      </c>
      <c r="S50" s="3">
        <f t="shared" si="11"/>
        <v>0</v>
      </c>
      <c r="T50"/>
      <c r="U50" s="71"/>
      <c r="V50" s="71"/>
      <c r="W50" s="71"/>
      <c r="X50" s="71"/>
      <c r="Y50" s="71"/>
      <c r="Z50" s="71"/>
      <c r="AA50" s="71"/>
      <c r="AB50" s="71"/>
    </row>
    <row r="51" spans="1:28" ht="15.6" thickTop="1" thickBot="1" x14ac:dyDescent="0.35">
      <c r="A51" s="71"/>
      <c r="B51" s="71"/>
      <c r="C51" s="71"/>
      <c r="D51" s="129">
        <v>10</v>
      </c>
      <c r="E51" s="133"/>
      <c r="F51" s="106" t="str" cm="1">
        <f t="array" ref="F51">_xlfn.XLOOKUP(CONCATENATE(D51,E51),'Base dati fantasquadre'!$A$2:$A$211,Tabella3[Pt Tot],"")</f>
        <v/>
      </c>
      <c r="G51" s="107" t="str">
        <f>_xlfn.IFNA(VLOOKUP(F51,'Base dati fantasquadre'!$AH$32:$AI$40,2,TRUE),"")</f>
        <v/>
      </c>
      <c r="H51" s="107" t="str">
        <f>_xlfn.IFNA(VLOOKUP(I51,'Base dati fantasquadre'!$AH$32:$AI$40,2,TRUE),"")</f>
        <v/>
      </c>
      <c r="I51" s="106" t="str" cm="1">
        <f t="array" ref="I51">_xlfn.XLOOKUP(CONCATENATE(D51,J51),'Base dati fantasquadre'!$A$2:$A$211,Tabella3[Pt Tot],"")</f>
        <v/>
      </c>
      <c r="J51" s="111"/>
      <c r="K51" s="71"/>
      <c r="L51" s="71"/>
      <c r="O51" s="3" t="s">
        <v>161</v>
      </c>
      <c r="P51" s="3" t="s">
        <v>476</v>
      </c>
      <c r="R51" s="3">
        <f t="shared" si="10"/>
        <v>0</v>
      </c>
      <c r="S51" s="3">
        <f t="shared" si="11"/>
        <v>0</v>
      </c>
      <c r="T51"/>
      <c r="U51" s="71"/>
      <c r="V51" s="71"/>
      <c r="W51" s="71"/>
      <c r="X51" s="71"/>
      <c r="Y51" s="71"/>
      <c r="Z51" s="71"/>
      <c r="AA51" s="71"/>
      <c r="AB51" s="71"/>
    </row>
    <row r="52" spans="1:28" ht="15.6" thickTop="1" thickBot="1" x14ac:dyDescent="0.35">
      <c r="A52" s="71"/>
      <c r="B52" s="71"/>
      <c r="C52" s="71"/>
      <c r="D52" s="129">
        <v>10</v>
      </c>
      <c r="E52" s="133"/>
      <c r="F52" s="106" t="str" cm="1">
        <f t="array" ref="F52">_xlfn.XLOOKUP(CONCATENATE(D52,E52),'Base dati fantasquadre'!$A$2:$A$211,Tabella3[Pt Tot],"")</f>
        <v/>
      </c>
      <c r="G52" s="107" t="str">
        <f>_xlfn.IFNA(VLOOKUP(F52,'Base dati fantasquadre'!$AH$32:$AI$40,2,TRUE),"")</f>
        <v/>
      </c>
      <c r="H52" s="107" t="str">
        <f>_xlfn.IFNA(VLOOKUP(I52,'Base dati fantasquadre'!$AH$32:$AI$40,2,TRUE),"")</f>
        <v/>
      </c>
      <c r="I52" s="106" t="str" cm="1">
        <f t="array" ref="I52">_xlfn.XLOOKUP(CONCATENATE(D52,J52),'Base dati fantasquadre'!$A$2:$A$211,Tabella3[Pt Tot],"")</f>
        <v/>
      </c>
      <c r="J52" s="111"/>
      <c r="K52" s="71"/>
      <c r="L52" s="71"/>
      <c r="O52" s="3" t="s">
        <v>163</v>
      </c>
      <c r="P52" s="3" t="s">
        <v>474</v>
      </c>
      <c r="R52" s="3">
        <f t="shared" si="10"/>
        <v>0</v>
      </c>
      <c r="S52" s="3">
        <f t="shared" si="11"/>
        <v>0</v>
      </c>
      <c r="T52"/>
      <c r="U52" s="71"/>
      <c r="V52" s="71"/>
      <c r="W52" s="71"/>
      <c r="X52" s="71"/>
      <c r="Y52" s="71"/>
      <c r="Z52" s="71"/>
      <c r="AA52" s="71"/>
      <c r="AB52" s="71"/>
    </row>
    <row r="53" spans="1:28" ht="15.6" thickTop="1" thickBot="1" x14ac:dyDescent="0.35">
      <c r="A53" s="71"/>
      <c r="B53" s="71"/>
      <c r="C53" s="71"/>
      <c r="D53" s="129">
        <v>10</v>
      </c>
      <c r="E53" s="133"/>
      <c r="F53" s="106" t="str" cm="1">
        <f t="array" ref="F53">_xlfn.XLOOKUP(CONCATENATE(D53,E53),'Base dati fantasquadre'!$A$2:$A$211,Tabella3[Pt Tot],"")</f>
        <v/>
      </c>
      <c r="G53" s="107" t="str">
        <f>_xlfn.IFNA(VLOOKUP(F53,'Base dati fantasquadre'!$AH$32:$AI$40,2,TRUE),"")</f>
        <v/>
      </c>
      <c r="H53" s="107" t="str">
        <f>_xlfn.IFNA(VLOOKUP(I53,'Base dati fantasquadre'!$AH$32:$AI$40,2,TRUE),"")</f>
        <v/>
      </c>
      <c r="I53" s="106" t="str" cm="1">
        <f t="array" ref="I53">_xlfn.XLOOKUP(CONCATENATE(D53,J53),'Base dati fantasquadre'!$A$2:$A$211,Tabella3[Pt Tot],"")</f>
        <v/>
      </c>
      <c r="J53" s="111"/>
      <c r="K53" s="71"/>
      <c r="L53" s="71"/>
      <c r="O53" s="3" t="s">
        <v>473</v>
      </c>
      <c r="P53" s="3" t="s">
        <v>476</v>
      </c>
      <c r="R53" s="3">
        <f t="shared" si="10"/>
        <v>0</v>
      </c>
      <c r="S53" s="3">
        <f t="shared" si="11"/>
        <v>0</v>
      </c>
      <c r="T53"/>
      <c r="U53" s="71"/>
      <c r="V53" s="71"/>
      <c r="W53" s="71"/>
      <c r="X53" s="71"/>
      <c r="Y53" s="71"/>
      <c r="Z53" s="71"/>
      <c r="AA53" s="71"/>
      <c r="AB53" s="71"/>
    </row>
    <row r="54" spans="1:28" ht="15.6" thickTop="1" thickBot="1" x14ac:dyDescent="0.35">
      <c r="A54" s="71"/>
      <c r="B54" s="71"/>
      <c r="C54" s="71"/>
      <c r="D54" s="129">
        <v>10</v>
      </c>
      <c r="E54" s="133"/>
      <c r="F54" s="106" t="str" cm="1">
        <f t="array" ref="F54">_xlfn.XLOOKUP(CONCATENATE(D54,E54),'Base dati fantasquadre'!$A$2:$A$211,Tabella3[Pt Tot],"")</f>
        <v/>
      </c>
      <c r="G54" s="107" t="str">
        <f>_xlfn.IFNA(VLOOKUP(F54,'Base dati fantasquadre'!$AH$32:$AI$40,2,TRUE),"")</f>
        <v/>
      </c>
      <c r="H54" s="107" t="str">
        <f>_xlfn.IFNA(VLOOKUP(I54,'Base dati fantasquadre'!$AH$32:$AI$40,2,TRUE),"")</f>
        <v/>
      </c>
      <c r="I54" s="106" t="str" cm="1">
        <f t="array" ref="I54">_xlfn.XLOOKUP(CONCATENATE(D54,J54),'Base dati fantasquadre'!$A$2:$A$211,Tabella3[Pt Tot],"")</f>
        <v/>
      </c>
      <c r="J54" s="111"/>
      <c r="K54" s="71"/>
      <c r="L54" s="71"/>
      <c r="O54" s="3" t="s">
        <v>162</v>
      </c>
      <c r="P54" s="3" t="s">
        <v>475</v>
      </c>
      <c r="R54" s="3">
        <f t="shared" si="10"/>
        <v>0</v>
      </c>
      <c r="S54" s="3">
        <f t="shared" si="11"/>
        <v>0</v>
      </c>
      <c r="T54"/>
      <c r="U54" s="71"/>
      <c r="V54" s="71"/>
      <c r="W54" s="71"/>
      <c r="X54" s="71"/>
      <c r="Y54" s="71"/>
      <c r="Z54" s="71"/>
      <c r="AA54" s="71"/>
      <c r="AB54" s="71"/>
    </row>
    <row r="55" spans="1:28" ht="15.6" thickTop="1" thickBot="1" x14ac:dyDescent="0.35">
      <c r="A55" s="71"/>
      <c r="B55" s="71"/>
      <c r="C55" s="71"/>
      <c r="D55" s="129">
        <v>10</v>
      </c>
      <c r="E55" s="133"/>
      <c r="F55" s="106" t="str" cm="1">
        <f t="array" ref="F55">_xlfn.XLOOKUP(CONCATENATE(D55,E55),'Base dati fantasquadre'!$A$2:$A$211,Tabella3[Pt Tot],"")</f>
        <v/>
      </c>
      <c r="G55" s="107" t="str">
        <f>_xlfn.IFNA(VLOOKUP(F55,'Base dati fantasquadre'!$AH$32:$AI$40,2,TRUE),"")</f>
        <v/>
      </c>
      <c r="H55" s="107" t="str">
        <f>_xlfn.IFNA(VLOOKUP(I55,'Base dati fantasquadre'!$AH$32:$AI$40,2,TRUE),"")</f>
        <v/>
      </c>
      <c r="I55" s="106" t="str" cm="1">
        <f t="array" ref="I55">_xlfn.XLOOKUP(CONCATENATE(D55,J55),'Base dati fantasquadre'!$A$2:$A$211,Tabella3[Pt Tot],"")</f>
        <v/>
      </c>
      <c r="J55" s="111"/>
      <c r="K55" s="71"/>
      <c r="L55" s="71"/>
      <c r="O55" s="3" t="s">
        <v>161</v>
      </c>
      <c r="P55" s="3" t="s">
        <v>2</v>
      </c>
      <c r="R55" s="3">
        <f t="shared" si="10"/>
        <v>0</v>
      </c>
      <c r="S55" s="3">
        <f t="shared" si="11"/>
        <v>0</v>
      </c>
      <c r="T55"/>
      <c r="U55" s="71"/>
      <c r="V55" s="71"/>
      <c r="W55" s="71"/>
      <c r="X55" s="71"/>
      <c r="Y55" s="71"/>
      <c r="Z55" s="71"/>
      <c r="AA55" s="71"/>
      <c r="AB55" s="71"/>
    </row>
    <row r="56" spans="1:28" ht="15.6" thickTop="1" thickBot="1" x14ac:dyDescent="0.35">
      <c r="A56" s="71"/>
      <c r="B56" s="71"/>
      <c r="C56" s="71"/>
      <c r="D56" s="130">
        <v>11</v>
      </c>
      <c r="E56" s="133"/>
      <c r="F56" s="106" t="str" cm="1">
        <f t="array" ref="F56">_xlfn.XLOOKUP(CONCATENATE(D56,E56),'Base dati fantasquadre'!$A$2:$A$211,Tabella3[Pt Tot],"")</f>
        <v/>
      </c>
      <c r="G56" s="107" t="str">
        <f>_xlfn.IFNA(VLOOKUP(F56,'Base dati fantasquadre'!$AH$32:$AI$40,2,TRUE),"")</f>
        <v/>
      </c>
      <c r="H56" s="107" t="str">
        <f>_xlfn.IFNA(VLOOKUP(I56,'Base dati fantasquadre'!$AH$32:$AI$40,2,TRUE),"")</f>
        <v/>
      </c>
      <c r="I56" s="106" t="str" cm="1">
        <f t="array" ref="I56">_xlfn.XLOOKUP(CONCATENATE(D56,J56),'Base dati fantasquadre'!$A$2:$A$211,Tabella3[Pt Tot],"")</f>
        <v/>
      </c>
      <c r="J56" s="111"/>
      <c r="K56" s="71"/>
      <c r="L56" s="71"/>
      <c r="O56" s="3" t="s">
        <v>163</v>
      </c>
      <c r="P56" s="3" t="s">
        <v>2</v>
      </c>
      <c r="R56" s="3">
        <f t="shared" si="10"/>
        <v>0</v>
      </c>
      <c r="S56" s="3">
        <f t="shared" si="11"/>
        <v>0</v>
      </c>
      <c r="T56"/>
      <c r="U56" s="71"/>
      <c r="V56" s="71"/>
      <c r="W56" s="71"/>
      <c r="X56" s="71"/>
      <c r="Y56" s="71"/>
      <c r="Z56" s="71"/>
      <c r="AA56" s="71"/>
      <c r="AB56" s="71"/>
    </row>
    <row r="57" spans="1:28" ht="15.6" thickTop="1" thickBot="1" x14ac:dyDescent="0.35">
      <c r="A57" s="71"/>
      <c r="B57" s="71"/>
      <c r="C57" s="71"/>
      <c r="D57" s="130">
        <v>11</v>
      </c>
      <c r="E57" s="133"/>
      <c r="F57" s="106" t="str" cm="1">
        <f t="array" ref="F57">_xlfn.XLOOKUP(CONCATENATE(D57,E57),'Base dati fantasquadre'!$A$2:$A$211,Tabella3[Pt Tot],"")</f>
        <v/>
      </c>
      <c r="G57" s="107" t="str">
        <f>_xlfn.IFNA(VLOOKUP(F57,'Base dati fantasquadre'!$AH$32:$AI$40,2,TRUE),"")</f>
        <v/>
      </c>
      <c r="H57" s="107" t="str">
        <f>_xlfn.IFNA(VLOOKUP(I57,'Base dati fantasquadre'!$AH$32:$AI$40,2,TRUE),"")</f>
        <v/>
      </c>
      <c r="I57" s="106" t="str" cm="1">
        <f t="array" ref="I57">_xlfn.XLOOKUP(CONCATENATE(D57,J57),'Base dati fantasquadre'!$A$2:$A$211,Tabella3[Pt Tot],"")</f>
        <v/>
      </c>
      <c r="J57" s="111"/>
      <c r="K57" s="71"/>
      <c r="L57" s="71"/>
      <c r="O57" s="3" t="s">
        <v>473</v>
      </c>
      <c r="P57" s="3" t="s">
        <v>475</v>
      </c>
      <c r="R57" s="3">
        <f t="shared" si="10"/>
        <v>0</v>
      </c>
      <c r="S57" s="3">
        <f t="shared" si="11"/>
        <v>0</v>
      </c>
      <c r="T57"/>
      <c r="U57" s="71"/>
      <c r="V57" s="71"/>
      <c r="W57" s="71"/>
      <c r="X57" s="71"/>
      <c r="Y57" s="71"/>
      <c r="Z57" s="71"/>
      <c r="AA57" s="71"/>
      <c r="AB57" s="71"/>
    </row>
    <row r="58" spans="1:28" ht="15.6" thickTop="1" thickBot="1" x14ac:dyDescent="0.35">
      <c r="A58" s="71"/>
      <c r="B58" s="71"/>
      <c r="C58" s="71"/>
      <c r="D58" s="130">
        <v>11</v>
      </c>
      <c r="E58" s="133"/>
      <c r="F58" s="106" t="str" cm="1">
        <f t="array" ref="F58">_xlfn.XLOOKUP(CONCATENATE(D58,E58),'Base dati fantasquadre'!$A$2:$A$211,Tabella3[Pt Tot],"")</f>
        <v/>
      </c>
      <c r="G58" s="107" t="str">
        <f>_xlfn.IFNA(VLOOKUP(F58,'Base dati fantasquadre'!$AH$32:$AI$40,2,TRUE),"")</f>
        <v/>
      </c>
      <c r="H58" s="107" t="str">
        <f>_xlfn.IFNA(VLOOKUP(I58,'Base dati fantasquadre'!$AH$32:$AI$40,2,TRUE),"")</f>
        <v/>
      </c>
      <c r="I58" s="106" t="str" cm="1">
        <f t="array" ref="I58">_xlfn.XLOOKUP(CONCATENATE(D58,J58),'Base dati fantasquadre'!$A$2:$A$211,Tabella3[Pt Tot],"")</f>
        <v/>
      </c>
      <c r="J58" s="111"/>
      <c r="K58" s="71"/>
      <c r="L58" s="71"/>
      <c r="O58" s="3" t="s">
        <v>162</v>
      </c>
      <c r="P58" s="3" t="s">
        <v>476</v>
      </c>
      <c r="R58" s="3">
        <f t="shared" si="10"/>
        <v>0</v>
      </c>
      <c r="S58" s="3">
        <f t="shared" si="11"/>
        <v>0</v>
      </c>
      <c r="T58"/>
      <c r="U58" s="71"/>
      <c r="V58" s="71"/>
      <c r="W58" s="71"/>
      <c r="X58" s="71"/>
      <c r="Y58" s="71"/>
      <c r="Z58" s="71"/>
      <c r="AA58" s="71"/>
      <c r="AB58" s="71"/>
    </row>
    <row r="59" spans="1:28" ht="15.6" thickTop="1" thickBot="1" x14ac:dyDescent="0.35">
      <c r="A59" s="71"/>
      <c r="B59" s="71"/>
      <c r="C59" s="71"/>
      <c r="D59" s="130">
        <v>11</v>
      </c>
      <c r="E59" s="133"/>
      <c r="F59" s="106" t="str" cm="1">
        <f t="array" ref="F59">_xlfn.XLOOKUP(CONCATENATE(D59,E59),'Base dati fantasquadre'!$A$2:$A$211,Tabella3[Pt Tot],"")</f>
        <v/>
      </c>
      <c r="G59" s="107" t="str">
        <f>_xlfn.IFNA(VLOOKUP(F59,'Base dati fantasquadre'!$AH$32:$AI$40,2,TRUE),"")</f>
        <v/>
      </c>
      <c r="H59" s="107" t="str">
        <f>_xlfn.IFNA(VLOOKUP(I59,'Base dati fantasquadre'!$AH$32:$AI$40,2,TRUE),"")</f>
        <v/>
      </c>
      <c r="I59" s="106" t="str" cm="1">
        <f t="array" ref="I59">_xlfn.XLOOKUP(CONCATENATE(D59,J59),'Base dati fantasquadre'!$A$2:$A$211,Tabella3[Pt Tot],"")</f>
        <v/>
      </c>
      <c r="J59" s="111"/>
      <c r="K59" s="71"/>
      <c r="L59" s="71"/>
      <c r="O59" s="3" t="s">
        <v>161</v>
      </c>
      <c r="P59" s="3" t="s">
        <v>474</v>
      </c>
      <c r="R59" s="3">
        <f t="shared" si="10"/>
        <v>0</v>
      </c>
      <c r="S59" s="3">
        <f t="shared" si="11"/>
        <v>0</v>
      </c>
      <c r="T59"/>
      <c r="U59" s="71"/>
      <c r="V59" s="71"/>
      <c r="W59" s="71"/>
      <c r="X59" s="71"/>
      <c r="Y59" s="71"/>
      <c r="Z59" s="71"/>
      <c r="AA59" s="71"/>
      <c r="AB59" s="71"/>
    </row>
    <row r="60" spans="1:28" ht="15.6" thickTop="1" thickBot="1" x14ac:dyDescent="0.35">
      <c r="A60" s="71"/>
      <c r="B60" s="71"/>
      <c r="C60" s="71"/>
      <c r="D60" s="130">
        <v>11</v>
      </c>
      <c r="E60" s="133"/>
      <c r="F60" s="106" t="str" cm="1">
        <f t="array" ref="F60">_xlfn.XLOOKUP(CONCATENATE(D60,E60),'Base dati fantasquadre'!$A$2:$A$211,Tabella3[Pt Tot],"")</f>
        <v/>
      </c>
      <c r="G60" s="107" t="str">
        <f>_xlfn.IFNA(VLOOKUP(F60,'Base dati fantasquadre'!$AH$32:$AI$40,2,TRUE),"")</f>
        <v/>
      </c>
      <c r="H60" s="107" t="str">
        <f>_xlfn.IFNA(VLOOKUP(I60,'Base dati fantasquadre'!$AH$32:$AI$40,2,TRUE),"")</f>
        <v/>
      </c>
      <c r="I60" s="106" t="str" cm="1">
        <f t="array" ref="I60">_xlfn.XLOOKUP(CONCATENATE(D60,J60),'Base dati fantasquadre'!$A$2:$A$211,Tabella3[Pt Tot],"")</f>
        <v/>
      </c>
      <c r="J60" s="111"/>
      <c r="K60" s="71"/>
      <c r="L60" s="71"/>
      <c r="O60" s="3" t="s">
        <v>473</v>
      </c>
      <c r="P60" s="3" t="s">
        <v>163</v>
      </c>
      <c r="R60" s="3">
        <f t="shared" si="10"/>
        <v>0</v>
      </c>
      <c r="S60" s="3">
        <f t="shared" si="11"/>
        <v>0</v>
      </c>
      <c r="T60"/>
      <c r="U60" s="71"/>
      <c r="V60" s="71"/>
      <c r="W60" s="71"/>
      <c r="X60" s="71"/>
      <c r="Y60" s="71"/>
      <c r="Z60" s="71"/>
      <c r="AA60" s="71"/>
      <c r="AB60" s="71"/>
    </row>
    <row r="61" spans="1:28" ht="15.6" thickTop="1" thickBot="1" x14ac:dyDescent="0.35">
      <c r="A61" s="71"/>
      <c r="B61" s="71"/>
      <c r="C61" s="71"/>
      <c r="D61" s="130">
        <v>12</v>
      </c>
      <c r="E61" s="133"/>
      <c r="F61" s="106" t="str" cm="1">
        <f t="array" ref="F61">_xlfn.XLOOKUP(CONCATENATE(D61,E61),'Base dati fantasquadre'!$A$2:$A$211,Tabella3[Pt Tot],"")</f>
        <v/>
      </c>
      <c r="G61" s="107" t="str">
        <f>_xlfn.IFNA(VLOOKUP(F61,'Base dati fantasquadre'!$AH$32:$AI$40,2,TRUE),"")</f>
        <v/>
      </c>
      <c r="H61" s="107" t="str">
        <f>_xlfn.IFNA(VLOOKUP(I61,'Base dati fantasquadre'!$AH$32:$AI$40,2,TRUE),"")</f>
        <v/>
      </c>
      <c r="I61" s="106" t="str" cm="1">
        <f t="array" ref="I61">_xlfn.XLOOKUP(CONCATENATE(D61,J61),'Base dati fantasquadre'!$A$2:$A$211,Tabella3[Pt Tot],"")</f>
        <v/>
      </c>
      <c r="J61" s="111"/>
      <c r="K61" s="71"/>
      <c r="L61" s="71"/>
      <c r="O61" s="3" t="s">
        <v>161</v>
      </c>
      <c r="P61" s="3" t="s">
        <v>162</v>
      </c>
      <c r="R61" s="3">
        <f t="shared" si="10"/>
        <v>0</v>
      </c>
      <c r="S61" s="3">
        <f t="shared" si="11"/>
        <v>0</v>
      </c>
      <c r="T61"/>
      <c r="U61" s="71"/>
      <c r="V61" s="71"/>
      <c r="W61" s="71"/>
      <c r="X61" s="71"/>
      <c r="Y61" s="71"/>
      <c r="Z61" s="71"/>
      <c r="AA61" s="71"/>
      <c r="AB61" s="71"/>
    </row>
    <row r="62" spans="1:28" ht="15.6" thickTop="1" thickBot="1" x14ac:dyDescent="0.35">
      <c r="A62" s="71"/>
      <c r="B62" s="71"/>
      <c r="C62" s="71"/>
      <c r="D62" s="130">
        <v>12</v>
      </c>
      <c r="E62" s="133"/>
      <c r="F62" s="106" t="str" cm="1">
        <f t="array" ref="F62">_xlfn.XLOOKUP(CONCATENATE(D62,E62),'Base dati fantasquadre'!$A$2:$A$211,Tabella3[Pt Tot],"")</f>
        <v/>
      </c>
      <c r="G62" s="107" t="str">
        <f>_xlfn.IFNA(VLOOKUP(F62,'Base dati fantasquadre'!$AH$32:$AI$40,2,TRUE),"")</f>
        <v/>
      </c>
      <c r="H62" s="107" t="str">
        <f>_xlfn.IFNA(VLOOKUP(I62,'Base dati fantasquadre'!$AH$32:$AI$40,2,TRUE),"")</f>
        <v/>
      </c>
      <c r="I62" s="106" t="str" cm="1">
        <f t="array" ref="I62">_xlfn.XLOOKUP(CONCATENATE(D62,J62),'Base dati fantasquadre'!$A$2:$A$211,Tabella3[Pt Tot],"")</f>
        <v/>
      </c>
      <c r="J62" s="111"/>
      <c r="K62" s="71"/>
      <c r="L62" s="71"/>
      <c r="O62" s="3" t="s">
        <v>474</v>
      </c>
      <c r="P62" s="3" t="s">
        <v>476</v>
      </c>
      <c r="R62" s="3">
        <f t="shared" si="10"/>
        <v>0</v>
      </c>
      <c r="S62" s="3">
        <f t="shared" si="11"/>
        <v>0</v>
      </c>
      <c r="T62"/>
      <c r="U62" s="71"/>
      <c r="V62" s="71"/>
      <c r="W62" s="71"/>
      <c r="X62" s="71"/>
      <c r="Y62" s="71"/>
      <c r="Z62" s="71"/>
      <c r="AA62" s="71"/>
      <c r="AB62" s="71"/>
    </row>
    <row r="63" spans="1:28" ht="15.6" thickTop="1" thickBot="1" x14ac:dyDescent="0.35">
      <c r="A63" s="71"/>
      <c r="B63" s="71"/>
      <c r="C63" s="71"/>
      <c r="D63" s="130">
        <v>12</v>
      </c>
      <c r="E63" s="133"/>
      <c r="F63" s="106" t="str" cm="1">
        <f t="array" ref="F63">_xlfn.XLOOKUP(CONCATENATE(D63,E63),'Base dati fantasquadre'!$A$2:$A$211,Tabella3[Pt Tot],"")</f>
        <v/>
      </c>
      <c r="G63" s="107" t="str">
        <f>_xlfn.IFNA(VLOOKUP(F63,'Base dati fantasquadre'!$AH$32:$AI$40,2,TRUE),"")</f>
        <v/>
      </c>
      <c r="H63" s="107" t="str">
        <f>_xlfn.IFNA(VLOOKUP(I63,'Base dati fantasquadre'!$AH$32:$AI$40,2,TRUE),"")</f>
        <v/>
      </c>
      <c r="I63" s="106" t="str" cm="1">
        <f t="array" ref="I63">_xlfn.XLOOKUP(CONCATENATE(D63,J63),'Base dati fantasquadre'!$A$2:$A$211,Tabella3[Pt Tot],"")</f>
        <v/>
      </c>
      <c r="J63" s="111"/>
      <c r="K63" s="71"/>
      <c r="L63" s="71"/>
      <c r="O63" s="3" t="s">
        <v>475</v>
      </c>
      <c r="P63" s="3" t="s">
        <v>2</v>
      </c>
      <c r="R63" s="3">
        <f t="shared" si="10"/>
        <v>0</v>
      </c>
      <c r="S63" s="3">
        <f t="shared" si="11"/>
        <v>0</v>
      </c>
      <c r="T63"/>
      <c r="U63" s="71"/>
      <c r="V63" s="71"/>
      <c r="W63" s="71"/>
      <c r="X63" s="71"/>
      <c r="Y63" s="71"/>
      <c r="Z63" s="71"/>
      <c r="AA63" s="71"/>
      <c r="AB63" s="71"/>
    </row>
    <row r="64" spans="1:28" ht="15.6" thickTop="1" thickBot="1" x14ac:dyDescent="0.35">
      <c r="A64" s="71"/>
      <c r="B64" s="71"/>
      <c r="C64" s="71"/>
      <c r="D64" s="130">
        <v>12</v>
      </c>
      <c r="E64" s="133"/>
      <c r="F64" s="106" t="str" cm="1">
        <f t="array" ref="F64">_xlfn.XLOOKUP(CONCATENATE(D64,E64),'Base dati fantasquadre'!$A$2:$A$211,Tabella3[Pt Tot],"")</f>
        <v/>
      </c>
      <c r="G64" s="107" t="str">
        <f>_xlfn.IFNA(VLOOKUP(F64,'Base dati fantasquadre'!$AH$32:$AI$40,2,TRUE),"")</f>
        <v/>
      </c>
      <c r="H64" s="107" t="str">
        <f>_xlfn.IFNA(VLOOKUP(I64,'Base dati fantasquadre'!$AH$32:$AI$40,2,TRUE),"")</f>
        <v/>
      </c>
      <c r="I64" s="106" t="str" cm="1">
        <f t="array" ref="I64">_xlfn.XLOOKUP(CONCATENATE(D64,J64),'Base dati fantasquadre'!$A$2:$A$211,Tabella3[Pt Tot],"")</f>
        <v/>
      </c>
      <c r="J64" s="111"/>
      <c r="K64" s="71"/>
      <c r="L64" s="71"/>
      <c r="O64" s="3" t="s">
        <v>162</v>
      </c>
      <c r="P64" s="3" t="s">
        <v>163</v>
      </c>
      <c r="R64" s="3">
        <f t="shared" si="10"/>
        <v>0</v>
      </c>
      <c r="S64" s="3">
        <f t="shared" si="11"/>
        <v>0</v>
      </c>
      <c r="T64"/>
      <c r="U64" s="71"/>
      <c r="V64" s="71"/>
      <c r="W64" s="71"/>
      <c r="X64" s="71"/>
      <c r="Y64" s="71"/>
      <c r="Z64" s="71"/>
      <c r="AA64" s="71"/>
      <c r="AB64" s="71"/>
    </row>
    <row r="65" spans="1:28" ht="15.6" thickTop="1" thickBot="1" x14ac:dyDescent="0.35">
      <c r="A65" s="71"/>
      <c r="B65" s="71"/>
      <c r="C65" s="71"/>
      <c r="D65" s="130">
        <v>12</v>
      </c>
      <c r="E65" s="133"/>
      <c r="F65" s="106" t="str" cm="1">
        <f t="array" ref="F65">_xlfn.XLOOKUP(CONCATENATE(D65,E65),'Base dati fantasquadre'!$A$2:$A$211,Tabella3[Pt Tot],"")</f>
        <v/>
      </c>
      <c r="G65" s="107" t="str">
        <f>_xlfn.IFNA(VLOOKUP(F65,'Base dati fantasquadre'!$AH$32:$AI$40,2,TRUE),"")</f>
        <v/>
      </c>
      <c r="H65" s="107" t="str">
        <f>_xlfn.IFNA(VLOOKUP(I65,'Base dati fantasquadre'!$AH$32:$AI$40,2,TRUE),"")</f>
        <v/>
      </c>
      <c r="I65" s="106" t="str" cm="1">
        <f t="array" ref="I65">_xlfn.XLOOKUP(CONCATENATE(D65,J65),'Base dati fantasquadre'!$A$2:$A$211,Tabella3[Pt Tot],"")</f>
        <v/>
      </c>
      <c r="J65" s="111"/>
      <c r="K65" s="71"/>
      <c r="L65" s="71"/>
      <c r="O65" s="3" t="s">
        <v>161</v>
      </c>
      <c r="P65" s="3" t="s">
        <v>473</v>
      </c>
      <c r="R65" s="3">
        <f t="shared" si="10"/>
        <v>0</v>
      </c>
      <c r="S65" s="3">
        <f t="shared" si="11"/>
        <v>0</v>
      </c>
      <c r="T65"/>
      <c r="U65" s="71"/>
      <c r="V65" s="71"/>
      <c r="W65" s="71"/>
      <c r="X65" s="71"/>
      <c r="Y65" s="71"/>
      <c r="Z65" s="71"/>
      <c r="AA65" s="71"/>
      <c r="AB65" s="71"/>
    </row>
    <row r="66" spans="1:28" ht="15.6" thickTop="1" thickBot="1" x14ac:dyDescent="0.35">
      <c r="A66" s="71"/>
      <c r="B66" s="71"/>
      <c r="C66" s="71"/>
      <c r="D66" s="130">
        <v>13</v>
      </c>
      <c r="E66" s="133"/>
      <c r="F66" s="106" t="str" cm="1">
        <f t="array" ref="F66">_xlfn.XLOOKUP(CONCATENATE(D66,E66),'Base dati fantasquadre'!$A$2:$A$211,Tabella3[Pt Tot],"")</f>
        <v/>
      </c>
      <c r="G66" s="107" t="str">
        <f>_xlfn.IFNA(VLOOKUP(F66,'Base dati fantasquadre'!$AH$32:$AI$40,2,TRUE),"")</f>
        <v/>
      </c>
      <c r="H66" s="107" t="str">
        <f>_xlfn.IFNA(VLOOKUP(I66,'Base dati fantasquadre'!$AH$32:$AI$40,2,TRUE),"")</f>
        <v/>
      </c>
      <c r="I66" s="106" t="str" cm="1">
        <f t="array" ref="I66">_xlfn.XLOOKUP(CONCATENATE(D66,J66),'Base dati fantasquadre'!$A$2:$A$211,Tabella3[Pt Tot],"")</f>
        <v/>
      </c>
      <c r="J66" s="111"/>
      <c r="K66" s="71"/>
      <c r="L66" s="71"/>
      <c r="O66" s="3" t="s">
        <v>2</v>
      </c>
      <c r="P66" s="3" t="s">
        <v>476</v>
      </c>
      <c r="R66" s="3">
        <f t="shared" si="10"/>
        <v>0</v>
      </c>
      <c r="S66" s="3">
        <f t="shared" si="11"/>
        <v>0</v>
      </c>
      <c r="T66"/>
      <c r="U66" s="71"/>
      <c r="V66" s="71"/>
      <c r="W66" s="71"/>
      <c r="X66" s="71"/>
      <c r="Y66" s="71"/>
      <c r="Z66" s="71"/>
      <c r="AA66" s="71"/>
      <c r="AB66" s="71"/>
    </row>
    <row r="67" spans="1:28" ht="15.6" thickTop="1" thickBot="1" x14ac:dyDescent="0.35">
      <c r="A67" s="71"/>
      <c r="B67" s="71"/>
      <c r="C67" s="71"/>
      <c r="D67" s="130">
        <v>13</v>
      </c>
      <c r="E67" s="133"/>
      <c r="F67" s="106" t="str" cm="1">
        <f t="array" ref="F67">_xlfn.XLOOKUP(CONCATENATE(D67,E67),'Base dati fantasquadre'!$A$2:$A$211,Tabella3[Pt Tot],"")</f>
        <v/>
      </c>
      <c r="G67" s="107" t="str">
        <f>_xlfn.IFNA(VLOOKUP(F67,'Base dati fantasquadre'!$AH$32:$AI$40,2,TRUE),"")</f>
        <v/>
      </c>
      <c r="H67" s="107" t="str">
        <f>_xlfn.IFNA(VLOOKUP(I67,'Base dati fantasquadre'!$AH$32:$AI$40,2,TRUE),"")</f>
        <v/>
      </c>
      <c r="I67" s="106" t="str" cm="1">
        <f t="array" ref="I67">_xlfn.XLOOKUP(CONCATENATE(D67,J67),'Base dati fantasquadre'!$A$2:$A$211,Tabella3[Pt Tot],"")</f>
        <v/>
      </c>
      <c r="J67" s="111"/>
      <c r="K67" s="71"/>
      <c r="L67" s="71"/>
      <c r="O67" s="3" t="s">
        <v>475</v>
      </c>
      <c r="P67" s="3" t="s">
        <v>474</v>
      </c>
      <c r="R67" s="3">
        <f t="shared" si="10"/>
        <v>0</v>
      </c>
      <c r="S67" s="3">
        <f t="shared" si="11"/>
        <v>0</v>
      </c>
      <c r="T67"/>
      <c r="U67" s="71"/>
      <c r="V67" s="71"/>
      <c r="W67" s="71"/>
      <c r="X67" s="71"/>
      <c r="Y67" s="71"/>
      <c r="Z67" s="71"/>
      <c r="AA67" s="71"/>
      <c r="AB67" s="71"/>
    </row>
    <row r="68" spans="1:28" ht="15.6" thickTop="1" thickBot="1" x14ac:dyDescent="0.35">
      <c r="A68" s="71"/>
      <c r="B68" s="71"/>
      <c r="C68" s="71"/>
      <c r="D68" s="130">
        <v>13</v>
      </c>
      <c r="E68" s="133"/>
      <c r="F68" s="106" t="str" cm="1">
        <f t="array" ref="F68">_xlfn.XLOOKUP(CONCATENATE(D68,E68),'Base dati fantasquadre'!$A$2:$A$211,Tabella3[Pt Tot],"")</f>
        <v/>
      </c>
      <c r="G68" s="107" t="str">
        <f>_xlfn.IFNA(VLOOKUP(F68,'Base dati fantasquadre'!$AH$32:$AI$40,2,TRUE),"")</f>
        <v/>
      </c>
      <c r="H68" s="107" t="str">
        <f>_xlfn.IFNA(VLOOKUP(I68,'Base dati fantasquadre'!$AH$32:$AI$40,2,TRUE),"")</f>
        <v/>
      </c>
      <c r="I68" s="106" t="str" cm="1">
        <f t="array" ref="I68">_xlfn.XLOOKUP(CONCATENATE(D68,J68),'Base dati fantasquadre'!$A$2:$A$211,Tabella3[Pt Tot],"")</f>
        <v/>
      </c>
      <c r="J68" s="111"/>
      <c r="K68" s="71"/>
      <c r="L68" s="71"/>
      <c r="O68" s="3" t="s">
        <v>161</v>
      </c>
      <c r="P68" s="3" t="s">
        <v>163</v>
      </c>
      <c r="R68" s="3">
        <f t="shared" si="10"/>
        <v>0</v>
      </c>
      <c r="S68" s="3">
        <f t="shared" si="11"/>
        <v>0</v>
      </c>
      <c r="T68"/>
      <c r="U68" s="71"/>
      <c r="V68" s="71"/>
      <c r="W68" s="71"/>
      <c r="X68" s="71"/>
      <c r="Y68" s="71"/>
      <c r="Z68" s="71"/>
      <c r="AA68" s="71"/>
      <c r="AB68" s="71"/>
    </row>
    <row r="69" spans="1:28" ht="15.6" thickTop="1" thickBot="1" x14ac:dyDescent="0.35">
      <c r="A69" s="71"/>
      <c r="B69" s="71"/>
      <c r="C69" s="71"/>
      <c r="D69" s="130">
        <v>13</v>
      </c>
      <c r="E69" s="133"/>
      <c r="F69" s="106" t="str" cm="1">
        <f t="array" ref="F69">_xlfn.XLOOKUP(CONCATENATE(D69,E69),'Base dati fantasquadre'!$A$2:$A$211,Tabella3[Pt Tot],"")</f>
        <v/>
      </c>
      <c r="G69" s="107" t="str">
        <f>_xlfn.IFNA(VLOOKUP(F69,'Base dati fantasquadre'!$AH$32:$AI$40,2,TRUE),"")</f>
        <v/>
      </c>
      <c r="H69" s="107" t="str">
        <f>_xlfn.IFNA(VLOOKUP(I69,'Base dati fantasquadre'!$AH$32:$AI$40,2,TRUE),"")</f>
        <v/>
      </c>
      <c r="I69" s="106" t="str" cm="1">
        <f t="array" ref="I69">_xlfn.XLOOKUP(CONCATENATE(D69,J69),'Base dati fantasquadre'!$A$2:$A$211,Tabella3[Pt Tot],"")</f>
        <v/>
      </c>
      <c r="J69" s="111"/>
      <c r="K69" s="71"/>
      <c r="L69" s="71"/>
      <c r="O69" s="3" t="s">
        <v>162</v>
      </c>
      <c r="P69" s="3" t="s">
        <v>473</v>
      </c>
      <c r="R69" s="3">
        <f t="shared" si="10"/>
        <v>0</v>
      </c>
      <c r="S69" s="3">
        <f t="shared" si="11"/>
        <v>0</v>
      </c>
      <c r="T69"/>
      <c r="U69" s="71"/>
      <c r="V69" s="71"/>
      <c r="W69" s="71"/>
      <c r="X69" s="71"/>
      <c r="Y69" s="71"/>
      <c r="Z69" s="71"/>
      <c r="AA69" s="71"/>
      <c r="AB69" s="71"/>
    </row>
    <row r="70" spans="1:28" ht="15.6" thickTop="1" thickBot="1" x14ac:dyDescent="0.35">
      <c r="A70" s="71"/>
      <c r="B70" s="71"/>
      <c r="C70" s="71"/>
      <c r="D70" s="130">
        <v>13</v>
      </c>
      <c r="E70" s="133"/>
      <c r="F70" s="106" t="str" cm="1">
        <f t="array" ref="F70">_xlfn.XLOOKUP(CONCATENATE(D70,E70),'Base dati fantasquadre'!$A$2:$A$211,Tabella3[Pt Tot],"")</f>
        <v/>
      </c>
      <c r="G70" s="107" t="str">
        <f>_xlfn.IFNA(VLOOKUP(F70,'Base dati fantasquadre'!$AH$32:$AI$40,2,TRUE),"")</f>
        <v/>
      </c>
      <c r="H70" s="107" t="str">
        <f>_xlfn.IFNA(VLOOKUP(I70,'Base dati fantasquadre'!$AH$32:$AI$40,2,TRUE),"")</f>
        <v/>
      </c>
      <c r="I70" s="106" t="str" cm="1">
        <f t="array" ref="I70">_xlfn.XLOOKUP(CONCATENATE(D70,J70),'Base dati fantasquadre'!$A$2:$A$211,Tabella3[Pt Tot],"")</f>
        <v/>
      </c>
      <c r="J70" s="111"/>
      <c r="K70" s="71"/>
      <c r="L70" s="71"/>
      <c r="O70" s="3" t="s">
        <v>475</v>
      </c>
      <c r="P70" s="3" t="s">
        <v>476</v>
      </c>
      <c r="R70" s="3">
        <f t="shared" si="10"/>
        <v>0</v>
      </c>
      <c r="S70" s="3">
        <f t="shared" si="11"/>
        <v>0</v>
      </c>
      <c r="T70"/>
      <c r="U70" s="71"/>
      <c r="V70" s="71"/>
      <c r="W70" s="71"/>
      <c r="X70" s="71"/>
      <c r="Y70" s="71"/>
      <c r="Z70" s="71"/>
      <c r="AA70" s="71"/>
      <c r="AB70" s="71"/>
    </row>
    <row r="71" spans="1:28" ht="15.6" thickTop="1" thickBot="1" x14ac:dyDescent="0.35">
      <c r="A71" s="71"/>
      <c r="B71" s="71"/>
      <c r="C71" s="71"/>
      <c r="D71" s="126">
        <v>14</v>
      </c>
      <c r="E71" s="133"/>
      <c r="F71" s="106" t="str" cm="1">
        <f t="array" ref="F71">_xlfn.XLOOKUP(CONCATENATE(D71,E71),'Base dati fantasquadre'!$A$2:$A$211,Tabella3[Pt Tot],"")</f>
        <v/>
      </c>
      <c r="G71" s="107" t="str">
        <f>_xlfn.IFNA(VLOOKUP(F71,'Base dati fantasquadre'!$AH$32:$AI$40,2,TRUE),"")</f>
        <v/>
      </c>
      <c r="H71" s="107" t="str">
        <f>_xlfn.IFNA(VLOOKUP(I71,'Base dati fantasquadre'!$AH$32:$AI$40,2,TRUE),"")</f>
        <v/>
      </c>
      <c r="I71" s="106" t="str" cm="1">
        <f t="array" ref="I71">_xlfn.XLOOKUP(CONCATENATE(D71,J71),'Base dati fantasquadre'!$A$2:$A$211,Tabella3[Pt Tot],"")</f>
        <v/>
      </c>
      <c r="J71" s="111"/>
      <c r="K71" s="71"/>
      <c r="L71" s="71"/>
      <c r="O71" s="3" t="s">
        <v>2</v>
      </c>
      <c r="P71" s="3" t="s">
        <v>474</v>
      </c>
      <c r="R71" s="3">
        <f t="shared" si="10"/>
        <v>0</v>
      </c>
      <c r="S71" s="3">
        <f t="shared" si="11"/>
        <v>0</v>
      </c>
      <c r="T71"/>
      <c r="U71" s="71"/>
      <c r="V71" s="71"/>
      <c r="W71" s="71"/>
      <c r="X71" s="71"/>
      <c r="Y71" s="71"/>
      <c r="Z71" s="71"/>
      <c r="AA71" s="71"/>
      <c r="AB71" s="71"/>
    </row>
    <row r="72" spans="1:28" ht="15.6" thickTop="1" thickBot="1" x14ac:dyDescent="0.35">
      <c r="A72" s="71"/>
      <c r="B72" s="71"/>
      <c r="C72" s="71"/>
      <c r="D72" s="126">
        <v>14</v>
      </c>
      <c r="E72" s="133"/>
      <c r="F72" s="106" t="str" cm="1">
        <f t="array" ref="F72">_xlfn.XLOOKUP(CONCATENATE(D72,E72),'Base dati fantasquadre'!$A$2:$A$211,Tabella3[Pt Tot],"")</f>
        <v/>
      </c>
      <c r="G72" s="107" t="str">
        <f>_xlfn.IFNA(VLOOKUP(F72,'Base dati fantasquadre'!$AH$32:$AI$40,2,TRUE),"")</f>
        <v/>
      </c>
      <c r="H72" s="107" t="str">
        <f>_xlfn.IFNA(VLOOKUP(I72,'Base dati fantasquadre'!$AH$32:$AI$40,2,TRUE),"")</f>
        <v/>
      </c>
      <c r="I72" s="106" t="str" cm="1">
        <f t="array" ref="I72">_xlfn.XLOOKUP(CONCATENATE(D72,J72),'Base dati fantasquadre'!$A$2:$A$211,Tabella3[Pt Tot],"")</f>
        <v/>
      </c>
      <c r="J72" s="111"/>
      <c r="K72" s="71"/>
      <c r="L72" s="71"/>
      <c r="O72" s="3" t="s">
        <v>476</v>
      </c>
      <c r="P72" s="3" t="s">
        <v>163</v>
      </c>
      <c r="R72" s="3">
        <f t="shared" si="10"/>
        <v>0</v>
      </c>
      <c r="S72" s="3">
        <f t="shared" si="11"/>
        <v>0</v>
      </c>
      <c r="T72"/>
      <c r="U72" s="71"/>
      <c r="V72" s="71"/>
      <c r="W72" s="71"/>
      <c r="X72" s="71"/>
      <c r="Y72" s="71"/>
      <c r="Z72" s="71"/>
      <c r="AA72" s="71"/>
      <c r="AB72" s="71"/>
    </row>
    <row r="73" spans="1:28" ht="15.6" thickTop="1" thickBot="1" x14ac:dyDescent="0.35">
      <c r="A73" s="71"/>
      <c r="B73" s="71"/>
      <c r="C73" s="71"/>
      <c r="D73" s="126">
        <v>14</v>
      </c>
      <c r="E73" s="133"/>
      <c r="F73" s="106" t="str" cm="1">
        <f t="array" ref="F73">_xlfn.XLOOKUP(CONCATENATE(D73,E73),'Base dati fantasquadre'!$A$2:$A$211,Tabella3[Pt Tot],"")</f>
        <v/>
      </c>
      <c r="G73" s="107" t="str">
        <f>_xlfn.IFNA(VLOOKUP(F73,'Base dati fantasquadre'!$AH$32:$AI$40,2,TRUE),"")</f>
        <v/>
      </c>
      <c r="H73" s="107" t="str">
        <f>_xlfn.IFNA(VLOOKUP(I73,'Base dati fantasquadre'!$AH$32:$AI$40,2,TRUE),"")</f>
        <v/>
      </c>
      <c r="I73" s="106" t="str" cm="1">
        <f t="array" ref="I73">_xlfn.XLOOKUP(CONCATENATE(D73,J73),'Base dati fantasquadre'!$A$2:$A$211,Tabella3[Pt Tot],"")</f>
        <v/>
      </c>
      <c r="J73" s="111"/>
      <c r="K73" s="71"/>
      <c r="L73" s="71"/>
      <c r="O73" s="3" t="s">
        <v>474</v>
      </c>
      <c r="P73" s="3" t="s">
        <v>473</v>
      </c>
      <c r="R73" s="3">
        <f t="shared" si="10"/>
        <v>0</v>
      </c>
      <c r="S73" s="3">
        <f t="shared" si="11"/>
        <v>0</v>
      </c>
      <c r="T73"/>
      <c r="U73" s="71"/>
      <c r="V73" s="71"/>
      <c r="W73" s="71"/>
      <c r="X73" s="71"/>
      <c r="Y73" s="71"/>
      <c r="Z73" s="71"/>
      <c r="AA73" s="71"/>
      <c r="AB73" s="71"/>
    </row>
    <row r="74" spans="1:28" ht="15.6" thickTop="1" thickBot="1" x14ac:dyDescent="0.35">
      <c r="A74" s="71"/>
      <c r="B74" s="71"/>
      <c r="C74" s="71"/>
      <c r="D74" s="126">
        <v>14</v>
      </c>
      <c r="E74" s="133"/>
      <c r="F74" s="106" t="str" cm="1">
        <f t="array" ref="F74">_xlfn.XLOOKUP(CONCATENATE(D74,E74),'Base dati fantasquadre'!$A$2:$A$211,Tabella3[Pt Tot],"")</f>
        <v/>
      </c>
      <c r="G74" s="107" t="str">
        <f>_xlfn.IFNA(VLOOKUP(F74,'Base dati fantasquadre'!$AH$32:$AI$40,2,TRUE),"")</f>
        <v/>
      </c>
      <c r="H74" s="107" t="str">
        <f>_xlfn.IFNA(VLOOKUP(I74,'Base dati fantasquadre'!$AH$32:$AI$40,2,TRUE),"")</f>
        <v/>
      </c>
      <c r="I74" s="106" t="str" cm="1">
        <f t="array" ref="I74">_xlfn.XLOOKUP(CONCATENATE(D74,J74),'Base dati fantasquadre'!$A$2:$A$211,Tabella3[Pt Tot],"")</f>
        <v/>
      </c>
      <c r="J74" s="111"/>
      <c r="K74" s="71"/>
      <c r="L74" s="71"/>
      <c r="O74" s="3" t="s">
        <v>2</v>
      </c>
      <c r="P74" s="3" t="s">
        <v>162</v>
      </c>
      <c r="R74" s="3">
        <f t="shared" si="10"/>
        <v>0</v>
      </c>
      <c r="S74" s="3">
        <f t="shared" si="11"/>
        <v>0</v>
      </c>
      <c r="T74"/>
      <c r="U74" s="71"/>
      <c r="V74" s="71"/>
      <c r="W74" s="71"/>
      <c r="X74" s="71"/>
      <c r="Y74" s="71"/>
      <c r="Z74" s="71"/>
      <c r="AA74" s="71"/>
      <c r="AB74" s="71"/>
    </row>
    <row r="75" spans="1:28" ht="15.6" thickTop="1" thickBot="1" x14ac:dyDescent="0.35">
      <c r="A75" s="71"/>
      <c r="B75" s="71"/>
      <c r="C75" s="71"/>
      <c r="D75" s="126">
        <v>14</v>
      </c>
      <c r="E75" s="133"/>
      <c r="F75" s="106" t="str" cm="1">
        <f t="array" ref="F75">_xlfn.XLOOKUP(CONCATENATE(D75,E75),'Base dati fantasquadre'!$A$2:$A$211,Tabella3[Pt Tot],"")</f>
        <v/>
      </c>
      <c r="G75" s="107" t="str">
        <f>_xlfn.IFNA(VLOOKUP(F75,'Base dati fantasquadre'!$AH$32:$AI$40,2,TRUE),"")</f>
        <v/>
      </c>
      <c r="H75" s="107" t="str">
        <f>_xlfn.IFNA(VLOOKUP(I75,'Base dati fantasquadre'!$AH$32:$AI$40,2,TRUE),"")</f>
        <v/>
      </c>
      <c r="I75" s="106" t="str" cm="1">
        <f t="array" ref="I75">_xlfn.XLOOKUP(CONCATENATE(D75,J75),'Base dati fantasquadre'!$A$2:$A$211,Tabella3[Pt Tot],"")</f>
        <v/>
      </c>
      <c r="J75" s="111"/>
      <c r="K75" s="71"/>
      <c r="L75" s="71"/>
      <c r="O75" s="3" t="s">
        <v>475</v>
      </c>
      <c r="P75" s="3" t="s">
        <v>161</v>
      </c>
      <c r="R75" s="3">
        <f t="shared" si="10"/>
        <v>0</v>
      </c>
      <c r="S75" s="3">
        <f t="shared" si="11"/>
        <v>0</v>
      </c>
      <c r="T75"/>
      <c r="U75" s="71"/>
      <c r="V75" s="71"/>
      <c r="W75" s="71"/>
      <c r="X75" s="71"/>
      <c r="Y75" s="71"/>
      <c r="Z75" s="71"/>
      <c r="AA75" s="71"/>
      <c r="AB75" s="71"/>
    </row>
    <row r="76" spans="1:28" ht="15.6" thickTop="1" thickBot="1" x14ac:dyDescent="0.35">
      <c r="A76" s="71"/>
      <c r="B76" s="71"/>
      <c r="C76" s="71"/>
      <c r="D76" s="130">
        <v>15</v>
      </c>
      <c r="E76" s="133"/>
      <c r="F76" s="106" t="str" cm="1">
        <f t="array" ref="F76">_xlfn.XLOOKUP(CONCATENATE(D76,E76),'Base dati fantasquadre'!$A$2:$A$211,Tabella3[Pt Tot],"")</f>
        <v/>
      </c>
      <c r="G76" s="107" t="str">
        <f>_xlfn.IFNA(VLOOKUP(F76,'Base dati fantasquadre'!$AH$32:$AI$40,2,TRUE),"")</f>
        <v/>
      </c>
      <c r="H76" s="107" t="str">
        <f>_xlfn.IFNA(VLOOKUP(I76,'Base dati fantasquadre'!$AH$32:$AI$40,2,TRUE),"")</f>
        <v/>
      </c>
      <c r="I76" s="106" t="str" cm="1">
        <f t="array" ref="I76">_xlfn.XLOOKUP(CONCATENATE(D76,J76),'Base dati fantasquadre'!$A$2:$A$211,Tabella3[Pt Tot],"")</f>
        <v/>
      </c>
      <c r="J76" s="111"/>
      <c r="K76" s="71"/>
      <c r="L76" s="71"/>
      <c r="O76" s="3" t="s">
        <v>475</v>
      </c>
      <c r="P76" s="3" t="s">
        <v>163</v>
      </c>
      <c r="R76" s="3">
        <f t="shared" si="10"/>
        <v>0</v>
      </c>
      <c r="S76" s="3">
        <f t="shared" si="11"/>
        <v>0</v>
      </c>
      <c r="T76"/>
      <c r="U76" s="71"/>
      <c r="V76" s="71"/>
      <c r="W76" s="71"/>
      <c r="X76" s="71"/>
      <c r="Y76" s="71"/>
      <c r="Z76" s="71"/>
      <c r="AA76" s="71"/>
      <c r="AB76" s="71"/>
    </row>
    <row r="77" spans="1:28" ht="15.6" thickTop="1" thickBot="1" x14ac:dyDescent="0.35">
      <c r="A77" s="71"/>
      <c r="B77" s="71"/>
      <c r="C77" s="71"/>
      <c r="D77" s="130">
        <v>15</v>
      </c>
      <c r="E77" s="133"/>
      <c r="F77" s="106" t="str" cm="1">
        <f t="array" ref="F77">_xlfn.XLOOKUP(CONCATENATE(D77,E77),'Base dati fantasquadre'!$A$2:$A$211,Tabella3[Pt Tot],"")</f>
        <v/>
      </c>
      <c r="G77" s="107" t="str">
        <f>_xlfn.IFNA(VLOOKUP(F77,'Base dati fantasquadre'!$AH$32:$AI$40,2,TRUE),"")</f>
        <v/>
      </c>
      <c r="H77" s="107" t="str">
        <f>_xlfn.IFNA(VLOOKUP(I77,'Base dati fantasquadre'!$AH$32:$AI$40,2,TRUE),"")</f>
        <v/>
      </c>
      <c r="I77" s="106" t="str" cm="1">
        <f t="array" ref="I77">_xlfn.XLOOKUP(CONCATENATE(D77,J77),'Base dati fantasquadre'!$A$2:$A$211,Tabella3[Pt Tot],"")</f>
        <v/>
      </c>
      <c r="J77" s="111"/>
      <c r="K77" s="71"/>
      <c r="L77" s="71"/>
      <c r="O77" s="3" t="s">
        <v>2</v>
      </c>
      <c r="P77" s="3" t="s">
        <v>473</v>
      </c>
      <c r="R77" s="3">
        <f t="shared" si="10"/>
        <v>0</v>
      </c>
      <c r="S77" s="3">
        <f t="shared" si="11"/>
        <v>0</v>
      </c>
      <c r="T77"/>
      <c r="U77" s="71"/>
      <c r="V77" s="71"/>
      <c r="W77" s="71"/>
      <c r="X77" s="71"/>
      <c r="Y77" s="71"/>
      <c r="Z77" s="71"/>
      <c r="AA77" s="71"/>
      <c r="AB77" s="71"/>
    </row>
    <row r="78" spans="1:28" ht="15.6" thickTop="1" thickBot="1" x14ac:dyDescent="0.35">
      <c r="A78" s="71"/>
      <c r="B78" s="71"/>
      <c r="C78" s="71"/>
      <c r="D78" s="130">
        <v>15</v>
      </c>
      <c r="E78" s="133"/>
      <c r="F78" s="106" t="str" cm="1">
        <f t="array" ref="F78">_xlfn.XLOOKUP(CONCATENATE(D78,E78),'Base dati fantasquadre'!$A$2:$A$211,Tabella3[Pt Tot],"")</f>
        <v/>
      </c>
      <c r="G78" s="107" t="str">
        <f>_xlfn.IFNA(VLOOKUP(F78,'Base dati fantasquadre'!$AH$32:$AI$40,2,TRUE),"")</f>
        <v/>
      </c>
      <c r="H78" s="107" t="str">
        <f>_xlfn.IFNA(VLOOKUP(I78,'Base dati fantasquadre'!$AH$32:$AI$40,2,TRUE),"")</f>
        <v/>
      </c>
      <c r="I78" s="106" t="str" cm="1">
        <f t="array" ref="I78">_xlfn.XLOOKUP(CONCATENATE(D78,J78),'Base dati fantasquadre'!$A$2:$A$211,Tabella3[Pt Tot],"")</f>
        <v/>
      </c>
      <c r="J78" s="111"/>
      <c r="K78" s="71"/>
      <c r="L78" s="71"/>
      <c r="O78" s="3" t="s">
        <v>474</v>
      </c>
      <c r="P78" s="3" t="s">
        <v>162</v>
      </c>
      <c r="R78" s="3">
        <f t="shared" si="10"/>
        <v>0</v>
      </c>
      <c r="S78" s="3">
        <f t="shared" si="11"/>
        <v>0</v>
      </c>
      <c r="T78"/>
      <c r="U78" s="71"/>
      <c r="V78" s="71"/>
      <c r="W78" s="71"/>
      <c r="X78" s="71"/>
      <c r="Y78" s="71"/>
      <c r="Z78" s="71"/>
      <c r="AA78" s="71"/>
      <c r="AB78" s="71"/>
    </row>
    <row r="79" spans="1:28" ht="15.6" thickTop="1" thickBot="1" x14ac:dyDescent="0.35">
      <c r="A79" s="71"/>
      <c r="B79" s="71"/>
      <c r="C79" s="71"/>
      <c r="D79" s="130">
        <v>15</v>
      </c>
      <c r="E79" s="133"/>
      <c r="F79" s="106" t="str" cm="1">
        <f t="array" ref="F79">_xlfn.XLOOKUP(CONCATENATE(D79,E79),'Base dati fantasquadre'!$A$2:$A$211,Tabella3[Pt Tot],"")</f>
        <v/>
      </c>
      <c r="G79" s="107" t="str">
        <f>_xlfn.IFNA(VLOOKUP(F79,'Base dati fantasquadre'!$AH$32:$AI$40,2,TRUE),"")</f>
        <v/>
      </c>
      <c r="H79" s="107" t="str">
        <f>_xlfn.IFNA(VLOOKUP(I79,'Base dati fantasquadre'!$AH$32:$AI$40,2,TRUE),"")</f>
        <v/>
      </c>
      <c r="I79" s="106" t="str" cm="1">
        <f t="array" ref="I79">_xlfn.XLOOKUP(CONCATENATE(D79,J79),'Base dati fantasquadre'!$A$2:$A$211,Tabella3[Pt Tot],"")</f>
        <v/>
      </c>
      <c r="J79" s="111"/>
      <c r="K79" s="71"/>
      <c r="L79" s="71"/>
      <c r="O79" s="3" t="s">
        <v>476</v>
      </c>
      <c r="P79" s="3" t="s">
        <v>161</v>
      </c>
      <c r="R79" s="3">
        <f t="shared" si="10"/>
        <v>0</v>
      </c>
      <c r="S79" s="3">
        <f t="shared" si="11"/>
        <v>0</v>
      </c>
      <c r="T79"/>
      <c r="U79" s="71"/>
      <c r="V79" s="71"/>
      <c r="W79" s="71"/>
      <c r="X79" s="71"/>
      <c r="Y79" s="71"/>
      <c r="Z79" s="71"/>
      <c r="AA79" s="71"/>
      <c r="AB79" s="71"/>
    </row>
    <row r="80" spans="1:28" ht="15.6" thickTop="1" thickBot="1" x14ac:dyDescent="0.35">
      <c r="A80" s="71"/>
      <c r="B80" s="71"/>
      <c r="C80" s="71"/>
      <c r="D80" s="130">
        <v>15</v>
      </c>
      <c r="E80" s="133"/>
      <c r="F80" s="106" t="str" cm="1">
        <f t="array" ref="F80">_xlfn.XLOOKUP(CONCATENATE(D80,E80),'Base dati fantasquadre'!$A$2:$A$211,Tabella3[Pt Tot],"")</f>
        <v/>
      </c>
      <c r="G80" s="107" t="str">
        <f>_xlfn.IFNA(VLOOKUP(F80,'Base dati fantasquadre'!$AH$32:$AI$40,2,TRUE),"")</f>
        <v/>
      </c>
      <c r="H80" s="107" t="str">
        <f>_xlfn.IFNA(VLOOKUP(I80,'Base dati fantasquadre'!$AH$32:$AI$40,2,TRUE),"")</f>
        <v/>
      </c>
      <c r="I80" s="106" t="str" cm="1">
        <f t="array" ref="I80">_xlfn.XLOOKUP(CONCATENATE(D80,J80),'Base dati fantasquadre'!$A$2:$A$211,Tabella3[Pt Tot],"")</f>
        <v/>
      </c>
      <c r="J80" s="111"/>
      <c r="K80" s="71"/>
      <c r="L80" s="71"/>
      <c r="O80" s="3" t="s">
        <v>474</v>
      </c>
      <c r="P80" s="3" t="s">
        <v>163</v>
      </c>
      <c r="R80" s="3">
        <f t="shared" si="10"/>
        <v>0</v>
      </c>
      <c r="S80" s="3">
        <f t="shared" si="11"/>
        <v>0</v>
      </c>
      <c r="T80"/>
      <c r="U80" s="71"/>
      <c r="V80" s="71"/>
      <c r="W80" s="71"/>
      <c r="X80" s="71"/>
      <c r="Y80" s="71"/>
      <c r="Z80" s="71"/>
      <c r="AA80" s="71"/>
      <c r="AB80" s="71"/>
    </row>
    <row r="81" spans="1:28" ht="15.6" thickTop="1" thickBot="1" x14ac:dyDescent="0.35">
      <c r="A81" s="71"/>
      <c r="B81" s="71"/>
      <c r="C81" s="71"/>
      <c r="D81" s="130">
        <v>16</v>
      </c>
      <c r="E81" s="133"/>
      <c r="F81" s="106" t="str" cm="1">
        <f t="array" ref="F81">_xlfn.XLOOKUP(CONCATENATE(D81,E81),'Base dati fantasquadre'!$A$2:$A$211,Tabella3[Pt Tot],"")</f>
        <v/>
      </c>
      <c r="G81" s="107" t="str">
        <f>_xlfn.IFNA(VLOOKUP(F81,'Base dati fantasquadre'!$AH$32:$AI$40,2,TRUE),"")</f>
        <v/>
      </c>
      <c r="H81" s="107" t="str">
        <f>_xlfn.IFNA(VLOOKUP(I81,'Base dati fantasquadre'!$AH$32:$AI$40,2,TRUE),"")</f>
        <v/>
      </c>
      <c r="I81" s="106" t="str" cm="1">
        <f t="array" ref="I81">_xlfn.XLOOKUP(CONCATENATE(D81,J81),'Base dati fantasquadre'!$A$2:$A$211,Tabella3[Pt Tot],"")</f>
        <v/>
      </c>
      <c r="J81" s="111"/>
      <c r="K81" s="71"/>
      <c r="L81" s="71"/>
      <c r="O81" s="3" t="s">
        <v>476</v>
      </c>
      <c r="P81" s="3" t="s">
        <v>473</v>
      </c>
      <c r="R81" s="3">
        <f t="shared" si="10"/>
        <v>0</v>
      </c>
      <c r="S81" s="3">
        <f t="shared" si="11"/>
        <v>0</v>
      </c>
      <c r="T81"/>
      <c r="U81" s="71"/>
      <c r="V81" s="71"/>
      <c r="W81" s="71"/>
      <c r="X81" s="71"/>
      <c r="Y81" s="71"/>
      <c r="Z81" s="71"/>
      <c r="AA81" s="71"/>
      <c r="AB81" s="71"/>
    </row>
    <row r="82" spans="1:28" ht="15.6" thickTop="1" thickBot="1" x14ac:dyDescent="0.35">
      <c r="A82" s="71"/>
      <c r="B82" s="71"/>
      <c r="C82" s="71"/>
      <c r="D82" s="130">
        <v>16</v>
      </c>
      <c r="E82" s="133"/>
      <c r="F82" s="106" t="str" cm="1">
        <f t="array" ref="F82">_xlfn.XLOOKUP(CONCATENATE(D82,E82),'Base dati fantasquadre'!$A$2:$A$211,Tabella3[Pt Tot],"")</f>
        <v/>
      </c>
      <c r="G82" s="107" t="str">
        <f>_xlfn.IFNA(VLOOKUP(F82,'Base dati fantasquadre'!$AH$32:$AI$40,2,TRUE),"")</f>
        <v/>
      </c>
      <c r="H82" s="107" t="str">
        <f>_xlfn.IFNA(VLOOKUP(I82,'Base dati fantasquadre'!$AH$32:$AI$40,2,TRUE),"")</f>
        <v/>
      </c>
      <c r="I82" s="106" t="str" cm="1">
        <f t="array" ref="I82">_xlfn.XLOOKUP(CONCATENATE(D82,J82),'Base dati fantasquadre'!$A$2:$A$211,Tabella3[Pt Tot],"")</f>
        <v/>
      </c>
      <c r="J82" s="111"/>
      <c r="K82" s="71"/>
      <c r="L82" s="71"/>
      <c r="O82" s="3" t="s">
        <v>475</v>
      </c>
      <c r="P82" s="3" t="s">
        <v>162</v>
      </c>
      <c r="R82" s="3">
        <f t="shared" si="10"/>
        <v>0</v>
      </c>
      <c r="S82" s="3">
        <f t="shared" si="11"/>
        <v>0</v>
      </c>
      <c r="T82"/>
      <c r="U82" s="71"/>
      <c r="V82" s="71"/>
      <c r="W82" s="71"/>
      <c r="X82" s="71"/>
      <c r="Y82" s="71"/>
      <c r="Z82" s="71"/>
      <c r="AA82" s="71"/>
      <c r="AB82" s="71"/>
    </row>
    <row r="83" spans="1:28" ht="15.6" thickTop="1" thickBot="1" x14ac:dyDescent="0.35">
      <c r="A83" s="71"/>
      <c r="B83" s="71"/>
      <c r="C83" s="71"/>
      <c r="D83" s="130">
        <v>16</v>
      </c>
      <c r="E83" s="133"/>
      <c r="F83" s="106" t="str" cm="1">
        <f t="array" ref="F83">_xlfn.XLOOKUP(CONCATENATE(D83,E83),'Base dati fantasquadre'!$A$2:$A$211,Tabella3[Pt Tot],"")</f>
        <v/>
      </c>
      <c r="G83" s="107" t="str">
        <f>_xlfn.IFNA(VLOOKUP(F83,'Base dati fantasquadre'!$AH$32:$AI$40,2,TRUE),"")</f>
        <v/>
      </c>
      <c r="H83" s="107" t="str">
        <f>_xlfn.IFNA(VLOOKUP(I83,'Base dati fantasquadre'!$AH$32:$AI$40,2,TRUE),"")</f>
        <v/>
      </c>
      <c r="I83" s="106" t="str" cm="1">
        <f t="array" ref="I83">_xlfn.XLOOKUP(CONCATENATE(D83,J83),'Base dati fantasquadre'!$A$2:$A$211,Tabella3[Pt Tot],"")</f>
        <v/>
      </c>
      <c r="J83" s="111"/>
      <c r="K83" s="71"/>
      <c r="L83" s="71"/>
      <c r="O83" s="3" t="s">
        <v>2</v>
      </c>
      <c r="P83" s="3" t="s">
        <v>161</v>
      </c>
      <c r="R83" s="3">
        <f t="shared" si="10"/>
        <v>0</v>
      </c>
      <c r="S83" s="3">
        <f t="shared" si="11"/>
        <v>0</v>
      </c>
      <c r="T83"/>
      <c r="U83" s="71"/>
      <c r="V83" s="71"/>
      <c r="W83" s="71"/>
      <c r="X83" s="71"/>
      <c r="Y83" s="71"/>
      <c r="Z83" s="71"/>
      <c r="AA83" s="71"/>
      <c r="AB83" s="71"/>
    </row>
    <row r="84" spans="1:28" ht="15.6" thickTop="1" thickBot="1" x14ac:dyDescent="0.35">
      <c r="A84" s="71"/>
      <c r="B84" s="71"/>
      <c r="C84" s="71"/>
      <c r="D84" s="130">
        <v>16</v>
      </c>
      <c r="E84" s="133"/>
      <c r="F84" s="106" t="str" cm="1">
        <f t="array" ref="F84">_xlfn.XLOOKUP(CONCATENATE(D84,E84),'Base dati fantasquadre'!$A$2:$A$211,Tabella3[Pt Tot],"")</f>
        <v/>
      </c>
      <c r="G84" s="107" t="str">
        <f>_xlfn.IFNA(VLOOKUP(F84,'Base dati fantasquadre'!$AH$32:$AI$40,2,TRUE),"")</f>
        <v/>
      </c>
      <c r="H84" s="107" t="str">
        <f>_xlfn.IFNA(VLOOKUP(I84,'Base dati fantasquadre'!$AH$32:$AI$40,2,TRUE),"")</f>
        <v/>
      </c>
      <c r="I84" s="106" t="str" cm="1">
        <f t="array" ref="I84">_xlfn.XLOOKUP(CONCATENATE(D84,J84),'Base dati fantasquadre'!$A$2:$A$211,Tabella3[Pt Tot],"")</f>
        <v/>
      </c>
      <c r="J84" s="111"/>
      <c r="K84" s="71"/>
      <c r="L84" s="71"/>
      <c r="O84" s="3" t="s">
        <v>2</v>
      </c>
      <c r="P84" s="3" t="s">
        <v>163</v>
      </c>
      <c r="R84" s="3">
        <f t="shared" si="10"/>
        <v>0</v>
      </c>
      <c r="S84" s="3">
        <f t="shared" si="11"/>
        <v>0</v>
      </c>
      <c r="T84"/>
      <c r="U84" s="71"/>
      <c r="V84" s="71"/>
      <c r="W84" s="71"/>
      <c r="X84" s="71"/>
      <c r="Y84" s="71"/>
      <c r="Z84" s="71"/>
      <c r="AA84" s="71"/>
      <c r="AB84" s="71"/>
    </row>
    <row r="85" spans="1:28" ht="15.6" thickTop="1" thickBot="1" x14ac:dyDescent="0.35">
      <c r="A85" s="71"/>
      <c r="B85" s="71"/>
      <c r="C85" s="71"/>
      <c r="D85" s="130">
        <v>16</v>
      </c>
      <c r="E85" s="133"/>
      <c r="F85" s="106" t="str" cm="1">
        <f t="array" ref="F85">_xlfn.XLOOKUP(CONCATENATE(D85,E85),'Base dati fantasquadre'!$A$2:$A$211,Tabella3[Pt Tot],"")</f>
        <v/>
      </c>
      <c r="G85" s="107" t="str">
        <f>_xlfn.IFNA(VLOOKUP(F85,'Base dati fantasquadre'!$AH$32:$AI$40,2,TRUE),"")</f>
        <v/>
      </c>
      <c r="H85" s="107" t="str">
        <f>_xlfn.IFNA(VLOOKUP(I85,'Base dati fantasquadre'!$AH$32:$AI$40,2,TRUE),"")</f>
        <v/>
      </c>
      <c r="I85" s="106" t="str" cm="1">
        <f t="array" ref="I85">_xlfn.XLOOKUP(CONCATENATE(D85,J85),'Base dati fantasquadre'!$A$2:$A$211,Tabella3[Pt Tot],"")</f>
        <v/>
      </c>
      <c r="J85" s="111"/>
      <c r="K85" s="71"/>
      <c r="L85" s="71"/>
      <c r="O85" s="3" t="s">
        <v>475</v>
      </c>
      <c r="P85" s="3" t="s">
        <v>473</v>
      </c>
      <c r="R85" s="3">
        <f t="shared" si="10"/>
        <v>0</v>
      </c>
      <c r="S85" s="3">
        <f t="shared" si="11"/>
        <v>0</v>
      </c>
      <c r="T85"/>
      <c r="U85" s="71"/>
      <c r="V85" s="71"/>
      <c r="W85" s="71"/>
      <c r="X85" s="71"/>
      <c r="Y85" s="71"/>
      <c r="Z85" s="71"/>
      <c r="AA85" s="71"/>
      <c r="AB85" s="71"/>
    </row>
    <row r="86" spans="1:28" ht="15.6" thickTop="1" thickBot="1" x14ac:dyDescent="0.35">
      <c r="A86" s="71"/>
      <c r="B86" s="71"/>
      <c r="C86" s="71"/>
      <c r="D86" s="130">
        <v>17</v>
      </c>
      <c r="E86" s="133"/>
      <c r="F86" s="106" t="str" cm="1">
        <f t="array" ref="F86">_xlfn.XLOOKUP(CONCATENATE(D86,E86),'Base dati fantasquadre'!$A$2:$A$211,Tabella3[Pt Tot],"")</f>
        <v/>
      </c>
      <c r="G86" s="107" t="str">
        <f>_xlfn.IFNA(VLOOKUP(F86,'Base dati fantasquadre'!$AH$32:$AI$40,2,TRUE),"")</f>
        <v/>
      </c>
      <c r="H86" s="107" t="str">
        <f>_xlfn.IFNA(VLOOKUP(I86,'Base dati fantasquadre'!$AH$32:$AI$40,2,TRUE),"")</f>
        <v/>
      </c>
      <c r="I86" s="106" t="str" cm="1">
        <f t="array" ref="I86">_xlfn.XLOOKUP(CONCATENATE(D86,J86),'Base dati fantasquadre'!$A$2:$A$211,Tabella3[Pt Tot],"")</f>
        <v/>
      </c>
      <c r="J86" s="111"/>
      <c r="K86" s="71"/>
      <c r="L86" s="71"/>
      <c r="O86" s="3" t="s">
        <v>476</v>
      </c>
      <c r="P86" s="3" t="s">
        <v>162</v>
      </c>
      <c r="R86" s="3">
        <f t="shared" si="10"/>
        <v>0</v>
      </c>
      <c r="S86" s="3">
        <f t="shared" si="11"/>
        <v>0</v>
      </c>
      <c r="T86"/>
      <c r="U86" s="71"/>
      <c r="V86" s="71"/>
      <c r="W86" s="71"/>
      <c r="X86" s="71"/>
      <c r="Y86" s="71"/>
      <c r="Z86" s="71"/>
      <c r="AA86" s="71"/>
      <c r="AB86" s="71"/>
    </row>
    <row r="87" spans="1:28" ht="15.6" thickTop="1" thickBot="1" x14ac:dyDescent="0.35">
      <c r="A87" s="71"/>
      <c r="B87" s="71"/>
      <c r="C87" s="71"/>
      <c r="D87" s="130">
        <v>17</v>
      </c>
      <c r="E87" s="133"/>
      <c r="F87" s="106" t="str" cm="1">
        <f t="array" ref="F87">_xlfn.XLOOKUP(CONCATENATE(D87,E87),'Base dati fantasquadre'!$A$2:$A$211,Tabella3[Pt Tot],"")</f>
        <v/>
      </c>
      <c r="G87" s="107" t="str">
        <f>_xlfn.IFNA(VLOOKUP(F87,'Base dati fantasquadre'!$AH$32:$AI$40,2,TRUE),"")</f>
        <v/>
      </c>
      <c r="H87" s="107" t="str">
        <f>_xlfn.IFNA(VLOOKUP(I87,'Base dati fantasquadre'!$AH$32:$AI$40,2,TRUE),"")</f>
        <v/>
      </c>
      <c r="I87" s="106" t="str" cm="1">
        <f t="array" ref="I87">_xlfn.XLOOKUP(CONCATENATE(D87,J87),'Base dati fantasquadre'!$A$2:$A$211,Tabella3[Pt Tot],"")</f>
        <v/>
      </c>
      <c r="J87" s="111"/>
      <c r="K87" s="71"/>
      <c r="L87" s="71"/>
      <c r="O87" s="3" t="s">
        <v>474</v>
      </c>
      <c r="P87" s="3" t="s">
        <v>161</v>
      </c>
      <c r="R87" s="3">
        <f t="shared" si="10"/>
        <v>0</v>
      </c>
      <c r="S87" s="3">
        <f t="shared" si="11"/>
        <v>0</v>
      </c>
      <c r="T87"/>
      <c r="U87" s="71"/>
      <c r="V87" s="71"/>
      <c r="W87" s="71"/>
      <c r="X87" s="71"/>
      <c r="Y87" s="71"/>
      <c r="Z87" s="71"/>
      <c r="AA87" s="71"/>
      <c r="AB87" s="71"/>
    </row>
    <row r="88" spans="1:28" ht="15.6" thickTop="1" thickBot="1" x14ac:dyDescent="0.35">
      <c r="A88" s="71"/>
      <c r="B88" s="71"/>
      <c r="C88" s="71"/>
      <c r="D88" s="130">
        <v>17</v>
      </c>
      <c r="E88" s="133"/>
      <c r="F88" s="106" t="str" cm="1">
        <f t="array" ref="F88">_xlfn.XLOOKUP(CONCATENATE(D88,E88),'Base dati fantasquadre'!$A$2:$A$211,Tabella3[Pt Tot],"")</f>
        <v/>
      </c>
      <c r="G88" s="107" t="str">
        <f>_xlfn.IFNA(VLOOKUP(F88,'Base dati fantasquadre'!$AH$32:$AI$40,2,TRUE),"")</f>
        <v/>
      </c>
      <c r="H88" s="107" t="str">
        <f>_xlfn.IFNA(VLOOKUP(I88,'Base dati fantasquadre'!$AH$32:$AI$40,2,TRUE),"")</f>
        <v/>
      </c>
      <c r="I88" s="106" t="str" cm="1">
        <f t="array" ref="I88">_xlfn.XLOOKUP(CONCATENATE(D88,J88),'Base dati fantasquadre'!$A$2:$A$211,Tabella3[Pt Tot],"")</f>
        <v/>
      </c>
      <c r="J88" s="111"/>
      <c r="K88" s="71"/>
      <c r="L88" s="71"/>
      <c r="O88" s="3" t="s">
        <v>163</v>
      </c>
      <c r="P88" s="3" t="s">
        <v>473</v>
      </c>
      <c r="R88" s="3">
        <f t="shared" si="10"/>
        <v>0</v>
      </c>
      <c r="S88" s="3">
        <f t="shared" si="11"/>
        <v>0</v>
      </c>
      <c r="T88"/>
      <c r="U88" s="71"/>
      <c r="V88" s="71"/>
      <c r="W88" s="71"/>
      <c r="X88" s="71"/>
      <c r="Y88" s="71"/>
      <c r="Z88" s="71"/>
      <c r="AA88" s="71"/>
      <c r="AB88" s="71"/>
    </row>
    <row r="89" spans="1:28" ht="15.6" thickTop="1" thickBot="1" x14ac:dyDescent="0.35">
      <c r="A89" s="71"/>
      <c r="B89" s="71"/>
      <c r="C89" s="71"/>
      <c r="D89" s="130">
        <v>17</v>
      </c>
      <c r="E89" s="133"/>
      <c r="F89" s="106" t="str" cm="1">
        <f t="array" ref="F89">_xlfn.XLOOKUP(CONCATENATE(D89,E89),'Base dati fantasquadre'!$A$2:$A$211,Tabella3[Pt Tot],"")</f>
        <v/>
      </c>
      <c r="G89" s="107" t="str">
        <f>_xlfn.IFNA(VLOOKUP(F89,'Base dati fantasquadre'!$AH$32:$AI$40,2,TRUE),"")</f>
        <v/>
      </c>
      <c r="H89" s="107" t="str">
        <f>_xlfn.IFNA(VLOOKUP(I89,'Base dati fantasquadre'!$AH$32:$AI$40,2,TRUE),"")</f>
        <v/>
      </c>
      <c r="I89" s="106" t="str" cm="1">
        <f t="array" ref="I89">_xlfn.XLOOKUP(CONCATENATE(D89,J89),'Base dati fantasquadre'!$A$2:$A$211,Tabella3[Pt Tot],"")</f>
        <v/>
      </c>
      <c r="J89" s="111"/>
      <c r="K89" s="71"/>
      <c r="L89" s="71"/>
      <c r="O89" s="3" t="s">
        <v>162</v>
      </c>
      <c r="P89" s="3" t="s">
        <v>161</v>
      </c>
      <c r="R89" s="3">
        <f t="shared" si="10"/>
        <v>0</v>
      </c>
      <c r="S89" s="3">
        <f t="shared" si="11"/>
        <v>0</v>
      </c>
      <c r="T89"/>
      <c r="U89" s="71"/>
      <c r="V89" s="71"/>
      <c r="W89" s="71"/>
      <c r="X89" s="71"/>
      <c r="Y89" s="71"/>
      <c r="Z89" s="71"/>
      <c r="AA89" s="71"/>
      <c r="AB89" s="71"/>
    </row>
    <row r="90" spans="1:28" ht="15.6" thickTop="1" thickBot="1" x14ac:dyDescent="0.35">
      <c r="A90" s="71"/>
      <c r="B90" s="71"/>
      <c r="C90" s="71"/>
      <c r="D90" s="130">
        <v>17</v>
      </c>
      <c r="E90" s="133"/>
      <c r="F90" s="106" t="str" cm="1">
        <f t="array" ref="F90">_xlfn.XLOOKUP(CONCATENATE(D90,E90),'Base dati fantasquadre'!$A$2:$A$211,Tabella3[Pt Tot],"")</f>
        <v/>
      </c>
      <c r="G90" s="107" t="str">
        <f>_xlfn.IFNA(VLOOKUP(F90,'Base dati fantasquadre'!$AH$32:$AI$40,2,TRUE),"")</f>
        <v/>
      </c>
      <c r="H90" s="107" t="str">
        <f>_xlfn.IFNA(VLOOKUP(I90,'Base dati fantasquadre'!$AH$32:$AI$40,2,TRUE),"")</f>
        <v/>
      </c>
      <c r="I90" s="106" t="str" cm="1">
        <f t="array" ref="I90">_xlfn.XLOOKUP(CONCATENATE(D90,J90),'Base dati fantasquadre'!$A$2:$A$211,Tabella3[Pt Tot],"")</f>
        <v/>
      </c>
      <c r="J90" s="111"/>
      <c r="K90" s="71"/>
      <c r="L90" s="71"/>
      <c r="O90" s="3" t="s">
        <v>476</v>
      </c>
      <c r="P90" s="3" t="s">
        <v>474</v>
      </c>
      <c r="R90" s="3">
        <f t="shared" si="10"/>
        <v>0</v>
      </c>
      <c r="S90" s="3">
        <f t="shared" si="11"/>
        <v>0</v>
      </c>
      <c r="T90"/>
      <c r="U90" s="71"/>
      <c r="V90" s="71"/>
      <c r="W90" s="71"/>
      <c r="X90" s="71"/>
      <c r="Y90" s="71"/>
      <c r="Z90" s="71"/>
      <c r="AA90" s="71"/>
      <c r="AB90" s="71"/>
    </row>
    <row r="91" spans="1:28" ht="15.6" thickTop="1" thickBot="1" x14ac:dyDescent="0.35">
      <c r="A91" s="71"/>
      <c r="B91" s="71"/>
      <c r="C91" s="71"/>
      <c r="D91" s="130">
        <v>18</v>
      </c>
      <c r="E91" s="133"/>
      <c r="F91" s="106" t="str" cm="1">
        <f t="array" ref="F91">_xlfn.XLOOKUP(CONCATENATE(D91,E91),'Base dati fantasquadre'!$A$2:$A$211,Tabella3[Pt Tot],"")</f>
        <v/>
      </c>
      <c r="G91" s="107" t="str">
        <f>_xlfn.IFNA(VLOOKUP(F91,'Base dati fantasquadre'!$AH$32:$AI$40,2,TRUE),"")</f>
        <v/>
      </c>
      <c r="H91" s="107" t="str">
        <f>_xlfn.IFNA(VLOOKUP(I91,'Base dati fantasquadre'!$AH$32:$AI$40,2,TRUE),"")</f>
        <v/>
      </c>
      <c r="I91" s="106" t="str" cm="1">
        <f t="array" ref="I91">_xlfn.XLOOKUP(CONCATENATE(D91,J91),'Base dati fantasquadre'!$A$2:$A$211,Tabella3[Pt Tot],"")</f>
        <v/>
      </c>
      <c r="J91" s="111"/>
      <c r="K91" s="71"/>
      <c r="L91" s="71"/>
      <c r="O91" s="3" t="s">
        <v>2</v>
      </c>
      <c r="P91" s="3" t="s">
        <v>475</v>
      </c>
      <c r="R91" s="3">
        <f t="shared" si="10"/>
        <v>0</v>
      </c>
      <c r="S91" s="3">
        <f t="shared" si="11"/>
        <v>0</v>
      </c>
      <c r="T91"/>
      <c r="U91" s="71"/>
      <c r="V91" s="71"/>
      <c r="W91" s="71"/>
      <c r="X91" s="71"/>
      <c r="Y91" s="71"/>
      <c r="Z91" s="71"/>
      <c r="AA91" s="71"/>
      <c r="AB91" s="71"/>
    </row>
    <row r="92" spans="1:28" ht="15.6" thickTop="1" thickBot="1" x14ac:dyDescent="0.35">
      <c r="A92" s="71"/>
      <c r="B92" s="71"/>
      <c r="C92" s="71"/>
      <c r="D92" s="130">
        <v>18</v>
      </c>
      <c r="E92" s="133"/>
      <c r="F92" s="106" t="str" cm="1">
        <f t="array" ref="F92">_xlfn.XLOOKUP(CONCATENATE(D92,E92),'Base dati fantasquadre'!$A$2:$A$211,Tabella3[Pt Tot],"")</f>
        <v/>
      </c>
      <c r="G92" s="107" t="str">
        <f>_xlfn.IFNA(VLOOKUP(F92,'Base dati fantasquadre'!$AH$32:$AI$40,2,TRUE),"")</f>
        <v/>
      </c>
      <c r="H92" s="107" t="str">
        <f>_xlfn.IFNA(VLOOKUP(I92,'Base dati fantasquadre'!$AH$32:$AI$40,2,TRUE),"")</f>
        <v/>
      </c>
      <c r="I92" s="106" t="str" cm="1">
        <f t="array" ref="I92">_xlfn.XLOOKUP(CONCATENATE(D92,J92),'Base dati fantasquadre'!$A$2:$A$211,Tabella3[Pt Tot],"")</f>
        <v/>
      </c>
      <c r="J92" s="111"/>
      <c r="K92" s="71"/>
      <c r="L92" s="71"/>
      <c r="O92" s="3" t="s">
        <v>163</v>
      </c>
      <c r="P92" s="3" t="s">
        <v>162</v>
      </c>
      <c r="R92" s="3">
        <f t="shared" si="10"/>
        <v>0</v>
      </c>
      <c r="S92" s="3">
        <f t="shared" si="11"/>
        <v>0</v>
      </c>
      <c r="T92"/>
      <c r="U92" s="71"/>
      <c r="V92" s="71"/>
      <c r="W92" s="71"/>
      <c r="X92" s="71"/>
      <c r="Y92" s="71"/>
      <c r="Z92" s="71"/>
      <c r="AA92" s="71"/>
      <c r="AB92" s="71"/>
    </row>
    <row r="93" spans="1:28" ht="15.6" thickTop="1" thickBot="1" x14ac:dyDescent="0.35">
      <c r="A93" s="71"/>
      <c r="B93" s="71"/>
      <c r="C93" s="71"/>
      <c r="D93" s="130">
        <v>18</v>
      </c>
      <c r="E93" s="133"/>
      <c r="F93" s="106" t="str" cm="1">
        <f t="array" ref="F93">_xlfn.XLOOKUP(CONCATENATE(D93,E93),'Base dati fantasquadre'!$A$2:$A$211,Tabella3[Pt Tot],"")</f>
        <v/>
      </c>
      <c r="G93" s="107" t="str">
        <f>_xlfn.IFNA(VLOOKUP(F93,'Base dati fantasquadre'!$AH$32:$AI$40,2,TRUE),"")</f>
        <v/>
      </c>
      <c r="H93" s="107" t="str">
        <f>_xlfn.IFNA(VLOOKUP(I93,'Base dati fantasquadre'!$AH$32:$AI$40,2,TRUE),"")</f>
        <v/>
      </c>
      <c r="I93" s="106" t="str" cm="1">
        <f t="array" ref="I93">_xlfn.XLOOKUP(CONCATENATE(D93,J93),'Base dati fantasquadre'!$A$2:$A$211,Tabella3[Pt Tot],"")</f>
        <v/>
      </c>
      <c r="J93" s="111"/>
      <c r="K93" s="71"/>
      <c r="L93" s="71"/>
      <c r="O93" s="3" t="s">
        <v>473</v>
      </c>
      <c r="P93" s="3" t="s">
        <v>161</v>
      </c>
      <c r="R93" s="3">
        <f t="shared" si="10"/>
        <v>0</v>
      </c>
      <c r="S93" s="3">
        <f t="shared" si="11"/>
        <v>0</v>
      </c>
      <c r="T93"/>
      <c r="U93" s="71"/>
      <c r="V93" s="71"/>
      <c r="W93" s="71"/>
      <c r="X93" s="71"/>
      <c r="Y93" s="71"/>
      <c r="Z93" s="71"/>
      <c r="AA93" s="71"/>
      <c r="AB93" s="71"/>
    </row>
    <row r="94" spans="1:28" ht="15.6" thickTop="1" thickBot="1" x14ac:dyDescent="0.35">
      <c r="A94" s="71"/>
      <c r="B94" s="71"/>
      <c r="C94" s="71"/>
      <c r="D94" s="130">
        <v>18</v>
      </c>
      <c r="E94" s="133"/>
      <c r="F94" s="106" t="str" cm="1">
        <f t="array" ref="F94">_xlfn.XLOOKUP(CONCATENATE(D94,E94),'Base dati fantasquadre'!$A$2:$A$211,Tabella3[Pt Tot],"")</f>
        <v/>
      </c>
      <c r="G94" s="107" t="str">
        <f>_xlfn.IFNA(VLOOKUP(F94,'Base dati fantasquadre'!$AH$32:$AI$40,2,TRUE),"")</f>
        <v/>
      </c>
      <c r="H94" s="107" t="str">
        <f>_xlfn.IFNA(VLOOKUP(I94,'Base dati fantasquadre'!$AH$32:$AI$40,2,TRUE),"")</f>
        <v/>
      </c>
      <c r="I94" s="106" t="str" cm="1">
        <f t="array" ref="I94">_xlfn.XLOOKUP(CONCATENATE(D94,J94),'Base dati fantasquadre'!$A$2:$A$211,Tabella3[Pt Tot],"")</f>
        <v/>
      </c>
      <c r="J94" s="111"/>
      <c r="K94" s="71"/>
      <c r="L94" s="71"/>
      <c r="O94" s="3" t="s">
        <v>476</v>
      </c>
      <c r="P94" s="3" t="s">
        <v>2</v>
      </c>
      <c r="R94" s="3">
        <f t="shared" si="10"/>
        <v>0</v>
      </c>
      <c r="S94" s="3">
        <f t="shared" si="11"/>
        <v>0</v>
      </c>
      <c r="T94"/>
      <c r="U94" s="71"/>
      <c r="V94" s="71"/>
      <c r="W94" s="71"/>
      <c r="X94" s="71"/>
      <c r="Y94" s="71"/>
      <c r="Z94" s="71"/>
      <c r="AA94" s="71"/>
      <c r="AB94" s="71"/>
    </row>
    <row r="95" spans="1:28" ht="15.6" thickTop="1" thickBot="1" x14ac:dyDescent="0.35">
      <c r="A95" s="71"/>
      <c r="B95" s="71"/>
      <c r="C95" s="71"/>
      <c r="D95" s="130">
        <v>18</v>
      </c>
      <c r="E95" s="133"/>
      <c r="F95" s="106" t="str" cm="1">
        <f t="array" ref="F95">_xlfn.XLOOKUP(CONCATENATE(D95,E95),'Base dati fantasquadre'!$A$2:$A$211,Tabella3[Pt Tot],"")</f>
        <v/>
      </c>
      <c r="G95" s="107" t="str">
        <f>_xlfn.IFNA(VLOOKUP(F95,'Base dati fantasquadre'!$AH$32:$AI$40,2,TRUE),"")</f>
        <v/>
      </c>
      <c r="H95" s="107" t="str">
        <f>_xlfn.IFNA(VLOOKUP(I95,'Base dati fantasquadre'!$AH$32:$AI$40,2,TRUE),"")</f>
        <v/>
      </c>
      <c r="I95" s="106" t="str" cm="1">
        <f t="array" ref="I95">_xlfn.XLOOKUP(CONCATENATE(D95,J95),'Base dati fantasquadre'!$A$2:$A$211,Tabella3[Pt Tot],"")</f>
        <v/>
      </c>
      <c r="J95" s="111"/>
      <c r="K95" s="71"/>
      <c r="L95" s="71"/>
      <c r="O95" s="3" t="s">
        <v>474</v>
      </c>
      <c r="P95" s="3" t="s">
        <v>475</v>
      </c>
      <c r="R95" s="3">
        <f t="shared" si="10"/>
        <v>0</v>
      </c>
      <c r="S95" s="3">
        <f t="shared" si="11"/>
        <v>0</v>
      </c>
      <c r="T95"/>
      <c r="U95" s="71"/>
      <c r="V95" s="71"/>
      <c r="W95" s="71"/>
      <c r="X95" s="71"/>
      <c r="Y95" s="71"/>
      <c r="Z95" s="71"/>
      <c r="AA95" s="71"/>
      <c r="AB95" s="71"/>
    </row>
    <row r="96" spans="1:28" ht="15.6" thickTop="1" thickBot="1" x14ac:dyDescent="0.35">
      <c r="A96" s="71"/>
      <c r="B96" s="71"/>
      <c r="C96" s="71"/>
      <c r="D96" s="126">
        <v>19</v>
      </c>
      <c r="E96" s="133"/>
      <c r="F96" s="106" t="str" cm="1">
        <f t="array" ref="F96">_xlfn.XLOOKUP(CONCATENATE(D96,E96),'Base dati fantasquadre'!$A$2:$A$211,Tabella3[Pt Tot],"")</f>
        <v/>
      </c>
      <c r="G96" s="107" t="str">
        <f>_xlfn.IFNA(VLOOKUP(F96,'Base dati fantasquadre'!$AH$32:$AI$40,2,TRUE),"")</f>
        <v/>
      </c>
      <c r="H96" s="107" t="str">
        <f>_xlfn.IFNA(VLOOKUP(I96,'Base dati fantasquadre'!$AH$32:$AI$40,2,TRUE),"")</f>
        <v/>
      </c>
      <c r="I96" s="106" t="str" cm="1">
        <f t="array" ref="I96">_xlfn.XLOOKUP(CONCATENATE(D96,J96),'Base dati fantasquadre'!$A$2:$A$211,Tabella3[Pt Tot],"")</f>
        <v/>
      </c>
      <c r="J96" s="111"/>
      <c r="K96" s="71"/>
      <c r="L96" s="71"/>
      <c r="O96" s="3" t="s">
        <v>163</v>
      </c>
      <c r="P96" s="3" t="s">
        <v>161</v>
      </c>
      <c r="R96" s="3">
        <f t="shared" si="10"/>
        <v>0</v>
      </c>
      <c r="S96" s="3">
        <f t="shared" si="11"/>
        <v>0</v>
      </c>
      <c r="T96"/>
      <c r="U96" s="71"/>
      <c r="V96" s="71"/>
      <c r="W96" s="71"/>
      <c r="X96" s="71"/>
      <c r="Y96" s="71"/>
      <c r="Z96" s="71"/>
      <c r="AA96" s="71"/>
      <c r="AB96" s="71"/>
    </row>
    <row r="97" spans="1:28" ht="15.6" thickTop="1" thickBot="1" x14ac:dyDescent="0.35">
      <c r="A97" s="71"/>
      <c r="B97" s="71"/>
      <c r="C97" s="71"/>
      <c r="D97" s="126">
        <v>19</v>
      </c>
      <c r="E97" s="133"/>
      <c r="F97" s="106" t="str" cm="1">
        <f t="array" ref="F97">_xlfn.XLOOKUP(CONCATENATE(D97,E97),'Base dati fantasquadre'!$A$2:$A$211,Tabella3[Pt Tot],"")</f>
        <v/>
      </c>
      <c r="G97" s="107" t="str">
        <f>_xlfn.IFNA(VLOOKUP(F97,'Base dati fantasquadre'!$AH$32:$AI$40,2,TRUE),"")</f>
        <v/>
      </c>
      <c r="H97" s="107" t="str">
        <f>_xlfn.IFNA(VLOOKUP(I97,'Base dati fantasquadre'!$AH$32:$AI$40,2,TRUE),"")</f>
        <v/>
      </c>
      <c r="I97" s="106" t="str" cm="1">
        <f t="array" ref="I97">_xlfn.XLOOKUP(CONCATENATE(D97,J97),'Base dati fantasquadre'!$A$2:$A$211,Tabella3[Pt Tot],"")</f>
        <v/>
      </c>
      <c r="J97" s="111"/>
      <c r="K97" s="71"/>
      <c r="L97" s="71"/>
      <c r="O97" s="3" t="s">
        <v>473</v>
      </c>
      <c r="P97" s="3" t="s">
        <v>162</v>
      </c>
      <c r="R97" s="3">
        <f t="shared" ref="R97:R160" si="12">VLOOKUP(O97,$N$21:$W$28,10,0)</f>
        <v>0</v>
      </c>
      <c r="S97" s="3">
        <f t="shared" ref="S97:S160" si="13">VLOOKUP(P97,$N$21:$W$28,10,0)</f>
        <v>0</v>
      </c>
      <c r="T97"/>
      <c r="U97" s="71"/>
      <c r="V97" s="71"/>
      <c r="W97" s="71"/>
      <c r="X97" s="71"/>
      <c r="Y97" s="71"/>
      <c r="Z97" s="71"/>
      <c r="AA97" s="71"/>
      <c r="AB97" s="71"/>
    </row>
    <row r="98" spans="1:28" ht="15.6" thickTop="1" thickBot="1" x14ac:dyDescent="0.35">
      <c r="A98" s="71"/>
      <c r="B98" s="71"/>
      <c r="C98" s="71"/>
      <c r="D98" s="126">
        <v>19</v>
      </c>
      <c r="E98" s="133"/>
      <c r="F98" s="106" t="str" cm="1">
        <f t="array" ref="F98">_xlfn.XLOOKUP(CONCATENATE(D98,E98),'Base dati fantasquadre'!$A$2:$A$211,Tabella3[Pt Tot],"")</f>
        <v/>
      </c>
      <c r="G98" s="107" t="str">
        <f>_xlfn.IFNA(VLOOKUP(F98,'Base dati fantasquadre'!$AH$32:$AI$40,2,TRUE),"")</f>
        <v/>
      </c>
      <c r="H98" s="107" t="str">
        <f>_xlfn.IFNA(VLOOKUP(I98,'Base dati fantasquadre'!$AH$32:$AI$40,2,TRUE),"")</f>
        <v/>
      </c>
      <c r="I98" s="106" t="str" cm="1">
        <f t="array" ref="I98">_xlfn.XLOOKUP(CONCATENATE(D98,J98),'Base dati fantasquadre'!$A$2:$A$211,Tabella3[Pt Tot],"")</f>
        <v/>
      </c>
      <c r="J98" s="111"/>
      <c r="K98" s="71"/>
      <c r="L98" s="71"/>
      <c r="O98" s="3" t="s">
        <v>476</v>
      </c>
      <c r="P98" s="3" t="s">
        <v>475</v>
      </c>
      <c r="R98" s="3">
        <f t="shared" si="12"/>
        <v>0</v>
      </c>
      <c r="S98" s="3">
        <f t="shared" si="13"/>
        <v>0</v>
      </c>
      <c r="T98"/>
      <c r="U98" s="71"/>
      <c r="V98" s="71"/>
      <c r="W98" s="71"/>
      <c r="X98" s="71"/>
      <c r="Y98" s="71"/>
      <c r="Z98" s="71"/>
      <c r="AA98" s="71"/>
      <c r="AB98" s="71"/>
    </row>
    <row r="99" spans="1:28" ht="15.6" thickTop="1" thickBot="1" x14ac:dyDescent="0.35">
      <c r="A99" s="71"/>
      <c r="B99" s="71"/>
      <c r="C99" s="71"/>
      <c r="D99" s="126">
        <v>19</v>
      </c>
      <c r="E99" s="133"/>
      <c r="F99" s="106" t="str" cm="1">
        <f t="array" ref="F99">_xlfn.XLOOKUP(CONCATENATE(D99,E99),'Base dati fantasquadre'!$A$2:$A$211,Tabella3[Pt Tot],"")</f>
        <v/>
      </c>
      <c r="G99" s="107" t="str">
        <f>_xlfn.IFNA(VLOOKUP(F99,'Base dati fantasquadre'!$AH$32:$AI$40,2,TRUE),"")</f>
        <v/>
      </c>
      <c r="H99" s="107" t="str">
        <f>_xlfn.IFNA(VLOOKUP(I99,'Base dati fantasquadre'!$AH$32:$AI$40,2,TRUE),"")</f>
        <v/>
      </c>
      <c r="I99" s="106" t="str" cm="1">
        <f t="array" ref="I99">_xlfn.XLOOKUP(CONCATENATE(D99,J99),'Base dati fantasquadre'!$A$2:$A$211,Tabella3[Pt Tot],"")</f>
        <v/>
      </c>
      <c r="J99" s="111"/>
      <c r="K99" s="71"/>
      <c r="L99" s="71"/>
      <c r="O99" s="3" t="s">
        <v>474</v>
      </c>
      <c r="P99" s="3" t="s">
        <v>2</v>
      </c>
      <c r="R99" s="3">
        <f t="shared" si="12"/>
        <v>0</v>
      </c>
      <c r="S99" s="3">
        <f t="shared" si="13"/>
        <v>0</v>
      </c>
      <c r="T99"/>
      <c r="U99" s="71"/>
      <c r="V99" s="71"/>
      <c r="W99" s="71"/>
      <c r="X99" s="71"/>
      <c r="Y99" s="71"/>
      <c r="Z99" s="71"/>
      <c r="AA99" s="71"/>
      <c r="AB99" s="71"/>
    </row>
    <row r="100" spans="1:28" ht="15.6" thickTop="1" thickBot="1" x14ac:dyDescent="0.35">
      <c r="A100" s="71"/>
      <c r="B100" s="71"/>
      <c r="C100" s="71"/>
      <c r="D100" s="126">
        <v>19</v>
      </c>
      <c r="E100" s="133"/>
      <c r="F100" s="106" t="str" cm="1">
        <f t="array" ref="F100">_xlfn.XLOOKUP(CONCATENATE(D100,E100),'Base dati fantasquadre'!$A$2:$A$211,Tabella3[Pt Tot],"")</f>
        <v/>
      </c>
      <c r="G100" s="107" t="str">
        <f>_xlfn.IFNA(VLOOKUP(F100,'Base dati fantasquadre'!$AH$32:$AI$40,2,TRUE),"")</f>
        <v/>
      </c>
      <c r="H100" s="107" t="str">
        <f>_xlfn.IFNA(VLOOKUP(I100,'Base dati fantasquadre'!$AH$32:$AI$40,2,TRUE),"")</f>
        <v/>
      </c>
      <c r="I100" s="106" t="str" cm="1">
        <f t="array" ref="I100">_xlfn.XLOOKUP(CONCATENATE(D100,J100),'Base dati fantasquadre'!$A$2:$A$211,Tabella3[Pt Tot],"")</f>
        <v/>
      </c>
      <c r="J100" s="111"/>
      <c r="K100" s="71"/>
      <c r="L100" s="71"/>
      <c r="O100" s="3" t="s">
        <v>163</v>
      </c>
      <c r="P100" s="3" t="s">
        <v>476</v>
      </c>
      <c r="R100" s="3">
        <f t="shared" si="12"/>
        <v>0</v>
      </c>
      <c r="S100" s="3">
        <f t="shared" si="13"/>
        <v>0</v>
      </c>
      <c r="T100"/>
      <c r="U100" s="71"/>
      <c r="V100" s="71"/>
      <c r="W100" s="71"/>
      <c r="X100" s="71"/>
      <c r="Y100" s="71"/>
      <c r="Z100" s="71"/>
      <c r="AA100" s="71"/>
      <c r="AB100" s="71"/>
    </row>
    <row r="101" spans="1:28" ht="15.6" thickTop="1" thickBot="1" x14ac:dyDescent="0.35">
      <c r="A101" s="71"/>
      <c r="B101" s="71"/>
      <c r="C101" s="71"/>
      <c r="D101" s="130">
        <v>20</v>
      </c>
      <c r="E101" s="133"/>
      <c r="F101" s="106" t="str" cm="1">
        <f t="array" ref="F101">_xlfn.XLOOKUP(CONCATENATE(D101,E101),'Base dati fantasquadre'!$A$2:$A$211,Tabella3[Pt Tot],"")</f>
        <v/>
      </c>
      <c r="G101" s="107" t="str">
        <f>_xlfn.IFNA(VLOOKUP(F101,'Base dati fantasquadre'!$AH$32:$AI$40,2,TRUE),"")</f>
        <v/>
      </c>
      <c r="H101" s="107" t="str">
        <f>_xlfn.IFNA(VLOOKUP(I101,'Base dati fantasquadre'!$AH$32:$AI$40,2,TRUE),"")</f>
        <v/>
      </c>
      <c r="I101" s="106" t="str" cm="1">
        <f t="array" ref="I101">_xlfn.XLOOKUP(CONCATENATE(D101,J101),'Base dati fantasquadre'!$A$2:$A$211,Tabella3[Pt Tot],"")</f>
        <v/>
      </c>
      <c r="J101" s="111"/>
      <c r="K101" s="71"/>
      <c r="L101" s="71"/>
      <c r="O101" s="3" t="s">
        <v>473</v>
      </c>
      <c r="P101" s="3" t="s">
        <v>474</v>
      </c>
      <c r="R101" s="3">
        <f t="shared" si="12"/>
        <v>0</v>
      </c>
      <c r="S101" s="3">
        <f t="shared" si="13"/>
        <v>0</v>
      </c>
      <c r="T101"/>
      <c r="U101" s="71"/>
      <c r="V101" s="71"/>
      <c r="W101" s="71"/>
      <c r="X101" s="71"/>
      <c r="Y101" s="71"/>
      <c r="Z101" s="71"/>
      <c r="AA101" s="71"/>
      <c r="AB101" s="71"/>
    </row>
    <row r="102" spans="1:28" ht="15.6" thickTop="1" thickBot="1" x14ac:dyDescent="0.35">
      <c r="A102" s="71"/>
      <c r="B102" s="71"/>
      <c r="C102" s="71"/>
      <c r="D102" s="130">
        <v>20</v>
      </c>
      <c r="E102" s="133"/>
      <c r="F102" s="106" t="str" cm="1">
        <f t="array" ref="F102">_xlfn.XLOOKUP(CONCATENATE(D102,E102),'Base dati fantasquadre'!$A$2:$A$211,Tabella3[Pt Tot],"")</f>
        <v/>
      </c>
      <c r="G102" s="107" t="str">
        <f>_xlfn.IFNA(VLOOKUP(F102,'Base dati fantasquadre'!$AH$32:$AI$40,2,TRUE),"")</f>
        <v/>
      </c>
      <c r="H102" s="107" t="str">
        <f>_xlfn.IFNA(VLOOKUP(I102,'Base dati fantasquadre'!$AH$32:$AI$40,2,TRUE),"")</f>
        <v/>
      </c>
      <c r="I102" s="106" t="str" cm="1">
        <f t="array" ref="I102">_xlfn.XLOOKUP(CONCATENATE(D102,J102),'Base dati fantasquadre'!$A$2:$A$211,Tabella3[Pt Tot],"")</f>
        <v/>
      </c>
      <c r="J102" s="111"/>
      <c r="K102" s="71"/>
      <c r="L102" s="71"/>
      <c r="O102" s="3" t="s">
        <v>162</v>
      </c>
      <c r="P102" s="3" t="s">
        <v>2</v>
      </c>
      <c r="R102" s="3">
        <f t="shared" si="12"/>
        <v>0</v>
      </c>
      <c r="S102" s="3">
        <f t="shared" si="13"/>
        <v>0</v>
      </c>
      <c r="T102"/>
      <c r="U102" s="71"/>
      <c r="V102" s="71"/>
      <c r="W102" s="71"/>
      <c r="X102" s="71"/>
      <c r="Y102" s="71"/>
      <c r="Z102" s="71"/>
      <c r="AA102" s="71"/>
      <c r="AB102" s="71"/>
    </row>
    <row r="103" spans="1:28" ht="15.6" thickTop="1" thickBot="1" x14ac:dyDescent="0.35">
      <c r="A103" s="71"/>
      <c r="B103" s="71"/>
      <c r="C103" s="71"/>
      <c r="D103" s="130">
        <v>20</v>
      </c>
      <c r="E103" s="133"/>
      <c r="F103" s="106" t="str" cm="1">
        <f t="array" ref="F103">_xlfn.XLOOKUP(CONCATENATE(D103,E103),'Base dati fantasquadre'!$A$2:$A$211,Tabella3[Pt Tot],"")</f>
        <v/>
      </c>
      <c r="G103" s="107" t="str">
        <f>_xlfn.IFNA(VLOOKUP(F103,'Base dati fantasquadre'!$AH$32:$AI$40,2,TRUE),"")</f>
        <v/>
      </c>
      <c r="H103" s="107" t="str">
        <f>_xlfn.IFNA(VLOOKUP(I103,'Base dati fantasquadre'!$AH$32:$AI$40,2,TRUE),"")</f>
        <v/>
      </c>
      <c r="I103" s="106" t="str" cm="1">
        <f t="array" ref="I103">_xlfn.XLOOKUP(CONCATENATE(D103,J103),'Base dati fantasquadre'!$A$2:$A$211,Tabella3[Pt Tot],"")</f>
        <v/>
      </c>
      <c r="J103" s="111"/>
      <c r="K103" s="71"/>
      <c r="L103" s="71"/>
      <c r="O103" s="3" t="s">
        <v>161</v>
      </c>
      <c r="P103" s="3" t="s">
        <v>475</v>
      </c>
      <c r="R103" s="3">
        <f t="shared" si="12"/>
        <v>0</v>
      </c>
      <c r="S103" s="3">
        <f t="shared" si="13"/>
        <v>0</v>
      </c>
      <c r="T103"/>
      <c r="U103" s="71"/>
      <c r="V103" s="71"/>
      <c r="W103" s="71"/>
      <c r="X103" s="71"/>
      <c r="Y103" s="71"/>
      <c r="Z103" s="71"/>
      <c r="AA103" s="71"/>
      <c r="AB103" s="71"/>
    </row>
    <row r="104" spans="1:28" ht="15.6" thickTop="1" thickBot="1" x14ac:dyDescent="0.35">
      <c r="A104" s="71"/>
      <c r="B104" s="71"/>
      <c r="C104" s="71"/>
      <c r="D104" s="130">
        <v>20</v>
      </c>
      <c r="E104" s="133"/>
      <c r="F104" s="106" t="str" cm="1">
        <f t="array" ref="F104">_xlfn.XLOOKUP(CONCATENATE(D104,E104),'Base dati fantasquadre'!$A$2:$A$211,Tabella3[Pt Tot],"")</f>
        <v/>
      </c>
      <c r="G104" s="107" t="str">
        <f>_xlfn.IFNA(VLOOKUP(F104,'Base dati fantasquadre'!$AH$32:$AI$40,2,TRUE),"")</f>
        <v/>
      </c>
      <c r="H104" s="107" t="str">
        <f>_xlfn.IFNA(VLOOKUP(I104,'Base dati fantasquadre'!$AH$32:$AI$40,2,TRUE),"")</f>
        <v/>
      </c>
      <c r="I104" s="106" t="str" cm="1">
        <f t="array" ref="I104">_xlfn.XLOOKUP(CONCATENATE(D104,J104),'Base dati fantasquadre'!$A$2:$A$211,Tabella3[Pt Tot],"")</f>
        <v/>
      </c>
      <c r="J104" s="111"/>
      <c r="K104" s="71"/>
      <c r="L104" s="71"/>
      <c r="O104" s="3" t="s">
        <v>163</v>
      </c>
      <c r="P104" s="3" t="s">
        <v>475</v>
      </c>
      <c r="R104" s="3">
        <f t="shared" si="12"/>
        <v>0</v>
      </c>
      <c r="S104" s="3">
        <f t="shared" si="13"/>
        <v>0</v>
      </c>
      <c r="T104"/>
      <c r="U104" s="71"/>
      <c r="V104" s="71"/>
      <c r="W104" s="71"/>
      <c r="X104" s="71"/>
      <c r="Y104" s="71"/>
      <c r="Z104" s="71"/>
      <c r="AA104" s="71"/>
      <c r="AB104" s="71"/>
    </row>
    <row r="105" spans="1:28" ht="15.6" thickTop="1" thickBot="1" x14ac:dyDescent="0.35">
      <c r="A105" s="71"/>
      <c r="B105" s="71"/>
      <c r="C105" s="71"/>
      <c r="D105" s="130">
        <v>20</v>
      </c>
      <c r="E105" s="133"/>
      <c r="F105" s="106" t="str" cm="1">
        <f t="array" ref="F105">_xlfn.XLOOKUP(CONCATENATE(D105,E105),'Base dati fantasquadre'!$A$2:$A$211,Tabella3[Pt Tot],"")</f>
        <v/>
      </c>
      <c r="G105" s="107" t="str">
        <f>_xlfn.IFNA(VLOOKUP(F105,'Base dati fantasquadre'!$AH$32:$AI$40,2,TRUE),"")</f>
        <v/>
      </c>
      <c r="H105" s="107" t="str">
        <f>_xlfn.IFNA(VLOOKUP(I105,'Base dati fantasquadre'!$AH$32:$AI$40,2,TRUE),"")</f>
        <v/>
      </c>
      <c r="I105" s="106" t="str" cm="1">
        <f t="array" ref="I105">_xlfn.XLOOKUP(CONCATENATE(D105,J105),'Base dati fantasquadre'!$A$2:$A$211,Tabella3[Pt Tot],"")</f>
        <v/>
      </c>
      <c r="J105" s="111"/>
      <c r="K105" s="71"/>
      <c r="L105" s="134"/>
      <c r="O105" s="3" t="s">
        <v>473</v>
      </c>
      <c r="P105" s="3" t="s">
        <v>2</v>
      </c>
      <c r="R105" s="3">
        <f t="shared" si="12"/>
        <v>0</v>
      </c>
      <c r="S105" s="3">
        <f t="shared" si="13"/>
        <v>0</v>
      </c>
      <c r="T105"/>
      <c r="U105" s="71"/>
      <c r="V105" s="71"/>
      <c r="W105" s="71"/>
      <c r="X105" s="71"/>
      <c r="Y105" s="71"/>
      <c r="Z105" s="71"/>
      <c r="AA105" s="71"/>
      <c r="AB105" s="71"/>
    </row>
    <row r="106" spans="1:28" ht="15.6" thickTop="1" thickBot="1" x14ac:dyDescent="0.35">
      <c r="A106" s="71"/>
      <c r="B106" s="71"/>
      <c r="C106" s="71"/>
      <c r="D106" s="109">
        <v>21</v>
      </c>
      <c r="E106" s="133"/>
      <c r="F106" s="106" t="str" cm="1">
        <f t="array" ref="F106">_xlfn.XLOOKUP(CONCATENATE(D106,E106),'Base dati fantasquadre'!$A$2:$A$211,Tabella3[Pt Tot],"")</f>
        <v/>
      </c>
      <c r="G106" s="107" t="str">
        <f>_xlfn.IFNA(VLOOKUP(F106,'Base dati fantasquadre'!$AH$32:$AI$40,2,TRUE),"")</f>
        <v/>
      </c>
      <c r="H106" s="107" t="str">
        <f>_xlfn.IFNA(VLOOKUP(I106,'Base dati fantasquadre'!$AH$32:$AI$40,2,TRUE),"")</f>
        <v/>
      </c>
      <c r="I106" s="106" t="str" cm="1">
        <f t="array" ref="I106">_xlfn.XLOOKUP(CONCATENATE(D106,J106),'Base dati fantasquadre'!$A$2:$A$211,Tabella3[Pt Tot],"")</f>
        <v/>
      </c>
      <c r="J106" s="111"/>
      <c r="K106" s="71"/>
      <c r="L106" s="71"/>
      <c r="O106" s="3" t="s">
        <v>162</v>
      </c>
      <c r="P106" s="3" t="s">
        <v>474</v>
      </c>
      <c r="R106" s="3">
        <f t="shared" si="12"/>
        <v>0</v>
      </c>
      <c r="S106" s="3">
        <f t="shared" si="13"/>
        <v>0</v>
      </c>
      <c r="T106"/>
      <c r="U106" s="71"/>
      <c r="V106" s="71"/>
      <c r="W106" s="71"/>
      <c r="X106" s="71"/>
      <c r="Y106" s="71"/>
      <c r="Z106" s="71"/>
      <c r="AA106" s="71"/>
      <c r="AB106" s="71"/>
    </row>
    <row r="107" spans="1:28" ht="15.6" thickTop="1" thickBot="1" x14ac:dyDescent="0.35">
      <c r="A107" s="71"/>
      <c r="B107" s="71"/>
      <c r="C107" s="71"/>
      <c r="D107" s="109">
        <v>21</v>
      </c>
      <c r="E107" s="133"/>
      <c r="F107" s="106" t="str" cm="1">
        <f t="array" ref="F107">_xlfn.XLOOKUP(CONCATENATE(D107,E107),'Base dati fantasquadre'!$A$2:$A$211,Tabella3[Pt Tot],"")</f>
        <v/>
      </c>
      <c r="G107" s="107" t="str">
        <f>_xlfn.IFNA(VLOOKUP(F107,'Base dati fantasquadre'!$AH$32:$AI$40,2,TRUE),"")</f>
        <v/>
      </c>
      <c r="H107" s="107" t="str">
        <f>_xlfn.IFNA(VLOOKUP(I107,'Base dati fantasquadre'!$AH$32:$AI$40,2,TRUE),"")</f>
        <v/>
      </c>
      <c r="I107" s="106" t="str" cm="1">
        <f t="array" ref="I107">_xlfn.XLOOKUP(CONCATENATE(D107,J107),'Base dati fantasquadre'!$A$2:$A$211,Tabella3[Pt Tot],"")</f>
        <v/>
      </c>
      <c r="J107" s="111"/>
      <c r="K107" s="71"/>
      <c r="L107" s="71"/>
      <c r="O107" s="3" t="s">
        <v>161</v>
      </c>
      <c r="P107" s="3" t="s">
        <v>476</v>
      </c>
      <c r="R107" s="3">
        <f t="shared" si="12"/>
        <v>0</v>
      </c>
      <c r="S107" s="3">
        <f t="shared" si="13"/>
        <v>0</v>
      </c>
      <c r="T107"/>
      <c r="U107" s="71"/>
      <c r="V107" s="71"/>
      <c r="W107" s="71"/>
      <c r="X107" s="71"/>
      <c r="Y107" s="71"/>
      <c r="Z107" s="71"/>
      <c r="AA107" s="71"/>
      <c r="AB107" s="71"/>
    </row>
    <row r="108" spans="1:28" ht="15.6" thickTop="1" thickBot="1" x14ac:dyDescent="0.35">
      <c r="A108" s="71"/>
      <c r="B108" s="71"/>
      <c r="C108" s="71"/>
      <c r="D108" s="109">
        <v>21</v>
      </c>
      <c r="E108" s="133"/>
      <c r="F108" s="106" t="str" cm="1">
        <f t="array" ref="F108">_xlfn.XLOOKUP(CONCATENATE(D108,E108),'Base dati fantasquadre'!$A$2:$A$211,Tabella3[Pt Tot],"")</f>
        <v/>
      </c>
      <c r="G108" s="107" t="str">
        <f>_xlfn.IFNA(VLOOKUP(F108,'Base dati fantasquadre'!$AH$32:$AI$40,2,TRUE),"")</f>
        <v/>
      </c>
      <c r="H108" s="107" t="str">
        <f>_xlfn.IFNA(VLOOKUP(I108,'Base dati fantasquadre'!$AH$32:$AI$40,2,TRUE),"")</f>
        <v/>
      </c>
      <c r="I108" s="106" t="str" cm="1">
        <f t="array" ref="I108">_xlfn.XLOOKUP(CONCATENATE(D108,J108),'Base dati fantasquadre'!$A$2:$A$211,Tabella3[Pt Tot],"")</f>
        <v/>
      </c>
      <c r="J108" s="111"/>
      <c r="K108" s="71"/>
      <c r="L108" s="71"/>
      <c r="O108" s="3" t="s">
        <v>163</v>
      </c>
      <c r="P108" s="3" t="s">
        <v>474</v>
      </c>
      <c r="R108" s="3">
        <f t="shared" si="12"/>
        <v>0</v>
      </c>
      <c r="S108" s="3">
        <f t="shared" si="13"/>
        <v>0</v>
      </c>
      <c r="T108"/>
      <c r="U108" s="71"/>
      <c r="V108" s="71"/>
      <c r="W108" s="71"/>
      <c r="X108" s="71"/>
      <c r="Y108" s="71"/>
      <c r="Z108" s="71"/>
      <c r="AA108" s="71"/>
      <c r="AB108" s="71"/>
    </row>
    <row r="109" spans="1:28" ht="15.6" thickTop="1" thickBot="1" x14ac:dyDescent="0.35">
      <c r="A109" s="71"/>
      <c r="B109" s="71"/>
      <c r="C109" s="71"/>
      <c r="D109" s="109">
        <v>21</v>
      </c>
      <c r="E109" s="133"/>
      <c r="F109" s="106" t="str" cm="1">
        <f t="array" ref="F109">_xlfn.XLOOKUP(CONCATENATE(D109,E109),'Base dati fantasquadre'!$A$2:$A$211,Tabella3[Pt Tot],"")</f>
        <v/>
      </c>
      <c r="G109" s="107" t="str">
        <f>_xlfn.IFNA(VLOOKUP(F109,'Base dati fantasquadre'!$AH$32:$AI$40,2,TRUE),"")</f>
        <v/>
      </c>
      <c r="H109" s="107" t="str">
        <f>_xlfn.IFNA(VLOOKUP(I109,'Base dati fantasquadre'!$AH$32:$AI$40,2,TRUE),"")</f>
        <v/>
      </c>
      <c r="I109" s="106" t="str" cm="1">
        <f t="array" ref="I109">_xlfn.XLOOKUP(CONCATENATE(D109,J109),'Base dati fantasquadre'!$A$2:$A$211,Tabella3[Pt Tot],"")</f>
        <v/>
      </c>
      <c r="J109" s="111"/>
      <c r="K109" s="71"/>
      <c r="L109" s="71"/>
      <c r="O109" s="3" t="s">
        <v>473</v>
      </c>
      <c r="P109" s="3" t="s">
        <v>476</v>
      </c>
      <c r="R109" s="3">
        <f t="shared" si="12"/>
        <v>0</v>
      </c>
      <c r="S109" s="3">
        <f t="shared" si="13"/>
        <v>0</v>
      </c>
      <c r="T109"/>
      <c r="U109" s="71"/>
      <c r="V109" s="71"/>
      <c r="W109" s="71"/>
      <c r="X109" s="71"/>
      <c r="Y109" s="71"/>
      <c r="Z109" s="71"/>
      <c r="AA109" s="71"/>
      <c r="AB109" s="71"/>
    </row>
    <row r="110" spans="1:28" ht="15.6" thickTop="1" thickBot="1" x14ac:dyDescent="0.35">
      <c r="A110" s="71"/>
      <c r="B110" s="71"/>
      <c r="C110" s="71"/>
      <c r="D110" s="109">
        <v>21</v>
      </c>
      <c r="E110" s="133"/>
      <c r="F110" s="106" t="str" cm="1">
        <f t="array" ref="F110">_xlfn.XLOOKUP(CONCATENATE(D110,E110),'Base dati fantasquadre'!$A$2:$A$211,Tabella3[Pt Tot],"")</f>
        <v/>
      </c>
      <c r="G110" s="107" t="str">
        <f>_xlfn.IFNA(VLOOKUP(F110,'Base dati fantasquadre'!$AH$32:$AI$40,2,TRUE),"")</f>
        <v/>
      </c>
      <c r="H110" s="107" t="str">
        <f>_xlfn.IFNA(VLOOKUP(I110,'Base dati fantasquadre'!$AH$32:$AI$40,2,TRUE),"")</f>
        <v/>
      </c>
      <c r="I110" s="106" t="str" cm="1">
        <f t="array" ref="I110">_xlfn.XLOOKUP(CONCATENATE(D110,J110),'Base dati fantasquadre'!$A$2:$A$211,Tabella3[Pt Tot],"")</f>
        <v/>
      </c>
      <c r="J110" s="111"/>
      <c r="K110" s="71"/>
      <c r="L110" s="71"/>
      <c r="O110" s="3" t="s">
        <v>162</v>
      </c>
      <c r="P110" s="3" t="s">
        <v>475</v>
      </c>
      <c r="R110" s="3">
        <f t="shared" si="12"/>
        <v>0</v>
      </c>
      <c r="S110" s="3">
        <f t="shared" si="13"/>
        <v>0</v>
      </c>
      <c r="T110"/>
      <c r="U110" s="71"/>
      <c r="V110" s="71"/>
      <c r="W110" s="71"/>
      <c r="X110" s="71"/>
      <c r="Y110" s="71"/>
      <c r="Z110" s="71"/>
      <c r="AA110" s="71"/>
      <c r="AB110" s="71"/>
    </row>
    <row r="111" spans="1:28" ht="15.6" thickTop="1" thickBot="1" x14ac:dyDescent="0.35">
      <c r="A111" s="71"/>
      <c r="B111" s="71"/>
      <c r="C111" s="71"/>
      <c r="D111" s="109">
        <v>22</v>
      </c>
      <c r="E111" s="198"/>
      <c r="F111" s="106" t="str" cm="1">
        <f t="array" ref="F111">_xlfn.XLOOKUP(CONCATENATE(D111,E111),'Base dati fantasquadre'!$A$2:$A$211,Tabella3[Pt Tot],"")</f>
        <v/>
      </c>
      <c r="G111" s="107" t="str">
        <f>_xlfn.IFNA(VLOOKUP(F111,'Base dati fantasquadre'!$AH$32:$AI$40,2,TRUE),"")</f>
        <v/>
      </c>
      <c r="H111" s="107" t="str">
        <f>_xlfn.IFNA(VLOOKUP(I111,'Base dati fantasquadre'!$AH$32:$AI$40,2,TRUE),"")</f>
        <v/>
      </c>
      <c r="I111" s="106" t="str" cm="1">
        <f t="array" ref="I111">_xlfn.XLOOKUP(CONCATENATE(D111,J111),'Base dati fantasquadre'!$A$2:$A$211,Tabella3[Pt Tot],"")</f>
        <v/>
      </c>
      <c r="J111" s="111"/>
      <c r="K111" s="71"/>
      <c r="L111" s="71"/>
      <c r="O111" s="3" t="s">
        <v>161</v>
      </c>
      <c r="P111" s="3" t="s">
        <v>2</v>
      </c>
      <c r="R111" s="3">
        <f t="shared" si="12"/>
        <v>0</v>
      </c>
      <c r="S111" s="3">
        <f t="shared" si="13"/>
        <v>0</v>
      </c>
      <c r="T111"/>
      <c r="U111"/>
      <c r="V111"/>
      <c r="W111"/>
    </row>
    <row r="112" spans="1:28" ht="15.6" thickTop="1" thickBot="1" x14ac:dyDescent="0.35">
      <c r="D112" s="109">
        <v>22</v>
      </c>
      <c r="E112" s="132"/>
      <c r="F112" s="106" t="str" cm="1">
        <f t="array" ref="F112">_xlfn.XLOOKUP(CONCATENATE(D112,E112),'Base dati fantasquadre'!$A$2:$A$211,Tabella3[Pt Tot],"")</f>
        <v/>
      </c>
      <c r="G112" s="107" t="str">
        <f>_xlfn.IFNA(VLOOKUP(F112,'Base dati fantasquadre'!$AH$32:$AI$40,2,TRUE),"")</f>
        <v/>
      </c>
      <c r="H112" s="107" t="str">
        <f>_xlfn.IFNA(VLOOKUP(I112,'Base dati fantasquadre'!$AH$32:$AI$40,2,TRUE),"")</f>
        <v/>
      </c>
      <c r="I112" s="106" t="str" cm="1">
        <f t="array" ref="I112">_xlfn.XLOOKUP(CONCATENATE(D112,J112),'Base dati fantasquadre'!$A$2:$A$211,Tabella3[Pt Tot],"")</f>
        <v/>
      </c>
      <c r="J112" s="111"/>
      <c r="O112" s="3" t="s">
        <v>163</v>
      </c>
      <c r="P112" s="3" t="s">
        <v>2</v>
      </c>
      <c r="R112" s="3">
        <f t="shared" si="12"/>
        <v>0</v>
      </c>
      <c r="S112" s="3">
        <f t="shared" si="13"/>
        <v>0</v>
      </c>
      <c r="T112"/>
      <c r="U112"/>
      <c r="V112"/>
      <c r="W112"/>
    </row>
    <row r="113" spans="4:23" ht="15.6" thickTop="1" thickBot="1" x14ac:dyDescent="0.35">
      <c r="D113" s="109">
        <v>22</v>
      </c>
      <c r="E113" s="132"/>
      <c r="F113" s="106" t="str" cm="1">
        <f t="array" ref="F113">_xlfn.XLOOKUP(CONCATENATE(D113,E113),'Base dati fantasquadre'!$A$2:$A$211,Tabella3[Pt Tot],"")</f>
        <v/>
      </c>
      <c r="G113" s="107" t="str">
        <f>_xlfn.IFNA(VLOOKUP(F113,'Base dati fantasquadre'!$AH$32:$AI$40,2,TRUE),"")</f>
        <v/>
      </c>
      <c r="H113" s="107" t="str">
        <f>_xlfn.IFNA(VLOOKUP(I113,'Base dati fantasquadre'!$AH$32:$AI$40,2,TRUE),"")</f>
        <v/>
      </c>
      <c r="I113" s="106" t="str" cm="1">
        <f t="array" ref="I113">_xlfn.XLOOKUP(CONCATENATE(D113,J113),'Base dati fantasquadre'!$A$2:$A$211,Tabella3[Pt Tot],"")</f>
        <v/>
      </c>
      <c r="J113" s="111"/>
      <c r="O113" s="3" t="s">
        <v>473</v>
      </c>
      <c r="P113" s="3" t="s">
        <v>475</v>
      </c>
      <c r="R113" s="3">
        <f t="shared" si="12"/>
        <v>0</v>
      </c>
      <c r="S113" s="3">
        <f t="shared" si="13"/>
        <v>0</v>
      </c>
      <c r="T113"/>
      <c r="U113"/>
      <c r="V113"/>
      <c r="W113"/>
    </row>
    <row r="114" spans="4:23" ht="15.6" thickTop="1" thickBot="1" x14ac:dyDescent="0.35">
      <c r="D114" s="109">
        <v>22</v>
      </c>
      <c r="E114" s="111"/>
      <c r="F114" s="106" t="str" cm="1">
        <f t="array" ref="F114">_xlfn.XLOOKUP(CONCATENATE(D114,E114),'Base dati fantasquadre'!$A$2:$A$211,Tabella3[Pt Tot],"")</f>
        <v/>
      </c>
      <c r="G114" s="107" t="str">
        <f>_xlfn.IFNA(VLOOKUP(F114,'Base dati fantasquadre'!$AH$32:$AI$40,2,TRUE),"")</f>
        <v/>
      </c>
      <c r="H114" s="107" t="str">
        <f>_xlfn.IFNA(VLOOKUP(I114,'Base dati fantasquadre'!$AH$32:$AI$40,2,TRUE),"")</f>
        <v/>
      </c>
      <c r="I114" s="106" t="str" cm="1">
        <f t="array" ref="I114">_xlfn.XLOOKUP(CONCATENATE(D114,J114),'Base dati fantasquadre'!$A$2:$A$211,Tabella3[Pt Tot],"")</f>
        <v/>
      </c>
      <c r="J114" s="111"/>
      <c r="O114" s="3" t="s">
        <v>162</v>
      </c>
      <c r="P114" s="3" t="s">
        <v>476</v>
      </c>
      <c r="R114" s="3">
        <f t="shared" si="12"/>
        <v>0</v>
      </c>
      <c r="S114" s="3">
        <f t="shared" si="13"/>
        <v>0</v>
      </c>
      <c r="T114"/>
      <c r="U114"/>
      <c r="V114"/>
      <c r="W114"/>
    </row>
    <row r="115" spans="4:23" ht="15.6" thickTop="1" thickBot="1" x14ac:dyDescent="0.35">
      <c r="D115" s="109">
        <v>22</v>
      </c>
      <c r="E115" s="132"/>
      <c r="F115" s="106" t="str" cm="1">
        <f t="array" ref="F115">_xlfn.XLOOKUP(CONCATENATE(D115,E115),'Base dati fantasquadre'!$A$2:$A$211,Tabella3[Pt Tot],"")</f>
        <v/>
      </c>
      <c r="G115" s="107" t="str">
        <f>_xlfn.IFNA(VLOOKUP(F115,'Base dati fantasquadre'!$AH$32:$AI$40,2,TRUE),"")</f>
        <v/>
      </c>
      <c r="H115" s="107" t="str">
        <f>_xlfn.IFNA(VLOOKUP(I115,'Base dati fantasquadre'!$AH$32:$AI$40,2,TRUE),"")</f>
        <v/>
      </c>
      <c r="I115" s="106" t="str" cm="1">
        <f t="array" ref="I115">_xlfn.XLOOKUP(CONCATENATE(D115,J115),'Base dati fantasquadre'!$A$2:$A$211,Tabella3[Pt Tot],"")</f>
        <v/>
      </c>
      <c r="J115" s="111"/>
      <c r="O115" s="3" t="s">
        <v>161</v>
      </c>
      <c r="P115" s="3" t="s">
        <v>474</v>
      </c>
      <c r="R115" s="3">
        <f t="shared" si="12"/>
        <v>0</v>
      </c>
      <c r="S115" s="3">
        <f t="shared" si="13"/>
        <v>0</v>
      </c>
      <c r="T115"/>
      <c r="U115"/>
      <c r="V115"/>
      <c r="W115"/>
    </row>
    <row r="116" spans="4:23" ht="15.6" thickTop="1" thickBot="1" x14ac:dyDescent="0.35">
      <c r="D116" s="109">
        <v>23</v>
      </c>
      <c r="E116" s="133"/>
      <c r="F116" s="106" t="str" cm="1">
        <f t="array" ref="F116">_xlfn.XLOOKUP(CONCATENATE(D116,E116),'Base dati fantasquadre'!$A$2:$A$211,Tabella3[Pt Tot],"")</f>
        <v/>
      </c>
      <c r="G116" s="107" t="str">
        <f>_xlfn.IFNA(VLOOKUP(F116,'Base dati fantasquadre'!$AH$32:$AI$40,2,TRUE),"")</f>
        <v/>
      </c>
      <c r="H116" s="107" t="str">
        <f>_xlfn.IFNA(VLOOKUP(I116,'Base dati fantasquadre'!$AH$32:$AI$40,2,TRUE),"")</f>
        <v/>
      </c>
      <c r="I116" s="106" t="str" cm="1">
        <f t="array" ref="I116">_xlfn.XLOOKUP(CONCATENATE(D116,J116),'Base dati fantasquadre'!$A$2:$A$211,Tabella3[Pt Tot],"")</f>
        <v/>
      </c>
      <c r="J116" s="111"/>
      <c r="O116" s="3" t="s">
        <v>473</v>
      </c>
      <c r="P116" s="3" t="s">
        <v>163</v>
      </c>
      <c r="R116" s="3">
        <f t="shared" si="12"/>
        <v>0</v>
      </c>
      <c r="S116" s="3">
        <f t="shared" si="13"/>
        <v>0</v>
      </c>
      <c r="T116"/>
      <c r="U116"/>
      <c r="V116"/>
      <c r="W116"/>
    </row>
    <row r="117" spans="4:23" ht="15.6" thickTop="1" thickBot="1" x14ac:dyDescent="0.35">
      <c r="D117" s="109">
        <v>23</v>
      </c>
      <c r="E117" s="133"/>
      <c r="F117" s="106" t="str" cm="1">
        <f t="array" ref="F117">_xlfn.XLOOKUP(CONCATENATE(D117,E117),'Base dati fantasquadre'!$A$2:$A$211,Tabella3[Pt Tot],"")</f>
        <v/>
      </c>
      <c r="G117" s="107" t="str">
        <f>_xlfn.IFNA(VLOOKUP(F117,'Base dati fantasquadre'!$AH$32:$AI$40,2,TRUE),"")</f>
        <v/>
      </c>
      <c r="H117" s="107" t="str">
        <f>_xlfn.IFNA(VLOOKUP(I117,'Base dati fantasquadre'!$AH$32:$AI$40,2,TRUE),"")</f>
        <v/>
      </c>
      <c r="I117" s="106" t="str" cm="1">
        <f t="array" ref="I117">_xlfn.XLOOKUP(CONCATENATE(D117,J117),'Base dati fantasquadre'!$A$2:$A$211,Tabella3[Pt Tot],"")</f>
        <v/>
      </c>
      <c r="J117" s="111"/>
      <c r="O117" s="3" t="s">
        <v>161</v>
      </c>
      <c r="P117" s="3" t="s">
        <v>162</v>
      </c>
      <c r="R117" s="3">
        <f t="shared" si="12"/>
        <v>0</v>
      </c>
      <c r="S117" s="3">
        <f t="shared" si="13"/>
        <v>0</v>
      </c>
      <c r="T117"/>
      <c r="U117"/>
      <c r="V117"/>
      <c r="W117"/>
    </row>
    <row r="118" spans="4:23" ht="15.6" thickTop="1" thickBot="1" x14ac:dyDescent="0.35">
      <c r="D118" s="109">
        <v>23</v>
      </c>
      <c r="E118" s="133"/>
      <c r="F118" s="106" t="str" cm="1">
        <f t="array" ref="F118">_xlfn.XLOOKUP(CONCATENATE(D118,E118),'Base dati fantasquadre'!$A$2:$A$211,Tabella3[Pt Tot],"")</f>
        <v/>
      </c>
      <c r="G118" s="107" t="str">
        <f>_xlfn.IFNA(VLOOKUP(F118,'Base dati fantasquadre'!$AH$32:$AI$40,2,TRUE),"")</f>
        <v/>
      </c>
      <c r="H118" s="107" t="str">
        <f>_xlfn.IFNA(VLOOKUP(I118,'Base dati fantasquadre'!$AH$32:$AI$40,2,TRUE),"")</f>
        <v/>
      </c>
      <c r="I118" s="106" t="str" cm="1">
        <f t="array" ref="I118">_xlfn.XLOOKUP(CONCATENATE(D118,J118),'Base dati fantasquadre'!$A$2:$A$211,Tabella3[Pt Tot],"")</f>
        <v/>
      </c>
      <c r="J118" s="111"/>
      <c r="O118" s="3" t="s">
        <v>474</v>
      </c>
      <c r="P118" s="3" t="s">
        <v>476</v>
      </c>
      <c r="R118" s="3">
        <f t="shared" si="12"/>
        <v>0</v>
      </c>
      <c r="S118" s="3">
        <f t="shared" si="13"/>
        <v>0</v>
      </c>
      <c r="T118"/>
      <c r="U118"/>
      <c r="V118"/>
      <c r="W118"/>
    </row>
    <row r="119" spans="4:23" ht="15.6" thickTop="1" thickBot="1" x14ac:dyDescent="0.35">
      <c r="D119" s="109">
        <v>23</v>
      </c>
      <c r="E119" s="133"/>
      <c r="F119" s="106" t="str" cm="1">
        <f t="array" ref="F119">_xlfn.XLOOKUP(CONCATENATE(D119,E119),'Base dati fantasquadre'!$A$2:$A$211,Tabella3[Pt Tot],"")</f>
        <v/>
      </c>
      <c r="G119" s="107" t="str">
        <f>_xlfn.IFNA(VLOOKUP(F119,'Base dati fantasquadre'!$AH$32:$AI$40,2,TRUE),"")</f>
        <v/>
      </c>
      <c r="H119" s="107" t="str">
        <f>_xlfn.IFNA(VLOOKUP(I119,'Base dati fantasquadre'!$AH$32:$AI$40,2,TRUE),"")</f>
        <v/>
      </c>
      <c r="I119" s="106" t="str" cm="1">
        <f t="array" ref="I119">_xlfn.XLOOKUP(CONCATENATE(D119,J119),'Base dati fantasquadre'!$A$2:$A$211,Tabella3[Pt Tot],"")</f>
        <v/>
      </c>
      <c r="J119" s="111"/>
      <c r="O119" s="3" t="s">
        <v>475</v>
      </c>
      <c r="P119" s="3" t="s">
        <v>2</v>
      </c>
      <c r="R119" s="3">
        <f t="shared" si="12"/>
        <v>0</v>
      </c>
      <c r="S119" s="3">
        <f t="shared" si="13"/>
        <v>0</v>
      </c>
      <c r="T119"/>
      <c r="U119"/>
      <c r="V119"/>
      <c r="W119"/>
    </row>
    <row r="120" spans="4:23" ht="15.6" thickTop="1" thickBot="1" x14ac:dyDescent="0.35">
      <c r="D120" s="109">
        <v>23</v>
      </c>
      <c r="E120" s="133"/>
      <c r="F120" s="106" t="str" cm="1">
        <f t="array" ref="F120">_xlfn.XLOOKUP(CONCATENATE(D120,E120),'Base dati fantasquadre'!$A$2:$A$211,Tabella3[Pt Tot],"")</f>
        <v/>
      </c>
      <c r="G120" s="107" t="str">
        <f>_xlfn.IFNA(VLOOKUP(F120,'Base dati fantasquadre'!$AH$32:$AI$40,2,TRUE),"")</f>
        <v/>
      </c>
      <c r="H120" s="107" t="str">
        <f>_xlfn.IFNA(VLOOKUP(I120,'Base dati fantasquadre'!$AH$32:$AI$40,2,TRUE),"")</f>
        <v/>
      </c>
      <c r="I120" s="106" t="str" cm="1">
        <f t="array" ref="I120">_xlfn.XLOOKUP(CONCATENATE(D120,J120),'Base dati fantasquadre'!$A$2:$A$211,Tabella3[Pt Tot],"")</f>
        <v/>
      </c>
      <c r="J120" s="111"/>
      <c r="O120" s="3" t="s">
        <v>162</v>
      </c>
      <c r="P120" s="3" t="s">
        <v>163</v>
      </c>
      <c r="R120" s="3">
        <f t="shared" si="12"/>
        <v>0</v>
      </c>
      <c r="S120" s="3">
        <f t="shared" si="13"/>
        <v>0</v>
      </c>
      <c r="T120"/>
      <c r="U120"/>
      <c r="V120"/>
      <c r="W120"/>
    </row>
    <row r="121" spans="4:23" ht="15.6" thickTop="1" thickBot="1" x14ac:dyDescent="0.35">
      <c r="D121" s="109">
        <v>24</v>
      </c>
      <c r="E121" s="133"/>
      <c r="F121" s="106" t="str" cm="1">
        <f t="array" ref="F121">_xlfn.XLOOKUP(CONCATENATE(D121,E121),'Base dati fantasquadre'!$A$2:$A$211,Tabella3[Pt Tot],"")</f>
        <v/>
      </c>
      <c r="G121" s="107" t="str">
        <f>_xlfn.IFNA(VLOOKUP(F121,'Base dati fantasquadre'!$AH$32:$AI$40,2,TRUE),"")</f>
        <v/>
      </c>
      <c r="H121" s="107" t="str">
        <f>_xlfn.IFNA(VLOOKUP(I121,'Base dati fantasquadre'!$AH$32:$AI$40,2,TRUE),"")</f>
        <v/>
      </c>
      <c r="I121" s="106" t="str" cm="1">
        <f t="array" ref="I121">_xlfn.XLOOKUP(CONCATENATE(D121,J121),'Base dati fantasquadre'!$A$2:$A$211,Tabella3[Pt Tot],"")</f>
        <v/>
      </c>
      <c r="J121" s="111"/>
      <c r="O121" s="3" t="s">
        <v>161</v>
      </c>
      <c r="P121" s="3" t="s">
        <v>473</v>
      </c>
      <c r="R121" s="3">
        <f t="shared" si="12"/>
        <v>0</v>
      </c>
      <c r="S121" s="3">
        <f t="shared" si="13"/>
        <v>0</v>
      </c>
      <c r="T121"/>
      <c r="U121"/>
      <c r="V121"/>
      <c r="W121"/>
    </row>
    <row r="122" spans="4:23" ht="15.6" thickTop="1" thickBot="1" x14ac:dyDescent="0.35">
      <c r="D122" s="109">
        <v>24</v>
      </c>
      <c r="E122" s="133"/>
      <c r="F122" s="106" t="str" cm="1">
        <f t="array" ref="F122">_xlfn.XLOOKUP(CONCATENATE(D122,E122),'Base dati fantasquadre'!$A$2:$A$211,Tabella3[Pt Tot],"")</f>
        <v/>
      </c>
      <c r="G122" s="107" t="str">
        <f>_xlfn.IFNA(VLOOKUP(F122,'Base dati fantasquadre'!$AH$32:$AI$40,2,TRUE),"")</f>
        <v/>
      </c>
      <c r="H122" s="107" t="str">
        <f>_xlfn.IFNA(VLOOKUP(I122,'Base dati fantasquadre'!$AH$32:$AI$40,2,TRUE),"")</f>
        <v/>
      </c>
      <c r="I122" s="106" t="str" cm="1">
        <f t="array" ref="I122">_xlfn.XLOOKUP(CONCATENATE(D122,J122),'Base dati fantasquadre'!$A$2:$A$211,Tabella3[Pt Tot],"")</f>
        <v/>
      </c>
      <c r="J122" s="111"/>
      <c r="O122" s="3" t="s">
        <v>2</v>
      </c>
      <c r="P122" s="3" t="s">
        <v>476</v>
      </c>
      <c r="R122" s="3">
        <f t="shared" si="12"/>
        <v>0</v>
      </c>
      <c r="S122" s="3">
        <f t="shared" si="13"/>
        <v>0</v>
      </c>
      <c r="T122"/>
      <c r="U122"/>
      <c r="V122"/>
      <c r="W122"/>
    </row>
    <row r="123" spans="4:23" ht="15.6" thickTop="1" thickBot="1" x14ac:dyDescent="0.35">
      <c r="D123" s="109">
        <v>24</v>
      </c>
      <c r="E123" s="133"/>
      <c r="F123" s="106" t="str" cm="1">
        <f t="array" ref="F123">_xlfn.XLOOKUP(CONCATENATE(D123,E123),'Base dati fantasquadre'!$A$2:$A$211,Tabella3[Pt Tot],"")</f>
        <v/>
      </c>
      <c r="G123" s="107" t="str">
        <f>_xlfn.IFNA(VLOOKUP(F123,'Base dati fantasquadre'!$AH$32:$AI$40,2,TRUE),"")</f>
        <v/>
      </c>
      <c r="H123" s="107" t="str">
        <f>_xlfn.IFNA(VLOOKUP(I123,'Base dati fantasquadre'!$AH$32:$AI$40,2,TRUE),"")</f>
        <v/>
      </c>
      <c r="I123" s="106" t="str" cm="1">
        <f t="array" ref="I123">_xlfn.XLOOKUP(CONCATENATE(D123,J123),'Base dati fantasquadre'!$A$2:$A$211,Tabella3[Pt Tot],"")</f>
        <v/>
      </c>
      <c r="J123" s="111"/>
      <c r="O123" s="3" t="s">
        <v>475</v>
      </c>
      <c r="P123" s="3" t="s">
        <v>474</v>
      </c>
      <c r="R123" s="3">
        <f t="shared" si="12"/>
        <v>0</v>
      </c>
      <c r="S123" s="3">
        <f t="shared" si="13"/>
        <v>0</v>
      </c>
      <c r="T123"/>
      <c r="U123"/>
      <c r="V123"/>
      <c r="W123"/>
    </row>
    <row r="124" spans="4:23" ht="15.6" thickTop="1" thickBot="1" x14ac:dyDescent="0.35">
      <c r="D124" s="109">
        <v>24</v>
      </c>
      <c r="E124" s="133"/>
      <c r="F124" s="106" t="str" cm="1">
        <f t="array" ref="F124">_xlfn.XLOOKUP(CONCATENATE(D124,E124),'Base dati fantasquadre'!$A$2:$A$211,Tabella3[Pt Tot],"")</f>
        <v/>
      </c>
      <c r="G124" s="107" t="str">
        <f>_xlfn.IFNA(VLOOKUP(F124,'Base dati fantasquadre'!$AH$32:$AI$40,2,TRUE),"")</f>
        <v/>
      </c>
      <c r="H124" s="107" t="str">
        <f>_xlfn.IFNA(VLOOKUP(I124,'Base dati fantasquadre'!$AH$32:$AI$40,2,TRUE),"")</f>
        <v/>
      </c>
      <c r="I124" s="106" t="str" cm="1">
        <f t="array" ref="I124">_xlfn.XLOOKUP(CONCATENATE(D124,J124),'Base dati fantasquadre'!$A$2:$A$211,Tabella3[Pt Tot],"")</f>
        <v/>
      </c>
      <c r="J124" s="111"/>
      <c r="O124" s="3" t="s">
        <v>161</v>
      </c>
      <c r="P124" s="3" t="s">
        <v>163</v>
      </c>
      <c r="R124" s="3">
        <f t="shared" si="12"/>
        <v>0</v>
      </c>
      <c r="S124" s="3">
        <f t="shared" si="13"/>
        <v>0</v>
      </c>
      <c r="T124"/>
      <c r="U124"/>
      <c r="V124"/>
      <c r="W124"/>
    </row>
    <row r="125" spans="4:23" ht="15.6" thickTop="1" thickBot="1" x14ac:dyDescent="0.35">
      <c r="D125" s="109">
        <v>24</v>
      </c>
      <c r="E125" s="133"/>
      <c r="F125" s="106" t="str" cm="1">
        <f t="array" ref="F125">_xlfn.XLOOKUP(CONCATENATE(D125,E125),'Base dati fantasquadre'!$A$2:$A$211,Tabella3[Pt Tot],"")</f>
        <v/>
      </c>
      <c r="G125" s="107" t="str">
        <f>_xlfn.IFNA(VLOOKUP(F125,'Base dati fantasquadre'!$AH$32:$AI$40,2,TRUE),"")</f>
        <v/>
      </c>
      <c r="H125" s="107" t="str">
        <f>_xlfn.IFNA(VLOOKUP(I125,'Base dati fantasquadre'!$AH$32:$AI$40,2,TRUE),"")</f>
        <v/>
      </c>
      <c r="I125" s="106" t="str" cm="1">
        <f t="array" ref="I125">_xlfn.XLOOKUP(CONCATENATE(D125,J125),'Base dati fantasquadre'!$A$2:$A$211,Tabella3[Pt Tot],"")</f>
        <v/>
      </c>
      <c r="J125" s="111"/>
      <c r="O125" s="3" t="s">
        <v>162</v>
      </c>
      <c r="P125" s="3" t="s">
        <v>473</v>
      </c>
      <c r="R125" s="3">
        <f t="shared" si="12"/>
        <v>0</v>
      </c>
      <c r="S125" s="3">
        <f t="shared" si="13"/>
        <v>0</v>
      </c>
      <c r="T125"/>
      <c r="U125"/>
      <c r="V125"/>
      <c r="W125"/>
    </row>
    <row r="126" spans="4:23" ht="15.6" thickTop="1" thickBot="1" x14ac:dyDescent="0.35">
      <c r="D126" s="109">
        <v>25</v>
      </c>
      <c r="E126" s="133"/>
      <c r="F126" s="106" t="str" cm="1">
        <f t="array" ref="F126">_xlfn.XLOOKUP(CONCATENATE(D126,E126),'Base dati fantasquadre'!$A$2:$A$211,Tabella3[Pt Tot],"")</f>
        <v/>
      </c>
      <c r="G126" s="107" t="str">
        <f>_xlfn.IFNA(VLOOKUP(F126,'Base dati fantasquadre'!$AH$32:$AI$40,2,TRUE),"")</f>
        <v/>
      </c>
      <c r="H126" s="107" t="str">
        <f>_xlfn.IFNA(VLOOKUP(I126,'Base dati fantasquadre'!$AH$32:$AI$40,2,TRUE),"")</f>
        <v/>
      </c>
      <c r="I126" s="106" t="str" cm="1">
        <f t="array" ref="I126">_xlfn.XLOOKUP(CONCATENATE(D126,J126),'Base dati fantasquadre'!$A$2:$A$211,Tabella3[Pt Tot],"")</f>
        <v/>
      </c>
      <c r="J126" s="111"/>
      <c r="O126" s="3" t="s">
        <v>475</v>
      </c>
      <c r="P126" s="3" t="s">
        <v>476</v>
      </c>
      <c r="R126" s="3">
        <f t="shared" si="12"/>
        <v>0</v>
      </c>
      <c r="S126" s="3">
        <f t="shared" si="13"/>
        <v>0</v>
      </c>
      <c r="T126"/>
      <c r="U126"/>
      <c r="V126"/>
      <c r="W126"/>
    </row>
    <row r="127" spans="4:23" ht="15.6" thickTop="1" thickBot="1" x14ac:dyDescent="0.35">
      <c r="D127" s="109">
        <v>25</v>
      </c>
      <c r="E127" s="133"/>
      <c r="F127" s="106" t="str" cm="1">
        <f t="array" ref="F127">_xlfn.XLOOKUP(CONCATENATE(D127,E127),'Base dati fantasquadre'!$A$2:$A$211,Tabella3[Pt Tot],"")</f>
        <v/>
      </c>
      <c r="G127" s="107" t="str">
        <f>_xlfn.IFNA(VLOOKUP(F127,'Base dati fantasquadre'!$AH$32:$AI$40,2,TRUE),"")</f>
        <v/>
      </c>
      <c r="H127" s="107" t="str">
        <f>_xlfn.IFNA(VLOOKUP(I127,'Base dati fantasquadre'!$AH$32:$AI$40,2,TRUE),"")</f>
        <v/>
      </c>
      <c r="I127" s="106" t="str" cm="1">
        <f t="array" ref="I127">_xlfn.XLOOKUP(CONCATENATE(D127,J127),'Base dati fantasquadre'!$A$2:$A$211,Tabella3[Pt Tot],"")</f>
        <v/>
      </c>
      <c r="J127" s="111"/>
      <c r="O127" s="3" t="s">
        <v>2</v>
      </c>
      <c r="P127" s="3" t="s">
        <v>474</v>
      </c>
      <c r="R127" s="3">
        <f t="shared" si="12"/>
        <v>0</v>
      </c>
      <c r="S127" s="3">
        <f t="shared" si="13"/>
        <v>0</v>
      </c>
      <c r="T127"/>
      <c r="U127"/>
      <c r="V127"/>
      <c r="W127"/>
    </row>
    <row r="128" spans="4:23" ht="15.6" thickTop="1" thickBot="1" x14ac:dyDescent="0.35">
      <c r="D128" s="109">
        <v>25</v>
      </c>
      <c r="E128" s="133"/>
      <c r="F128" s="106" t="str" cm="1">
        <f t="array" ref="F128">_xlfn.XLOOKUP(CONCATENATE(D128,E128),'Base dati fantasquadre'!$A$2:$A$211,Tabella3[Pt Tot],"")</f>
        <v/>
      </c>
      <c r="G128" s="107" t="str">
        <f>_xlfn.IFNA(VLOOKUP(F128,'Base dati fantasquadre'!$AH$32:$AI$40,2,TRUE),"")</f>
        <v/>
      </c>
      <c r="H128" s="107" t="str">
        <f>_xlfn.IFNA(VLOOKUP(I128,'Base dati fantasquadre'!$AH$32:$AI$40,2,TRUE),"")</f>
        <v/>
      </c>
      <c r="I128" s="106" t="str" cm="1">
        <f t="array" ref="I128">_xlfn.XLOOKUP(CONCATENATE(D128,J128),'Base dati fantasquadre'!$A$2:$A$211,Tabella3[Pt Tot],"")</f>
        <v/>
      </c>
      <c r="J128" s="111"/>
      <c r="O128" s="3" t="s">
        <v>476</v>
      </c>
      <c r="P128" s="3" t="s">
        <v>163</v>
      </c>
      <c r="R128" s="3">
        <f t="shared" si="12"/>
        <v>0</v>
      </c>
      <c r="S128" s="3">
        <f t="shared" si="13"/>
        <v>0</v>
      </c>
      <c r="T128"/>
      <c r="U128"/>
      <c r="V128"/>
      <c r="W128"/>
    </row>
    <row r="129" spans="4:23" ht="15.6" thickTop="1" thickBot="1" x14ac:dyDescent="0.35">
      <c r="D129" s="109">
        <v>25</v>
      </c>
      <c r="E129" s="133"/>
      <c r="F129" s="106" t="str" cm="1">
        <f t="array" ref="F129">_xlfn.XLOOKUP(CONCATENATE(D129,E129),'Base dati fantasquadre'!$A$2:$A$211,Tabella3[Pt Tot],"")</f>
        <v/>
      </c>
      <c r="G129" s="107" t="str">
        <f>_xlfn.IFNA(VLOOKUP(F129,'Base dati fantasquadre'!$AH$32:$AI$40,2,TRUE),"")</f>
        <v/>
      </c>
      <c r="H129" s="107" t="str">
        <f>_xlfn.IFNA(VLOOKUP(I129,'Base dati fantasquadre'!$AH$32:$AI$40,2,TRUE),"")</f>
        <v/>
      </c>
      <c r="I129" s="106" t="str" cm="1">
        <f t="array" ref="I129">_xlfn.XLOOKUP(CONCATENATE(D129,J129),'Base dati fantasquadre'!$A$2:$A$211,Tabella3[Pt Tot],"")</f>
        <v/>
      </c>
      <c r="J129" s="111"/>
      <c r="O129" s="3" t="s">
        <v>474</v>
      </c>
      <c r="P129" s="3" t="s">
        <v>473</v>
      </c>
      <c r="R129" s="3">
        <f t="shared" si="12"/>
        <v>0</v>
      </c>
      <c r="S129" s="3">
        <f t="shared" si="13"/>
        <v>0</v>
      </c>
      <c r="T129"/>
      <c r="U129"/>
      <c r="V129"/>
      <c r="W129"/>
    </row>
    <row r="130" spans="4:23" ht="15.6" thickTop="1" thickBot="1" x14ac:dyDescent="0.35">
      <c r="D130" s="109">
        <v>25</v>
      </c>
      <c r="E130" s="133"/>
      <c r="F130" s="106" t="str" cm="1">
        <f t="array" ref="F130">_xlfn.XLOOKUP(CONCATENATE(D130,E130),'Base dati fantasquadre'!$A$2:$A$211,Tabella3[Pt Tot],"")</f>
        <v/>
      </c>
      <c r="G130" s="107" t="str">
        <f>_xlfn.IFNA(VLOOKUP(F130,'Base dati fantasquadre'!$AH$32:$AI$40,2,TRUE),"")</f>
        <v/>
      </c>
      <c r="H130" s="107" t="str">
        <f>_xlfn.IFNA(VLOOKUP(I130,'Base dati fantasquadre'!$AH$32:$AI$40,2,TRUE),"")</f>
        <v/>
      </c>
      <c r="I130" s="106" t="str" cm="1">
        <f t="array" ref="I130">_xlfn.XLOOKUP(CONCATENATE(D130,J130),'Base dati fantasquadre'!$A$2:$A$211,Tabella3[Pt Tot],"")</f>
        <v/>
      </c>
      <c r="J130" s="111"/>
      <c r="O130" s="3" t="s">
        <v>2</v>
      </c>
      <c r="P130" s="3" t="s">
        <v>162</v>
      </c>
      <c r="R130" s="3">
        <f t="shared" si="12"/>
        <v>0</v>
      </c>
      <c r="S130" s="3">
        <f t="shared" si="13"/>
        <v>0</v>
      </c>
      <c r="T130"/>
      <c r="U130"/>
      <c r="V130"/>
      <c r="W130"/>
    </row>
    <row r="131" spans="4:23" ht="15.6" thickTop="1" thickBot="1" x14ac:dyDescent="0.35">
      <c r="D131" s="109">
        <v>26</v>
      </c>
      <c r="E131" s="133"/>
      <c r="F131" s="106" t="str" cm="1">
        <f t="array" ref="F131">_xlfn.XLOOKUP(CONCATENATE(D131,E131),'Base dati fantasquadre'!$A$2:$A$211,Tabella3[Pt Tot],"")</f>
        <v/>
      </c>
      <c r="G131" s="107" t="str">
        <f>_xlfn.IFNA(VLOOKUP(F131,'Base dati fantasquadre'!$AH$32:$AI$40,2,TRUE),"")</f>
        <v/>
      </c>
      <c r="H131" s="107" t="str">
        <f>_xlfn.IFNA(VLOOKUP(I131,'Base dati fantasquadre'!$AH$32:$AI$40,2,TRUE),"")</f>
        <v/>
      </c>
      <c r="I131" s="106" t="str" cm="1">
        <f t="array" ref="I131">_xlfn.XLOOKUP(CONCATENATE(D131,J131),'Base dati fantasquadre'!$A$2:$A$211,Tabella3[Pt Tot],"")</f>
        <v/>
      </c>
      <c r="J131" s="111"/>
      <c r="O131" s="3" t="s">
        <v>475</v>
      </c>
      <c r="P131" s="3" t="s">
        <v>161</v>
      </c>
      <c r="R131" s="3">
        <f t="shared" si="12"/>
        <v>0</v>
      </c>
      <c r="S131" s="3">
        <f t="shared" si="13"/>
        <v>0</v>
      </c>
      <c r="T131"/>
      <c r="U131"/>
      <c r="V131"/>
      <c r="W131"/>
    </row>
    <row r="132" spans="4:23" ht="15.6" thickTop="1" thickBot="1" x14ac:dyDescent="0.35">
      <c r="D132" s="109">
        <v>26</v>
      </c>
      <c r="E132" s="133"/>
      <c r="F132" s="106" t="str" cm="1">
        <f t="array" ref="F132">_xlfn.XLOOKUP(CONCATENATE(D132,E132),'Base dati fantasquadre'!$A$2:$A$211,Tabella3[Pt Tot],"")</f>
        <v/>
      </c>
      <c r="G132" s="107" t="str">
        <f>_xlfn.IFNA(VLOOKUP(F132,'Base dati fantasquadre'!$AH$32:$AI$40,2,TRUE),"")</f>
        <v/>
      </c>
      <c r="H132" s="107" t="str">
        <f>_xlfn.IFNA(VLOOKUP(I132,'Base dati fantasquadre'!$AH$32:$AI$40,2,TRUE),"")</f>
        <v/>
      </c>
      <c r="I132" s="106" t="str" cm="1">
        <f t="array" ref="I132">_xlfn.XLOOKUP(CONCATENATE(D132,J132),'Base dati fantasquadre'!$A$2:$A$211,Tabella3[Pt Tot],"")</f>
        <v/>
      </c>
      <c r="J132" s="111"/>
      <c r="O132" s="3" t="s">
        <v>475</v>
      </c>
      <c r="P132" s="3" t="s">
        <v>163</v>
      </c>
      <c r="R132" s="3">
        <f t="shared" si="12"/>
        <v>0</v>
      </c>
      <c r="S132" s="3">
        <f t="shared" si="13"/>
        <v>0</v>
      </c>
      <c r="T132"/>
      <c r="U132"/>
      <c r="V132"/>
      <c r="W132"/>
    </row>
    <row r="133" spans="4:23" ht="15.6" thickTop="1" thickBot="1" x14ac:dyDescent="0.35">
      <c r="D133" s="109">
        <v>26</v>
      </c>
      <c r="E133" s="133"/>
      <c r="F133" s="106" t="str" cm="1">
        <f t="array" ref="F133">_xlfn.XLOOKUP(CONCATENATE(D133,E133),'Base dati fantasquadre'!$A$2:$A$211,Tabella3[Pt Tot],"")</f>
        <v/>
      </c>
      <c r="G133" s="107" t="str">
        <f>_xlfn.IFNA(VLOOKUP(F133,'Base dati fantasquadre'!$AH$32:$AI$40,2,TRUE),"")</f>
        <v/>
      </c>
      <c r="H133" s="107" t="str">
        <f>_xlfn.IFNA(VLOOKUP(I133,'Base dati fantasquadre'!$AH$32:$AI$40,2,TRUE),"")</f>
        <v/>
      </c>
      <c r="I133" s="106" t="str" cm="1">
        <f t="array" ref="I133">_xlfn.XLOOKUP(CONCATENATE(D133,J133),'Base dati fantasquadre'!$A$2:$A$211,Tabella3[Pt Tot],"")</f>
        <v/>
      </c>
      <c r="J133" s="111"/>
      <c r="O133" s="3" t="s">
        <v>2</v>
      </c>
      <c r="P133" s="3" t="s">
        <v>473</v>
      </c>
      <c r="R133" s="3">
        <f t="shared" si="12"/>
        <v>0</v>
      </c>
      <c r="S133" s="3">
        <f t="shared" si="13"/>
        <v>0</v>
      </c>
      <c r="T133"/>
      <c r="U133"/>
      <c r="V133"/>
      <c r="W133"/>
    </row>
    <row r="134" spans="4:23" ht="15.6" thickTop="1" thickBot="1" x14ac:dyDescent="0.35">
      <c r="D134" s="109">
        <v>26</v>
      </c>
      <c r="E134" s="133"/>
      <c r="F134" s="106" t="str" cm="1">
        <f t="array" ref="F134">_xlfn.XLOOKUP(CONCATENATE(D134,E134),'Base dati fantasquadre'!$A$2:$A$211,Tabella3[Pt Tot],"")</f>
        <v/>
      </c>
      <c r="G134" s="107" t="str">
        <f>_xlfn.IFNA(VLOOKUP(F134,'Base dati fantasquadre'!$AH$32:$AI$40,2,TRUE),"")</f>
        <v/>
      </c>
      <c r="H134" s="107" t="str">
        <f>_xlfn.IFNA(VLOOKUP(I134,'Base dati fantasquadre'!$AH$32:$AI$40,2,TRUE),"")</f>
        <v/>
      </c>
      <c r="I134" s="106" t="str" cm="1">
        <f t="array" ref="I134">_xlfn.XLOOKUP(CONCATENATE(D134,J134),'Base dati fantasquadre'!$A$2:$A$211,Tabella3[Pt Tot],"")</f>
        <v/>
      </c>
      <c r="J134" s="111"/>
      <c r="O134" s="3" t="s">
        <v>474</v>
      </c>
      <c r="P134" s="3" t="s">
        <v>162</v>
      </c>
      <c r="R134" s="3">
        <f t="shared" si="12"/>
        <v>0</v>
      </c>
      <c r="S134" s="3">
        <f t="shared" si="13"/>
        <v>0</v>
      </c>
      <c r="T134"/>
      <c r="U134"/>
      <c r="V134"/>
      <c r="W134"/>
    </row>
    <row r="135" spans="4:23" ht="15.6" thickTop="1" thickBot="1" x14ac:dyDescent="0.35">
      <c r="D135" s="109">
        <v>26</v>
      </c>
      <c r="E135" s="133"/>
      <c r="F135" s="106" t="str" cm="1">
        <f t="array" ref="F135">_xlfn.XLOOKUP(CONCATENATE(D135,E135),'Base dati fantasquadre'!$A$2:$A$211,Tabella3[Pt Tot],"")</f>
        <v/>
      </c>
      <c r="G135" s="107" t="str">
        <f>_xlfn.IFNA(VLOOKUP(F135,'Base dati fantasquadre'!$AH$32:$AI$40,2,TRUE),"")</f>
        <v/>
      </c>
      <c r="H135" s="107" t="str">
        <f>_xlfn.IFNA(VLOOKUP(I135,'Base dati fantasquadre'!$AH$32:$AI$40,2,TRUE),"")</f>
        <v/>
      </c>
      <c r="I135" s="106" t="str" cm="1">
        <f t="array" ref="I135">_xlfn.XLOOKUP(CONCATENATE(D135,J135),'Base dati fantasquadre'!$A$2:$A$211,Tabella3[Pt Tot],"")</f>
        <v/>
      </c>
      <c r="J135" s="111"/>
      <c r="O135" s="3" t="s">
        <v>476</v>
      </c>
      <c r="P135" s="3" t="s">
        <v>161</v>
      </c>
      <c r="R135" s="3">
        <f t="shared" si="12"/>
        <v>0</v>
      </c>
      <c r="S135" s="3">
        <f t="shared" si="13"/>
        <v>0</v>
      </c>
      <c r="T135"/>
      <c r="U135"/>
      <c r="V135"/>
      <c r="W135"/>
    </row>
    <row r="136" spans="4:23" ht="15.6" thickTop="1" thickBot="1" x14ac:dyDescent="0.35">
      <c r="D136" s="109">
        <v>27</v>
      </c>
      <c r="E136" s="133"/>
      <c r="F136" s="106" t="str" cm="1">
        <f t="array" ref="F136">_xlfn.XLOOKUP(CONCATENATE(D136,E136),'Base dati fantasquadre'!$A$2:$A$211,Tabella3[Pt Tot],"")</f>
        <v/>
      </c>
      <c r="G136" s="107" t="str">
        <f>_xlfn.IFNA(VLOOKUP(F136,'Base dati fantasquadre'!$AH$32:$AI$40,2,TRUE),"")</f>
        <v/>
      </c>
      <c r="H136" s="107" t="str">
        <f>_xlfn.IFNA(VLOOKUP(I136,'Base dati fantasquadre'!$AH$32:$AI$40,2,TRUE),"")</f>
        <v/>
      </c>
      <c r="I136" s="106" t="str" cm="1">
        <f t="array" ref="I136">_xlfn.XLOOKUP(CONCATENATE(D136,J136),'Base dati fantasquadre'!$A$2:$A$211,Tabella3[Pt Tot],"")</f>
        <v/>
      </c>
      <c r="J136" s="111"/>
      <c r="O136" s="3" t="s">
        <v>474</v>
      </c>
      <c r="P136" s="3" t="s">
        <v>163</v>
      </c>
      <c r="R136" s="3">
        <f t="shared" si="12"/>
        <v>0</v>
      </c>
      <c r="S136" s="3">
        <f t="shared" si="13"/>
        <v>0</v>
      </c>
      <c r="T136"/>
      <c r="U136"/>
      <c r="V136"/>
      <c r="W136"/>
    </row>
    <row r="137" spans="4:23" ht="15.6" thickTop="1" thickBot="1" x14ac:dyDescent="0.35">
      <c r="D137" s="109">
        <v>27</v>
      </c>
      <c r="E137" s="133"/>
      <c r="F137" s="106" t="str" cm="1">
        <f t="array" ref="F137">_xlfn.XLOOKUP(CONCATENATE(D137,E137),'Base dati fantasquadre'!$A$2:$A$211,Tabella3[Pt Tot],"")</f>
        <v/>
      </c>
      <c r="G137" s="107" t="str">
        <f>_xlfn.IFNA(VLOOKUP(F137,'Base dati fantasquadre'!$AH$32:$AI$40,2,TRUE),"")</f>
        <v/>
      </c>
      <c r="H137" s="107" t="str">
        <f>_xlfn.IFNA(VLOOKUP(I137,'Base dati fantasquadre'!$AH$32:$AI$40,2,TRUE),"")</f>
        <v/>
      </c>
      <c r="I137" s="106" t="str" cm="1">
        <f t="array" ref="I137">_xlfn.XLOOKUP(CONCATENATE(D137,J137),'Base dati fantasquadre'!$A$2:$A$211,Tabella3[Pt Tot],"")</f>
        <v/>
      </c>
      <c r="J137" s="111"/>
      <c r="O137" s="3" t="s">
        <v>163</v>
      </c>
      <c r="P137" s="3" t="s">
        <v>473</v>
      </c>
      <c r="R137" s="3">
        <f t="shared" si="12"/>
        <v>0</v>
      </c>
      <c r="S137" s="3">
        <f t="shared" si="13"/>
        <v>0</v>
      </c>
      <c r="T137"/>
      <c r="U137"/>
      <c r="V137"/>
      <c r="W137"/>
    </row>
    <row r="138" spans="4:23" ht="15.6" thickTop="1" thickBot="1" x14ac:dyDescent="0.35">
      <c r="D138" s="109">
        <v>27</v>
      </c>
      <c r="E138" s="133"/>
      <c r="F138" s="106" t="str" cm="1">
        <f t="array" ref="F138">_xlfn.XLOOKUP(CONCATENATE(D138,E138),'Base dati fantasquadre'!$A$2:$A$211,Tabella3[Pt Tot],"")</f>
        <v/>
      </c>
      <c r="G138" s="107" t="str">
        <f>_xlfn.IFNA(VLOOKUP(F138,'Base dati fantasquadre'!$AH$32:$AI$40,2,TRUE),"")</f>
        <v/>
      </c>
      <c r="H138" s="107" t="str">
        <f>_xlfn.IFNA(VLOOKUP(I138,'Base dati fantasquadre'!$AH$32:$AI$40,2,TRUE),"")</f>
        <v/>
      </c>
      <c r="I138" s="106" t="str" cm="1">
        <f t="array" ref="I138">_xlfn.XLOOKUP(CONCATENATE(D138,J138),'Base dati fantasquadre'!$A$2:$A$211,Tabella3[Pt Tot],"")</f>
        <v/>
      </c>
      <c r="J138" s="111"/>
      <c r="O138" s="3" t="s">
        <v>162</v>
      </c>
      <c r="P138" s="3" t="s">
        <v>162</v>
      </c>
      <c r="R138" s="3">
        <f t="shared" si="12"/>
        <v>0</v>
      </c>
      <c r="S138" s="3">
        <f t="shared" si="13"/>
        <v>0</v>
      </c>
      <c r="T138"/>
      <c r="U138"/>
      <c r="V138"/>
      <c r="W138"/>
    </row>
    <row r="139" spans="4:23" ht="15.6" thickTop="1" thickBot="1" x14ac:dyDescent="0.35">
      <c r="D139" s="109">
        <v>27</v>
      </c>
      <c r="E139" s="133"/>
      <c r="F139" s="106" t="str" cm="1">
        <f t="array" ref="F139">_xlfn.XLOOKUP(CONCATENATE(D139,E139),'Base dati fantasquadre'!$A$2:$A$211,Tabella3[Pt Tot],"")</f>
        <v/>
      </c>
      <c r="G139" s="107" t="str">
        <f>_xlfn.IFNA(VLOOKUP(F139,'Base dati fantasquadre'!$AH$32:$AI$40,2,TRUE),"")</f>
        <v/>
      </c>
      <c r="H139" s="107" t="str">
        <f>_xlfn.IFNA(VLOOKUP(I139,'Base dati fantasquadre'!$AH$32:$AI$40,2,TRUE),"")</f>
        <v/>
      </c>
      <c r="I139" s="106" t="str" cm="1">
        <f t="array" ref="I139">_xlfn.XLOOKUP(CONCATENATE(D139,J139),'Base dati fantasquadre'!$A$2:$A$211,Tabella3[Pt Tot],"")</f>
        <v/>
      </c>
      <c r="J139" s="111"/>
      <c r="O139" s="3" t="s">
        <v>476</v>
      </c>
      <c r="P139" s="3" t="s">
        <v>161</v>
      </c>
      <c r="R139" s="3">
        <f t="shared" si="12"/>
        <v>0</v>
      </c>
      <c r="S139" s="3">
        <f t="shared" si="13"/>
        <v>0</v>
      </c>
      <c r="T139"/>
      <c r="U139"/>
      <c r="V139"/>
      <c r="W139"/>
    </row>
    <row r="140" spans="4:23" ht="15.6" thickTop="1" thickBot="1" x14ac:dyDescent="0.35">
      <c r="D140" s="109">
        <v>27</v>
      </c>
      <c r="E140" s="133"/>
      <c r="F140" s="106" t="str" cm="1">
        <f t="array" ref="F140">_xlfn.XLOOKUP(CONCATENATE(D140,E140),'Base dati fantasquadre'!$A$2:$A$211,Tabella3[Pt Tot],"")</f>
        <v/>
      </c>
      <c r="G140" s="107" t="str">
        <f>_xlfn.IFNA(VLOOKUP(F140,'Base dati fantasquadre'!$AH$32:$AI$40,2,TRUE),"")</f>
        <v/>
      </c>
      <c r="H140" s="107" t="str">
        <f>_xlfn.IFNA(VLOOKUP(I140,'Base dati fantasquadre'!$AH$32:$AI$40,2,TRUE),"")</f>
        <v/>
      </c>
      <c r="I140" s="106" t="str" cm="1">
        <f t="array" ref="I140">_xlfn.XLOOKUP(CONCATENATE(D140,J140),'Base dati fantasquadre'!$A$2:$A$211,Tabella3[Pt Tot],"")</f>
        <v/>
      </c>
      <c r="J140" s="111"/>
      <c r="O140" s="3" t="s">
        <v>2</v>
      </c>
      <c r="P140" s="3" t="s">
        <v>163</v>
      </c>
      <c r="R140" s="3">
        <f t="shared" si="12"/>
        <v>0</v>
      </c>
      <c r="S140" s="3">
        <f t="shared" si="13"/>
        <v>0</v>
      </c>
      <c r="T140"/>
      <c r="U140"/>
      <c r="V140"/>
      <c r="W140"/>
    </row>
    <row r="141" spans="4:23" ht="15.6" thickTop="1" thickBot="1" x14ac:dyDescent="0.35">
      <c r="D141" s="109">
        <v>28</v>
      </c>
      <c r="E141" s="133"/>
      <c r="F141" s="106" t="str" cm="1">
        <f t="array" ref="F141">_xlfn.XLOOKUP(CONCATENATE(D141,E141),'Base dati fantasquadre'!$A$2:$A$211,Tabella3[Pt Tot],"")</f>
        <v/>
      </c>
      <c r="G141" s="107" t="str">
        <f>_xlfn.IFNA(VLOOKUP(F141,'Base dati fantasquadre'!$AH$32:$AI$40,2,TRUE),"")</f>
        <v/>
      </c>
      <c r="H141" s="107" t="str">
        <f>_xlfn.IFNA(VLOOKUP(I141,'Base dati fantasquadre'!$AH$32:$AI$40,2,TRUE),"")</f>
        <v/>
      </c>
      <c r="I141" s="106" t="str" cm="1">
        <f t="array" ref="I141">_xlfn.XLOOKUP(CONCATENATE(D141,J141),'Base dati fantasquadre'!$A$2:$A$211,Tabella3[Pt Tot],"")</f>
        <v/>
      </c>
      <c r="J141" s="111"/>
      <c r="O141" s="3" t="s">
        <v>163</v>
      </c>
      <c r="P141" s="3" t="s">
        <v>473</v>
      </c>
      <c r="R141" s="3">
        <f t="shared" si="12"/>
        <v>0</v>
      </c>
      <c r="S141" s="3">
        <f t="shared" si="13"/>
        <v>0</v>
      </c>
      <c r="T141"/>
      <c r="U141"/>
      <c r="V141"/>
      <c r="W141"/>
    </row>
    <row r="142" spans="4:23" ht="15.6" thickTop="1" thickBot="1" x14ac:dyDescent="0.35">
      <c r="D142" s="109">
        <v>28</v>
      </c>
      <c r="E142" s="133"/>
      <c r="F142" s="106" t="str" cm="1">
        <f t="array" ref="F142">_xlfn.XLOOKUP(CONCATENATE(D142,E142),'Base dati fantasquadre'!$A$2:$A$211,Tabella3[Pt Tot],"")</f>
        <v/>
      </c>
      <c r="G142" s="107" t="str">
        <f>_xlfn.IFNA(VLOOKUP(F142,'Base dati fantasquadre'!$AH$32:$AI$40,2,TRUE),"")</f>
        <v/>
      </c>
      <c r="H142" s="107" t="str">
        <f>_xlfn.IFNA(VLOOKUP(I142,'Base dati fantasquadre'!$AH$32:$AI$40,2,TRUE),"")</f>
        <v/>
      </c>
      <c r="I142" s="106" t="str" cm="1">
        <f t="array" ref="I142">_xlfn.XLOOKUP(CONCATENATE(D142,J142),'Base dati fantasquadre'!$A$2:$A$211,Tabella3[Pt Tot],"")</f>
        <v/>
      </c>
      <c r="J142" s="111"/>
      <c r="O142" s="3" t="s">
        <v>473</v>
      </c>
      <c r="P142" s="3" t="s">
        <v>162</v>
      </c>
      <c r="R142" s="3">
        <f t="shared" si="12"/>
        <v>0</v>
      </c>
      <c r="S142" s="3">
        <f t="shared" si="13"/>
        <v>0</v>
      </c>
      <c r="T142"/>
      <c r="U142"/>
      <c r="V142"/>
      <c r="W142"/>
    </row>
    <row r="143" spans="4:23" ht="15.6" thickTop="1" thickBot="1" x14ac:dyDescent="0.35">
      <c r="D143" s="109">
        <v>28</v>
      </c>
      <c r="E143" s="133"/>
      <c r="F143" s="106" t="str" cm="1">
        <f t="array" ref="F143">_xlfn.XLOOKUP(CONCATENATE(D143,E143),'Base dati fantasquadre'!$A$2:$A$211,Tabella3[Pt Tot],"")</f>
        <v/>
      </c>
      <c r="G143" s="107" t="str">
        <f>_xlfn.IFNA(VLOOKUP(F143,'Base dati fantasquadre'!$AH$32:$AI$40,2,TRUE),"")</f>
        <v/>
      </c>
      <c r="H143" s="107" t="str">
        <f>_xlfn.IFNA(VLOOKUP(I143,'Base dati fantasquadre'!$AH$32:$AI$40,2,TRUE),"")</f>
        <v/>
      </c>
      <c r="I143" s="106" t="str" cm="1">
        <f t="array" ref="I143">_xlfn.XLOOKUP(CONCATENATE(D143,J143),'Base dati fantasquadre'!$A$2:$A$211,Tabella3[Pt Tot],"")</f>
        <v/>
      </c>
      <c r="J143" s="111"/>
      <c r="O143" s="3" t="s">
        <v>476</v>
      </c>
      <c r="P143" s="3" t="s">
        <v>161</v>
      </c>
      <c r="R143" s="3">
        <f t="shared" si="12"/>
        <v>0</v>
      </c>
      <c r="S143" s="3">
        <f t="shared" si="13"/>
        <v>0</v>
      </c>
      <c r="T143"/>
      <c r="U143"/>
      <c r="V143"/>
      <c r="W143"/>
    </row>
    <row r="144" spans="4:23" ht="15.6" thickTop="1" thickBot="1" x14ac:dyDescent="0.35">
      <c r="D144" s="109">
        <v>28</v>
      </c>
      <c r="E144" s="133"/>
      <c r="F144" s="106" t="str" cm="1">
        <f t="array" ref="F144">_xlfn.XLOOKUP(CONCATENATE(D144,E144),'Base dati fantasquadre'!$A$2:$A$211,Tabella3[Pt Tot],"")</f>
        <v/>
      </c>
      <c r="G144" s="107" t="str">
        <f>_xlfn.IFNA(VLOOKUP(F144,'Base dati fantasquadre'!$AH$32:$AI$40,2,TRUE),"")</f>
        <v/>
      </c>
      <c r="H144" s="107" t="str">
        <f>_xlfn.IFNA(VLOOKUP(I144,'Base dati fantasquadre'!$AH$32:$AI$40,2,TRUE),"")</f>
        <v/>
      </c>
      <c r="I144" s="106" t="str" cm="1">
        <f t="array" ref="I144">_xlfn.XLOOKUP(CONCATENATE(D144,J144),'Base dati fantasquadre'!$A$2:$A$211,Tabella3[Pt Tot],"")</f>
        <v/>
      </c>
      <c r="J144" s="111"/>
      <c r="O144" s="3" t="s">
        <v>474</v>
      </c>
      <c r="P144" s="3" t="s">
        <v>473</v>
      </c>
      <c r="R144" s="3">
        <f t="shared" si="12"/>
        <v>0</v>
      </c>
      <c r="S144" s="3">
        <f t="shared" si="13"/>
        <v>0</v>
      </c>
      <c r="T144"/>
      <c r="U144"/>
      <c r="V144"/>
      <c r="W144"/>
    </row>
    <row r="145" spans="4:23" ht="15.6" thickTop="1" thickBot="1" x14ac:dyDescent="0.35">
      <c r="D145" s="109">
        <v>28</v>
      </c>
      <c r="E145" s="133"/>
      <c r="F145" s="106" t="str" cm="1">
        <f t="array" ref="F145">_xlfn.XLOOKUP(CONCATENATE(D145,E145),'Base dati fantasquadre'!$A$2:$A$211,Tabella3[Pt Tot],"")</f>
        <v/>
      </c>
      <c r="G145" s="107" t="str">
        <f>_xlfn.IFNA(VLOOKUP(F145,'Base dati fantasquadre'!$AH$32:$AI$40,2,TRUE),"")</f>
        <v/>
      </c>
      <c r="H145" s="107" t="str">
        <f>_xlfn.IFNA(VLOOKUP(I145,'Base dati fantasquadre'!$AH$32:$AI$40,2,TRUE),"")</f>
        <v/>
      </c>
      <c r="I145" s="106" t="str" cm="1">
        <f t="array" ref="I145">_xlfn.XLOOKUP(CONCATENATE(D145,J145),'Base dati fantasquadre'!$A$2:$A$211,Tabella3[Pt Tot],"")</f>
        <v/>
      </c>
      <c r="J145" s="111"/>
      <c r="O145" s="3" t="s">
        <v>163</v>
      </c>
      <c r="P145" s="3" t="s">
        <v>161</v>
      </c>
      <c r="R145" s="3">
        <f t="shared" si="12"/>
        <v>0</v>
      </c>
      <c r="S145" s="3">
        <f t="shared" si="13"/>
        <v>0</v>
      </c>
      <c r="T145"/>
      <c r="U145"/>
      <c r="V145"/>
      <c r="W145"/>
    </row>
    <row r="146" spans="4:23" ht="15.6" thickTop="1" thickBot="1" x14ac:dyDescent="0.35">
      <c r="D146" s="109">
        <v>29</v>
      </c>
      <c r="E146" s="133"/>
      <c r="F146" s="106" t="str" cm="1">
        <f t="array" ref="F146">_xlfn.XLOOKUP(CONCATENATE(D146,E146),'Base dati fantasquadre'!$A$2:$A$211,Tabella3[Pt Tot],"")</f>
        <v/>
      </c>
      <c r="G146" s="107" t="str">
        <f>_xlfn.IFNA(VLOOKUP(F146,'Base dati fantasquadre'!$AH$32:$AI$40,2,TRUE),"")</f>
        <v/>
      </c>
      <c r="H146" s="107" t="str">
        <f>_xlfn.IFNA(VLOOKUP(I146,'Base dati fantasquadre'!$AH$32:$AI$40,2,TRUE),"")</f>
        <v/>
      </c>
      <c r="I146" s="106" t="str" cm="1">
        <f t="array" ref="I146">_xlfn.XLOOKUP(CONCATENATE(D146,J146),'Base dati fantasquadre'!$A$2:$A$211,Tabella3[Pt Tot],"")</f>
        <v/>
      </c>
      <c r="J146" s="111"/>
      <c r="O146" s="3" t="s">
        <v>473</v>
      </c>
      <c r="P146" s="3" t="s">
        <v>474</v>
      </c>
      <c r="R146" s="3">
        <f t="shared" si="12"/>
        <v>0</v>
      </c>
      <c r="S146" s="3">
        <f t="shared" si="13"/>
        <v>0</v>
      </c>
      <c r="T146"/>
      <c r="U146"/>
      <c r="V146"/>
      <c r="W146"/>
    </row>
    <row r="147" spans="4:23" ht="15.6" thickTop="1" thickBot="1" x14ac:dyDescent="0.35">
      <c r="D147" s="109">
        <v>29</v>
      </c>
      <c r="E147" s="133"/>
      <c r="F147" s="106" t="str" cm="1">
        <f t="array" ref="F147">_xlfn.XLOOKUP(CONCATENATE(D147,E147),'Base dati fantasquadre'!$A$2:$A$211,Tabella3[Pt Tot],"")</f>
        <v/>
      </c>
      <c r="G147" s="107" t="str">
        <f>_xlfn.IFNA(VLOOKUP(F147,'Base dati fantasquadre'!$AH$32:$AI$40,2,TRUE),"")</f>
        <v/>
      </c>
      <c r="H147" s="107" t="str">
        <f>_xlfn.IFNA(VLOOKUP(I147,'Base dati fantasquadre'!$AH$32:$AI$40,2,TRUE),"")</f>
        <v/>
      </c>
      <c r="I147" s="106" t="str" cm="1">
        <f t="array" ref="I147">_xlfn.XLOOKUP(CONCATENATE(D147,J147),'Base dati fantasquadre'!$A$2:$A$211,Tabella3[Pt Tot],"")</f>
        <v/>
      </c>
      <c r="J147" s="111"/>
      <c r="O147" s="3" t="s">
        <v>476</v>
      </c>
      <c r="P147" s="3" t="s">
        <v>475</v>
      </c>
      <c r="R147" s="3">
        <f t="shared" si="12"/>
        <v>0</v>
      </c>
      <c r="S147" s="3">
        <f t="shared" si="13"/>
        <v>0</v>
      </c>
      <c r="T147"/>
      <c r="U147"/>
      <c r="V147"/>
      <c r="W147"/>
    </row>
    <row r="148" spans="4:23" ht="15.6" thickTop="1" thickBot="1" x14ac:dyDescent="0.35">
      <c r="D148" s="109">
        <v>29</v>
      </c>
      <c r="E148" s="133"/>
      <c r="F148" s="106" t="str" cm="1">
        <f t="array" ref="F148">_xlfn.XLOOKUP(CONCATENATE(D148,E148),'Base dati fantasquadre'!$A$2:$A$211,Tabella3[Pt Tot],"")</f>
        <v/>
      </c>
      <c r="G148" s="107" t="str">
        <f>_xlfn.IFNA(VLOOKUP(F148,'Base dati fantasquadre'!$AH$32:$AI$40,2,TRUE),"")</f>
        <v/>
      </c>
      <c r="H148" s="107" t="str">
        <f>_xlfn.IFNA(VLOOKUP(I148,'Base dati fantasquadre'!$AH$32:$AI$40,2,TRUE),"")</f>
        <v/>
      </c>
      <c r="I148" s="106" t="str" cm="1">
        <f t="array" ref="I148">_xlfn.XLOOKUP(CONCATENATE(D148,J148),'Base dati fantasquadre'!$A$2:$A$211,Tabella3[Pt Tot],"")</f>
        <v/>
      </c>
      <c r="J148" s="111"/>
      <c r="O148" s="3" t="s">
        <v>474</v>
      </c>
      <c r="P148" s="3" t="s">
        <v>162</v>
      </c>
      <c r="R148" s="3">
        <f t="shared" si="12"/>
        <v>0</v>
      </c>
      <c r="S148" s="3">
        <f t="shared" si="13"/>
        <v>0</v>
      </c>
      <c r="T148"/>
      <c r="U148"/>
      <c r="V148"/>
      <c r="W148"/>
    </row>
    <row r="149" spans="4:23" ht="15.6" thickTop="1" thickBot="1" x14ac:dyDescent="0.35">
      <c r="D149" s="109">
        <v>29</v>
      </c>
      <c r="E149" s="133"/>
      <c r="F149" s="106" t="str" cm="1">
        <f t="array" ref="F149">_xlfn.XLOOKUP(CONCATENATE(D149,E149),'Base dati fantasquadre'!$A$2:$A$211,Tabella3[Pt Tot],"")</f>
        <v/>
      </c>
      <c r="G149" s="107" t="str">
        <f>_xlfn.IFNA(VLOOKUP(F149,'Base dati fantasquadre'!$AH$32:$AI$40,2,TRUE),"")</f>
        <v/>
      </c>
      <c r="H149" s="107" t="str">
        <f>_xlfn.IFNA(VLOOKUP(I149,'Base dati fantasquadre'!$AH$32:$AI$40,2,TRUE),"")</f>
        <v/>
      </c>
      <c r="I149" s="106" t="str" cm="1">
        <f t="array" ref="I149">_xlfn.XLOOKUP(CONCATENATE(D149,J149),'Base dati fantasquadre'!$A$2:$A$211,Tabella3[Pt Tot],"")</f>
        <v/>
      </c>
      <c r="J149" s="111"/>
      <c r="O149" s="3" t="s">
        <v>163</v>
      </c>
      <c r="P149" s="3" t="s">
        <v>161</v>
      </c>
      <c r="R149" s="3">
        <f t="shared" si="12"/>
        <v>0</v>
      </c>
      <c r="S149" s="3">
        <f t="shared" si="13"/>
        <v>0</v>
      </c>
      <c r="T149"/>
      <c r="U149"/>
      <c r="V149"/>
      <c r="W149"/>
    </row>
    <row r="150" spans="4:23" ht="15.6" thickTop="1" thickBot="1" x14ac:dyDescent="0.35">
      <c r="D150" s="109">
        <v>29</v>
      </c>
      <c r="E150" s="133"/>
      <c r="F150" s="106" t="str" cm="1">
        <f t="array" ref="F150">_xlfn.XLOOKUP(CONCATENATE(D150,E150),'Base dati fantasquadre'!$A$2:$A$211,Tabella3[Pt Tot],"")</f>
        <v/>
      </c>
      <c r="G150" s="107" t="str">
        <f>_xlfn.IFNA(VLOOKUP(F150,'Base dati fantasquadre'!$AH$32:$AI$40,2,TRUE),"")</f>
        <v/>
      </c>
      <c r="H150" s="107" t="str">
        <f>_xlfn.IFNA(VLOOKUP(I150,'Base dati fantasquadre'!$AH$32:$AI$40,2,TRUE),"")</f>
        <v/>
      </c>
      <c r="I150" s="106" t="str" cm="1">
        <f t="array" ref="I150">_xlfn.XLOOKUP(CONCATENATE(D150,J150),'Base dati fantasquadre'!$A$2:$A$211,Tabella3[Pt Tot],"")</f>
        <v/>
      </c>
      <c r="J150" s="111"/>
      <c r="O150" s="3" t="s">
        <v>473</v>
      </c>
      <c r="P150" s="3" t="s">
        <v>2</v>
      </c>
      <c r="R150" s="3">
        <f t="shared" si="12"/>
        <v>0</v>
      </c>
      <c r="S150" s="3">
        <f t="shared" si="13"/>
        <v>0</v>
      </c>
      <c r="T150"/>
      <c r="U150"/>
      <c r="V150"/>
      <c r="W150"/>
    </row>
    <row r="151" spans="4:23" ht="15.6" thickTop="1" thickBot="1" x14ac:dyDescent="0.35">
      <c r="D151" s="109">
        <v>30</v>
      </c>
      <c r="E151" s="133"/>
      <c r="F151" s="106" t="str" cm="1">
        <f t="array" ref="F151">_xlfn.XLOOKUP(CONCATENATE(D151,E151),'Base dati fantasquadre'!$A$2:$A$211,Tabella3[Pt Tot],"")</f>
        <v/>
      </c>
      <c r="G151" s="107" t="str">
        <f>_xlfn.IFNA(VLOOKUP(F151,'Base dati fantasquadre'!$AH$32:$AI$40,2,TRUE),"")</f>
        <v/>
      </c>
      <c r="H151" s="107" t="str">
        <f>_xlfn.IFNA(VLOOKUP(I151,'Base dati fantasquadre'!$AH$32:$AI$40,2,TRUE),"")</f>
        <v/>
      </c>
      <c r="I151" s="106" t="str" cm="1">
        <f t="array" ref="I151">_xlfn.XLOOKUP(CONCATENATE(D151,J151),'Base dati fantasquadre'!$A$2:$A$211,Tabella3[Pt Tot],"")</f>
        <v/>
      </c>
      <c r="J151" s="111"/>
      <c r="O151" s="3" t="s">
        <v>162</v>
      </c>
      <c r="P151" s="3" t="s">
        <v>475</v>
      </c>
      <c r="R151" s="3">
        <f t="shared" si="12"/>
        <v>0</v>
      </c>
      <c r="S151" s="3">
        <f t="shared" si="13"/>
        <v>0</v>
      </c>
      <c r="T151"/>
      <c r="U151"/>
      <c r="V151"/>
      <c r="W151"/>
    </row>
    <row r="152" spans="4:23" ht="15.6" thickTop="1" thickBot="1" x14ac:dyDescent="0.35">
      <c r="D152" s="109">
        <v>30</v>
      </c>
      <c r="E152" s="133"/>
      <c r="F152" s="106" t="str" cm="1">
        <f t="array" ref="F152">_xlfn.XLOOKUP(CONCATENATE(D152,E152),'Base dati fantasquadre'!$A$2:$A$211,Tabella3[Pt Tot],"")</f>
        <v/>
      </c>
      <c r="G152" s="107" t="str">
        <f>_xlfn.IFNA(VLOOKUP(F152,'Base dati fantasquadre'!$AH$32:$AI$40,2,TRUE),"")</f>
        <v/>
      </c>
      <c r="H152" s="107" t="str">
        <f>_xlfn.IFNA(VLOOKUP(I152,'Base dati fantasquadre'!$AH$32:$AI$40,2,TRUE),"")</f>
        <v/>
      </c>
      <c r="I152" s="106" t="str" cm="1">
        <f t="array" ref="I152">_xlfn.XLOOKUP(CONCATENATE(D152,J152),'Base dati fantasquadre'!$A$2:$A$211,Tabella3[Pt Tot],"")</f>
        <v/>
      </c>
      <c r="J152" s="111"/>
      <c r="O152" s="3" t="s">
        <v>161</v>
      </c>
      <c r="P152" s="3" t="s">
        <v>161</v>
      </c>
      <c r="R152" s="3">
        <f t="shared" si="12"/>
        <v>0</v>
      </c>
      <c r="S152" s="3">
        <f t="shared" si="13"/>
        <v>0</v>
      </c>
      <c r="T152"/>
      <c r="U152"/>
      <c r="V152"/>
      <c r="W152"/>
    </row>
    <row r="153" spans="4:23" ht="15.6" thickTop="1" thickBot="1" x14ac:dyDescent="0.35">
      <c r="D153" s="109">
        <v>30</v>
      </c>
      <c r="E153" s="133"/>
      <c r="F153" s="106" t="str" cm="1">
        <f t="array" ref="F153">_xlfn.XLOOKUP(CONCATENATE(D153,E153),'Base dati fantasquadre'!$A$2:$A$211,Tabella3[Pt Tot],"")</f>
        <v/>
      </c>
      <c r="G153" s="107" t="str">
        <f>_xlfn.IFNA(VLOOKUP(F153,'Base dati fantasquadre'!$AH$32:$AI$40,2,TRUE),"")</f>
        <v/>
      </c>
      <c r="H153" s="107" t="str">
        <f>_xlfn.IFNA(VLOOKUP(I153,'Base dati fantasquadre'!$AH$32:$AI$40,2,TRUE),"")</f>
        <v/>
      </c>
      <c r="I153" s="106" t="str" cm="1">
        <f t="array" ref="I153">_xlfn.XLOOKUP(CONCATENATE(D153,J153),'Base dati fantasquadre'!$A$2:$A$211,Tabella3[Pt Tot],"")</f>
        <v/>
      </c>
      <c r="J153" s="111"/>
      <c r="O153" s="3" t="s">
        <v>163</v>
      </c>
      <c r="P153" s="3" t="s">
        <v>162</v>
      </c>
      <c r="R153" s="3">
        <f t="shared" si="12"/>
        <v>0</v>
      </c>
      <c r="S153" s="3">
        <f t="shared" si="13"/>
        <v>0</v>
      </c>
      <c r="T153"/>
      <c r="U153"/>
      <c r="V153"/>
      <c r="W153"/>
    </row>
    <row r="154" spans="4:23" ht="15.6" thickTop="1" thickBot="1" x14ac:dyDescent="0.35">
      <c r="D154" s="109">
        <v>30</v>
      </c>
      <c r="E154" s="133"/>
      <c r="F154" s="106" t="str" cm="1">
        <f t="array" ref="F154">_xlfn.XLOOKUP(CONCATENATE(D154,E154),'Base dati fantasquadre'!$A$2:$A$211,Tabella3[Pt Tot],"")</f>
        <v/>
      </c>
      <c r="G154" s="107" t="str">
        <f>_xlfn.IFNA(VLOOKUP(F154,'Base dati fantasquadre'!$AH$32:$AI$40,2,TRUE),"")</f>
        <v/>
      </c>
      <c r="H154" s="107" t="str">
        <f>_xlfn.IFNA(VLOOKUP(I154,'Base dati fantasquadre'!$AH$32:$AI$40,2,TRUE),"")</f>
        <v/>
      </c>
      <c r="I154" s="106" t="str" cm="1">
        <f t="array" ref="I154">_xlfn.XLOOKUP(CONCATENATE(D154,J154),'Base dati fantasquadre'!$A$2:$A$211,Tabella3[Pt Tot],"")</f>
        <v/>
      </c>
      <c r="J154" s="111"/>
      <c r="O154" s="3" t="s">
        <v>473</v>
      </c>
      <c r="P154" s="3" t="s">
        <v>475</v>
      </c>
      <c r="R154" s="3">
        <f t="shared" si="12"/>
        <v>0</v>
      </c>
      <c r="S154" s="3">
        <f t="shared" si="13"/>
        <v>0</v>
      </c>
      <c r="T154"/>
      <c r="U154"/>
      <c r="V154"/>
      <c r="W154"/>
    </row>
    <row r="155" spans="4:23" ht="15.6" thickTop="1" thickBot="1" x14ac:dyDescent="0.35">
      <c r="D155" s="109">
        <v>30</v>
      </c>
      <c r="E155" s="133"/>
      <c r="F155" s="106" t="str" cm="1">
        <f t="array" ref="F155">_xlfn.XLOOKUP(CONCATENATE(D155,E155),'Base dati fantasquadre'!$A$2:$A$211,Tabella3[Pt Tot],"")</f>
        <v/>
      </c>
      <c r="G155" s="107" t="str">
        <f>_xlfn.IFNA(VLOOKUP(F155,'Base dati fantasquadre'!$AH$32:$AI$40,2,TRUE),"")</f>
        <v/>
      </c>
      <c r="H155" s="107" t="str">
        <f>_xlfn.IFNA(VLOOKUP(I155,'Base dati fantasquadre'!$AH$32:$AI$40,2,TRUE),"")</f>
        <v/>
      </c>
      <c r="I155" s="106" t="str" cm="1">
        <f t="array" ref="I155">_xlfn.XLOOKUP(CONCATENATE(D155,J155),'Base dati fantasquadre'!$A$2:$A$211,Tabella3[Pt Tot],"")</f>
        <v/>
      </c>
      <c r="J155" s="111"/>
      <c r="O155" s="3" t="s">
        <v>162</v>
      </c>
      <c r="P155" s="3" t="s">
        <v>2</v>
      </c>
      <c r="R155" s="3">
        <f t="shared" si="12"/>
        <v>0</v>
      </c>
      <c r="S155" s="3">
        <f t="shared" si="13"/>
        <v>0</v>
      </c>
      <c r="T155"/>
      <c r="U155"/>
      <c r="V155"/>
      <c r="W155"/>
    </row>
    <row r="156" spans="4:23" ht="15.6" thickTop="1" thickBot="1" x14ac:dyDescent="0.35">
      <c r="D156" s="109">
        <v>31</v>
      </c>
      <c r="E156" s="133"/>
      <c r="F156" s="106" t="str" cm="1">
        <f t="array" ref="F156">_xlfn.XLOOKUP(CONCATENATE(D156,E156),'Base dati fantasquadre'!$A$2:$A$211,Tabella3[Pt Tot],"")</f>
        <v/>
      </c>
      <c r="G156" s="107" t="str">
        <f>_xlfn.IFNA(VLOOKUP(F156,'Base dati fantasquadre'!$AH$32:$AI$40,2,TRUE),"")</f>
        <v/>
      </c>
      <c r="H156" s="107" t="str">
        <f>_xlfn.IFNA(VLOOKUP(I156,'Base dati fantasquadre'!$AH$32:$AI$40,2,TRUE),"")</f>
        <v/>
      </c>
      <c r="I156" s="106" t="str" cm="1">
        <f t="array" ref="I156">_xlfn.XLOOKUP(CONCATENATE(D156,J156),'Base dati fantasquadre'!$A$2:$A$211,Tabella3[Pt Tot],"")</f>
        <v/>
      </c>
      <c r="J156" s="111"/>
      <c r="O156" s="3" t="s">
        <v>161</v>
      </c>
      <c r="P156" s="3" t="s">
        <v>476</v>
      </c>
      <c r="R156" s="3">
        <f t="shared" si="12"/>
        <v>0</v>
      </c>
      <c r="S156" s="3">
        <f t="shared" si="13"/>
        <v>0</v>
      </c>
      <c r="T156"/>
      <c r="U156"/>
      <c r="V156"/>
      <c r="W156"/>
    </row>
    <row r="157" spans="4:23" ht="15.6" thickTop="1" thickBot="1" x14ac:dyDescent="0.35">
      <c r="D157" s="109">
        <v>31</v>
      </c>
      <c r="E157" s="133"/>
      <c r="F157" s="106" t="str" cm="1">
        <f t="array" ref="F157">_xlfn.XLOOKUP(CONCATENATE(D157,E157),'Base dati fantasquadre'!$A$2:$A$211,Tabella3[Pt Tot],"")</f>
        <v/>
      </c>
      <c r="G157" s="107" t="str">
        <f>_xlfn.IFNA(VLOOKUP(F157,'Base dati fantasquadre'!$AH$32:$AI$40,2,TRUE),"")</f>
        <v/>
      </c>
      <c r="H157" s="107" t="str">
        <f>_xlfn.IFNA(VLOOKUP(I157,'Base dati fantasquadre'!$AH$32:$AI$40,2,TRUE),"")</f>
        <v/>
      </c>
      <c r="I157" s="106" t="str" cm="1">
        <f t="array" ref="I157">_xlfn.XLOOKUP(CONCATENATE(D157,J157),'Base dati fantasquadre'!$A$2:$A$211,Tabella3[Pt Tot],"")</f>
        <v/>
      </c>
      <c r="J157" s="111"/>
      <c r="O157" s="3" t="s">
        <v>163</v>
      </c>
      <c r="P157" s="3" t="s">
        <v>474</v>
      </c>
      <c r="R157" s="3">
        <f t="shared" si="12"/>
        <v>0</v>
      </c>
      <c r="S157" s="3">
        <f t="shared" si="13"/>
        <v>0</v>
      </c>
      <c r="T157"/>
      <c r="U157"/>
      <c r="V157"/>
      <c r="W157"/>
    </row>
    <row r="158" spans="4:23" ht="15.6" thickTop="1" thickBot="1" x14ac:dyDescent="0.35">
      <c r="D158" s="109">
        <v>31</v>
      </c>
      <c r="E158" s="198"/>
      <c r="F158" s="106" t="str" cm="1">
        <f t="array" ref="F158">_xlfn.XLOOKUP(CONCATENATE(D158,E158),'Base dati fantasquadre'!$A$2:$A$211,Tabella3[Pt Tot],"")</f>
        <v/>
      </c>
      <c r="G158" s="107" t="str">
        <f>_xlfn.IFNA(VLOOKUP(F158,'Base dati fantasquadre'!$AH$32:$AI$40,2,TRUE),"")</f>
        <v/>
      </c>
      <c r="H158" s="107" t="str">
        <f>_xlfn.IFNA(VLOOKUP(I158,'Base dati fantasquadre'!$AH$32:$AI$40,2,TRUE),"")</f>
        <v/>
      </c>
      <c r="I158" s="106" t="str" cm="1">
        <f t="array" ref="I158">_xlfn.XLOOKUP(CONCATENATE(D158,J158),'Base dati fantasquadre'!$A$2:$A$211,Tabella3[Pt Tot],"")</f>
        <v/>
      </c>
      <c r="J158" s="108"/>
      <c r="O158" s="3" t="s">
        <v>473</v>
      </c>
      <c r="P158" s="3" t="s">
        <v>2</v>
      </c>
      <c r="R158" s="3">
        <f t="shared" si="12"/>
        <v>0</v>
      </c>
      <c r="S158" s="3">
        <f t="shared" si="13"/>
        <v>0</v>
      </c>
      <c r="T158"/>
      <c r="U158"/>
      <c r="V158"/>
      <c r="W158"/>
    </row>
    <row r="159" spans="4:23" ht="15.6" thickTop="1" thickBot="1" x14ac:dyDescent="0.35">
      <c r="D159" s="109">
        <v>31</v>
      </c>
      <c r="E159" s="132"/>
      <c r="F159" s="106" t="str" cm="1">
        <f t="array" ref="F159">_xlfn.XLOOKUP(CONCATENATE(D159,E159),'Base dati fantasquadre'!$A$2:$A$211,Tabella3[Pt Tot],"")</f>
        <v/>
      </c>
      <c r="G159" s="107" t="str">
        <f>_xlfn.IFNA(VLOOKUP(F159,'Base dati fantasquadre'!$AH$32:$AI$40,2,TRUE),"")</f>
        <v/>
      </c>
      <c r="H159" s="107" t="str">
        <f>_xlfn.IFNA(VLOOKUP(I159,'Base dati fantasquadre'!$AH$32:$AI$40,2,TRUE),"")</f>
        <v/>
      </c>
      <c r="I159" s="106" t="str" cm="1">
        <f t="array" ref="I159">_xlfn.XLOOKUP(CONCATENATE(D159,J159),'Base dati fantasquadre'!$A$2:$A$211,Tabella3[Pt Tot],"")</f>
        <v/>
      </c>
      <c r="J159" s="110"/>
      <c r="O159" s="3" t="s">
        <v>162</v>
      </c>
      <c r="P159" s="3" t="s">
        <v>475</v>
      </c>
      <c r="R159" s="3">
        <f t="shared" si="12"/>
        <v>0</v>
      </c>
      <c r="S159" s="3">
        <f t="shared" si="13"/>
        <v>0</v>
      </c>
      <c r="T159"/>
      <c r="U159"/>
      <c r="V159"/>
      <c r="W159"/>
    </row>
    <row r="160" spans="4:23" ht="15.6" thickTop="1" thickBot="1" x14ac:dyDescent="0.35">
      <c r="D160" s="109">
        <v>31</v>
      </c>
      <c r="E160" s="132"/>
      <c r="F160" s="106" t="str" cm="1">
        <f t="array" ref="F160">_xlfn.XLOOKUP(CONCATENATE(D160,E160),'Base dati fantasquadre'!$A$2:$A$211,Tabella3[Pt Tot],"")</f>
        <v/>
      </c>
      <c r="G160" s="107" t="str">
        <f>_xlfn.IFNA(VLOOKUP(F160,'Base dati fantasquadre'!$AH$32:$AI$40,2,TRUE),"")</f>
        <v/>
      </c>
      <c r="H160" s="107" t="str">
        <f>_xlfn.IFNA(VLOOKUP(I160,'Base dati fantasquadre'!$AH$32:$AI$40,2,TRUE),"")</f>
        <v/>
      </c>
      <c r="I160" s="106" t="str" cm="1">
        <f t="array" ref="I160">_xlfn.XLOOKUP(CONCATENATE(D160,J160),'Base dati fantasquadre'!$A$2:$A$211,Tabella3[Pt Tot],"")</f>
        <v/>
      </c>
      <c r="J160" s="110"/>
      <c r="O160" s="3" t="s">
        <v>161</v>
      </c>
      <c r="P160" s="3" t="s">
        <v>475</v>
      </c>
      <c r="R160" s="3">
        <f t="shared" si="12"/>
        <v>0</v>
      </c>
      <c r="S160" s="3">
        <f t="shared" si="13"/>
        <v>0</v>
      </c>
      <c r="T160"/>
      <c r="U160"/>
      <c r="V160"/>
      <c r="W160"/>
    </row>
    <row r="161" spans="4:23" ht="15.6" thickTop="1" thickBot="1" x14ac:dyDescent="0.35">
      <c r="D161" s="109">
        <v>32</v>
      </c>
      <c r="E161" s="111"/>
      <c r="F161" s="106" t="str" cm="1">
        <f t="array" ref="F161">_xlfn.XLOOKUP(CONCATENATE(D161,E161),'Base dati fantasquadre'!$A$2:$A$211,Tabella3[Pt Tot],"")</f>
        <v/>
      </c>
      <c r="G161" s="107" t="str">
        <f>_xlfn.IFNA(VLOOKUP(F161,'Base dati fantasquadre'!$AH$32:$AI$40,2,TRUE),"")</f>
        <v/>
      </c>
      <c r="H161" s="107" t="str">
        <f>_xlfn.IFNA(VLOOKUP(I161,'Base dati fantasquadre'!$AH$32:$AI$40,2,TRUE),"")</f>
        <v/>
      </c>
      <c r="I161" s="106" t="str" cm="1">
        <f t="array" ref="I161">_xlfn.XLOOKUP(CONCATENATE(D161,J161),'Base dati fantasquadre'!$A$2:$A$211,Tabella3[Pt Tot],"")</f>
        <v/>
      </c>
      <c r="J161" s="112"/>
      <c r="O161" s="3" t="s">
        <v>163</v>
      </c>
      <c r="P161" s="3" t="s">
        <v>2</v>
      </c>
      <c r="R161" s="3">
        <f t="shared" ref="R161:R183" si="14">VLOOKUP(O161,$N$21:$W$28,10,0)</f>
        <v>0</v>
      </c>
      <c r="S161" s="3">
        <f t="shared" ref="S161:S183" si="15">VLOOKUP(P161,$N$21:$W$28,10,0)</f>
        <v>0</v>
      </c>
      <c r="T161"/>
      <c r="U161"/>
      <c r="V161"/>
      <c r="W161"/>
    </row>
    <row r="162" spans="4:23" ht="15.6" thickTop="1" thickBot="1" x14ac:dyDescent="0.35">
      <c r="D162" s="109">
        <v>32</v>
      </c>
      <c r="E162" s="132"/>
      <c r="F162" s="106" t="str" cm="1">
        <f t="array" ref="F162">_xlfn.XLOOKUP(CONCATENATE(D162,E162),'Base dati fantasquadre'!$A$2:$A$211,Tabella3[Pt Tot],"")</f>
        <v/>
      </c>
      <c r="G162" s="107" t="str">
        <f>_xlfn.IFNA(VLOOKUP(F162,'Base dati fantasquadre'!$AH$32:$AI$40,2,TRUE),"")</f>
        <v/>
      </c>
      <c r="H162" s="107" t="str">
        <f>_xlfn.IFNA(VLOOKUP(I162,'Base dati fantasquadre'!$AH$32:$AI$40,2,TRUE),"")</f>
        <v/>
      </c>
      <c r="I162" s="106" t="str" cm="1">
        <f t="array" ref="I162">_xlfn.XLOOKUP(CONCATENATE(D162,J162),'Base dati fantasquadre'!$A$2:$A$211,Tabella3[Pt Tot],"")</f>
        <v/>
      </c>
      <c r="J162" s="110"/>
      <c r="O162" s="3" t="s">
        <v>473</v>
      </c>
      <c r="P162" s="3" t="s">
        <v>474</v>
      </c>
      <c r="R162" s="3">
        <f t="shared" si="14"/>
        <v>0</v>
      </c>
      <c r="S162" s="3">
        <f t="shared" si="15"/>
        <v>0</v>
      </c>
      <c r="T162"/>
      <c r="U162"/>
      <c r="V162"/>
      <c r="W162"/>
    </row>
    <row r="163" spans="4:23" ht="15.6" thickTop="1" thickBot="1" x14ac:dyDescent="0.35">
      <c r="D163" s="109">
        <v>32</v>
      </c>
      <c r="E163" s="133"/>
      <c r="F163" s="106" t="str" cm="1">
        <f t="array" ref="F163">_xlfn.XLOOKUP(CONCATENATE(D163,E163),'Base dati fantasquadre'!$A$2:$A$211,Tabella3[Pt Tot],"")</f>
        <v/>
      </c>
      <c r="G163" s="107" t="str">
        <f>_xlfn.IFNA(VLOOKUP(F163,'Base dati fantasquadre'!$AH$32:$AI$40,2,TRUE),"")</f>
        <v/>
      </c>
      <c r="H163" s="107" t="str">
        <f>_xlfn.IFNA(VLOOKUP(I163,'Base dati fantasquadre'!$AH$32:$AI$40,2,TRUE),"")</f>
        <v/>
      </c>
      <c r="I163" s="106" t="str" cm="1">
        <f t="array" ref="I163">_xlfn.XLOOKUP(CONCATENATE(D163,J163),'Base dati fantasquadre'!$A$2:$A$211,Tabella3[Pt Tot],"")</f>
        <v/>
      </c>
      <c r="J163" s="111"/>
      <c r="O163" s="3" t="s">
        <v>162</v>
      </c>
      <c r="P163" s="3" t="s">
        <v>476</v>
      </c>
      <c r="R163" s="3">
        <f t="shared" si="14"/>
        <v>0</v>
      </c>
      <c r="S163" s="3">
        <f t="shared" si="15"/>
        <v>0</v>
      </c>
      <c r="T163"/>
      <c r="U163"/>
      <c r="V163"/>
      <c r="W163"/>
    </row>
    <row r="164" spans="4:23" ht="15.6" thickTop="1" thickBot="1" x14ac:dyDescent="0.35">
      <c r="D164" s="109">
        <v>32</v>
      </c>
      <c r="E164" s="133"/>
      <c r="F164" s="106" t="str" cm="1">
        <f t="array" ref="F164">_xlfn.XLOOKUP(CONCATENATE(D164,E164),'Base dati fantasquadre'!$A$2:$A$211,Tabella3[Pt Tot],"")</f>
        <v/>
      </c>
      <c r="G164" s="107" t="str">
        <f>_xlfn.IFNA(VLOOKUP(F164,'Base dati fantasquadre'!$AH$32:$AI$40,2,TRUE),"")</f>
        <v/>
      </c>
      <c r="H164" s="107" t="str">
        <f>_xlfn.IFNA(VLOOKUP(I164,'Base dati fantasquadre'!$AH$32:$AI$40,2,TRUE),"")</f>
        <v/>
      </c>
      <c r="I164" s="106" t="str" cm="1">
        <f t="array" ref="I164">_xlfn.XLOOKUP(CONCATENATE(D164,J164),'Base dati fantasquadre'!$A$2:$A$211,Tabella3[Pt Tot],"")</f>
        <v/>
      </c>
      <c r="J164" s="111"/>
      <c r="O164" s="3" t="s">
        <v>161</v>
      </c>
      <c r="P164" s="3" t="s">
        <v>474</v>
      </c>
      <c r="R164" s="3">
        <f t="shared" si="14"/>
        <v>0</v>
      </c>
      <c r="S164" s="3">
        <f t="shared" si="15"/>
        <v>0</v>
      </c>
      <c r="T164"/>
      <c r="U164"/>
      <c r="V164"/>
      <c r="W164"/>
    </row>
    <row r="165" spans="4:23" ht="15.6" thickTop="1" thickBot="1" x14ac:dyDescent="0.35">
      <c r="D165" s="109">
        <v>32</v>
      </c>
      <c r="E165" s="133"/>
      <c r="F165" s="106" t="str" cm="1">
        <f t="array" ref="F165">_xlfn.XLOOKUP(CONCATENATE(D165,E165),'Base dati fantasquadre'!$A$2:$A$211,Tabella3[Pt Tot],"")</f>
        <v/>
      </c>
      <c r="G165" s="107" t="str">
        <f>_xlfn.IFNA(VLOOKUP(F165,'Base dati fantasquadre'!$AH$32:$AI$40,2,TRUE),"")</f>
        <v/>
      </c>
      <c r="H165" s="107" t="str">
        <f>_xlfn.IFNA(VLOOKUP(I165,'Base dati fantasquadre'!$AH$32:$AI$40,2,TRUE),"")</f>
        <v/>
      </c>
      <c r="I165" s="106" t="str" cm="1">
        <f t="array" ref="I165">_xlfn.XLOOKUP(CONCATENATE(D165,J165),'Base dati fantasquadre'!$A$2:$A$211,Tabella3[Pt Tot],"")</f>
        <v/>
      </c>
      <c r="J165" s="111"/>
      <c r="O165" s="3" t="s">
        <v>473</v>
      </c>
      <c r="P165" s="3" t="s">
        <v>476</v>
      </c>
      <c r="R165" s="3">
        <f t="shared" si="14"/>
        <v>0</v>
      </c>
      <c r="S165" s="3">
        <f t="shared" si="15"/>
        <v>0</v>
      </c>
      <c r="T165"/>
      <c r="U165"/>
      <c r="V165"/>
      <c r="W165"/>
    </row>
    <row r="166" spans="4:23" ht="15.6" thickTop="1" thickBot="1" x14ac:dyDescent="0.35">
      <c r="D166" s="109">
        <v>33</v>
      </c>
      <c r="E166" s="133"/>
      <c r="F166" s="106" t="str" cm="1">
        <f t="array" ref="F166">_xlfn.XLOOKUP(CONCATENATE(D166,E166),'Base dati fantasquadre'!$A$2:$A$211,Tabella3[Pt Tot],"")</f>
        <v/>
      </c>
      <c r="G166" s="107" t="str">
        <f>_xlfn.IFNA(VLOOKUP(F166,'Base dati fantasquadre'!$AH$32:$AI$40,2,TRUE),"")</f>
        <v/>
      </c>
      <c r="H166" s="107" t="str">
        <f>_xlfn.IFNA(VLOOKUP(I166,'Base dati fantasquadre'!$AH$32:$AI$40,2,TRUE),"")</f>
        <v/>
      </c>
      <c r="I166" s="106" t="str" cm="1">
        <f t="array" ref="I166">_xlfn.XLOOKUP(CONCATENATE(D166,J166),'Base dati fantasquadre'!$A$2:$A$211,Tabella3[Pt Tot],"")</f>
        <v/>
      </c>
      <c r="J166" s="111"/>
      <c r="O166" s="3" t="s">
        <v>161</v>
      </c>
      <c r="P166" s="3" t="s">
        <v>475</v>
      </c>
      <c r="R166" s="3">
        <f t="shared" si="14"/>
        <v>0</v>
      </c>
      <c r="S166" s="3">
        <f t="shared" si="15"/>
        <v>0</v>
      </c>
      <c r="T166"/>
      <c r="U166"/>
      <c r="V166"/>
      <c r="W166"/>
    </row>
    <row r="167" spans="4:23" ht="15.6" thickTop="1" thickBot="1" x14ac:dyDescent="0.35">
      <c r="D167" s="109">
        <v>33</v>
      </c>
      <c r="E167" s="133"/>
      <c r="F167" s="106" t="str" cm="1">
        <f t="array" ref="F167">_xlfn.XLOOKUP(CONCATENATE(D167,E167),'Base dati fantasquadre'!$A$2:$A$211,Tabella3[Pt Tot],"")</f>
        <v/>
      </c>
      <c r="G167" s="107" t="str">
        <f>_xlfn.IFNA(VLOOKUP(F167,'Base dati fantasquadre'!$AH$32:$AI$40,2,TRUE),"")</f>
        <v/>
      </c>
      <c r="H167" s="107" t="str">
        <f>_xlfn.IFNA(VLOOKUP(I167,'Base dati fantasquadre'!$AH$32:$AI$40,2,TRUE),"")</f>
        <v/>
      </c>
      <c r="I167" s="106" t="str" cm="1">
        <f t="array" ref="I167">_xlfn.XLOOKUP(CONCATENATE(D167,J167),'Base dati fantasquadre'!$A$2:$A$211,Tabella3[Pt Tot],"")</f>
        <v/>
      </c>
      <c r="J167" s="111"/>
      <c r="O167" s="3" t="s">
        <v>474</v>
      </c>
      <c r="P167" s="3" t="s">
        <v>2</v>
      </c>
      <c r="R167" s="3">
        <f t="shared" si="14"/>
        <v>0</v>
      </c>
      <c r="S167" s="3">
        <f t="shared" si="15"/>
        <v>0</v>
      </c>
      <c r="T167"/>
      <c r="U167"/>
      <c r="V167"/>
      <c r="W167"/>
    </row>
    <row r="168" spans="4:23" ht="15.6" thickTop="1" thickBot="1" x14ac:dyDescent="0.35">
      <c r="D168" s="109">
        <v>33</v>
      </c>
      <c r="E168" s="133"/>
      <c r="F168" s="106" t="str" cm="1">
        <f t="array" ref="F168">_xlfn.XLOOKUP(CONCATENATE(D168,E168),'Base dati fantasquadre'!$A$2:$A$211,Tabella3[Pt Tot],"")</f>
        <v/>
      </c>
      <c r="G168" s="107" t="str">
        <f>_xlfn.IFNA(VLOOKUP(F168,'Base dati fantasquadre'!$AH$32:$AI$40,2,TRUE),"")</f>
        <v/>
      </c>
      <c r="H168" s="107" t="str">
        <f>_xlfn.IFNA(VLOOKUP(I168,'Base dati fantasquadre'!$AH$32:$AI$40,2,TRUE),"")</f>
        <v/>
      </c>
      <c r="I168" s="106" t="str" cm="1">
        <f t="array" ref="I168">_xlfn.XLOOKUP(CONCATENATE(D168,J168),'Base dati fantasquadre'!$A$2:$A$211,Tabella3[Pt Tot],"")</f>
        <v/>
      </c>
      <c r="J168" s="111"/>
      <c r="O168" s="3" t="s">
        <v>475</v>
      </c>
      <c r="P168" s="3" t="s">
        <v>2</v>
      </c>
      <c r="R168" s="3">
        <f t="shared" si="14"/>
        <v>0</v>
      </c>
      <c r="S168" s="3">
        <f t="shared" si="15"/>
        <v>0</v>
      </c>
      <c r="T168"/>
      <c r="U168"/>
      <c r="V168"/>
      <c r="W168"/>
    </row>
    <row r="169" spans="4:23" ht="15.6" thickTop="1" thickBot="1" x14ac:dyDescent="0.35">
      <c r="D169" s="109">
        <v>33</v>
      </c>
      <c r="E169" s="133"/>
      <c r="F169" s="106" t="str" cm="1">
        <f t="array" ref="F169">_xlfn.XLOOKUP(CONCATENATE(D169,E169),'Base dati fantasquadre'!$A$2:$A$211,Tabella3[Pt Tot],"")</f>
        <v/>
      </c>
      <c r="G169" s="107" t="str">
        <f>_xlfn.IFNA(VLOOKUP(F169,'Base dati fantasquadre'!$AH$32:$AI$40,2,TRUE),"")</f>
        <v/>
      </c>
      <c r="H169" s="107" t="str">
        <f>_xlfn.IFNA(VLOOKUP(I169,'Base dati fantasquadre'!$AH$32:$AI$40,2,TRUE),"")</f>
        <v/>
      </c>
      <c r="I169" s="106" t="str" cm="1">
        <f t="array" ref="I169">_xlfn.XLOOKUP(CONCATENATE(D169,J169),'Base dati fantasquadre'!$A$2:$A$211,Tabella3[Pt Tot],"")</f>
        <v/>
      </c>
      <c r="J169" s="111"/>
      <c r="O169" s="3" t="s">
        <v>162</v>
      </c>
      <c r="P169" s="3" t="s">
        <v>475</v>
      </c>
      <c r="R169" s="3">
        <f t="shared" si="14"/>
        <v>0</v>
      </c>
      <c r="S169" s="3">
        <f t="shared" si="15"/>
        <v>0</v>
      </c>
      <c r="T169"/>
      <c r="U169"/>
      <c r="V169"/>
      <c r="W169"/>
    </row>
    <row r="170" spans="4:23" ht="15.6" thickTop="1" thickBot="1" x14ac:dyDescent="0.35">
      <c r="D170" s="109">
        <v>33</v>
      </c>
      <c r="E170" s="133"/>
      <c r="F170" s="106" t="str" cm="1">
        <f t="array" ref="F170">_xlfn.XLOOKUP(CONCATENATE(D170,E170),'Base dati fantasquadre'!$A$2:$A$211,Tabella3[Pt Tot],"")</f>
        <v/>
      </c>
      <c r="G170" s="107" t="str">
        <f>_xlfn.IFNA(VLOOKUP(F170,'Base dati fantasquadre'!$AH$32:$AI$40,2,TRUE),"")</f>
        <v/>
      </c>
      <c r="H170" s="107" t="str">
        <f>_xlfn.IFNA(VLOOKUP(I170,'Base dati fantasquadre'!$AH$32:$AI$40,2,TRUE),"")</f>
        <v/>
      </c>
      <c r="I170" s="106" t="str" cm="1">
        <f t="array" ref="I170">_xlfn.XLOOKUP(CONCATENATE(D170,J170),'Base dati fantasquadre'!$A$2:$A$211,Tabella3[Pt Tot],"")</f>
        <v/>
      </c>
      <c r="J170" s="111"/>
      <c r="O170" s="3" t="s">
        <v>161</v>
      </c>
      <c r="P170" s="3" t="s">
        <v>476</v>
      </c>
      <c r="R170" s="3">
        <f t="shared" si="14"/>
        <v>0</v>
      </c>
      <c r="S170" s="3">
        <f t="shared" si="15"/>
        <v>0</v>
      </c>
      <c r="T170"/>
      <c r="U170"/>
      <c r="V170"/>
      <c r="W170"/>
    </row>
    <row r="171" spans="4:23" ht="15.6" thickTop="1" thickBot="1" x14ac:dyDescent="0.35">
      <c r="D171" s="109">
        <v>34</v>
      </c>
      <c r="E171" s="133"/>
      <c r="F171" s="106" t="str" cm="1">
        <f t="array" ref="F171">_xlfn.XLOOKUP(CONCATENATE(D171,E171),'Base dati fantasquadre'!$A$2:$A$211,Tabella3[Pt Tot],"")</f>
        <v/>
      </c>
      <c r="G171" s="107" t="str">
        <f>_xlfn.IFNA(VLOOKUP(F171,'Base dati fantasquadre'!$AH$32:$AI$40,2,TRUE),"")</f>
        <v/>
      </c>
      <c r="H171" s="107" t="str">
        <f>_xlfn.IFNA(VLOOKUP(I171,'Base dati fantasquadre'!$AH$32:$AI$40,2,TRUE),"")</f>
        <v/>
      </c>
      <c r="I171" s="106" t="str" cm="1">
        <f t="array" ref="I171">_xlfn.XLOOKUP(CONCATENATE(D171,J171),'Base dati fantasquadre'!$A$2:$A$211,Tabella3[Pt Tot],"")</f>
        <v/>
      </c>
      <c r="J171" s="111"/>
      <c r="O171" s="3" t="s">
        <v>2</v>
      </c>
      <c r="P171" s="3" t="s">
        <v>474</v>
      </c>
      <c r="R171" s="3">
        <f t="shared" si="14"/>
        <v>0</v>
      </c>
      <c r="S171" s="3">
        <f t="shared" si="15"/>
        <v>0</v>
      </c>
      <c r="T171"/>
      <c r="U171"/>
      <c r="V171"/>
      <c r="W171"/>
    </row>
    <row r="172" spans="4:23" ht="15.6" thickTop="1" thickBot="1" x14ac:dyDescent="0.35">
      <c r="D172" s="109">
        <v>34</v>
      </c>
      <c r="E172" s="133"/>
      <c r="F172" s="106" t="str" cm="1">
        <f t="array" ref="F172">_xlfn.XLOOKUP(CONCATENATE(D172,E172),'Base dati fantasquadre'!$A$2:$A$211,Tabella3[Pt Tot],"")</f>
        <v/>
      </c>
      <c r="G172" s="107" t="str">
        <f>_xlfn.IFNA(VLOOKUP(F172,'Base dati fantasquadre'!$AH$32:$AI$40,2,TRUE),"")</f>
        <v/>
      </c>
      <c r="H172" s="107" t="str">
        <f>_xlfn.IFNA(VLOOKUP(I172,'Base dati fantasquadre'!$AH$32:$AI$40,2,TRUE),"")</f>
        <v/>
      </c>
      <c r="I172" s="106" t="str" cm="1">
        <f t="array" ref="I172">_xlfn.XLOOKUP(CONCATENATE(D172,J172),'Base dati fantasquadre'!$A$2:$A$211,Tabella3[Pt Tot],"")</f>
        <v/>
      </c>
      <c r="J172" s="111"/>
      <c r="O172" s="3" t="s">
        <v>475</v>
      </c>
      <c r="P172" s="3" t="s">
        <v>163</v>
      </c>
      <c r="R172" s="3">
        <f t="shared" si="14"/>
        <v>0</v>
      </c>
      <c r="S172" s="3">
        <f t="shared" si="15"/>
        <v>0</v>
      </c>
      <c r="T172"/>
      <c r="U172"/>
      <c r="V172"/>
      <c r="W172"/>
    </row>
    <row r="173" spans="4:23" ht="15.6" thickTop="1" thickBot="1" x14ac:dyDescent="0.35">
      <c r="D173" s="109">
        <v>34</v>
      </c>
      <c r="E173" s="133"/>
      <c r="F173" s="106" t="str" cm="1">
        <f t="array" ref="F173">_xlfn.XLOOKUP(CONCATENATE(D173,E173),'Base dati fantasquadre'!$A$2:$A$211,Tabella3[Pt Tot],"")</f>
        <v/>
      </c>
      <c r="G173" s="107" t="str">
        <f>_xlfn.IFNA(VLOOKUP(F173,'Base dati fantasquadre'!$AH$32:$AI$40,2,TRUE),"")</f>
        <v/>
      </c>
      <c r="H173" s="107" t="str">
        <f>_xlfn.IFNA(VLOOKUP(I173,'Base dati fantasquadre'!$AH$32:$AI$40,2,TRUE),"")</f>
        <v/>
      </c>
      <c r="I173" s="106" t="str" cm="1">
        <f t="array" ref="I173">_xlfn.XLOOKUP(CONCATENATE(D173,J173),'Base dati fantasquadre'!$A$2:$A$211,Tabella3[Pt Tot],"")</f>
        <v/>
      </c>
      <c r="J173" s="111"/>
      <c r="O173" s="3" t="s">
        <v>161</v>
      </c>
      <c r="P173" s="3" t="s">
        <v>162</v>
      </c>
      <c r="R173" s="3">
        <f t="shared" si="14"/>
        <v>0</v>
      </c>
      <c r="S173" s="3">
        <f t="shared" si="15"/>
        <v>0</v>
      </c>
      <c r="T173"/>
      <c r="U173"/>
      <c r="V173"/>
      <c r="W173"/>
    </row>
    <row r="174" spans="4:23" ht="15.6" thickTop="1" thickBot="1" x14ac:dyDescent="0.35">
      <c r="D174" s="109">
        <v>34</v>
      </c>
      <c r="E174" s="133"/>
      <c r="F174" s="106" t="str" cm="1">
        <f t="array" ref="F174">_xlfn.XLOOKUP(CONCATENATE(D174,E174),'Base dati fantasquadre'!$A$2:$A$211,Tabella3[Pt Tot],"")</f>
        <v/>
      </c>
      <c r="G174" s="107" t="str">
        <f>_xlfn.IFNA(VLOOKUP(F174,'Base dati fantasquadre'!$AH$32:$AI$40,2,TRUE),"")</f>
        <v/>
      </c>
      <c r="H174" s="107" t="str">
        <f>_xlfn.IFNA(VLOOKUP(I174,'Base dati fantasquadre'!$AH$32:$AI$40,2,TRUE),"")</f>
        <v/>
      </c>
      <c r="I174" s="106" t="str" cm="1">
        <f t="array" ref="I174">_xlfn.XLOOKUP(CONCATENATE(D174,J174),'Base dati fantasquadre'!$A$2:$A$211,Tabella3[Pt Tot],"")</f>
        <v/>
      </c>
      <c r="J174" s="111"/>
      <c r="O174" s="3" t="s">
        <v>162</v>
      </c>
      <c r="P174" s="3" t="s">
        <v>476</v>
      </c>
      <c r="R174" s="3">
        <f t="shared" si="14"/>
        <v>0</v>
      </c>
      <c r="S174" s="3">
        <f t="shared" si="15"/>
        <v>0</v>
      </c>
      <c r="T174"/>
      <c r="U174"/>
      <c r="V174"/>
      <c r="W174"/>
    </row>
    <row r="175" spans="4:23" ht="15.6" thickTop="1" thickBot="1" x14ac:dyDescent="0.35">
      <c r="D175" s="109">
        <v>34</v>
      </c>
      <c r="E175" s="133"/>
      <c r="F175" s="106" t="str" cm="1">
        <f t="array" ref="F175">_xlfn.XLOOKUP(CONCATENATE(D175,E175),'Base dati fantasquadre'!$A$2:$A$211,Tabella3[Pt Tot],"")</f>
        <v/>
      </c>
      <c r="G175" s="107" t="str">
        <f>_xlfn.IFNA(VLOOKUP(F175,'Base dati fantasquadre'!$AH$32:$AI$40,2,TRUE),"")</f>
        <v/>
      </c>
      <c r="H175" s="107" t="str">
        <f>_xlfn.IFNA(VLOOKUP(I175,'Base dati fantasquadre'!$AH$32:$AI$40,2,TRUE),"")</f>
        <v/>
      </c>
      <c r="I175" s="106" t="str" cm="1">
        <f t="array" ref="I175">_xlfn.XLOOKUP(CONCATENATE(D175,J175),'Base dati fantasquadre'!$A$2:$A$211,Tabella3[Pt Tot],"")</f>
        <v/>
      </c>
      <c r="J175" s="111"/>
      <c r="O175" s="3" t="s">
        <v>475</v>
      </c>
      <c r="P175" s="3" t="s">
        <v>2</v>
      </c>
      <c r="R175" s="3">
        <f t="shared" si="14"/>
        <v>0</v>
      </c>
      <c r="S175" s="3">
        <f t="shared" si="15"/>
        <v>0</v>
      </c>
      <c r="T175"/>
      <c r="U175"/>
      <c r="V175"/>
      <c r="W175"/>
    </row>
    <row r="176" spans="4:23" ht="15.6" thickTop="1" thickBot="1" x14ac:dyDescent="0.35">
      <c r="D176" s="109">
        <v>35</v>
      </c>
      <c r="E176" s="133"/>
      <c r="F176" s="106" t="str" cm="1">
        <f t="array" ref="F176">_xlfn.XLOOKUP(CONCATENATE(D176,E176),'Base dati fantasquadre'!$A$2:$A$211,Tabella3[Pt Tot],"")</f>
        <v/>
      </c>
      <c r="G176" s="107" t="str">
        <f>_xlfn.IFNA(VLOOKUP(F176,'Base dati fantasquadre'!$AH$32:$AI$40,2,TRUE),"")</f>
        <v/>
      </c>
      <c r="H176" s="107" t="str">
        <f>_xlfn.IFNA(VLOOKUP(I176,'Base dati fantasquadre'!$AH$32:$AI$40,2,TRUE),"")</f>
        <v/>
      </c>
      <c r="I176" s="106" t="str" cm="1">
        <f t="array" ref="I176">_xlfn.XLOOKUP(CONCATENATE(D176,J176),'Base dati fantasquadre'!$A$2:$A$211,Tabella3[Pt Tot],"")</f>
        <v/>
      </c>
      <c r="J176" s="111"/>
      <c r="O176" s="3" t="s">
        <v>2</v>
      </c>
      <c r="P176" s="3" t="s">
        <v>163</v>
      </c>
      <c r="R176" s="3">
        <f t="shared" si="14"/>
        <v>0</v>
      </c>
      <c r="S176" s="3">
        <f t="shared" si="15"/>
        <v>0</v>
      </c>
      <c r="T176"/>
      <c r="U176"/>
      <c r="V176"/>
      <c r="W176"/>
    </row>
    <row r="177" spans="1:23" ht="15.6" thickTop="1" thickBot="1" x14ac:dyDescent="0.35">
      <c r="D177" s="109">
        <v>35</v>
      </c>
      <c r="E177" s="133"/>
      <c r="F177" s="106" t="str" cm="1">
        <f t="array" ref="F177">_xlfn.XLOOKUP(CONCATENATE(D177,E177),'Base dati fantasquadre'!$A$2:$A$211,Tabella3[Pt Tot],"")</f>
        <v/>
      </c>
      <c r="G177" s="107" t="str">
        <f>_xlfn.IFNA(VLOOKUP(F177,'Base dati fantasquadre'!$AH$32:$AI$40,2,TRUE),"")</f>
        <v/>
      </c>
      <c r="H177" s="107" t="str">
        <f>_xlfn.IFNA(VLOOKUP(I177,'Base dati fantasquadre'!$AH$32:$AI$40,2,TRUE),"")</f>
        <v/>
      </c>
      <c r="I177" s="106" t="str" cm="1">
        <f t="array" ref="I177">_xlfn.XLOOKUP(CONCATENATE(D177,J177),'Base dati fantasquadre'!$A$2:$A$211,Tabella3[Pt Tot],"")</f>
        <v/>
      </c>
      <c r="J177" s="111"/>
      <c r="O177" s="3" t="s">
        <v>476</v>
      </c>
      <c r="P177" s="3" t="s">
        <v>473</v>
      </c>
      <c r="R177" s="3">
        <f t="shared" si="14"/>
        <v>0</v>
      </c>
      <c r="S177" s="3">
        <f t="shared" si="15"/>
        <v>0</v>
      </c>
      <c r="T177"/>
      <c r="U177"/>
      <c r="V177"/>
      <c r="W177"/>
    </row>
    <row r="178" spans="1:23" ht="15.6" thickTop="1" thickBot="1" x14ac:dyDescent="0.35">
      <c r="D178" s="109">
        <v>35</v>
      </c>
      <c r="E178" s="133"/>
      <c r="F178" s="106" t="str" cm="1">
        <f t="array" ref="F178">_xlfn.XLOOKUP(CONCATENATE(D178,E178),'Base dati fantasquadre'!$A$2:$A$211,Tabella3[Pt Tot],"")</f>
        <v/>
      </c>
      <c r="G178" s="107" t="str">
        <f>_xlfn.IFNA(VLOOKUP(F178,'Base dati fantasquadre'!$AH$32:$AI$40,2,TRUE),"")</f>
        <v/>
      </c>
      <c r="H178" s="107" t="str">
        <f>_xlfn.IFNA(VLOOKUP(I178,'Base dati fantasquadre'!$AH$32:$AI$40,2,TRUE),"")</f>
        <v/>
      </c>
      <c r="I178" s="106" t="str" cm="1">
        <f t="array" ref="I178">_xlfn.XLOOKUP(CONCATENATE(D178,J178),'Base dati fantasquadre'!$A$2:$A$211,Tabella3[Pt Tot],"")</f>
        <v/>
      </c>
      <c r="J178" s="111"/>
      <c r="O178" s="3" t="s">
        <v>474</v>
      </c>
      <c r="P178" s="3" t="s">
        <v>476</v>
      </c>
      <c r="R178" s="3">
        <f t="shared" si="14"/>
        <v>0</v>
      </c>
      <c r="S178" s="3">
        <f t="shared" si="15"/>
        <v>0</v>
      </c>
      <c r="T178"/>
      <c r="U178"/>
      <c r="V178"/>
      <c r="W178"/>
    </row>
    <row r="179" spans="1:23" ht="15.6" thickTop="1" thickBot="1" x14ac:dyDescent="0.35">
      <c r="D179" s="109">
        <v>35</v>
      </c>
      <c r="E179" s="133"/>
      <c r="F179" s="106" t="str" cm="1">
        <f t="array" ref="F179">_xlfn.XLOOKUP(CONCATENATE(D179,E179),'Base dati fantasquadre'!$A$2:$A$211,Tabella3[Pt Tot],"")</f>
        <v/>
      </c>
      <c r="G179" s="107" t="str">
        <f>_xlfn.IFNA(VLOOKUP(F179,'Base dati fantasquadre'!$AH$32:$AI$40,2,TRUE),"")</f>
        <v/>
      </c>
      <c r="H179" s="107" t="str">
        <f>_xlfn.IFNA(VLOOKUP(I179,'Base dati fantasquadre'!$AH$32:$AI$40,2,TRUE),"")</f>
        <v/>
      </c>
      <c r="I179" s="106" t="str" cm="1">
        <f t="array" ref="I179">_xlfn.XLOOKUP(CONCATENATE(D179,J179),'Base dati fantasquadre'!$A$2:$A$211,Tabella3[Pt Tot],"")</f>
        <v/>
      </c>
      <c r="J179" s="111"/>
      <c r="O179" s="3" t="s">
        <v>2</v>
      </c>
      <c r="P179" s="3" t="s">
        <v>474</v>
      </c>
      <c r="R179" s="3">
        <f t="shared" si="14"/>
        <v>0</v>
      </c>
      <c r="S179" s="3">
        <f t="shared" si="15"/>
        <v>0</v>
      </c>
      <c r="T179"/>
      <c r="U179"/>
      <c r="V179"/>
      <c r="W179"/>
    </row>
    <row r="180" spans="1:23" ht="15.6" thickTop="1" thickBot="1" x14ac:dyDescent="0.35">
      <c r="D180" s="109">
        <v>35</v>
      </c>
      <c r="E180" s="133"/>
      <c r="F180" s="106" t="str" cm="1">
        <f t="array" ref="F180">_xlfn.XLOOKUP(CONCATENATE(D180,E180),'Base dati fantasquadre'!$A$2:$A$211,Tabella3[Pt Tot],"")</f>
        <v/>
      </c>
      <c r="G180" s="107" t="str">
        <f>_xlfn.IFNA(VLOOKUP(F180,'Base dati fantasquadre'!$AH$32:$AI$40,2,TRUE),"")</f>
        <v/>
      </c>
      <c r="H180" s="107" t="str">
        <f>_xlfn.IFNA(VLOOKUP(I180,'Base dati fantasquadre'!$AH$32:$AI$40,2,TRUE),"")</f>
        <v/>
      </c>
      <c r="I180" s="106" t="str" cm="1">
        <f t="array" ref="I180">_xlfn.XLOOKUP(CONCATENATE(D180,J180),'Base dati fantasquadre'!$A$2:$A$211,Tabella3[Pt Tot],"")</f>
        <v/>
      </c>
      <c r="J180" s="111"/>
      <c r="O180" s="3" t="s">
        <v>475</v>
      </c>
      <c r="P180" s="3" t="s">
        <v>163</v>
      </c>
      <c r="R180" s="3">
        <f t="shared" si="14"/>
        <v>0</v>
      </c>
      <c r="S180" s="3">
        <f t="shared" si="15"/>
        <v>0</v>
      </c>
      <c r="T180"/>
      <c r="U180"/>
      <c r="V180"/>
      <c r="W180"/>
    </row>
    <row r="181" spans="1:23" ht="15.6" thickTop="1" thickBot="1" x14ac:dyDescent="0.35">
      <c r="A181">
        <v>36</v>
      </c>
      <c r="D181" s="109">
        <v>36</v>
      </c>
      <c r="E181" s="133"/>
      <c r="F181" s="106" t="str" cm="1">
        <f t="array" ref="F181">_xlfn.XLOOKUP(CONCATENATE(D181,E181),'Base dati fantasquadre'!$A$2:$A$211,Tabella3[Pt Tot],"")</f>
        <v/>
      </c>
      <c r="G181" s="107" t="str">
        <f>_xlfn.IFNA(VLOOKUP(F181,'Base dati fantasquadre'!$AH$32:$AI$40,2,TRUE),"")</f>
        <v/>
      </c>
      <c r="H181" s="107" t="str">
        <f>_xlfn.IFNA(VLOOKUP(I181,'Base dati fantasquadre'!$AH$32:$AI$40,2,TRUE),"")</f>
        <v/>
      </c>
      <c r="I181" s="106" t="str" cm="1">
        <f t="array" ref="I181">_xlfn.XLOOKUP(CONCATENATE(D181,J181),'Base dati fantasquadre'!$A$2:$A$211,Tabella3[Pt Tot],"")</f>
        <v/>
      </c>
      <c r="J181" s="111"/>
      <c r="O181" s="3" t="s">
        <v>475</v>
      </c>
      <c r="P181" s="3" t="s">
        <v>473</v>
      </c>
      <c r="R181" s="3">
        <f t="shared" si="14"/>
        <v>0</v>
      </c>
      <c r="S181" s="3">
        <f t="shared" si="15"/>
        <v>0</v>
      </c>
      <c r="T181"/>
      <c r="U181"/>
      <c r="V181"/>
      <c r="W181"/>
    </row>
    <row r="182" spans="1:23" ht="15.6" thickTop="1" thickBot="1" x14ac:dyDescent="0.35">
      <c r="D182" s="109">
        <v>36</v>
      </c>
      <c r="E182" s="133"/>
      <c r="F182" s="106" t="str" cm="1">
        <f t="array" ref="F182">_xlfn.XLOOKUP(CONCATENATE(D182,E182),'Base dati fantasquadre'!$A$2:$A$211,Tabella3[Pt Tot],"")</f>
        <v/>
      </c>
      <c r="G182" s="107" t="str">
        <f>_xlfn.IFNA(VLOOKUP(F182,'Base dati fantasquadre'!$AH$32:$AI$40,2,TRUE),"")</f>
        <v/>
      </c>
      <c r="H182" s="107" t="str">
        <f>_xlfn.IFNA(VLOOKUP(I182,'Base dati fantasquadre'!$AH$32:$AI$40,2,TRUE),"")</f>
        <v/>
      </c>
      <c r="I182" s="106" t="str" cm="1">
        <f t="array" ref="I182">_xlfn.XLOOKUP(CONCATENATE(D182,J182),'Base dati fantasquadre'!$A$2:$A$211,Tabella3[Pt Tot],"")</f>
        <v/>
      </c>
      <c r="J182" s="111"/>
      <c r="O182" s="3" t="s">
        <v>2</v>
      </c>
      <c r="P182" s="3" t="s">
        <v>476</v>
      </c>
      <c r="R182" s="3">
        <f t="shared" si="14"/>
        <v>0</v>
      </c>
      <c r="S182" s="3">
        <f t="shared" si="15"/>
        <v>0</v>
      </c>
      <c r="T182"/>
      <c r="U182"/>
      <c r="V182"/>
      <c r="W182"/>
    </row>
    <row r="183" spans="1:23" ht="15.6" thickTop="1" thickBot="1" x14ac:dyDescent="0.35">
      <c r="D183" s="109">
        <v>36</v>
      </c>
      <c r="E183" s="133"/>
      <c r="F183" s="106" t="str" cm="1">
        <f t="array" ref="F183">_xlfn.XLOOKUP(CONCATENATE(D183,E183),'Base dati fantasquadre'!$A$2:$A$211,Tabella3[Pt Tot],"")</f>
        <v/>
      </c>
      <c r="G183" s="107" t="str">
        <f>_xlfn.IFNA(VLOOKUP(F183,'Base dati fantasquadre'!$AH$32:$AI$40,2,TRUE),"")</f>
        <v/>
      </c>
      <c r="H183" s="107" t="str">
        <f>_xlfn.IFNA(VLOOKUP(I183,'Base dati fantasquadre'!$AH$32:$AI$40,2,TRUE),"")</f>
        <v/>
      </c>
      <c r="I183" s="106" t="str" cm="1">
        <f t="array" ref="I183">_xlfn.XLOOKUP(CONCATENATE(D183,J183),'Base dati fantasquadre'!$A$2:$A$211,Tabella3[Pt Tot],"")</f>
        <v/>
      </c>
      <c r="J183" s="111"/>
      <c r="O183" s="3" t="s">
        <v>474</v>
      </c>
      <c r="P183" s="3" t="s">
        <v>474</v>
      </c>
      <c r="R183" s="3">
        <f t="shared" si="14"/>
        <v>0</v>
      </c>
      <c r="S183" s="3">
        <f t="shared" si="15"/>
        <v>0</v>
      </c>
      <c r="T183"/>
      <c r="U183"/>
      <c r="V183"/>
      <c r="W183"/>
    </row>
    <row r="184" spans="1:23" ht="15.6" thickTop="1" thickBot="1" x14ac:dyDescent="0.35">
      <c r="D184" s="109">
        <v>36</v>
      </c>
      <c r="E184" s="133"/>
      <c r="F184" s="106" t="str" cm="1">
        <f t="array" ref="F184">_xlfn.XLOOKUP(CONCATENATE(D184,E184),'Base dati fantasquadre'!$A$2:$A$211,Tabella3[Pt Tot],"")</f>
        <v/>
      </c>
      <c r="G184" s="107" t="str">
        <f>_xlfn.IFNA(VLOOKUP(F184,'Base dati fantasquadre'!$AH$32:$AI$40,2,TRUE),"")</f>
        <v/>
      </c>
      <c r="H184" s="107" t="str">
        <f>_xlfn.IFNA(VLOOKUP(I184,'Base dati fantasquadre'!$AH$32:$AI$40,2,TRUE),"")</f>
        <v/>
      </c>
      <c r="I184" s="106" t="str" cm="1">
        <f t="array" ref="I184">_xlfn.XLOOKUP(CONCATENATE(D184,J184),'Base dati fantasquadre'!$A$2:$A$211,Tabella3[Pt Tot],"")</f>
        <v/>
      </c>
      <c r="J184" s="111"/>
    </row>
    <row r="185" spans="1:23" ht="15.6" thickTop="1" thickBot="1" x14ac:dyDescent="0.35">
      <c r="D185" s="109">
        <v>36</v>
      </c>
      <c r="E185" s="133"/>
      <c r="F185" s="106" t="str" cm="1">
        <f t="array" ref="F185">_xlfn.XLOOKUP(CONCATENATE(D185,E185),'Base dati fantasquadre'!$A$2:$A$211,Tabella3[Pt Tot],"")</f>
        <v/>
      </c>
      <c r="G185" s="107" t="str">
        <f>_xlfn.IFNA(VLOOKUP(F185,'Base dati fantasquadre'!$AH$32:$AI$40,2,TRUE),"")</f>
        <v/>
      </c>
      <c r="H185" s="107" t="str">
        <f>_xlfn.IFNA(VLOOKUP(I185,'Base dati fantasquadre'!$AH$32:$AI$40,2,TRUE),"")</f>
        <v/>
      </c>
      <c r="I185" s="106" t="str" cm="1">
        <f t="array" ref="I185">_xlfn.XLOOKUP(CONCATENATE(D185,J185),'Base dati fantasquadre'!$A$2:$A$211,Tabella3[Pt Tot],"")</f>
        <v/>
      </c>
      <c r="J185" s="111"/>
    </row>
    <row r="186" spans="1:23" ht="15.6" thickTop="1" thickBot="1" x14ac:dyDescent="0.35">
      <c r="D186" s="109">
        <v>34</v>
      </c>
    </row>
    <row r="187" spans="1:23" ht="15.6" thickTop="1" thickBot="1" x14ac:dyDescent="0.35">
      <c r="D187" s="109">
        <v>34</v>
      </c>
    </row>
    <row r="188" spans="1:23" ht="15.6" thickTop="1" thickBot="1" x14ac:dyDescent="0.35">
      <c r="D188" s="109">
        <v>34</v>
      </c>
    </row>
    <row r="189" spans="1:23" ht="15.6" thickTop="1" thickBot="1" x14ac:dyDescent="0.35">
      <c r="D189" s="109">
        <v>34</v>
      </c>
    </row>
    <row r="190" spans="1:23" ht="15.6" thickTop="1" thickBot="1" x14ac:dyDescent="0.35">
      <c r="D190" s="109">
        <v>34</v>
      </c>
    </row>
    <row r="191" spans="1:23" ht="15.6" thickTop="1" thickBot="1" x14ac:dyDescent="0.35">
      <c r="D191" s="109">
        <v>34</v>
      </c>
    </row>
    <row r="192" spans="1:23" ht="15.6" thickTop="1" thickBot="1" x14ac:dyDescent="0.35">
      <c r="D192" s="109">
        <v>34</v>
      </c>
    </row>
    <row r="193" spans="4:4" ht="15.6" thickTop="1" thickBot="1" x14ac:dyDescent="0.35">
      <c r="D193" s="109">
        <v>34</v>
      </c>
    </row>
    <row r="194" spans="4:4" ht="15.6" thickTop="1" thickBot="1" x14ac:dyDescent="0.35">
      <c r="D194" s="109">
        <v>34</v>
      </c>
    </row>
    <row r="195" spans="4:4" ht="15.6" thickTop="1" thickBot="1" x14ac:dyDescent="0.35">
      <c r="D195" s="109">
        <v>34</v>
      </c>
    </row>
    <row r="196" spans="4:4" ht="15.6" thickTop="1" thickBot="1" x14ac:dyDescent="0.35">
      <c r="D196" s="109">
        <v>34</v>
      </c>
    </row>
    <row r="197" spans="4:4" ht="15.6" thickTop="1" thickBot="1" x14ac:dyDescent="0.35">
      <c r="D197" s="109">
        <v>34</v>
      </c>
    </row>
    <row r="198" spans="4:4" ht="15.6" thickTop="1" thickBot="1" x14ac:dyDescent="0.35">
      <c r="D198" s="109">
        <v>34</v>
      </c>
    </row>
    <row r="199" spans="4:4" ht="15.6" thickTop="1" thickBot="1" x14ac:dyDescent="0.35">
      <c r="D199" s="109">
        <v>34</v>
      </c>
    </row>
    <row r="200" spans="4:4" ht="15.6" thickTop="1" thickBot="1" x14ac:dyDescent="0.35">
      <c r="D200" s="109">
        <v>34</v>
      </c>
    </row>
    <row r="201" spans="4:4" ht="15" thickTop="1" x14ac:dyDescent="0.3"/>
  </sheetData>
  <mergeCells count="1">
    <mergeCell ref="D2:J3"/>
  </mergeCells>
  <phoneticPr fontId="5" type="noConversion"/>
  <conditionalFormatting sqref="E6:J185">
    <cfRule type="containsText" dxfId="283" priority="31" operator="containsText" text="AOSTICAZZI">
      <formula>NOT(ISERROR(SEARCH("AOSTICAZZI",E6)))</formula>
    </cfRule>
    <cfRule type="cellIs" dxfId="282" priority="32" operator="equal">
      <formula>"""AOSTICAZZI"""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E269C-5B83-438D-82F9-E5398C54729A}">
  <sheetPr codeName="Foglio3">
    <tabColor rgb="FF00B0F0"/>
  </sheetPr>
  <dimension ref="A1:BF212"/>
  <sheetViews>
    <sheetView tabSelected="1" topLeftCell="A3" zoomScaleNormal="100" workbookViewId="0">
      <selection activeCell="O25" sqref="O25"/>
    </sheetView>
  </sheetViews>
  <sheetFormatPr defaultRowHeight="14.4" x14ac:dyDescent="0.3"/>
  <cols>
    <col min="1" max="1" width="12.109375" customWidth="1"/>
    <col min="2" max="2" width="10.44140625" style="3" customWidth="1"/>
    <col min="3" max="3" width="21.33203125" style="3" customWidth="1"/>
    <col min="4" max="5" width="6.109375" style="3" customWidth="1"/>
    <col min="6" max="6" width="5.33203125" style="3" customWidth="1"/>
    <col min="7" max="7" width="5.5546875" style="3" customWidth="1"/>
    <col min="8" max="25" width="7.44140625" style="3" customWidth="1"/>
    <col min="26" max="30" width="7.44140625" customWidth="1"/>
    <col min="31" max="31" width="4.33203125" customWidth="1"/>
    <col min="32" max="32" width="8.33203125" customWidth="1"/>
    <col min="33" max="33" width="20.44140625" customWidth="1"/>
    <col min="34" max="34" width="9.44140625" customWidth="1"/>
    <col min="35" max="36" width="6.5546875" customWidth="1"/>
    <col min="37" max="37" width="7.6640625" customWidth="1"/>
    <col min="38" max="48" width="6.5546875" customWidth="1"/>
    <col min="49" max="50" width="7.44140625" customWidth="1"/>
    <col min="51" max="54" width="6.5546875" customWidth="1"/>
    <col min="55" max="55" width="7.6640625" customWidth="1"/>
    <col min="56" max="56" width="8.33203125" customWidth="1"/>
  </cols>
  <sheetData>
    <row r="1" spans="1:58" s="6" customFormat="1" ht="46.5" customHeight="1" x14ac:dyDescent="0.3">
      <c r="B1" s="7" t="s">
        <v>48</v>
      </c>
      <c r="C1" s="7" t="s">
        <v>49</v>
      </c>
      <c r="D1" s="7" t="s">
        <v>50</v>
      </c>
      <c r="E1" s="7" t="s">
        <v>1063</v>
      </c>
      <c r="F1" s="7" t="s">
        <v>51</v>
      </c>
      <c r="G1" s="7" t="s">
        <v>52</v>
      </c>
      <c r="H1" s="7" t="s">
        <v>53</v>
      </c>
      <c r="I1" s="7" t="s">
        <v>54</v>
      </c>
      <c r="J1" s="7" t="s">
        <v>55</v>
      </c>
      <c r="K1" s="7" t="s">
        <v>56</v>
      </c>
      <c r="L1" s="7" t="s">
        <v>57</v>
      </c>
      <c r="M1" s="7" t="s">
        <v>58</v>
      </c>
      <c r="N1" s="7" t="s">
        <v>59</v>
      </c>
      <c r="O1" s="7" t="s">
        <v>60</v>
      </c>
      <c r="P1" s="7" t="s">
        <v>61</v>
      </c>
      <c r="Q1" s="7" t="s">
        <v>62</v>
      </c>
      <c r="R1" s="7" t="s">
        <v>63</v>
      </c>
      <c r="S1" s="7" t="s">
        <v>64</v>
      </c>
      <c r="T1" s="7" t="s">
        <v>65</v>
      </c>
      <c r="U1" s="7" t="s">
        <v>66</v>
      </c>
      <c r="V1" s="7" t="s">
        <v>67</v>
      </c>
      <c r="W1" s="7" t="s">
        <v>1084</v>
      </c>
      <c r="X1" s="7" t="s">
        <v>1085</v>
      </c>
      <c r="Y1" s="7" t="s">
        <v>68</v>
      </c>
      <c r="Z1" s="7" t="s">
        <v>69</v>
      </c>
      <c r="AA1" s="7" t="s">
        <v>1033</v>
      </c>
      <c r="AB1" s="7" t="s">
        <v>1034</v>
      </c>
      <c r="AC1" s="7" t="s">
        <v>70</v>
      </c>
      <c r="AD1" s="7" t="s">
        <v>71</v>
      </c>
      <c r="AE1" s="7"/>
      <c r="AG1" s="322" t="s">
        <v>49</v>
      </c>
      <c r="AH1" s="323" t="s">
        <v>72</v>
      </c>
      <c r="AI1" s="323" t="s">
        <v>73</v>
      </c>
      <c r="AJ1" s="323" t="s">
        <v>1071</v>
      </c>
      <c r="AK1" s="323" t="s">
        <v>74</v>
      </c>
      <c r="AL1" s="323" t="s">
        <v>75</v>
      </c>
      <c r="AM1" s="323" t="s">
        <v>76</v>
      </c>
      <c r="AN1" s="324" t="s">
        <v>77</v>
      </c>
      <c r="AO1" s="323" t="s">
        <v>78</v>
      </c>
      <c r="AP1" s="324" t="s">
        <v>79</v>
      </c>
      <c r="AQ1" s="323" t="s">
        <v>80</v>
      </c>
      <c r="AR1" s="324" t="s">
        <v>81</v>
      </c>
      <c r="AS1" s="323" t="s">
        <v>82</v>
      </c>
      <c r="AT1" s="324" t="s">
        <v>83</v>
      </c>
      <c r="AU1" s="324" t="s">
        <v>84</v>
      </c>
      <c r="AV1" s="323" t="s">
        <v>85</v>
      </c>
      <c r="AW1" s="324" t="s">
        <v>86</v>
      </c>
      <c r="AX1" s="323" t="s">
        <v>87</v>
      </c>
      <c r="AY1" s="324" t="s">
        <v>88</v>
      </c>
      <c r="AZ1" s="323" t="s">
        <v>89</v>
      </c>
      <c r="BA1" s="324" t="s">
        <v>90</v>
      </c>
      <c r="BB1" s="323" t="s">
        <v>91</v>
      </c>
      <c r="BC1" s="323" t="s">
        <v>92</v>
      </c>
      <c r="BD1" s="324" t="s">
        <v>93</v>
      </c>
      <c r="BE1" s="322" t="s">
        <v>94</v>
      </c>
      <c r="BF1" s="322" t="s">
        <v>95</v>
      </c>
    </row>
    <row r="2" spans="1:58" x14ac:dyDescent="0.3">
      <c r="A2" t="str">
        <f>CONCATENATE(Tabella3[[#This Row],[giornata]],Tabella3[[#This Row],[squadra]])</f>
        <v>1TRICCHETRACHT</v>
      </c>
      <c r="B2" s="3">
        <v>1</v>
      </c>
      <c r="C2" s="3" t="s">
        <v>1018</v>
      </c>
      <c r="D2" s="3">
        <v>71.5</v>
      </c>
      <c r="E2" s="3">
        <v>12.5</v>
      </c>
      <c r="F2" s="3">
        <v>2</v>
      </c>
      <c r="G2" s="3">
        <f t="shared" ref="G2:G65" si="0">SUM(D2:F2)</f>
        <v>86</v>
      </c>
      <c r="H2" s="3">
        <v>3</v>
      </c>
      <c r="I2" s="3">
        <f t="shared" ref="I2:I33" si="1">VLOOKUP(G2,$AH$32:$AI$40,2,TRUE)</f>
        <v>4</v>
      </c>
      <c r="J2" s="3">
        <v>1</v>
      </c>
      <c r="K2" s="3">
        <v>4</v>
      </c>
      <c r="L2" s="3">
        <v>1</v>
      </c>
      <c r="M2" s="3">
        <v>2</v>
      </c>
      <c r="N2" s="3">
        <v>1</v>
      </c>
      <c r="O2" s="3">
        <v>1</v>
      </c>
      <c r="P2" s="3">
        <v>1</v>
      </c>
      <c r="Q2" s="3">
        <v>1</v>
      </c>
      <c r="R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  <c r="AC2" s="3">
        <f>IF(Tabella3[[#This Row],[gol port f]]="","",IF(Tabella3[[#This Row],[gol port f]]=0,1,0))</f>
        <v>0</v>
      </c>
      <c r="AD2" s="3">
        <f>IF(Tabella3[[#This Row],[gol port s]]="","",IF(Tabella3[[#This Row],[gol port s]]=0,1,0))</f>
        <v>0</v>
      </c>
      <c r="AE2" s="3"/>
      <c r="AG2" s="264" t="s">
        <v>1018</v>
      </c>
      <c r="AH2" s="3">
        <f t="shared" ref="AH2:AW2" si="2">RANK(AH18,AH$18:AH$27,1)</f>
        <v>7</v>
      </c>
      <c r="AI2" s="3">
        <f t="shared" ref="AI2:BF2" si="3">RANK(AI18,AI$18:AI$27,1)</f>
        <v>9</v>
      </c>
      <c r="AJ2" s="3">
        <f t="shared" si="3"/>
        <v>9</v>
      </c>
      <c r="AK2" s="3">
        <f t="shared" si="3"/>
        <v>9</v>
      </c>
      <c r="AL2" s="3">
        <f t="shared" si="3"/>
        <v>8</v>
      </c>
      <c r="AM2" s="3">
        <f t="shared" si="3"/>
        <v>8</v>
      </c>
      <c r="AN2" s="3">
        <f t="shared" si="3"/>
        <v>1</v>
      </c>
      <c r="AO2" s="3">
        <f t="shared" si="3"/>
        <v>9</v>
      </c>
      <c r="AP2" s="3">
        <f t="shared" si="3"/>
        <v>3</v>
      </c>
      <c r="AQ2" s="3">
        <f t="shared" si="3"/>
        <v>7</v>
      </c>
      <c r="AR2" s="3">
        <f t="shared" si="3"/>
        <v>4</v>
      </c>
      <c r="AS2" s="3">
        <f t="shared" si="3"/>
        <v>1</v>
      </c>
      <c r="AT2" s="3">
        <f t="shared" si="3"/>
        <v>7</v>
      </c>
      <c r="AU2" s="3">
        <f t="shared" si="3"/>
        <v>4</v>
      </c>
      <c r="AV2" s="3">
        <f t="shared" si="3"/>
        <v>1</v>
      </c>
      <c r="AW2" s="3">
        <f t="shared" si="3"/>
        <v>1</v>
      </c>
      <c r="AX2" s="3">
        <f t="shared" si="3"/>
        <v>1</v>
      </c>
      <c r="AY2" s="3">
        <f t="shared" si="3"/>
        <v>1</v>
      </c>
      <c r="AZ2" s="3">
        <f t="shared" si="3"/>
        <v>1</v>
      </c>
      <c r="BA2" s="3">
        <f t="shared" si="3"/>
        <v>1</v>
      </c>
      <c r="BB2" s="3">
        <f t="shared" si="3"/>
        <v>1</v>
      </c>
      <c r="BC2" s="3">
        <f t="shared" si="3"/>
        <v>1</v>
      </c>
      <c r="BD2" s="3">
        <f t="shared" si="3"/>
        <v>1</v>
      </c>
      <c r="BE2" s="3">
        <f>SUM((Tabella2[[#This Row],[Pt Class ]]*3),AI2:AM2,AO2,AS2,BC2)</f>
        <v>75</v>
      </c>
      <c r="BF2" s="3" t="e">
        <f t="shared" si="3"/>
        <v>#N/A</v>
      </c>
    </row>
    <row r="3" spans="1:58" x14ac:dyDescent="0.3">
      <c r="A3" t="str">
        <f>CONCATENATE(Tabella3[[#This Row],[giornata]],Tabella3[[#This Row],[squadra]])</f>
        <v>1ATL. IMPROVVISATO</v>
      </c>
      <c r="B3" s="3">
        <v>1</v>
      </c>
      <c r="C3" s="3" t="s">
        <v>632</v>
      </c>
      <c r="D3" s="3">
        <v>68.5</v>
      </c>
      <c r="E3" s="3">
        <v>2</v>
      </c>
      <c r="F3" s="3">
        <v>0</v>
      </c>
      <c r="G3" s="3">
        <f t="shared" si="0"/>
        <v>70.5</v>
      </c>
      <c r="H3" s="3">
        <v>0</v>
      </c>
      <c r="I3" s="3">
        <f t="shared" si="1"/>
        <v>1</v>
      </c>
      <c r="J3" s="3">
        <v>4</v>
      </c>
      <c r="K3" s="3">
        <v>1</v>
      </c>
      <c r="L3" s="3">
        <v>2</v>
      </c>
      <c r="M3" s="3">
        <v>2</v>
      </c>
      <c r="N3" s="3">
        <v>1</v>
      </c>
      <c r="O3" s="3">
        <v>0</v>
      </c>
      <c r="P3" s="3">
        <v>1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  <c r="AC3" s="3">
        <f>IF(Tabella3[[#This Row],[gol port f]]="","",IF(Tabella3[[#This Row],[gol port f]]=0,1,0))</f>
        <v>0</v>
      </c>
      <c r="AD3" s="3">
        <f>IF(Tabella3[[#This Row],[gol port s]]="","",IF(Tabella3[[#This Row],[gol port s]]=0,1,0))</f>
        <v>0</v>
      </c>
      <c r="AE3" s="3"/>
      <c r="AG3" s="325" t="s">
        <v>632</v>
      </c>
      <c r="AH3" s="3">
        <f t="shared" ref="AH3:AI11" si="4">RANK(AH19,AH$18:AH$27,1)</f>
        <v>9</v>
      </c>
      <c r="AI3" s="3">
        <f t="shared" ref="AI3:BF3" si="5">RANK(AI19,AI$18:AI$27,1)</f>
        <v>8</v>
      </c>
      <c r="AJ3" s="3">
        <f t="shared" si="5"/>
        <v>8</v>
      </c>
      <c r="AK3" s="3">
        <f t="shared" si="5"/>
        <v>7</v>
      </c>
      <c r="AL3" s="3">
        <f t="shared" si="5"/>
        <v>4</v>
      </c>
      <c r="AM3" s="3">
        <f t="shared" si="5"/>
        <v>7</v>
      </c>
      <c r="AN3" s="3">
        <f t="shared" si="5"/>
        <v>8</v>
      </c>
      <c r="AO3" s="3">
        <f t="shared" si="5"/>
        <v>7</v>
      </c>
      <c r="AP3" s="3">
        <f t="shared" si="5"/>
        <v>4</v>
      </c>
      <c r="AQ3" s="3">
        <f t="shared" si="5"/>
        <v>10</v>
      </c>
      <c r="AR3" s="3">
        <f t="shared" si="5"/>
        <v>2</v>
      </c>
      <c r="AS3" s="3">
        <f t="shared" si="5"/>
        <v>1</v>
      </c>
      <c r="AT3" s="3">
        <f t="shared" si="5"/>
        <v>2</v>
      </c>
      <c r="AU3" s="3">
        <f t="shared" si="5"/>
        <v>1</v>
      </c>
      <c r="AV3" s="3">
        <f t="shared" si="5"/>
        <v>3</v>
      </c>
      <c r="AW3" s="3">
        <f t="shared" si="5"/>
        <v>1</v>
      </c>
      <c r="AX3" s="3">
        <f t="shared" si="5"/>
        <v>1</v>
      </c>
      <c r="AY3" s="3">
        <f t="shared" si="5"/>
        <v>1</v>
      </c>
      <c r="AZ3" s="3">
        <f t="shared" si="5"/>
        <v>1</v>
      </c>
      <c r="BA3" s="3">
        <f t="shared" si="5"/>
        <v>1</v>
      </c>
      <c r="BB3" s="3">
        <f t="shared" si="5"/>
        <v>1</v>
      </c>
      <c r="BC3" s="3">
        <f t="shared" si="5"/>
        <v>1</v>
      </c>
      <c r="BD3" s="3">
        <f t="shared" si="5"/>
        <v>1</v>
      </c>
      <c r="BE3" s="3">
        <f>SUM((Tabella2[[#This Row],[Pt Class ]]*3),AI3:AM3,AO3,AS3,BC3)</f>
        <v>70</v>
      </c>
      <c r="BF3" s="3" t="e">
        <f t="shared" si="5"/>
        <v>#N/A</v>
      </c>
    </row>
    <row r="4" spans="1:58" x14ac:dyDescent="0.3">
      <c r="A4" t="str">
        <f>CONCATENATE(Tabella3[[#This Row],[giornata]],Tabella3[[#This Row],[squadra]])</f>
        <v>1PARTIZAN DEGRADO</v>
      </c>
      <c r="B4" s="3">
        <v>1</v>
      </c>
      <c r="C4" s="3" t="s">
        <v>477</v>
      </c>
      <c r="D4" s="3">
        <v>73</v>
      </c>
      <c r="E4" s="3">
        <v>7</v>
      </c>
      <c r="F4" s="3">
        <v>4</v>
      </c>
      <c r="G4" s="3">
        <f t="shared" si="0"/>
        <v>84</v>
      </c>
      <c r="H4" s="3">
        <v>3</v>
      </c>
      <c r="I4" s="3">
        <f t="shared" si="1"/>
        <v>4</v>
      </c>
      <c r="J4" s="3">
        <v>1</v>
      </c>
      <c r="K4" s="3">
        <v>2</v>
      </c>
      <c r="L4" s="3">
        <v>1</v>
      </c>
      <c r="M4" s="3">
        <v>1</v>
      </c>
      <c r="N4" s="3">
        <v>2</v>
      </c>
      <c r="O4" s="3">
        <v>1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  <c r="AC4" s="3">
        <f>IF(Tabella3[[#This Row],[gol port f]]="","",IF(Tabella3[[#This Row],[gol port f]]=0,1,0))</f>
        <v>0</v>
      </c>
      <c r="AD4" s="3">
        <f>IF(Tabella3[[#This Row],[gol port s]]="","",IF(Tabella3[[#This Row],[gol port s]]=0,1,0))</f>
        <v>0</v>
      </c>
      <c r="AE4" s="3"/>
      <c r="AG4" s="264" t="s">
        <v>477</v>
      </c>
      <c r="AH4" s="3">
        <f t="shared" si="4"/>
        <v>10</v>
      </c>
      <c r="AI4" s="3">
        <f t="shared" ref="AI4:BF4" si="6">RANK(AI20,AI$18:AI$27,1)</f>
        <v>10</v>
      </c>
      <c r="AJ4" s="3">
        <f t="shared" si="6"/>
        <v>5</v>
      </c>
      <c r="AK4" s="3">
        <f t="shared" si="6"/>
        <v>8</v>
      </c>
      <c r="AL4" s="3">
        <f t="shared" si="6"/>
        <v>8</v>
      </c>
      <c r="AM4" s="3">
        <f t="shared" si="6"/>
        <v>8</v>
      </c>
      <c r="AN4" s="3">
        <f t="shared" si="6"/>
        <v>1</v>
      </c>
      <c r="AO4" s="3">
        <f t="shared" si="6"/>
        <v>4</v>
      </c>
      <c r="AP4" s="3">
        <f t="shared" si="6"/>
        <v>1</v>
      </c>
      <c r="AQ4" s="3">
        <f t="shared" si="6"/>
        <v>3</v>
      </c>
      <c r="AR4" s="3">
        <f t="shared" si="6"/>
        <v>4</v>
      </c>
      <c r="AS4" s="3">
        <f t="shared" si="6"/>
        <v>6</v>
      </c>
      <c r="AT4" s="3">
        <f t="shared" si="6"/>
        <v>2</v>
      </c>
      <c r="AU4" s="3">
        <f t="shared" si="6"/>
        <v>4</v>
      </c>
      <c r="AV4" s="3">
        <f t="shared" si="6"/>
        <v>3</v>
      </c>
      <c r="AW4" s="3">
        <f t="shared" si="6"/>
        <v>1</v>
      </c>
      <c r="AX4" s="3">
        <f t="shared" si="6"/>
        <v>1</v>
      </c>
      <c r="AY4" s="3">
        <f t="shared" si="6"/>
        <v>1</v>
      </c>
      <c r="AZ4" s="3">
        <f t="shared" si="6"/>
        <v>1</v>
      </c>
      <c r="BA4" s="3">
        <f t="shared" si="6"/>
        <v>10</v>
      </c>
      <c r="BB4" s="3">
        <f t="shared" si="6"/>
        <v>1</v>
      </c>
      <c r="BC4" s="3">
        <f t="shared" si="6"/>
        <v>1</v>
      </c>
      <c r="BD4" s="3">
        <f t="shared" si="6"/>
        <v>1</v>
      </c>
      <c r="BE4" s="3">
        <f>SUM((Tabella2[[#This Row],[Pt Class ]]*3),AI4:AM4,AO4,AS4,BC4)</f>
        <v>80</v>
      </c>
      <c r="BF4" s="3" t="e">
        <f t="shared" si="6"/>
        <v>#N/A</v>
      </c>
    </row>
    <row r="5" spans="1:58" x14ac:dyDescent="0.3">
      <c r="A5" t="str">
        <f>CONCATENATE(Tabella3[[#This Row],[giornata]],Tabella3[[#This Row],[squadra]])</f>
        <v>1SESTO ASENSIO</v>
      </c>
      <c r="B5" s="3">
        <v>1</v>
      </c>
      <c r="C5" s="3" t="s">
        <v>628</v>
      </c>
      <c r="D5" s="3">
        <v>71</v>
      </c>
      <c r="E5" s="3">
        <v>9.5</v>
      </c>
      <c r="F5" s="3">
        <v>0</v>
      </c>
      <c r="G5" s="3">
        <f t="shared" si="0"/>
        <v>80.5</v>
      </c>
      <c r="H5" s="3">
        <v>3</v>
      </c>
      <c r="I5" s="3">
        <f t="shared" si="1"/>
        <v>3</v>
      </c>
      <c r="J5" s="3">
        <v>1</v>
      </c>
      <c r="K5" s="3">
        <v>4</v>
      </c>
      <c r="L5" s="3">
        <v>2</v>
      </c>
      <c r="M5" s="3">
        <v>1</v>
      </c>
      <c r="N5" s="3">
        <v>2</v>
      </c>
      <c r="O5" s="3">
        <v>0</v>
      </c>
      <c r="P5" s="3">
        <v>1</v>
      </c>
      <c r="Q5" s="3">
        <v>3</v>
      </c>
      <c r="R5" s="3">
        <v>3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  <c r="AC5" s="3">
        <f>IF(Tabella3[[#This Row],[gol port f]]="","",IF(Tabella3[[#This Row],[gol port f]]=0,1,0))</f>
        <v>0</v>
      </c>
      <c r="AD5" s="3">
        <f>IF(Tabella3[[#This Row],[gol port s]]="","",IF(Tabella3[[#This Row],[gol port s]]=0,1,0))</f>
        <v>0</v>
      </c>
      <c r="AE5" s="3"/>
      <c r="AG5" s="264" t="s">
        <v>628</v>
      </c>
      <c r="AH5" s="3">
        <f t="shared" si="4"/>
        <v>6</v>
      </c>
      <c r="AI5" s="3">
        <f t="shared" ref="AI5:BF5" si="7">RANK(AI21,AI$18:AI$27,1)</f>
        <v>1</v>
      </c>
      <c r="AJ5" s="3">
        <f t="shared" si="7"/>
        <v>3</v>
      </c>
      <c r="AK5" s="3">
        <f t="shared" si="7"/>
        <v>3</v>
      </c>
      <c r="AL5" s="3">
        <f t="shared" si="7"/>
        <v>4</v>
      </c>
      <c r="AM5" s="3">
        <f t="shared" si="7"/>
        <v>3</v>
      </c>
      <c r="AN5" s="3">
        <f t="shared" si="7"/>
        <v>3</v>
      </c>
      <c r="AO5" s="3">
        <f t="shared" si="7"/>
        <v>4</v>
      </c>
      <c r="AP5" s="3">
        <f t="shared" si="7"/>
        <v>4</v>
      </c>
      <c r="AQ5" s="3">
        <f t="shared" si="7"/>
        <v>3</v>
      </c>
      <c r="AR5" s="3">
        <f t="shared" si="7"/>
        <v>4</v>
      </c>
      <c r="AS5" s="3">
        <f t="shared" si="7"/>
        <v>1</v>
      </c>
      <c r="AT5" s="3">
        <f t="shared" si="7"/>
        <v>5</v>
      </c>
      <c r="AU5" s="3">
        <f t="shared" si="7"/>
        <v>10</v>
      </c>
      <c r="AV5" s="3">
        <f t="shared" si="7"/>
        <v>10</v>
      </c>
      <c r="AW5" s="3">
        <f t="shared" si="7"/>
        <v>1</v>
      </c>
      <c r="AX5" s="3">
        <f t="shared" si="7"/>
        <v>1</v>
      </c>
      <c r="AY5" s="3">
        <f t="shared" si="7"/>
        <v>1</v>
      </c>
      <c r="AZ5" s="3">
        <f t="shared" si="7"/>
        <v>1</v>
      </c>
      <c r="BA5" s="3">
        <f t="shared" si="7"/>
        <v>1</v>
      </c>
      <c r="BB5" s="3">
        <f t="shared" si="7"/>
        <v>10</v>
      </c>
      <c r="BC5" s="3">
        <f t="shared" si="7"/>
        <v>1</v>
      </c>
      <c r="BD5" s="3">
        <f t="shared" si="7"/>
        <v>1</v>
      </c>
      <c r="BE5" s="3">
        <f>SUM((Tabella2[[#This Row],[Pt Class ]]*3),AI5:AM5,AO5,AS5,BC5)</f>
        <v>38</v>
      </c>
      <c r="BF5" s="3" t="e">
        <f t="shared" si="7"/>
        <v>#N/A</v>
      </c>
    </row>
    <row r="6" spans="1:58" x14ac:dyDescent="0.3">
      <c r="A6" t="str">
        <f>CONCATENATE(Tabella3[[#This Row],[giornata]],Tabella3[[#This Row],[squadra]])</f>
        <v>1AC ASPARAGHESE</v>
      </c>
      <c r="B6" s="3">
        <v>1</v>
      </c>
      <c r="C6" s="3" t="s">
        <v>629</v>
      </c>
      <c r="D6" s="3">
        <v>68</v>
      </c>
      <c r="E6" s="3">
        <v>8</v>
      </c>
      <c r="F6" s="3">
        <v>0</v>
      </c>
      <c r="G6" s="3">
        <f t="shared" si="0"/>
        <v>76</v>
      </c>
      <c r="H6" s="3">
        <v>3</v>
      </c>
      <c r="I6" s="3">
        <f t="shared" si="1"/>
        <v>2</v>
      </c>
      <c r="J6" s="3">
        <v>1</v>
      </c>
      <c r="K6" s="3">
        <v>1</v>
      </c>
      <c r="L6" s="3">
        <v>1</v>
      </c>
      <c r="M6" s="3">
        <v>0</v>
      </c>
      <c r="N6" s="3">
        <v>1</v>
      </c>
      <c r="O6" s="3">
        <v>3</v>
      </c>
      <c r="P6" s="3">
        <v>2</v>
      </c>
      <c r="Q6" s="3">
        <v>0</v>
      </c>
      <c r="R6" s="3">
        <v>1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  <c r="AC6" s="3">
        <f>IF(Tabella3[[#This Row],[gol port f]]="","",IF(Tabella3[[#This Row],[gol port f]]=0,1,0))</f>
        <v>1</v>
      </c>
      <c r="AD6" s="3">
        <f>IF(Tabella3[[#This Row],[gol port s]]="","",IF(Tabella3[[#This Row],[gol port s]]=0,1,0))</f>
        <v>0</v>
      </c>
      <c r="AE6" s="3"/>
      <c r="AG6" s="264" t="s">
        <v>629</v>
      </c>
      <c r="AH6" s="3">
        <f t="shared" si="4"/>
        <v>8</v>
      </c>
      <c r="AI6" s="3">
        <f t="shared" ref="AI6:BF6" si="8">RANK(AI22,AI$18:AI$27,1)</f>
        <v>1</v>
      </c>
      <c r="AJ6" s="3">
        <f t="shared" si="8"/>
        <v>10</v>
      </c>
      <c r="AK6" s="3">
        <f t="shared" si="8"/>
        <v>10</v>
      </c>
      <c r="AL6" s="3">
        <f t="shared" si="8"/>
        <v>8</v>
      </c>
      <c r="AM6" s="3">
        <f t="shared" si="8"/>
        <v>8</v>
      </c>
      <c r="AN6" s="3">
        <f t="shared" si="8"/>
        <v>3</v>
      </c>
      <c r="AO6" s="3">
        <f t="shared" si="8"/>
        <v>10</v>
      </c>
      <c r="AP6" s="3">
        <f t="shared" si="8"/>
        <v>4</v>
      </c>
      <c r="AQ6" s="3">
        <f t="shared" si="8"/>
        <v>3</v>
      </c>
      <c r="AR6" s="3">
        <f t="shared" si="8"/>
        <v>8</v>
      </c>
      <c r="AS6" s="3">
        <f t="shared" si="8"/>
        <v>7</v>
      </c>
      <c r="AT6" s="3">
        <f t="shared" si="8"/>
        <v>5</v>
      </c>
      <c r="AU6" s="3">
        <f t="shared" si="8"/>
        <v>1</v>
      </c>
      <c r="AV6" s="3">
        <f t="shared" si="8"/>
        <v>3</v>
      </c>
      <c r="AW6" s="3">
        <f t="shared" si="8"/>
        <v>10</v>
      </c>
      <c r="AX6" s="3">
        <f t="shared" si="8"/>
        <v>1</v>
      </c>
      <c r="AY6" s="3">
        <f t="shared" si="8"/>
        <v>1</v>
      </c>
      <c r="AZ6" s="3">
        <f t="shared" si="8"/>
        <v>1</v>
      </c>
      <c r="BA6" s="3">
        <f t="shared" si="8"/>
        <v>1</v>
      </c>
      <c r="BB6" s="3">
        <f t="shared" si="8"/>
        <v>1</v>
      </c>
      <c r="BC6" s="3">
        <f t="shared" si="8"/>
        <v>9</v>
      </c>
      <c r="BD6" s="3">
        <f t="shared" si="8"/>
        <v>1</v>
      </c>
      <c r="BE6" s="3">
        <f>SUM((Tabella2[[#This Row],[Pt Class ]]*3),AI6:AM6,AO6,AS6,BC6)</f>
        <v>87</v>
      </c>
      <c r="BF6" s="3" t="e">
        <f t="shared" si="8"/>
        <v>#N/A</v>
      </c>
    </row>
    <row r="7" spans="1:58" x14ac:dyDescent="0.3">
      <c r="A7" t="str">
        <f>CONCATENATE(Tabella3[[#This Row],[giornata]],Tabella3[[#This Row],[squadra]])</f>
        <v>1PESCICULINI</v>
      </c>
      <c r="B7" s="3">
        <v>1</v>
      </c>
      <c r="C7" s="3" t="s">
        <v>630</v>
      </c>
      <c r="D7" s="3">
        <v>65.5</v>
      </c>
      <c r="E7" s="3">
        <v>8</v>
      </c>
      <c r="F7" s="3">
        <v>0</v>
      </c>
      <c r="G7" s="3">
        <f t="shared" si="0"/>
        <v>73.5</v>
      </c>
      <c r="H7" s="3">
        <v>0</v>
      </c>
      <c r="I7" s="3">
        <f t="shared" si="1"/>
        <v>2</v>
      </c>
      <c r="J7" s="3">
        <v>3</v>
      </c>
      <c r="K7" s="3">
        <v>2</v>
      </c>
      <c r="L7" s="3">
        <v>1</v>
      </c>
      <c r="M7" s="3">
        <v>2</v>
      </c>
      <c r="N7" s="3">
        <v>2</v>
      </c>
      <c r="O7" s="3">
        <v>1</v>
      </c>
      <c r="P7" s="3">
        <v>4</v>
      </c>
      <c r="Q7" s="3">
        <v>2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  <c r="AC7" s="3">
        <f>IF(Tabella3[[#This Row],[gol port f]]="","",IF(Tabella3[[#This Row],[gol port f]]=0,1,0))</f>
        <v>0</v>
      </c>
      <c r="AD7" s="3">
        <f>IF(Tabella3[[#This Row],[gol port s]]="","",IF(Tabella3[[#This Row],[gol port s]]=0,1,0))</f>
        <v>0</v>
      </c>
      <c r="AE7" s="3"/>
      <c r="AG7" s="264" t="s">
        <v>630</v>
      </c>
      <c r="AH7" s="3">
        <f t="shared" si="4"/>
        <v>4</v>
      </c>
      <c r="AI7" s="3">
        <f t="shared" ref="AI7:BF7" si="9">RANK(AI23,AI$18:AI$27,1)</f>
        <v>1</v>
      </c>
      <c r="AJ7" s="3">
        <f t="shared" si="9"/>
        <v>7</v>
      </c>
      <c r="AK7" s="3">
        <f t="shared" si="9"/>
        <v>6</v>
      </c>
      <c r="AL7" s="3">
        <f t="shared" si="9"/>
        <v>1</v>
      </c>
      <c r="AM7" s="3">
        <f t="shared" si="9"/>
        <v>3</v>
      </c>
      <c r="AN7" s="3">
        <f t="shared" si="9"/>
        <v>10</v>
      </c>
      <c r="AO7" s="3">
        <f t="shared" si="9"/>
        <v>4</v>
      </c>
      <c r="AP7" s="3">
        <f t="shared" si="9"/>
        <v>9</v>
      </c>
      <c r="AQ7" s="3">
        <f t="shared" si="9"/>
        <v>6</v>
      </c>
      <c r="AR7" s="3">
        <f t="shared" si="9"/>
        <v>10</v>
      </c>
      <c r="AS7" s="3">
        <f t="shared" si="9"/>
        <v>1</v>
      </c>
      <c r="AT7" s="3">
        <f t="shared" si="9"/>
        <v>9</v>
      </c>
      <c r="AU7" s="3">
        <f t="shared" si="9"/>
        <v>8</v>
      </c>
      <c r="AV7" s="3">
        <f t="shared" si="9"/>
        <v>1</v>
      </c>
      <c r="AW7" s="3">
        <f t="shared" si="9"/>
        <v>1</v>
      </c>
      <c r="AX7" s="3">
        <f t="shared" si="9"/>
        <v>1</v>
      </c>
      <c r="AY7" s="3">
        <f t="shared" si="9"/>
        <v>1</v>
      </c>
      <c r="AZ7" s="3">
        <f t="shared" si="9"/>
        <v>1</v>
      </c>
      <c r="BA7" s="3">
        <f t="shared" si="9"/>
        <v>1</v>
      </c>
      <c r="BB7" s="3">
        <f t="shared" si="9"/>
        <v>1</v>
      </c>
      <c r="BC7" s="3">
        <f t="shared" si="9"/>
        <v>1</v>
      </c>
      <c r="BD7" s="3">
        <f t="shared" si="9"/>
        <v>1</v>
      </c>
      <c r="BE7" s="3">
        <f>SUM((Tabella2[[#This Row],[Pt Class ]]*3),AI7:AM7,AO7,AS7,BC7)</f>
        <v>36</v>
      </c>
      <c r="BF7" s="3" t="e">
        <f t="shared" si="9"/>
        <v>#N/A</v>
      </c>
    </row>
    <row r="8" spans="1:58" x14ac:dyDescent="0.3">
      <c r="A8" t="str">
        <f>CONCATENATE(Tabella3[[#This Row],[giornata]],Tabella3[[#This Row],[squadra]])</f>
        <v>1SHARK</v>
      </c>
      <c r="B8" s="3">
        <v>1</v>
      </c>
      <c r="C8" s="3" t="s">
        <v>627</v>
      </c>
      <c r="D8" s="3">
        <v>65</v>
      </c>
      <c r="E8" s="3">
        <v>3.5</v>
      </c>
      <c r="F8" s="3">
        <v>0</v>
      </c>
      <c r="G8" s="3">
        <f t="shared" si="0"/>
        <v>68.5</v>
      </c>
      <c r="H8" s="3">
        <v>0</v>
      </c>
      <c r="I8" s="3">
        <f t="shared" si="1"/>
        <v>1</v>
      </c>
      <c r="J8" s="3">
        <v>3</v>
      </c>
      <c r="K8" s="3">
        <v>2</v>
      </c>
      <c r="L8" s="3">
        <v>4</v>
      </c>
      <c r="M8" s="3">
        <v>2</v>
      </c>
      <c r="N8" s="3">
        <v>1</v>
      </c>
      <c r="O8" s="3">
        <v>1</v>
      </c>
      <c r="P8" s="3">
        <v>0</v>
      </c>
      <c r="Q8" s="3">
        <v>3</v>
      </c>
      <c r="R8" s="3">
        <v>3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  <c r="AC8" s="3">
        <f>IF(Tabella3[[#This Row],[gol port f]]="","",IF(Tabella3[[#This Row],[gol port f]]=0,1,0))</f>
        <v>0</v>
      </c>
      <c r="AD8" s="3">
        <f>IF(Tabella3[[#This Row],[gol port s]]="","",IF(Tabella3[[#This Row],[gol port s]]=0,1,0))</f>
        <v>0</v>
      </c>
      <c r="AE8" s="3"/>
      <c r="AG8" s="264" t="s">
        <v>627</v>
      </c>
      <c r="AH8" s="3">
        <f t="shared" si="4"/>
        <v>5</v>
      </c>
      <c r="AI8" s="3">
        <f t="shared" ref="AI8:BF8" si="10">RANK(AI24,AI$18:AI$27,1)</f>
        <v>1</v>
      </c>
      <c r="AJ8" s="3">
        <f t="shared" si="10"/>
        <v>6</v>
      </c>
      <c r="AK8" s="3">
        <f t="shared" si="10"/>
        <v>5</v>
      </c>
      <c r="AL8" s="3">
        <f t="shared" si="10"/>
        <v>1</v>
      </c>
      <c r="AM8" s="3">
        <f t="shared" si="10"/>
        <v>3</v>
      </c>
      <c r="AN8" s="3">
        <f t="shared" si="10"/>
        <v>9</v>
      </c>
      <c r="AO8" s="3">
        <f t="shared" si="10"/>
        <v>7</v>
      </c>
      <c r="AP8" s="3">
        <f t="shared" si="10"/>
        <v>10</v>
      </c>
      <c r="AQ8" s="3">
        <f t="shared" si="10"/>
        <v>9</v>
      </c>
      <c r="AR8" s="3">
        <f t="shared" si="10"/>
        <v>4</v>
      </c>
      <c r="AS8" s="3">
        <f t="shared" si="10"/>
        <v>1</v>
      </c>
      <c r="AT8" s="3">
        <f t="shared" si="10"/>
        <v>1</v>
      </c>
      <c r="AU8" s="3">
        <f t="shared" si="10"/>
        <v>8</v>
      </c>
      <c r="AV8" s="3">
        <f t="shared" si="10"/>
        <v>9</v>
      </c>
      <c r="AW8" s="3">
        <f t="shared" si="10"/>
        <v>1</v>
      </c>
      <c r="AX8" s="3">
        <f t="shared" si="10"/>
        <v>10</v>
      </c>
      <c r="AY8" s="3">
        <f t="shared" si="10"/>
        <v>1</v>
      </c>
      <c r="AZ8" s="3">
        <f t="shared" si="10"/>
        <v>1</v>
      </c>
      <c r="BA8" s="3">
        <f t="shared" si="10"/>
        <v>1</v>
      </c>
      <c r="BB8" s="3">
        <f t="shared" si="10"/>
        <v>1</v>
      </c>
      <c r="BC8" s="3">
        <f t="shared" si="10"/>
        <v>1</v>
      </c>
      <c r="BD8" s="3">
        <f t="shared" si="10"/>
        <v>1</v>
      </c>
      <c r="BE8" s="3">
        <f>SUM((Tabella2[[#This Row],[Pt Class ]]*3),AI8:AM8,AO8,AS8,BC8)</f>
        <v>40</v>
      </c>
      <c r="BF8" s="3" t="e">
        <f t="shared" si="10"/>
        <v>#N/A</v>
      </c>
    </row>
    <row r="9" spans="1:58" x14ac:dyDescent="0.3">
      <c r="A9" t="str">
        <f>CONCATENATE(Tabella3[[#This Row],[giornata]],Tabella3[[#This Row],[squadra]])</f>
        <v>1SAN GRIA</v>
      </c>
      <c r="B9" s="3">
        <v>1</v>
      </c>
      <c r="C9" s="3" t="s">
        <v>603</v>
      </c>
      <c r="D9" s="3">
        <v>66</v>
      </c>
      <c r="E9" s="3">
        <v>3</v>
      </c>
      <c r="F9" s="3">
        <v>0</v>
      </c>
      <c r="G9" s="3">
        <f t="shared" si="0"/>
        <v>69</v>
      </c>
      <c r="H9" s="3">
        <v>0</v>
      </c>
      <c r="I9" s="3">
        <f t="shared" si="1"/>
        <v>1</v>
      </c>
      <c r="J9" s="3">
        <v>4</v>
      </c>
      <c r="K9" s="3">
        <v>1</v>
      </c>
      <c r="L9" s="3">
        <v>4</v>
      </c>
      <c r="M9" s="3">
        <v>1</v>
      </c>
      <c r="N9" s="3">
        <v>2</v>
      </c>
      <c r="O9" s="3">
        <v>1</v>
      </c>
      <c r="P9" s="3">
        <v>1</v>
      </c>
      <c r="Q9" s="3">
        <v>0</v>
      </c>
      <c r="R9" s="3">
        <v>1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  <c r="AC9" s="3">
        <f>IF(Tabella3[[#This Row],[gol port f]]="","",IF(Tabella3[[#This Row],[gol port f]]=0,1,0))</f>
        <v>0</v>
      </c>
      <c r="AD9" s="3">
        <f>IF(Tabella3[[#This Row],[gol port s]]="","",IF(Tabella3[[#This Row],[gol port s]]=0,1,0))</f>
        <v>0</v>
      </c>
      <c r="AE9" s="3"/>
      <c r="AG9" s="264" t="s">
        <v>603</v>
      </c>
      <c r="AH9" s="3">
        <f t="shared" si="4"/>
        <v>2</v>
      </c>
      <c r="AI9" s="3">
        <f t="shared" ref="AI9:BF9" si="11">RANK(AI25,AI$18:AI$27,1)</f>
        <v>1</v>
      </c>
      <c r="AJ9" s="3">
        <f t="shared" si="11"/>
        <v>2</v>
      </c>
      <c r="AK9" s="3">
        <f t="shared" si="11"/>
        <v>2</v>
      </c>
      <c r="AL9" s="3">
        <f t="shared" si="11"/>
        <v>4</v>
      </c>
      <c r="AM9" s="3">
        <f t="shared" si="11"/>
        <v>2</v>
      </c>
      <c r="AN9" s="3">
        <f t="shared" si="11"/>
        <v>6</v>
      </c>
      <c r="AO9" s="3">
        <f t="shared" si="11"/>
        <v>1</v>
      </c>
      <c r="AP9" s="3">
        <f t="shared" si="11"/>
        <v>4</v>
      </c>
      <c r="AQ9" s="3">
        <f t="shared" si="11"/>
        <v>1</v>
      </c>
      <c r="AR9" s="3">
        <f t="shared" si="11"/>
        <v>2</v>
      </c>
      <c r="AS9" s="3">
        <f t="shared" si="11"/>
        <v>7</v>
      </c>
      <c r="AT9" s="3">
        <f t="shared" si="11"/>
        <v>7</v>
      </c>
      <c r="AU9" s="3">
        <f t="shared" si="11"/>
        <v>4</v>
      </c>
      <c r="AV9" s="3">
        <f t="shared" si="11"/>
        <v>7</v>
      </c>
      <c r="AW9" s="3">
        <f t="shared" si="11"/>
        <v>1</v>
      </c>
      <c r="AX9" s="3">
        <f t="shared" si="11"/>
        <v>1</v>
      </c>
      <c r="AY9" s="3">
        <f t="shared" si="11"/>
        <v>1</v>
      </c>
      <c r="AZ9" s="3">
        <f t="shared" si="11"/>
        <v>1</v>
      </c>
      <c r="BA9" s="3">
        <f t="shared" si="11"/>
        <v>1</v>
      </c>
      <c r="BB9" s="3">
        <f t="shared" si="11"/>
        <v>1</v>
      </c>
      <c r="BC9" s="3">
        <f t="shared" si="11"/>
        <v>9</v>
      </c>
      <c r="BD9" s="3">
        <f t="shared" si="11"/>
        <v>1</v>
      </c>
      <c r="BE9" s="3">
        <f>SUM((Tabella2[[#This Row],[Pt Class ]]*3),AI9:AM9,AO9,AS9,BC9)</f>
        <v>34</v>
      </c>
      <c r="BF9" s="3" t="e">
        <f t="shared" si="11"/>
        <v>#N/A</v>
      </c>
    </row>
    <row r="10" spans="1:58" x14ac:dyDescent="0.3">
      <c r="A10" t="str">
        <f>CONCATENATE(Tabella3[[#This Row],[giornata]],Tabella3[[#This Row],[squadra]])</f>
        <v>1AS PIPPERIA</v>
      </c>
      <c r="B10" s="3">
        <v>1</v>
      </c>
      <c r="C10" s="3" t="s">
        <v>626</v>
      </c>
      <c r="D10" s="3">
        <v>66</v>
      </c>
      <c r="E10" s="3">
        <v>3.5</v>
      </c>
      <c r="F10" s="3">
        <v>0</v>
      </c>
      <c r="G10" s="3">
        <f t="shared" si="0"/>
        <v>69.5</v>
      </c>
      <c r="H10" s="3">
        <v>0</v>
      </c>
      <c r="I10" s="3">
        <f t="shared" si="1"/>
        <v>1</v>
      </c>
      <c r="J10" s="3">
        <v>2</v>
      </c>
      <c r="K10" s="3">
        <v>1</v>
      </c>
      <c r="L10" s="3">
        <v>1</v>
      </c>
      <c r="M10" s="3">
        <v>1</v>
      </c>
      <c r="N10" s="3">
        <v>0</v>
      </c>
      <c r="O10" s="3">
        <v>2</v>
      </c>
      <c r="P10" s="3">
        <v>3</v>
      </c>
      <c r="Q10" s="3">
        <v>1</v>
      </c>
      <c r="R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  <c r="AC10" s="3">
        <f>IF(Tabella3[[#This Row],[gol port f]]="","",IF(Tabella3[[#This Row],[gol port f]]=0,1,0))</f>
        <v>0</v>
      </c>
      <c r="AD10" s="3">
        <f>IF(Tabella3[[#This Row],[gol port s]]="","",IF(Tabella3[[#This Row],[gol port s]]=0,1,0))</f>
        <v>1</v>
      </c>
      <c r="AE10" s="3"/>
      <c r="AG10" s="264" t="s">
        <v>626</v>
      </c>
      <c r="AH10" s="3">
        <f t="shared" si="4"/>
        <v>1</v>
      </c>
      <c r="AI10" s="3">
        <f t="shared" ref="AI10:BF10" si="12">RANK(AI26,AI$18:AI$27,1)</f>
        <v>1</v>
      </c>
      <c r="AJ10" s="3">
        <f t="shared" si="12"/>
        <v>1</v>
      </c>
      <c r="AK10" s="3">
        <f t="shared" si="12"/>
        <v>1</v>
      </c>
      <c r="AL10" s="3">
        <f t="shared" si="12"/>
        <v>1</v>
      </c>
      <c r="AM10" s="3">
        <f t="shared" si="12"/>
        <v>1</v>
      </c>
      <c r="AN10" s="3">
        <f t="shared" si="12"/>
        <v>3</v>
      </c>
      <c r="AO10" s="3">
        <f t="shared" si="12"/>
        <v>1</v>
      </c>
      <c r="AP10" s="3">
        <f t="shared" si="12"/>
        <v>1</v>
      </c>
      <c r="AQ10" s="3">
        <f t="shared" si="12"/>
        <v>2</v>
      </c>
      <c r="AR10" s="3">
        <f t="shared" si="12"/>
        <v>1</v>
      </c>
      <c r="AS10" s="3">
        <f t="shared" si="12"/>
        <v>9</v>
      </c>
      <c r="AT10" s="3">
        <f t="shared" si="12"/>
        <v>9</v>
      </c>
      <c r="AU10" s="3">
        <f t="shared" si="12"/>
        <v>7</v>
      </c>
      <c r="AV10" s="3">
        <f t="shared" si="12"/>
        <v>3</v>
      </c>
      <c r="AW10" s="3">
        <f t="shared" si="12"/>
        <v>1</v>
      </c>
      <c r="AX10" s="3">
        <f t="shared" si="12"/>
        <v>1</v>
      </c>
      <c r="AY10" s="3">
        <f t="shared" si="12"/>
        <v>1</v>
      </c>
      <c r="AZ10" s="3">
        <f t="shared" si="12"/>
        <v>1</v>
      </c>
      <c r="BA10" s="3">
        <f t="shared" si="12"/>
        <v>1</v>
      </c>
      <c r="BB10" s="3">
        <f t="shared" si="12"/>
        <v>1</v>
      </c>
      <c r="BC10" s="3">
        <f t="shared" si="12"/>
        <v>1</v>
      </c>
      <c r="BD10" s="3">
        <f t="shared" si="12"/>
        <v>10</v>
      </c>
      <c r="BE10" s="3">
        <f>SUM((Tabella2[[#This Row],[Pt Class ]]*3),AI10:AM10,AO10,AS10,BC10)</f>
        <v>19</v>
      </c>
      <c r="BF10" s="3" t="e">
        <f t="shared" si="12"/>
        <v>#N/A</v>
      </c>
    </row>
    <row r="11" spans="1:58" x14ac:dyDescent="0.3">
      <c r="A11" t="str">
        <f>CONCATENATE(Tabella3[[#This Row],[giornata]],Tabella3[[#This Row],[squadra]])</f>
        <v>1FC INTERNAZIOANALE</v>
      </c>
      <c r="B11" s="3">
        <v>1</v>
      </c>
      <c r="C11" s="3" t="s">
        <v>625</v>
      </c>
      <c r="D11" s="3">
        <v>70</v>
      </c>
      <c r="E11" s="3">
        <v>6</v>
      </c>
      <c r="F11" s="3">
        <v>2</v>
      </c>
      <c r="G11" s="3">
        <f t="shared" si="0"/>
        <v>78</v>
      </c>
      <c r="H11" s="3">
        <v>3</v>
      </c>
      <c r="I11" s="3">
        <f t="shared" si="1"/>
        <v>3</v>
      </c>
      <c r="J11" s="3">
        <v>2</v>
      </c>
      <c r="K11" s="3">
        <v>1</v>
      </c>
      <c r="L11" s="3">
        <v>2</v>
      </c>
      <c r="M11" s="3">
        <v>2</v>
      </c>
      <c r="N11" s="3">
        <v>2</v>
      </c>
      <c r="O11" s="3">
        <v>4</v>
      </c>
      <c r="P11" s="3">
        <v>1</v>
      </c>
      <c r="Q11" s="3">
        <v>0</v>
      </c>
      <c r="R11" s="3">
        <v>2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  <c r="AC11" s="3">
        <f>IF(Tabella3[[#This Row],[gol port f]]="","",IF(Tabella3[[#This Row],[gol port f]]=0,1,0))</f>
        <v>0</v>
      </c>
      <c r="AD11" s="3">
        <f>IF(Tabella3[[#This Row],[gol port s]]="","",IF(Tabella3[[#This Row],[gol port s]]=0,1,0))</f>
        <v>0</v>
      </c>
      <c r="AE11" s="3"/>
      <c r="AG11" s="264" t="s">
        <v>625</v>
      </c>
      <c r="AH11" s="3">
        <f t="shared" si="4"/>
        <v>3</v>
      </c>
      <c r="AI11" s="3">
        <f t="shared" ref="AI11:BF11" si="13">RANK(AI27,AI$18:AI$27,1)</f>
        <v>7</v>
      </c>
      <c r="AJ11" s="3">
        <f t="shared" si="13"/>
        <v>3</v>
      </c>
      <c r="AK11" s="3">
        <f t="shared" si="13"/>
        <v>3</v>
      </c>
      <c r="AL11" s="3">
        <f t="shared" si="13"/>
        <v>4</v>
      </c>
      <c r="AM11" s="3">
        <f t="shared" si="13"/>
        <v>3</v>
      </c>
      <c r="AN11" s="3">
        <f t="shared" si="13"/>
        <v>6</v>
      </c>
      <c r="AO11" s="3">
        <f t="shared" si="13"/>
        <v>3</v>
      </c>
      <c r="AP11" s="3">
        <f t="shared" si="13"/>
        <v>4</v>
      </c>
      <c r="AQ11" s="3">
        <f t="shared" si="13"/>
        <v>7</v>
      </c>
      <c r="AR11" s="3">
        <f t="shared" si="13"/>
        <v>8</v>
      </c>
      <c r="AS11" s="3">
        <f t="shared" si="13"/>
        <v>10</v>
      </c>
      <c r="AT11" s="3">
        <f t="shared" si="13"/>
        <v>2</v>
      </c>
      <c r="AU11" s="3">
        <f t="shared" si="13"/>
        <v>1</v>
      </c>
      <c r="AV11" s="3">
        <f t="shared" si="13"/>
        <v>7</v>
      </c>
      <c r="AW11" s="3">
        <f t="shared" si="13"/>
        <v>1</v>
      </c>
      <c r="AX11" s="3">
        <f t="shared" si="13"/>
        <v>1</v>
      </c>
      <c r="AY11" s="3">
        <f t="shared" si="13"/>
        <v>1</v>
      </c>
      <c r="AZ11" s="3">
        <f t="shared" si="13"/>
        <v>1</v>
      </c>
      <c r="BA11" s="3">
        <f t="shared" si="13"/>
        <v>1</v>
      </c>
      <c r="BB11" s="3">
        <f t="shared" si="13"/>
        <v>1</v>
      </c>
      <c r="BC11" s="3">
        <f t="shared" si="13"/>
        <v>1</v>
      </c>
      <c r="BD11" s="3">
        <f t="shared" si="13"/>
        <v>1</v>
      </c>
      <c r="BE11" s="3">
        <f>SUM((Tabella2[[#This Row],[Pt Class ]]*3),AI11:AM11,AO11,AS11,BC11)</f>
        <v>43</v>
      </c>
      <c r="BF11" s="3" t="e">
        <f t="shared" si="13"/>
        <v>#N/A</v>
      </c>
    </row>
    <row r="12" spans="1:58" x14ac:dyDescent="0.3">
      <c r="A12" t="str">
        <f>CONCATENATE(Tabella3[[#This Row],[giornata]],Tabella3[[#This Row],[squadra]])</f>
        <v>2TRICCHETRACHT</v>
      </c>
      <c r="B12" s="3">
        <v>2</v>
      </c>
      <c r="C12" s="3" t="s">
        <v>1018</v>
      </c>
      <c r="D12" s="3">
        <v>66</v>
      </c>
      <c r="E12" s="3">
        <v>4</v>
      </c>
      <c r="F12" s="3">
        <v>2</v>
      </c>
      <c r="G12" s="3">
        <f t="shared" si="0"/>
        <v>72</v>
      </c>
      <c r="H12" s="3">
        <v>3</v>
      </c>
      <c r="I12" s="3">
        <f t="shared" si="1"/>
        <v>2</v>
      </c>
      <c r="J12" s="3">
        <v>0</v>
      </c>
      <c r="K12" s="3">
        <v>2</v>
      </c>
      <c r="L12" s="3">
        <v>1</v>
      </c>
      <c r="M12" s="3">
        <v>3</v>
      </c>
      <c r="N12" s="3">
        <v>3</v>
      </c>
      <c r="O12" s="3">
        <v>0</v>
      </c>
      <c r="P12" s="3">
        <v>2</v>
      </c>
      <c r="Q12" s="3">
        <v>0</v>
      </c>
      <c r="R12" s="3">
        <v>0</v>
      </c>
      <c r="S12" s="3">
        <v>0</v>
      </c>
      <c r="T12" s="3">
        <v>0</v>
      </c>
      <c r="U12" s="3">
        <v>0</v>
      </c>
      <c r="V12" s="3">
        <v>0</v>
      </c>
      <c r="W12" s="3">
        <v>0</v>
      </c>
      <c r="X12" s="3">
        <v>0</v>
      </c>
      <c r="Y12" s="3">
        <v>0</v>
      </c>
      <c r="Z12" s="3">
        <v>0</v>
      </c>
      <c r="AA12" s="3">
        <v>0</v>
      </c>
      <c r="AB12" s="3">
        <v>0</v>
      </c>
      <c r="AC12" s="3">
        <f>IF(Tabella3[[#This Row],[gol port f]]="","",IF(Tabella3[[#This Row],[gol port f]]=0,1,0))</f>
        <v>0</v>
      </c>
      <c r="AD12" s="3">
        <f>IF(Tabella3[[#This Row],[gol port s]]="","",IF(Tabella3[[#This Row],[gol port s]]=0,1,0))</f>
        <v>0</v>
      </c>
      <c r="AE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</row>
    <row r="13" spans="1:58" x14ac:dyDescent="0.3">
      <c r="A13" t="str">
        <f>CONCATENATE(Tabella3[[#This Row],[giornata]],Tabella3[[#This Row],[squadra]])</f>
        <v>2ATL. IMPROVVISATO</v>
      </c>
      <c r="B13" s="3">
        <v>2</v>
      </c>
      <c r="C13" s="3" t="s">
        <v>632</v>
      </c>
      <c r="D13" s="3">
        <v>72</v>
      </c>
      <c r="E13" s="3">
        <v>10</v>
      </c>
      <c r="F13" s="3">
        <v>3</v>
      </c>
      <c r="G13" s="3">
        <f t="shared" si="0"/>
        <v>85</v>
      </c>
      <c r="H13" s="3">
        <v>3</v>
      </c>
      <c r="I13" s="3">
        <f t="shared" si="1"/>
        <v>4</v>
      </c>
      <c r="J13" s="3">
        <v>1</v>
      </c>
      <c r="K13" s="3">
        <v>4</v>
      </c>
      <c r="L13" s="3">
        <v>2</v>
      </c>
      <c r="M13" s="3">
        <v>5</v>
      </c>
      <c r="N13" s="3">
        <v>2</v>
      </c>
      <c r="O13" s="3">
        <v>1</v>
      </c>
      <c r="P13" s="3">
        <v>0</v>
      </c>
      <c r="Q13" s="3">
        <v>0</v>
      </c>
      <c r="R13" s="3">
        <v>1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0</v>
      </c>
      <c r="AC13" s="3">
        <f>IF(Tabella3[[#This Row],[gol port f]]="","",IF(Tabella3[[#This Row],[gol port f]]=0,1,0))</f>
        <v>0</v>
      </c>
      <c r="AD13" s="3">
        <f>IF(Tabella3[[#This Row],[gol port s]]="","",IF(Tabella3[[#This Row],[gol port s]]=0,1,0))</f>
        <v>0</v>
      </c>
      <c r="AE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</row>
    <row r="14" spans="1:58" x14ac:dyDescent="0.3">
      <c r="A14" t="str">
        <f>CONCATENATE(Tabella3[[#This Row],[giornata]],Tabella3[[#This Row],[squadra]])</f>
        <v>2PARTIZAN DEGRADO</v>
      </c>
      <c r="B14" s="3">
        <v>2</v>
      </c>
      <c r="C14" s="3" t="s">
        <v>477</v>
      </c>
      <c r="D14" s="3">
        <v>68.5</v>
      </c>
      <c r="E14" s="3">
        <v>1.5</v>
      </c>
      <c r="F14" s="3">
        <v>2</v>
      </c>
      <c r="G14" s="3">
        <f t="shared" si="0"/>
        <v>72</v>
      </c>
      <c r="H14" s="3">
        <v>3</v>
      </c>
      <c r="I14" s="3">
        <f t="shared" si="1"/>
        <v>2</v>
      </c>
      <c r="J14" s="3">
        <v>0</v>
      </c>
      <c r="K14" s="3">
        <v>2</v>
      </c>
      <c r="L14" s="3">
        <v>0</v>
      </c>
      <c r="M14" s="3">
        <v>2</v>
      </c>
      <c r="N14" s="3">
        <v>2</v>
      </c>
      <c r="O14" s="3">
        <v>1</v>
      </c>
      <c r="P14" s="3">
        <v>1</v>
      </c>
      <c r="Q14" s="3">
        <v>1</v>
      </c>
      <c r="R14" s="3">
        <v>1</v>
      </c>
      <c r="S14" s="3">
        <v>0</v>
      </c>
      <c r="T14" s="3">
        <v>0</v>
      </c>
      <c r="U14" s="3">
        <v>0</v>
      </c>
      <c r="V14" s="3">
        <v>0</v>
      </c>
      <c r="W14" s="3">
        <v>0</v>
      </c>
      <c r="X14" s="3">
        <v>0</v>
      </c>
      <c r="Y14" s="3">
        <v>1</v>
      </c>
      <c r="Z14" s="3">
        <v>0</v>
      </c>
      <c r="AA14" s="3">
        <v>0</v>
      </c>
      <c r="AB14" s="3">
        <v>0</v>
      </c>
      <c r="AC14" s="3">
        <f>IF(Tabella3[[#This Row],[gol port f]]="","",IF(Tabella3[[#This Row],[gol port f]]=0,1,0))</f>
        <v>0</v>
      </c>
      <c r="AD14" s="3">
        <f>IF(Tabella3[[#This Row],[gol port s]]="","",IF(Tabella3[[#This Row],[gol port s]]=0,1,0))</f>
        <v>0</v>
      </c>
      <c r="AE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</row>
    <row r="15" spans="1:58" x14ac:dyDescent="0.3">
      <c r="A15" t="str">
        <f>CONCATENATE(Tabella3[[#This Row],[giornata]],Tabella3[[#This Row],[squadra]])</f>
        <v>2SESTO ASENSIO</v>
      </c>
      <c r="B15" s="3">
        <v>2</v>
      </c>
      <c r="C15" s="3" t="s">
        <v>628</v>
      </c>
      <c r="D15" s="3">
        <v>64</v>
      </c>
      <c r="E15" s="3">
        <v>-1.5</v>
      </c>
      <c r="F15" s="3">
        <v>0</v>
      </c>
      <c r="G15" s="3">
        <f t="shared" si="0"/>
        <v>62.5</v>
      </c>
      <c r="H15" s="3">
        <v>0</v>
      </c>
      <c r="I15" s="3">
        <f t="shared" si="1"/>
        <v>0</v>
      </c>
      <c r="J15" s="3">
        <v>2</v>
      </c>
      <c r="K15" s="3">
        <v>0</v>
      </c>
      <c r="L15" s="3">
        <v>2</v>
      </c>
      <c r="M15" s="3">
        <v>2</v>
      </c>
      <c r="N15" s="3">
        <v>2</v>
      </c>
      <c r="O15" s="3">
        <v>1</v>
      </c>
      <c r="P15" s="3">
        <v>1</v>
      </c>
      <c r="Q15" s="3">
        <v>1</v>
      </c>
      <c r="R15" s="3">
        <v>1</v>
      </c>
      <c r="S15" s="3">
        <v>0</v>
      </c>
      <c r="T15" s="3">
        <v>0</v>
      </c>
      <c r="U15" s="3">
        <v>0</v>
      </c>
      <c r="V15" s="3">
        <v>0</v>
      </c>
      <c r="W15" s="3">
        <v>0</v>
      </c>
      <c r="X15" s="3">
        <v>0</v>
      </c>
      <c r="Y15" s="3">
        <v>0</v>
      </c>
      <c r="Z15" s="3">
        <v>1</v>
      </c>
      <c r="AA15" s="3">
        <v>0</v>
      </c>
      <c r="AB15" s="3">
        <v>0</v>
      </c>
      <c r="AC15" s="3">
        <f>IF(Tabella3[[#This Row],[gol port f]]="","",IF(Tabella3[[#This Row],[gol port f]]=0,1,0))</f>
        <v>0</v>
      </c>
      <c r="AD15" s="3">
        <f>IF(Tabella3[[#This Row],[gol port s]]="","",IF(Tabella3[[#This Row],[gol port s]]=0,1,0))</f>
        <v>0</v>
      </c>
      <c r="AE15" s="3"/>
    </row>
    <row r="16" spans="1:58" ht="16.8" customHeight="1" x14ac:dyDescent="0.3">
      <c r="A16" t="str">
        <f>CONCATENATE(Tabella3[[#This Row],[giornata]],Tabella3[[#This Row],[squadra]])</f>
        <v>2FC INTERNAZIOANALE</v>
      </c>
      <c r="B16" s="3">
        <v>2</v>
      </c>
      <c r="C16" s="3" t="s">
        <v>625</v>
      </c>
      <c r="D16" s="3">
        <v>63</v>
      </c>
      <c r="E16" s="3">
        <v>2</v>
      </c>
      <c r="F16" s="3">
        <v>0</v>
      </c>
      <c r="G16" s="3">
        <f t="shared" si="0"/>
        <v>65</v>
      </c>
      <c r="H16" s="3">
        <v>0</v>
      </c>
      <c r="I16" s="3">
        <f t="shared" si="1"/>
        <v>0</v>
      </c>
      <c r="J16" s="3">
        <v>2</v>
      </c>
      <c r="K16" s="3">
        <v>1</v>
      </c>
      <c r="L16" s="3">
        <v>2</v>
      </c>
      <c r="M16" s="3">
        <v>3</v>
      </c>
      <c r="N16" s="3">
        <v>3</v>
      </c>
      <c r="O16" s="3">
        <v>2</v>
      </c>
      <c r="P16" s="3">
        <v>0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>
        <v>0</v>
      </c>
      <c r="X16" s="3">
        <v>1</v>
      </c>
      <c r="Y16" s="3">
        <v>0</v>
      </c>
      <c r="Z16" s="3">
        <v>0</v>
      </c>
      <c r="AA16" s="3">
        <v>0</v>
      </c>
      <c r="AB16" s="3">
        <v>0</v>
      </c>
      <c r="AC16" s="3">
        <f>IF(Tabella3[[#This Row],[gol port f]]="","",IF(Tabella3[[#This Row],[gol port f]]=0,1,0))</f>
        <v>0</v>
      </c>
      <c r="AD16" s="3">
        <f>IF(Tabella3[[#This Row],[gol port s]]="","",IF(Tabella3[[#This Row],[gol port s]]=0,1,0))</f>
        <v>0</v>
      </c>
      <c r="AE16" s="3"/>
      <c r="AH16" s="421" t="s">
        <v>72</v>
      </c>
      <c r="AI16" s="420" t="s">
        <v>73</v>
      </c>
      <c r="AJ16" s="398" t="s">
        <v>1071</v>
      </c>
      <c r="AK16" s="420" t="s">
        <v>74</v>
      </c>
      <c r="AL16" s="420" t="s">
        <v>75</v>
      </c>
      <c r="AM16" s="420" t="s">
        <v>96</v>
      </c>
      <c r="AN16" s="419" t="s">
        <v>97</v>
      </c>
      <c r="AO16" s="420" t="s">
        <v>78</v>
      </c>
      <c r="AP16" s="419" t="s">
        <v>79</v>
      </c>
      <c r="AQ16" s="420" t="s">
        <v>80</v>
      </c>
      <c r="AR16" s="419" t="s">
        <v>81</v>
      </c>
      <c r="AS16" s="414" t="s">
        <v>82</v>
      </c>
      <c r="AT16" s="413" t="s">
        <v>83</v>
      </c>
      <c r="AU16" s="413" t="s">
        <v>84</v>
      </c>
      <c r="AV16" s="414" t="s">
        <v>85</v>
      </c>
      <c r="AW16" s="413" t="s">
        <v>86</v>
      </c>
      <c r="AX16" s="414" t="s">
        <v>87</v>
      </c>
      <c r="AY16" s="413" t="s">
        <v>88</v>
      </c>
      <c r="AZ16" s="414" t="s">
        <v>89</v>
      </c>
      <c r="BA16" s="413" t="s">
        <v>90</v>
      </c>
      <c r="BB16" s="414" t="s">
        <v>91</v>
      </c>
      <c r="BC16" s="414" t="s">
        <v>70</v>
      </c>
      <c r="BD16" s="413" t="s">
        <v>71</v>
      </c>
    </row>
    <row r="17" spans="1:57" x14ac:dyDescent="0.3">
      <c r="A17" t="str">
        <f>CONCATENATE(Tabella3[[#This Row],[giornata]],Tabella3[[#This Row],[squadra]])</f>
        <v>2AC ASPARAGHESE</v>
      </c>
      <c r="B17" s="3">
        <v>2</v>
      </c>
      <c r="C17" s="3" t="s">
        <v>629</v>
      </c>
      <c r="D17" s="3">
        <v>70</v>
      </c>
      <c r="E17" s="3">
        <v>15</v>
      </c>
      <c r="F17" s="3">
        <v>0</v>
      </c>
      <c r="G17" s="3">
        <f t="shared" si="0"/>
        <v>85</v>
      </c>
      <c r="H17" s="3">
        <v>3</v>
      </c>
      <c r="I17" s="3">
        <f t="shared" si="1"/>
        <v>4</v>
      </c>
      <c r="J17" s="3">
        <v>2</v>
      </c>
      <c r="K17" s="3">
        <v>6</v>
      </c>
      <c r="L17" s="3">
        <v>3</v>
      </c>
      <c r="M17" s="3">
        <v>3</v>
      </c>
      <c r="N17" s="3">
        <v>4</v>
      </c>
      <c r="O17" s="3">
        <v>0</v>
      </c>
      <c r="P17" s="3">
        <v>0</v>
      </c>
      <c r="Q17" s="3">
        <v>0</v>
      </c>
      <c r="R17" s="3">
        <v>0</v>
      </c>
      <c r="S17" s="3">
        <v>1</v>
      </c>
      <c r="T17" s="3">
        <v>0</v>
      </c>
      <c r="U17" s="3">
        <v>0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3">
        <v>0</v>
      </c>
      <c r="AC17" s="3">
        <f>IF(Tabella3[[#This Row],[gol port f]]="","",IF(Tabella3[[#This Row],[gol port f]]=0,1,0))</f>
        <v>0</v>
      </c>
      <c r="AD17" s="3">
        <f>IF(Tabella3[[#This Row],[gol port s]]="","",IF(Tabella3[[#This Row],[gol port s]]=0,1,0))</f>
        <v>0</v>
      </c>
      <c r="AE17" s="3"/>
      <c r="AH17" s="421"/>
      <c r="AI17" s="420"/>
      <c r="AJ17" s="398"/>
      <c r="AK17" s="420"/>
      <c r="AL17" s="420"/>
      <c r="AM17" s="420"/>
      <c r="AN17" s="419"/>
      <c r="AO17" s="420"/>
      <c r="AP17" s="419"/>
      <c r="AQ17" s="420"/>
      <c r="AR17" s="419"/>
      <c r="AS17" s="414"/>
      <c r="AT17" s="413"/>
      <c r="AU17" s="413"/>
      <c r="AV17" s="414"/>
      <c r="AW17" s="413"/>
      <c r="AX17" s="414"/>
      <c r="AY17" s="413"/>
      <c r="AZ17" s="414"/>
      <c r="BA17" s="413"/>
      <c r="BB17" s="414"/>
      <c r="BC17" s="414"/>
      <c r="BD17" s="413"/>
    </row>
    <row r="18" spans="1:57" x14ac:dyDescent="0.3">
      <c r="A18" t="str">
        <f>CONCATENATE(Tabella3[[#This Row],[giornata]],Tabella3[[#This Row],[squadra]])</f>
        <v>2AS PIPPERIA</v>
      </c>
      <c r="B18" s="3">
        <v>2</v>
      </c>
      <c r="C18" s="3" t="s">
        <v>626</v>
      </c>
      <c r="D18" s="3">
        <v>63</v>
      </c>
      <c r="E18" s="3">
        <v>0.5</v>
      </c>
      <c r="F18" s="3">
        <v>0</v>
      </c>
      <c r="G18" s="3">
        <f t="shared" si="0"/>
        <v>63.5</v>
      </c>
      <c r="H18" s="3">
        <v>0</v>
      </c>
      <c r="I18" s="3">
        <f t="shared" si="1"/>
        <v>0</v>
      </c>
      <c r="J18" s="3">
        <v>1</v>
      </c>
      <c r="K18" s="3">
        <v>0</v>
      </c>
      <c r="L18" s="3">
        <v>0</v>
      </c>
      <c r="M18" s="3">
        <v>1</v>
      </c>
      <c r="N18" s="3">
        <v>0</v>
      </c>
      <c r="O18" s="3">
        <v>2</v>
      </c>
      <c r="P18" s="3">
        <v>2</v>
      </c>
      <c r="Q18" s="3">
        <v>1</v>
      </c>
      <c r="R18" s="3">
        <v>1</v>
      </c>
      <c r="S18" s="3">
        <v>0</v>
      </c>
      <c r="T18" s="3">
        <v>0</v>
      </c>
      <c r="U18" s="3">
        <v>0</v>
      </c>
      <c r="V18" s="3">
        <v>0</v>
      </c>
      <c r="W18" s="3">
        <v>0</v>
      </c>
      <c r="X18" s="3">
        <v>1</v>
      </c>
      <c r="Y18" s="3">
        <v>0</v>
      </c>
      <c r="Z18" s="3">
        <v>0</v>
      </c>
      <c r="AA18" s="3">
        <v>0</v>
      </c>
      <c r="AB18" s="3">
        <v>0</v>
      </c>
      <c r="AC18" s="3">
        <f>IF(Tabella3[[#This Row],[gol port f]]="","",IF(Tabella3[[#This Row],[gol port f]]=0,1,0))</f>
        <v>0</v>
      </c>
      <c r="AD18" s="3">
        <f>IF(Tabella3[[#This Row],[gol port s]]="","",IF(Tabella3[[#This Row],[gol port s]]=0,1,0))</f>
        <v>1</v>
      </c>
      <c r="AE18" s="3"/>
      <c r="AG18" s="3" t="s">
        <v>1018</v>
      </c>
      <c r="AH18" s="3">
        <f>SUMIF($C$2:$C$211,$AG18,Tabella3[pt base])</f>
        <v>137.5</v>
      </c>
      <c r="AI18" s="3">
        <f>SUMIF($C$2:$C$211,$AG18,Tabella3[mod dif])</f>
        <v>4</v>
      </c>
      <c r="AJ18" s="3">
        <f>SUMIF($C$2:$C$211,$AG18,Tabella3[bonus])</f>
        <v>16.5</v>
      </c>
      <c r="AK18" s="202">
        <f>SUMIF($C$2:$C$211,$AG18,Tabella3[Pt Tot])</f>
        <v>158</v>
      </c>
      <c r="AL18" s="3">
        <f>SUMIF($C$2:$C$211,$AG18,Tabella3[pt class])</f>
        <v>6</v>
      </c>
      <c r="AM18" s="3">
        <f>SUMIF($C$2:$C$211,$AG18,Tabella3[gol pt  f])</f>
        <v>6</v>
      </c>
      <c r="AN18" s="3">
        <f>SUMIF($C$2:$C$211,$AG18,Tabella3[gol pt s])</f>
        <v>1</v>
      </c>
      <c r="AO18" s="3">
        <f>SUMIF($C$2:$C$211,$AG18,Tabella3[[gol f ]])</f>
        <v>6</v>
      </c>
      <c r="AP18" s="3">
        <f>SUMIF($C$2:$C$211,$AG18,Tabella3[gol s])</f>
        <v>2</v>
      </c>
      <c r="AQ18" s="3">
        <f>SUMIF($C$2:$C$211,$AG18,Tabella3[gol port f])</f>
        <v>5</v>
      </c>
      <c r="AR18" s="3">
        <f>SUMIF($C$2:$C$211,$AG18,Tabella3[gol port s])</f>
        <v>4</v>
      </c>
      <c r="AS18" s="3">
        <f>SUMIF($C$2:$C$211,$AG18,Tabella3[assist f])</f>
        <v>1</v>
      </c>
      <c r="AT18" s="3">
        <f>SUMIF($C$2:$C$211,$AG18,Tabella3[assist s])</f>
        <v>3</v>
      </c>
      <c r="AU18" s="3">
        <f>SUMIF($C$2:$C$211,$AG18,Tabella3[amm f])</f>
        <v>1</v>
      </c>
      <c r="AV18" s="3">
        <f>SUMIF($C$2:$C$211,$AG18,Tabella3[amm s])</f>
        <v>0</v>
      </c>
      <c r="AW18" s="3">
        <f>SUMIF($C$2:$C$211,$AG18,Tabella3[esp f])</f>
        <v>0</v>
      </c>
      <c r="AX18" s="3">
        <f>SUMIF($C$2:$C$211,$AG18,Tabella3[esp s])</f>
        <v>0</v>
      </c>
      <c r="AY18" s="3">
        <f>SUMIF($C$2:$C$211,$AG18,Tabella3[auto f])</f>
        <v>0</v>
      </c>
      <c r="AZ18" s="3">
        <f>SUMIF($C$2:$C$211,$AG18,Tabella3[auto s])</f>
        <v>0</v>
      </c>
      <c r="BA18" s="3">
        <f>SUMIF($C$2:$C$211,$AG18,Tabella3[rig sb f])</f>
        <v>0</v>
      </c>
      <c r="BB18" s="3">
        <f>SUMIF($C$2:$C$211,$AG18,Tabella3[rig sb s])</f>
        <v>0</v>
      </c>
      <c r="BC18" s="3">
        <f>SUMIF($C$2:$C$211,$AG18,Tabella3[Cln Sht F])</f>
        <v>0</v>
      </c>
      <c r="BD18" s="3">
        <f>SUMIF($C$2:$C$211,$AG18,Tabella3[Cln Sht S])</f>
        <v>0</v>
      </c>
      <c r="BE18">
        <v>77</v>
      </c>
    </row>
    <row r="19" spans="1:57" x14ac:dyDescent="0.3">
      <c r="A19" t="str">
        <f>CONCATENATE(Tabella3[[#This Row],[giornata]],Tabella3[[#This Row],[squadra]])</f>
        <v>2SAN GRIA</v>
      </c>
      <c r="B19" s="3">
        <v>2</v>
      </c>
      <c r="C19" s="3" t="s">
        <v>603</v>
      </c>
      <c r="D19" s="3">
        <v>65.5</v>
      </c>
      <c r="E19" s="3">
        <v>2.5</v>
      </c>
      <c r="F19" s="3">
        <v>0</v>
      </c>
      <c r="G19" s="3">
        <f t="shared" si="0"/>
        <v>68</v>
      </c>
      <c r="H19" s="3">
        <v>3</v>
      </c>
      <c r="I19" s="3">
        <f t="shared" si="1"/>
        <v>1</v>
      </c>
      <c r="J19" s="3">
        <v>0</v>
      </c>
      <c r="K19" s="3">
        <v>0</v>
      </c>
      <c r="L19" s="3">
        <v>0</v>
      </c>
      <c r="M19" s="3">
        <v>0</v>
      </c>
      <c r="N19" s="3">
        <v>1</v>
      </c>
      <c r="O19" s="3">
        <v>2</v>
      </c>
      <c r="P19" s="3">
        <v>2</v>
      </c>
      <c r="Q19" s="3">
        <v>1</v>
      </c>
      <c r="R19" s="3">
        <v>1</v>
      </c>
      <c r="S19" s="3">
        <v>0</v>
      </c>
      <c r="T19" s="3">
        <v>0</v>
      </c>
      <c r="U19" s="3">
        <v>0</v>
      </c>
      <c r="V19" s="3">
        <v>0</v>
      </c>
      <c r="W19" s="3">
        <v>0</v>
      </c>
      <c r="X19" s="3">
        <v>1</v>
      </c>
      <c r="Y19" s="3">
        <v>0</v>
      </c>
      <c r="Z19" s="3">
        <v>0</v>
      </c>
      <c r="AA19" s="3">
        <v>0</v>
      </c>
      <c r="AB19" s="3">
        <v>0</v>
      </c>
      <c r="AC19" s="3">
        <f>IF(Tabella3[[#This Row],[gol port f]]="","",IF(Tabella3[[#This Row],[gol port f]]=0,1,0))</f>
        <v>1</v>
      </c>
      <c r="AD19" s="3">
        <f>IF(Tabella3[[#This Row],[gol port s]]="","",IF(Tabella3[[#This Row],[gol port s]]=0,1,0))</f>
        <v>0</v>
      </c>
      <c r="AE19" s="3"/>
      <c r="AG19" s="201" t="s">
        <v>632</v>
      </c>
      <c r="AH19" s="3">
        <f>SUMIF($C$2:$C$211,$AG19,Tabella3[pt base])</f>
        <v>140.5</v>
      </c>
      <c r="AI19" s="3">
        <f>SUMIF($C$2:$C$211,$AG19,Tabella3[mod dif])</f>
        <v>3</v>
      </c>
      <c r="AJ19" s="3">
        <f>SUMIF($C$2:$C$211,$AG19,Tabella3[bonus])</f>
        <v>12</v>
      </c>
      <c r="AK19" s="202">
        <f>SUMIF($C$2:$C$211,$AG19,Tabella3[Pt Tot])</f>
        <v>155.5</v>
      </c>
      <c r="AL19" s="3">
        <f>SUMIF($C$2:$C$211,$AG19,Tabella3[pt class])</f>
        <v>3</v>
      </c>
      <c r="AM19" s="3">
        <f>SUMIF($C$2:$C$211,$AG19,Tabella3[gol pt  f])</f>
        <v>5</v>
      </c>
      <c r="AN19" s="3">
        <f>SUMIF($C$2:$C$211,$AG19,Tabella3[gol pt s])</f>
        <v>5</v>
      </c>
      <c r="AO19" s="3">
        <f>SUMIF($C$2:$C$211,$AG19,Tabella3[[gol f ]])</f>
        <v>5</v>
      </c>
      <c r="AP19" s="3">
        <f>SUMIF($C$2:$C$211,$AG19,Tabella3[gol s])</f>
        <v>4</v>
      </c>
      <c r="AQ19" s="3">
        <f>SUMIF($C$2:$C$211,$AG19,Tabella3[gol port f])</f>
        <v>7</v>
      </c>
      <c r="AR19" s="3">
        <f>SUMIF($C$2:$C$211,$AG19,Tabella3[gol port s])</f>
        <v>3</v>
      </c>
      <c r="AS19" s="3">
        <f>SUMIF($C$2:$C$211,$AG19,Tabella3[assist f])</f>
        <v>1</v>
      </c>
      <c r="AT19" s="3">
        <f>SUMIF($C$2:$C$211,$AG19,Tabella3[assist s])</f>
        <v>1</v>
      </c>
      <c r="AU19" s="3">
        <f>SUMIF($C$2:$C$211,$AG19,Tabella3[amm f])</f>
        <v>0</v>
      </c>
      <c r="AV19" s="3">
        <f>SUMIF($C$2:$C$211,$AG19,Tabella3[amm s])</f>
        <v>1</v>
      </c>
      <c r="AW19" s="3">
        <f>SUMIF($C$2:$C$211,$AG19,Tabella3[esp f])</f>
        <v>0</v>
      </c>
      <c r="AX19" s="3">
        <f>SUMIF($C$2:$C$211,$AG19,Tabella3[esp s])</f>
        <v>0</v>
      </c>
      <c r="AY19" s="3">
        <f>SUMIF($C$2:$C$211,$AG19,Tabella3[auto f])</f>
        <v>0</v>
      </c>
      <c r="AZ19" s="3">
        <f>SUMIF($C$2:$C$211,$AG19,Tabella3[auto s])</f>
        <v>0</v>
      </c>
      <c r="BA19" s="3">
        <f>SUMIF($C$2:$C$211,$AG19,Tabella3[rig sb f])</f>
        <v>0</v>
      </c>
      <c r="BB19" s="3">
        <f>SUMIF($C$2:$C$211,$AG19,Tabella3[rig sb s])</f>
        <v>0</v>
      </c>
      <c r="BC19" s="3">
        <f>SUMIF($C$2:$C$211,$AG19,Tabella3[Cln Sht F])</f>
        <v>0</v>
      </c>
      <c r="BD19" s="3">
        <f>SUMIF($C$2:$C$211,$AG19,Tabella3[Cln Sht S])</f>
        <v>0</v>
      </c>
      <c r="BE19">
        <v>64</v>
      </c>
    </row>
    <row r="20" spans="1:57" x14ac:dyDescent="0.3">
      <c r="A20" t="str">
        <f>CONCATENATE(Tabella3[[#This Row],[giornata]],Tabella3[[#This Row],[squadra]])</f>
        <v>2SHARK</v>
      </c>
      <c r="B20" s="3">
        <v>2</v>
      </c>
      <c r="C20" s="3" t="s">
        <v>627</v>
      </c>
      <c r="D20" s="3">
        <v>69</v>
      </c>
      <c r="E20" s="3">
        <v>7</v>
      </c>
      <c r="F20" s="3">
        <v>0</v>
      </c>
      <c r="G20" s="3">
        <f t="shared" si="0"/>
        <v>76</v>
      </c>
      <c r="H20" s="3">
        <v>0</v>
      </c>
      <c r="I20" s="3">
        <f t="shared" si="1"/>
        <v>2</v>
      </c>
      <c r="J20" s="3">
        <v>3</v>
      </c>
      <c r="K20" s="3">
        <v>3</v>
      </c>
      <c r="L20" s="3">
        <v>6</v>
      </c>
      <c r="M20" s="3">
        <v>4</v>
      </c>
      <c r="N20" s="3">
        <v>3</v>
      </c>
      <c r="O20" s="3">
        <v>0</v>
      </c>
      <c r="P20" s="3">
        <v>0</v>
      </c>
      <c r="Q20" s="3">
        <v>0</v>
      </c>
      <c r="R20" s="3">
        <v>0</v>
      </c>
      <c r="S20" s="3">
        <v>0</v>
      </c>
      <c r="T20" s="3">
        <v>1</v>
      </c>
      <c r="U20" s="3">
        <v>0</v>
      </c>
      <c r="V20" s="3">
        <v>0</v>
      </c>
      <c r="W20" s="3">
        <v>0</v>
      </c>
      <c r="X20" s="3">
        <v>0</v>
      </c>
      <c r="Y20" s="3">
        <v>0</v>
      </c>
      <c r="Z20" s="3">
        <v>0</v>
      </c>
      <c r="AA20" s="3">
        <v>0</v>
      </c>
      <c r="AB20" s="3">
        <v>0</v>
      </c>
      <c r="AC20" s="3">
        <f>IF(Tabella3[[#This Row],[gol port f]]="","",IF(Tabella3[[#This Row],[gol port f]]=0,1,0))</f>
        <v>0</v>
      </c>
      <c r="AD20" s="3">
        <f>IF(Tabella3[[#This Row],[gol port s]]="","",IF(Tabella3[[#This Row],[gol port s]]=0,1,0))</f>
        <v>0</v>
      </c>
      <c r="AE20" s="3"/>
      <c r="AG20" s="3" t="s">
        <v>477</v>
      </c>
      <c r="AH20" s="3">
        <f>SUMIF($C$2:$C$211,$AG20,Tabella3[pt base])</f>
        <v>141.5</v>
      </c>
      <c r="AI20" s="3">
        <f>SUMIF($C$2:$C$211,$AG20,Tabella3[mod dif])</f>
        <v>6</v>
      </c>
      <c r="AJ20" s="3">
        <f>SUMIF($C$2:$C$211,$AG20,Tabella3[bonus])</f>
        <v>8.5</v>
      </c>
      <c r="AK20" s="202">
        <f>SUMIF($C$2:$C$211,$AG20,Tabella3[Pt Tot])</f>
        <v>156</v>
      </c>
      <c r="AL20" s="3">
        <f>SUMIF($C$2:$C$211,$AG20,Tabella3[pt class])</f>
        <v>6</v>
      </c>
      <c r="AM20" s="3">
        <f>SUMIF($C$2:$C$211,$AG20,Tabella3[gol pt  f])</f>
        <v>6</v>
      </c>
      <c r="AN20" s="3">
        <f>SUMIF($C$2:$C$211,$AG20,Tabella3[gol pt s])</f>
        <v>1</v>
      </c>
      <c r="AO20" s="3">
        <f>SUMIF($C$2:$C$211,$AG20,Tabella3[[gol f ]])</f>
        <v>4</v>
      </c>
      <c r="AP20" s="3">
        <f>SUMIF($C$2:$C$211,$AG20,Tabella3[gol s])</f>
        <v>1</v>
      </c>
      <c r="AQ20" s="3">
        <f>SUMIF($C$2:$C$211,$AG20,Tabella3[gol port f])</f>
        <v>3</v>
      </c>
      <c r="AR20" s="3">
        <f>SUMIF($C$2:$C$211,$AG20,Tabella3[gol port s])</f>
        <v>4</v>
      </c>
      <c r="AS20" s="3">
        <f>SUMIF($C$2:$C$211,$AG20,Tabella3[assist f])</f>
        <v>2</v>
      </c>
      <c r="AT20" s="3">
        <f>SUMIF($C$2:$C$211,$AG20,Tabella3[assist s])</f>
        <v>1</v>
      </c>
      <c r="AU20" s="3">
        <f>SUMIF($C$2:$C$211,$AG20,Tabella3[amm f])</f>
        <v>1</v>
      </c>
      <c r="AV20" s="3">
        <f>SUMIF($C$2:$C$211,$AG20,Tabella3[amm s])</f>
        <v>1</v>
      </c>
      <c r="AW20" s="3">
        <f>SUMIF($C$2:$C$211,$AG20,Tabella3[esp f])</f>
        <v>0</v>
      </c>
      <c r="AX20" s="3">
        <f>SUMIF($C$2:$C$211,$AG20,Tabella3[esp s])</f>
        <v>0</v>
      </c>
      <c r="AY20" s="3">
        <f>SUMIF($C$2:$C$211,$AG20,Tabella3[auto f])</f>
        <v>0</v>
      </c>
      <c r="AZ20" s="3">
        <f>SUMIF($C$2:$C$211,$AG20,Tabella3[auto s])</f>
        <v>0</v>
      </c>
      <c r="BA20" s="3">
        <f>SUMIF($C$2:$C$211,$AG20,Tabella3[rig sb f])</f>
        <v>1</v>
      </c>
      <c r="BB20" s="3">
        <f>SUMIF($C$2:$C$211,$AG20,Tabella3[rig sb s])</f>
        <v>0</v>
      </c>
      <c r="BC20" s="3">
        <f>SUMIF($C$2:$C$211,$AG20,Tabella3[Cln Sht F])</f>
        <v>0</v>
      </c>
      <c r="BD20" s="3">
        <f>SUMIF($C$2:$C$211,$AG20,Tabella3[Cln Sht S])</f>
        <v>0</v>
      </c>
      <c r="BE20">
        <v>79</v>
      </c>
    </row>
    <row r="21" spans="1:57" x14ac:dyDescent="0.3">
      <c r="A21" t="str">
        <f>CONCATENATE(Tabella3[[#This Row],[giornata]],Tabella3[[#This Row],[squadra]])</f>
        <v>2PESCICULINI</v>
      </c>
      <c r="B21" s="3">
        <v>2</v>
      </c>
      <c r="C21" s="3" t="s">
        <v>630</v>
      </c>
      <c r="D21" s="3">
        <v>68</v>
      </c>
      <c r="E21" s="3">
        <v>3.5</v>
      </c>
      <c r="F21" s="3">
        <v>0</v>
      </c>
      <c r="G21" s="3">
        <f t="shared" si="0"/>
        <v>71.5</v>
      </c>
      <c r="H21" s="3">
        <v>0</v>
      </c>
      <c r="I21" s="3">
        <f t="shared" si="1"/>
        <v>1</v>
      </c>
      <c r="J21" s="3">
        <v>4</v>
      </c>
      <c r="K21" s="3">
        <v>2</v>
      </c>
      <c r="L21" s="3">
        <v>4</v>
      </c>
      <c r="M21" s="3">
        <v>2</v>
      </c>
      <c r="N21" s="3">
        <v>5</v>
      </c>
      <c r="O21" s="3">
        <v>0</v>
      </c>
      <c r="P21" s="3">
        <v>1</v>
      </c>
      <c r="Q21" s="3">
        <v>1</v>
      </c>
      <c r="R21" s="3">
        <v>0</v>
      </c>
      <c r="S21" s="3">
        <v>0</v>
      </c>
      <c r="T21" s="3">
        <v>0</v>
      </c>
      <c r="U21" s="3">
        <v>0</v>
      </c>
      <c r="V21" s="3">
        <v>0</v>
      </c>
      <c r="W21" s="3">
        <v>1</v>
      </c>
      <c r="X21" s="3">
        <v>0</v>
      </c>
      <c r="Y21" s="3">
        <v>0</v>
      </c>
      <c r="Z21" s="3">
        <v>0</v>
      </c>
      <c r="AA21" s="3">
        <v>0</v>
      </c>
      <c r="AB21" s="3">
        <v>0</v>
      </c>
      <c r="AC21" s="3">
        <f>IF(Tabella3[[#This Row],[gol port f]]="","",IF(Tabella3[[#This Row],[gol port f]]=0,1,0))</f>
        <v>0</v>
      </c>
      <c r="AD21" s="3">
        <f>IF(Tabella3[[#This Row],[gol port s]]="","",IF(Tabella3[[#This Row],[gol port s]]=0,1,0))</f>
        <v>0</v>
      </c>
      <c r="AE21" s="3"/>
      <c r="AG21" s="3" t="s">
        <v>628</v>
      </c>
      <c r="AH21" s="3">
        <f>SUMIF($C$2:$C$211,$AG21,Tabella3[pt base])</f>
        <v>135</v>
      </c>
      <c r="AI21" s="3">
        <f>SUMIF($C$2:$C$211,$AG21,Tabella3[mod dif])</f>
        <v>0</v>
      </c>
      <c r="AJ21" s="3">
        <f>SUMIF($C$2:$C$211,$AG21,Tabella3[bonus])</f>
        <v>8</v>
      </c>
      <c r="AK21" s="202">
        <f>SUMIF($C$2:$C$211,$AG21,Tabella3[Pt Tot])</f>
        <v>143</v>
      </c>
      <c r="AL21" s="3">
        <f>SUMIF($C$2:$C$211,$AG21,Tabella3[pt class])</f>
        <v>3</v>
      </c>
      <c r="AM21" s="3">
        <f>SUMIF($C$2:$C$211,$AG21,Tabella3[gol pt  f])</f>
        <v>3</v>
      </c>
      <c r="AN21" s="3">
        <f>SUMIF($C$2:$C$211,$AG21,Tabella3[gol pt s])</f>
        <v>3</v>
      </c>
      <c r="AO21" s="3">
        <f>SUMIF($C$2:$C$211,$AG21,Tabella3[[gol f ]])</f>
        <v>4</v>
      </c>
      <c r="AP21" s="3">
        <f>SUMIF($C$2:$C$211,$AG21,Tabella3[gol s])</f>
        <v>4</v>
      </c>
      <c r="AQ21" s="3">
        <f>SUMIF($C$2:$C$211,$AG21,Tabella3[gol port f])</f>
        <v>3</v>
      </c>
      <c r="AR21" s="3">
        <f>SUMIF($C$2:$C$211,$AG21,Tabella3[gol port s])</f>
        <v>4</v>
      </c>
      <c r="AS21" s="3">
        <f>SUMIF($C$2:$C$211,$AG21,Tabella3[assist f])</f>
        <v>1</v>
      </c>
      <c r="AT21" s="3">
        <f>SUMIF($C$2:$C$211,$AG21,Tabella3[assist s])</f>
        <v>2</v>
      </c>
      <c r="AU21" s="3">
        <f>SUMIF($C$2:$C$211,$AG21,Tabella3[amm f])</f>
        <v>4</v>
      </c>
      <c r="AV21" s="3">
        <f>SUMIF($C$2:$C$211,$AG21,Tabella3[amm s])</f>
        <v>4</v>
      </c>
      <c r="AW21" s="3">
        <f>SUMIF($C$2:$C$211,$AG21,Tabella3[esp f])</f>
        <v>0</v>
      </c>
      <c r="AX21" s="3">
        <f>SUMIF($C$2:$C$211,$AG21,Tabella3[esp s])</f>
        <v>0</v>
      </c>
      <c r="AY21" s="3">
        <f>SUMIF($C$2:$C$211,$AG21,Tabella3[auto f])</f>
        <v>0</v>
      </c>
      <c r="AZ21" s="3">
        <f>SUMIF($C$2:$C$211,$AG21,Tabella3[auto s])</f>
        <v>0</v>
      </c>
      <c r="BA21" s="3">
        <f>SUMIF($C$2:$C$211,$AG21,Tabella3[rig sb f])</f>
        <v>0</v>
      </c>
      <c r="BB21" s="3">
        <f>SUMIF($C$2:$C$211,$AG21,Tabella3[rig sb s])</f>
        <v>1</v>
      </c>
      <c r="BC21" s="3">
        <f>SUMIF($C$2:$C$211,$AG21,Tabella3[Cln Sht F])</f>
        <v>0</v>
      </c>
      <c r="BD21" s="3">
        <f>SUMIF($C$2:$C$211,$AG21,Tabella3[Cln Sht S])</f>
        <v>0</v>
      </c>
      <c r="BE21">
        <v>43</v>
      </c>
    </row>
    <row r="22" spans="1:57" x14ac:dyDescent="0.3">
      <c r="A22" t="str">
        <f>CONCATENATE(Tabella3[[#This Row],[giornata]],Tabella3[[#This Row],[squadra]])</f>
        <v>3</v>
      </c>
      <c r="B22" s="3">
        <v>3</v>
      </c>
      <c r="G22" s="3">
        <f t="shared" si="0"/>
        <v>0</v>
      </c>
      <c r="I22" s="3">
        <f t="shared" si="1"/>
        <v>0</v>
      </c>
      <c r="Z22" s="3"/>
      <c r="AA22" s="3"/>
      <c r="AB22" s="3"/>
      <c r="AC22" s="3" t="str">
        <f>IF(Tabella3[[#This Row],[gol port f]]="","",IF(Tabella3[[#This Row],[gol port f]]=0,1,0))</f>
        <v/>
      </c>
      <c r="AD22" s="3" t="str">
        <f>IF(Tabella3[[#This Row],[gol port s]]="","",IF(Tabella3[[#This Row],[gol port s]]=0,1,0))</f>
        <v/>
      </c>
      <c r="AE22" s="3"/>
      <c r="AG22" s="3" t="s">
        <v>629</v>
      </c>
      <c r="AH22" s="3">
        <f>SUMIF($C$2:$C$211,$AG22,Tabella3[pt base])</f>
        <v>138</v>
      </c>
      <c r="AI22" s="3">
        <f>SUMIF($C$2:$C$211,$AG22,Tabella3[mod dif])</f>
        <v>0</v>
      </c>
      <c r="AJ22" s="3">
        <f>SUMIF($C$2:$C$211,$AG22,Tabella3[bonus])</f>
        <v>23</v>
      </c>
      <c r="AK22" s="202">
        <f>SUMIF($C$2:$C$211,$AG22,Tabella3[Pt Tot])</f>
        <v>161</v>
      </c>
      <c r="AL22" s="3">
        <f>SUMIF($C$2:$C$211,$AG22,Tabella3[pt class])</f>
        <v>6</v>
      </c>
      <c r="AM22" s="3">
        <f>SUMIF($C$2:$C$211,$AG22,Tabella3[gol pt  f])</f>
        <v>6</v>
      </c>
      <c r="AN22" s="3">
        <f>SUMIF($C$2:$C$211,$AG22,Tabella3[gol pt s])</f>
        <v>3</v>
      </c>
      <c r="AO22" s="3">
        <f>SUMIF($C$2:$C$211,$AG22,Tabella3[[gol f ]])</f>
        <v>7</v>
      </c>
      <c r="AP22" s="3">
        <f>SUMIF($C$2:$C$211,$AG22,Tabella3[gol s])</f>
        <v>4</v>
      </c>
      <c r="AQ22" s="3">
        <f>SUMIF($C$2:$C$211,$AG22,Tabella3[gol port f])</f>
        <v>3</v>
      </c>
      <c r="AR22" s="3">
        <f>SUMIF($C$2:$C$211,$AG22,Tabella3[gol port s])</f>
        <v>5</v>
      </c>
      <c r="AS22" s="3">
        <f>SUMIF($C$2:$C$211,$AG22,Tabella3[assist f])</f>
        <v>3</v>
      </c>
      <c r="AT22" s="3">
        <f>SUMIF($C$2:$C$211,$AG22,Tabella3[assist s])</f>
        <v>2</v>
      </c>
      <c r="AU22" s="3">
        <f>SUMIF($C$2:$C$211,$AG22,Tabella3[amm f])</f>
        <v>0</v>
      </c>
      <c r="AV22" s="3">
        <f>SUMIF($C$2:$C$211,$AG22,Tabella3[amm s])</f>
        <v>1</v>
      </c>
      <c r="AW22" s="3">
        <f>SUMIF($C$2:$C$211,$AG22,Tabella3[esp f])</f>
        <v>1</v>
      </c>
      <c r="AX22" s="3">
        <f>SUMIF($C$2:$C$211,$AG22,Tabella3[esp s])</f>
        <v>0</v>
      </c>
      <c r="AY22" s="3">
        <f>SUMIF($C$2:$C$211,$AG22,Tabella3[auto f])</f>
        <v>0</v>
      </c>
      <c r="AZ22" s="3">
        <f>SUMIF($C$2:$C$211,$AG22,Tabella3[auto s])</f>
        <v>0</v>
      </c>
      <c r="BA22" s="3">
        <f>SUMIF($C$2:$C$211,$AG22,Tabella3[rig sb f])</f>
        <v>0</v>
      </c>
      <c r="BB22" s="3">
        <f>SUMIF($C$2:$C$211,$AG22,Tabella3[rig sb s])</f>
        <v>0</v>
      </c>
      <c r="BC22" s="3">
        <f>SUMIF($C$2:$C$211,$AG22,Tabella3[Cln Sht F])</f>
        <v>1</v>
      </c>
      <c r="BD22" s="3">
        <f>SUMIF($C$2:$C$211,$AG22,Tabella3[Cln Sht S])</f>
        <v>0</v>
      </c>
      <c r="BE22">
        <v>81</v>
      </c>
    </row>
    <row r="23" spans="1:57" x14ac:dyDescent="0.3">
      <c r="A23" t="str">
        <f>CONCATENATE(Tabella3[[#This Row],[giornata]],Tabella3[[#This Row],[squadra]])</f>
        <v>1</v>
      </c>
      <c r="B23" s="3">
        <v>1</v>
      </c>
      <c r="Z23" s="3"/>
      <c r="AA23" s="3"/>
      <c r="AB23" s="3"/>
      <c r="AC23" s="3" t="str">
        <f>IF(Tabella3[[#This Row],[gol port f]]="","",IF(Tabella3[[#This Row],[gol port f]]=0,1,0))</f>
        <v/>
      </c>
      <c r="AD23" s="3" t="str">
        <f>IF(Tabella3[[#This Row],[gol port s]]="","",IF(Tabella3[[#This Row],[gol port s]]=0,1,0))</f>
        <v/>
      </c>
      <c r="AE23" s="3"/>
      <c r="AG23" s="3" t="s">
        <v>630</v>
      </c>
      <c r="AH23" s="3">
        <f>SUMIF($C$2:$C$211,$AG23,Tabella3[pt base])</f>
        <v>133.5</v>
      </c>
      <c r="AI23" s="3">
        <f>SUMIF($C$2:$C$211,$AG23,Tabella3[mod dif])</f>
        <v>0</v>
      </c>
      <c r="AJ23" s="3">
        <f>SUMIF($C$2:$C$211,$AG23,Tabella3[bonus])</f>
        <v>11.5</v>
      </c>
      <c r="AK23" s="202">
        <f>SUMIF($C$2:$C$211,$AG23,Tabella3[Pt Tot])</f>
        <v>145</v>
      </c>
      <c r="AL23" s="3">
        <f>SUMIF($C$2:$C$211,$AG23,Tabella3[pt class])</f>
        <v>0</v>
      </c>
      <c r="AM23" s="3">
        <f>SUMIF($C$2:$C$211,$AG23,Tabella3[gol pt  f])</f>
        <v>3</v>
      </c>
      <c r="AN23" s="3">
        <f>SUMIF($C$2:$C$211,$AG23,Tabella3[gol pt s])</f>
        <v>7</v>
      </c>
      <c r="AO23" s="3">
        <f>SUMIF($C$2:$C$211,$AG23,Tabella3[[gol f ]])</f>
        <v>4</v>
      </c>
      <c r="AP23" s="3">
        <f>SUMIF($C$2:$C$211,$AG23,Tabella3[gol s])</f>
        <v>5</v>
      </c>
      <c r="AQ23" s="3">
        <f>SUMIF($C$2:$C$211,$AG23,Tabella3[gol port f])</f>
        <v>4</v>
      </c>
      <c r="AR23" s="3">
        <f>SUMIF($C$2:$C$211,$AG23,Tabella3[gol port s])</f>
        <v>7</v>
      </c>
      <c r="AS23" s="3">
        <f>SUMIF($C$2:$C$211,$AG23,Tabella3[assist f])</f>
        <v>1</v>
      </c>
      <c r="AT23" s="3">
        <f>SUMIF($C$2:$C$211,$AG23,Tabella3[assist s])</f>
        <v>5</v>
      </c>
      <c r="AU23" s="3">
        <f>SUMIF($C$2:$C$211,$AG23,Tabella3[amm f])</f>
        <v>3</v>
      </c>
      <c r="AV23" s="3">
        <f>SUMIF($C$2:$C$211,$AG23,Tabella3[amm s])</f>
        <v>0</v>
      </c>
      <c r="AW23" s="3">
        <f>SUMIF($C$2:$C$211,$AG23,Tabella3[esp f])</f>
        <v>0</v>
      </c>
      <c r="AX23" s="3">
        <f>SUMIF($C$2:$C$211,$AG23,Tabella3[esp s])</f>
        <v>0</v>
      </c>
      <c r="AY23" s="3">
        <f>SUMIF($C$2:$C$211,$AG23,Tabella3[auto f])</f>
        <v>0</v>
      </c>
      <c r="AZ23" s="3">
        <f>SUMIF($C$2:$C$211,$AG23,Tabella3[auto s])</f>
        <v>0</v>
      </c>
      <c r="BA23" s="3">
        <f>SUMIF($C$2:$C$211,$AG23,Tabella3[rig sb f])</f>
        <v>0</v>
      </c>
      <c r="BB23" s="3">
        <f>SUMIF($C$2:$C$211,$AG23,Tabella3[rig sb s])</f>
        <v>0</v>
      </c>
      <c r="BC23" s="3">
        <f>SUMIF($C$2:$C$211,$AG23,Tabella3[Cln Sht F])</f>
        <v>0</v>
      </c>
      <c r="BD23" s="3">
        <f>SUMIF($C$2:$C$211,$AG23,Tabella3[Cln Sht S])</f>
        <v>0</v>
      </c>
      <c r="BE23">
        <v>40</v>
      </c>
    </row>
    <row r="24" spans="1:57" x14ac:dyDescent="0.3">
      <c r="A24" t="str">
        <f>CONCATENATE(Tabella3[[#This Row],[giornata]],Tabella3[[#This Row],[squadra]])</f>
        <v>1</v>
      </c>
      <c r="B24" s="3">
        <v>1</v>
      </c>
      <c r="Z24" s="3"/>
      <c r="AA24" s="3"/>
      <c r="AB24" s="3"/>
      <c r="AC24" s="3" t="str">
        <f>IF(Tabella3[[#This Row],[gol port f]]="","",IF(Tabella3[[#This Row],[gol port f]]=0,1,0))</f>
        <v/>
      </c>
      <c r="AD24" s="3" t="str">
        <f>IF(Tabella3[[#This Row],[gol port s]]="","",IF(Tabella3[[#This Row],[gol port s]]=0,1,0))</f>
        <v/>
      </c>
      <c r="AE24" s="3"/>
      <c r="AG24" s="3" t="s">
        <v>627</v>
      </c>
      <c r="AH24" s="3">
        <f>SUMIF($C$2:$C$211,$AG24,Tabella3[pt base])</f>
        <v>134</v>
      </c>
      <c r="AI24" s="3">
        <f>SUMIF($C$2:$C$211,$AG24,Tabella3[mod dif])</f>
        <v>0</v>
      </c>
      <c r="AJ24" s="3">
        <f>SUMIF($C$2:$C$211,$AG24,Tabella3[bonus])</f>
        <v>10.5</v>
      </c>
      <c r="AK24" s="202">
        <f>SUMIF($C$2:$C$211,$AG24,Tabella3[Pt Tot])</f>
        <v>144.5</v>
      </c>
      <c r="AL24" s="3">
        <f>SUMIF($C$2:$C$211,$AG24,Tabella3[pt class])</f>
        <v>0</v>
      </c>
      <c r="AM24" s="3">
        <f>SUMIF($C$2:$C$211,$AG24,Tabella3[gol pt  f])</f>
        <v>3</v>
      </c>
      <c r="AN24" s="3">
        <f>SUMIF($C$2:$C$211,$AG24,Tabella3[gol pt s])</f>
        <v>6</v>
      </c>
      <c r="AO24" s="3">
        <f>SUMIF($C$2:$C$211,$AG24,Tabella3[[gol f ]])</f>
        <v>5</v>
      </c>
      <c r="AP24" s="3">
        <f>SUMIF($C$2:$C$211,$AG24,Tabella3[gol s])</f>
        <v>10</v>
      </c>
      <c r="AQ24" s="3">
        <f>SUMIF($C$2:$C$211,$AG24,Tabella3[gol port f])</f>
        <v>6</v>
      </c>
      <c r="AR24" s="3">
        <f>SUMIF($C$2:$C$211,$AG24,Tabella3[gol port s])</f>
        <v>4</v>
      </c>
      <c r="AS24" s="3">
        <f>SUMIF($C$2:$C$211,$AG24,Tabella3[assist f])</f>
        <v>1</v>
      </c>
      <c r="AT24" s="3">
        <f>SUMIF($C$2:$C$211,$AG24,Tabella3[assist s])</f>
        <v>0</v>
      </c>
      <c r="AU24" s="3">
        <f>SUMIF($C$2:$C$211,$AG24,Tabella3[amm f])</f>
        <v>3</v>
      </c>
      <c r="AV24" s="3">
        <f>SUMIF($C$2:$C$211,$AG24,Tabella3[amm s])</f>
        <v>3</v>
      </c>
      <c r="AW24" s="3">
        <f>SUMIF($C$2:$C$211,$AG24,Tabella3[esp f])</f>
        <v>0</v>
      </c>
      <c r="AX24" s="3">
        <f>SUMIF($C$2:$C$211,$AG24,Tabella3[esp s])</f>
        <v>1</v>
      </c>
      <c r="AY24" s="3">
        <f>SUMIF($C$2:$C$211,$AG24,Tabella3[auto f])</f>
        <v>0</v>
      </c>
      <c r="AZ24" s="3">
        <f>SUMIF($C$2:$C$211,$AG24,Tabella3[auto s])</f>
        <v>0</v>
      </c>
      <c r="BA24" s="3">
        <f>SUMIF($C$2:$C$211,$AG24,Tabella3[rig sb f])</f>
        <v>0</v>
      </c>
      <c r="BB24" s="3">
        <f>SUMIF($C$2:$C$211,$AG24,Tabella3[rig sb s])</f>
        <v>0</v>
      </c>
      <c r="BC24" s="3">
        <f>SUMIF($C$2:$C$211,$AG24,Tabella3[Cln Sht F])</f>
        <v>0</v>
      </c>
      <c r="BD24" s="3">
        <f>SUMIF($C$2:$C$211,$AG24,Tabella3[Cln Sht S])</f>
        <v>0</v>
      </c>
      <c r="BE24">
        <v>41</v>
      </c>
    </row>
    <row r="25" spans="1:57" x14ac:dyDescent="0.3">
      <c r="A25" t="str">
        <f>CONCATENATE(Tabella3[[#This Row],[giornata]],Tabella3[[#This Row],[squadra]])</f>
        <v>1</v>
      </c>
      <c r="B25" s="3">
        <v>1</v>
      </c>
      <c r="Z25" s="3"/>
      <c r="AA25" s="3"/>
      <c r="AB25" s="3"/>
      <c r="AC25" s="3" t="str">
        <f>IF(Tabella3[[#This Row],[gol port f]]="","",IF(Tabella3[[#This Row],[gol port f]]=0,1,0))</f>
        <v/>
      </c>
      <c r="AD25" s="3" t="str">
        <f>IF(Tabella3[[#This Row],[gol port s]]="","",IF(Tabella3[[#This Row],[gol port s]]=0,1,0))</f>
        <v/>
      </c>
      <c r="AE25" s="3"/>
      <c r="AG25" s="3" t="s">
        <v>603</v>
      </c>
      <c r="AH25" s="3">
        <f>SUMIF($C$2:$C$211,$AG25,Tabella3[pt base])</f>
        <v>131.5</v>
      </c>
      <c r="AI25" s="3">
        <f>SUMIF($C$2:$C$211,$AG25,Tabella3[mod dif])</f>
        <v>0</v>
      </c>
      <c r="AJ25" s="3">
        <f>SUMIF($C$2:$C$211,$AG25,Tabella3[bonus])</f>
        <v>5.5</v>
      </c>
      <c r="AK25" s="202">
        <f>SUMIF($C$2:$C$211,$AG25,Tabella3[Pt Tot])</f>
        <v>137</v>
      </c>
      <c r="AL25" s="3">
        <f>SUMIF($C$2:$C$211,$AG25,Tabella3[pt class])</f>
        <v>3</v>
      </c>
      <c r="AM25" s="3">
        <f>SUMIF($C$2:$C$211,$AG25,Tabella3[gol pt  f])</f>
        <v>2</v>
      </c>
      <c r="AN25" s="3">
        <f>SUMIF($C$2:$C$211,$AG25,Tabella3[gol pt s])</f>
        <v>4</v>
      </c>
      <c r="AO25" s="3">
        <f>SUMIF($C$2:$C$211,$AG25,Tabella3[[gol f ]])</f>
        <v>1</v>
      </c>
      <c r="AP25" s="3">
        <f>SUMIF($C$2:$C$211,$AG25,Tabella3[gol s])</f>
        <v>4</v>
      </c>
      <c r="AQ25" s="3">
        <f>SUMIF($C$2:$C$211,$AG25,Tabella3[gol port f])</f>
        <v>1</v>
      </c>
      <c r="AR25" s="3">
        <f>SUMIF($C$2:$C$211,$AG25,Tabella3[gol port s])</f>
        <v>3</v>
      </c>
      <c r="AS25" s="3">
        <f>SUMIF($C$2:$C$211,$AG25,Tabella3[assist f])</f>
        <v>3</v>
      </c>
      <c r="AT25" s="3">
        <f>SUMIF($C$2:$C$211,$AG25,Tabella3[assist s])</f>
        <v>3</v>
      </c>
      <c r="AU25" s="3">
        <f>SUMIF($C$2:$C$211,$AG25,Tabella3[amm f])</f>
        <v>1</v>
      </c>
      <c r="AV25" s="3">
        <f>SUMIF($C$2:$C$211,$AG25,Tabella3[amm s])</f>
        <v>2</v>
      </c>
      <c r="AW25" s="3">
        <f>SUMIF($C$2:$C$211,$AG25,Tabella3[esp f])</f>
        <v>0</v>
      </c>
      <c r="AX25" s="3">
        <f>SUMIF($C$2:$C$211,$AG25,Tabella3[esp s])</f>
        <v>0</v>
      </c>
      <c r="AY25" s="3">
        <f>SUMIF($C$2:$C$211,$AG25,Tabella3[auto f])</f>
        <v>0</v>
      </c>
      <c r="AZ25" s="3">
        <f>SUMIF($C$2:$C$211,$AG25,Tabella3[auto s])</f>
        <v>0</v>
      </c>
      <c r="BA25" s="3">
        <f>SUMIF($C$2:$C$211,$AG25,Tabella3[rig sb f])</f>
        <v>0</v>
      </c>
      <c r="BB25" s="3">
        <f>SUMIF($C$2:$C$211,$AG25,Tabella3[rig sb s])</f>
        <v>0</v>
      </c>
      <c r="BC25" s="3">
        <f>SUMIF($C$2:$C$211,$AG25,Tabella3[Cln Sht F])</f>
        <v>1</v>
      </c>
      <c r="BD25" s="3">
        <f>SUMIF($C$2:$C$211,$AG25,Tabella3[Cln Sht S])</f>
        <v>0</v>
      </c>
      <c r="BE25">
        <v>22</v>
      </c>
    </row>
    <row r="26" spans="1:57" x14ac:dyDescent="0.3">
      <c r="A26" t="str">
        <f>CONCATENATE(Tabella3[[#This Row],[giornata]],Tabella3[[#This Row],[squadra]])</f>
        <v>3</v>
      </c>
      <c r="B26" s="3">
        <v>3</v>
      </c>
      <c r="G26" s="3">
        <f t="shared" si="0"/>
        <v>0</v>
      </c>
      <c r="I26" s="3">
        <f t="shared" si="1"/>
        <v>0</v>
      </c>
      <c r="Z26" s="3"/>
      <c r="AA26" s="3"/>
      <c r="AB26" s="3"/>
      <c r="AC26" s="3" t="str">
        <f>IF(Tabella3[[#This Row],[gol port f]]="","",IF(Tabella3[[#This Row],[gol port f]]=0,1,0))</f>
        <v/>
      </c>
      <c r="AD26" s="3" t="str">
        <f>IF(Tabella3[[#This Row],[gol port s]]="","",IF(Tabella3[[#This Row],[gol port s]]=0,1,0))</f>
        <v/>
      </c>
      <c r="AE26" s="3"/>
      <c r="AG26" s="3" t="s">
        <v>626</v>
      </c>
      <c r="AH26" s="3">
        <f>SUMIF($C$2:$C$211,$AG26,Tabella3[pt base])</f>
        <v>129</v>
      </c>
      <c r="AI26" s="3">
        <f>SUMIF($C$2:$C$211,$AG26,Tabella3[mod dif])</f>
        <v>0</v>
      </c>
      <c r="AJ26" s="3">
        <f>SUMIF($C$2:$C$211,$AG26,Tabella3[bonus])</f>
        <v>4</v>
      </c>
      <c r="AK26" s="202">
        <f>SUMIF($C$2:$C$211,$AG26,Tabella3[Pt Tot])</f>
        <v>133</v>
      </c>
      <c r="AL26" s="3">
        <f>SUMIF($C$2:$C$211,$AG26,Tabella3[pt class])</f>
        <v>0</v>
      </c>
      <c r="AM26" s="3">
        <f>SUMIF($C$2:$C$211,$AG26,Tabella3[gol pt  f])</f>
        <v>1</v>
      </c>
      <c r="AN26" s="3">
        <f>SUMIF($C$2:$C$211,$AG26,Tabella3[gol pt s])</f>
        <v>3</v>
      </c>
      <c r="AO26" s="3">
        <f>SUMIF($C$2:$C$211,$AG26,Tabella3[[gol f ]])</f>
        <v>1</v>
      </c>
      <c r="AP26" s="3">
        <f>SUMIF($C$2:$C$211,$AG26,Tabella3[gol s])</f>
        <v>1</v>
      </c>
      <c r="AQ26" s="3">
        <f>SUMIF($C$2:$C$211,$AG26,Tabella3[gol port f])</f>
        <v>2</v>
      </c>
      <c r="AR26" s="3">
        <f>SUMIF($C$2:$C$211,$AG26,Tabella3[gol port s])</f>
        <v>0</v>
      </c>
      <c r="AS26" s="3">
        <f>SUMIF($C$2:$C$211,$AG26,Tabella3[assist f])</f>
        <v>4</v>
      </c>
      <c r="AT26" s="3">
        <f>SUMIF($C$2:$C$211,$AG26,Tabella3[assist s])</f>
        <v>5</v>
      </c>
      <c r="AU26" s="3">
        <f>SUMIF($C$2:$C$211,$AG26,Tabella3[amm f])</f>
        <v>2</v>
      </c>
      <c r="AV26" s="3">
        <f>SUMIF($C$2:$C$211,$AG26,Tabella3[amm s])</f>
        <v>1</v>
      </c>
      <c r="AW26" s="3">
        <f>SUMIF($C$2:$C$211,$AG26,Tabella3[esp f])</f>
        <v>0</v>
      </c>
      <c r="AX26" s="3">
        <f>SUMIF($C$2:$C$211,$AG26,Tabella3[esp s])</f>
        <v>0</v>
      </c>
      <c r="AY26" s="3">
        <f>SUMIF($C$2:$C$211,$AG26,Tabella3[auto f])</f>
        <v>0</v>
      </c>
      <c r="AZ26" s="3">
        <f>SUMIF($C$2:$C$211,$AG26,Tabella3[auto s])</f>
        <v>0</v>
      </c>
      <c r="BA26" s="3">
        <f>SUMIF($C$2:$C$211,$AG26,Tabella3[rig sb f])</f>
        <v>0</v>
      </c>
      <c r="BB26" s="3">
        <f>SUMIF($C$2:$C$211,$AG26,Tabella3[rig sb s])</f>
        <v>0</v>
      </c>
      <c r="BC26" s="3">
        <f>SUMIF($C$2:$C$211,$AG26,Tabella3[Cln Sht F])</f>
        <v>0</v>
      </c>
      <c r="BD26" s="3">
        <f>SUMIF($C$2:$C$211,$AG26,Tabella3[Cln Sht S])</f>
        <v>2</v>
      </c>
      <c r="BE26">
        <v>18</v>
      </c>
    </row>
    <row r="27" spans="1:57" x14ac:dyDescent="0.3">
      <c r="A27" t="str">
        <f>CONCATENATE(Tabella3[[#This Row],[giornata]],Tabella3[[#This Row],[squadra]])</f>
        <v>3</v>
      </c>
      <c r="B27" s="3">
        <v>3</v>
      </c>
      <c r="G27" s="3">
        <f t="shared" si="0"/>
        <v>0</v>
      </c>
      <c r="I27" s="3">
        <f t="shared" si="1"/>
        <v>0</v>
      </c>
      <c r="Z27" s="3"/>
      <c r="AA27" s="3"/>
      <c r="AB27" s="3"/>
      <c r="AC27" s="3" t="str">
        <f>IF(Tabella3[[#This Row],[gol port f]]="","",IF(Tabella3[[#This Row],[gol port f]]=0,1,0))</f>
        <v/>
      </c>
      <c r="AD27" s="3" t="str">
        <f>IF(Tabella3[[#This Row],[gol port s]]="","",IF(Tabella3[[#This Row],[gol port s]]=0,1,0))</f>
        <v/>
      </c>
      <c r="AE27" s="3"/>
      <c r="AG27" s="3" t="s">
        <v>625</v>
      </c>
      <c r="AH27" s="3">
        <f>SUMIF($C$2:$C$211,$AG27,Tabella3[pt base])</f>
        <v>133</v>
      </c>
      <c r="AI27" s="3">
        <f>SUMIF($C$2:$C$211,$AG27,Tabella3[mod dif])</f>
        <v>2</v>
      </c>
      <c r="AJ27" s="3">
        <f>SUMIF($C$2:$C$211,$AG27,Tabella3[bonus])</f>
        <v>8</v>
      </c>
      <c r="AK27" s="202">
        <f>SUMIF($C$2:$C$211,$AG27,Tabella3[Pt Tot])</f>
        <v>143</v>
      </c>
      <c r="AL27" s="3">
        <f>SUMIF($C$2:$C$211,$AG27,Tabella3[pt class])</f>
        <v>3</v>
      </c>
      <c r="AM27" s="3">
        <f>SUMIF($C$2:$C$211,$AG27,Tabella3[gol pt  f])</f>
        <v>3</v>
      </c>
      <c r="AN27" s="3">
        <f>SUMIF($C$2:$C$211,$AG27,Tabella3[gol pt s])</f>
        <v>4</v>
      </c>
      <c r="AO27" s="3">
        <f>SUMIF($C$2:$C$211,$AG27,Tabella3[[gol f ]])</f>
        <v>2</v>
      </c>
      <c r="AP27" s="3">
        <f>SUMIF($C$2:$C$211,$AG27,Tabella3[gol s])</f>
        <v>4</v>
      </c>
      <c r="AQ27" s="3">
        <f>SUMIF($C$2:$C$211,$AG27,Tabella3[gol port f])</f>
        <v>5</v>
      </c>
      <c r="AR27" s="3">
        <f>SUMIF($C$2:$C$211,$AG27,Tabella3[gol port s])</f>
        <v>5</v>
      </c>
      <c r="AS27" s="3">
        <f>SUMIF($C$2:$C$211,$AG27,Tabella3[assist f])</f>
        <v>6</v>
      </c>
      <c r="AT27" s="3">
        <f>SUMIF($C$2:$C$211,$AG27,Tabella3[assist s])</f>
        <v>1</v>
      </c>
      <c r="AU27" s="3">
        <f>SUMIF($C$2:$C$211,$AG27,Tabella3[amm f])</f>
        <v>0</v>
      </c>
      <c r="AV27" s="3">
        <f>SUMIF($C$2:$C$211,$AG27,Tabella3[amm s])</f>
        <v>2</v>
      </c>
      <c r="AW27" s="3">
        <f>SUMIF($C$2:$C$211,$AG27,Tabella3[esp f])</f>
        <v>0</v>
      </c>
      <c r="AX27" s="3">
        <f>SUMIF($C$2:$C$211,$AG27,Tabella3[esp s])</f>
        <v>0</v>
      </c>
      <c r="AY27" s="3">
        <f>SUMIF($C$2:$C$211,$AG27,Tabella3[auto f])</f>
        <v>0</v>
      </c>
      <c r="AZ27" s="3">
        <f>SUMIF($C$2:$C$211,$AG27,Tabella3[auto s])</f>
        <v>0</v>
      </c>
      <c r="BA27" s="3">
        <f>SUMIF($C$2:$C$211,$AG27,Tabella3[rig sb f])</f>
        <v>0</v>
      </c>
      <c r="BB27" s="3">
        <f>SUMIF($C$2:$C$211,$AG27,Tabella3[rig sb s])</f>
        <v>0</v>
      </c>
      <c r="BC27" s="3">
        <f>SUMIF($C$2:$C$211,$AG27,Tabella3[Cln Sht F])</f>
        <v>0</v>
      </c>
      <c r="BD27" s="3">
        <f>SUMIF($C$2:$C$211,$AG27,Tabella3[Cln Sht S])</f>
        <v>0</v>
      </c>
      <c r="BE27">
        <v>41</v>
      </c>
    </row>
    <row r="28" spans="1:57" x14ac:dyDescent="0.3">
      <c r="A28" t="str">
        <f>CONCATENATE(Tabella3[[#This Row],[giornata]],Tabella3[[#This Row],[squadra]])</f>
        <v>3</v>
      </c>
      <c r="B28" s="3">
        <v>3</v>
      </c>
      <c r="G28" s="3">
        <f t="shared" si="0"/>
        <v>0</v>
      </c>
      <c r="I28" s="3">
        <f t="shared" si="1"/>
        <v>0</v>
      </c>
      <c r="Z28" s="3"/>
      <c r="AA28" s="3"/>
      <c r="AB28" s="3"/>
      <c r="AC28" s="3" t="str">
        <f>IF(Tabella3[[#This Row],[gol port f]]="","",IF(Tabella3[[#This Row],[gol port f]]=0,1,0))</f>
        <v/>
      </c>
      <c r="AD28" s="3" t="str">
        <f>IF(Tabella3[[#This Row],[gol port s]]="","",IF(Tabella3[[#This Row],[gol port s]]=0,1,0))</f>
        <v/>
      </c>
      <c r="AE28" s="3"/>
    </row>
    <row r="29" spans="1:57" x14ac:dyDescent="0.3">
      <c r="A29" t="str">
        <f>CONCATENATE(Tabella3[[#This Row],[giornata]],Tabella3[[#This Row],[squadra]])</f>
        <v>3</v>
      </c>
      <c r="B29" s="3">
        <v>3</v>
      </c>
      <c r="G29" s="3">
        <f t="shared" si="0"/>
        <v>0</v>
      </c>
      <c r="I29" s="3">
        <f t="shared" si="1"/>
        <v>0</v>
      </c>
      <c r="Z29" s="3"/>
      <c r="AA29" s="3"/>
      <c r="AB29" s="3"/>
      <c r="AC29" s="3" t="str">
        <f>IF(Tabella3[[#This Row],[gol port f]]="","",IF(Tabella3[[#This Row],[gol port f]]=0,1,0))</f>
        <v/>
      </c>
      <c r="AD29" s="3" t="str">
        <f>IF(Tabella3[[#This Row],[gol port s]]="","",IF(Tabella3[[#This Row],[gol port s]]=0,1,0))</f>
        <v/>
      </c>
      <c r="AE29" s="3"/>
    </row>
    <row r="30" spans="1:57" ht="15" thickBot="1" x14ac:dyDescent="0.35">
      <c r="A30" t="str">
        <f>CONCATENATE(Tabella3[[#This Row],[giornata]],Tabella3[[#This Row],[squadra]])</f>
        <v>3</v>
      </c>
      <c r="B30" s="3">
        <v>3</v>
      </c>
      <c r="G30" s="3">
        <f t="shared" si="0"/>
        <v>0</v>
      </c>
      <c r="I30" s="3">
        <f t="shared" si="1"/>
        <v>0</v>
      </c>
      <c r="Z30" s="3"/>
      <c r="AA30" s="3"/>
      <c r="AB30" s="3"/>
      <c r="AC30" s="3" t="str">
        <f>IF(Tabella3[[#This Row],[gol port f]]="","",IF(Tabella3[[#This Row],[gol port f]]=0,1,0))</f>
        <v/>
      </c>
      <c r="AD30" s="3" t="str">
        <f>IF(Tabella3[[#This Row],[gol port s]]="","",IF(Tabella3[[#This Row],[gol port s]]=0,1,0))</f>
        <v/>
      </c>
      <c r="AE30" s="3"/>
    </row>
    <row r="31" spans="1:57" x14ac:dyDescent="0.3">
      <c r="A31" t="str">
        <f>CONCATENATE(Tabella3[[#This Row],[giornata]],Tabella3[[#This Row],[squadra]])</f>
        <v>3</v>
      </c>
      <c r="B31" s="3">
        <v>3</v>
      </c>
      <c r="G31" s="3">
        <f t="shared" si="0"/>
        <v>0</v>
      </c>
      <c r="I31" s="3">
        <f t="shared" si="1"/>
        <v>0</v>
      </c>
      <c r="Z31" s="3"/>
      <c r="AA31" s="3"/>
      <c r="AB31" s="3"/>
      <c r="AC31" s="3" t="str">
        <f>IF(Tabella3[[#This Row],[gol port f]]="","",IF(Tabella3[[#This Row],[gol port f]]=0,1,0))</f>
        <v/>
      </c>
      <c r="AD31" s="3" t="str">
        <f>IF(Tabella3[[#This Row],[gol port s]]="","",IF(Tabella3[[#This Row],[gol port s]]=0,1,0))</f>
        <v/>
      </c>
      <c r="AE31" s="3"/>
      <c r="AH31" s="415" t="s">
        <v>488</v>
      </c>
      <c r="AI31" s="416"/>
      <c r="AJ31" s="399"/>
      <c r="AK31" s="417" t="s">
        <v>489</v>
      </c>
      <c r="AL31" s="418"/>
      <c r="AM31" s="418"/>
      <c r="AN31" s="418"/>
      <c r="AO31" s="418"/>
      <c r="AP31" s="418"/>
      <c r="AQ31" s="418"/>
      <c r="AR31" s="418"/>
      <c r="AS31" s="418"/>
      <c r="AT31" s="418"/>
    </row>
    <row r="32" spans="1:57" x14ac:dyDescent="0.3">
      <c r="A32" t="str">
        <f>CONCATENATE(Tabella3[[#This Row],[giornata]],Tabella3[[#This Row],[squadra]])</f>
        <v>4</v>
      </c>
      <c r="B32" s="3">
        <v>4</v>
      </c>
      <c r="G32" s="3">
        <f t="shared" si="0"/>
        <v>0</v>
      </c>
      <c r="I32" s="3">
        <f t="shared" si="1"/>
        <v>0</v>
      </c>
      <c r="Z32" s="3"/>
      <c r="AA32" s="3"/>
      <c r="AB32" s="3"/>
      <c r="AC32" s="3" t="str">
        <f>IF(Tabella3[[#This Row],[gol port f]]="","",IF(Tabella3[[#This Row],[gol port f]]=0,1,0))</f>
        <v/>
      </c>
      <c r="AD32" s="3" t="str">
        <f>IF(Tabella3[[#This Row],[gol port s]]="","",IF(Tabella3[[#This Row],[gol port s]]=0,1,0))</f>
        <v/>
      </c>
      <c r="AE32" s="3"/>
      <c r="AH32" s="295">
        <v>0</v>
      </c>
      <c r="AI32" s="296">
        <v>0</v>
      </c>
      <c r="AJ32" s="75"/>
    </row>
    <row r="33" spans="1:36" x14ac:dyDescent="0.3">
      <c r="A33" t="str">
        <f>CONCATENATE(Tabella3[[#This Row],[giornata]],Tabella3[[#This Row],[squadra]])</f>
        <v>4</v>
      </c>
      <c r="B33" s="3">
        <v>4</v>
      </c>
      <c r="G33" s="3">
        <f t="shared" si="0"/>
        <v>0</v>
      </c>
      <c r="I33" s="3">
        <f t="shared" si="1"/>
        <v>0</v>
      </c>
      <c r="Z33" s="3"/>
      <c r="AA33" s="3"/>
      <c r="AB33" s="3"/>
      <c r="AC33" s="3" t="str">
        <f>IF(Tabella3[[#This Row],[gol port f]]="","",IF(Tabella3[[#This Row],[gol port f]]=0,1,0))</f>
        <v/>
      </c>
      <c r="AD33" s="3" t="str">
        <f>IF(Tabella3[[#This Row],[gol port s]]="","",IF(Tabella3[[#This Row],[gol port s]]=0,1,0))</f>
        <v/>
      </c>
      <c r="AE33" s="3"/>
      <c r="AH33" s="295">
        <v>66</v>
      </c>
      <c r="AI33" s="296">
        <v>1</v>
      </c>
      <c r="AJ33" s="75"/>
    </row>
    <row r="34" spans="1:36" x14ac:dyDescent="0.3">
      <c r="A34" t="str">
        <f>CONCATENATE(Tabella3[[#This Row],[giornata]],Tabella3[[#This Row],[squadra]])</f>
        <v>4</v>
      </c>
      <c r="B34" s="3">
        <v>4</v>
      </c>
      <c r="G34" s="3">
        <f t="shared" si="0"/>
        <v>0</v>
      </c>
      <c r="I34" s="3">
        <f t="shared" ref="I34:I65" si="14">VLOOKUP(G34,$AH$32:$AI$40,2,TRUE)</f>
        <v>0</v>
      </c>
      <c r="Z34" s="3"/>
      <c r="AA34" s="3"/>
      <c r="AB34" s="3"/>
      <c r="AC34" s="3" t="str">
        <f>IF(Tabella3[[#This Row],[gol port f]]="","",IF(Tabella3[[#This Row],[gol port f]]=0,1,0))</f>
        <v/>
      </c>
      <c r="AD34" s="3" t="str">
        <f>IF(Tabella3[[#This Row],[gol port s]]="","",IF(Tabella3[[#This Row],[gol port s]]=0,1,0))</f>
        <v/>
      </c>
      <c r="AE34" s="3"/>
      <c r="AH34" s="295">
        <v>72</v>
      </c>
      <c r="AI34" s="296">
        <v>2</v>
      </c>
      <c r="AJ34" s="75"/>
    </row>
    <row r="35" spans="1:36" x14ac:dyDescent="0.3">
      <c r="A35" t="str">
        <f>CONCATENATE(Tabella3[[#This Row],[giornata]],Tabella3[[#This Row],[squadra]])</f>
        <v>4</v>
      </c>
      <c r="B35" s="3">
        <v>4</v>
      </c>
      <c r="G35" s="3">
        <f t="shared" si="0"/>
        <v>0</v>
      </c>
      <c r="I35" s="3">
        <f t="shared" si="14"/>
        <v>0</v>
      </c>
      <c r="Z35" s="3"/>
      <c r="AA35" s="3"/>
      <c r="AB35" s="3"/>
      <c r="AC35" s="3" t="str">
        <f>IF(Tabella3[[#This Row],[gol port f]]="","",IF(Tabella3[[#This Row],[gol port f]]=0,1,0))</f>
        <v/>
      </c>
      <c r="AD35" s="3" t="str">
        <f>IF(Tabella3[[#This Row],[gol port s]]="","",IF(Tabella3[[#This Row],[gol port s]]=0,1,0))</f>
        <v/>
      </c>
      <c r="AE35" s="3"/>
      <c r="AH35" s="295">
        <v>78</v>
      </c>
      <c r="AI35" s="296">
        <v>3</v>
      </c>
      <c r="AJ35" s="75"/>
    </row>
    <row r="36" spans="1:36" x14ac:dyDescent="0.3">
      <c r="A36" t="str">
        <f>CONCATENATE(Tabella3[[#This Row],[giornata]],Tabella3[[#This Row],[squadra]])</f>
        <v>4</v>
      </c>
      <c r="B36" s="3">
        <v>4</v>
      </c>
      <c r="G36" s="3">
        <f t="shared" si="0"/>
        <v>0</v>
      </c>
      <c r="I36" s="3">
        <f t="shared" si="14"/>
        <v>0</v>
      </c>
      <c r="Z36" s="3"/>
      <c r="AA36" s="3"/>
      <c r="AB36" s="3"/>
      <c r="AC36" s="3" t="str">
        <f>IF(Tabella3[[#This Row],[gol port f]]="","",IF(Tabella3[[#This Row],[gol port f]]=0,1,0))</f>
        <v/>
      </c>
      <c r="AD36" s="3" t="str">
        <f>IF(Tabella3[[#This Row],[gol port s]]="","",IF(Tabella3[[#This Row],[gol port s]]=0,1,0))</f>
        <v/>
      </c>
      <c r="AE36" s="3"/>
      <c r="AH36" s="295">
        <v>84</v>
      </c>
      <c r="AI36" s="296">
        <v>4</v>
      </c>
      <c r="AJ36" s="75"/>
    </row>
    <row r="37" spans="1:36" x14ac:dyDescent="0.3">
      <c r="A37" t="str">
        <f>CONCATENATE(Tabella3[[#This Row],[giornata]],Tabella3[[#This Row],[squadra]])</f>
        <v>4</v>
      </c>
      <c r="B37" s="3">
        <v>4</v>
      </c>
      <c r="G37" s="3">
        <f t="shared" si="0"/>
        <v>0</v>
      </c>
      <c r="I37" s="3">
        <f t="shared" si="14"/>
        <v>0</v>
      </c>
      <c r="Z37" s="3"/>
      <c r="AA37" s="3"/>
      <c r="AB37" s="3"/>
      <c r="AC37" s="3" t="str">
        <f>IF(Tabella3[[#This Row],[gol port f]]="","",IF(Tabella3[[#This Row],[gol port f]]=0,1,0))</f>
        <v/>
      </c>
      <c r="AD37" s="3" t="str">
        <f>IF(Tabella3[[#This Row],[gol port s]]="","",IF(Tabella3[[#This Row],[gol port s]]=0,1,0))</f>
        <v/>
      </c>
      <c r="AE37" s="3"/>
      <c r="AH37" s="295">
        <v>90</v>
      </c>
      <c r="AI37" s="296">
        <v>5</v>
      </c>
      <c r="AJ37" s="75"/>
    </row>
    <row r="38" spans="1:36" x14ac:dyDescent="0.3">
      <c r="A38" t="str">
        <f>CONCATENATE(Tabella3[[#This Row],[giornata]],Tabella3[[#This Row],[squadra]])</f>
        <v>4</v>
      </c>
      <c r="B38" s="3">
        <v>4</v>
      </c>
      <c r="G38" s="3">
        <f t="shared" si="0"/>
        <v>0</v>
      </c>
      <c r="I38" s="3">
        <f t="shared" si="14"/>
        <v>0</v>
      </c>
      <c r="Z38" s="3"/>
      <c r="AA38" s="3"/>
      <c r="AB38" s="3"/>
      <c r="AC38" s="3" t="str">
        <f>IF(Tabella3[[#This Row],[gol port f]]="","",IF(Tabella3[[#This Row],[gol port f]]=0,1,0))</f>
        <v/>
      </c>
      <c r="AD38" s="3" t="str">
        <f>IF(Tabella3[[#This Row],[gol port s]]="","",IF(Tabella3[[#This Row],[gol port s]]=0,1,0))</f>
        <v/>
      </c>
      <c r="AE38" s="3"/>
      <c r="AH38" s="295">
        <v>96</v>
      </c>
      <c r="AI38" s="296">
        <v>6</v>
      </c>
      <c r="AJ38" s="75"/>
    </row>
    <row r="39" spans="1:36" x14ac:dyDescent="0.3">
      <c r="A39" t="str">
        <f>CONCATENATE(Tabella3[[#This Row],[giornata]],Tabella3[[#This Row],[squadra]])</f>
        <v>4</v>
      </c>
      <c r="B39" s="3">
        <v>4</v>
      </c>
      <c r="G39" s="3">
        <f t="shared" si="0"/>
        <v>0</v>
      </c>
      <c r="I39" s="3">
        <f t="shared" si="14"/>
        <v>0</v>
      </c>
      <c r="Z39" s="3"/>
      <c r="AA39" s="3"/>
      <c r="AB39" s="3"/>
      <c r="AC39" s="3" t="str">
        <f>IF(Tabella3[[#This Row],[gol port f]]="","",IF(Tabella3[[#This Row],[gol port f]]=0,1,0))</f>
        <v/>
      </c>
      <c r="AD39" s="3" t="str">
        <f>IF(Tabella3[[#This Row],[gol port s]]="","",IF(Tabella3[[#This Row],[gol port s]]=0,1,0))</f>
        <v/>
      </c>
      <c r="AE39" s="3"/>
      <c r="AH39" s="295">
        <v>102</v>
      </c>
      <c r="AI39" s="296">
        <v>7</v>
      </c>
      <c r="AJ39" s="75"/>
    </row>
    <row r="40" spans="1:36" ht="15" thickBot="1" x14ac:dyDescent="0.35">
      <c r="A40" t="str">
        <f>CONCATENATE(Tabella3[[#This Row],[giornata]],Tabella3[[#This Row],[squadra]])</f>
        <v>4</v>
      </c>
      <c r="B40" s="3">
        <v>4</v>
      </c>
      <c r="G40" s="3">
        <f t="shared" si="0"/>
        <v>0</v>
      </c>
      <c r="I40" s="3">
        <f t="shared" si="14"/>
        <v>0</v>
      </c>
      <c r="Z40" s="3"/>
      <c r="AA40" s="3"/>
      <c r="AB40" s="3"/>
      <c r="AC40" s="3" t="str">
        <f>IF(Tabella3[[#This Row],[gol port f]]="","",IF(Tabella3[[#This Row],[gol port f]]=0,1,0))</f>
        <v/>
      </c>
      <c r="AD40" s="3" t="str">
        <f>IF(Tabella3[[#This Row],[gol port s]]="","",IF(Tabella3[[#This Row],[gol port s]]=0,1,0))</f>
        <v/>
      </c>
      <c r="AE40" s="3"/>
      <c r="AH40" s="297">
        <v>108</v>
      </c>
      <c r="AI40" s="298">
        <v>8</v>
      </c>
      <c r="AJ40" s="75"/>
    </row>
    <row r="41" spans="1:36" x14ac:dyDescent="0.3">
      <c r="A41" t="str">
        <f>CONCATENATE(Tabella3[[#This Row],[giornata]],Tabella3[[#This Row],[squadra]])</f>
        <v>4</v>
      </c>
      <c r="B41" s="3">
        <v>4</v>
      </c>
      <c r="G41" s="3">
        <f t="shared" si="0"/>
        <v>0</v>
      </c>
      <c r="I41" s="3">
        <f t="shared" si="14"/>
        <v>0</v>
      </c>
      <c r="Z41" s="3"/>
      <c r="AA41" s="3"/>
      <c r="AB41" s="3"/>
      <c r="AC41" s="3" t="str">
        <f>IF(Tabella3[[#This Row],[gol port f]]="","",IF(Tabella3[[#This Row],[gol port f]]=0,1,0))</f>
        <v/>
      </c>
      <c r="AD41" s="3" t="str">
        <f>IF(Tabella3[[#This Row],[gol port s]]="","",IF(Tabella3[[#This Row],[gol port s]]=0,1,0))</f>
        <v/>
      </c>
      <c r="AE41" s="3"/>
    </row>
    <row r="42" spans="1:36" x14ac:dyDescent="0.3">
      <c r="A42" t="str">
        <f>CONCATENATE(Tabella3[[#This Row],[giornata]],Tabella3[[#This Row],[squadra]])</f>
        <v>5</v>
      </c>
      <c r="B42" s="3">
        <v>5</v>
      </c>
      <c r="G42" s="3">
        <f t="shared" si="0"/>
        <v>0</v>
      </c>
      <c r="I42" s="3">
        <f t="shared" si="14"/>
        <v>0</v>
      </c>
      <c r="Z42" s="3"/>
      <c r="AA42" s="3"/>
      <c r="AB42" s="3"/>
      <c r="AC42" s="3" t="str">
        <f>IF(Tabella3[[#This Row],[gol port f]]="","",IF(Tabella3[[#This Row],[gol port f]]=0,1,0))</f>
        <v/>
      </c>
      <c r="AD42" s="3" t="str">
        <f>IF(Tabella3[[#This Row],[gol port s]]="","",IF(Tabella3[[#This Row],[gol port s]]=0,1,0))</f>
        <v/>
      </c>
      <c r="AE42" s="3"/>
    </row>
    <row r="43" spans="1:36" x14ac:dyDescent="0.3">
      <c r="A43" t="str">
        <f>CONCATENATE(Tabella3[[#This Row],[giornata]],Tabella3[[#This Row],[squadra]])</f>
        <v>5</v>
      </c>
      <c r="B43" s="3">
        <v>5</v>
      </c>
      <c r="G43" s="3">
        <f t="shared" si="0"/>
        <v>0</v>
      </c>
      <c r="I43" s="3">
        <f t="shared" si="14"/>
        <v>0</v>
      </c>
      <c r="Z43" s="3"/>
      <c r="AA43" s="3"/>
      <c r="AB43" s="3"/>
      <c r="AC43" s="3" t="str">
        <f>IF(Tabella3[[#This Row],[gol port f]]="","",IF(Tabella3[[#This Row],[gol port f]]=0,1,0))</f>
        <v/>
      </c>
      <c r="AD43" s="3" t="str">
        <f>IF(Tabella3[[#This Row],[gol port s]]="","",IF(Tabella3[[#This Row],[gol port s]]=0,1,0))</f>
        <v/>
      </c>
      <c r="AE43" s="3"/>
    </row>
    <row r="44" spans="1:36" x14ac:dyDescent="0.3">
      <c r="A44" t="str">
        <f>CONCATENATE(Tabella3[[#This Row],[giornata]],Tabella3[[#This Row],[squadra]])</f>
        <v>5</v>
      </c>
      <c r="B44" s="3">
        <v>5</v>
      </c>
      <c r="G44" s="3">
        <f t="shared" si="0"/>
        <v>0</v>
      </c>
      <c r="I44" s="3">
        <f t="shared" si="14"/>
        <v>0</v>
      </c>
      <c r="Z44" s="3"/>
      <c r="AA44" s="3"/>
      <c r="AB44" s="3"/>
      <c r="AC44" s="3" t="str">
        <f>IF(Tabella3[[#This Row],[gol port f]]="","",IF(Tabella3[[#This Row],[gol port f]]=0,1,0))</f>
        <v/>
      </c>
      <c r="AD44" s="3" t="str">
        <f>IF(Tabella3[[#This Row],[gol port s]]="","",IF(Tabella3[[#This Row],[gol port s]]=0,1,0))</f>
        <v/>
      </c>
      <c r="AE44" s="3"/>
    </row>
    <row r="45" spans="1:36" x14ac:dyDescent="0.3">
      <c r="A45" t="str">
        <f>CONCATENATE(Tabella3[[#This Row],[giornata]],Tabella3[[#This Row],[squadra]])</f>
        <v>5</v>
      </c>
      <c r="B45" s="3">
        <v>5</v>
      </c>
      <c r="G45" s="3">
        <f t="shared" si="0"/>
        <v>0</v>
      </c>
      <c r="I45" s="3">
        <f t="shared" si="14"/>
        <v>0</v>
      </c>
      <c r="Z45" s="3"/>
      <c r="AA45" s="3"/>
      <c r="AB45" s="3"/>
      <c r="AC45" s="3" t="str">
        <f>IF(Tabella3[[#This Row],[gol port f]]="","",IF(Tabella3[[#This Row],[gol port f]]=0,1,0))</f>
        <v/>
      </c>
      <c r="AD45" s="3" t="str">
        <f>IF(Tabella3[[#This Row],[gol port s]]="","",IF(Tabella3[[#This Row],[gol port s]]=0,1,0))</f>
        <v/>
      </c>
      <c r="AE45" s="3"/>
    </row>
    <row r="46" spans="1:36" x14ac:dyDescent="0.3">
      <c r="A46" t="str">
        <f>CONCATENATE(Tabella3[[#This Row],[giornata]],Tabella3[[#This Row],[squadra]])</f>
        <v>5</v>
      </c>
      <c r="B46" s="3">
        <v>5</v>
      </c>
      <c r="G46" s="3">
        <f t="shared" si="0"/>
        <v>0</v>
      </c>
      <c r="I46" s="3">
        <f t="shared" si="14"/>
        <v>0</v>
      </c>
      <c r="Z46" s="3"/>
      <c r="AA46" s="3"/>
      <c r="AB46" s="3"/>
      <c r="AC46" s="3" t="str">
        <f>IF(Tabella3[[#This Row],[gol port f]]="","",IF(Tabella3[[#This Row],[gol port f]]=0,1,0))</f>
        <v/>
      </c>
      <c r="AD46" s="3" t="str">
        <f>IF(Tabella3[[#This Row],[gol port s]]="","",IF(Tabella3[[#This Row],[gol port s]]=0,1,0))</f>
        <v/>
      </c>
      <c r="AE46" s="3"/>
    </row>
    <row r="47" spans="1:36" x14ac:dyDescent="0.3">
      <c r="A47" t="str">
        <f>CONCATENATE(Tabella3[[#This Row],[giornata]],Tabella3[[#This Row],[squadra]])</f>
        <v>5</v>
      </c>
      <c r="B47" s="3">
        <v>5</v>
      </c>
      <c r="G47" s="3">
        <f t="shared" si="0"/>
        <v>0</v>
      </c>
      <c r="I47" s="3">
        <f t="shared" si="14"/>
        <v>0</v>
      </c>
      <c r="Z47" s="3"/>
      <c r="AA47" s="3"/>
      <c r="AB47" s="3"/>
      <c r="AC47" s="3" t="str">
        <f>IF(Tabella3[[#This Row],[gol port f]]="","",IF(Tabella3[[#This Row],[gol port f]]=0,1,0))</f>
        <v/>
      </c>
      <c r="AD47" s="3" t="str">
        <f>IF(Tabella3[[#This Row],[gol port s]]="","",IF(Tabella3[[#This Row],[gol port s]]=0,1,0))</f>
        <v/>
      </c>
      <c r="AE47" s="3"/>
    </row>
    <row r="48" spans="1:36" x14ac:dyDescent="0.3">
      <c r="A48" t="str">
        <f>CONCATENATE(Tabella3[[#This Row],[giornata]],Tabella3[[#This Row],[squadra]])</f>
        <v>5</v>
      </c>
      <c r="B48" s="3">
        <v>5</v>
      </c>
      <c r="G48" s="3">
        <f t="shared" si="0"/>
        <v>0</v>
      </c>
      <c r="I48" s="3">
        <f t="shared" si="14"/>
        <v>0</v>
      </c>
      <c r="Z48" s="3"/>
      <c r="AA48" s="3"/>
      <c r="AB48" s="3"/>
      <c r="AC48" s="3" t="str">
        <f>IF(Tabella3[[#This Row],[gol port f]]="","",IF(Tabella3[[#This Row],[gol port f]]=0,1,0))</f>
        <v/>
      </c>
      <c r="AD48" s="3" t="str">
        <f>IF(Tabella3[[#This Row],[gol port s]]="","",IF(Tabella3[[#This Row],[gol port s]]=0,1,0))</f>
        <v/>
      </c>
      <c r="AE48" s="3"/>
    </row>
    <row r="49" spans="1:31" x14ac:dyDescent="0.3">
      <c r="A49" t="str">
        <f>CONCATENATE(Tabella3[[#This Row],[giornata]],Tabella3[[#This Row],[squadra]])</f>
        <v>5</v>
      </c>
      <c r="B49" s="3">
        <v>5</v>
      </c>
      <c r="G49" s="3">
        <f t="shared" si="0"/>
        <v>0</v>
      </c>
      <c r="I49" s="3">
        <f t="shared" si="14"/>
        <v>0</v>
      </c>
      <c r="Z49" s="3"/>
      <c r="AA49" s="3"/>
      <c r="AB49" s="3"/>
      <c r="AC49" s="3" t="str">
        <f>IF(Tabella3[[#This Row],[gol port f]]="","",IF(Tabella3[[#This Row],[gol port f]]=0,1,0))</f>
        <v/>
      </c>
      <c r="AD49" s="3" t="str">
        <f>IF(Tabella3[[#This Row],[gol port s]]="","",IF(Tabella3[[#This Row],[gol port s]]=0,1,0))</f>
        <v/>
      </c>
      <c r="AE49" s="3"/>
    </row>
    <row r="50" spans="1:31" x14ac:dyDescent="0.3">
      <c r="A50" t="str">
        <f>CONCATENATE(Tabella3[[#This Row],[giornata]],Tabella3[[#This Row],[squadra]])</f>
        <v>5</v>
      </c>
      <c r="B50" s="3">
        <v>5</v>
      </c>
      <c r="G50" s="3">
        <f t="shared" si="0"/>
        <v>0</v>
      </c>
      <c r="I50" s="3">
        <f t="shared" si="14"/>
        <v>0</v>
      </c>
      <c r="Z50" s="3"/>
      <c r="AA50" s="3"/>
      <c r="AB50" s="3"/>
      <c r="AC50" s="3" t="str">
        <f>IF(Tabella3[[#This Row],[gol port f]]="","",IF(Tabella3[[#This Row],[gol port f]]=0,1,0))</f>
        <v/>
      </c>
      <c r="AD50" s="3" t="str">
        <f>IF(Tabella3[[#This Row],[gol port s]]="","",IF(Tabella3[[#This Row],[gol port s]]=0,1,0))</f>
        <v/>
      </c>
      <c r="AE50" s="3"/>
    </row>
    <row r="51" spans="1:31" x14ac:dyDescent="0.3">
      <c r="A51" t="str">
        <f>CONCATENATE(Tabella3[[#This Row],[giornata]],Tabella3[[#This Row],[squadra]])</f>
        <v>5</v>
      </c>
      <c r="B51" s="3">
        <v>5</v>
      </c>
      <c r="G51" s="3">
        <f t="shared" si="0"/>
        <v>0</v>
      </c>
      <c r="I51" s="3">
        <f t="shared" si="14"/>
        <v>0</v>
      </c>
      <c r="Z51" s="3"/>
      <c r="AA51" s="3"/>
      <c r="AB51" s="3"/>
      <c r="AC51" s="3" t="str">
        <f>IF(Tabella3[[#This Row],[gol port f]]="","",IF(Tabella3[[#This Row],[gol port f]]=0,1,0))</f>
        <v/>
      </c>
      <c r="AD51" s="3" t="str">
        <f>IF(Tabella3[[#This Row],[gol port s]]="","",IF(Tabella3[[#This Row],[gol port s]]=0,1,0))</f>
        <v/>
      </c>
      <c r="AE51" s="3"/>
    </row>
    <row r="52" spans="1:31" x14ac:dyDescent="0.3">
      <c r="A52" t="str">
        <f>CONCATENATE(Tabella3[[#This Row],[giornata]],Tabella3[[#This Row],[squadra]])</f>
        <v>6</v>
      </c>
      <c r="B52" s="3">
        <v>6</v>
      </c>
      <c r="G52" s="3">
        <f t="shared" si="0"/>
        <v>0</v>
      </c>
      <c r="I52" s="3">
        <f t="shared" si="14"/>
        <v>0</v>
      </c>
      <c r="Z52" s="3"/>
      <c r="AA52" s="3"/>
      <c r="AB52" s="3"/>
      <c r="AC52" s="3" t="str">
        <f>IF(Tabella3[[#This Row],[gol port f]]="","",IF(Tabella3[[#This Row],[gol port f]]=0,1,0))</f>
        <v/>
      </c>
      <c r="AD52" s="3" t="str">
        <f>IF(Tabella3[[#This Row],[gol port s]]="","",IF(Tabella3[[#This Row],[gol port s]]=0,1,0))</f>
        <v/>
      </c>
      <c r="AE52" s="3"/>
    </row>
    <row r="53" spans="1:31" x14ac:dyDescent="0.3">
      <c r="A53" t="str">
        <f>CONCATENATE(Tabella3[[#This Row],[giornata]],Tabella3[[#This Row],[squadra]])</f>
        <v>6</v>
      </c>
      <c r="B53" s="3">
        <v>6</v>
      </c>
      <c r="G53" s="3">
        <f t="shared" si="0"/>
        <v>0</v>
      </c>
      <c r="I53" s="3">
        <f t="shared" si="14"/>
        <v>0</v>
      </c>
      <c r="Z53" s="3"/>
      <c r="AA53" s="3"/>
      <c r="AB53" s="3"/>
      <c r="AC53" s="3" t="str">
        <f>IF(Tabella3[[#This Row],[gol port f]]="","",IF(Tabella3[[#This Row],[gol port f]]=0,1,0))</f>
        <v/>
      </c>
      <c r="AD53" s="3" t="str">
        <f>IF(Tabella3[[#This Row],[gol port s]]="","",IF(Tabella3[[#This Row],[gol port s]]=0,1,0))</f>
        <v/>
      </c>
      <c r="AE53" s="3"/>
    </row>
    <row r="54" spans="1:31" x14ac:dyDescent="0.3">
      <c r="A54" t="str">
        <f>CONCATENATE(Tabella3[[#This Row],[giornata]],Tabella3[[#This Row],[squadra]])</f>
        <v>6</v>
      </c>
      <c r="B54" s="3">
        <v>6</v>
      </c>
      <c r="G54" s="3">
        <f t="shared" si="0"/>
        <v>0</v>
      </c>
      <c r="I54" s="3">
        <f t="shared" si="14"/>
        <v>0</v>
      </c>
      <c r="Z54" s="3"/>
      <c r="AA54" s="3"/>
      <c r="AB54" s="3"/>
      <c r="AC54" s="3" t="str">
        <f>IF(Tabella3[[#This Row],[gol port f]]="","",IF(Tabella3[[#This Row],[gol port f]]=0,1,0))</f>
        <v/>
      </c>
      <c r="AD54" s="3" t="str">
        <f>IF(Tabella3[[#This Row],[gol port s]]="","",IF(Tabella3[[#This Row],[gol port s]]=0,1,0))</f>
        <v/>
      </c>
      <c r="AE54" s="3"/>
    </row>
    <row r="55" spans="1:31" x14ac:dyDescent="0.3">
      <c r="A55" t="str">
        <f>CONCATENATE(Tabella3[[#This Row],[giornata]],Tabella3[[#This Row],[squadra]])</f>
        <v>6</v>
      </c>
      <c r="B55" s="3">
        <v>6</v>
      </c>
      <c r="G55" s="3">
        <f t="shared" si="0"/>
        <v>0</v>
      </c>
      <c r="I55" s="3">
        <f t="shared" si="14"/>
        <v>0</v>
      </c>
      <c r="Z55" s="3"/>
      <c r="AA55" s="3"/>
      <c r="AB55" s="3"/>
      <c r="AC55" s="3" t="str">
        <f>IF(Tabella3[[#This Row],[gol port f]]="","",IF(Tabella3[[#This Row],[gol port f]]=0,1,0))</f>
        <v/>
      </c>
      <c r="AD55" s="3" t="str">
        <f>IF(Tabella3[[#This Row],[gol port s]]="","",IF(Tabella3[[#This Row],[gol port s]]=0,1,0))</f>
        <v/>
      </c>
      <c r="AE55" s="3"/>
    </row>
    <row r="56" spans="1:31" x14ac:dyDescent="0.3">
      <c r="A56" t="str">
        <f>CONCATENATE(Tabella3[[#This Row],[giornata]],Tabella3[[#This Row],[squadra]])</f>
        <v>6</v>
      </c>
      <c r="B56" s="3">
        <v>6</v>
      </c>
      <c r="G56" s="3">
        <f t="shared" si="0"/>
        <v>0</v>
      </c>
      <c r="I56" s="3">
        <f t="shared" si="14"/>
        <v>0</v>
      </c>
      <c r="Z56" s="3"/>
      <c r="AA56" s="3"/>
      <c r="AB56" s="3"/>
      <c r="AC56" s="3" t="str">
        <f>IF(Tabella3[[#This Row],[gol port f]]="","",IF(Tabella3[[#This Row],[gol port f]]=0,1,0))</f>
        <v/>
      </c>
      <c r="AD56" s="3" t="str">
        <f>IF(Tabella3[[#This Row],[gol port s]]="","",IF(Tabella3[[#This Row],[gol port s]]=0,1,0))</f>
        <v/>
      </c>
      <c r="AE56" s="3"/>
    </row>
    <row r="57" spans="1:31" x14ac:dyDescent="0.3">
      <c r="A57" t="str">
        <f>CONCATENATE(Tabella3[[#This Row],[giornata]],Tabella3[[#This Row],[squadra]])</f>
        <v>6</v>
      </c>
      <c r="B57" s="3">
        <v>6</v>
      </c>
      <c r="G57" s="3">
        <f t="shared" si="0"/>
        <v>0</v>
      </c>
      <c r="I57" s="3">
        <f t="shared" si="14"/>
        <v>0</v>
      </c>
      <c r="Z57" s="3"/>
      <c r="AA57" s="3"/>
      <c r="AB57" s="3"/>
      <c r="AC57" s="3" t="str">
        <f>IF(Tabella3[[#This Row],[gol port f]]="","",IF(Tabella3[[#This Row],[gol port f]]=0,1,0))</f>
        <v/>
      </c>
      <c r="AD57" s="3" t="str">
        <f>IF(Tabella3[[#This Row],[gol port s]]="","",IF(Tabella3[[#This Row],[gol port s]]=0,1,0))</f>
        <v/>
      </c>
      <c r="AE57" s="3"/>
    </row>
    <row r="58" spans="1:31" x14ac:dyDescent="0.3">
      <c r="A58" t="str">
        <f>CONCATENATE(Tabella3[[#This Row],[giornata]],Tabella3[[#This Row],[squadra]])</f>
        <v>6</v>
      </c>
      <c r="B58" s="3">
        <v>6</v>
      </c>
      <c r="G58" s="3">
        <f t="shared" si="0"/>
        <v>0</v>
      </c>
      <c r="I58" s="3">
        <f t="shared" si="14"/>
        <v>0</v>
      </c>
      <c r="Z58" s="3"/>
      <c r="AA58" s="3"/>
      <c r="AB58" s="3"/>
      <c r="AC58" s="3" t="str">
        <f>IF(Tabella3[[#This Row],[gol port f]]="","",IF(Tabella3[[#This Row],[gol port f]]=0,1,0))</f>
        <v/>
      </c>
      <c r="AD58" s="3" t="str">
        <f>IF(Tabella3[[#This Row],[gol port s]]="","",IF(Tabella3[[#This Row],[gol port s]]=0,1,0))</f>
        <v/>
      </c>
      <c r="AE58" s="3"/>
    </row>
    <row r="59" spans="1:31" x14ac:dyDescent="0.3">
      <c r="A59" t="str">
        <f>CONCATENATE(Tabella3[[#This Row],[giornata]],Tabella3[[#This Row],[squadra]])</f>
        <v>6</v>
      </c>
      <c r="B59" s="3">
        <v>6</v>
      </c>
      <c r="G59" s="3">
        <f t="shared" si="0"/>
        <v>0</v>
      </c>
      <c r="I59" s="3">
        <f t="shared" si="14"/>
        <v>0</v>
      </c>
      <c r="Z59" s="3"/>
      <c r="AA59" s="3"/>
      <c r="AB59" s="3"/>
      <c r="AC59" s="3" t="str">
        <f>IF(Tabella3[[#This Row],[gol port f]]="","",IF(Tabella3[[#This Row],[gol port f]]=0,1,0))</f>
        <v/>
      </c>
      <c r="AD59" s="3" t="str">
        <f>IF(Tabella3[[#This Row],[gol port s]]="","",IF(Tabella3[[#This Row],[gol port s]]=0,1,0))</f>
        <v/>
      </c>
      <c r="AE59" s="3"/>
    </row>
    <row r="60" spans="1:31" x14ac:dyDescent="0.3">
      <c r="A60" t="str">
        <f>CONCATENATE(Tabella3[[#This Row],[giornata]],Tabella3[[#This Row],[squadra]])</f>
        <v>6</v>
      </c>
      <c r="B60" s="3">
        <v>6</v>
      </c>
      <c r="G60" s="3">
        <f t="shared" si="0"/>
        <v>0</v>
      </c>
      <c r="I60" s="3">
        <f t="shared" si="14"/>
        <v>0</v>
      </c>
      <c r="Z60" s="3"/>
      <c r="AA60" s="3"/>
      <c r="AB60" s="3"/>
      <c r="AC60" s="3" t="str">
        <f>IF(Tabella3[[#This Row],[gol port f]]="","",IF(Tabella3[[#This Row],[gol port f]]=0,1,0))</f>
        <v/>
      </c>
      <c r="AD60" s="3" t="str">
        <f>IF(Tabella3[[#This Row],[gol port s]]="","",IF(Tabella3[[#This Row],[gol port s]]=0,1,0))</f>
        <v/>
      </c>
      <c r="AE60" s="3"/>
    </row>
    <row r="61" spans="1:31" x14ac:dyDescent="0.3">
      <c r="A61" t="str">
        <f>CONCATENATE(Tabella3[[#This Row],[giornata]],Tabella3[[#This Row],[squadra]])</f>
        <v>6</v>
      </c>
      <c r="B61" s="3">
        <v>6</v>
      </c>
      <c r="G61" s="3">
        <f t="shared" si="0"/>
        <v>0</v>
      </c>
      <c r="I61" s="3">
        <f t="shared" si="14"/>
        <v>0</v>
      </c>
      <c r="Z61" s="3"/>
      <c r="AA61" s="3"/>
      <c r="AB61" s="3"/>
      <c r="AC61" s="3" t="str">
        <f>IF(Tabella3[[#This Row],[gol port f]]="","",IF(Tabella3[[#This Row],[gol port f]]=0,1,0))</f>
        <v/>
      </c>
      <c r="AD61" s="3" t="str">
        <f>IF(Tabella3[[#This Row],[gol port s]]="","",IF(Tabella3[[#This Row],[gol port s]]=0,1,0))</f>
        <v/>
      </c>
      <c r="AE61" s="3"/>
    </row>
    <row r="62" spans="1:31" x14ac:dyDescent="0.3">
      <c r="A62" t="str">
        <f>CONCATENATE(Tabella3[[#This Row],[giornata]],Tabella3[[#This Row],[squadra]])</f>
        <v/>
      </c>
      <c r="G62" s="3">
        <f t="shared" si="0"/>
        <v>0</v>
      </c>
      <c r="I62" s="3">
        <f t="shared" si="14"/>
        <v>0</v>
      </c>
      <c r="Z62" s="3"/>
      <c r="AA62" s="3"/>
      <c r="AB62" s="3"/>
      <c r="AC62" s="3" t="str">
        <f>IF(Tabella3[[#This Row],[gol port f]]="","",IF(Tabella3[[#This Row],[gol port f]]=0,1,0))</f>
        <v/>
      </c>
      <c r="AD62" s="3" t="str">
        <f>IF(Tabella3[[#This Row],[gol port s]]="","",IF(Tabella3[[#This Row],[gol port s]]=0,1,0))</f>
        <v/>
      </c>
      <c r="AE62" s="3"/>
    </row>
    <row r="63" spans="1:31" x14ac:dyDescent="0.3">
      <c r="A63" t="str">
        <f>CONCATENATE(Tabella3[[#This Row],[giornata]],Tabella3[[#This Row],[squadra]])</f>
        <v/>
      </c>
      <c r="G63" s="3">
        <f t="shared" si="0"/>
        <v>0</v>
      </c>
      <c r="I63" s="3">
        <f t="shared" si="14"/>
        <v>0</v>
      </c>
      <c r="Z63" s="3"/>
      <c r="AA63" s="3"/>
      <c r="AB63" s="3"/>
      <c r="AC63" s="3" t="str">
        <f>IF(Tabella3[[#This Row],[gol port f]]="","",IF(Tabella3[[#This Row],[gol port f]]=0,1,0))</f>
        <v/>
      </c>
      <c r="AD63" s="3" t="str">
        <f>IF(Tabella3[[#This Row],[gol port s]]="","",IF(Tabella3[[#This Row],[gol port s]]=0,1,0))</f>
        <v/>
      </c>
      <c r="AE63" s="3"/>
    </row>
    <row r="64" spans="1:31" x14ac:dyDescent="0.3">
      <c r="A64" t="str">
        <f>CONCATENATE(Tabella3[[#This Row],[giornata]],Tabella3[[#This Row],[squadra]])</f>
        <v/>
      </c>
      <c r="G64" s="3">
        <f t="shared" si="0"/>
        <v>0</v>
      </c>
      <c r="I64" s="3">
        <f t="shared" si="14"/>
        <v>0</v>
      </c>
      <c r="Z64" s="3"/>
      <c r="AA64" s="3"/>
      <c r="AB64" s="3"/>
      <c r="AC64" s="3" t="str">
        <f>IF(Tabella3[[#This Row],[gol port f]]="","",IF(Tabella3[[#This Row],[gol port f]]=0,1,0))</f>
        <v/>
      </c>
      <c r="AD64" s="3" t="str">
        <f>IF(Tabella3[[#This Row],[gol port s]]="","",IF(Tabella3[[#This Row],[gol port s]]=0,1,0))</f>
        <v/>
      </c>
      <c r="AE64" s="3"/>
    </row>
    <row r="65" spans="1:39" x14ac:dyDescent="0.3">
      <c r="A65" t="str">
        <f>CONCATENATE(Tabella3[[#This Row],[giornata]],Tabella3[[#This Row],[squadra]])</f>
        <v/>
      </c>
      <c r="G65" s="3">
        <f t="shared" si="0"/>
        <v>0</v>
      </c>
      <c r="I65" s="3">
        <f t="shared" si="14"/>
        <v>0</v>
      </c>
      <c r="Z65" s="3"/>
      <c r="AA65" s="3"/>
      <c r="AB65" s="3"/>
      <c r="AC65" s="3" t="str">
        <f>IF(Tabella3[[#This Row],[gol port f]]="","",IF(Tabella3[[#This Row],[gol port f]]=0,1,0))</f>
        <v/>
      </c>
      <c r="AD65" s="3" t="str">
        <f>IF(Tabella3[[#This Row],[gol port s]]="","",IF(Tabella3[[#This Row],[gol port s]]=0,1,0))</f>
        <v/>
      </c>
      <c r="AE65" s="3"/>
    </row>
    <row r="66" spans="1:39" x14ac:dyDescent="0.3">
      <c r="A66" t="str">
        <f>CONCATENATE(Tabella3[[#This Row],[giornata]],Tabella3[[#This Row],[squadra]])</f>
        <v/>
      </c>
      <c r="G66" s="3">
        <f t="shared" ref="G66:G129" si="15">SUM(D66:F66)</f>
        <v>0</v>
      </c>
      <c r="I66" s="3">
        <f t="shared" ref="I66:I129" si="16">VLOOKUP(G66,$AH$32:$AI$40,2,TRUE)</f>
        <v>0</v>
      </c>
      <c r="Z66" s="3"/>
      <c r="AA66" s="3"/>
      <c r="AB66" s="3"/>
      <c r="AC66" s="3" t="str">
        <f>IF(Tabella3[[#This Row],[gol port f]]="","",IF(Tabella3[[#This Row],[gol port f]]=0,1,0))</f>
        <v/>
      </c>
      <c r="AD66" s="3" t="str">
        <f>IF(Tabella3[[#This Row],[gol port s]]="","",IF(Tabella3[[#This Row],[gol port s]]=0,1,0))</f>
        <v/>
      </c>
      <c r="AE66" s="3"/>
    </row>
    <row r="67" spans="1:39" x14ac:dyDescent="0.3">
      <c r="A67" t="str">
        <f>CONCATENATE(Tabella3[[#This Row],[giornata]],Tabella3[[#This Row],[squadra]])</f>
        <v/>
      </c>
      <c r="G67" s="3">
        <f t="shared" si="15"/>
        <v>0</v>
      </c>
      <c r="I67" s="3">
        <f t="shared" si="16"/>
        <v>0</v>
      </c>
      <c r="Z67" s="3"/>
      <c r="AA67" s="3"/>
      <c r="AB67" s="3"/>
      <c r="AC67" s="3" t="str">
        <f>IF(Tabella3[[#This Row],[gol port f]]="","",IF(Tabella3[[#This Row],[gol port f]]=0,1,0))</f>
        <v/>
      </c>
      <c r="AD67" s="3" t="str">
        <f>IF(Tabella3[[#This Row],[gol port s]]="","",IF(Tabella3[[#This Row],[gol port s]]=0,1,0))</f>
        <v/>
      </c>
      <c r="AE67" s="3"/>
    </row>
    <row r="68" spans="1:39" x14ac:dyDescent="0.3">
      <c r="A68" t="str">
        <f>CONCATENATE(Tabella3[[#This Row],[giornata]],Tabella3[[#This Row],[squadra]])</f>
        <v/>
      </c>
      <c r="G68" s="3">
        <f t="shared" si="15"/>
        <v>0</v>
      </c>
      <c r="I68" s="3">
        <f t="shared" si="16"/>
        <v>0</v>
      </c>
      <c r="Z68" s="3"/>
      <c r="AA68" s="3"/>
      <c r="AB68" s="3"/>
      <c r="AC68" s="3" t="str">
        <f>IF(Tabella3[[#This Row],[gol port f]]="","",IF(Tabella3[[#This Row],[gol port f]]=0,1,0))</f>
        <v/>
      </c>
      <c r="AD68" s="3" t="str">
        <f>IF(Tabella3[[#This Row],[gol port s]]="","",IF(Tabella3[[#This Row],[gol port s]]=0,1,0))</f>
        <v/>
      </c>
      <c r="AE68" s="3"/>
    </row>
    <row r="69" spans="1:39" x14ac:dyDescent="0.3">
      <c r="A69" t="str">
        <f>CONCATENATE(Tabella3[[#This Row],[giornata]],Tabella3[[#This Row],[squadra]])</f>
        <v/>
      </c>
      <c r="G69" s="3">
        <f t="shared" si="15"/>
        <v>0</v>
      </c>
      <c r="I69" s="3">
        <f t="shared" si="16"/>
        <v>0</v>
      </c>
      <c r="Z69" s="3"/>
      <c r="AA69" s="3"/>
      <c r="AB69" s="3"/>
      <c r="AC69" s="3" t="str">
        <f>IF(Tabella3[[#This Row],[gol port f]]="","",IF(Tabella3[[#This Row],[gol port f]]=0,1,0))</f>
        <v/>
      </c>
      <c r="AD69" s="3" t="str">
        <f>IF(Tabella3[[#This Row],[gol port s]]="","",IF(Tabella3[[#This Row],[gol port s]]=0,1,0))</f>
        <v/>
      </c>
      <c r="AE69" s="3"/>
    </row>
    <row r="70" spans="1:39" x14ac:dyDescent="0.3">
      <c r="A70" t="str">
        <f>CONCATENATE(Tabella3[[#This Row],[giornata]],Tabella3[[#This Row],[squadra]])</f>
        <v/>
      </c>
      <c r="G70" s="3">
        <f t="shared" si="15"/>
        <v>0</v>
      </c>
      <c r="I70" s="3">
        <f t="shared" si="16"/>
        <v>0</v>
      </c>
      <c r="Z70" s="3"/>
      <c r="AA70" s="3"/>
      <c r="AB70" s="3"/>
      <c r="AC70" s="3" t="str">
        <f>IF(Tabella3[[#This Row],[gol port f]]="","",IF(Tabella3[[#This Row],[gol port f]]=0,1,0))</f>
        <v/>
      </c>
      <c r="AD70" s="3" t="str">
        <f>IF(Tabella3[[#This Row],[gol port s]]="","",IF(Tabella3[[#This Row],[gol port s]]=0,1,0))</f>
        <v/>
      </c>
      <c r="AE70" s="3"/>
    </row>
    <row r="71" spans="1:39" x14ac:dyDescent="0.3">
      <c r="A71" t="str">
        <f>CONCATENATE(Tabella3[[#This Row],[giornata]],Tabella3[[#This Row],[squadra]])</f>
        <v/>
      </c>
      <c r="G71" s="3">
        <f t="shared" si="15"/>
        <v>0</v>
      </c>
      <c r="I71" s="3">
        <f t="shared" si="16"/>
        <v>0</v>
      </c>
      <c r="Z71" s="3"/>
      <c r="AA71" s="3"/>
      <c r="AB71" s="3"/>
      <c r="AC71" s="3" t="str">
        <f>IF(Tabella3[[#This Row],[gol port f]]="","",IF(Tabella3[[#This Row],[gol port f]]=0,1,0))</f>
        <v/>
      </c>
      <c r="AD71" s="3" t="str">
        <f>IF(Tabella3[[#This Row],[gol port s]]="","",IF(Tabella3[[#This Row],[gol port s]]=0,1,0))</f>
        <v/>
      </c>
      <c r="AE71" s="3"/>
    </row>
    <row r="72" spans="1:39" x14ac:dyDescent="0.3">
      <c r="A72" t="str">
        <f>CONCATENATE(Tabella3[[#This Row],[giornata]],Tabella3[[#This Row],[squadra]])</f>
        <v/>
      </c>
      <c r="G72" s="3">
        <f t="shared" si="15"/>
        <v>0</v>
      </c>
      <c r="I72" s="3">
        <f t="shared" si="16"/>
        <v>0</v>
      </c>
      <c r="Z72" s="3"/>
      <c r="AA72" s="3"/>
      <c r="AB72" s="3"/>
      <c r="AC72" s="3" t="str">
        <f>IF(Tabella3[[#This Row],[gol port f]]="","",IF(Tabella3[[#This Row],[gol port f]]=0,1,0))</f>
        <v/>
      </c>
      <c r="AD72" s="3" t="str">
        <f>IF(Tabella3[[#This Row],[gol port s]]="","",IF(Tabella3[[#This Row],[gol port s]]=0,1,0))</f>
        <v/>
      </c>
      <c r="AE72" s="3"/>
    </row>
    <row r="73" spans="1:39" x14ac:dyDescent="0.3">
      <c r="A73" t="str">
        <f>CONCATENATE(Tabella3[[#This Row],[giornata]],Tabella3[[#This Row],[squadra]])</f>
        <v/>
      </c>
      <c r="G73" s="3">
        <f t="shared" si="15"/>
        <v>0</v>
      </c>
      <c r="I73" s="3">
        <f t="shared" si="16"/>
        <v>0</v>
      </c>
      <c r="Z73" s="3"/>
      <c r="AA73" s="3"/>
      <c r="AB73" s="3"/>
      <c r="AC73" s="3" t="str">
        <f>IF(Tabella3[[#This Row],[gol port f]]="","",IF(Tabella3[[#This Row],[gol port f]]=0,1,0))</f>
        <v/>
      </c>
      <c r="AD73" s="3" t="str">
        <f>IF(Tabella3[[#This Row],[gol port s]]="","",IF(Tabella3[[#This Row],[gol port s]]=0,1,0))</f>
        <v/>
      </c>
      <c r="AE73" s="3"/>
    </row>
    <row r="74" spans="1:39" x14ac:dyDescent="0.3">
      <c r="A74" t="str">
        <f>CONCATENATE(Tabella3[[#This Row],[giornata]],Tabella3[[#This Row],[squadra]])</f>
        <v/>
      </c>
      <c r="G74" s="3">
        <f t="shared" si="15"/>
        <v>0</v>
      </c>
      <c r="I74" s="3">
        <f t="shared" si="16"/>
        <v>0</v>
      </c>
      <c r="Z74" s="3"/>
      <c r="AA74" s="3"/>
      <c r="AB74" s="3"/>
      <c r="AC74" s="3" t="str">
        <f>IF(Tabella3[[#This Row],[gol port f]]="","",IF(Tabella3[[#This Row],[gol port f]]=0,1,0))</f>
        <v/>
      </c>
      <c r="AD74" s="3" t="str">
        <f>IF(Tabella3[[#This Row],[gol port s]]="","",IF(Tabella3[[#This Row],[gol port s]]=0,1,0))</f>
        <v/>
      </c>
      <c r="AE74" s="3"/>
    </row>
    <row r="75" spans="1:39" x14ac:dyDescent="0.3">
      <c r="A75" t="str">
        <f>CONCATENATE(Tabella3[[#This Row],[giornata]],Tabella3[[#This Row],[squadra]])</f>
        <v/>
      </c>
      <c r="G75" s="3">
        <f t="shared" si="15"/>
        <v>0</v>
      </c>
      <c r="I75" s="3">
        <f t="shared" si="16"/>
        <v>0</v>
      </c>
      <c r="Z75" s="3"/>
      <c r="AA75" s="3"/>
      <c r="AB75" s="3"/>
      <c r="AC75" s="3" t="str">
        <f>IF(Tabella3[[#This Row],[gol port f]]="","",IF(Tabella3[[#This Row],[gol port f]]=0,1,0))</f>
        <v/>
      </c>
      <c r="AD75" s="3" t="str">
        <f>IF(Tabella3[[#This Row],[gol port s]]="","",IF(Tabella3[[#This Row],[gol port s]]=0,1,0))</f>
        <v/>
      </c>
      <c r="AE75" s="3"/>
    </row>
    <row r="76" spans="1:39" x14ac:dyDescent="0.3">
      <c r="A76" t="str">
        <f>CONCATENATE(Tabella3[[#This Row],[giornata]],Tabella3[[#This Row],[squadra]])</f>
        <v/>
      </c>
      <c r="G76" s="3">
        <f t="shared" si="15"/>
        <v>0</v>
      </c>
      <c r="I76" s="3">
        <f t="shared" si="16"/>
        <v>0</v>
      </c>
      <c r="Z76" s="3"/>
      <c r="AA76" s="3"/>
      <c r="AB76" s="3"/>
      <c r="AC76" s="3" t="str">
        <f>IF(Tabella3[[#This Row],[gol port f]]="","",IF(Tabella3[[#This Row],[gol port f]]=0,1,0))</f>
        <v/>
      </c>
      <c r="AD76" s="3" t="str">
        <f>IF(Tabella3[[#This Row],[gol port s]]="","",IF(Tabella3[[#This Row],[gol port s]]=0,1,0))</f>
        <v/>
      </c>
      <c r="AE76" s="3"/>
    </row>
    <row r="77" spans="1:39" x14ac:dyDescent="0.3">
      <c r="A77" t="str">
        <f>CONCATENATE(Tabella3[[#This Row],[giornata]],Tabella3[[#This Row],[squadra]])</f>
        <v/>
      </c>
      <c r="G77" s="3">
        <f t="shared" si="15"/>
        <v>0</v>
      </c>
      <c r="I77" s="3">
        <f t="shared" si="16"/>
        <v>0</v>
      </c>
      <c r="Z77" s="3"/>
      <c r="AA77" s="3"/>
      <c r="AB77" s="3"/>
      <c r="AC77" s="3" t="str">
        <f>IF(Tabella3[[#This Row],[gol port f]]="","",IF(Tabella3[[#This Row],[gol port f]]=0,1,0))</f>
        <v/>
      </c>
      <c r="AD77" s="3" t="str">
        <f>IF(Tabella3[[#This Row],[gol port s]]="","",IF(Tabella3[[#This Row],[gol port s]]=0,1,0))</f>
        <v/>
      </c>
      <c r="AE77" s="3"/>
    </row>
    <row r="78" spans="1:39" x14ac:dyDescent="0.3">
      <c r="A78" t="str">
        <f>CONCATENATE(Tabella3[[#This Row],[giornata]],Tabella3[[#This Row],[squadra]])</f>
        <v/>
      </c>
      <c r="G78" s="3">
        <f t="shared" si="15"/>
        <v>0</v>
      </c>
      <c r="I78" s="3">
        <f t="shared" si="16"/>
        <v>0</v>
      </c>
      <c r="Z78" s="3"/>
      <c r="AA78" s="3"/>
      <c r="AB78" s="3"/>
      <c r="AC78" s="3" t="str">
        <f>IF(Tabella3[[#This Row],[gol port f]]="","",IF(Tabella3[[#This Row],[gol port f]]=0,1,0))</f>
        <v/>
      </c>
      <c r="AD78" s="3" t="str">
        <f>IF(Tabella3[[#This Row],[gol port s]]="","",IF(Tabella3[[#This Row],[gol port s]]=0,1,0))</f>
        <v/>
      </c>
      <c r="AE78" s="3"/>
      <c r="AM78" t="s">
        <v>98</v>
      </c>
    </row>
    <row r="79" spans="1:39" x14ac:dyDescent="0.3">
      <c r="A79" t="str">
        <f>CONCATENATE(Tabella3[[#This Row],[giornata]],Tabella3[[#This Row],[squadra]])</f>
        <v/>
      </c>
      <c r="G79" s="3">
        <f t="shared" si="15"/>
        <v>0</v>
      </c>
      <c r="I79" s="3">
        <f t="shared" si="16"/>
        <v>0</v>
      </c>
      <c r="Z79" s="3"/>
      <c r="AA79" s="3"/>
      <c r="AB79" s="3"/>
      <c r="AC79" s="3" t="str">
        <f>IF(Tabella3[[#This Row],[gol port f]]="","",IF(Tabella3[[#This Row],[gol port f]]=0,1,0))</f>
        <v/>
      </c>
      <c r="AD79" s="3" t="str">
        <f>IF(Tabella3[[#This Row],[gol port s]]="","",IF(Tabella3[[#This Row],[gol port s]]=0,1,0))</f>
        <v/>
      </c>
      <c r="AE79" s="3"/>
    </row>
    <row r="80" spans="1:39" x14ac:dyDescent="0.3">
      <c r="A80" t="str">
        <f>CONCATENATE(Tabella3[[#This Row],[giornata]],Tabella3[[#This Row],[squadra]])</f>
        <v/>
      </c>
      <c r="G80" s="3">
        <f t="shared" si="15"/>
        <v>0</v>
      </c>
      <c r="I80" s="3">
        <f t="shared" si="16"/>
        <v>0</v>
      </c>
      <c r="Z80" s="3"/>
      <c r="AA80" s="3"/>
      <c r="AB80" s="3"/>
      <c r="AC80" s="3" t="str">
        <f>IF(Tabella3[[#This Row],[gol port f]]="","",IF(Tabella3[[#This Row],[gol port f]]=0,1,0))</f>
        <v/>
      </c>
      <c r="AD80" s="3" t="str">
        <f>IF(Tabella3[[#This Row],[gol port s]]="","",IF(Tabella3[[#This Row],[gol port s]]=0,1,0))</f>
        <v/>
      </c>
      <c r="AE80" s="3"/>
    </row>
    <row r="81" spans="1:31" x14ac:dyDescent="0.3">
      <c r="A81" t="str">
        <f>CONCATENATE(Tabella3[[#This Row],[giornata]],Tabella3[[#This Row],[squadra]])</f>
        <v/>
      </c>
      <c r="G81" s="3">
        <f t="shared" si="15"/>
        <v>0</v>
      </c>
      <c r="I81" s="3">
        <f t="shared" si="16"/>
        <v>0</v>
      </c>
      <c r="Z81" s="3"/>
      <c r="AA81" s="3"/>
      <c r="AB81" s="3"/>
      <c r="AC81" s="3" t="str">
        <f>IF(Tabella3[[#This Row],[gol port f]]="","",IF(Tabella3[[#This Row],[gol port f]]=0,1,0))</f>
        <v/>
      </c>
      <c r="AD81" s="3" t="str">
        <f>IF(Tabella3[[#This Row],[gol port s]]="","",IF(Tabella3[[#This Row],[gol port s]]=0,1,0))</f>
        <v/>
      </c>
      <c r="AE81" s="3"/>
    </row>
    <row r="82" spans="1:31" x14ac:dyDescent="0.3">
      <c r="A82" t="str">
        <f>CONCATENATE(Tabella3[[#This Row],[giornata]],Tabella3[[#This Row],[squadra]])</f>
        <v/>
      </c>
      <c r="G82" s="3">
        <f t="shared" si="15"/>
        <v>0</v>
      </c>
      <c r="I82" s="3">
        <f t="shared" si="16"/>
        <v>0</v>
      </c>
      <c r="Z82" s="3"/>
      <c r="AA82" s="3"/>
      <c r="AB82" s="3"/>
      <c r="AC82" s="3" t="str">
        <f>IF(Tabella3[[#This Row],[gol port f]]="","",IF(Tabella3[[#This Row],[gol port f]]=0,1,0))</f>
        <v/>
      </c>
      <c r="AD82" s="3" t="str">
        <f>IF(Tabella3[[#This Row],[gol port s]]="","",IF(Tabella3[[#This Row],[gol port s]]=0,1,0))</f>
        <v/>
      </c>
      <c r="AE82" s="3"/>
    </row>
    <row r="83" spans="1:31" x14ac:dyDescent="0.3">
      <c r="A83" t="str">
        <f>CONCATENATE(Tabella3[[#This Row],[giornata]],Tabella3[[#This Row],[squadra]])</f>
        <v/>
      </c>
      <c r="G83" s="3">
        <f t="shared" si="15"/>
        <v>0</v>
      </c>
      <c r="I83" s="3">
        <f t="shared" si="16"/>
        <v>0</v>
      </c>
      <c r="Z83" s="3"/>
      <c r="AA83" s="3"/>
      <c r="AB83" s="3"/>
      <c r="AC83" s="3" t="str">
        <f>IF(Tabella3[[#This Row],[gol port f]]="","",IF(Tabella3[[#This Row],[gol port f]]=0,1,0))</f>
        <v/>
      </c>
      <c r="AD83" s="3" t="str">
        <f>IF(Tabella3[[#This Row],[gol port s]]="","",IF(Tabella3[[#This Row],[gol port s]]=0,1,0))</f>
        <v/>
      </c>
      <c r="AE83" s="3"/>
    </row>
    <row r="84" spans="1:31" x14ac:dyDescent="0.3">
      <c r="A84" t="str">
        <f>CONCATENATE(Tabella3[[#This Row],[giornata]],Tabella3[[#This Row],[squadra]])</f>
        <v/>
      </c>
      <c r="G84" s="3">
        <f t="shared" si="15"/>
        <v>0</v>
      </c>
      <c r="I84" s="3">
        <f t="shared" si="16"/>
        <v>0</v>
      </c>
      <c r="Z84" s="3"/>
      <c r="AA84" s="3"/>
      <c r="AB84" s="3"/>
      <c r="AC84" s="3" t="str">
        <f>IF(Tabella3[[#This Row],[gol port f]]="","",IF(Tabella3[[#This Row],[gol port f]]=0,1,0))</f>
        <v/>
      </c>
      <c r="AD84" s="3" t="str">
        <f>IF(Tabella3[[#This Row],[gol port s]]="","",IF(Tabella3[[#This Row],[gol port s]]=0,1,0))</f>
        <v/>
      </c>
      <c r="AE84" s="3"/>
    </row>
    <row r="85" spans="1:31" x14ac:dyDescent="0.3">
      <c r="A85" t="str">
        <f>CONCATENATE(Tabella3[[#This Row],[giornata]],Tabella3[[#This Row],[squadra]])</f>
        <v/>
      </c>
      <c r="G85" s="3">
        <f t="shared" si="15"/>
        <v>0</v>
      </c>
      <c r="I85" s="3">
        <f t="shared" si="16"/>
        <v>0</v>
      </c>
      <c r="Z85" s="3"/>
      <c r="AA85" s="3"/>
      <c r="AB85" s="3"/>
      <c r="AC85" s="3" t="str">
        <f>IF(Tabella3[[#This Row],[gol port f]]="","",IF(Tabella3[[#This Row],[gol port f]]=0,1,0))</f>
        <v/>
      </c>
      <c r="AD85" s="3" t="str">
        <f>IF(Tabella3[[#This Row],[gol port s]]="","",IF(Tabella3[[#This Row],[gol port s]]=0,1,0))</f>
        <v/>
      </c>
      <c r="AE85" s="3"/>
    </row>
    <row r="86" spans="1:31" x14ac:dyDescent="0.3">
      <c r="A86" t="str">
        <f>CONCATENATE(Tabella3[[#This Row],[giornata]],Tabella3[[#This Row],[squadra]])</f>
        <v/>
      </c>
      <c r="G86" s="3">
        <f t="shared" si="15"/>
        <v>0</v>
      </c>
      <c r="I86" s="3">
        <f t="shared" si="16"/>
        <v>0</v>
      </c>
      <c r="Z86" s="3"/>
      <c r="AA86" s="3"/>
      <c r="AB86" s="3"/>
      <c r="AC86" s="3" t="str">
        <f>IF(Tabella3[[#This Row],[gol port f]]="","",IF(Tabella3[[#This Row],[gol port f]]=0,1,0))</f>
        <v/>
      </c>
      <c r="AD86" s="3" t="str">
        <f>IF(Tabella3[[#This Row],[gol port s]]="","",IF(Tabella3[[#This Row],[gol port s]]=0,1,0))</f>
        <v/>
      </c>
      <c r="AE86" s="3"/>
    </row>
    <row r="87" spans="1:31" x14ac:dyDescent="0.3">
      <c r="A87" t="str">
        <f>CONCATENATE(Tabella3[[#This Row],[giornata]],Tabella3[[#This Row],[squadra]])</f>
        <v/>
      </c>
      <c r="G87" s="3">
        <f t="shared" si="15"/>
        <v>0</v>
      </c>
      <c r="I87" s="3">
        <f t="shared" si="16"/>
        <v>0</v>
      </c>
      <c r="Z87" s="3"/>
      <c r="AA87" s="3"/>
      <c r="AB87" s="3"/>
      <c r="AC87" s="3" t="str">
        <f>IF(Tabella3[[#This Row],[gol port f]]="","",IF(Tabella3[[#This Row],[gol port f]]=0,1,0))</f>
        <v/>
      </c>
      <c r="AD87" s="3" t="str">
        <f>IF(Tabella3[[#This Row],[gol port s]]="","",IF(Tabella3[[#This Row],[gol port s]]=0,1,0))</f>
        <v/>
      </c>
      <c r="AE87" s="3"/>
    </row>
    <row r="88" spans="1:31" x14ac:dyDescent="0.3">
      <c r="A88" t="str">
        <f>CONCATENATE(Tabella3[[#This Row],[giornata]],Tabella3[[#This Row],[squadra]])</f>
        <v/>
      </c>
      <c r="G88" s="3">
        <f t="shared" si="15"/>
        <v>0</v>
      </c>
      <c r="I88" s="3">
        <f t="shared" si="16"/>
        <v>0</v>
      </c>
      <c r="Z88" s="3"/>
      <c r="AA88" s="3"/>
      <c r="AB88" s="3"/>
      <c r="AC88" s="3" t="str">
        <f>IF(Tabella3[[#This Row],[gol port f]]="","",IF(Tabella3[[#This Row],[gol port f]]=0,1,0))</f>
        <v/>
      </c>
      <c r="AD88" s="3" t="str">
        <f>IF(Tabella3[[#This Row],[gol port s]]="","",IF(Tabella3[[#This Row],[gol port s]]=0,1,0))</f>
        <v/>
      </c>
      <c r="AE88" s="3"/>
    </row>
    <row r="89" spans="1:31" x14ac:dyDescent="0.3">
      <c r="A89" t="str">
        <f>CONCATENATE(Tabella3[[#This Row],[giornata]],Tabella3[[#This Row],[squadra]])</f>
        <v/>
      </c>
      <c r="G89" s="3">
        <f t="shared" si="15"/>
        <v>0</v>
      </c>
      <c r="I89" s="3">
        <f t="shared" si="16"/>
        <v>0</v>
      </c>
      <c r="Z89" s="3"/>
      <c r="AA89" s="3"/>
      <c r="AB89" s="3"/>
      <c r="AC89" s="3" t="str">
        <f>IF(Tabella3[[#This Row],[gol port f]]="","",IF(Tabella3[[#This Row],[gol port f]]=0,1,0))</f>
        <v/>
      </c>
      <c r="AD89" s="3" t="str">
        <f>IF(Tabella3[[#This Row],[gol port s]]="","",IF(Tabella3[[#This Row],[gol port s]]=0,1,0))</f>
        <v/>
      </c>
      <c r="AE89" s="3"/>
    </row>
    <row r="90" spans="1:31" x14ac:dyDescent="0.3">
      <c r="A90" t="str">
        <f>CONCATENATE(Tabella3[[#This Row],[giornata]],Tabella3[[#This Row],[squadra]])</f>
        <v/>
      </c>
      <c r="G90" s="3">
        <f t="shared" si="15"/>
        <v>0</v>
      </c>
      <c r="I90" s="3">
        <f t="shared" si="16"/>
        <v>0</v>
      </c>
      <c r="Z90" s="3"/>
      <c r="AA90" s="3"/>
      <c r="AB90" s="3"/>
      <c r="AC90" s="3" t="str">
        <f>IF(Tabella3[[#This Row],[gol port f]]="","",IF(Tabella3[[#This Row],[gol port f]]=0,1,0))</f>
        <v/>
      </c>
      <c r="AD90" s="3" t="str">
        <f>IF(Tabella3[[#This Row],[gol port s]]="","",IF(Tabella3[[#This Row],[gol port s]]=0,1,0))</f>
        <v/>
      </c>
      <c r="AE90" s="3"/>
    </row>
    <row r="91" spans="1:31" x14ac:dyDescent="0.3">
      <c r="A91" t="str">
        <f>CONCATENATE(Tabella3[[#This Row],[giornata]],Tabella3[[#This Row],[squadra]])</f>
        <v/>
      </c>
      <c r="G91" s="3">
        <f t="shared" si="15"/>
        <v>0</v>
      </c>
      <c r="I91" s="3">
        <f t="shared" si="16"/>
        <v>0</v>
      </c>
      <c r="Z91" s="3"/>
      <c r="AA91" s="3"/>
      <c r="AB91" s="3"/>
      <c r="AC91" s="3" t="str">
        <f>IF(Tabella3[[#This Row],[gol port f]]="","",IF(Tabella3[[#This Row],[gol port f]]=0,1,0))</f>
        <v/>
      </c>
      <c r="AD91" s="3" t="str">
        <f>IF(Tabella3[[#This Row],[gol port s]]="","",IF(Tabella3[[#This Row],[gol port s]]=0,1,0))</f>
        <v/>
      </c>
      <c r="AE91" s="3"/>
    </row>
    <row r="92" spans="1:31" x14ac:dyDescent="0.3">
      <c r="A92" t="str">
        <f>CONCATENATE(Tabella3[[#This Row],[giornata]],Tabella3[[#This Row],[squadra]])</f>
        <v/>
      </c>
      <c r="G92" s="3">
        <f t="shared" si="15"/>
        <v>0</v>
      </c>
      <c r="I92" s="3">
        <f t="shared" si="16"/>
        <v>0</v>
      </c>
      <c r="Z92" s="3"/>
      <c r="AA92" s="3"/>
      <c r="AB92" s="3"/>
      <c r="AC92" s="3" t="str">
        <f>IF(Tabella3[[#This Row],[gol port f]]="","",IF(Tabella3[[#This Row],[gol port f]]=0,1,0))</f>
        <v/>
      </c>
      <c r="AD92" s="3" t="str">
        <f>IF(Tabella3[[#This Row],[gol port s]]="","",IF(Tabella3[[#This Row],[gol port s]]=0,1,0))</f>
        <v/>
      </c>
      <c r="AE92" s="3"/>
    </row>
    <row r="93" spans="1:31" x14ac:dyDescent="0.3">
      <c r="A93" t="str">
        <f>CONCATENATE(Tabella3[[#This Row],[giornata]],Tabella3[[#This Row],[squadra]])</f>
        <v/>
      </c>
      <c r="G93" s="3">
        <f t="shared" si="15"/>
        <v>0</v>
      </c>
      <c r="I93" s="3">
        <f t="shared" si="16"/>
        <v>0</v>
      </c>
      <c r="Z93" s="3"/>
      <c r="AA93" s="3"/>
      <c r="AB93" s="3"/>
      <c r="AC93" s="3" t="str">
        <f>IF(Tabella3[[#This Row],[gol port f]]="","",IF(Tabella3[[#This Row],[gol port f]]=0,1,0))</f>
        <v/>
      </c>
      <c r="AD93" s="3" t="str">
        <f>IF(Tabella3[[#This Row],[gol port s]]="","",IF(Tabella3[[#This Row],[gol port s]]=0,1,0))</f>
        <v/>
      </c>
      <c r="AE93" s="3"/>
    </row>
    <row r="94" spans="1:31" x14ac:dyDescent="0.3">
      <c r="A94" t="str">
        <f>CONCATENATE(Tabella3[[#This Row],[giornata]],Tabella3[[#This Row],[squadra]])</f>
        <v/>
      </c>
      <c r="G94" s="3">
        <f t="shared" si="15"/>
        <v>0</v>
      </c>
      <c r="I94" s="3">
        <f t="shared" si="16"/>
        <v>0</v>
      </c>
      <c r="Z94" s="3"/>
      <c r="AA94" s="3"/>
      <c r="AB94" s="3"/>
      <c r="AC94" s="3" t="str">
        <f>IF(Tabella3[[#This Row],[gol port f]]="","",IF(Tabella3[[#This Row],[gol port f]]=0,1,0))</f>
        <v/>
      </c>
      <c r="AD94" s="3" t="str">
        <f>IF(Tabella3[[#This Row],[gol port s]]="","",IF(Tabella3[[#This Row],[gol port s]]=0,1,0))</f>
        <v/>
      </c>
      <c r="AE94" s="3"/>
    </row>
    <row r="95" spans="1:31" x14ac:dyDescent="0.3">
      <c r="A95" t="str">
        <f>CONCATENATE(Tabella3[[#This Row],[giornata]],Tabella3[[#This Row],[squadra]])</f>
        <v/>
      </c>
      <c r="G95" s="3">
        <f t="shared" si="15"/>
        <v>0</v>
      </c>
      <c r="I95" s="3">
        <f t="shared" si="16"/>
        <v>0</v>
      </c>
      <c r="Z95" s="3"/>
      <c r="AA95" s="3"/>
      <c r="AB95" s="3"/>
      <c r="AC95" s="3" t="str">
        <f>IF(Tabella3[[#This Row],[gol port f]]="","",IF(Tabella3[[#This Row],[gol port f]]=0,1,0))</f>
        <v/>
      </c>
      <c r="AD95" s="3" t="str">
        <f>IF(Tabella3[[#This Row],[gol port s]]="","",IF(Tabella3[[#This Row],[gol port s]]=0,1,0))</f>
        <v/>
      </c>
      <c r="AE95" s="3"/>
    </row>
    <row r="96" spans="1:31" x14ac:dyDescent="0.3">
      <c r="A96" t="str">
        <f>CONCATENATE(Tabella3[[#This Row],[giornata]],Tabella3[[#This Row],[squadra]])</f>
        <v/>
      </c>
      <c r="G96" s="3">
        <f t="shared" si="15"/>
        <v>0</v>
      </c>
      <c r="I96" s="3">
        <f t="shared" si="16"/>
        <v>0</v>
      </c>
      <c r="Z96" s="3"/>
      <c r="AA96" s="3"/>
      <c r="AB96" s="3"/>
      <c r="AC96" s="3" t="str">
        <f>IF(Tabella3[[#This Row],[gol port f]]="","",IF(Tabella3[[#This Row],[gol port f]]=0,1,0))</f>
        <v/>
      </c>
      <c r="AD96" s="3" t="str">
        <f>IF(Tabella3[[#This Row],[gol port s]]="","",IF(Tabella3[[#This Row],[gol port s]]=0,1,0))</f>
        <v/>
      </c>
      <c r="AE96" s="3"/>
    </row>
    <row r="97" spans="1:31" x14ac:dyDescent="0.3">
      <c r="A97" t="str">
        <f>CONCATENATE(Tabella3[[#This Row],[giornata]],Tabella3[[#This Row],[squadra]])</f>
        <v/>
      </c>
      <c r="G97" s="3">
        <f t="shared" si="15"/>
        <v>0</v>
      </c>
      <c r="I97" s="3">
        <f t="shared" si="16"/>
        <v>0</v>
      </c>
      <c r="Z97" s="3"/>
      <c r="AA97" s="3"/>
      <c r="AB97" s="3"/>
      <c r="AC97" s="3" t="str">
        <f>IF(Tabella3[[#This Row],[gol port f]]="","",IF(Tabella3[[#This Row],[gol port f]]=0,1,0))</f>
        <v/>
      </c>
      <c r="AD97" s="3" t="str">
        <f>IF(Tabella3[[#This Row],[gol port s]]="","",IF(Tabella3[[#This Row],[gol port s]]=0,1,0))</f>
        <v/>
      </c>
      <c r="AE97" s="3"/>
    </row>
    <row r="98" spans="1:31" x14ac:dyDescent="0.3">
      <c r="A98" t="str">
        <f>CONCATENATE(Tabella3[[#This Row],[giornata]],Tabella3[[#This Row],[squadra]])</f>
        <v/>
      </c>
      <c r="G98" s="3">
        <f t="shared" si="15"/>
        <v>0</v>
      </c>
      <c r="I98" s="3">
        <f t="shared" si="16"/>
        <v>0</v>
      </c>
      <c r="Z98" s="3"/>
      <c r="AA98" s="3"/>
      <c r="AB98" s="3"/>
      <c r="AC98" s="3" t="str">
        <f>IF(Tabella3[[#This Row],[gol port f]]="","",IF(Tabella3[[#This Row],[gol port f]]=0,1,0))</f>
        <v/>
      </c>
      <c r="AD98" s="3" t="str">
        <f>IF(Tabella3[[#This Row],[gol port s]]="","",IF(Tabella3[[#This Row],[gol port s]]=0,1,0))</f>
        <v/>
      </c>
      <c r="AE98" s="3"/>
    </row>
    <row r="99" spans="1:31" x14ac:dyDescent="0.3">
      <c r="A99" t="str">
        <f>CONCATENATE(Tabella3[[#This Row],[giornata]],Tabella3[[#This Row],[squadra]])</f>
        <v/>
      </c>
      <c r="G99" s="3">
        <f t="shared" si="15"/>
        <v>0</v>
      </c>
      <c r="I99" s="3">
        <f t="shared" si="16"/>
        <v>0</v>
      </c>
      <c r="Z99" s="3"/>
      <c r="AA99" s="3"/>
      <c r="AB99" s="3"/>
      <c r="AC99" s="3" t="str">
        <f>IF(Tabella3[[#This Row],[gol port f]]="","",IF(Tabella3[[#This Row],[gol port f]]=0,1,0))</f>
        <v/>
      </c>
      <c r="AD99" s="3" t="str">
        <f>IF(Tabella3[[#This Row],[gol port s]]="","",IF(Tabella3[[#This Row],[gol port s]]=0,1,0))</f>
        <v/>
      </c>
      <c r="AE99" s="3"/>
    </row>
    <row r="100" spans="1:31" x14ac:dyDescent="0.3">
      <c r="A100" t="str">
        <f>CONCATENATE(Tabella3[[#This Row],[giornata]],Tabella3[[#This Row],[squadra]])</f>
        <v/>
      </c>
      <c r="G100" s="3">
        <f t="shared" si="15"/>
        <v>0</v>
      </c>
      <c r="I100" s="3">
        <f t="shared" si="16"/>
        <v>0</v>
      </c>
      <c r="Z100" s="3"/>
      <c r="AA100" s="3"/>
      <c r="AB100" s="3"/>
      <c r="AC100" s="3" t="str">
        <f>IF(Tabella3[[#This Row],[gol port f]]="","",IF(Tabella3[[#This Row],[gol port f]]=0,1,0))</f>
        <v/>
      </c>
      <c r="AD100" s="3" t="str">
        <f>IF(Tabella3[[#This Row],[gol port s]]="","",IF(Tabella3[[#This Row],[gol port s]]=0,1,0))</f>
        <v/>
      </c>
      <c r="AE100" s="3"/>
    </row>
    <row r="101" spans="1:31" x14ac:dyDescent="0.3">
      <c r="A101" t="str">
        <f>CONCATENATE(Tabella3[[#This Row],[giornata]],Tabella3[[#This Row],[squadra]])</f>
        <v/>
      </c>
      <c r="G101" s="3">
        <f t="shared" si="15"/>
        <v>0</v>
      </c>
      <c r="I101" s="3">
        <f t="shared" si="16"/>
        <v>0</v>
      </c>
      <c r="Z101" s="3"/>
      <c r="AA101" s="3"/>
      <c r="AB101" s="3"/>
      <c r="AC101" s="3" t="str">
        <f>IF(Tabella3[[#This Row],[gol port f]]="","",IF(Tabella3[[#This Row],[gol port f]]=0,1,0))</f>
        <v/>
      </c>
      <c r="AD101" s="3" t="str">
        <f>IF(Tabella3[[#This Row],[gol port s]]="","",IF(Tabella3[[#This Row],[gol port s]]=0,1,0))</f>
        <v/>
      </c>
      <c r="AE101" s="3"/>
    </row>
    <row r="102" spans="1:31" x14ac:dyDescent="0.3">
      <c r="A102" t="str">
        <f>CONCATENATE(Tabella3[[#This Row],[giornata]],Tabella3[[#This Row],[squadra]])</f>
        <v/>
      </c>
      <c r="G102" s="3">
        <f t="shared" si="15"/>
        <v>0</v>
      </c>
      <c r="I102" s="3">
        <f t="shared" si="16"/>
        <v>0</v>
      </c>
      <c r="Z102" s="3"/>
      <c r="AA102" s="3"/>
      <c r="AB102" s="3"/>
      <c r="AC102" s="3" t="str">
        <f>IF(Tabella3[[#This Row],[gol port f]]="","",IF(Tabella3[[#This Row],[gol port f]]=0,1,0))</f>
        <v/>
      </c>
      <c r="AD102" s="3" t="str">
        <f>IF(Tabella3[[#This Row],[gol port s]]="","",IF(Tabella3[[#This Row],[gol port s]]=0,1,0))</f>
        <v/>
      </c>
      <c r="AE102" s="3"/>
    </row>
    <row r="103" spans="1:31" x14ac:dyDescent="0.3">
      <c r="A103" t="str">
        <f>CONCATENATE(Tabella3[[#This Row],[giornata]],Tabella3[[#This Row],[squadra]])</f>
        <v/>
      </c>
      <c r="G103" s="3">
        <f t="shared" si="15"/>
        <v>0</v>
      </c>
      <c r="I103" s="3">
        <f t="shared" si="16"/>
        <v>0</v>
      </c>
      <c r="Z103" s="3"/>
      <c r="AA103" s="3"/>
      <c r="AB103" s="3"/>
      <c r="AC103" s="3" t="str">
        <f>IF(Tabella3[[#This Row],[gol port f]]="","",IF(Tabella3[[#This Row],[gol port f]]=0,1,0))</f>
        <v/>
      </c>
      <c r="AD103" s="3" t="str">
        <f>IF(Tabella3[[#This Row],[gol port s]]="","",IF(Tabella3[[#This Row],[gol port s]]=0,1,0))</f>
        <v/>
      </c>
      <c r="AE103" s="3"/>
    </row>
    <row r="104" spans="1:31" x14ac:dyDescent="0.3">
      <c r="A104" t="str">
        <f>CONCATENATE(Tabella3[[#This Row],[giornata]],Tabella3[[#This Row],[squadra]])</f>
        <v/>
      </c>
      <c r="G104" s="3">
        <f t="shared" si="15"/>
        <v>0</v>
      </c>
      <c r="I104" s="3">
        <f t="shared" si="16"/>
        <v>0</v>
      </c>
      <c r="Z104" s="3"/>
      <c r="AA104" s="3"/>
      <c r="AB104" s="3"/>
      <c r="AC104" s="3" t="str">
        <f>IF(Tabella3[[#This Row],[gol port f]]="","",IF(Tabella3[[#This Row],[gol port f]]=0,1,0))</f>
        <v/>
      </c>
      <c r="AD104" s="3" t="str">
        <f>IF(Tabella3[[#This Row],[gol port s]]="","",IF(Tabella3[[#This Row],[gol port s]]=0,1,0))</f>
        <v/>
      </c>
      <c r="AE104" s="3"/>
    </row>
    <row r="105" spans="1:31" x14ac:dyDescent="0.3">
      <c r="A105" t="str">
        <f>CONCATENATE(Tabella3[[#This Row],[giornata]],Tabella3[[#This Row],[squadra]])</f>
        <v/>
      </c>
      <c r="G105" s="3">
        <f t="shared" si="15"/>
        <v>0</v>
      </c>
      <c r="I105" s="3">
        <f t="shared" si="16"/>
        <v>0</v>
      </c>
      <c r="Z105" s="3"/>
      <c r="AA105" s="3"/>
      <c r="AB105" s="3"/>
      <c r="AC105" s="3" t="str">
        <f>IF(Tabella3[[#This Row],[gol port f]]="","",IF(Tabella3[[#This Row],[gol port f]]=0,1,0))</f>
        <v/>
      </c>
      <c r="AD105" s="3" t="str">
        <f>IF(Tabella3[[#This Row],[gol port s]]="","",IF(Tabella3[[#This Row],[gol port s]]=0,1,0))</f>
        <v/>
      </c>
      <c r="AE105" s="3"/>
    </row>
    <row r="106" spans="1:31" x14ac:dyDescent="0.3">
      <c r="A106" t="str">
        <f>CONCATENATE(Tabella3[[#This Row],[giornata]],Tabella3[[#This Row],[squadra]])</f>
        <v/>
      </c>
      <c r="G106" s="3">
        <f t="shared" si="15"/>
        <v>0</v>
      </c>
      <c r="I106" s="3">
        <f t="shared" si="16"/>
        <v>0</v>
      </c>
      <c r="Z106" s="3"/>
      <c r="AA106" s="3"/>
      <c r="AB106" s="3"/>
      <c r="AC106" s="3" t="str">
        <f>IF(Tabella3[[#This Row],[gol port f]]="","",IF(Tabella3[[#This Row],[gol port f]]=0,1,0))</f>
        <v/>
      </c>
      <c r="AD106" s="3" t="str">
        <f>IF(Tabella3[[#This Row],[gol port s]]="","",IF(Tabella3[[#This Row],[gol port s]]=0,1,0))</f>
        <v/>
      </c>
      <c r="AE106" s="3"/>
    </row>
    <row r="107" spans="1:31" x14ac:dyDescent="0.3">
      <c r="A107" t="str">
        <f>CONCATENATE(Tabella3[[#This Row],[giornata]],Tabella3[[#This Row],[squadra]])</f>
        <v/>
      </c>
      <c r="G107" s="3">
        <f t="shared" si="15"/>
        <v>0</v>
      </c>
      <c r="I107" s="3">
        <f t="shared" si="16"/>
        <v>0</v>
      </c>
      <c r="Z107" s="3"/>
      <c r="AA107" s="3"/>
      <c r="AB107" s="3"/>
      <c r="AC107" s="3" t="str">
        <f>IF(Tabella3[[#This Row],[gol port f]]="","",IF(Tabella3[[#This Row],[gol port f]]=0,1,0))</f>
        <v/>
      </c>
      <c r="AD107" s="3" t="str">
        <f>IF(Tabella3[[#This Row],[gol port s]]="","",IF(Tabella3[[#This Row],[gol port s]]=0,1,0))</f>
        <v/>
      </c>
      <c r="AE107" s="3"/>
    </row>
    <row r="108" spans="1:31" x14ac:dyDescent="0.3">
      <c r="A108" t="str">
        <f>CONCATENATE(Tabella3[[#This Row],[giornata]],Tabella3[[#This Row],[squadra]])</f>
        <v/>
      </c>
      <c r="G108" s="3">
        <f t="shared" si="15"/>
        <v>0</v>
      </c>
      <c r="I108" s="3">
        <f t="shared" si="16"/>
        <v>0</v>
      </c>
      <c r="Z108" s="3"/>
      <c r="AA108" s="3"/>
      <c r="AB108" s="3"/>
      <c r="AC108" s="3" t="str">
        <f>IF(Tabella3[[#This Row],[gol port f]]="","",IF(Tabella3[[#This Row],[gol port f]]=0,1,0))</f>
        <v/>
      </c>
      <c r="AD108" s="3" t="str">
        <f>IF(Tabella3[[#This Row],[gol port s]]="","",IF(Tabella3[[#This Row],[gol port s]]=0,1,0))</f>
        <v/>
      </c>
      <c r="AE108" s="3"/>
    </row>
    <row r="109" spans="1:31" x14ac:dyDescent="0.3">
      <c r="A109" t="str">
        <f>CONCATENATE(Tabella3[[#This Row],[giornata]],Tabella3[[#This Row],[squadra]])</f>
        <v/>
      </c>
      <c r="G109" s="3">
        <f t="shared" si="15"/>
        <v>0</v>
      </c>
      <c r="I109" s="3">
        <f t="shared" si="16"/>
        <v>0</v>
      </c>
      <c r="Z109" s="3"/>
      <c r="AA109" s="3"/>
      <c r="AB109" s="3"/>
      <c r="AC109" s="3" t="str">
        <f>IF(Tabella3[[#This Row],[gol port f]]="","",IF(Tabella3[[#This Row],[gol port f]]=0,1,0))</f>
        <v/>
      </c>
      <c r="AD109" s="3" t="str">
        <f>IF(Tabella3[[#This Row],[gol port s]]="","",IF(Tabella3[[#This Row],[gol port s]]=0,1,0))</f>
        <v/>
      </c>
      <c r="AE109" s="3"/>
    </row>
    <row r="110" spans="1:31" x14ac:dyDescent="0.3">
      <c r="A110" t="str">
        <f>CONCATENATE(Tabella3[[#This Row],[giornata]],Tabella3[[#This Row],[squadra]])</f>
        <v/>
      </c>
      <c r="G110" s="3">
        <f t="shared" si="15"/>
        <v>0</v>
      </c>
      <c r="I110" s="3">
        <f t="shared" si="16"/>
        <v>0</v>
      </c>
      <c r="Z110" s="3"/>
      <c r="AA110" s="3"/>
      <c r="AB110" s="3"/>
      <c r="AC110" s="3" t="str">
        <f>IF(Tabella3[[#This Row],[gol port f]]="","",IF(Tabella3[[#This Row],[gol port f]]=0,1,0))</f>
        <v/>
      </c>
      <c r="AD110" s="3" t="str">
        <f>IF(Tabella3[[#This Row],[gol port s]]="","",IF(Tabella3[[#This Row],[gol port s]]=0,1,0))</f>
        <v/>
      </c>
      <c r="AE110" s="3"/>
    </row>
    <row r="111" spans="1:31" x14ac:dyDescent="0.3">
      <c r="A111" t="str">
        <f>CONCATENATE(Tabella3[[#This Row],[giornata]],Tabella3[[#This Row],[squadra]])</f>
        <v/>
      </c>
      <c r="G111" s="3">
        <f t="shared" si="15"/>
        <v>0</v>
      </c>
      <c r="I111" s="3">
        <f t="shared" si="16"/>
        <v>0</v>
      </c>
      <c r="Z111" s="3"/>
      <c r="AA111" s="3"/>
      <c r="AB111" s="3"/>
      <c r="AC111" s="3" t="str">
        <f>IF(Tabella3[[#This Row],[gol port f]]="","",IF(Tabella3[[#This Row],[gol port f]]=0,1,0))</f>
        <v/>
      </c>
      <c r="AD111" s="3" t="str">
        <f>IF(Tabella3[[#This Row],[gol port s]]="","",IF(Tabella3[[#This Row],[gol port s]]=0,1,0))</f>
        <v/>
      </c>
      <c r="AE111" s="3"/>
    </row>
    <row r="112" spans="1:31" x14ac:dyDescent="0.3">
      <c r="A112" t="str">
        <f>CONCATENATE(Tabella3[[#This Row],[giornata]],Tabella3[[#This Row],[squadra]])</f>
        <v/>
      </c>
      <c r="G112" s="3">
        <f t="shared" si="15"/>
        <v>0</v>
      </c>
      <c r="I112" s="3">
        <f t="shared" si="16"/>
        <v>0</v>
      </c>
      <c r="Z112" s="3"/>
      <c r="AA112" s="3"/>
      <c r="AB112" s="3"/>
      <c r="AC112" s="3" t="str">
        <f>IF(Tabella3[[#This Row],[gol port f]]="","",IF(Tabella3[[#This Row],[gol port f]]=0,1,0))</f>
        <v/>
      </c>
      <c r="AD112" s="3" t="str">
        <f>IF(Tabella3[[#This Row],[gol port s]]="","",IF(Tabella3[[#This Row],[gol port s]]=0,1,0))</f>
        <v/>
      </c>
      <c r="AE112" s="3"/>
    </row>
    <row r="113" spans="1:31" x14ac:dyDescent="0.3">
      <c r="A113" t="str">
        <f>CONCATENATE(Tabella3[[#This Row],[giornata]],Tabella3[[#This Row],[squadra]])</f>
        <v/>
      </c>
      <c r="G113" s="3">
        <f t="shared" si="15"/>
        <v>0</v>
      </c>
      <c r="I113" s="3">
        <f t="shared" si="16"/>
        <v>0</v>
      </c>
      <c r="Z113" s="3"/>
      <c r="AA113" s="3"/>
      <c r="AB113" s="3"/>
      <c r="AC113" s="3" t="str">
        <f>IF(Tabella3[[#This Row],[gol port f]]="","",IF(Tabella3[[#This Row],[gol port f]]=0,1,0))</f>
        <v/>
      </c>
      <c r="AD113" s="3" t="str">
        <f>IF(Tabella3[[#This Row],[gol port s]]="","",IF(Tabella3[[#This Row],[gol port s]]=0,1,0))</f>
        <v/>
      </c>
      <c r="AE113" s="3"/>
    </row>
    <row r="114" spans="1:31" x14ac:dyDescent="0.3">
      <c r="A114" t="str">
        <f>CONCATENATE(Tabella3[[#This Row],[giornata]],Tabella3[[#This Row],[squadra]])</f>
        <v/>
      </c>
      <c r="G114" s="3">
        <f t="shared" si="15"/>
        <v>0</v>
      </c>
      <c r="I114" s="3">
        <f t="shared" si="16"/>
        <v>0</v>
      </c>
      <c r="Z114" s="3"/>
      <c r="AA114" s="3"/>
      <c r="AB114" s="3"/>
      <c r="AC114" s="3" t="str">
        <f>IF(Tabella3[[#This Row],[gol port f]]="","",IF(Tabella3[[#This Row],[gol port f]]=0,1,0))</f>
        <v/>
      </c>
      <c r="AD114" s="3" t="str">
        <f>IF(Tabella3[[#This Row],[gol port s]]="","",IF(Tabella3[[#This Row],[gol port s]]=0,1,0))</f>
        <v/>
      </c>
      <c r="AE114" s="3"/>
    </row>
    <row r="115" spans="1:31" x14ac:dyDescent="0.3">
      <c r="A115" t="str">
        <f>CONCATENATE(Tabella3[[#This Row],[giornata]],Tabella3[[#This Row],[squadra]])</f>
        <v/>
      </c>
      <c r="G115" s="3">
        <f t="shared" si="15"/>
        <v>0</v>
      </c>
      <c r="I115" s="3">
        <f t="shared" si="16"/>
        <v>0</v>
      </c>
      <c r="Z115" s="3"/>
      <c r="AA115" s="3"/>
      <c r="AB115" s="3"/>
      <c r="AC115" s="3" t="str">
        <f>IF(Tabella3[[#This Row],[gol port f]]="","",IF(Tabella3[[#This Row],[gol port f]]=0,1,0))</f>
        <v/>
      </c>
      <c r="AD115" s="3" t="str">
        <f>IF(Tabella3[[#This Row],[gol port s]]="","",IF(Tabella3[[#This Row],[gol port s]]=0,1,0))</f>
        <v/>
      </c>
      <c r="AE115" s="3"/>
    </row>
    <row r="116" spans="1:31" x14ac:dyDescent="0.3">
      <c r="A116" t="str">
        <f>CONCATENATE(Tabella3[[#This Row],[giornata]],Tabella3[[#This Row],[squadra]])</f>
        <v/>
      </c>
      <c r="F116" s="269"/>
      <c r="G116" s="3">
        <f t="shared" si="15"/>
        <v>0</v>
      </c>
      <c r="I116" s="3">
        <f t="shared" si="16"/>
        <v>0</v>
      </c>
      <c r="Z116" s="3"/>
      <c r="AA116" s="3"/>
      <c r="AB116" s="3"/>
      <c r="AC116" s="3" t="str">
        <f>IF(Tabella3[[#This Row],[gol port f]]="","",IF(Tabella3[[#This Row],[gol port f]]=0,1,0))</f>
        <v/>
      </c>
      <c r="AD116" s="3" t="str">
        <f>IF(Tabella3[[#This Row],[gol port s]]="","",IF(Tabella3[[#This Row],[gol port s]]=0,1,0))</f>
        <v/>
      </c>
      <c r="AE116" s="3"/>
    </row>
    <row r="117" spans="1:31" x14ac:dyDescent="0.3">
      <c r="A117" t="str">
        <f>CONCATENATE(Tabella3[[#This Row],[giornata]],Tabella3[[#This Row],[squadra]])</f>
        <v/>
      </c>
      <c r="G117" s="3">
        <f t="shared" si="15"/>
        <v>0</v>
      </c>
      <c r="I117" s="269">
        <f t="shared" si="16"/>
        <v>0</v>
      </c>
      <c r="Z117" s="3"/>
      <c r="AA117" s="3"/>
      <c r="AB117" s="3"/>
      <c r="AC117" s="3" t="str">
        <f>IF(Tabella3[[#This Row],[gol port f]]="","",IF(Tabella3[[#This Row],[gol port f]]=0,1,0))</f>
        <v/>
      </c>
      <c r="AD117" s="3" t="str">
        <f>IF(Tabella3[[#This Row],[gol port s]]="","",IF(Tabella3[[#This Row],[gol port s]]=0,1,0))</f>
        <v/>
      </c>
      <c r="AE117" s="3"/>
    </row>
    <row r="118" spans="1:31" x14ac:dyDescent="0.3">
      <c r="A118" t="str">
        <f>CONCATENATE(Tabella3[[#This Row],[giornata]],Tabella3[[#This Row],[squadra]])</f>
        <v/>
      </c>
      <c r="G118" s="3">
        <f t="shared" si="15"/>
        <v>0</v>
      </c>
      <c r="I118" s="3">
        <f t="shared" si="16"/>
        <v>0</v>
      </c>
      <c r="Z118" s="3"/>
      <c r="AA118" s="3"/>
      <c r="AB118" s="3"/>
      <c r="AC118" s="3" t="str">
        <f>IF(Tabella3[[#This Row],[gol port f]]="","",IF(Tabella3[[#This Row],[gol port f]]=0,1,0))</f>
        <v/>
      </c>
      <c r="AD118" s="3" t="str">
        <f>IF(Tabella3[[#This Row],[gol port s]]="","",IF(Tabella3[[#This Row],[gol port s]]=0,1,0))</f>
        <v/>
      </c>
      <c r="AE118" s="3"/>
    </row>
    <row r="119" spans="1:31" x14ac:dyDescent="0.3">
      <c r="A119" t="str">
        <f>CONCATENATE(Tabella3[[#This Row],[giornata]],Tabella3[[#This Row],[squadra]])</f>
        <v/>
      </c>
      <c r="G119" s="3">
        <f t="shared" si="15"/>
        <v>0</v>
      </c>
      <c r="I119" s="3">
        <f t="shared" si="16"/>
        <v>0</v>
      </c>
      <c r="Z119" s="3"/>
      <c r="AA119" s="3"/>
      <c r="AB119" s="3"/>
      <c r="AC119" s="3" t="str">
        <f>IF(Tabella3[[#This Row],[gol port f]]="","",IF(Tabella3[[#This Row],[gol port f]]=0,1,0))</f>
        <v/>
      </c>
      <c r="AD119" s="3" t="str">
        <f>IF(Tabella3[[#This Row],[gol port s]]="","",IF(Tabella3[[#This Row],[gol port s]]=0,1,0))</f>
        <v/>
      </c>
      <c r="AE119" s="3"/>
    </row>
    <row r="120" spans="1:31" x14ac:dyDescent="0.3">
      <c r="A120" t="str">
        <f>CONCATENATE(Tabella3[[#This Row],[giornata]],Tabella3[[#This Row],[squadra]])</f>
        <v/>
      </c>
      <c r="G120" s="3">
        <f t="shared" si="15"/>
        <v>0</v>
      </c>
      <c r="I120" s="3">
        <f t="shared" si="16"/>
        <v>0</v>
      </c>
      <c r="S120" s="269"/>
      <c r="T120" s="269"/>
      <c r="Z120" s="3"/>
      <c r="AA120" s="3"/>
      <c r="AB120" s="3"/>
      <c r="AC120" s="269" t="str">
        <f>IF(Tabella3[[#This Row],[gol port f]]="","",IF(Tabella3[[#This Row],[gol port f]]=0,1,0))</f>
        <v/>
      </c>
      <c r="AD120" s="3" t="str">
        <f>IF(Tabella3[[#This Row],[gol port s]]="","",IF(Tabella3[[#This Row],[gol port s]]=0,1,0))</f>
        <v/>
      </c>
      <c r="AE120" s="3"/>
    </row>
    <row r="121" spans="1:31" x14ac:dyDescent="0.3">
      <c r="A121" t="str">
        <f>CONCATENATE(Tabella3[[#This Row],[giornata]],Tabella3[[#This Row],[squadra]])</f>
        <v/>
      </c>
      <c r="G121" s="3">
        <f t="shared" si="15"/>
        <v>0</v>
      </c>
      <c r="I121" s="3">
        <f t="shared" si="16"/>
        <v>0</v>
      </c>
      <c r="N121" s="269"/>
      <c r="S121" s="269"/>
      <c r="T121" s="269"/>
      <c r="Z121" s="3"/>
      <c r="AA121" s="3"/>
      <c r="AB121" s="3"/>
      <c r="AC121" s="3" t="str">
        <f>IF(Tabella3[[#This Row],[gol port f]]="","",IF(Tabella3[[#This Row],[gol port f]]=0,1,0))</f>
        <v/>
      </c>
      <c r="AD121" s="3" t="str">
        <f>IF(Tabella3[[#This Row],[gol port s]]="","",IF(Tabella3[[#This Row],[gol port s]]=0,1,0))</f>
        <v/>
      </c>
      <c r="AE121" s="3"/>
    </row>
    <row r="122" spans="1:31" x14ac:dyDescent="0.3">
      <c r="A122" t="str">
        <f>CONCATENATE(Tabella3[[#This Row],[giornata]],Tabella3[[#This Row],[squadra]])</f>
        <v/>
      </c>
      <c r="G122" s="3">
        <f t="shared" si="15"/>
        <v>0</v>
      </c>
      <c r="I122" s="3">
        <f t="shared" si="16"/>
        <v>0</v>
      </c>
      <c r="Z122" s="3"/>
      <c r="AA122" s="3"/>
      <c r="AB122" s="3"/>
      <c r="AC122" s="3" t="str">
        <f>IF(Tabella3[[#This Row],[gol port f]]="","",IF(Tabella3[[#This Row],[gol port f]]=0,1,0))</f>
        <v/>
      </c>
      <c r="AD122" s="3" t="str">
        <f>IF(Tabella3[[#This Row],[gol port s]]="","",IF(Tabella3[[#This Row],[gol port s]]=0,1,0))</f>
        <v/>
      </c>
      <c r="AE122" s="3"/>
    </row>
    <row r="123" spans="1:31" x14ac:dyDescent="0.3">
      <c r="A123" t="str">
        <f>CONCATENATE(Tabella3[[#This Row],[giornata]],Tabella3[[#This Row],[squadra]])</f>
        <v/>
      </c>
      <c r="G123" s="3">
        <f t="shared" si="15"/>
        <v>0</v>
      </c>
      <c r="I123" s="3">
        <f t="shared" si="16"/>
        <v>0</v>
      </c>
      <c r="Z123" s="3"/>
      <c r="AA123" s="3"/>
      <c r="AB123" s="3"/>
      <c r="AC123" s="3" t="str">
        <f>IF(Tabella3[[#This Row],[gol port f]]="","",IF(Tabella3[[#This Row],[gol port f]]=0,1,0))</f>
        <v/>
      </c>
      <c r="AD123" s="3" t="str">
        <f>IF(Tabella3[[#This Row],[gol port s]]="","",IF(Tabella3[[#This Row],[gol port s]]=0,1,0))</f>
        <v/>
      </c>
      <c r="AE123" s="3"/>
    </row>
    <row r="124" spans="1:31" x14ac:dyDescent="0.3">
      <c r="A124" t="str">
        <f>CONCATENATE(Tabella3[[#This Row],[giornata]],Tabella3[[#This Row],[squadra]])</f>
        <v/>
      </c>
      <c r="G124" s="3">
        <f t="shared" si="15"/>
        <v>0</v>
      </c>
      <c r="I124" s="3">
        <f t="shared" si="16"/>
        <v>0</v>
      </c>
      <c r="Z124" s="3"/>
      <c r="AA124" s="3"/>
      <c r="AB124" s="3"/>
      <c r="AC124" s="3" t="str">
        <f>IF(Tabella3[[#This Row],[gol port f]]="","",IF(Tabella3[[#This Row],[gol port f]]=0,1,0))</f>
        <v/>
      </c>
      <c r="AD124" s="3" t="str">
        <f>IF(Tabella3[[#This Row],[gol port s]]="","",IF(Tabella3[[#This Row],[gol port s]]=0,1,0))</f>
        <v/>
      </c>
      <c r="AE124" s="3"/>
    </row>
    <row r="125" spans="1:31" x14ac:dyDescent="0.3">
      <c r="A125" t="str">
        <f>CONCATENATE(Tabella3[[#This Row],[giornata]],Tabella3[[#This Row],[squadra]])</f>
        <v/>
      </c>
      <c r="G125" s="3">
        <f t="shared" si="15"/>
        <v>0</v>
      </c>
      <c r="I125" s="3">
        <f t="shared" si="16"/>
        <v>0</v>
      </c>
      <c r="Z125" s="3"/>
      <c r="AA125" s="3"/>
      <c r="AB125" s="3"/>
      <c r="AC125" s="3" t="str">
        <f>IF(Tabella3[[#This Row],[gol port f]]="","",IF(Tabella3[[#This Row],[gol port f]]=0,1,0))</f>
        <v/>
      </c>
      <c r="AD125" s="3" t="str">
        <f>IF(Tabella3[[#This Row],[gol port s]]="","",IF(Tabella3[[#This Row],[gol port s]]=0,1,0))</f>
        <v/>
      </c>
      <c r="AE125" s="3"/>
    </row>
    <row r="126" spans="1:31" x14ac:dyDescent="0.3">
      <c r="A126" t="str">
        <f>CONCATENATE(Tabella3[[#This Row],[giornata]],Tabella3[[#This Row],[squadra]])</f>
        <v/>
      </c>
      <c r="G126" s="3">
        <f t="shared" si="15"/>
        <v>0</v>
      </c>
      <c r="I126" s="3">
        <f t="shared" si="16"/>
        <v>0</v>
      </c>
      <c r="Z126" s="3"/>
      <c r="AA126" s="3"/>
      <c r="AB126" s="3"/>
      <c r="AC126" s="3" t="str">
        <f>IF(Tabella3[[#This Row],[gol port f]]="","",IF(Tabella3[[#This Row],[gol port f]]=0,1,0))</f>
        <v/>
      </c>
      <c r="AD126" s="3" t="str">
        <f>IF(Tabella3[[#This Row],[gol port s]]="","",IF(Tabella3[[#This Row],[gol port s]]=0,1,0))</f>
        <v/>
      </c>
      <c r="AE126" s="3"/>
    </row>
    <row r="127" spans="1:31" x14ac:dyDescent="0.3">
      <c r="A127" t="str">
        <f>CONCATENATE(Tabella3[[#This Row],[giornata]],Tabella3[[#This Row],[squadra]])</f>
        <v/>
      </c>
      <c r="G127" s="3">
        <f t="shared" si="15"/>
        <v>0</v>
      </c>
      <c r="I127" s="3">
        <f t="shared" si="16"/>
        <v>0</v>
      </c>
      <c r="Z127" s="3"/>
      <c r="AA127" s="3"/>
      <c r="AB127" s="3"/>
      <c r="AC127" s="3" t="str">
        <f>IF(Tabella3[[#This Row],[gol port f]]="","",IF(Tabella3[[#This Row],[gol port f]]=0,1,0))</f>
        <v/>
      </c>
      <c r="AD127" s="3" t="str">
        <f>IF(Tabella3[[#This Row],[gol port s]]="","",IF(Tabella3[[#This Row],[gol port s]]=0,1,0))</f>
        <v/>
      </c>
      <c r="AE127" s="3"/>
    </row>
    <row r="128" spans="1:31" x14ac:dyDescent="0.3">
      <c r="A128" t="str">
        <f>CONCATENATE(Tabella3[[#This Row],[giornata]],Tabella3[[#This Row],[squadra]])</f>
        <v/>
      </c>
      <c r="G128" s="3">
        <f t="shared" si="15"/>
        <v>0</v>
      </c>
      <c r="I128" s="3">
        <f t="shared" si="16"/>
        <v>0</v>
      </c>
      <c r="Z128" s="3"/>
      <c r="AA128" s="3"/>
      <c r="AB128" s="3"/>
      <c r="AC128" s="3" t="str">
        <f>IF(Tabella3[[#This Row],[gol port f]]="","",IF(Tabella3[[#This Row],[gol port f]]=0,1,0))</f>
        <v/>
      </c>
      <c r="AD128" s="3" t="str">
        <f>IF(Tabella3[[#This Row],[gol port s]]="","",IF(Tabella3[[#This Row],[gol port s]]=0,1,0))</f>
        <v/>
      </c>
      <c r="AE128" s="3"/>
    </row>
    <row r="129" spans="1:31" x14ac:dyDescent="0.3">
      <c r="A129" t="str">
        <f>CONCATENATE(Tabella3[[#This Row],[giornata]],Tabella3[[#This Row],[squadra]])</f>
        <v/>
      </c>
      <c r="G129" s="3">
        <f t="shared" si="15"/>
        <v>0</v>
      </c>
      <c r="I129" s="3">
        <f t="shared" si="16"/>
        <v>0</v>
      </c>
      <c r="Z129" s="3"/>
      <c r="AA129" s="3"/>
      <c r="AB129" s="3"/>
      <c r="AC129" s="3" t="str">
        <f>IF(Tabella3[[#This Row],[gol port f]]="","",IF(Tabella3[[#This Row],[gol port f]]=0,1,0))</f>
        <v/>
      </c>
      <c r="AD129" s="3" t="str">
        <f>IF(Tabella3[[#This Row],[gol port s]]="","",IF(Tabella3[[#This Row],[gol port s]]=0,1,0))</f>
        <v/>
      </c>
      <c r="AE129" s="3"/>
    </row>
    <row r="130" spans="1:31" x14ac:dyDescent="0.3">
      <c r="A130" t="str">
        <f>CONCATENATE(Tabella3[[#This Row],[giornata]],Tabella3[[#This Row],[squadra]])</f>
        <v/>
      </c>
      <c r="G130" s="3">
        <f t="shared" ref="G130:G193" si="17">SUM(D130:F130)</f>
        <v>0</v>
      </c>
      <c r="I130" s="3">
        <f t="shared" ref="I130:I193" si="18">VLOOKUP(G130,$AH$32:$AI$40,2,TRUE)</f>
        <v>0</v>
      </c>
      <c r="Z130" s="3"/>
      <c r="AA130" s="3"/>
      <c r="AB130" s="3"/>
      <c r="AC130" s="3" t="str">
        <f>IF(Tabella3[[#This Row],[gol port f]]="","",IF(Tabella3[[#This Row],[gol port f]]=0,1,0))</f>
        <v/>
      </c>
      <c r="AD130" s="3" t="str">
        <f>IF(Tabella3[[#This Row],[gol port s]]="","",IF(Tabella3[[#This Row],[gol port s]]=0,1,0))</f>
        <v/>
      </c>
      <c r="AE130" s="3"/>
    </row>
    <row r="131" spans="1:31" x14ac:dyDescent="0.3">
      <c r="A131" t="str">
        <f>CONCATENATE(Tabella3[[#This Row],[giornata]],Tabella3[[#This Row],[squadra]])</f>
        <v/>
      </c>
      <c r="G131" s="3">
        <f t="shared" si="17"/>
        <v>0</v>
      </c>
      <c r="I131" s="3">
        <f t="shared" si="18"/>
        <v>0</v>
      </c>
      <c r="Z131" s="3"/>
      <c r="AA131" s="3"/>
      <c r="AB131" s="3"/>
      <c r="AC131" s="3" t="str">
        <f>IF(Tabella3[[#This Row],[gol port f]]="","",IF(Tabella3[[#This Row],[gol port f]]=0,1,0))</f>
        <v/>
      </c>
      <c r="AD131" s="3" t="str">
        <f>IF(Tabella3[[#This Row],[gol port s]]="","",IF(Tabella3[[#This Row],[gol port s]]=0,1,0))</f>
        <v/>
      </c>
      <c r="AE131" s="3"/>
    </row>
    <row r="132" spans="1:31" x14ac:dyDescent="0.3">
      <c r="A132" t="str">
        <f>CONCATENATE(Tabella3[[#This Row],[giornata]],Tabella3[[#This Row],[squadra]])</f>
        <v/>
      </c>
      <c r="G132" s="3">
        <f t="shared" si="17"/>
        <v>0</v>
      </c>
      <c r="I132" s="3">
        <f t="shared" si="18"/>
        <v>0</v>
      </c>
      <c r="O132" s="269"/>
      <c r="Z132" s="3"/>
      <c r="AA132" s="3"/>
      <c r="AB132" s="3"/>
      <c r="AC132" s="3" t="str">
        <f>IF(Tabella3[[#This Row],[gol port f]]="","",IF(Tabella3[[#This Row],[gol port f]]=0,1,0))</f>
        <v/>
      </c>
      <c r="AD132" s="3" t="str">
        <f>IF(Tabella3[[#This Row],[gol port s]]="","",IF(Tabella3[[#This Row],[gol port s]]=0,1,0))</f>
        <v/>
      </c>
      <c r="AE132" s="3"/>
    </row>
    <row r="133" spans="1:31" x14ac:dyDescent="0.3">
      <c r="A133" t="str">
        <f>CONCATENATE(Tabella3[[#This Row],[giornata]],Tabella3[[#This Row],[squadra]])</f>
        <v/>
      </c>
      <c r="G133" s="3">
        <f t="shared" si="17"/>
        <v>0</v>
      </c>
      <c r="I133" s="3">
        <f t="shared" si="18"/>
        <v>0</v>
      </c>
      <c r="Z133" s="3"/>
      <c r="AA133" s="3"/>
      <c r="AB133" s="3"/>
      <c r="AC133" s="3" t="str">
        <f>IF(Tabella3[[#This Row],[gol port f]]="","",IF(Tabella3[[#This Row],[gol port f]]=0,1,0))</f>
        <v/>
      </c>
      <c r="AD133" s="3" t="str">
        <f>IF(Tabella3[[#This Row],[gol port s]]="","",IF(Tabella3[[#This Row],[gol port s]]=0,1,0))</f>
        <v/>
      </c>
      <c r="AE133" s="3"/>
    </row>
    <row r="134" spans="1:31" x14ac:dyDescent="0.3">
      <c r="A134" t="str">
        <f>CONCATENATE(Tabella3[[#This Row],[giornata]],Tabella3[[#This Row],[squadra]])</f>
        <v/>
      </c>
      <c r="G134" s="3">
        <f t="shared" si="17"/>
        <v>0</v>
      </c>
      <c r="I134" s="3">
        <f t="shared" si="18"/>
        <v>0</v>
      </c>
      <c r="Z134" s="3"/>
      <c r="AA134" s="3"/>
      <c r="AB134" s="3"/>
      <c r="AC134" s="3" t="str">
        <f>IF(Tabella3[[#This Row],[gol port f]]="","",IF(Tabella3[[#This Row],[gol port f]]=0,1,0))</f>
        <v/>
      </c>
      <c r="AD134" s="3" t="str">
        <f>IF(Tabella3[[#This Row],[gol port s]]="","",IF(Tabella3[[#This Row],[gol port s]]=0,1,0))</f>
        <v/>
      </c>
      <c r="AE134" s="3"/>
    </row>
    <row r="135" spans="1:31" x14ac:dyDescent="0.3">
      <c r="A135" t="str">
        <f>CONCATENATE(Tabella3[[#This Row],[giornata]],Tabella3[[#This Row],[squadra]])</f>
        <v/>
      </c>
      <c r="G135" s="3">
        <f t="shared" si="17"/>
        <v>0</v>
      </c>
      <c r="I135" s="3">
        <f t="shared" si="18"/>
        <v>0</v>
      </c>
      <c r="Z135" s="3"/>
      <c r="AA135" s="3"/>
      <c r="AB135" s="3"/>
      <c r="AC135" s="3" t="str">
        <f>IF(Tabella3[[#This Row],[gol port f]]="","",IF(Tabella3[[#This Row],[gol port f]]=0,1,0))</f>
        <v/>
      </c>
      <c r="AD135" s="3" t="str">
        <f>IF(Tabella3[[#This Row],[gol port s]]="","",IF(Tabella3[[#This Row],[gol port s]]=0,1,0))</f>
        <v/>
      </c>
      <c r="AE135" s="3"/>
    </row>
    <row r="136" spans="1:31" x14ac:dyDescent="0.3">
      <c r="A136" t="str">
        <f>CONCATENATE(Tabella3[[#This Row],[giornata]],Tabella3[[#This Row],[squadra]])</f>
        <v/>
      </c>
      <c r="G136" s="3">
        <f t="shared" si="17"/>
        <v>0</v>
      </c>
      <c r="I136" s="3">
        <f t="shared" si="18"/>
        <v>0</v>
      </c>
      <c r="Z136" s="3"/>
      <c r="AA136" s="3"/>
      <c r="AB136" s="3"/>
      <c r="AC136" s="3" t="str">
        <f>IF(Tabella3[[#This Row],[gol port f]]="","",IF(Tabella3[[#This Row],[gol port f]]=0,1,0))</f>
        <v/>
      </c>
      <c r="AD136" s="3" t="str">
        <f>IF(Tabella3[[#This Row],[gol port s]]="","",IF(Tabella3[[#This Row],[gol port s]]=0,1,0))</f>
        <v/>
      </c>
      <c r="AE136" s="3"/>
    </row>
    <row r="137" spans="1:31" x14ac:dyDescent="0.3">
      <c r="A137" t="str">
        <f>CONCATENATE(Tabella3[[#This Row],[giornata]],Tabella3[[#This Row],[squadra]])</f>
        <v/>
      </c>
      <c r="G137" s="3">
        <f t="shared" si="17"/>
        <v>0</v>
      </c>
      <c r="I137" s="3">
        <f t="shared" si="18"/>
        <v>0</v>
      </c>
      <c r="Z137" s="3"/>
      <c r="AA137" s="3"/>
      <c r="AB137" s="3"/>
      <c r="AC137" s="3" t="str">
        <f>IF(Tabella3[[#This Row],[gol port f]]="","",IF(Tabella3[[#This Row],[gol port f]]=0,1,0))</f>
        <v/>
      </c>
      <c r="AD137" s="3" t="str">
        <f>IF(Tabella3[[#This Row],[gol port s]]="","",IF(Tabella3[[#This Row],[gol port s]]=0,1,0))</f>
        <v/>
      </c>
      <c r="AE137" s="3"/>
    </row>
    <row r="138" spans="1:31" x14ac:dyDescent="0.3">
      <c r="A138" t="str">
        <f>CONCATENATE(Tabella3[[#This Row],[giornata]],Tabella3[[#This Row],[squadra]])</f>
        <v/>
      </c>
      <c r="G138" s="3">
        <f t="shared" si="17"/>
        <v>0</v>
      </c>
      <c r="I138" s="3">
        <f t="shared" si="18"/>
        <v>0</v>
      </c>
      <c r="Z138" s="3"/>
      <c r="AA138" s="3"/>
      <c r="AB138" s="3"/>
      <c r="AC138" s="3" t="str">
        <f>IF(Tabella3[[#This Row],[gol port f]]="","",IF(Tabella3[[#This Row],[gol port f]]=0,1,0))</f>
        <v/>
      </c>
      <c r="AD138" s="3" t="str">
        <f>IF(Tabella3[[#This Row],[gol port s]]="","",IF(Tabella3[[#This Row],[gol port s]]=0,1,0))</f>
        <v/>
      </c>
      <c r="AE138" s="3"/>
    </row>
    <row r="139" spans="1:31" x14ac:dyDescent="0.3">
      <c r="A139" t="str">
        <f>CONCATENATE(Tabella3[[#This Row],[giornata]],Tabella3[[#This Row],[squadra]])</f>
        <v/>
      </c>
      <c r="G139" s="3">
        <f t="shared" si="17"/>
        <v>0</v>
      </c>
      <c r="I139" s="3">
        <f t="shared" si="18"/>
        <v>0</v>
      </c>
      <c r="Z139" s="3"/>
      <c r="AA139" s="3"/>
      <c r="AB139" s="3"/>
      <c r="AC139" s="3" t="str">
        <f>IF(Tabella3[[#This Row],[gol port f]]="","",IF(Tabella3[[#This Row],[gol port f]]=0,1,0))</f>
        <v/>
      </c>
      <c r="AD139" s="3" t="str">
        <f>IF(Tabella3[[#This Row],[gol port s]]="","",IF(Tabella3[[#This Row],[gol port s]]=0,1,0))</f>
        <v/>
      </c>
      <c r="AE139" s="3"/>
    </row>
    <row r="140" spans="1:31" x14ac:dyDescent="0.3">
      <c r="A140" t="str">
        <f>CONCATENATE(Tabella3[[#This Row],[giornata]],Tabella3[[#This Row],[squadra]])</f>
        <v/>
      </c>
      <c r="G140" s="3">
        <f t="shared" si="17"/>
        <v>0</v>
      </c>
      <c r="I140" s="3">
        <f t="shared" si="18"/>
        <v>0</v>
      </c>
      <c r="Z140" s="3"/>
      <c r="AA140" s="3"/>
      <c r="AB140" s="3"/>
      <c r="AC140" s="3" t="str">
        <f>IF(Tabella3[[#This Row],[gol port f]]="","",IF(Tabella3[[#This Row],[gol port f]]=0,1,0))</f>
        <v/>
      </c>
      <c r="AD140" s="3" t="str">
        <f>IF(Tabella3[[#This Row],[gol port s]]="","",IF(Tabella3[[#This Row],[gol port s]]=0,1,0))</f>
        <v/>
      </c>
      <c r="AE140" s="3"/>
    </row>
    <row r="141" spans="1:31" x14ac:dyDescent="0.3">
      <c r="A141" t="str">
        <f>CONCATENATE(Tabella3[[#This Row],[giornata]],Tabella3[[#This Row],[squadra]])</f>
        <v/>
      </c>
      <c r="G141" s="3">
        <f t="shared" si="17"/>
        <v>0</v>
      </c>
      <c r="I141" s="3">
        <f t="shared" si="18"/>
        <v>0</v>
      </c>
      <c r="Z141" s="3"/>
      <c r="AA141" s="3"/>
      <c r="AB141" s="3"/>
      <c r="AC141" s="3" t="str">
        <f>IF(Tabella3[[#This Row],[gol port f]]="","",IF(Tabella3[[#This Row],[gol port f]]=0,1,0))</f>
        <v/>
      </c>
      <c r="AD141" s="3" t="str">
        <f>IF(Tabella3[[#This Row],[gol port s]]="","",IF(Tabella3[[#This Row],[gol port s]]=0,1,0))</f>
        <v/>
      </c>
      <c r="AE141" s="3"/>
    </row>
    <row r="142" spans="1:31" x14ac:dyDescent="0.3">
      <c r="A142" t="str">
        <f>CONCATENATE(Tabella3[[#This Row],[giornata]],Tabella3[[#This Row],[squadra]])</f>
        <v/>
      </c>
      <c r="G142" s="3">
        <f t="shared" si="17"/>
        <v>0</v>
      </c>
      <c r="I142" s="3">
        <f t="shared" si="18"/>
        <v>0</v>
      </c>
      <c r="Z142" s="3"/>
      <c r="AA142" s="3"/>
      <c r="AB142" s="3"/>
      <c r="AC142" s="3" t="str">
        <f>IF(Tabella3[[#This Row],[gol port f]]="","",IF(Tabella3[[#This Row],[gol port f]]=0,1,0))</f>
        <v/>
      </c>
      <c r="AD142" s="3" t="str">
        <f>IF(Tabella3[[#This Row],[gol port s]]="","",IF(Tabella3[[#This Row],[gol port s]]=0,1,0))</f>
        <v/>
      </c>
      <c r="AE142" s="3"/>
    </row>
    <row r="143" spans="1:31" x14ac:dyDescent="0.3">
      <c r="A143" t="str">
        <f>CONCATENATE(Tabella3[[#This Row],[giornata]],Tabella3[[#This Row],[squadra]])</f>
        <v/>
      </c>
      <c r="G143" s="3">
        <f t="shared" si="17"/>
        <v>0</v>
      </c>
      <c r="I143" s="3">
        <f t="shared" si="18"/>
        <v>0</v>
      </c>
      <c r="Z143" s="3"/>
      <c r="AA143" s="3"/>
      <c r="AB143" s="3"/>
      <c r="AC143" s="3" t="str">
        <f>IF(Tabella3[[#This Row],[gol port f]]="","",IF(Tabella3[[#This Row],[gol port f]]=0,1,0))</f>
        <v/>
      </c>
      <c r="AD143" s="3" t="str">
        <f>IF(Tabella3[[#This Row],[gol port s]]="","",IF(Tabella3[[#This Row],[gol port s]]=0,1,0))</f>
        <v/>
      </c>
      <c r="AE143" s="3"/>
    </row>
    <row r="144" spans="1:31" x14ac:dyDescent="0.3">
      <c r="A144" t="str">
        <f>CONCATENATE(Tabella3[[#This Row],[giornata]],Tabella3[[#This Row],[squadra]])</f>
        <v/>
      </c>
      <c r="G144" s="3">
        <f t="shared" si="17"/>
        <v>0</v>
      </c>
      <c r="I144" s="3">
        <f t="shared" si="18"/>
        <v>0</v>
      </c>
      <c r="Z144" s="3"/>
      <c r="AA144" s="3"/>
      <c r="AB144" s="3"/>
      <c r="AC144" s="3" t="str">
        <f>IF(Tabella3[[#This Row],[gol port f]]="","",IF(Tabella3[[#This Row],[gol port f]]=0,1,0))</f>
        <v/>
      </c>
      <c r="AD144" s="3" t="str">
        <f>IF(Tabella3[[#This Row],[gol port s]]="","",IF(Tabella3[[#This Row],[gol port s]]=0,1,0))</f>
        <v/>
      </c>
      <c r="AE144" s="3"/>
    </row>
    <row r="145" spans="1:31" x14ac:dyDescent="0.3">
      <c r="A145" t="str">
        <f>CONCATENATE(Tabella3[[#This Row],[giornata]],Tabella3[[#This Row],[squadra]])</f>
        <v/>
      </c>
      <c r="G145" s="3">
        <f t="shared" si="17"/>
        <v>0</v>
      </c>
      <c r="I145" s="3">
        <f t="shared" si="18"/>
        <v>0</v>
      </c>
      <c r="Z145" s="3"/>
      <c r="AA145" s="3"/>
      <c r="AB145" s="3"/>
      <c r="AC145" s="3" t="str">
        <f>IF(Tabella3[[#This Row],[gol port f]]="","",IF(Tabella3[[#This Row],[gol port f]]=0,1,0))</f>
        <v/>
      </c>
      <c r="AD145" s="3" t="str">
        <f>IF(Tabella3[[#This Row],[gol port s]]="","",IF(Tabella3[[#This Row],[gol port s]]=0,1,0))</f>
        <v/>
      </c>
      <c r="AE145" s="3"/>
    </row>
    <row r="146" spans="1:31" x14ac:dyDescent="0.3">
      <c r="A146" t="str">
        <f>CONCATENATE(Tabella3[[#This Row],[giornata]],Tabella3[[#This Row],[squadra]])</f>
        <v/>
      </c>
      <c r="G146" s="3">
        <f t="shared" si="17"/>
        <v>0</v>
      </c>
      <c r="I146" s="3">
        <f t="shared" si="18"/>
        <v>0</v>
      </c>
      <c r="Z146" s="3"/>
      <c r="AA146" s="3"/>
      <c r="AB146" s="3"/>
      <c r="AC146" s="3" t="str">
        <f>IF(Tabella3[[#This Row],[gol port f]]="","",IF(Tabella3[[#This Row],[gol port f]]=0,1,0))</f>
        <v/>
      </c>
      <c r="AD146" s="3" t="str">
        <f>IF(Tabella3[[#This Row],[gol port s]]="","",IF(Tabella3[[#This Row],[gol port s]]=0,1,0))</f>
        <v/>
      </c>
      <c r="AE146" s="3"/>
    </row>
    <row r="147" spans="1:31" x14ac:dyDescent="0.3">
      <c r="A147" t="str">
        <f>CONCATENATE(Tabella3[[#This Row],[giornata]],Tabella3[[#This Row],[squadra]])</f>
        <v/>
      </c>
      <c r="G147" s="3">
        <f t="shared" si="17"/>
        <v>0</v>
      </c>
      <c r="I147" s="3">
        <f t="shared" si="18"/>
        <v>0</v>
      </c>
      <c r="Z147" s="3"/>
      <c r="AA147" s="3"/>
      <c r="AB147" s="3"/>
      <c r="AC147" s="3" t="str">
        <f>IF(Tabella3[[#This Row],[gol port f]]="","",IF(Tabella3[[#This Row],[gol port f]]=0,1,0))</f>
        <v/>
      </c>
      <c r="AD147" s="3" t="str">
        <f>IF(Tabella3[[#This Row],[gol port s]]="","",IF(Tabella3[[#This Row],[gol port s]]=0,1,0))</f>
        <v/>
      </c>
      <c r="AE147" s="3"/>
    </row>
    <row r="148" spans="1:31" x14ac:dyDescent="0.3">
      <c r="A148" t="str">
        <f>CONCATENATE(Tabella3[[#This Row],[giornata]],Tabella3[[#This Row],[squadra]])</f>
        <v/>
      </c>
      <c r="G148" s="3">
        <f t="shared" si="17"/>
        <v>0</v>
      </c>
      <c r="I148" s="3">
        <f t="shared" si="18"/>
        <v>0</v>
      </c>
      <c r="Z148" s="3"/>
      <c r="AA148" s="3"/>
      <c r="AB148" s="3"/>
      <c r="AC148" s="3" t="str">
        <f>IF(Tabella3[[#This Row],[gol port f]]="","",IF(Tabella3[[#This Row],[gol port f]]=0,1,0))</f>
        <v/>
      </c>
      <c r="AD148" s="3" t="str">
        <f>IF(Tabella3[[#This Row],[gol port s]]="","",IF(Tabella3[[#This Row],[gol port s]]=0,1,0))</f>
        <v/>
      </c>
      <c r="AE148" s="3"/>
    </row>
    <row r="149" spans="1:31" x14ac:dyDescent="0.3">
      <c r="A149" t="str">
        <f>CONCATENATE(Tabella3[[#This Row],[giornata]],Tabella3[[#This Row],[squadra]])</f>
        <v/>
      </c>
      <c r="G149" s="3">
        <f t="shared" si="17"/>
        <v>0</v>
      </c>
      <c r="I149" s="3">
        <f t="shared" si="18"/>
        <v>0</v>
      </c>
      <c r="Z149" s="3"/>
      <c r="AA149" s="3"/>
      <c r="AB149" s="3"/>
      <c r="AC149" s="3" t="str">
        <f>IF(Tabella3[[#This Row],[gol port f]]="","",IF(Tabella3[[#This Row],[gol port f]]=0,1,0))</f>
        <v/>
      </c>
      <c r="AD149" s="3" t="str">
        <f>IF(Tabella3[[#This Row],[gol port s]]="","",IF(Tabella3[[#This Row],[gol port s]]=0,1,0))</f>
        <v/>
      </c>
      <c r="AE149" s="3"/>
    </row>
    <row r="150" spans="1:31" x14ac:dyDescent="0.3">
      <c r="A150" t="str">
        <f>CONCATENATE(Tabella3[[#This Row],[giornata]],Tabella3[[#This Row],[squadra]])</f>
        <v/>
      </c>
      <c r="G150" s="3">
        <f t="shared" si="17"/>
        <v>0</v>
      </c>
      <c r="I150" s="3">
        <f t="shared" si="18"/>
        <v>0</v>
      </c>
      <c r="Z150" s="3"/>
      <c r="AA150" s="3"/>
      <c r="AB150" s="3"/>
      <c r="AC150" s="3" t="str">
        <f>IF(Tabella3[[#This Row],[gol port f]]="","",IF(Tabella3[[#This Row],[gol port f]]=0,1,0))</f>
        <v/>
      </c>
      <c r="AD150" s="3" t="str">
        <f>IF(Tabella3[[#This Row],[gol port s]]="","",IF(Tabella3[[#This Row],[gol port s]]=0,1,0))</f>
        <v/>
      </c>
      <c r="AE150" s="3"/>
    </row>
    <row r="151" spans="1:31" x14ac:dyDescent="0.3">
      <c r="A151" t="str">
        <f>CONCATENATE(Tabella3[[#This Row],[giornata]],Tabella3[[#This Row],[squadra]])</f>
        <v/>
      </c>
      <c r="G151" s="3">
        <f t="shared" si="17"/>
        <v>0</v>
      </c>
      <c r="I151" s="3">
        <f t="shared" si="18"/>
        <v>0</v>
      </c>
      <c r="Z151" s="3"/>
      <c r="AA151" s="3"/>
      <c r="AB151" s="3"/>
      <c r="AC151" s="3" t="str">
        <f>IF(Tabella3[[#This Row],[gol port f]]="","",IF(Tabella3[[#This Row],[gol port f]]=0,1,0))</f>
        <v/>
      </c>
      <c r="AD151" s="3" t="str">
        <f>IF(Tabella3[[#This Row],[gol port s]]="","",IF(Tabella3[[#This Row],[gol port s]]=0,1,0))</f>
        <v/>
      </c>
      <c r="AE151" s="3"/>
    </row>
    <row r="152" spans="1:31" x14ac:dyDescent="0.3">
      <c r="A152" t="str">
        <f>CONCATENATE(Tabella3[[#This Row],[giornata]],Tabella3[[#This Row],[squadra]])</f>
        <v/>
      </c>
      <c r="G152" s="3">
        <f t="shared" si="17"/>
        <v>0</v>
      </c>
      <c r="I152" s="3">
        <f t="shared" si="18"/>
        <v>0</v>
      </c>
      <c r="Z152" s="3"/>
      <c r="AA152" s="3"/>
      <c r="AB152" s="3"/>
      <c r="AC152" s="3" t="str">
        <f>IF(Tabella3[[#This Row],[gol port f]]="","",IF(Tabella3[[#This Row],[gol port f]]=0,1,0))</f>
        <v/>
      </c>
      <c r="AD152" s="3" t="str">
        <f>IF(Tabella3[[#This Row],[gol port s]]="","",IF(Tabella3[[#This Row],[gol port s]]=0,1,0))</f>
        <v/>
      </c>
      <c r="AE152" s="3"/>
    </row>
    <row r="153" spans="1:31" x14ac:dyDescent="0.3">
      <c r="A153" t="str">
        <f>CONCATENATE(Tabella3[[#This Row],[giornata]],Tabella3[[#This Row],[squadra]])</f>
        <v/>
      </c>
      <c r="G153" s="3">
        <f t="shared" si="17"/>
        <v>0</v>
      </c>
      <c r="I153" s="3">
        <f t="shared" si="18"/>
        <v>0</v>
      </c>
      <c r="Z153" s="3"/>
      <c r="AA153" s="3"/>
      <c r="AB153" s="3"/>
      <c r="AC153" s="3" t="str">
        <f>IF(Tabella3[[#This Row],[gol port f]]="","",IF(Tabella3[[#This Row],[gol port f]]=0,1,0))</f>
        <v/>
      </c>
      <c r="AD153" s="3" t="str">
        <f>IF(Tabella3[[#This Row],[gol port s]]="","",IF(Tabella3[[#This Row],[gol port s]]=0,1,0))</f>
        <v/>
      </c>
      <c r="AE153" s="3"/>
    </row>
    <row r="154" spans="1:31" x14ac:dyDescent="0.3">
      <c r="A154" t="str">
        <f>CONCATENATE(Tabella3[[#This Row],[giornata]],Tabella3[[#This Row],[squadra]])</f>
        <v/>
      </c>
      <c r="G154" s="3">
        <f t="shared" si="17"/>
        <v>0</v>
      </c>
      <c r="I154" s="3">
        <f t="shared" si="18"/>
        <v>0</v>
      </c>
      <c r="Z154" s="3"/>
      <c r="AA154" s="3"/>
      <c r="AB154" s="3"/>
      <c r="AC154" s="3" t="str">
        <f>IF(Tabella3[[#This Row],[gol port f]]="","",IF(Tabella3[[#This Row],[gol port f]]=0,1,0))</f>
        <v/>
      </c>
      <c r="AD154" s="3" t="str">
        <f>IF(Tabella3[[#This Row],[gol port s]]="","",IF(Tabella3[[#This Row],[gol port s]]=0,1,0))</f>
        <v/>
      </c>
      <c r="AE154" s="3"/>
    </row>
    <row r="155" spans="1:31" x14ac:dyDescent="0.3">
      <c r="A155" t="str">
        <f>CONCATENATE(Tabella3[[#This Row],[giornata]],Tabella3[[#This Row],[squadra]])</f>
        <v/>
      </c>
      <c r="G155" s="3">
        <f t="shared" si="17"/>
        <v>0</v>
      </c>
      <c r="I155" s="3">
        <f t="shared" si="18"/>
        <v>0</v>
      </c>
      <c r="Z155" s="3"/>
      <c r="AA155" s="3"/>
      <c r="AB155" s="3"/>
      <c r="AC155" s="3" t="str">
        <f>IF(Tabella3[[#This Row],[gol port f]]="","",IF(Tabella3[[#This Row],[gol port f]]=0,1,0))</f>
        <v/>
      </c>
      <c r="AD155" s="3" t="str">
        <f>IF(Tabella3[[#This Row],[gol port s]]="","",IF(Tabella3[[#This Row],[gol port s]]=0,1,0))</f>
        <v/>
      </c>
      <c r="AE155" s="3"/>
    </row>
    <row r="156" spans="1:31" x14ac:dyDescent="0.3">
      <c r="A156" t="str">
        <f>CONCATENATE(Tabella3[[#This Row],[giornata]],Tabella3[[#This Row],[squadra]])</f>
        <v/>
      </c>
      <c r="G156" s="3">
        <f t="shared" si="17"/>
        <v>0</v>
      </c>
      <c r="I156" s="3">
        <f t="shared" si="18"/>
        <v>0</v>
      </c>
      <c r="Z156" s="3"/>
      <c r="AA156" s="3"/>
      <c r="AB156" s="3"/>
      <c r="AC156" s="3" t="str">
        <f>IF(Tabella3[[#This Row],[gol port f]]="","",IF(Tabella3[[#This Row],[gol port f]]=0,1,0))</f>
        <v/>
      </c>
      <c r="AD156" s="3" t="str">
        <f>IF(Tabella3[[#This Row],[gol port s]]="","",IF(Tabella3[[#This Row],[gol port s]]=0,1,0))</f>
        <v/>
      </c>
      <c r="AE156" s="3"/>
    </row>
    <row r="157" spans="1:31" x14ac:dyDescent="0.3">
      <c r="A157" t="str">
        <f>CONCATENATE(Tabella3[[#This Row],[giornata]],Tabella3[[#This Row],[squadra]])</f>
        <v/>
      </c>
      <c r="G157" s="3">
        <f t="shared" si="17"/>
        <v>0</v>
      </c>
      <c r="I157" s="3">
        <f t="shared" si="18"/>
        <v>0</v>
      </c>
      <c r="Z157" s="3"/>
      <c r="AA157" s="3"/>
      <c r="AB157" s="3"/>
      <c r="AC157" s="3" t="str">
        <f>IF(Tabella3[[#This Row],[gol port f]]="","",IF(Tabella3[[#This Row],[gol port f]]=0,1,0))</f>
        <v/>
      </c>
      <c r="AD157" s="3" t="str">
        <f>IF(Tabella3[[#This Row],[gol port s]]="","",IF(Tabella3[[#This Row],[gol port s]]=0,1,0))</f>
        <v/>
      </c>
      <c r="AE157" s="3"/>
    </row>
    <row r="158" spans="1:31" x14ac:dyDescent="0.3">
      <c r="A158" t="str">
        <f>CONCATENATE(Tabella3[[#This Row],[giornata]],Tabella3[[#This Row],[squadra]])</f>
        <v/>
      </c>
      <c r="G158" s="3">
        <f t="shared" si="17"/>
        <v>0</v>
      </c>
      <c r="I158" s="3">
        <f t="shared" si="18"/>
        <v>0</v>
      </c>
      <c r="Z158" s="3"/>
      <c r="AA158" s="3"/>
      <c r="AB158" s="3"/>
      <c r="AC158" s="3" t="str">
        <f>IF(Tabella3[[#This Row],[gol port f]]="","",IF(Tabella3[[#This Row],[gol port f]]=0,1,0))</f>
        <v/>
      </c>
      <c r="AD158" s="3" t="str">
        <f>IF(Tabella3[[#This Row],[gol port s]]="","",IF(Tabella3[[#This Row],[gol port s]]=0,1,0))</f>
        <v/>
      </c>
      <c r="AE158" s="3"/>
    </row>
    <row r="159" spans="1:31" x14ac:dyDescent="0.3">
      <c r="A159" t="str">
        <f>CONCATENATE(Tabella3[[#This Row],[giornata]],Tabella3[[#This Row],[squadra]])</f>
        <v/>
      </c>
      <c r="G159" s="3">
        <f t="shared" si="17"/>
        <v>0</v>
      </c>
      <c r="I159" s="3">
        <f t="shared" si="18"/>
        <v>0</v>
      </c>
      <c r="Z159" s="3"/>
      <c r="AA159" s="3"/>
      <c r="AB159" s="3"/>
      <c r="AC159" s="3" t="str">
        <f>IF(Tabella3[[#This Row],[gol port f]]="","",IF(Tabella3[[#This Row],[gol port f]]=0,1,0))</f>
        <v/>
      </c>
      <c r="AD159" s="3" t="str">
        <f>IF(Tabella3[[#This Row],[gol port s]]="","",IF(Tabella3[[#This Row],[gol port s]]=0,1,0))</f>
        <v/>
      </c>
      <c r="AE159" s="3"/>
    </row>
    <row r="160" spans="1:31" x14ac:dyDescent="0.3">
      <c r="A160" t="str">
        <f>CONCATENATE(Tabella3[[#This Row],[giornata]],Tabella3[[#This Row],[squadra]])</f>
        <v/>
      </c>
      <c r="G160" s="3">
        <f t="shared" si="17"/>
        <v>0</v>
      </c>
      <c r="I160" s="3">
        <f t="shared" si="18"/>
        <v>0</v>
      </c>
      <c r="Z160" s="3"/>
      <c r="AA160" s="3"/>
      <c r="AB160" s="3"/>
      <c r="AC160" s="3" t="str">
        <f>IF(Tabella3[[#This Row],[gol port f]]="","",IF(Tabella3[[#This Row],[gol port f]]=0,1,0))</f>
        <v/>
      </c>
      <c r="AD160" s="3" t="str">
        <f>IF(Tabella3[[#This Row],[gol port s]]="","",IF(Tabella3[[#This Row],[gol port s]]=0,1,0))</f>
        <v/>
      </c>
      <c r="AE160" s="3"/>
    </row>
    <row r="161" spans="1:31" x14ac:dyDescent="0.3">
      <c r="A161" t="str">
        <f>CONCATENATE(Tabella3[[#This Row],[giornata]],Tabella3[[#This Row],[squadra]])</f>
        <v/>
      </c>
      <c r="G161" s="3">
        <f t="shared" si="17"/>
        <v>0</v>
      </c>
      <c r="I161" s="3">
        <f t="shared" si="18"/>
        <v>0</v>
      </c>
      <c r="Z161" s="3"/>
      <c r="AA161" s="3"/>
      <c r="AB161" s="3"/>
      <c r="AC161" s="3" t="str">
        <f>IF(Tabella3[[#This Row],[gol port f]]="","",IF(Tabella3[[#This Row],[gol port f]]=0,1,0))</f>
        <v/>
      </c>
      <c r="AD161" s="3" t="str">
        <f>IF(Tabella3[[#This Row],[gol port s]]="","",IF(Tabella3[[#This Row],[gol port s]]=0,1,0))</f>
        <v/>
      </c>
      <c r="AE161" s="3"/>
    </row>
    <row r="162" spans="1:31" x14ac:dyDescent="0.3">
      <c r="A162" t="str">
        <f>CONCATENATE(Tabella3[[#This Row],[giornata]],Tabella3[[#This Row],[squadra]])</f>
        <v/>
      </c>
      <c r="G162" s="3">
        <f t="shared" si="17"/>
        <v>0</v>
      </c>
      <c r="I162" s="3">
        <f t="shared" si="18"/>
        <v>0</v>
      </c>
      <c r="Z162" s="3"/>
      <c r="AA162" s="3"/>
      <c r="AB162" s="3"/>
      <c r="AC162" s="3" t="str">
        <f>IF(Tabella3[[#This Row],[gol port f]]="","",IF(Tabella3[[#This Row],[gol port f]]=0,1,0))</f>
        <v/>
      </c>
      <c r="AD162" s="3" t="str">
        <f>IF(Tabella3[[#This Row],[gol port s]]="","",IF(Tabella3[[#This Row],[gol port s]]=0,1,0))</f>
        <v/>
      </c>
      <c r="AE162" s="3"/>
    </row>
    <row r="163" spans="1:31" x14ac:dyDescent="0.3">
      <c r="A163" t="str">
        <f>CONCATENATE(Tabella3[[#This Row],[giornata]],Tabella3[[#This Row],[squadra]])</f>
        <v/>
      </c>
      <c r="G163" s="3">
        <f t="shared" si="17"/>
        <v>0</v>
      </c>
      <c r="I163" s="3">
        <f t="shared" si="18"/>
        <v>0</v>
      </c>
      <c r="Z163" s="3"/>
      <c r="AA163" s="3"/>
      <c r="AB163" s="3"/>
      <c r="AC163" s="3" t="str">
        <f>IF(Tabella3[[#This Row],[gol port f]]="","",IF(Tabella3[[#This Row],[gol port f]]=0,1,0))</f>
        <v/>
      </c>
      <c r="AD163" s="3" t="str">
        <f>IF(Tabella3[[#This Row],[gol port s]]="","",IF(Tabella3[[#This Row],[gol port s]]=0,1,0))</f>
        <v/>
      </c>
      <c r="AE163" s="3"/>
    </row>
    <row r="164" spans="1:31" x14ac:dyDescent="0.3">
      <c r="A164" t="str">
        <f>CONCATENATE(Tabella3[[#This Row],[giornata]],Tabella3[[#This Row],[squadra]])</f>
        <v/>
      </c>
      <c r="G164" s="3">
        <f t="shared" si="17"/>
        <v>0</v>
      </c>
      <c r="I164" s="3">
        <f t="shared" si="18"/>
        <v>0</v>
      </c>
      <c r="Z164" s="3"/>
      <c r="AA164" s="3"/>
      <c r="AB164" s="3"/>
      <c r="AC164" s="3" t="str">
        <f>IF(Tabella3[[#This Row],[gol port f]]="","",IF(Tabella3[[#This Row],[gol port f]]=0,1,0))</f>
        <v/>
      </c>
      <c r="AD164" s="3" t="str">
        <f>IF(Tabella3[[#This Row],[gol port s]]="","",IF(Tabella3[[#This Row],[gol port s]]=0,1,0))</f>
        <v/>
      </c>
      <c r="AE164" s="3"/>
    </row>
    <row r="165" spans="1:31" x14ac:dyDescent="0.3">
      <c r="A165" t="str">
        <f>CONCATENATE(Tabella3[[#This Row],[giornata]],Tabella3[[#This Row],[squadra]])</f>
        <v/>
      </c>
      <c r="G165" s="3">
        <f t="shared" si="17"/>
        <v>0</v>
      </c>
      <c r="I165" s="3">
        <f t="shared" si="18"/>
        <v>0</v>
      </c>
      <c r="Z165" s="3"/>
      <c r="AA165" s="3"/>
      <c r="AB165" s="3"/>
      <c r="AC165" s="3" t="str">
        <f>IF(Tabella3[[#This Row],[gol port f]]="","",IF(Tabella3[[#This Row],[gol port f]]=0,1,0))</f>
        <v/>
      </c>
      <c r="AD165" s="3" t="str">
        <f>IF(Tabella3[[#This Row],[gol port s]]="","",IF(Tabella3[[#This Row],[gol port s]]=0,1,0))</f>
        <v/>
      </c>
      <c r="AE165" s="3"/>
    </row>
    <row r="166" spans="1:31" x14ac:dyDescent="0.3">
      <c r="A166" t="str">
        <f>CONCATENATE(Tabella3[[#This Row],[giornata]],Tabella3[[#This Row],[squadra]])</f>
        <v/>
      </c>
      <c r="G166" s="3">
        <f t="shared" si="17"/>
        <v>0</v>
      </c>
      <c r="I166" s="3">
        <f t="shared" si="18"/>
        <v>0</v>
      </c>
      <c r="Z166" s="3"/>
      <c r="AA166" s="3"/>
      <c r="AB166" s="3"/>
      <c r="AC166" s="3" t="str">
        <f>IF(Tabella3[[#This Row],[gol port f]]="","",IF(Tabella3[[#This Row],[gol port f]]=0,1,0))</f>
        <v/>
      </c>
      <c r="AD166" s="3" t="str">
        <f>IF(Tabella3[[#This Row],[gol port s]]="","",IF(Tabella3[[#This Row],[gol port s]]=0,1,0))</f>
        <v/>
      </c>
      <c r="AE166" s="3"/>
    </row>
    <row r="167" spans="1:31" x14ac:dyDescent="0.3">
      <c r="A167" t="str">
        <f>CONCATENATE(Tabella3[[#This Row],[giornata]],Tabella3[[#This Row],[squadra]])</f>
        <v/>
      </c>
      <c r="G167" s="3">
        <f t="shared" si="17"/>
        <v>0</v>
      </c>
      <c r="I167" s="3">
        <f t="shared" si="18"/>
        <v>0</v>
      </c>
      <c r="Z167" s="3"/>
      <c r="AA167" s="3"/>
      <c r="AB167" s="3"/>
      <c r="AC167" s="3" t="str">
        <f>IF(Tabella3[[#This Row],[gol port f]]="","",IF(Tabella3[[#This Row],[gol port f]]=0,1,0))</f>
        <v/>
      </c>
      <c r="AD167" s="3" t="str">
        <f>IF(Tabella3[[#This Row],[gol port s]]="","",IF(Tabella3[[#This Row],[gol port s]]=0,1,0))</f>
        <v/>
      </c>
      <c r="AE167" s="3"/>
    </row>
    <row r="168" spans="1:31" x14ac:dyDescent="0.3">
      <c r="A168" t="str">
        <f>CONCATENATE(Tabella3[[#This Row],[giornata]],Tabella3[[#This Row],[squadra]])</f>
        <v/>
      </c>
      <c r="G168" s="3">
        <f t="shared" si="17"/>
        <v>0</v>
      </c>
      <c r="I168" s="3">
        <f t="shared" si="18"/>
        <v>0</v>
      </c>
      <c r="Z168" s="3"/>
      <c r="AA168" s="3"/>
      <c r="AB168" s="3"/>
      <c r="AC168" s="3" t="str">
        <f>IF(Tabella3[[#This Row],[gol port f]]="","",IF(Tabella3[[#This Row],[gol port f]]=0,1,0))</f>
        <v/>
      </c>
      <c r="AD168" s="3" t="str">
        <f>IF(Tabella3[[#This Row],[gol port s]]="","",IF(Tabella3[[#This Row],[gol port s]]=0,1,0))</f>
        <v/>
      </c>
      <c r="AE168" s="3"/>
    </row>
    <row r="169" spans="1:31" x14ac:dyDescent="0.3">
      <c r="A169" t="str">
        <f>CONCATENATE(Tabella3[[#This Row],[giornata]],Tabella3[[#This Row],[squadra]])</f>
        <v/>
      </c>
      <c r="G169" s="3">
        <f t="shared" si="17"/>
        <v>0</v>
      </c>
      <c r="I169" s="3">
        <f t="shared" si="18"/>
        <v>0</v>
      </c>
      <c r="Z169" s="3"/>
      <c r="AA169" s="3"/>
      <c r="AB169" s="3"/>
      <c r="AC169" s="3" t="str">
        <f>IF(Tabella3[[#This Row],[gol port f]]="","",IF(Tabella3[[#This Row],[gol port f]]=0,1,0))</f>
        <v/>
      </c>
      <c r="AD169" s="3" t="str">
        <f>IF(Tabella3[[#This Row],[gol port s]]="","",IF(Tabella3[[#This Row],[gol port s]]=0,1,0))</f>
        <v/>
      </c>
      <c r="AE169" s="3"/>
    </row>
    <row r="170" spans="1:31" x14ac:dyDescent="0.3">
      <c r="A170" t="str">
        <f>CONCATENATE(Tabella3[[#This Row],[giornata]],Tabella3[[#This Row],[squadra]])</f>
        <v/>
      </c>
      <c r="G170" s="3">
        <f t="shared" si="17"/>
        <v>0</v>
      </c>
      <c r="I170" s="3">
        <f t="shared" si="18"/>
        <v>0</v>
      </c>
      <c r="Z170" s="3"/>
      <c r="AA170" s="3"/>
      <c r="AB170" s="3"/>
      <c r="AC170" s="3" t="str">
        <f>IF(Tabella3[[#This Row],[gol port f]]="","",IF(Tabella3[[#This Row],[gol port f]]=0,1,0))</f>
        <v/>
      </c>
      <c r="AD170" s="3" t="str">
        <f>IF(Tabella3[[#This Row],[gol port s]]="","",IF(Tabella3[[#This Row],[gol port s]]=0,1,0))</f>
        <v/>
      </c>
      <c r="AE170" s="3"/>
    </row>
    <row r="171" spans="1:31" x14ac:dyDescent="0.3">
      <c r="A171" t="str">
        <f>CONCATENATE(Tabella3[[#This Row],[giornata]],Tabella3[[#This Row],[squadra]])</f>
        <v/>
      </c>
      <c r="G171" s="3">
        <f t="shared" si="17"/>
        <v>0</v>
      </c>
      <c r="I171" s="3">
        <f t="shared" si="18"/>
        <v>0</v>
      </c>
      <c r="Z171" s="3"/>
      <c r="AA171" s="3"/>
      <c r="AB171" s="3"/>
      <c r="AC171" s="3" t="str">
        <f>IF(Tabella3[[#This Row],[gol port f]]="","",IF(Tabella3[[#This Row],[gol port f]]=0,1,0))</f>
        <v/>
      </c>
      <c r="AD171" s="3" t="str">
        <f>IF(Tabella3[[#This Row],[gol port s]]="","",IF(Tabella3[[#This Row],[gol port s]]=0,1,0))</f>
        <v/>
      </c>
      <c r="AE171" s="3"/>
    </row>
    <row r="172" spans="1:31" x14ac:dyDescent="0.3">
      <c r="A172" t="str">
        <f>CONCATENATE(Tabella3[[#This Row],[giornata]],Tabella3[[#This Row],[squadra]])</f>
        <v/>
      </c>
      <c r="G172" s="3">
        <f t="shared" si="17"/>
        <v>0</v>
      </c>
      <c r="I172" s="3">
        <f t="shared" si="18"/>
        <v>0</v>
      </c>
      <c r="Z172" s="3"/>
      <c r="AA172" s="3"/>
      <c r="AB172" s="3"/>
      <c r="AC172" s="3" t="str">
        <f>IF(Tabella3[[#This Row],[gol port f]]="","",IF(Tabella3[[#This Row],[gol port f]]=0,1,0))</f>
        <v/>
      </c>
      <c r="AD172" s="3" t="str">
        <f>IF(Tabella3[[#This Row],[gol port s]]="","",IF(Tabella3[[#This Row],[gol port s]]=0,1,0))</f>
        <v/>
      </c>
      <c r="AE172" s="3"/>
    </row>
    <row r="173" spans="1:31" x14ac:dyDescent="0.3">
      <c r="A173" t="str">
        <f>CONCATENATE(Tabella3[[#This Row],[giornata]],Tabella3[[#This Row],[squadra]])</f>
        <v/>
      </c>
      <c r="G173" s="3">
        <f t="shared" si="17"/>
        <v>0</v>
      </c>
      <c r="I173" s="3">
        <f t="shared" si="18"/>
        <v>0</v>
      </c>
      <c r="Z173" s="3"/>
      <c r="AA173" s="3"/>
      <c r="AB173" s="3"/>
      <c r="AC173" s="3" t="str">
        <f>IF(Tabella3[[#This Row],[gol port f]]="","",IF(Tabella3[[#This Row],[gol port f]]=0,1,0))</f>
        <v/>
      </c>
      <c r="AD173" s="3" t="str">
        <f>IF(Tabella3[[#This Row],[gol port s]]="","",IF(Tabella3[[#This Row],[gol port s]]=0,1,0))</f>
        <v/>
      </c>
      <c r="AE173" s="3"/>
    </row>
    <row r="174" spans="1:31" x14ac:dyDescent="0.3">
      <c r="A174" t="str">
        <f>CONCATENATE(Tabella3[[#This Row],[giornata]],Tabella3[[#This Row],[squadra]])</f>
        <v/>
      </c>
      <c r="G174" s="3">
        <f t="shared" si="17"/>
        <v>0</v>
      </c>
      <c r="I174" s="3">
        <f t="shared" si="18"/>
        <v>0</v>
      </c>
      <c r="Z174" s="3"/>
      <c r="AA174" s="3"/>
      <c r="AB174" s="3"/>
      <c r="AC174" s="3" t="str">
        <f>IF(Tabella3[[#This Row],[gol port f]]="","",IF(Tabella3[[#This Row],[gol port f]]=0,1,0))</f>
        <v/>
      </c>
      <c r="AD174" s="3" t="str">
        <f>IF(Tabella3[[#This Row],[gol port s]]="","",IF(Tabella3[[#This Row],[gol port s]]=0,1,0))</f>
        <v/>
      </c>
      <c r="AE174" s="3"/>
    </row>
    <row r="175" spans="1:31" x14ac:dyDescent="0.3">
      <c r="A175" t="str">
        <f>CONCATENATE(Tabella3[[#This Row],[giornata]],Tabella3[[#This Row],[squadra]])</f>
        <v/>
      </c>
      <c r="G175" s="3">
        <f t="shared" si="17"/>
        <v>0</v>
      </c>
      <c r="I175" s="3">
        <f t="shared" si="18"/>
        <v>0</v>
      </c>
      <c r="Z175" s="3"/>
      <c r="AA175" s="3"/>
      <c r="AB175" s="3"/>
      <c r="AC175" s="3" t="str">
        <f>IF(Tabella3[[#This Row],[gol port f]]="","",IF(Tabella3[[#This Row],[gol port f]]=0,1,0))</f>
        <v/>
      </c>
      <c r="AD175" s="3" t="str">
        <f>IF(Tabella3[[#This Row],[gol port s]]="","",IF(Tabella3[[#This Row],[gol port s]]=0,1,0))</f>
        <v/>
      </c>
      <c r="AE175" s="3"/>
    </row>
    <row r="176" spans="1:31" x14ac:dyDescent="0.3">
      <c r="A176" t="str">
        <f>CONCATENATE(Tabella3[[#This Row],[giornata]],Tabella3[[#This Row],[squadra]])</f>
        <v/>
      </c>
      <c r="G176" s="3">
        <f t="shared" si="17"/>
        <v>0</v>
      </c>
      <c r="I176" s="3">
        <f t="shared" si="18"/>
        <v>0</v>
      </c>
      <c r="Z176" s="3"/>
      <c r="AA176" s="3"/>
      <c r="AB176" s="3"/>
      <c r="AC176" s="3" t="str">
        <f>IF(Tabella3[[#This Row],[gol port f]]="","",IF(Tabella3[[#This Row],[gol port f]]=0,1,0))</f>
        <v/>
      </c>
      <c r="AD176" s="3" t="str">
        <f>IF(Tabella3[[#This Row],[gol port s]]="","",IF(Tabella3[[#This Row],[gol port s]]=0,1,0))</f>
        <v/>
      </c>
      <c r="AE176" s="3"/>
    </row>
    <row r="177" spans="1:31" x14ac:dyDescent="0.3">
      <c r="A177" t="str">
        <f>CONCATENATE(Tabella3[[#This Row],[giornata]],Tabella3[[#This Row],[squadra]])</f>
        <v/>
      </c>
      <c r="G177" s="3">
        <f t="shared" si="17"/>
        <v>0</v>
      </c>
      <c r="I177" s="3">
        <f t="shared" si="18"/>
        <v>0</v>
      </c>
      <c r="Z177" s="3"/>
      <c r="AA177" s="3"/>
      <c r="AB177" s="3"/>
      <c r="AC177" s="3" t="str">
        <f>IF(Tabella3[[#This Row],[gol port f]]="","",IF(Tabella3[[#This Row],[gol port f]]=0,1,0))</f>
        <v/>
      </c>
      <c r="AD177" s="3" t="str">
        <f>IF(Tabella3[[#This Row],[gol port s]]="","",IF(Tabella3[[#This Row],[gol port s]]=0,1,0))</f>
        <v/>
      </c>
      <c r="AE177" s="3"/>
    </row>
    <row r="178" spans="1:31" x14ac:dyDescent="0.3">
      <c r="A178" t="str">
        <f>CONCATENATE(Tabella3[[#This Row],[giornata]],Tabella3[[#This Row],[squadra]])</f>
        <v/>
      </c>
      <c r="G178" s="3">
        <f t="shared" si="17"/>
        <v>0</v>
      </c>
      <c r="I178" s="3">
        <f t="shared" si="18"/>
        <v>0</v>
      </c>
      <c r="Z178" s="3"/>
      <c r="AA178" s="3"/>
      <c r="AB178" s="3"/>
      <c r="AC178" s="3" t="str">
        <f>IF(Tabella3[[#This Row],[gol port f]]="","",IF(Tabella3[[#This Row],[gol port f]]=0,1,0))</f>
        <v/>
      </c>
      <c r="AD178" s="3" t="str">
        <f>IF(Tabella3[[#This Row],[gol port s]]="","",IF(Tabella3[[#This Row],[gol port s]]=0,1,0))</f>
        <v/>
      </c>
      <c r="AE178" s="3"/>
    </row>
    <row r="179" spans="1:31" x14ac:dyDescent="0.3">
      <c r="A179" t="str">
        <f>CONCATENATE(Tabella3[[#This Row],[giornata]],Tabella3[[#This Row],[squadra]])</f>
        <v/>
      </c>
      <c r="G179" s="3">
        <f t="shared" si="17"/>
        <v>0</v>
      </c>
      <c r="I179" s="3">
        <f t="shared" si="18"/>
        <v>0</v>
      </c>
      <c r="Z179" s="3"/>
      <c r="AA179" s="3"/>
      <c r="AB179" s="3"/>
      <c r="AC179" s="3" t="str">
        <f>IF(Tabella3[[#This Row],[gol port f]]="","",IF(Tabella3[[#This Row],[gol port f]]=0,1,0))</f>
        <v/>
      </c>
      <c r="AD179" s="3" t="str">
        <f>IF(Tabella3[[#This Row],[gol port s]]="","",IF(Tabella3[[#This Row],[gol port s]]=0,1,0))</f>
        <v/>
      </c>
      <c r="AE179" s="3"/>
    </row>
    <row r="180" spans="1:31" x14ac:dyDescent="0.3">
      <c r="A180" t="str">
        <f>CONCATENATE(Tabella3[[#This Row],[giornata]],Tabella3[[#This Row],[squadra]])</f>
        <v/>
      </c>
      <c r="G180" s="3">
        <f t="shared" si="17"/>
        <v>0</v>
      </c>
      <c r="I180" s="3">
        <f t="shared" si="18"/>
        <v>0</v>
      </c>
      <c r="Z180" s="3"/>
      <c r="AA180" s="3"/>
      <c r="AB180" s="3"/>
      <c r="AC180" s="3" t="str">
        <f>IF(Tabella3[[#This Row],[gol port f]]="","",IF(Tabella3[[#This Row],[gol port f]]=0,1,0))</f>
        <v/>
      </c>
      <c r="AD180" s="3" t="str">
        <f>IF(Tabella3[[#This Row],[gol port s]]="","",IF(Tabella3[[#This Row],[gol port s]]=0,1,0))</f>
        <v/>
      </c>
      <c r="AE180" s="3"/>
    </row>
    <row r="181" spans="1:31" x14ac:dyDescent="0.3">
      <c r="A181" t="str">
        <f>CONCATENATE(Tabella3[[#This Row],[giornata]],Tabella3[[#This Row],[squadra]])</f>
        <v/>
      </c>
      <c r="G181" s="3">
        <f t="shared" si="17"/>
        <v>0</v>
      </c>
      <c r="I181" s="3">
        <f t="shared" si="18"/>
        <v>0</v>
      </c>
      <c r="Z181" s="3"/>
      <c r="AA181" s="3"/>
      <c r="AB181" s="3"/>
      <c r="AC181" s="3" t="str">
        <f>IF(Tabella3[[#This Row],[gol port f]]="","",IF(Tabella3[[#This Row],[gol port f]]=0,1,0))</f>
        <v/>
      </c>
      <c r="AD181" s="3" t="str">
        <f>IF(Tabella3[[#This Row],[gol port s]]="","",IF(Tabella3[[#This Row],[gol port s]]=0,1,0))</f>
        <v/>
      </c>
      <c r="AE181" s="3"/>
    </row>
    <row r="182" spans="1:31" x14ac:dyDescent="0.3">
      <c r="A182" t="str">
        <f>CONCATENATE(Tabella3[[#This Row],[giornata]],Tabella3[[#This Row],[squadra]])</f>
        <v/>
      </c>
      <c r="G182" s="3">
        <f t="shared" si="17"/>
        <v>0</v>
      </c>
      <c r="I182" s="3">
        <f t="shared" si="18"/>
        <v>0</v>
      </c>
      <c r="Z182" s="3"/>
      <c r="AA182" s="3"/>
      <c r="AB182" s="3"/>
      <c r="AC182" s="3" t="str">
        <f>IF(Tabella3[[#This Row],[gol port f]]="","",IF(Tabella3[[#This Row],[gol port f]]=0,1,0))</f>
        <v/>
      </c>
      <c r="AD182" s="3" t="str">
        <f>IF(Tabella3[[#This Row],[gol port s]]="","",IF(Tabella3[[#This Row],[gol port s]]=0,1,0))</f>
        <v/>
      </c>
      <c r="AE182" s="3"/>
    </row>
    <row r="183" spans="1:31" x14ac:dyDescent="0.3">
      <c r="A183" t="str">
        <f>CONCATENATE(Tabella3[[#This Row],[giornata]],Tabella3[[#This Row],[squadra]])</f>
        <v/>
      </c>
      <c r="G183" s="3">
        <f t="shared" si="17"/>
        <v>0</v>
      </c>
      <c r="I183" s="3">
        <f t="shared" si="18"/>
        <v>0</v>
      </c>
      <c r="Z183" s="3"/>
      <c r="AA183" s="3"/>
      <c r="AB183" s="3"/>
      <c r="AC183" s="3" t="str">
        <f>IF(Tabella3[[#This Row],[gol port f]]="","",IF(Tabella3[[#This Row],[gol port f]]=0,1,0))</f>
        <v/>
      </c>
      <c r="AD183" s="3" t="str">
        <f>IF(Tabella3[[#This Row],[gol port s]]="","",IF(Tabella3[[#This Row],[gol port s]]=0,1,0))</f>
        <v/>
      </c>
      <c r="AE183" s="3"/>
    </row>
    <row r="184" spans="1:31" x14ac:dyDescent="0.3">
      <c r="A184" t="str">
        <f>CONCATENATE(Tabella3[[#This Row],[giornata]],Tabella3[[#This Row],[squadra]])</f>
        <v/>
      </c>
      <c r="G184" s="3">
        <f t="shared" si="17"/>
        <v>0</v>
      </c>
      <c r="I184" s="3">
        <f t="shared" si="18"/>
        <v>0</v>
      </c>
      <c r="Z184" s="3"/>
      <c r="AA184" s="3"/>
      <c r="AB184" s="3"/>
      <c r="AC184" s="3" t="str">
        <f>IF(Tabella3[[#This Row],[gol port f]]="","",IF(Tabella3[[#This Row],[gol port f]]=0,1,0))</f>
        <v/>
      </c>
      <c r="AD184" s="3" t="str">
        <f>IF(Tabella3[[#This Row],[gol port s]]="","",IF(Tabella3[[#This Row],[gol port s]]=0,1,0))</f>
        <v/>
      </c>
      <c r="AE184" s="3"/>
    </row>
    <row r="185" spans="1:31" x14ac:dyDescent="0.3">
      <c r="A185" t="str">
        <f>CONCATENATE(Tabella3[[#This Row],[giornata]],Tabella3[[#This Row],[squadra]])</f>
        <v/>
      </c>
      <c r="G185" s="3">
        <f t="shared" si="17"/>
        <v>0</v>
      </c>
      <c r="I185" s="3">
        <f t="shared" si="18"/>
        <v>0</v>
      </c>
      <c r="Z185" s="3"/>
      <c r="AA185" s="3"/>
      <c r="AB185" s="3"/>
      <c r="AC185" s="3" t="str">
        <f>IF(Tabella3[[#This Row],[gol port f]]="","",IF(Tabella3[[#This Row],[gol port f]]=0,1,0))</f>
        <v/>
      </c>
      <c r="AD185" s="3" t="str">
        <f>IF(Tabella3[[#This Row],[gol port s]]="","",IF(Tabella3[[#This Row],[gol port s]]=0,1,0))</f>
        <v/>
      </c>
      <c r="AE185" s="3"/>
    </row>
    <row r="186" spans="1:31" x14ac:dyDescent="0.3">
      <c r="A186" t="str">
        <f>CONCATENATE(Tabella3[[#This Row],[giornata]],Tabella3[[#This Row],[squadra]])</f>
        <v/>
      </c>
      <c r="G186" s="3">
        <f t="shared" si="17"/>
        <v>0</v>
      </c>
      <c r="I186" s="3">
        <f t="shared" si="18"/>
        <v>0</v>
      </c>
      <c r="Z186" s="3"/>
      <c r="AA186" s="3"/>
      <c r="AB186" s="3"/>
      <c r="AC186" s="3" t="str">
        <f>IF(Tabella3[[#This Row],[gol port f]]="","",IF(Tabella3[[#This Row],[gol port f]]=0,1,0))</f>
        <v/>
      </c>
      <c r="AD186" s="3" t="str">
        <f>IF(Tabella3[[#This Row],[gol port s]]="","",IF(Tabella3[[#This Row],[gol port s]]=0,1,0))</f>
        <v/>
      </c>
      <c r="AE186" s="3"/>
    </row>
    <row r="187" spans="1:31" x14ac:dyDescent="0.3">
      <c r="A187" t="str">
        <f>CONCATENATE(Tabella3[[#This Row],[giornata]],Tabella3[[#This Row],[squadra]])</f>
        <v/>
      </c>
      <c r="G187" s="3">
        <f t="shared" si="17"/>
        <v>0</v>
      </c>
      <c r="I187" s="3">
        <f t="shared" si="18"/>
        <v>0</v>
      </c>
      <c r="Z187" s="3"/>
      <c r="AA187" s="3"/>
      <c r="AB187" s="3"/>
      <c r="AC187" s="3" t="str">
        <f>IF(Tabella3[[#This Row],[gol port f]]="","",IF(Tabella3[[#This Row],[gol port f]]=0,1,0))</f>
        <v/>
      </c>
      <c r="AD187" s="3" t="str">
        <f>IF(Tabella3[[#This Row],[gol port s]]="","",IF(Tabella3[[#This Row],[gol port s]]=0,1,0))</f>
        <v/>
      </c>
      <c r="AE187" s="3"/>
    </row>
    <row r="188" spans="1:31" x14ac:dyDescent="0.3">
      <c r="A188" t="str">
        <f>CONCATENATE(Tabella3[[#This Row],[giornata]],Tabella3[[#This Row],[squadra]])</f>
        <v/>
      </c>
      <c r="G188" s="3">
        <f t="shared" si="17"/>
        <v>0</v>
      </c>
      <c r="I188" s="3">
        <f t="shared" si="18"/>
        <v>0</v>
      </c>
      <c r="S188" s="269"/>
      <c r="Z188" s="3"/>
      <c r="AA188" s="3"/>
      <c r="AB188" s="3"/>
      <c r="AC188" s="3" t="str">
        <f>IF(Tabella3[[#This Row],[gol port f]]="","",IF(Tabella3[[#This Row],[gol port f]]=0,1,0))</f>
        <v/>
      </c>
      <c r="AD188" s="3" t="str">
        <f>IF(Tabella3[[#This Row],[gol port s]]="","",IF(Tabella3[[#This Row],[gol port s]]=0,1,0))</f>
        <v/>
      </c>
      <c r="AE188" s="3"/>
    </row>
    <row r="189" spans="1:31" x14ac:dyDescent="0.3">
      <c r="A189" t="str">
        <f>CONCATENATE(Tabella3[[#This Row],[giornata]],Tabella3[[#This Row],[squadra]])</f>
        <v/>
      </c>
      <c r="G189" s="3">
        <f t="shared" si="17"/>
        <v>0</v>
      </c>
      <c r="I189" s="3">
        <f t="shared" si="18"/>
        <v>0</v>
      </c>
      <c r="Z189" s="3"/>
      <c r="AA189" s="3"/>
      <c r="AB189" s="3"/>
      <c r="AC189" s="3" t="str">
        <f>IF(Tabella3[[#This Row],[gol port f]]="","",IF(Tabella3[[#This Row],[gol port f]]=0,1,0))</f>
        <v/>
      </c>
      <c r="AD189" s="3" t="str">
        <f>IF(Tabella3[[#This Row],[gol port s]]="","",IF(Tabella3[[#This Row],[gol port s]]=0,1,0))</f>
        <v/>
      </c>
      <c r="AE189" s="3"/>
    </row>
    <row r="190" spans="1:31" x14ac:dyDescent="0.3">
      <c r="A190" t="str">
        <f>CONCATENATE(Tabella3[[#This Row],[giornata]],Tabella3[[#This Row],[squadra]])</f>
        <v/>
      </c>
      <c r="G190" s="3">
        <f t="shared" si="17"/>
        <v>0</v>
      </c>
      <c r="I190" s="3">
        <f t="shared" si="18"/>
        <v>0</v>
      </c>
      <c r="Z190" s="3"/>
      <c r="AA190" s="3"/>
      <c r="AB190" s="3"/>
      <c r="AC190" s="3" t="str">
        <f>IF(Tabella3[[#This Row],[gol port f]]="","",IF(Tabella3[[#This Row],[gol port f]]=0,1,0))</f>
        <v/>
      </c>
      <c r="AD190" s="3" t="str">
        <f>IF(Tabella3[[#This Row],[gol port s]]="","",IF(Tabella3[[#This Row],[gol port s]]=0,1,0))</f>
        <v/>
      </c>
      <c r="AE190" s="3"/>
    </row>
    <row r="191" spans="1:31" x14ac:dyDescent="0.3">
      <c r="A191" t="str">
        <f>CONCATENATE(Tabella3[[#This Row],[giornata]],Tabella3[[#This Row],[squadra]])</f>
        <v/>
      </c>
      <c r="G191" s="3">
        <f t="shared" si="17"/>
        <v>0</v>
      </c>
      <c r="I191" s="3">
        <f t="shared" si="18"/>
        <v>0</v>
      </c>
      <c r="Z191" s="3"/>
      <c r="AA191" s="3"/>
      <c r="AB191" s="3"/>
      <c r="AC191" s="3" t="str">
        <f>IF(Tabella3[[#This Row],[gol port f]]="","",IF(Tabella3[[#This Row],[gol port f]]=0,1,0))</f>
        <v/>
      </c>
      <c r="AD191" s="3" t="str">
        <f>IF(Tabella3[[#This Row],[gol port s]]="","",IF(Tabella3[[#This Row],[gol port s]]=0,1,0))</f>
        <v/>
      </c>
      <c r="AE191" s="3"/>
    </row>
    <row r="192" spans="1:31" x14ac:dyDescent="0.3">
      <c r="A192" t="str">
        <f>CONCATENATE(Tabella3[[#This Row],[giornata]],Tabella3[[#This Row],[squadra]])</f>
        <v/>
      </c>
      <c r="G192" s="3">
        <f t="shared" si="17"/>
        <v>0</v>
      </c>
      <c r="I192" s="3">
        <f t="shared" si="18"/>
        <v>0</v>
      </c>
      <c r="Z192" s="3"/>
      <c r="AA192" s="3"/>
      <c r="AB192" s="3"/>
      <c r="AC192" s="3" t="str">
        <f>IF(Tabella3[[#This Row],[gol port f]]="","",IF(Tabella3[[#This Row],[gol port f]]=0,1,0))</f>
        <v/>
      </c>
      <c r="AD192" s="3" t="str">
        <f>IF(Tabella3[[#This Row],[gol port s]]="","",IF(Tabella3[[#This Row],[gol port s]]=0,1,0))</f>
        <v/>
      </c>
      <c r="AE192" s="3"/>
    </row>
    <row r="193" spans="1:31" x14ac:dyDescent="0.3">
      <c r="A193" t="str">
        <f>CONCATENATE(Tabella3[[#This Row],[giornata]],Tabella3[[#This Row],[squadra]])</f>
        <v/>
      </c>
      <c r="G193" s="3">
        <f t="shared" si="17"/>
        <v>0</v>
      </c>
      <c r="I193" s="3">
        <f t="shared" si="18"/>
        <v>0</v>
      </c>
      <c r="Z193" s="3"/>
      <c r="AA193" s="3"/>
      <c r="AB193" s="3"/>
      <c r="AC193" s="3" t="str">
        <f>IF(Tabella3[[#This Row],[gol port f]]="","",IF(Tabella3[[#This Row],[gol port f]]=0,1,0))</f>
        <v/>
      </c>
      <c r="AD193" s="3" t="str">
        <f>IF(Tabella3[[#This Row],[gol port s]]="","",IF(Tabella3[[#This Row],[gol port s]]=0,1,0))</f>
        <v/>
      </c>
      <c r="AE193" s="3"/>
    </row>
    <row r="194" spans="1:31" x14ac:dyDescent="0.3">
      <c r="A194" t="str">
        <f>CONCATENATE(Tabella3[[#This Row],[giornata]],Tabella3[[#This Row],[squadra]])</f>
        <v/>
      </c>
      <c r="G194" s="3">
        <f t="shared" ref="G194:G211" si="19">SUM(D194:F194)</f>
        <v>0</v>
      </c>
      <c r="I194" s="3">
        <f t="shared" ref="I194:I211" si="20">VLOOKUP(G194,$AH$32:$AI$40,2,TRUE)</f>
        <v>0</v>
      </c>
      <c r="Z194" s="3"/>
      <c r="AA194" s="3"/>
      <c r="AB194" s="3"/>
      <c r="AC194" s="3" t="str">
        <f>IF(Tabella3[[#This Row],[gol port f]]="","",IF(Tabella3[[#This Row],[gol port f]]=0,1,0))</f>
        <v/>
      </c>
      <c r="AD194" s="3" t="str">
        <f>IF(Tabella3[[#This Row],[gol port s]]="","",IF(Tabella3[[#This Row],[gol port s]]=0,1,0))</f>
        <v/>
      </c>
      <c r="AE194" s="3"/>
    </row>
    <row r="195" spans="1:31" x14ac:dyDescent="0.3">
      <c r="A195" t="str">
        <f>CONCATENATE(Tabella3[[#This Row],[giornata]],Tabella3[[#This Row],[squadra]])</f>
        <v/>
      </c>
      <c r="G195" s="3">
        <f t="shared" si="19"/>
        <v>0</v>
      </c>
      <c r="I195" s="3">
        <f t="shared" si="20"/>
        <v>0</v>
      </c>
      <c r="Z195" s="3"/>
      <c r="AA195" s="3"/>
      <c r="AB195" s="3"/>
      <c r="AC195" s="3" t="str">
        <f>IF(Tabella3[[#This Row],[gol port f]]="","",IF(Tabella3[[#This Row],[gol port f]]=0,1,0))</f>
        <v/>
      </c>
      <c r="AD195" s="3" t="str">
        <f>IF(Tabella3[[#This Row],[gol port s]]="","",IF(Tabella3[[#This Row],[gol port s]]=0,1,0))</f>
        <v/>
      </c>
      <c r="AE195" s="3"/>
    </row>
    <row r="196" spans="1:31" x14ac:dyDescent="0.3">
      <c r="A196" t="str">
        <f>CONCATENATE(Tabella3[[#This Row],[giornata]],Tabella3[[#This Row],[squadra]])</f>
        <v/>
      </c>
      <c r="G196" s="3">
        <f t="shared" si="19"/>
        <v>0</v>
      </c>
      <c r="I196" s="3">
        <f t="shared" si="20"/>
        <v>0</v>
      </c>
      <c r="Z196" s="3"/>
      <c r="AA196" s="3"/>
      <c r="AB196" s="3"/>
      <c r="AC196" s="3" t="str">
        <f>IF(Tabella3[[#This Row],[gol port f]]="","",IF(Tabella3[[#This Row],[gol port f]]=0,1,0))</f>
        <v/>
      </c>
      <c r="AD196" s="3" t="str">
        <f>IF(Tabella3[[#This Row],[gol port s]]="","",IF(Tabella3[[#This Row],[gol port s]]=0,1,0))</f>
        <v/>
      </c>
      <c r="AE196" s="3"/>
    </row>
    <row r="197" spans="1:31" x14ac:dyDescent="0.3">
      <c r="A197" t="str">
        <f>CONCATENATE(Tabella3[[#This Row],[giornata]],Tabella3[[#This Row],[squadra]])</f>
        <v/>
      </c>
      <c r="G197" s="3">
        <f t="shared" si="19"/>
        <v>0</v>
      </c>
      <c r="I197" s="3">
        <f t="shared" si="20"/>
        <v>0</v>
      </c>
      <c r="Z197" s="3"/>
      <c r="AA197" s="3"/>
      <c r="AB197" s="3"/>
      <c r="AC197" s="3" t="str">
        <f>IF(Tabella3[[#This Row],[gol port f]]="","",IF(Tabella3[[#This Row],[gol port f]]=0,1,0))</f>
        <v/>
      </c>
      <c r="AD197" s="3" t="str">
        <f>IF(Tabella3[[#This Row],[gol port s]]="","",IF(Tabella3[[#This Row],[gol port s]]=0,1,0))</f>
        <v/>
      </c>
      <c r="AE197" s="3"/>
    </row>
    <row r="198" spans="1:31" x14ac:dyDescent="0.3">
      <c r="A198" t="str">
        <f>CONCATENATE(Tabella3[[#This Row],[giornata]],Tabella3[[#This Row],[squadra]])</f>
        <v/>
      </c>
      <c r="G198" s="3">
        <f t="shared" si="19"/>
        <v>0</v>
      </c>
      <c r="I198" s="3">
        <f t="shared" si="20"/>
        <v>0</v>
      </c>
      <c r="Z198" s="3"/>
      <c r="AA198" s="3"/>
      <c r="AB198" s="3"/>
      <c r="AC198" s="3" t="str">
        <f>IF(Tabella3[[#This Row],[gol port f]]="","",IF(Tabella3[[#This Row],[gol port f]]=0,1,0))</f>
        <v/>
      </c>
      <c r="AD198" s="3" t="str">
        <f>IF(Tabella3[[#This Row],[gol port s]]="","",IF(Tabella3[[#This Row],[gol port s]]=0,1,0))</f>
        <v/>
      </c>
      <c r="AE198" s="3"/>
    </row>
    <row r="199" spans="1:31" x14ac:dyDescent="0.3">
      <c r="A199" t="str">
        <f>CONCATENATE(Tabella3[[#This Row],[giornata]],Tabella3[[#This Row],[squadra]])</f>
        <v/>
      </c>
      <c r="G199" s="3">
        <f t="shared" si="19"/>
        <v>0</v>
      </c>
      <c r="I199" s="3">
        <f t="shared" si="20"/>
        <v>0</v>
      </c>
      <c r="Z199" s="3"/>
      <c r="AA199" s="3"/>
      <c r="AB199" s="3"/>
      <c r="AC199" s="3" t="str">
        <f>IF(Tabella3[[#This Row],[gol port f]]="","",IF(Tabella3[[#This Row],[gol port f]]=0,1,0))</f>
        <v/>
      </c>
      <c r="AD199" s="3" t="str">
        <f>IF(Tabella3[[#This Row],[gol port s]]="","",IF(Tabella3[[#This Row],[gol port s]]=0,1,0))</f>
        <v/>
      </c>
      <c r="AE199" s="3"/>
    </row>
    <row r="200" spans="1:31" x14ac:dyDescent="0.3">
      <c r="A200" t="str">
        <f>CONCATENATE(Tabella3[[#This Row],[giornata]],Tabella3[[#This Row],[squadra]])</f>
        <v/>
      </c>
      <c r="G200" s="3">
        <f t="shared" si="19"/>
        <v>0</v>
      </c>
      <c r="I200" s="3">
        <f t="shared" si="20"/>
        <v>0</v>
      </c>
      <c r="Z200" s="3"/>
      <c r="AA200" s="3"/>
      <c r="AB200" s="3"/>
      <c r="AC200" s="3" t="str">
        <f>IF(Tabella3[[#This Row],[gol port f]]="","",IF(Tabella3[[#This Row],[gol port f]]=0,1,0))</f>
        <v/>
      </c>
      <c r="AD200" s="3" t="str">
        <f>IF(Tabella3[[#This Row],[gol port s]]="","",IF(Tabella3[[#This Row],[gol port s]]=0,1,0))</f>
        <v/>
      </c>
      <c r="AE200" s="3"/>
    </row>
    <row r="201" spans="1:31" x14ac:dyDescent="0.3">
      <c r="A201" t="str">
        <f>CONCATENATE(Tabella3[[#This Row],[giornata]],Tabella3[[#This Row],[squadra]])</f>
        <v/>
      </c>
      <c r="G201" s="3">
        <f t="shared" si="19"/>
        <v>0</v>
      </c>
      <c r="I201" s="3">
        <f t="shared" si="20"/>
        <v>0</v>
      </c>
      <c r="Z201" s="3"/>
      <c r="AA201" s="3"/>
      <c r="AB201" s="3"/>
      <c r="AC201" s="3" t="str">
        <f>IF(Tabella3[[#This Row],[gol port f]]="","",IF(Tabella3[[#This Row],[gol port f]]=0,1,0))</f>
        <v/>
      </c>
      <c r="AD201" s="3" t="str">
        <f>IF(Tabella3[[#This Row],[gol port s]]="","",IF(Tabella3[[#This Row],[gol port s]]=0,1,0))</f>
        <v/>
      </c>
      <c r="AE201" s="3"/>
    </row>
    <row r="202" spans="1:31" x14ac:dyDescent="0.3">
      <c r="A202" t="str">
        <f>CONCATENATE(Tabella3[[#This Row],[giornata]],Tabella3[[#This Row],[squadra]])</f>
        <v/>
      </c>
      <c r="G202" s="3">
        <f t="shared" si="19"/>
        <v>0</v>
      </c>
      <c r="I202" s="3">
        <f t="shared" si="20"/>
        <v>0</v>
      </c>
      <c r="Z202" s="3"/>
      <c r="AA202" s="3"/>
      <c r="AB202" s="3"/>
      <c r="AC202" s="3" t="str">
        <f>IF(Tabella3[[#This Row],[gol port f]]="","",IF(Tabella3[[#This Row],[gol port f]]=0,1,0))</f>
        <v/>
      </c>
      <c r="AD202" s="3" t="str">
        <f>IF(Tabella3[[#This Row],[gol port s]]="","",IF(Tabella3[[#This Row],[gol port s]]=0,1,0))</f>
        <v/>
      </c>
      <c r="AE202" s="3"/>
    </row>
    <row r="203" spans="1:31" x14ac:dyDescent="0.3">
      <c r="A203" t="str">
        <f>CONCATENATE(Tabella3[[#This Row],[giornata]],Tabella3[[#This Row],[squadra]])</f>
        <v/>
      </c>
      <c r="G203" s="3">
        <f t="shared" si="19"/>
        <v>0</v>
      </c>
      <c r="I203" s="3">
        <f t="shared" si="20"/>
        <v>0</v>
      </c>
      <c r="Z203" s="3"/>
      <c r="AA203" s="3"/>
      <c r="AB203" s="3"/>
      <c r="AC203" s="3" t="str">
        <f>IF(Tabella3[[#This Row],[gol port f]]="","",IF(Tabella3[[#This Row],[gol port f]]=0,1,0))</f>
        <v/>
      </c>
      <c r="AD203" s="3" t="str">
        <f>IF(Tabella3[[#This Row],[gol port s]]="","",IF(Tabella3[[#This Row],[gol port s]]=0,1,0))</f>
        <v/>
      </c>
      <c r="AE203" s="3"/>
    </row>
    <row r="204" spans="1:31" x14ac:dyDescent="0.3">
      <c r="A204" t="str">
        <f>CONCATENATE(Tabella3[[#This Row],[giornata]],Tabella3[[#This Row],[squadra]])</f>
        <v/>
      </c>
      <c r="G204" s="3">
        <f t="shared" si="19"/>
        <v>0</v>
      </c>
      <c r="I204" s="3">
        <f t="shared" si="20"/>
        <v>0</v>
      </c>
      <c r="Z204" s="3"/>
      <c r="AA204" s="3"/>
      <c r="AB204" s="3"/>
      <c r="AC204" s="3" t="str">
        <f>IF(Tabella3[[#This Row],[gol port f]]="","",IF(Tabella3[[#This Row],[gol port f]]=0,1,0))</f>
        <v/>
      </c>
      <c r="AD204" s="3" t="str">
        <f>IF(Tabella3[[#This Row],[gol port s]]="","",IF(Tabella3[[#This Row],[gol port s]]=0,1,0))</f>
        <v/>
      </c>
      <c r="AE204" s="3"/>
    </row>
    <row r="205" spans="1:31" x14ac:dyDescent="0.3">
      <c r="A205" t="str">
        <f>CONCATENATE(Tabella3[[#This Row],[giornata]],Tabella3[[#This Row],[squadra]])</f>
        <v/>
      </c>
      <c r="G205" s="3">
        <f t="shared" si="19"/>
        <v>0</v>
      </c>
      <c r="I205" s="3">
        <f t="shared" si="20"/>
        <v>0</v>
      </c>
      <c r="Z205" s="3"/>
      <c r="AA205" s="3"/>
      <c r="AB205" s="3"/>
      <c r="AC205" s="3" t="str">
        <f>IF(Tabella3[[#This Row],[gol port f]]="","",IF(Tabella3[[#This Row],[gol port f]]=0,1,0))</f>
        <v/>
      </c>
      <c r="AD205" s="3" t="str">
        <f>IF(Tabella3[[#This Row],[gol port s]]="","",IF(Tabella3[[#This Row],[gol port s]]=0,1,0))</f>
        <v/>
      </c>
      <c r="AE205" s="3"/>
    </row>
    <row r="206" spans="1:31" x14ac:dyDescent="0.3">
      <c r="A206" t="str">
        <f>CONCATENATE(Tabella3[[#This Row],[giornata]],Tabella3[[#This Row],[squadra]])</f>
        <v/>
      </c>
      <c r="G206" s="3">
        <f t="shared" si="19"/>
        <v>0</v>
      </c>
      <c r="I206" s="3">
        <f t="shared" si="20"/>
        <v>0</v>
      </c>
      <c r="Z206" s="3"/>
      <c r="AA206" s="3"/>
      <c r="AB206" s="3"/>
      <c r="AC206" s="3" t="str">
        <f>IF(Tabella3[[#This Row],[gol port f]]="","",IF(Tabella3[[#This Row],[gol port f]]=0,1,0))</f>
        <v/>
      </c>
      <c r="AD206" s="3" t="str">
        <f>IF(Tabella3[[#This Row],[gol port s]]="","",IF(Tabella3[[#This Row],[gol port s]]=0,1,0))</f>
        <v/>
      </c>
      <c r="AE206" s="3"/>
    </row>
    <row r="207" spans="1:31" x14ac:dyDescent="0.3">
      <c r="A207" t="str">
        <f>CONCATENATE(Tabella3[[#This Row],[giornata]],Tabella3[[#This Row],[squadra]])</f>
        <v/>
      </c>
      <c r="G207" s="3">
        <f t="shared" si="19"/>
        <v>0</v>
      </c>
      <c r="I207" s="3">
        <f t="shared" si="20"/>
        <v>0</v>
      </c>
      <c r="Z207" s="3"/>
      <c r="AA207" s="3"/>
      <c r="AB207" s="3"/>
      <c r="AC207" s="3" t="str">
        <f>IF(Tabella3[[#This Row],[gol port f]]="","",IF(Tabella3[[#This Row],[gol port f]]=0,1,0))</f>
        <v/>
      </c>
      <c r="AD207" s="3" t="str">
        <f>IF(Tabella3[[#This Row],[gol port s]]="","",IF(Tabella3[[#This Row],[gol port s]]=0,1,0))</f>
        <v/>
      </c>
      <c r="AE207" s="3"/>
    </row>
    <row r="208" spans="1:31" x14ac:dyDescent="0.3">
      <c r="A208" t="str">
        <f>CONCATENATE(Tabella3[[#This Row],[giornata]],Tabella3[[#This Row],[squadra]])</f>
        <v/>
      </c>
      <c r="G208" s="3">
        <f t="shared" si="19"/>
        <v>0</v>
      </c>
      <c r="I208" s="3">
        <f t="shared" si="20"/>
        <v>0</v>
      </c>
      <c r="Z208" s="3"/>
      <c r="AA208" s="3"/>
      <c r="AB208" s="3"/>
      <c r="AC208" s="3" t="str">
        <f>IF(Tabella3[[#This Row],[gol port f]]="","",IF(Tabella3[[#This Row],[gol port f]]=0,1,0))</f>
        <v/>
      </c>
      <c r="AD208" s="3" t="str">
        <f>IF(Tabella3[[#This Row],[gol port s]]="","",IF(Tabella3[[#This Row],[gol port s]]=0,1,0))</f>
        <v/>
      </c>
      <c r="AE208" s="3"/>
    </row>
    <row r="209" spans="1:31" x14ac:dyDescent="0.3">
      <c r="A209" t="str">
        <f>CONCATENATE(Tabella3[[#This Row],[giornata]],Tabella3[[#This Row],[squadra]])</f>
        <v/>
      </c>
      <c r="G209" s="3">
        <f t="shared" si="19"/>
        <v>0</v>
      </c>
      <c r="I209" s="3">
        <f t="shared" si="20"/>
        <v>0</v>
      </c>
      <c r="Z209" s="3"/>
      <c r="AA209" s="3"/>
      <c r="AB209" s="3"/>
      <c r="AC209" s="3" t="str">
        <f>IF(Tabella3[[#This Row],[gol port f]]="","",IF(Tabella3[[#This Row],[gol port f]]=0,1,0))</f>
        <v/>
      </c>
      <c r="AD209" s="3" t="str">
        <f>IF(Tabella3[[#This Row],[gol port s]]="","",IF(Tabella3[[#This Row],[gol port s]]=0,1,0))</f>
        <v/>
      </c>
      <c r="AE209" s="3"/>
    </row>
    <row r="210" spans="1:31" x14ac:dyDescent="0.3">
      <c r="A210" t="str">
        <f>CONCATENATE(Tabella3[[#This Row],[giornata]],Tabella3[[#This Row],[squadra]])</f>
        <v/>
      </c>
      <c r="G210" s="3">
        <f t="shared" si="19"/>
        <v>0</v>
      </c>
      <c r="I210" s="3">
        <f t="shared" si="20"/>
        <v>0</v>
      </c>
      <c r="Z210" s="3"/>
      <c r="AA210" s="3"/>
      <c r="AB210" s="3"/>
      <c r="AC210" s="3" t="str">
        <f>IF(Tabella3[[#This Row],[gol port f]]="","",IF(Tabella3[[#This Row],[gol port f]]=0,1,0))</f>
        <v/>
      </c>
      <c r="AD210" s="3" t="str">
        <f>IF(Tabella3[[#This Row],[gol port s]]="","",IF(Tabella3[[#This Row],[gol port s]]=0,1,0))</f>
        <v/>
      </c>
      <c r="AE210" s="3"/>
    </row>
    <row r="211" spans="1:31" x14ac:dyDescent="0.3">
      <c r="A211" t="str">
        <f>CONCATENATE(Tabella3[[#This Row],[giornata]],Tabella3[[#This Row],[squadra]])</f>
        <v/>
      </c>
      <c r="G211" s="3">
        <f t="shared" si="19"/>
        <v>0</v>
      </c>
      <c r="I211" s="3">
        <f t="shared" si="20"/>
        <v>0</v>
      </c>
      <c r="Z211" s="3"/>
      <c r="AA211" s="3"/>
      <c r="AB211" s="3"/>
      <c r="AC211" s="3" t="str">
        <f>IF(Tabella3[[#This Row],[gol port f]]="","",IF(Tabella3[[#This Row],[gol port f]]=0,1,0))</f>
        <v/>
      </c>
      <c r="AD211" s="3" t="str">
        <f>IF(Tabella3[[#This Row],[gol port s]]="","",IF(Tabella3[[#This Row],[gol port s]]=0,1,0))</f>
        <v/>
      </c>
      <c r="AE211" s="3"/>
    </row>
    <row r="212" spans="1:31" x14ac:dyDescent="0.3">
      <c r="B212" s="3" t="s">
        <v>99</v>
      </c>
      <c r="I212" s="3">
        <f>SUBTOTAL(109,Tabella3[gol pt  f])</f>
        <v>38</v>
      </c>
      <c r="J212" s="3">
        <f>SUBTOTAL(109,Tabella3[gol pt s])</f>
        <v>37</v>
      </c>
      <c r="K212" s="3">
        <f>SUBTOTAL(109,Tabella3[[gol f ]])</f>
        <v>39</v>
      </c>
      <c r="L212" s="3">
        <f>SUBTOTAL(109,Tabella3[gol s])</f>
        <v>39</v>
      </c>
      <c r="M212" s="3">
        <f>SUBTOTAL(109,Tabella3[gol port f])</f>
        <v>39</v>
      </c>
      <c r="N212" s="3">
        <f>SUBTOTAL(109,Tabella3[gol port s])</f>
        <v>39</v>
      </c>
      <c r="O212" s="3">
        <f>SUBTOTAL(109,Tabella3[assist f])</f>
        <v>23</v>
      </c>
      <c r="P212" s="3">
        <f>SUBTOTAL(109,Tabella3[assist s])</f>
        <v>23</v>
      </c>
      <c r="Q212" s="3">
        <f>SUBTOTAL(109,Tabella3[amm f])</f>
        <v>15</v>
      </c>
      <c r="R212" s="3">
        <f>SUBTOTAL(109,Tabella3[amm s])</f>
        <v>15</v>
      </c>
      <c r="S212" s="3">
        <f>SUBTOTAL(109,Tabella3[esp f])</f>
        <v>1</v>
      </c>
      <c r="T212" s="3">
        <f>SUBTOTAL(109,Tabella3[esp s])</f>
        <v>1</v>
      </c>
      <c r="U212" s="3">
        <f>SUBTOTAL(109,Tabella3[auto f])</f>
        <v>0</v>
      </c>
      <c r="V212" s="3">
        <f>SUBTOTAL(109,Tabella3[auto s])</f>
        <v>0</v>
      </c>
      <c r="Y212" s="3">
        <f>SUBTOTAL(109,Tabella3[rig sb f])</f>
        <v>1</v>
      </c>
      <c r="Z212" s="3">
        <f>SUBTOTAL(109,Tabella3[rig sb s])</f>
        <v>1</v>
      </c>
      <c r="AA212" s="3"/>
      <c r="AB212" s="3"/>
      <c r="AC212" s="3"/>
      <c r="AD212" s="3"/>
      <c r="AE212" s="3"/>
    </row>
  </sheetData>
  <sortState xmlns:xlrd2="http://schemas.microsoft.com/office/spreadsheetml/2017/richdata2" ref="AG18:BB23">
    <sortCondition ref="AG18:AG23"/>
  </sortState>
  <mergeCells count="24">
    <mergeCell ref="AH31:AI31"/>
    <mergeCell ref="AK31:AT31"/>
    <mergeCell ref="AZ16:AZ17"/>
    <mergeCell ref="BB16:BB17"/>
    <mergeCell ref="BC16:BC17"/>
    <mergeCell ref="AR16:AR17"/>
    <mergeCell ref="AO16:AO17"/>
    <mergeCell ref="AH16:AH17"/>
    <mergeCell ref="AI16:AI17"/>
    <mergeCell ref="AK16:AK17"/>
    <mergeCell ref="AL16:AL17"/>
    <mergeCell ref="AM16:AM17"/>
    <mergeCell ref="AN16:AN17"/>
    <mergeCell ref="AP16:AP17"/>
    <mergeCell ref="AQ16:AQ17"/>
    <mergeCell ref="BD16:BD17"/>
    <mergeCell ref="AS16:AS17"/>
    <mergeCell ref="AT16:AT17"/>
    <mergeCell ref="AV16:AV17"/>
    <mergeCell ref="AW16:AW17"/>
    <mergeCell ref="AX16:AX17"/>
    <mergeCell ref="AY16:AY17"/>
    <mergeCell ref="BA16:BA17"/>
    <mergeCell ref="AU16:AU17"/>
  </mergeCells>
  <phoneticPr fontId="5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FBD96-771D-4F85-9353-7B5974CAB6C7}">
  <sheetPr codeName="Foglio7">
    <tabColor rgb="FF92D050"/>
  </sheetPr>
  <dimension ref="A1:DA558"/>
  <sheetViews>
    <sheetView zoomScale="70" zoomScaleNormal="70" workbookViewId="0">
      <pane xSplit="25" ySplit="4" topLeftCell="Z5" activePane="bottomRight" state="frozen"/>
      <selection pane="topRight" activeCell="X1" sqref="X1"/>
      <selection pane="bottomLeft" activeCell="A3" sqref="A3"/>
      <selection pane="bottomRight" activeCell="AD18" sqref="AD18"/>
    </sheetView>
  </sheetViews>
  <sheetFormatPr defaultRowHeight="14.4" x14ac:dyDescent="0.3"/>
  <cols>
    <col min="1" max="1" width="1.44140625" customWidth="1"/>
    <col min="2" max="2" width="2.5546875" customWidth="1"/>
    <col min="3" max="3" width="22.109375" style="189" customWidth="1"/>
    <col min="4" max="4" width="11.33203125" style="189" customWidth="1"/>
    <col min="5" max="5" width="19" customWidth="1"/>
    <col min="6" max="6" width="4.44140625" customWidth="1"/>
    <col min="7" max="8" width="5.44140625" customWidth="1"/>
    <col min="9" max="9" width="8.33203125" customWidth="1"/>
    <col min="10" max="10" width="5.44140625" customWidth="1"/>
    <col min="11" max="11" width="7.5546875" customWidth="1"/>
    <col min="12" max="12" width="8.33203125" customWidth="1"/>
    <col min="13" max="13" width="7.6640625" customWidth="1"/>
    <col min="14" max="14" width="7" customWidth="1"/>
    <col min="15" max="15" width="5" customWidth="1"/>
    <col min="16" max="16" width="6.44140625" customWidth="1"/>
    <col min="17" max="20" width="5" customWidth="1"/>
    <col min="21" max="21" width="6.5546875" customWidth="1"/>
    <col min="22" max="25" width="5" customWidth="1"/>
    <col min="26" max="63" width="4.5546875" customWidth="1"/>
  </cols>
  <sheetData>
    <row r="1" spans="1:105" ht="15" thickBot="1" x14ac:dyDescent="0.35">
      <c r="A1" s="30"/>
      <c r="B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0"/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  <c r="BB1" s="30"/>
      <c r="BC1" s="30"/>
      <c r="BD1" s="30"/>
      <c r="BE1" s="30"/>
      <c r="BF1" s="30"/>
      <c r="BG1" s="30"/>
      <c r="BH1" s="30"/>
      <c r="BI1" s="30"/>
      <c r="BJ1" s="30"/>
      <c r="BK1" s="30"/>
      <c r="BL1" s="30"/>
      <c r="BM1" s="30"/>
      <c r="BN1" s="30"/>
      <c r="BO1" s="30"/>
      <c r="BP1" s="30"/>
      <c r="BQ1" s="30"/>
      <c r="BR1" s="30"/>
      <c r="BS1" s="30"/>
      <c r="BT1" s="30"/>
      <c r="BU1" s="30"/>
      <c r="BV1" s="30"/>
      <c r="BW1" s="30"/>
      <c r="BX1" s="30"/>
      <c r="BY1" s="30"/>
      <c r="BZ1" s="30"/>
      <c r="CA1" s="30"/>
      <c r="CB1" s="30"/>
      <c r="CC1" s="30"/>
      <c r="CD1" s="30"/>
      <c r="CE1" s="30"/>
      <c r="CF1" s="30"/>
      <c r="CG1" s="30"/>
      <c r="CH1" s="30"/>
      <c r="CI1" s="30"/>
      <c r="CJ1" s="30"/>
      <c r="CK1" s="30"/>
      <c r="CL1" s="30"/>
      <c r="CM1" s="30"/>
      <c r="CN1" s="30"/>
      <c r="CO1" s="30"/>
      <c r="CP1" s="30"/>
      <c r="CQ1" s="30"/>
      <c r="CR1" s="30"/>
      <c r="CS1" s="30"/>
      <c r="CT1" s="30"/>
      <c r="CU1" s="30"/>
      <c r="CV1" s="30"/>
      <c r="CW1" s="30"/>
      <c r="CX1" s="30"/>
      <c r="CY1" s="30"/>
      <c r="CZ1" s="30"/>
      <c r="DA1" s="30"/>
    </row>
    <row r="2" spans="1:105" ht="74.25" customHeight="1" thickBot="1" x14ac:dyDescent="0.35">
      <c r="A2" s="30"/>
      <c r="B2" s="30"/>
      <c r="C2" s="445"/>
      <c r="D2" s="446"/>
      <c r="E2" s="446"/>
      <c r="F2" s="446"/>
      <c r="G2" s="446"/>
      <c r="H2" s="446"/>
      <c r="I2" s="446"/>
      <c r="J2" s="446"/>
      <c r="K2" s="446"/>
      <c r="L2" s="446"/>
      <c r="M2" s="447"/>
      <c r="N2" s="104"/>
      <c r="O2" s="448" t="s">
        <v>100</v>
      </c>
      <c r="P2" s="449"/>
      <c r="Q2" s="449"/>
      <c r="R2" s="449"/>
      <c r="S2" s="449"/>
      <c r="T2" s="449"/>
      <c r="U2" s="449"/>
      <c r="V2" s="449"/>
      <c r="W2" s="449"/>
      <c r="X2" s="450"/>
      <c r="Y2" s="30"/>
      <c r="Z2" s="30"/>
      <c r="AA2" s="30"/>
      <c r="AB2" s="30"/>
      <c r="AC2" s="30"/>
      <c r="AD2" s="30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0"/>
      <c r="AV2" s="30"/>
      <c r="AW2" s="30"/>
      <c r="AX2" s="30"/>
      <c r="AY2" s="30"/>
      <c r="AZ2" s="30"/>
      <c r="BA2" s="30"/>
      <c r="BB2" s="30"/>
      <c r="BC2" s="30"/>
      <c r="BD2" s="30"/>
      <c r="BE2" s="30"/>
      <c r="BF2" s="30"/>
      <c r="BG2" s="30"/>
      <c r="BH2" s="30"/>
      <c r="BI2" s="30"/>
      <c r="BJ2" s="30"/>
      <c r="BK2" s="30"/>
      <c r="BL2" s="30"/>
      <c r="BM2" s="30"/>
      <c r="BN2" s="30"/>
      <c r="BO2" s="30"/>
      <c r="BP2" s="30"/>
      <c r="BQ2" s="30"/>
      <c r="BR2" s="30"/>
      <c r="BS2" s="30"/>
      <c r="BT2" s="30"/>
      <c r="BU2" s="30"/>
      <c r="BV2" s="30"/>
      <c r="BW2" s="30"/>
      <c r="BX2" s="30"/>
      <c r="BY2" s="30"/>
      <c r="BZ2" s="30"/>
      <c r="CA2" s="30"/>
      <c r="CB2" s="30"/>
      <c r="CC2" s="30"/>
      <c r="CD2" s="30"/>
      <c r="CE2" s="30"/>
      <c r="CF2" s="30"/>
      <c r="CG2" s="30"/>
      <c r="CH2" s="30"/>
      <c r="CI2" s="30"/>
      <c r="CJ2" s="30"/>
      <c r="CK2" s="30"/>
      <c r="CL2" s="30"/>
      <c r="CM2" s="30"/>
      <c r="CN2" s="30"/>
      <c r="CO2" s="30"/>
      <c r="CP2" s="30"/>
      <c r="CQ2" s="30"/>
      <c r="CR2" s="30"/>
      <c r="CS2" s="30"/>
      <c r="CT2" s="30"/>
      <c r="CU2" s="30"/>
      <c r="CV2" s="30"/>
      <c r="CW2" s="30"/>
      <c r="CX2" s="30"/>
      <c r="CY2" s="30"/>
      <c r="CZ2" s="30"/>
      <c r="DA2" s="30"/>
    </row>
    <row r="3" spans="1:105" ht="30" customHeight="1" thickBot="1" x14ac:dyDescent="0.35">
      <c r="A3" s="30"/>
      <c r="B3" s="30"/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  <c r="S3" s="104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  <c r="AX3" s="30"/>
      <c r="AY3" s="30"/>
      <c r="AZ3" s="30"/>
      <c r="BA3" s="30"/>
      <c r="BB3" s="30"/>
      <c r="BC3" s="30"/>
      <c r="BD3" s="30"/>
      <c r="BE3" s="30"/>
      <c r="BF3" s="30"/>
      <c r="BG3" s="30"/>
      <c r="BH3" s="30"/>
      <c r="BI3" s="30"/>
      <c r="BJ3" s="30"/>
      <c r="BK3" s="30"/>
      <c r="BL3" s="30"/>
      <c r="BM3" s="30" t="s">
        <v>424</v>
      </c>
      <c r="BN3" s="30"/>
      <c r="BO3" s="30"/>
      <c r="BP3" s="30"/>
      <c r="BQ3" s="30"/>
      <c r="BR3" s="30"/>
      <c r="BS3" s="30"/>
      <c r="BT3" s="30"/>
      <c r="BU3" s="30"/>
      <c r="BV3" s="30"/>
      <c r="BW3" s="30"/>
      <c r="BX3" s="30"/>
      <c r="BY3" s="30"/>
      <c r="BZ3" s="30"/>
      <c r="CA3" s="30"/>
      <c r="CB3" s="30"/>
      <c r="CC3" s="30"/>
      <c r="CD3" s="30"/>
      <c r="CE3" s="30"/>
      <c r="CF3" s="30"/>
      <c r="CG3" s="30"/>
      <c r="CH3" s="30"/>
      <c r="CI3" s="30"/>
      <c r="CJ3" s="30"/>
      <c r="CK3" s="30"/>
      <c r="CL3" s="30"/>
      <c r="CM3" s="30"/>
      <c r="CN3" s="30"/>
      <c r="CO3" s="30"/>
      <c r="CP3" s="30"/>
      <c r="CQ3" s="30"/>
      <c r="CR3" s="30"/>
      <c r="CS3" s="30"/>
      <c r="CT3" s="30"/>
      <c r="CU3" s="30"/>
      <c r="CV3" s="30"/>
      <c r="CW3" s="30"/>
      <c r="CX3" s="30"/>
      <c r="CY3" s="30"/>
      <c r="CZ3" s="30"/>
      <c r="DA3" s="30"/>
    </row>
    <row r="4" spans="1:105" ht="52.35" customHeight="1" thickTop="1" thickBot="1" x14ac:dyDescent="0.35">
      <c r="A4" s="30"/>
      <c r="B4" s="30"/>
      <c r="C4" s="190" t="s">
        <v>101</v>
      </c>
      <c r="D4" s="191" t="s">
        <v>1</v>
      </c>
      <c r="E4" s="31" t="s">
        <v>102</v>
      </c>
      <c r="F4" s="32" t="s">
        <v>103</v>
      </c>
      <c r="G4" s="32" t="s">
        <v>104</v>
      </c>
      <c r="H4" s="32" t="s">
        <v>105</v>
      </c>
      <c r="I4" s="32" t="s">
        <v>106</v>
      </c>
      <c r="J4" s="32" t="s">
        <v>107</v>
      </c>
      <c r="K4" s="33" t="s">
        <v>108</v>
      </c>
      <c r="L4" s="33" t="s">
        <v>109</v>
      </c>
      <c r="M4" s="34" t="s">
        <v>110</v>
      </c>
      <c r="N4" s="32" t="s">
        <v>111</v>
      </c>
      <c r="O4" s="31" t="s">
        <v>112</v>
      </c>
      <c r="P4" s="31" t="s">
        <v>113</v>
      </c>
      <c r="Q4" s="31" t="s">
        <v>114</v>
      </c>
      <c r="R4" s="31" t="s">
        <v>115</v>
      </c>
      <c r="S4" s="31" t="s">
        <v>116</v>
      </c>
      <c r="T4" s="31" t="s">
        <v>117</v>
      </c>
      <c r="U4" s="31" t="s">
        <v>118</v>
      </c>
      <c r="V4" s="31" t="s">
        <v>119</v>
      </c>
      <c r="W4" s="31" t="s">
        <v>120</v>
      </c>
      <c r="X4" s="31" t="s">
        <v>121</v>
      </c>
      <c r="Y4" s="31" t="s">
        <v>122</v>
      </c>
      <c r="Z4" s="316" t="s">
        <v>123</v>
      </c>
      <c r="AA4" s="316" t="s">
        <v>124</v>
      </c>
      <c r="AB4" s="177" t="s">
        <v>125</v>
      </c>
      <c r="AC4" s="177" t="s">
        <v>126</v>
      </c>
      <c r="AD4" s="177" t="s">
        <v>127</v>
      </c>
      <c r="AE4" s="177" t="s">
        <v>128</v>
      </c>
      <c r="AF4" s="177" t="s">
        <v>129</v>
      </c>
      <c r="AG4" s="177" t="s">
        <v>130</v>
      </c>
      <c r="AH4" s="177" t="s">
        <v>131</v>
      </c>
      <c r="AI4" s="177" t="s">
        <v>132</v>
      </c>
      <c r="AJ4" s="177" t="s">
        <v>133</v>
      </c>
      <c r="AK4" s="177" t="s">
        <v>134</v>
      </c>
      <c r="AL4" s="177" t="s">
        <v>135</v>
      </c>
      <c r="AM4" s="177" t="s">
        <v>136</v>
      </c>
      <c r="AN4" s="177" t="s">
        <v>137</v>
      </c>
      <c r="AO4" s="177" t="s">
        <v>138</v>
      </c>
      <c r="AP4" s="177" t="s">
        <v>139</v>
      </c>
      <c r="AQ4" s="177" t="s">
        <v>140</v>
      </c>
      <c r="AR4" s="177" t="s">
        <v>141</v>
      </c>
      <c r="AS4" s="177" t="s">
        <v>142</v>
      </c>
      <c r="AT4" s="177" t="s">
        <v>143</v>
      </c>
      <c r="AU4" s="177" t="s">
        <v>144</v>
      </c>
      <c r="AV4" s="177" t="s">
        <v>145</v>
      </c>
      <c r="AW4" s="177" t="s">
        <v>146</v>
      </c>
      <c r="AX4" s="177" t="s">
        <v>147</v>
      </c>
      <c r="AY4" s="177" t="s">
        <v>148</v>
      </c>
      <c r="AZ4" s="177" t="s">
        <v>149</v>
      </c>
      <c r="BA4" s="177" t="s">
        <v>150</v>
      </c>
      <c r="BB4" s="177" t="s">
        <v>151</v>
      </c>
      <c r="BC4" s="177" t="s">
        <v>152</v>
      </c>
      <c r="BD4" s="177" t="s">
        <v>153</v>
      </c>
      <c r="BE4" s="177" t="s">
        <v>154</v>
      </c>
      <c r="BF4" s="177" t="s">
        <v>155</v>
      </c>
      <c r="BG4" s="177" t="s">
        <v>156</v>
      </c>
      <c r="BH4" s="177" t="s">
        <v>157</v>
      </c>
      <c r="BI4" s="177" t="s">
        <v>158</v>
      </c>
      <c r="BJ4" s="177" t="s">
        <v>159</v>
      </c>
      <c r="BK4" s="177" t="s">
        <v>160</v>
      </c>
      <c r="BL4" s="273" t="s">
        <v>423</v>
      </c>
      <c r="BM4" s="30"/>
      <c r="BN4" s="30"/>
      <c r="BO4" s="30"/>
      <c r="BP4" s="30"/>
      <c r="BQ4" s="30"/>
      <c r="BR4" s="30"/>
      <c r="BS4" s="30"/>
      <c r="BT4" s="30"/>
      <c r="BU4" s="30"/>
      <c r="BV4" s="30"/>
      <c r="BW4" s="30"/>
      <c r="BX4" s="30"/>
      <c r="BY4" s="30"/>
      <c r="BZ4" s="30"/>
      <c r="CA4" s="30"/>
      <c r="CB4" s="30"/>
      <c r="CC4" s="30"/>
      <c r="CD4" s="30"/>
      <c r="CE4" s="30"/>
      <c r="CF4" s="30"/>
      <c r="CG4" s="30"/>
      <c r="CH4" s="30"/>
      <c r="CI4" s="30"/>
      <c r="CJ4" s="30"/>
      <c r="CK4" s="30"/>
      <c r="CL4" s="30"/>
      <c r="CM4" s="30"/>
      <c r="CN4" s="30"/>
      <c r="CO4" s="30"/>
      <c r="CP4" s="30"/>
      <c r="CQ4" s="30"/>
      <c r="CR4" s="30"/>
      <c r="CS4" s="30"/>
      <c r="CT4" s="30"/>
      <c r="CU4" s="30"/>
      <c r="CV4" s="30"/>
      <c r="CW4" s="30"/>
      <c r="CX4" s="30"/>
      <c r="CY4" s="30"/>
      <c r="CZ4" s="30"/>
      <c r="DA4" s="30"/>
    </row>
    <row r="5" spans="1:105" ht="19.2" thickTop="1" thickBot="1" x14ac:dyDescent="0.4">
      <c r="A5" s="30"/>
      <c r="B5" s="30"/>
      <c r="C5" s="388" t="s">
        <v>604</v>
      </c>
      <c r="D5" s="389" t="s">
        <v>642</v>
      </c>
      <c r="E5" s="35" t="str">
        <f>_xlfn.XLOOKUP(Tabella4[[#This Row],[NOME]],'ROSE SQUADRE'!$N$3:$N$253,'ROSE SQUADRE'!$O$3:$O$253,"")</f>
        <v>PARTIZAN DEGRADO</v>
      </c>
      <c r="F5" s="36" t="s">
        <v>5</v>
      </c>
      <c r="G5" s="43">
        <v>16</v>
      </c>
      <c r="H5" s="43">
        <v>16</v>
      </c>
      <c r="I5" s="44">
        <f t="shared" ref="I5:I68" si="0">SUM(H5-G5)</f>
        <v>0</v>
      </c>
      <c r="J5" s="37">
        <f t="shared" ref="J5:J68" si="1">COUNT(Z5:CJ5)</f>
        <v>4</v>
      </c>
      <c r="K5" s="178">
        <f t="shared" ref="K5:K68" si="2">IF(J5=0,0,AVERAGE(Z5:CJ5))</f>
        <v>6.75</v>
      </c>
      <c r="L5" s="178">
        <f t="shared" ref="L5:L68" si="3">IF(J5=0,0,M5/J5)</f>
        <v>6</v>
      </c>
      <c r="M5" s="179">
        <f t="shared" ref="M5:M68" si="4">SUM(Z5:CJ5)+(O5*3)+P5+(Q5*3)-(R5*3)-(T5*2)-(U5/2)-V5+W5+X5+Y5</f>
        <v>24</v>
      </c>
      <c r="N5" s="45">
        <f t="shared" ref="N5:N36" ca="1" si="5">ContaCellePerColore(Z5:BK5,$C$3)</f>
        <v>0</v>
      </c>
      <c r="O5" s="40">
        <f>SUMIF(Tabella1[Nome],Tabella4[[#This Row],[NOME]],Tabella1[Gf])</f>
        <v>0</v>
      </c>
      <c r="P5" s="40">
        <f>-(SUMIF(Tabella1[Nome],Tabella4[[#This Row],[NOME]],Tabella1[Gs]))</f>
        <v>-5</v>
      </c>
      <c r="Q5" s="40">
        <f>SUMIF(Tabella1[Nome],Tabella4[[#This Row],[NOME]],Tabella1[Rp])</f>
        <v>0</v>
      </c>
      <c r="R5" s="40">
        <f>SUMIF(Tabella1[Nome],Tabella4[[#This Row],[NOME]],Tabella1[Rs])</f>
        <v>0</v>
      </c>
      <c r="S5" s="40">
        <f>SUMIF(Tabella1[Nome],Tabella4[[#This Row],[NOME]],Tabella1[Rf])</f>
        <v>0</v>
      </c>
      <c r="T5" s="40">
        <f>SUMIF(Tabella1[Nome],Tabella4[[#This Row],[NOME]],Tabella1[Au])</f>
        <v>0</v>
      </c>
      <c r="U5" s="41">
        <f>SUMIF(Tabella1[Nome],Tabella4[[#This Row],[NOME]],Tabella1[Amm])</f>
        <v>0</v>
      </c>
      <c r="V5" s="42">
        <f>SUMIF(Tabella1[Nome],Tabella4[[#This Row],[NOME]],Tabella1[Esp])</f>
        <v>0</v>
      </c>
      <c r="W5" s="40">
        <f>SUMIF(Tabella1[Nome],Tabella4[[#This Row],[NOME]],Tabella1[Ass])</f>
        <v>1</v>
      </c>
      <c r="X5" s="40">
        <f>SUMIF(Tabella1[Nome],Tabella4[[#This Row],[NOME]],Tabella1[Gdv])</f>
        <v>0</v>
      </c>
      <c r="Y5" s="40">
        <f>SUMIF(Tabella1[Nome],Tabella4[[#This Row],[NOME]],Tabella1[cl sh])</f>
        <v>1</v>
      </c>
      <c r="Z5" s="270" cm="1">
        <f t="array" ref="Z5">_xlfn.IFNA(_xlfn.XLOOKUP(CONCATENATE(Z$4,$C5),INDEX(Tabella1[],0,MATCH("CONC X VOTI IN TAB GIOC",Tabella1[#Headers],0)),INDEX(Tabella1[],0,MATCH("Voto",Tabella1[#Headers],0))),"")</f>
        <v>6.5</v>
      </c>
      <c r="AA5" s="270" cm="1">
        <f t="array" ref="AA5">_xlfn.IFNA(_xlfn.XLOOKUP(CONCATENATE(AA$4,$C5),INDEX(Tabella1[],0,MATCH("CONC X VOTI IN TAB GIOC",Tabella1[#Headers],0)),INDEX(Tabella1[],0,MATCH("Voto",Tabella1[#Headers],0))),"")</f>
        <v>7</v>
      </c>
      <c r="AB5" s="270" cm="1">
        <f t="array" ref="AB5">_xlfn.IFNA(_xlfn.XLOOKUP(CONCATENATE(AB$4,$C5),INDEX(Tabella1[],0,MATCH("CONC X VOTI IN TAB GIOC",Tabella1[#Headers],0)),INDEX(Tabella1[],0,MATCH("Voto",Tabella1[#Headers],0))),"")</f>
        <v>7</v>
      </c>
      <c r="AC5" s="270" cm="1">
        <f t="array" ref="AC5">_xlfn.IFNA(_xlfn.XLOOKUP(CONCATENATE(AC$4,$C5),INDEX(Tabella1[],0,MATCH("CONC X VOTI IN TAB GIOC",Tabella1[#Headers],0)),INDEX(Tabella1[],0,MATCH("Voto",Tabella1[#Headers],0))),"")</f>
        <v>6.5</v>
      </c>
      <c r="AD5" s="270" t="str" cm="1">
        <f t="array" ref="AD5">_xlfn.IFNA(_xlfn.XLOOKUP(CONCATENATE(AD$4,$C5),INDEX(Tabella1[],0,MATCH("CONC X VOTI IN TAB GIOC",Tabella1[#Headers],0)),INDEX(Tabella1[],0,MATCH("Voto",Tabella1[#Headers],0))),"")</f>
        <v/>
      </c>
      <c r="AE5" s="270" t="str" cm="1">
        <f t="array" ref="AE5">_xlfn.IFNA(_xlfn.XLOOKUP(CONCATENATE(AE$4,$C5),INDEX(Tabella1[],0,MATCH("CONC X VOTI IN TAB GIOC",Tabella1[#Headers],0)),INDEX(Tabella1[],0,MATCH("Voto",Tabella1[#Headers],0))),"")</f>
        <v/>
      </c>
      <c r="AF5" s="270" t="str" cm="1">
        <f t="array" ref="AF5">_xlfn.IFNA(_xlfn.XLOOKUP(CONCATENATE(AF$4,$C5),INDEX(Tabella1[],0,MATCH("CONC X VOTI IN TAB GIOC",Tabella1[#Headers],0)),INDEX(Tabella1[],0,MATCH("Voto",Tabella1[#Headers],0))),"")</f>
        <v/>
      </c>
      <c r="AG5" s="270" t="str" cm="1">
        <f t="array" ref="AG5">_xlfn.IFNA(_xlfn.XLOOKUP(CONCATENATE(AG$4,$C5),INDEX(Tabella1[],0,MATCH("CONC X VOTI IN TAB GIOC",Tabella1[#Headers],0)),INDEX(Tabella1[],0,MATCH("Voto",Tabella1[#Headers],0))),"")</f>
        <v/>
      </c>
      <c r="AH5" s="270" t="str" cm="1">
        <f t="array" ref="AH5">_xlfn.IFNA(_xlfn.XLOOKUP(CONCATENATE(AH$4,$C5),INDEX(Tabella1[],0,MATCH("CONC X VOTI IN TAB GIOC",Tabella1[#Headers],0)),INDEX(Tabella1[],0,MATCH("Voto",Tabella1[#Headers],0))),"")</f>
        <v/>
      </c>
      <c r="AI5" s="270" t="str" cm="1">
        <f t="array" ref="AI5">_xlfn.IFNA(_xlfn.XLOOKUP(CONCATENATE(AI$4,$C5),INDEX(Tabella1[],0,MATCH("CONC X VOTI IN TAB GIOC",Tabella1[#Headers],0)),INDEX(Tabella1[],0,MATCH("Voto",Tabella1[#Headers],0))),"")</f>
        <v/>
      </c>
      <c r="AJ5" s="270" t="str" cm="1">
        <f t="array" ref="AJ5">_xlfn.IFNA(_xlfn.XLOOKUP(CONCATENATE(AJ$4,$C5),INDEX(Tabella1[],0,MATCH("CONC X VOTI IN TAB GIOC",Tabella1[#Headers],0)),INDEX(Tabella1[],0,MATCH("Voto",Tabella1[#Headers],0))),"")</f>
        <v/>
      </c>
      <c r="AK5" s="270" t="str" cm="1">
        <f t="array" ref="AK5">_xlfn.IFNA(_xlfn.XLOOKUP(CONCATENATE(AK$4,$C5),INDEX(Tabella1[],0,MATCH("CONC X VOTI IN TAB GIOC",Tabella1[#Headers],0)),INDEX(Tabella1[],0,MATCH("Voto",Tabella1[#Headers],0))),"")</f>
        <v/>
      </c>
      <c r="AL5" s="270" t="str" cm="1">
        <f t="array" ref="AL5">_xlfn.IFNA(_xlfn.XLOOKUP(CONCATENATE(AL$4,$C5),INDEX(Tabella1[],0,MATCH("CONC X VOTI IN TAB GIOC",Tabella1[#Headers],0)),INDEX(Tabella1[],0,MATCH("Voto",Tabella1[#Headers],0))),"")</f>
        <v/>
      </c>
      <c r="AM5" s="270" t="str" cm="1">
        <f t="array" ref="AM5">_xlfn.IFNA(_xlfn.XLOOKUP(CONCATENATE(AM$4,$C5),INDEX(Tabella1[],0,MATCH("CONC X VOTI IN TAB GIOC",Tabella1[#Headers],0)),INDEX(Tabella1[],0,MATCH("Voto",Tabella1[#Headers],0))),"")</f>
        <v/>
      </c>
      <c r="AN5" s="270" t="str" cm="1">
        <f t="array" ref="AN5">_xlfn.IFNA(_xlfn.XLOOKUP(CONCATENATE(AN$4,$C5),INDEX(Tabella1[],0,MATCH("CONC X VOTI IN TAB GIOC",Tabella1[#Headers],0)),INDEX(Tabella1[],0,MATCH("Voto",Tabella1[#Headers],0))),"")</f>
        <v/>
      </c>
      <c r="AO5" s="270" t="str" cm="1">
        <f t="array" ref="AO5">_xlfn.IFNA(_xlfn.XLOOKUP(CONCATENATE(AO$4,$C5),INDEX(Tabella1[],0,MATCH("CONC X VOTI IN TAB GIOC",Tabella1[#Headers],0)),INDEX(Tabella1[],0,MATCH("Voto",Tabella1[#Headers],0))),"")</f>
        <v/>
      </c>
      <c r="AP5" s="270" t="str" cm="1">
        <f t="array" ref="AP5">_xlfn.IFNA(_xlfn.XLOOKUP(CONCATENATE(AP$4,$C5),INDEX(Tabella1[],0,MATCH("CONC X VOTI IN TAB GIOC",Tabella1[#Headers],0)),INDEX(Tabella1[],0,MATCH("Voto",Tabella1[#Headers],0))),"")</f>
        <v/>
      </c>
      <c r="AQ5" s="270" t="str" cm="1">
        <f t="array" ref="AQ5">_xlfn.IFNA(_xlfn.XLOOKUP(CONCATENATE(AQ$4,$C5),INDEX(Tabella1[],0,MATCH("CONC X VOTI IN TAB GIOC",Tabella1[#Headers],0)),INDEX(Tabella1[],0,MATCH("Voto",Tabella1[#Headers],0))),"")</f>
        <v/>
      </c>
      <c r="AR5" s="270" t="str" cm="1">
        <f t="array" ref="AR5">_xlfn.IFNA(_xlfn.XLOOKUP(CONCATENATE(AR$4,$C5),INDEX(Tabella1[],0,MATCH("CONC X VOTI IN TAB GIOC",Tabella1[#Headers],0)),INDEX(Tabella1[],0,MATCH("Voto",Tabella1[#Headers],0))),"")</f>
        <v/>
      </c>
      <c r="AS5" s="270" t="str" cm="1">
        <f t="array" ref="AS5">_xlfn.IFNA(_xlfn.XLOOKUP(CONCATENATE(AS$4,$C5),INDEX(Tabella1[],0,MATCH("CONC X VOTI IN TAB GIOC",Tabella1[#Headers],0)),INDEX(Tabella1[],0,MATCH("Voto",Tabella1[#Headers],0))),"")</f>
        <v/>
      </c>
      <c r="AT5" s="270" t="str" cm="1">
        <f t="array" ref="AT5">_xlfn.IFNA(_xlfn.XLOOKUP(CONCATENATE(AT$4,$C5),INDEX(Tabella1[],0,MATCH("CONC X VOTI IN TAB GIOC",Tabella1[#Headers],0)),INDEX(Tabella1[],0,MATCH("Voto",Tabella1[#Headers],0))),"")</f>
        <v/>
      </c>
      <c r="AU5" s="270" t="str" cm="1">
        <f t="array" ref="AU5">_xlfn.IFNA(_xlfn.XLOOKUP(CONCATENATE(AU$4,$C5),INDEX(Tabella1[],0,MATCH("CONC X VOTI IN TAB GIOC",Tabella1[#Headers],0)),INDEX(Tabella1[],0,MATCH("Voto",Tabella1[#Headers],0))),"")</f>
        <v/>
      </c>
      <c r="AV5" s="270" t="str" cm="1">
        <f t="array" ref="AV5">_xlfn.IFNA(_xlfn.XLOOKUP(CONCATENATE(AV$4,$C5),INDEX(Tabella1[],0,MATCH("CONC X VOTI IN TAB GIOC",Tabella1[#Headers],0)),INDEX(Tabella1[],0,MATCH("Voto",Tabella1[#Headers],0))),"")</f>
        <v/>
      </c>
      <c r="AW5" s="270" t="str" cm="1">
        <f t="array" ref="AW5">_xlfn.IFNA(_xlfn.XLOOKUP(CONCATENATE(AW$4,$C5),INDEX(Tabella1[],0,MATCH("CONC X VOTI IN TAB GIOC",Tabella1[#Headers],0)),INDEX(Tabella1[],0,MATCH("Voto",Tabella1[#Headers],0))),"")</f>
        <v/>
      </c>
      <c r="AX5" s="270" t="str" cm="1">
        <f t="array" ref="AX5">_xlfn.IFNA(_xlfn.XLOOKUP(CONCATENATE(AX$4,$C5),INDEX(Tabella1[],0,MATCH("CONC X VOTI IN TAB GIOC",Tabella1[#Headers],0)),INDEX(Tabella1[],0,MATCH("Voto",Tabella1[#Headers],0))),"")</f>
        <v/>
      </c>
      <c r="AY5" s="270" t="str" cm="1">
        <f t="array" ref="AY5">_xlfn.IFNA(_xlfn.XLOOKUP(CONCATENATE(AY$4,$C5),INDEX(Tabella1[],0,MATCH("CONC X VOTI IN TAB GIOC",Tabella1[#Headers],0)),INDEX(Tabella1[],0,MATCH("Voto",Tabella1[#Headers],0))),"")</f>
        <v/>
      </c>
      <c r="AZ5" s="270" t="str" cm="1">
        <f t="array" ref="AZ5">_xlfn.IFNA(_xlfn.XLOOKUP(CONCATENATE(AZ$4,$C5),INDEX(Tabella1[],0,MATCH("CONC X VOTI IN TAB GIOC",Tabella1[#Headers],0)),INDEX(Tabella1[],0,MATCH("Voto",Tabella1[#Headers],0))),"")</f>
        <v/>
      </c>
      <c r="BA5" s="270" t="str" cm="1">
        <f t="array" ref="BA5">_xlfn.IFNA(_xlfn.XLOOKUP(CONCATENATE(BA$4,$C5),INDEX(Tabella1[],0,MATCH("CONC X VOTI IN TAB GIOC",Tabella1[#Headers],0)),INDEX(Tabella1[],0,MATCH("Voto",Tabella1[#Headers],0))),"")</f>
        <v/>
      </c>
      <c r="BB5" s="270" t="str" cm="1">
        <f t="array" ref="BB5">_xlfn.IFNA(_xlfn.XLOOKUP(CONCATENATE(BB$4,$C5),INDEX(Tabella1[],0,MATCH("CONC X VOTI IN TAB GIOC",Tabella1[#Headers],0)),INDEX(Tabella1[],0,MATCH("Voto",Tabella1[#Headers],0))),"")</f>
        <v/>
      </c>
      <c r="BC5" s="270" t="str" cm="1">
        <f t="array" ref="BC5">_xlfn.IFNA(_xlfn.XLOOKUP(CONCATENATE(BC$4,$C5),INDEX(Tabella1[],0,MATCH("CONC X VOTI IN TAB GIOC",Tabella1[#Headers],0)),INDEX(Tabella1[],0,MATCH("Voto",Tabella1[#Headers],0))),"")</f>
        <v/>
      </c>
      <c r="BD5" s="270" t="str" cm="1">
        <f t="array" ref="BD5">_xlfn.IFNA(_xlfn.XLOOKUP(CONCATENATE(BD$4,$C5),INDEX(Tabella1[],0,MATCH("CONC X VOTI IN TAB GIOC",Tabella1[#Headers],0)),INDEX(Tabella1[],0,MATCH("Voto",Tabella1[#Headers],0))),"")</f>
        <v/>
      </c>
      <c r="BE5" s="270" t="str" cm="1">
        <f t="array" ref="BE5">_xlfn.IFNA(_xlfn.XLOOKUP(CONCATENATE(BE$4,$C5),INDEX(Tabella1[],0,MATCH("CONC X VOTI IN TAB GIOC",Tabella1[#Headers],0)),INDEX(Tabella1[],0,MATCH("Voto",Tabella1[#Headers],0))),"")</f>
        <v/>
      </c>
      <c r="BF5" s="270" t="str" cm="1">
        <f t="array" ref="BF5">_xlfn.IFNA(_xlfn.XLOOKUP(CONCATENATE(BF$4,$C5),INDEX(Tabella1[],0,MATCH("CONC X VOTI IN TAB GIOC",Tabella1[#Headers],0)),INDEX(Tabella1[],0,MATCH("Voto",Tabella1[#Headers],0))),"")</f>
        <v/>
      </c>
      <c r="BG5" s="270" t="str" cm="1">
        <f t="array" ref="BG5">_xlfn.IFNA(_xlfn.XLOOKUP(CONCATENATE(BG$4,$C5),INDEX(Tabella1[],0,MATCH("CONC X VOTI IN TAB GIOC",Tabella1[#Headers],0)),INDEX(Tabella1[],0,MATCH("Voto",Tabella1[#Headers],0))),"")</f>
        <v/>
      </c>
      <c r="BH5" s="270" t="str" cm="1">
        <f t="array" ref="BH5">_xlfn.IFNA(_xlfn.XLOOKUP(CONCATENATE(BH$4,$C5),INDEX(Tabella1[],0,MATCH("CONC X VOTI IN TAB GIOC",Tabella1[#Headers],0)),INDEX(Tabella1[],0,MATCH("Voto",Tabella1[#Headers],0))),"")</f>
        <v/>
      </c>
      <c r="BI5" s="270" t="str" cm="1">
        <f t="array" ref="BI5">_xlfn.IFNA(_xlfn.XLOOKUP(CONCATENATE(BI$4,$C5),INDEX(Tabella1[],0,MATCH("CONC X VOTI IN TAB GIOC",Tabella1[#Headers],0)),INDEX(Tabella1[],0,MATCH("Voto",Tabella1[#Headers],0))),"")</f>
        <v/>
      </c>
      <c r="BJ5" s="270" t="str" cm="1">
        <f t="array" ref="BJ5">_xlfn.IFNA(_xlfn.XLOOKUP(CONCATENATE(BJ$4,$C5),INDEX(Tabella1[],0,MATCH("CONC X VOTI IN TAB GIOC",Tabella1[#Headers],0)),INDEX(Tabella1[],0,MATCH("Voto",Tabella1[#Headers],0))),"")</f>
        <v/>
      </c>
      <c r="BK5" s="270" t="str" cm="1">
        <f t="array" ref="BK5">_xlfn.IFNA(_xlfn.XLOOKUP(CONCATENATE(BK$4,$C5),INDEX(Tabella1[],0,MATCH("CONC X VOTI IN TAB GIOC",Tabella1[#Headers],0)),INDEX(Tabella1[],0,MATCH("Voto",Tabella1[#Headers],0))),"")</f>
        <v/>
      </c>
      <c r="BL5" s="272"/>
      <c r="BM5" s="30"/>
      <c r="BN5" s="30"/>
      <c r="BO5" s="30"/>
      <c r="BP5" s="30"/>
      <c r="BQ5" s="30"/>
      <c r="BR5" s="30"/>
      <c r="BS5" s="30"/>
      <c r="BT5" s="30"/>
      <c r="BU5" s="30"/>
      <c r="BV5" s="30"/>
      <c r="BW5" s="30"/>
      <c r="BX5" s="30"/>
      <c r="BY5" s="30"/>
      <c r="BZ5" s="30"/>
      <c r="CA5" s="30"/>
      <c r="CB5" s="30"/>
      <c r="CC5" s="30"/>
      <c r="CD5" s="30"/>
      <c r="CE5" s="30"/>
      <c r="CF5" s="30"/>
      <c r="CG5" s="30"/>
      <c r="CH5" s="30"/>
      <c r="CI5" s="30"/>
      <c r="CJ5" s="30"/>
      <c r="CK5" s="30"/>
      <c r="CL5" s="30"/>
      <c r="CM5" s="30"/>
      <c r="CN5" s="30"/>
      <c r="CO5" s="30"/>
      <c r="CP5" s="30"/>
      <c r="CQ5" s="30"/>
      <c r="CR5" s="30"/>
      <c r="CS5" s="30"/>
      <c r="CT5" s="30"/>
      <c r="CU5" s="30"/>
      <c r="CV5" s="30"/>
      <c r="CW5" s="30"/>
      <c r="CX5" s="30"/>
      <c r="CY5" s="30"/>
      <c r="CZ5" s="30"/>
      <c r="DA5" s="30"/>
    </row>
    <row r="6" spans="1:105" ht="19.2" thickTop="1" thickBot="1" x14ac:dyDescent="0.4">
      <c r="A6" s="30"/>
      <c r="B6" s="30"/>
      <c r="C6" s="363" t="s">
        <v>606</v>
      </c>
      <c r="D6" s="390" t="s">
        <v>642</v>
      </c>
      <c r="E6" s="35" t="str">
        <f>_xlfn.XLOOKUP(Tabella4[[#This Row],[NOME]],'ROSE SQUADRE'!$N$3:$N$253,'ROSE SQUADRE'!$O$3:$O$253,"")</f>
        <v>AS PIPPERIA</v>
      </c>
      <c r="F6" s="36" t="s">
        <v>162</v>
      </c>
      <c r="G6" s="43">
        <v>12</v>
      </c>
      <c r="H6" s="43">
        <v>12</v>
      </c>
      <c r="I6" s="44">
        <f t="shared" si="0"/>
        <v>0</v>
      </c>
      <c r="J6" s="37">
        <f t="shared" si="1"/>
        <v>4</v>
      </c>
      <c r="K6" s="178">
        <f t="shared" si="2"/>
        <v>6</v>
      </c>
      <c r="L6" s="178">
        <f t="shared" si="3"/>
        <v>7</v>
      </c>
      <c r="M6" s="179">
        <f t="shared" si="4"/>
        <v>28</v>
      </c>
      <c r="N6" s="45">
        <f t="shared" ca="1" si="5"/>
        <v>0</v>
      </c>
      <c r="O6" s="40">
        <f>SUMIF(Tabella1[Nome],Tabella4[[#This Row],[NOME]],Tabella1[Gf])</f>
        <v>1</v>
      </c>
      <c r="P6" s="40">
        <f>-(SUMIF(Tabella1[Nome],Tabella4[[#This Row],[NOME]],Tabella1[Gs]))</f>
        <v>0</v>
      </c>
      <c r="Q6" s="40">
        <f>SUMIF(Tabella1[Nome],Tabella4[[#This Row],[NOME]],Tabella1[Rp])</f>
        <v>0</v>
      </c>
      <c r="R6" s="40">
        <f>SUMIF(Tabella1[Nome],Tabella4[[#This Row],[NOME]],Tabella1[Rs])</f>
        <v>0</v>
      </c>
      <c r="S6" s="40">
        <f>SUMIF(Tabella1[Nome],Tabella4[[#This Row],[NOME]],Tabella1[Rf])</f>
        <v>0</v>
      </c>
      <c r="T6" s="40">
        <f>SUMIF(Tabella1[Nome],Tabella4[[#This Row],[NOME]],Tabella1[Au])</f>
        <v>0</v>
      </c>
      <c r="U6" s="41">
        <f>SUMIF(Tabella1[Nome],Tabella4[[#This Row],[NOME]],Tabella1[Amm])</f>
        <v>0</v>
      </c>
      <c r="V6" s="42">
        <f>SUMIF(Tabella1[Nome],Tabella4[[#This Row],[NOME]],Tabella1[Esp])</f>
        <v>0</v>
      </c>
      <c r="W6" s="40">
        <f>SUMIF(Tabella1[Nome],Tabella4[[#This Row],[NOME]],Tabella1[Ass])</f>
        <v>0</v>
      </c>
      <c r="X6" s="40">
        <f>SUMIF(Tabella1[Nome],Tabella4[[#This Row],[NOME]],Tabella1[Gdv])</f>
        <v>1</v>
      </c>
      <c r="Y6" s="40">
        <f>SUMIF(Tabella1[Nome],Tabella4[[#This Row],[NOME]],Tabella1[cl sh])</f>
        <v>0</v>
      </c>
      <c r="Z6" s="270">
        <f>_xlfn.IFNA(_xlfn.XLOOKUP(CONCATENATE(Z$4,$C6),Tabella1[CONC X VOTI IN TAB GIOC],Tabella1[Voto],""),"")</f>
        <v>6</v>
      </c>
      <c r="AA6" s="270">
        <f>_xlfn.IFNA(_xlfn.XLOOKUP(CONCATENATE(AA$4,$C6),Tabella1[CONC X VOTI IN TAB GIOC],Tabella1[Voto],""),"")</f>
        <v>7</v>
      </c>
      <c r="AB6" s="270">
        <f>_xlfn.IFNA(_xlfn.XLOOKUP(CONCATENATE(AB$4,$C6),Tabella1[CONC X VOTI IN TAB GIOC],Tabella1[Voto]),"")</f>
        <v>6</v>
      </c>
      <c r="AC6" s="270" cm="1">
        <f t="array" ref="AC6">_xlfn.IFNA(_xlfn.XLOOKUP(CONCATENATE(AC$4,$C6),INDEX(Tabella1[],0,MATCH("CONC X VOTI IN TAB GIOC",Tabella1[#Headers],0)),INDEX(Tabella1[],0,MATCH("Voto",Tabella1[#Headers],0))),"")</f>
        <v>5</v>
      </c>
      <c r="AD6" s="270" t="str">
        <f>_xlfn.IFNA(_xlfn.XLOOKUP(CONCATENATE(AD$4,$C6),Tabella1[CONC X VOTI IN TAB GIOC],Tabella1[Voto]),"")</f>
        <v/>
      </c>
      <c r="AE6" s="270" t="str">
        <f>_xlfn.IFNA(VLOOKUP(CONCATENATE(AE$4,$C6),'INSER DATA'!$A:$F,6,0),"")</f>
        <v/>
      </c>
      <c r="AF6" s="270" t="str">
        <f>_xlfn.IFNA(VLOOKUP(CONCATENATE(AF$4,$C6),'INSER DATA'!$A:$F,6,0),"")</f>
        <v/>
      </c>
      <c r="AG6" s="270" t="str">
        <f>_xlfn.IFNA(VLOOKUP(CONCATENATE(AG$4,$C6),'INSER DATA'!$A:$F,6,0),"")</f>
        <v/>
      </c>
      <c r="AH6" s="270" t="str">
        <f>_xlfn.IFNA(VLOOKUP(CONCATENATE(AH$4,$C6),'INSER DATA'!$A:$F,7,0),"")</f>
        <v/>
      </c>
      <c r="AI6" s="270" t="str">
        <f>_xlfn.IFNA(VLOOKUP(CONCATENATE(AI$4,$C6),'INSER DATA'!$A:$F,7,0),"")</f>
        <v/>
      </c>
      <c r="AJ6" s="270" t="str">
        <f>_xlfn.IFNA(VLOOKUP(CONCATENATE(AJ$4,$C6),'INSER DATA'!$A:$F,7,0),"")</f>
        <v/>
      </c>
      <c r="AK6" s="270" t="str">
        <f>_xlfn.IFNA(VLOOKUP(CONCATENATE(AK$4,$C6),'INSER DATA'!$A:$F,7,0),"")</f>
        <v/>
      </c>
      <c r="AL6" s="270" t="str">
        <f>_xlfn.IFNA(VLOOKUP(CONCATENATE(AL$4,$C6),'INSER DATA'!$A:$F,7,0),"")</f>
        <v/>
      </c>
      <c r="AM6" s="270" t="str">
        <f>_xlfn.IFNA(VLOOKUP(CONCATENATE(AM$4,$C6),'INSER DATA'!$A:$F,7,0),"")</f>
        <v/>
      </c>
      <c r="AN6" s="270" t="str">
        <f>_xlfn.IFNA(VLOOKUP(CONCATENATE(AN$4,$C6),'INSER DATA'!$A:$F,7,0),"")</f>
        <v/>
      </c>
      <c r="AO6" s="270" t="str">
        <f>_xlfn.IFNA(VLOOKUP(CONCATENATE(AO$4,$C6),'INSER DATA'!$A:$F,7,0),"")</f>
        <v/>
      </c>
      <c r="AP6" s="270" t="str">
        <f>_xlfn.IFNA(VLOOKUP(CONCATENATE(AP$4,$C6),'INSER DATA'!$A:$F,7,0),"")</f>
        <v/>
      </c>
      <c r="AQ6" s="270" t="str">
        <f>_xlfn.IFNA(VLOOKUP(CONCATENATE(AQ$4,$C6),'INSER DATA'!$A:$F,7,0),"")</f>
        <v/>
      </c>
      <c r="AR6" s="270" t="str">
        <f>_xlfn.IFNA(VLOOKUP(CONCATENATE(AR$4,$C6),'INSER DATA'!$A:$F,7,0),"")</f>
        <v/>
      </c>
      <c r="AS6" s="270" t="str">
        <f>_xlfn.IFNA(VLOOKUP(CONCATENATE(AS$4,$C6),'INSER DATA'!$A:$F,7,0),"")</f>
        <v/>
      </c>
      <c r="AT6" s="270" t="str">
        <f>_xlfn.IFNA(VLOOKUP(CONCATENATE(AT$4,$C6),'INSER DATA'!$A:$F,7,0),"")</f>
        <v/>
      </c>
      <c r="AU6" s="270" t="str">
        <f>_xlfn.IFNA(VLOOKUP(CONCATENATE(AU$4,$C6),'INSER DATA'!$A:$F,7,0),"")</f>
        <v/>
      </c>
      <c r="AV6" s="270" t="str">
        <f>_xlfn.IFNA(VLOOKUP(CONCATENATE(AV$4,$C6),'INSER DATA'!$A:$F,7,0),"")</f>
        <v/>
      </c>
      <c r="AW6" s="270" t="str">
        <f>_xlfn.IFNA(VLOOKUP(CONCATENATE(AW$4,$C6),'INSER DATA'!$A:$F,7,0),"")</f>
        <v/>
      </c>
      <c r="AX6" s="270" t="str">
        <f>_xlfn.IFNA(VLOOKUP(CONCATENATE(AX$4,$C6),'INSER DATA'!$A:$F,7,0),"")</f>
        <v/>
      </c>
      <c r="AY6" s="270" t="str">
        <f>_xlfn.IFNA(VLOOKUP(CONCATENATE(AY$4,$C6),'INSER DATA'!$A:$F,7,0),"")</f>
        <v/>
      </c>
      <c r="AZ6" s="270" t="str">
        <f>_xlfn.IFNA(VLOOKUP(CONCATENATE(AZ$4,$C6),'INSER DATA'!$A:$F,7,0),"")</f>
        <v/>
      </c>
      <c r="BA6" s="270" t="str">
        <f>_xlfn.IFNA(VLOOKUP(CONCATENATE(BA$4,$C6),'INSER DATA'!$A:$F,7,0),"")</f>
        <v/>
      </c>
      <c r="BB6" s="270" t="str">
        <f>_xlfn.IFNA(VLOOKUP(CONCATENATE(BB$4,$C6),'INSER DATA'!$A:$F,7,0),"")</f>
        <v/>
      </c>
      <c r="BC6" s="270" t="str">
        <f>_xlfn.IFNA(VLOOKUP(CONCATENATE(BC$4,$C6),'INSER DATA'!$A:$F,7,0),"")</f>
        <v/>
      </c>
      <c r="BD6" s="270" t="str">
        <f>_xlfn.IFNA(VLOOKUP(CONCATENATE(BD$4,$C6),'INSER DATA'!$A:$F,7,0),"")</f>
        <v/>
      </c>
      <c r="BE6" s="270" t="str">
        <f>_xlfn.IFNA(VLOOKUP(CONCATENATE(BE$4,$C6),'INSER DATA'!$A:$F,7,0),"")</f>
        <v/>
      </c>
      <c r="BF6" s="270" t="str">
        <f>_xlfn.IFNA(VLOOKUP(CONCATENATE(BF$4,$C6),'INSER DATA'!$A:$F,7,0),"")</f>
        <v/>
      </c>
      <c r="BG6" s="270" t="str">
        <f>_xlfn.IFNA(VLOOKUP(CONCATENATE(BG$4,$C6),'INSER DATA'!$A:$F,7,0),"")</f>
        <v/>
      </c>
      <c r="BH6" s="270" t="str">
        <f>_xlfn.IFNA(VLOOKUP(CONCATENATE(BH$4,$C6),'INSER DATA'!$A:$F,7,0),"")</f>
        <v/>
      </c>
      <c r="BI6" s="270" t="str">
        <f>_xlfn.IFNA(VLOOKUP(CONCATENATE(BI$4,$C6),'INSER DATA'!$A:$F,7,0),"")</f>
        <v/>
      </c>
      <c r="BJ6" s="270" t="str">
        <f>_xlfn.IFNA(VLOOKUP(CONCATENATE(BJ$4,$C6),'INSER DATA'!$A:$F,7,0),"")</f>
        <v/>
      </c>
      <c r="BK6" s="270" t="str">
        <f>_xlfn.IFNA(VLOOKUP(CONCATENATE(BK$4,$C6),'INSER DATA'!$A:$F,7,0),"")</f>
        <v/>
      </c>
      <c r="BL6" s="272"/>
      <c r="BM6" s="30"/>
      <c r="BN6" s="30"/>
      <c r="BO6" s="30"/>
      <c r="BP6" s="30"/>
      <c r="BQ6" s="30"/>
      <c r="BR6" s="30"/>
      <c r="BS6" s="30"/>
      <c r="BT6" s="30"/>
      <c r="BU6" s="30"/>
      <c r="BV6" s="30"/>
      <c r="BW6" s="30"/>
      <c r="BX6" s="30"/>
      <c r="BY6" s="30"/>
      <c r="BZ6" s="30"/>
      <c r="CA6" s="30"/>
      <c r="CB6" s="30"/>
      <c r="CC6" s="30"/>
      <c r="CD6" s="30"/>
      <c r="CE6" s="30"/>
      <c r="CF6" s="30"/>
      <c r="CG6" s="30"/>
      <c r="CH6" s="30"/>
      <c r="CI6" s="30"/>
      <c r="CJ6" s="30"/>
      <c r="CK6" s="30"/>
      <c r="CL6" s="30"/>
      <c r="CM6" s="30"/>
      <c r="CN6" s="30"/>
      <c r="CO6" s="30"/>
      <c r="CP6" s="30"/>
      <c r="CQ6" s="30"/>
      <c r="CR6" s="30"/>
      <c r="CS6" s="30"/>
      <c r="CT6" s="30"/>
      <c r="CU6" s="30"/>
      <c r="CV6" s="30"/>
      <c r="CW6" s="30"/>
      <c r="CX6" s="30"/>
      <c r="CY6" s="30"/>
      <c r="CZ6" s="30"/>
      <c r="DA6" s="30"/>
    </row>
    <row r="7" spans="1:105" ht="19.2" thickTop="1" thickBot="1" x14ac:dyDescent="0.4">
      <c r="A7" s="30"/>
      <c r="B7" s="30"/>
      <c r="C7" s="362" t="s">
        <v>317</v>
      </c>
      <c r="D7" s="390" t="s">
        <v>642</v>
      </c>
      <c r="E7" s="35" t="str">
        <f>_xlfn.XLOOKUP(Tabella4[[#This Row],[NOME]],'ROSE SQUADRE'!$N$3:$N$253,'ROSE SQUADRE'!$O$3:$O$253,"")</f>
        <v>PESCICULINI</v>
      </c>
      <c r="F7" s="36" t="s">
        <v>162</v>
      </c>
      <c r="G7" s="43">
        <v>6</v>
      </c>
      <c r="H7" s="43">
        <v>6</v>
      </c>
      <c r="I7" s="44">
        <f t="shared" si="0"/>
        <v>0</v>
      </c>
      <c r="J7" s="37">
        <f t="shared" si="1"/>
        <v>3</v>
      </c>
      <c r="K7" s="38">
        <f t="shared" si="2"/>
        <v>6</v>
      </c>
      <c r="L7" s="38">
        <f t="shared" si="3"/>
        <v>6.333333333333333</v>
      </c>
      <c r="M7" s="39">
        <f t="shared" si="4"/>
        <v>19</v>
      </c>
      <c r="N7" s="45">
        <f t="shared" ca="1" si="5"/>
        <v>0</v>
      </c>
      <c r="O7" s="40">
        <f>SUMIF(Tabella1[Nome],Tabella4[[#This Row],[NOME]],Tabella1[Gf])</f>
        <v>0</v>
      </c>
      <c r="P7" s="40">
        <f>-(SUMIF(Tabella1[Nome],Tabella4[[#This Row],[NOME]],Tabella1[Gs]))</f>
        <v>0</v>
      </c>
      <c r="Q7" s="40">
        <f>SUMIF(Tabella1[Nome],Tabella4[[#This Row],[NOME]],Tabella1[Rp])</f>
        <v>0</v>
      </c>
      <c r="R7" s="40">
        <f>SUMIF(Tabella1[Nome],Tabella4[[#This Row],[NOME]],Tabella1[Rs])</f>
        <v>0</v>
      </c>
      <c r="S7" s="40">
        <f>SUMIF(Tabella1[Nome],Tabella4[[#This Row],[NOME]],Tabella1[Rf])</f>
        <v>0</v>
      </c>
      <c r="T7" s="40">
        <f>SUMIF(Tabella1[Nome],Tabella4[[#This Row],[NOME]],Tabella1[Au])</f>
        <v>0</v>
      </c>
      <c r="U7" s="41">
        <f>SUMIF(Tabella1[Nome],Tabella4[[#This Row],[NOME]],Tabella1[Amm])</f>
        <v>0</v>
      </c>
      <c r="V7" s="42">
        <f>SUMIF(Tabella1[Nome],Tabella4[[#This Row],[NOME]],Tabella1[Esp])</f>
        <v>0</v>
      </c>
      <c r="W7" s="40">
        <f>SUMIF(Tabella1[Nome],Tabella4[[#This Row],[NOME]],Tabella1[Ass])</f>
        <v>1</v>
      </c>
      <c r="X7" s="40">
        <f>SUMIF(Tabella1[Nome],Tabella4[[#This Row],[NOME]],Tabella1[Gdv])</f>
        <v>0</v>
      </c>
      <c r="Y7" s="40">
        <f>SUMIF(Tabella1[Nome],Tabella4[[#This Row],[NOME]],Tabella1[cl sh])</f>
        <v>0</v>
      </c>
      <c r="Z7" s="270">
        <f>_xlfn.IFNA(_xlfn.XLOOKUP(CONCATENATE(Z$4,$C7),Tabella1[CONC X VOTI IN TAB GIOC],Tabella1[Voto],""),"")</f>
        <v>6</v>
      </c>
      <c r="AA7" s="270">
        <f>_xlfn.IFNA(_xlfn.XLOOKUP(CONCATENATE(AA$4,$C7),Tabella1[CONC X VOTI IN TAB GIOC],Tabella1[Voto],""),"")</f>
        <v>6.5</v>
      </c>
      <c r="AB7" s="270">
        <f>_xlfn.IFNA(_xlfn.XLOOKUP(CONCATENATE(AB$4,$C7),Tabella1[CONC X VOTI IN TAB GIOC],Tabella1[Voto]),"")</f>
        <v>5.5</v>
      </c>
      <c r="AC7" s="270" t="str" cm="1">
        <f t="array" ref="AC7">_xlfn.IFNA(_xlfn.XLOOKUP(CONCATENATE(AC$4,$C7),INDEX(Tabella1[],0,MATCH("CONC X VOTI IN TAB GIOC",Tabella1[#Headers],0)),INDEX(Tabella1[],0,MATCH("Voto",Tabella1[#Headers],0))),"")</f>
        <v/>
      </c>
      <c r="AD7" s="270" t="str">
        <f>_xlfn.IFNA(_xlfn.XLOOKUP(CONCATENATE(AD$4,$C7),Tabella1[CONC X VOTI IN TAB GIOC],Tabella1[Voto]),"")</f>
        <v/>
      </c>
      <c r="AE7" s="270" t="str">
        <f>_xlfn.IFNA(VLOOKUP(CONCATENATE(AE$4,$C7),'INSER DATA'!$A:$F,6,0),"")</f>
        <v/>
      </c>
      <c r="AF7" s="270" t="str">
        <f>_xlfn.IFNA(VLOOKUP(CONCATENATE(AF$4,$C7),'INSER DATA'!$A:$F,6,0),"")</f>
        <v/>
      </c>
      <c r="AG7" s="270" t="str">
        <f>_xlfn.IFNA(VLOOKUP(CONCATENATE(AG$4,$C7),'INSER DATA'!$A:$F,6,0),"")</f>
        <v/>
      </c>
      <c r="AH7" s="270" t="str">
        <f>_xlfn.IFNA(VLOOKUP(CONCATENATE(AH$4,$C7),'INSER DATA'!$A:$F,7,0),"")</f>
        <v/>
      </c>
      <c r="AI7" s="270" t="str">
        <f>_xlfn.IFNA(VLOOKUP(CONCATENATE(AI$4,$C7),'INSER DATA'!$A:$F,7,0),"")</f>
        <v/>
      </c>
      <c r="AJ7" s="270" t="str">
        <f>_xlfn.IFNA(VLOOKUP(CONCATENATE(AJ$4,$C7),'INSER DATA'!$A:$F,7,0),"")</f>
        <v/>
      </c>
      <c r="AK7" s="270" t="str">
        <f>_xlfn.IFNA(VLOOKUP(CONCATENATE(AK$4,$C7),'INSER DATA'!$A:$F,7,0),"")</f>
        <v/>
      </c>
      <c r="AL7" s="270" t="str">
        <f>_xlfn.IFNA(VLOOKUP(CONCATENATE(AL$4,$C7),'INSER DATA'!$A:$F,7,0),"")</f>
        <v/>
      </c>
      <c r="AM7" s="270" t="str">
        <f>_xlfn.IFNA(VLOOKUP(CONCATENATE(AM$4,$C7),'INSER DATA'!$A:$F,7,0),"")</f>
        <v/>
      </c>
      <c r="AN7" s="270" t="str">
        <f>_xlfn.IFNA(VLOOKUP(CONCATENATE(AN$4,$C7),'INSER DATA'!$A:$F,7,0),"")</f>
        <v/>
      </c>
      <c r="AO7" s="270" t="str">
        <f>_xlfn.IFNA(VLOOKUP(CONCATENATE(AO$4,$C7),'INSER DATA'!$A:$F,7,0),"")</f>
        <v/>
      </c>
      <c r="AP7" s="270" t="str">
        <f>_xlfn.IFNA(VLOOKUP(CONCATENATE(AP$4,$C7),'INSER DATA'!$A:$F,7,0),"")</f>
        <v/>
      </c>
      <c r="AQ7" s="270" t="str">
        <f>_xlfn.IFNA(VLOOKUP(CONCATENATE(AQ$4,$C7),'INSER DATA'!$A:$F,7,0),"")</f>
        <v/>
      </c>
      <c r="AR7" s="270" t="str">
        <f>_xlfn.IFNA(VLOOKUP(CONCATENATE(AR$4,$C7),'INSER DATA'!$A:$F,7,0),"")</f>
        <v/>
      </c>
      <c r="AS7" s="270" t="str">
        <f>_xlfn.IFNA(VLOOKUP(CONCATENATE(AS$4,$C7),'INSER DATA'!$A:$F,7,0),"")</f>
        <v/>
      </c>
      <c r="AT7" s="270" t="str">
        <f>_xlfn.IFNA(VLOOKUP(CONCATENATE(AT$4,$C7),'INSER DATA'!$A:$F,7,0),"")</f>
        <v/>
      </c>
      <c r="AU7" s="270" t="str">
        <f>_xlfn.IFNA(VLOOKUP(CONCATENATE(AU$4,$C7),'INSER DATA'!$A:$F,7,0),"")</f>
        <v/>
      </c>
      <c r="AV7" s="270" t="str">
        <f>_xlfn.IFNA(VLOOKUP(CONCATENATE(AV$4,$C7),'INSER DATA'!$A:$F,7,0),"")</f>
        <v/>
      </c>
      <c r="AW7" s="270" t="str">
        <f>_xlfn.IFNA(VLOOKUP(CONCATENATE(AW$4,$C7),'INSER DATA'!$A:$F,7,0),"")</f>
        <v/>
      </c>
      <c r="AX7" s="270" t="str">
        <f>_xlfn.IFNA(VLOOKUP(CONCATENATE(AX$4,$C7),'INSER DATA'!$A:$F,7,0),"")</f>
        <v/>
      </c>
      <c r="AY7" s="270" t="str">
        <f>_xlfn.IFNA(VLOOKUP(CONCATENATE(AY$4,$C7),'INSER DATA'!$A:$F,7,0),"")</f>
        <v/>
      </c>
      <c r="AZ7" s="270" t="str">
        <f>_xlfn.IFNA(VLOOKUP(CONCATENATE(AZ$4,$C7),'INSER DATA'!$A:$F,7,0),"")</f>
        <v/>
      </c>
      <c r="BA7" s="270" t="str">
        <f>_xlfn.IFNA(VLOOKUP(CONCATENATE(BA$4,$C7),'INSER DATA'!$A:$F,7,0),"")</f>
        <v/>
      </c>
      <c r="BB7" s="270" t="str">
        <f>_xlfn.IFNA(VLOOKUP(CONCATENATE(BB$4,$C7),'INSER DATA'!$A:$F,7,0),"")</f>
        <v/>
      </c>
      <c r="BC7" s="270" t="str">
        <f>_xlfn.IFNA(VLOOKUP(CONCATENATE(BC$4,$C7),'INSER DATA'!$A:$F,7,0),"")</f>
        <v/>
      </c>
      <c r="BD7" s="270" t="str">
        <f>_xlfn.IFNA(VLOOKUP(CONCATENATE(BD$4,$C7),'INSER DATA'!$A:$F,7,0),"")</f>
        <v/>
      </c>
      <c r="BE7" s="270" t="str">
        <f>_xlfn.IFNA(VLOOKUP(CONCATENATE(BE$4,$C7),'INSER DATA'!$A:$F,7,0),"")</f>
        <v/>
      </c>
      <c r="BF7" s="270" t="str">
        <f>_xlfn.IFNA(VLOOKUP(CONCATENATE(BF$4,$C7),'INSER DATA'!$A:$F,7,0),"")</f>
        <v/>
      </c>
      <c r="BG7" s="270" t="str">
        <f>_xlfn.IFNA(VLOOKUP(CONCATENATE(BG$4,$C7),'INSER DATA'!$A:$F,7,0),"")</f>
        <v/>
      </c>
      <c r="BH7" s="270" t="str">
        <f>_xlfn.IFNA(VLOOKUP(CONCATENATE(BH$4,$C7),'INSER DATA'!$A:$F,7,0),"")</f>
        <v/>
      </c>
      <c r="BI7" s="270" t="str">
        <f>_xlfn.IFNA(VLOOKUP(CONCATENATE(BI$4,$C7),'INSER DATA'!$A:$F,7,0),"")</f>
        <v/>
      </c>
      <c r="BJ7" s="270" t="str">
        <f>_xlfn.IFNA(VLOOKUP(CONCATENATE(BJ$4,$C7),'INSER DATA'!$A:$F,7,0),"")</f>
        <v/>
      </c>
      <c r="BK7" s="270" t="str">
        <f>_xlfn.IFNA(VLOOKUP(CONCATENATE(BK$4,$C7),'INSER DATA'!$A:$F,7,0),"")</f>
        <v/>
      </c>
      <c r="BL7" s="272"/>
      <c r="BM7" s="30"/>
      <c r="BN7" s="30"/>
      <c r="BO7" s="30"/>
      <c r="BP7" s="30"/>
      <c r="BQ7" s="30"/>
      <c r="BR7" s="30"/>
      <c r="BS7" s="30"/>
      <c r="BT7" s="30"/>
      <c r="BU7" s="30"/>
      <c r="BV7" s="30"/>
      <c r="BW7" s="30"/>
      <c r="BX7" s="30"/>
      <c r="BY7" s="30"/>
      <c r="BZ7" s="30"/>
      <c r="CA7" s="30"/>
      <c r="CB7" s="30"/>
      <c r="CC7" s="30"/>
      <c r="CD7" s="30"/>
      <c r="CE7" s="30"/>
      <c r="CF7" s="30"/>
      <c r="CG7" s="30"/>
      <c r="CH7" s="30"/>
      <c r="CI7" s="30"/>
      <c r="CJ7" s="30"/>
      <c r="CK7" s="30"/>
      <c r="CL7" s="30"/>
      <c r="CM7" s="30"/>
      <c r="CN7" s="30"/>
      <c r="CO7" s="30"/>
      <c r="CP7" s="30"/>
      <c r="CQ7" s="30"/>
      <c r="CR7" s="30"/>
      <c r="CS7" s="30"/>
      <c r="CT7" s="30"/>
      <c r="CU7" s="30"/>
      <c r="CV7" s="30"/>
      <c r="CW7" s="30"/>
      <c r="CX7" s="30"/>
      <c r="CY7" s="30"/>
      <c r="CZ7" s="30"/>
      <c r="DA7" s="30"/>
    </row>
    <row r="8" spans="1:105" ht="19.2" thickTop="1" thickBot="1" x14ac:dyDescent="0.4">
      <c r="A8" s="30"/>
      <c r="B8" s="30"/>
      <c r="C8" s="362" t="s">
        <v>545</v>
      </c>
      <c r="D8" s="390" t="s">
        <v>642</v>
      </c>
      <c r="E8" s="35" t="str">
        <f>_xlfn.XLOOKUP(Tabella4[[#This Row],[NOME]],'ROSE SQUADRE'!$N$3:$N$253,'ROSE SQUADRE'!$O$3:$O$253,"")</f>
        <v>PESCICULINI</v>
      </c>
      <c r="F8" s="36" t="s">
        <v>163</v>
      </c>
      <c r="G8" s="43">
        <v>18</v>
      </c>
      <c r="H8" s="43">
        <v>19</v>
      </c>
      <c r="I8" s="44">
        <f t="shared" si="0"/>
        <v>1</v>
      </c>
      <c r="J8" s="37">
        <f t="shared" si="1"/>
        <v>4</v>
      </c>
      <c r="K8" s="38">
        <f t="shared" si="2"/>
        <v>5.75</v>
      </c>
      <c r="L8" s="38">
        <f t="shared" si="3"/>
        <v>6.375</v>
      </c>
      <c r="M8" s="39">
        <f t="shared" si="4"/>
        <v>25.5</v>
      </c>
      <c r="N8" s="45">
        <f t="shared" ca="1" si="5"/>
        <v>0</v>
      </c>
      <c r="O8" s="40">
        <f>SUMIF(Tabella1[Nome],Tabella4[[#This Row],[NOME]],Tabella1[Gf])</f>
        <v>1</v>
      </c>
      <c r="P8" s="40">
        <f>-(SUMIF(Tabella1[Nome],Tabella4[[#This Row],[NOME]],Tabella1[Gs]))</f>
        <v>0</v>
      </c>
      <c r="Q8" s="40">
        <f>SUMIF(Tabella1[Nome],Tabella4[[#This Row],[NOME]],Tabella1[Rp])</f>
        <v>0</v>
      </c>
      <c r="R8" s="40">
        <f>SUMIF(Tabella1[Nome],Tabella4[[#This Row],[NOME]],Tabella1[Rs])</f>
        <v>0</v>
      </c>
      <c r="S8" s="40">
        <f>SUMIF(Tabella1[Nome],Tabella4[[#This Row],[NOME]],Tabella1[Rf])</f>
        <v>0</v>
      </c>
      <c r="T8" s="40">
        <f>SUMIF(Tabella1[Nome],Tabella4[[#This Row],[NOME]],Tabella1[Au])</f>
        <v>0</v>
      </c>
      <c r="U8" s="41">
        <f>SUMIF(Tabella1[Nome],Tabella4[[#This Row],[NOME]],Tabella1[Amm])</f>
        <v>1</v>
      </c>
      <c r="V8" s="42">
        <f>SUMIF(Tabella1[Nome],Tabella4[[#This Row],[NOME]],Tabella1[Esp])</f>
        <v>0</v>
      </c>
      <c r="W8" s="40">
        <f>SUMIF(Tabella1[Nome],Tabella4[[#This Row],[NOME]],Tabella1[Ass])</f>
        <v>0</v>
      </c>
      <c r="X8" s="40">
        <f>SUMIF(Tabella1[Nome],Tabella4[[#This Row],[NOME]],Tabella1[Gdv])</f>
        <v>0</v>
      </c>
      <c r="Y8" s="40">
        <f>SUMIF(Tabella1[Nome],Tabella4[[#This Row],[NOME]],Tabella1[cl sh])</f>
        <v>0</v>
      </c>
      <c r="Z8" s="270">
        <f>_xlfn.IFNA(_xlfn.XLOOKUP(CONCATENATE(Z$4,$C8),Tabella1[CONC X VOTI IN TAB GIOC],Tabella1[Voto],""),"")</f>
        <v>7</v>
      </c>
      <c r="AA8" s="270">
        <f>_xlfn.IFNA(_xlfn.XLOOKUP(CONCATENATE(AA$4,$C8),Tabella1[CONC X VOTI IN TAB GIOC],Tabella1[Voto],""),"")</f>
        <v>5.5</v>
      </c>
      <c r="AB8" s="270">
        <f>_xlfn.IFNA(_xlfn.XLOOKUP(CONCATENATE(AB$4,$C8),Tabella1[CONC X VOTI IN TAB GIOC],Tabella1[Voto]),"")</f>
        <v>5</v>
      </c>
      <c r="AC8" s="270" cm="1">
        <f t="array" ref="AC8">_xlfn.IFNA(_xlfn.XLOOKUP(CONCATENATE(AC$4,$C8),INDEX(Tabella1[],0,MATCH("CONC X VOTI IN TAB GIOC",Tabella1[#Headers],0)),INDEX(Tabella1[],0,MATCH("Voto",Tabella1[#Headers],0))),"")</f>
        <v>5.5</v>
      </c>
      <c r="AD8" s="270" t="str">
        <f>_xlfn.IFNA(_xlfn.XLOOKUP(CONCATENATE(AD$4,$C8),Tabella1[CONC X VOTI IN TAB GIOC],Tabella1[Voto]),"")</f>
        <v/>
      </c>
      <c r="AE8" s="270" t="str">
        <f>_xlfn.IFNA(VLOOKUP(CONCATENATE(AE$4,$C8),'INSER DATA'!$A:$F,6,0),"")</f>
        <v/>
      </c>
      <c r="AF8" s="270" t="str">
        <f>_xlfn.IFNA(VLOOKUP(CONCATENATE(AF$4,$C8),'INSER DATA'!$A:$F,6,0),"")</f>
        <v/>
      </c>
      <c r="AG8" s="270" t="str">
        <f>_xlfn.IFNA(VLOOKUP(CONCATENATE(AG$4,$C8),'INSER DATA'!$A:$F,6,0),"")</f>
        <v/>
      </c>
      <c r="AH8" s="270" t="str">
        <f>_xlfn.IFNA(VLOOKUP(CONCATENATE(AH$4,$C8),'INSER DATA'!$A:$F,7,0),"")</f>
        <v/>
      </c>
      <c r="AI8" s="270" t="str">
        <f>_xlfn.IFNA(VLOOKUP(CONCATENATE(AI$4,$C8),'INSER DATA'!$A:$F,7,0),"")</f>
        <v/>
      </c>
      <c r="AJ8" s="270" t="str">
        <f>_xlfn.IFNA(VLOOKUP(CONCATENATE(AJ$4,$C8),'INSER DATA'!$A:$F,7,0),"")</f>
        <v/>
      </c>
      <c r="AK8" s="270" t="str">
        <f>_xlfn.IFNA(VLOOKUP(CONCATENATE(AK$4,$C8),'INSER DATA'!$A:$F,7,0),"")</f>
        <v/>
      </c>
      <c r="AL8" s="270" t="str">
        <f>_xlfn.IFNA(VLOOKUP(CONCATENATE(AL$4,$C8),'INSER DATA'!$A:$F,7,0),"")</f>
        <v/>
      </c>
      <c r="AM8" s="270" t="str">
        <f>_xlfn.IFNA(VLOOKUP(CONCATENATE(AM$4,$C8),'INSER DATA'!$A:$F,7,0),"")</f>
        <v/>
      </c>
      <c r="AN8" s="270" t="str">
        <f>_xlfn.IFNA(VLOOKUP(CONCATENATE(AN$4,$C8),'INSER DATA'!$A:$F,7,0),"")</f>
        <v/>
      </c>
      <c r="AO8" s="270" t="str">
        <f>_xlfn.IFNA(VLOOKUP(CONCATENATE(AO$4,$C8),'INSER DATA'!$A:$F,7,0),"")</f>
        <v/>
      </c>
      <c r="AP8" s="270" t="str">
        <f>_xlfn.IFNA(VLOOKUP(CONCATENATE(AP$4,$C8),'INSER DATA'!$A:$F,7,0),"")</f>
        <v/>
      </c>
      <c r="AQ8" s="270" t="str">
        <f>_xlfn.IFNA(VLOOKUP(CONCATENATE(AQ$4,$C8),'INSER DATA'!$A:$F,7,0),"")</f>
        <v/>
      </c>
      <c r="AR8" s="270" t="str">
        <f>_xlfn.IFNA(VLOOKUP(CONCATENATE(AR$4,$C8),'INSER DATA'!$A:$F,7,0),"")</f>
        <v/>
      </c>
      <c r="AS8" s="270" t="str">
        <f>_xlfn.IFNA(VLOOKUP(CONCATENATE(AS$4,$C8),'INSER DATA'!$A:$F,7,0),"")</f>
        <v/>
      </c>
      <c r="AT8" s="270" t="str">
        <f>_xlfn.IFNA(VLOOKUP(CONCATENATE(AT$4,$C8),'INSER DATA'!$A:$F,7,0),"")</f>
        <v/>
      </c>
      <c r="AU8" s="270" t="str">
        <f>_xlfn.IFNA(VLOOKUP(CONCATENATE(AU$4,$C8),'INSER DATA'!$A:$F,7,0),"")</f>
        <v/>
      </c>
      <c r="AV8" s="270" t="str">
        <f>_xlfn.IFNA(VLOOKUP(CONCATENATE(AV$4,$C8),'INSER DATA'!$A:$F,7,0),"")</f>
        <v/>
      </c>
      <c r="AW8" s="270" t="str">
        <f>_xlfn.IFNA(VLOOKUP(CONCATENATE(AW$4,$C8),'INSER DATA'!$A:$F,7,0),"")</f>
        <v/>
      </c>
      <c r="AX8" s="270" t="str">
        <f>_xlfn.IFNA(VLOOKUP(CONCATENATE(AX$4,$C8),'INSER DATA'!$A:$F,7,0),"")</f>
        <v/>
      </c>
      <c r="AY8" s="270" t="str">
        <f>_xlfn.IFNA(VLOOKUP(CONCATENATE(AY$4,$C8),'INSER DATA'!$A:$F,7,0),"")</f>
        <v/>
      </c>
      <c r="AZ8" s="270" t="str">
        <f>_xlfn.IFNA(VLOOKUP(CONCATENATE(AZ$4,$C8),'INSER DATA'!$A:$F,7,0),"")</f>
        <v/>
      </c>
      <c r="BA8" s="270" t="str">
        <f>_xlfn.IFNA(VLOOKUP(CONCATENATE(BA$4,$C8),'INSER DATA'!$A:$F,7,0),"")</f>
        <v/>
      </c>
      <c r="BB8" s="270" t="str">
        <f>_xlfn.IFNA(VLOOKUP(CONCATENATE(BB$4,$C8),'INSER DATA'!$A:$F,7,0),"")</f>
        <v/>
      </c>
      <c r="BC8" s="270" t="str">
        <f>_xlfn.IFNA(VLOOKUP(CONCATENATE(BC$4,$C8),'INSER DATA'!$A:$F,7,0),"")</f>
        <v/>
      </c>
      <c r="BD8" s="270" t="str">
        <f>_xlfn.IFNA(VLOOKUP(CONCATENATE(BD$4,$C8),'INSER DATA'!$A:$F,7,0),"")</f>
        <v/>
      </c>
      <c r="BE8" s="270" t="str">
        <f>_xlfn.IFNA(VLOOKUP(CONCATENATE(BE$4,$C8),'INSER DATA'!$A:$F,7,0),"")</f>
        <v/>
      </c>
      <c r="BF8" s="270" t="str">
        <f>_xlfn.IFNA(VLOOKUP(CONCATENATE(BF$4,$C8),'INSER DATA'!$A:$F,7,0),"")</f>
        <v/>
      </c>
      <c r="BG8" s="270" t="str">
        <f>_xlfn.IFNA(VLOOKUP(CONCATENATE(BG$4,$C8),'INSER DATA'!$A:$F,7,0),"")</f>
        <v/>
      </c>
      <c r="BH8" s="270" t="str">
        <f>_xlfn.IFNA(VLOOKUP(CONCATENATE(BH$4,$C8),'INSER DATA'!$A:$F,7,0),"")</f>
        <v/>
      </c>
      <c r="BI8" s="270" t="str">
        <f>_xlfn.IFNA(VLOOKUP(CONCATENATE(BI$4,$C8),'INSER DATA'!$A:$F,7,0),"")</f>
        <v/>
      </c>
      <c r="BJ8" s="270" t="str">
        <f>_xlfn.IFNA(VLOOKUP(CONCATENATE(BJ$4,$C8),'INSER DATA'!$A:$F,7,0),"")</f>
        <v/>
      </c>
      <c r="BK8" s="270" t="str">
        <f>_xlfn.IFNA(VLOOKUP(CONCATENATE(BK$4,$C8),'INSER DATA'!$A:$F,7,0),"")</f>
        <v/>
      </c>
      <c r="BL8" s="272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</row>
    <row r="9" spans="1:105" ht="19.2" thickTop="1" thickBot="1" x14ac:dyDescent="0.4">
      <c r="A9" s="30"/>
      <c r="B9" s="30"/>
      <c r="C9" s="363" t="s">
        <v>224</v>
      </c>
      <c r="D9" s="390" t="s">
        <v>642</v>
      </c>
      <c r="E9" s="35" t="str">
        <f>_xlfn.XLOOKUP(Tabella4[[#This Row],[NOME]],'ROSE SQUADRE'!$N$3:$N$253,'ROSE SQUADRE'!$O$3:$O$253,"")</f>
        <v>FC INTERNAZIOANALE</v>
      </c>
      <c r="F9" s="36" t="s">
        <v>163</v>
      </c>
      <c r="G9" s="43">
        <v>13</v>
      </c>
      <c r="H9" s="43">
        <v>14</v>
      </c>
      <c r="I9" s="44">
        <f t="shared" si="0"/>
        <v>1</v>
      </c>
      <c r="J9" s="37">
        <f t="shared" si="1"/>
        <v>3</v>
      </c>
      <c r="K9" s="38">
        <f t="shared" si="2"/>
        <v>6.166666666666667</v>
      </c>
      <c r="L9" s="38">
        <f t="shared" si="3"/>
        <v>7.5</v>
      </c>
      <c r="M9" s="39">
        <f t="shared" si="4"/>
        <v>22.5</v>
      </c>
      <c r="N9" s="45">
        <f t="shared" ca="1" si="5"/>
        <v>0</v>
      </c>
      <c r="O9" s="40">
        <f>SUMIF(Tabella1[Nome],Tabella4[[#This Row],[NOME]],Tabella1[Gf])</f>
        <v>1</v>
      </c>
      <c r="P9" s="40">
        <f>-(SUMIF(Tabella1[Nome],Tabella4[[#This Row],[NOME]],Tabella1[Gs]))</f>
        <v>0</v>
      </c>
      <c r="Q9" s="40">
        <f>SUMIF(Tabella1[Nome],Tabella4[[#This Row],[NOME]],Tabella1[Rp])</f>
        <v>0</v>
      </c>
      <c r="R9" s="40">
        <f>SUMIF(Tabella1[Nome],Tabella4[[#This Row],[NOME]],Tabella1[Rs])</f>
        <v>0</v>
      </c>
      <c r="S9" s="40">
        <f>SUMIF(Tabella1[Nome],Tabella4[[#This Row],[NOME]],Tabella1[Rf])</f>
        <v>0</v>
      </c>
      <c r="T9" s="40">
        <f>SUMIF(Tabella1[Nome],Tabella4[[#This Row],[NOME]],Tabella1[Au])</f>
        <v>0</v>
      </c>
      <c r="U9" s="41">
        <f>SUMIF(Tabella1[Nome],Tabella4[[#This Row],[NOME]],Tabella1[Amm])</f>
        <v>0</v>
      </c>
      <c r="V9" s="42">
        <f>SUMIF(Tabella1[Nome],Tabella4[[#This Row],[NOME]],Tabella1[Esp])</f>
        <v>0</v>
      </c>
      <c r="W9" s="40">
        <f>SUMIF(Tabella1[Nome],Tabella4[[#This Row],[NOME]],Tabella1[Ass])</f>
        <v>0</v>
      </c>
      <c r="X9" s="40">
        <f>SUMIF(Tabella1[Nome],Tabella4[[#This Row],[NOME]],Tabella1[Gdv])</f>
        <v>1</v>
      </c>
      <c r="Y9" s="40">
        <f>SUMIF(Tabella1[Nome],Tabella4[[#This Row],[NOME]],Tabella1[cl sh])</f>
        <v>0</v>
      </c>
      <c r="Z9" s="270">
        <f>_xlfn.IFNA(_xlfn.XLOOKUP(CONCATENATE(Z$4,$C9),Tabella1[CONC X VOTI IN TAB GIOC],Tabella1[Voto],""),"")</f>
        <v>7</v>
      </c>
      <c r="AA9" s="270">
        <f>_xlfn.IFNA(_xlfn.XLOOKUP(CONCATENATE(AA$4,$C9),Tabella1[CONC X VOTI IN TAB GIOC],Tabella1[Voto],""),"")</f>
        <v>5.5</v>
      </c>
      <c r="AB9" s="270" t="str">
        <f>_xlfn.IFNA(_xlfn.XLOOKUP(CONCATENATE(AB$4,$C9),Tabella1[CONC X VOTI IN TAB GIOC],Tabella1[Voto]),"")</f>
        <v/>
      </c>
      <c r="AC9" s="270" cm="1">
        <f t="array" ref="AC9">_xlfn.IFNA(_xlfn.XLOOKUP(CONCATENATE(AC$4,$C9),INDEX(Tabella1[],0,MATCH("CONC X VOTI IN TAB GIOC",Tabella1[#Headers],0)),INDEX(Tabella1[],0,MATCH("Voto",Tabella1[#Headers],0))),"")</f>
        <v>6</v>
      </c>
      <c r="AD9" s="270" t="str">
        <f>_xlfn.IFNA(_xlfn.XLOOKUP(CONCATENATE(AD$4,$C9),Tabella1[CONC X VOTI IN TAB GIOC],Tabella1[Voto]),"")</f>
        <v/>
      </c>
      <c r="AE9" s="270" t="str">
        <f>_xlfn.IFNA(VLOOKUP(CONCATENATE(AE$4,$C9),'INSER DATA'!$A:$F,6,0),"")</f>
        <v/>
      </c>
      <c r="AF9" s="270" t="str">
        <f>_xlfn.IFNA(VLOOKUP(CONCATENATE(AF$4,$C9),'INSER DATA'!$A:$F,6,0),"")</f>
        <v/>
      </c>
      <c r="AG9" s="270" t="str">
        <f>_xlfn.IFNA(VLOOKUP(CONCATENATE(AG$4,$C9),'INSER DATA'!$A:$F,6,0),"")</f>
        <v/>
      </c>
      <c r="AH9" s="270" t="str">
        <f>_xlfn.IFNA(VLOOKUP(CONCATENATE(AH$4,$C9),'INSER DATA'!$A:$F,7,0),"")</f>
        <v/>
      </c>
      <c r="AI9" s="270" t="str">
        <f>_xlfn.IFNA(VLOOKUP(CONCATENATE(AI$4,$C9),'INSER DATA'!$A:$F,7,0),"")</f>
        <v/>
      </c>
      <c r="AJ9" s="270" t="str">
        <f>_xlfn.IFNA(VLOOKUP(CONCATENATE(AJ$4,$C9),'INSER DATA'!$A:$F,7,0),"")</f>
        <v/>
      </c>
      <c r="AK9" s="270" t="str">
        <f>_xlfn.IFNA(VLOOKUP(CONCATENATE(AK$4,$C9),'INSER DATA'!$A:$F,7,0),"")</f>
        <v/>
      </c>
      <c r="AL9" s="270" t="str">
        <f>_xlfn.IFNA(VLOOKUP(CONCATENATE(AL$4,$C9),'INSER DATA'!$A:$F,7,0),"")</f>
        <v/>
      </c>
      <c r="AM9" s="270" t="str">
        <f>_xlfn.IFNA(VLOOKUP(CONCATENATE(AM$4,$C9),'INSER DATA'!$A:$F,7,0),"")</f>
        <v/>
      </c>
      <c r="AN9" s="270" t="str">
        <f>_xlfn.IFNA(VLOOKUP(CONCATENATE(AN$4,$C9),'INSER DATA'!$A:$F,7,0),"")</f>
        <v/>
      </c>
      <c r="AO9" s="270" t="str">
        <f>_xlfn.IFNA(VLOOKUP(CONCATENATE(AO$4,$C9),'INSER DATA'!$A:$F,7,0),"")</f>
        <v/>
      </c>
      <c r="AP9" s="270" t="str">
        <f>_xlfn.IFNA(VLOOKUP(CONCATENATE(AP$4,$C9),'INSER DATA'!$A:$F,7,0),"")</f>
        <v/>
      </c>
      <c r="AQ9" s="270" t="str">
        <f>_xlfn.IFNA(VLOOKUP(CONCATENATE(AQ$4,$C9),'INSER DATA'!$A:$F,7,0),"")</f>
        <v/>
      </c>
      <c r="AR9" s="270" t="str">
        <f>_xlfn.IFNA(VLOOKUP(CONCATENATE(AR$4,$C9),'INSER DATA'!$A:$F,7,0),"")</f>
        <v/>
      </c>
      <c r="AS9" s="270" t="str">
        <f>_xlfn.IFNA(VLOOKUP(CONCATENATE(AS$4,$C9),'INSER DATA'!$A:$F,7,0),"")</f>
        <v/>
      </c>
      <c r="AT9" s="270" t="str">
        <f>_xlfn.IFNA(VLOOKUP(CONCATENATE(AT$4,$C9),'INSER DATA'!$A:$F,7,0),"")</f>
        <v/>
      </c>
      <c r="AU9" s="270" t="str">
        <f>_xlfn.IFNA(VLOOKUP(CONCATENATE(AU$4,$C9),'INSER DATA'!$A:$F,7,0),"")</f>
        <v/>
      </c>
      <c r="AV9" s="270" t="str">
        <f>_xlfn.IFNA(VLOOKUP(CONCATENATE(AV$4,$C9),'INSER DATA'!$A:$F,7,0),"")</f>
        <v/>
      </c>
      <c r="AW9" s="270" t="str">
        <f>_xlfn.IFNA(VLOOKUP(CONCATENATE(AW$4,$C9),'INSER DATA'!$A:$F,7,0),"")</f>
        <v/>
      </c>
      <c r="AX9" s="270" t="str">
        <f>_xlfn.IFNA(VLOOKUP(CONCATENATE(AX$4,$C9),'INSER DATA'!$A:$F,7,0),"")</f>
        <v/>
      </c>
      <c r="AY9" s="270" t="str">
        <f>_xlfn.IFNA(VLOOKUP(CONCATENATE(AY$4,$C9),'INSER DATA'!$A:$F,7,0),"")</f>
        <v/>
      </c>
      <c r="AZ9" s="270" t="str">
        <f>_xlfn.IFNA(VLOOKUP(CONCATENATE(AZ$4,$C9),'INSER DATA'!$A:$F,7,0),"")</f>
        <v/>
      </c>
      <c r="BA9" s="270" t="str">
        <f>_xlfn.IFNA(VLOOKUP(CONCATENATE(BA$4,$C9),'INSER DATA'!$A:$F,7,0),"")</f>
        <v/>
      </c>
      <c r="BB9" s="270" t="str">
        <f>_xlfn.IFNA(VLOOKUP(CONCATENATE(BB$4,$C9),'INSER DATA'!$A:$F,7,0),"")</f>
        <v/>
      </c>
      <c r="BC9" s="270" t="str">
        <f>_xlfn.IFNA(VLOOKUP(CONCATENATE(BC$4,$C9),'INSER DATA'!$A:$F,7,0),"")</f>
        <v/>
      </c>
      <c r="BD9" s="270" t="str">
        <f>_xlfn.IFNA(VLOOKUP(CONCATENATE(BD$4,$C9),'INSER DATA'!$A:$F,7,0),"")</f>
        <v/>
      </c>
      <c r="BE9" s="270" t="str">
        <f>_xlfn.IFNA(VLOOKUP(CONCATENATE(BE$4,$C9),'INSER DATA'!$A:$F,7,0),"")</f>
        <v/>
      </c>
      <c r="BF9" s="270" t="str">
        <f>_xlfn.IFNA(VLOOKUP(CONCATENATE(BF$4,$C9),'INSER DATA'!$A:$F,7,0),"")</f>
        <v/>
      </c>
      <c r="BG9" s="270" t="str">
        <f>_xlfn.IFNA(VLOOKUP(CONCATENATE(BG$4,$C9),'INSER DATA'!$A:$F,7,0),"")</f>
        <v/>
      </c>
      <c r="BH9" s="270" t="str">
        <f>_xlfn.IFNA(VLOOKUP(CONCATENATE(BH$4,$C9),'INSER DATA'!$A:$F,7,0),"")</f>
        <v/>
      </c>
      <c r="BI9" s="270" t="str">
        <f>_xlfn.IFNA(VLOOKUP(CONCATENATE(BI$4,$C9),'INSER DATA'!$A:$F,7,0),"")</f>
        <v/>
      </c>
      <c r="BJ9" s="270" t="str">
        <f>_xlfn.IFNA(VLOOKUP(CONCATENATE(BJ$4,$C9),'INSER DATA'!$A:$F,7,0),"")</f>
        <v/>
      </c>
      <c r="BK9" s="270" t="str">
        <f>_xlfn.IFNA(VLOOKUP(CONCATENATE(BK$4,$C9),'INSER DATA'!$A:$F,7,0),"")</f>
        <v/>
      </c>
      <c r="BL9" s="272"/>
      <c r="BM9" s="30"/>
      <c r="BN9" s="30"/>
      <c r="BO9" s="30"/>
      <c r="BP9" s="30"/>
      <c r="BQ9" s="30"/>
      <c r="BR9" s="30"/>
      <c r="BS9" s="30"/>
      <c r="BT9" s="30"/>
      <c r="BU9" s="30"/>
      <c r="BV9" s="30"/>
      <c r="BW9" s="30"/>
      <c r="BX9" s="30"/>
      <c r="BY9" s="30"/>
      <c r="BZ9" s="30"/>
      <c r="CA9" s="30"/>
      <c r="CB9" s="30"/>
      <c r="CC9" s="30"/>
      <c r="CD9" s="30"/>
      <c r="CE9" s="30"/>
      <c r="CF9" s="30"/>
      <c r="CG9" s="30"/>
      <c r="CH9" s="30"/>
      <c r="CI9" s="30"/>
      <c r="CJ9" s="30"/>
      <c r="CK9" s="30"/>
      <c r="CL9" s="30"/>
      <c r="CM9" s="30"/>
      <c r="CN9" s="30"/>
      <c r="CO9" s="30"/>
      <c r="CP9" s="30"/>
      <c r="CQ9" s="30"/>
      <c r="CR9" s="30"/>
      <c r="CS9" s="30"/>
      <c r="CT9" s="30"/>
      <c r="CU9" s="30"/>
      <c r="CV9" s="30"/>
      <c r="CW9" s="30"/>
      <c r="CX9" s="30"/>
      <c r="CY9" s="30"/>
      <c r="CZ9" s="30"/>
      <c r="DA9" s="30"/>
    </row>
    <row r="10" spans="1:105" ht="19.2" thickTop="1" thickBot="1" x14ac:dyDescent="0.4">
      <c r="A10" s="30"/>
      <c r="B10" s="30"/>
      <c r="C10" s="185" t="s">
        <v>635</v>
      </c>
      <c r="D10" s="274" t="s">
        <v>642</v>
      </c>
      <c r="E10" s="35" t="str">
        <f>_xlfn.XLOOKUP(Tabella4[[#This Row],[NOME]],'ROSE SQUADRE'!$N$3:$N$253,'ROSE SQUADRE'!$O$3:$O$253,"")</f>
        <v/>
      </c>
      <c r="F10" s="36" t="s">
        <v>161</v>
      </c>
      <c r="G10" s="43">
        <v>5</v>
      </c>
      <c r="H10" s="43">
        <v>5</v>
      </c>
      <c r="I10" s="44">
        <f t="shared" si="0"/>
        <v>0</v>
      </c>
      <c r="J10" s="37">
        <f t="shared" si="1"/>
        <v>4</v>
      </c>
      <c r="K10" s="38">
        <f t="shared" si="2"/>
        <v>5.75</v>
      </c>
      <c r="L10" s="38">
        <f t="shared" si="3"/>
        <v>5.75</v>
      </c>
      <c r="M10" s="39">
        <f t="shared" si="4"/>
        <v>23</v>
      </c>
      <c r="N10" s="45">
        <f t="shared" ca="1" si="5"/>
        <v>0</v>
      </c>
      <c r="O10" s="40">
        <f>SUMIF(Tabella1[Nome],Tabella4[[#This Row],[NOME]],Tabella1[Gf])</f>
        <v>0</v>
      </c>
      <c r="P10" s="40">
        <f>-(SUMIF(Tabella1[Nome],Tabella4[[#This Row],[NOME]],Tabella1[Gs]))</f>
        <v>0</v>
      </c>
      <c r="Q10" s="40">
        <f>SUMIF(Tabella1[Nome],Tabella4[[#This Row],[NOME]],Tabella1[Rp])</f>
        <v>0</v>
      </c>
      <c r="R10" s="40">
        <f>SUMIF(Tabella1[Nome],Tabella4[[#This Row],[NOME]],Tabella1[Rs])</f>
        <v>0</v>
      </c>
      <c r="S10" s="40">
        <f>SUMIF(Tabella1[Nome],Tabella4[[#This Row],[NOME]],Tabella1[Rf])</f>
        <v>0</v>
      </c>
      <c r="T10" s="40">
        <f>SUMIF(Tabella1[Nome],Tabella4[[#This Row],[NOME]],Tabella1[Au])</f>
        <v>0</v>
      </c>
      <c r="U10" s="41">
        <f>SUMIF(Tabella1[Nome],Tabella4[[#This Row],[NOME]],Tabella1[Amm])</f>
        <v>0</v>
      </c>
      <c r="V10" s="42">
        <f>SUMIF(Tabella1[Nome],Tabella4[[#This Row],[NOME]],Tabella1[Esp])</f>
        <v>0</v>
      </c>
      <c r="W10" s="40">
        <f>SUMIF(Tabella1[Nome],Tabella4[[#This Row],[NOME]],Tabella1[Ass])</f>
        <v>0</v>
      </c>
      <c r="X10" s="40">
        <f>SUMIF(Tabella1[Nome],Tabella4[[#This Row],[NOME]],Tabella1[Gdv])</f>
        <v>0</v>
      </c>
      <c r="Y10" s="40">
        <f>SUMIF(Tabella1[Nome],Tabella4[[#This Row],[NOME]],Tabella1[cl sh])</f>
        <v>0</v>
      </c>
      <c r="Z10" s="270">
        <f>_xlfn.IFNA(_xlfn.XLOOKUP(CONCATENATE(Z$4,$C10),Tabella1[CONC X VOTI IN TAB GIOC],Tabella1[Voto],""),"")</f>
        <v>6</v>
      </c>
      <c r="AA10" s="270">
        <f>_xlfn.IFNA(_xlfn.XLOOKUP(CONCATENATE(AA$4,$C10),Tabella1[CONC X VOTI IN TAB GIOC],Tabella1[Voto],""),"")</f>
        <v>6</v>
      </c>
      <c r="AB10" s="270">
        <f>_xlfn.IFNA(_xlfn.XLOOKUP(CONCATENATE(AB$4,$C10),Tabella1[CONC X VOTI IN TAB GIOC],Tabella1[Voto]),"")</f>
        <v>6.5</v>
      </c>
      <c r="AC10" s="270" cm="1">
        <f t="array" ref="AC10">_xlfn.IFNA(_xlfn.XLOOKUP(CONCATENATE(AC$4,$C10),INDEX(Tabella1[],0,MATCH("CONC X VOTI IN TAB GIOC",Tabella1[#Headers],0)),INDEX(Tabella1[],0,MATCH("Voto",Tabella1[#Headers],0))),"")</f>
        <v>4.5</v>
      </c>
      <c r="AD10" s="270" t="str">
        <f>_xlfn.IFNA(_xlfn.XLOOKUP(CONCATENATE(AD$4,$C10),Tabella1[CONC X VOTI IN TAB GIOC],Tabella1[Voto]),"")</f>
        <v/>
      </c>
      <c r="AE10" s="270" t="str">
        <f>_xlfn.IFNA(VLOOKUP(CONCATENATE(AE$4,$C10),'INSER DATA'!$A:$F,6,0),"")</f>
        <v/>
      </c>
      <c r="AF10" s="270" t="str">
        <f>_xlfn.IFNA(VLOOKUP(CONCATENATE(AF$4,$C10),'INSER DATA'!$A:$F,6,0),"")</f>
        <v/>
      </c>
      <c r="AG10" s="270" t="str">
        <f>_xlfn.IFNA(VLOOKUP(CONCATENATE(AG$4,$C10),'INSER DATA'!$A:$F,6,0),"")</f>
        <v/>
      </c>
      <c r="AH10" s="270" t="str">
        <f>_xlfn.IFNA(VLOOKUP(CONCATENATE(AH$4,$C10),'INSER DATA'!$A:$F,7,0),"")</f>
        <v/>
      </c>
      <c r="AI10" s="270" t="str">
        <f>_xlfn.IFNA(VLOOKUP(CONCATENATE(AI$4,$C10),'INSER DATA'!$A:$F,7,0),"")</f>
        <v/>
      </c>
      <c r="AJ10" s="270" t="str">
        <f>_xlfn.IFNA(VLOOKUP(CONCATENATE(AJ$4,$C10),'INSER DATA'!$A:$F,7,0),"")</f>
        <v/>
      </c>
      <c r="AK10" s="270" t="str">
        <f>_xlfn.IFNA(VLOOKUP(CONCATENATE(AK$4,$C10),'INSER DATA'!$A:$F,7,0),"")</f>
        <v/>
      </c>
      <c r="AL10" s="270" t="str">
        <f>_xlfn.IFNA(VLOOKUP(CONCATENATE(AL$4,$C10),'INSER DATA'!$A:$F,7,0),"")</f>
        <v/>
      </c>
      <c r="AM10" s="270" t="str">
        <f>_xlfn.IFNA(VLOOKUP(CONCATENATE(AM$4,$C10),'INSER DATA'!$A:$F,7,0),"")</f>
        <v/>
      </c>
      <c r="AN10" s="270" t="str">
        <f>_xlfn.IFNA(VLOOKUP(CONCATENATE(AN$4,$C10),'INSER DATA'!$A:$F,7,0),"")</f>
        <v/>
      </c>
      <c r="AO10" s="270" t="str">
        <f>_xlfn.IFNA(VLOOKUP(CONCATENATE(AO$4,$C10),'INSER DATA'!$A:$F,7,0),"")</f>
        <v/>
      </c>
      <c r="AP10" s="270" t="str">
        <f>_xlfn.IFNA(VLOOKUP(CONCATENATE(AP$4,$C10),'INSER DATA'!$A:$F,7,0),"")</f>
        <v/>
      </c>
      <c r="AQ10" s="270" t="str">
        <f>_xlfn.IFNA(VLOOKUP(CONCATENATE(AQ$4,$C10),'INSER DATA'!$A:$F,7,0),"")</f>
        <v/>
      </c>
      <c r="AR10" s="270" t="str">
        <f>_xlfn.IFNA(VLOOKUP(CONCATENATE(AR$4,$C10),'INSER DATA'!$A:$F,7,0),"")</f>
        <v/>
      </c>
      <c r="AS10" s="270" t="str">
        <f>_xlfn.IFNA(VLOOKUP(CONCATENATE(AS$4,$C10),'INSER DATA'!$A:$F,7,0),"")</f>
        <v/>
      </c>
      <c r="AT10" s="270" t="str">
        <f>_xlfn.IFNA(VLOOKUP(CONCATENATE(AT$4,$C10),'INSER DATA'!$A:$F,7,0),"")</f>
        <v/>
      </c>
      <c r="AU10" s="270" t="str">
        <f>_xlfn.IFNA(VLOOKUP(CONCATENATE(AU$4,$C10),'INSER DATA'!$A:$F,7,0),"")</f>
        <v/>
      </c>
      <c r="AV10" s="270" t="str">
        <f>_xlfn.IFNA(VLOOKUP(CONCATENATE(AV$4,$C10),'INSER DATA'!$A:$F,7,0),"")</f>
        <v/>
      </c>
      <c r="AW10" s="270" t="str">
        <f>_xlfn.IFNA(VLOOKUP(CONCATENATE(AW$4,$C10),'INSER DATA'!$A:$F,7,0),"")</f>
        <v/>
      </c>
      <c r="AX10" s="270" t="str">
        <f>_xlfn.IFNA(VLOOKUP(CONCATENATE(AX$4,$C10),'INSER DATA'!$A:$F,7,0),"")</f>
        <v/>
      </c>
      <c r="AY10" s="270" t="str">
        <f>_xlfn.IFNA(VLOOKUP(CONCATENATE(AY$4,$C10),'INSER DATA'!$A:$F,7,0),"")</f>
        <v/>
      </c>
      <c r="AZ10" s="270" t="str">
        <f>_xlfn.IFNA(VLOOKUP(CONCATENATE(AZ$4,$C10),'INSER DATA'!$A:$F,7,0),"")</f>
        <v/>
      </c>
      <c r="BA10" s="270" t="str">
        <f>_xlfn.IFNA(VLOOKUP(CONCATENATE(BA$4,$C10),'INSER DATA'!$A:$F,7,0),"")</f>
        <v/>
      </c>
      <c r="BB10" s="270" t="str">
        <f>_xlfn.IFNA(VLOOKUP(CONCATENATE(BB$4,$C10),'INSER DATA'!$A:$F,7,0),"")</f>
        <v/>
      </c>
      <c r="BC10" s="270" t="str">
        <f>_xlfn.IFNA(VLOOKUP(CONCATENATE(BC$4,$C10),'INSER DATA'!$A:$F,7,0),"")</f>
        <v/>
      </c>
      <c r="BD10" s="270" t="str">
        <f>_xlfn.IFNA(VLOOKUP(CONCATENATE(BD$4,$C10),'INSER DATA'!$A:$F,7,0),"")</f>
        <v/>
      </c>
      <c r="BE10" s="270" t="str">
        <f>_xlfn.IFNA(VLOOKUP(CONCATENATE(BE$4,$C10),'INSER DATA'!$A:$F,7,0),"")</f>
        <v/>
      </c>
      <c r="BF10" s="270" t="str">
        <f>_xlfn.IFNA(VLOOKUP(CONCATENATE(BF$4,$C10),'INSER DATA'!$A:$F,7,0),"")</f>
        <v/>
      </c>
      <c r="BG10" s="270" t="str">
        <f>_xlfn.IFNA(VLOOKUP(CONCATENATE(BG$4,$C10),'INSER DATA'!$A:$F,7,0),"")</f>
        <v/>
      </c>
      <c r="BH10" s="270" t="str">
        <f>_xlfn.IFNA(VLOOKUP(CONCATENATE(BH$4,$C10),'INSER DATA'!$A:$F,7,0),"")</f>
        <v/>
      </c>
      <c r="BI10" s="270" t="str">
        <f>_xlfn.IFNA(VLOOKUP(CONCATENATE(BI$4,$C10),'INSER DATA'!$A:$F,7,0),"")</f>
        <v/>
      </c>
      <c r="BJ10" s="270" t="str">
        <f>_xlfn.IFNA(VLOOKUP(CONCATENATE(BJ$4,$C10),'INSER DATA'!$A:$F,7,0),"")</f>
        <v/>
      </c>
      <c r="BK10" s="270" t="str">
        <f>_xlfn.IFNA(VLOOKUP(CONCATENATE(BK$4,$C10),'INSER DATA'!$A:$F,7,0),"")</f>
        <v/>
      </c>
      <c r="BL10" s="272"/>
      <c r="BM10" s="30"/>
      <c r="BN10" s="30"/>
      <c r="BO10" s="30"/>
      <c r="BP10" s="30"/>
      <c r="BQ10" s="30"/>
      <c r="BR10" s="30"/>
      <c r="BS10" s="30"/>
      <c r="BT10" s="30"/>
      <c r="BU10" s="30"/>
      <c r="BV10" s="30"/>
      <c r="BW10" s="30"/>
      <c r="BX10" s="30"/>
      <c r="BY10" s="30"/>
      <c r="BZ10" s="30"/>
      <c r="CA10" s="30"/>
      <c r="CB10" s="30"/>
      <c r="CC10" s="30"/>
      <c r="CD10" s="30"/>
      <c r="CE10" s="30"/>
      <c r="CF10" s="30"/>
      <c r="CG10" s="30"/>
      <c r="CH10" s="30"/>
      <c r="CI10" s="30"/>
      <c r="CJ10" s="30"/>
      <c r="CK10" s="30"/>
      <c r="CL10" s="30"/>
      <c r="CM10" s="30"/>
      <c r="CN10" s="30"/>
      <c r="CO10" s="30"/>
      <c r="CP10" s="30"/>
      <c r="CQ10" s="30"/>
      <c r="CR10" s="30"/>
      <c r="CS10" s="30"/>
      <c r="CT10" s="30"/>
      <c r="CU10" s="30"/>
      <c r="CV10" s="30"/>
      <c r="CW10" s="30"/>
      <c r="CX10" s="30"/>
      <c r="CY10" s="30"/>
      <c r="CZ10" s="30"/>
      <c r="DA10" s="30"/>
    </row>
    <row r="11" spans="1:105" ht="19.2" thickTop="1" thickBot="1" x14ac:dyDescent="0.4">
      <c r="A11" s="30"/>
      <c r="B11" s="30"/>
      <c r="C11" s="363" t="s">
        <v>636</v>
      </c>
      <c r="D11" s="389" t="s">
        <v>642</v>
      </c>
      <c r="E11" s="35" t="str">
        <f>_xlfn.XLOOKUP(Tabella4[[#This Row],[NOME]],'ROSE SQUADRE'!$N$3:$N$253,'ROSE SQUADRE'!$O$3:$O$253,"")</f>
        <v>SESTO ASENSIO</v>
      </c>
      <c r="F11" s="36" t="s">
        <v>161</v>
      </c>
      <c r="G11" s="43">
        <v>10</v>
      </c>
      <c r="H11" s="43">
        <v>10</v>
      </c>
      <c r="I11" s="44">
        <f t="shared" si="0"/>
        <v>0</v>
      </c>
      <c r="J11" s="37">
        <f t="shared" si="1"/>
        <v>4</v>
      </c>
      <c r="K11" s="38">
        <f t="shared" si="2"/>
        <v>6</v>
      </c>
      <c r="L11" s="38">
        <f t="shared" si="3"/>
        <v>6</v>
      </c>
      <c r="M11" s="39">
        <f t="shared" si="4"/>
        <v>24</v>
      </c>
      <c r="N11" s="45">
        <f t="shared" ca="1" si="5"/>
        <v>0</v>
      </c>
      <c r="O11" s="40">
        <f>SUMIF(Tabella1[Nome],Tabella4[[#This Row],[NOME]],Tabella1[Gf])</f>
        <v>0</v>
      </c>
      <c r="P11" s="40">
        <f>-(SUMIF(Tabella1[Nome],Tabella4[[#This Row],[NOME]],Tabella1[Gs]))</f>
        <v>0</v>
      </c>
      <c r="Q11" s="40">
        <f>SUMIF(Tabella1[Nome],Tabella4[[#This Row],[NOME]],Tabella1[Rp])</f>
        <v>0</v>
      </c>
      <c r="R11" s="40">
        <f>SUMIF(Tabella1[Nome],Tabella4[[#This Row],[NOME]],Tabella1[Rs])</f>
        <v>0</v>
      </c>
      <c r="S11" s="40">
        <f>SUMIF(Tabella1[Nome],Tabella4[[#This Row],[NOME]],Tabella1[Rf])</f>
        <v>0</v>
      </c>
      <c r="T11" s="40">
        <f>SUMIF(Tabella1[Nome],Tabella4[[#This Row],[NOME]],Tabella1[Au])</f>
        <v>0</v>
      </c>
      <c r="U11" s="41">
        <f>SUMIF(Tabella1[Nome],Tabella4[[#This Row],[NOME]],Tabella1[Amm])</f>
        <v>0</v>
      </c>
      <c r="V11" s="42">
        <f>SUMIF(Tabella1[Nome],Tabella4[[#This Row],[NOME]],Tabella1[Esp])</f>
        <v>0</v>
      </c>
      <c r="W11" s="40">
        <f>SUMIF(Tabella1[Nome],Tabella4[[#This Row],[NOME]],Tabella1[Ass])</f>
        <v>0</v>
      </c>
      <c r="X11" s="40">
        <f>SUMIF(Tabella1[Nome],Tabella4[[#This Row],[NOME]],Tabella1[Gdv])</f>
        <v>0</v>
      </c>
      <c r="Y11" s="40">
        <f>SUMIF(Tabella1[Nome],Tabella4[[#This Row],[NOME]],Tabella1[cl sh])</f>
        <v>0</v>
      </c>
      <c r="Z11" s="270">
        <f>_xlfn.IFNA(_xlfn.XLOOKUP(CONCATENATE(Z$4,$C11),Tabella1[CONC X VOTI IN TAB GIOC],Tabella1[Voto],""),"")</f>
        <v>6</v>
      </c>
      <c r="AA11" s="270">
        <f>_xlfn.IFNA(_xlfn.XLOOKUP(CONCATENATE(AA$4,$C11),Tabella1[CONC X VOTI IN TAB GIOC],Tabella1[Voto],""),"")</f>
        <v>6</v>
      </c>
      <c r="AB11" s="270">
        <f>_xlfn.IFNA(_xlfn.XLOOKUP(CONCATENATE(AB$4,$C11),Tabella1[CONC X VOTI IN TAB GIOC],Tabella1[Voto]),"")</f>
        <v>6.5</v>
      </c>
      <c r="AC11" s="270" cm="1">
        <f t="array" ref="AC11">_xlfn.IFNA(_xlfn.XLOOKUP(CONCATENATE(AC$4,$C11),INDEX(Tabella1[],0,MATCH("CONC X VOTI IN TAB GIOC",Tabella1[#Headers],0)),INDEX(Tabella1[],0,MATCH("Voto",Tabella1[#Headers],0))),"")</f>
        <v>5.5</v>
      </c>
      <c r="AD11" s="270" t="str">
        <f>_xlfn.IFNA(_xlfn.XLOOKUP(CONCATENATE(AD$4,$C11),Tabella1[CONC X VOTI IN TAB GIOC],Tabella1[Voto]),"")</f>
        <v/>
      </c>
      <c r="AE11" s="270" t="str">
        <f>_xlfn.IFNA(VLOOKUP(CONCATENATE(AE$4,$C11),'INSER DATA'!$A:$F,6,0),"")</f>
        <v/>
      </c>
      <c r="AF11" s="270" t="str">
        <f>_xlfn.IFNA(VLOOKUP(CONCATENATE(AF$4,$C11),'INSER DATA'!$A:$F,6,0),"")</f>
        <v/>
      </c>
      <c r="AG11" s="270" t="str">
        <f>_xlfn.IFNA(VLOOKUP(CONCATENATE(AG$4,$C11),'INSER DATA'!$A:$F,6,0),"")</f>
        <v/>
      </c>
      <c r="AH11" s="270" t="str">
        <f>_xlfn.IFNA(VLOOKUP(CONCATENATE(AH$4,$C11),'INSER DATA'!$A:$F,7,0),"")</f>
        <v/>
      </c>
      <c r="AI11" s="270" t="str">
        <f>_xlfn.IFNA(VLOOKUP(CONCATENATE(AI$4,$C11),'INSER DATA'!$A:$F,7,0),"")</f>
        <v/>
      </c>
      <c r="AJ11" s="270" t="str">
        <f>_xlfn.IFNA(VLOOKUP(CONCATENATE(AJ$4,$C11),'INSER DATA'!$A:$F,7,0),"")</f>
        <v/>
      </c>
      <c r="AK11" s="270" t="str">
        <f>_xlfn.IFNA(VLOOKUP(CONCATENATE(AK$4,$C11),'INSER DATA'!$A:$F,7,0),"")</f>
        <v/>
      </c>
      <c r="AL11" s="270" t="str">
        <f>_xlfn.IFNA(VLOOKUP(CONCATENATE(AL$4,$C11),'INSER DATA'!$A:$F,7,0),"")</f>
        <v/>
      </c>
      <c r="AM11" s="270" t="str">
        <f>_xlfn.IFNA(VLOOKUP(CONCATENATE(AM$4,$C11),'INSER DATA'!$A:$F,7,0),"")</f>
        <v/>
      </c>
      <c r="AN11" s="270" t="str">
        <f>_xlfn.IFNA(VLOOKUP(CONCATENATE(AN$4,$C11),'INSER DATA'!$A:$F,7,0),"")</f>
        <v/>
      </c>
      <c r="AO11" s="270" t="str">
        <f>_xlfn.IFNA(VLOOKUP(CONCATENATE(AO$4,$C11),'INSER DATA'!$A:$F,7,0),"")</f>
        <v/>
      </c>
      <c r="AP11" s="270" t="str">
        <f>_xlfn.IFNA(VLOOKUP(CONCATENATE(AP$4,$C11),'INSER DATA'!$A:$F,7,0),"")</f>
        <v/>
      </c>
      <c r="AQ11" s="270" t="str">
        <f>_xlfn.IFNA(VLOOKUP(CONCATENATE(AQ$4,$C11),'INSER DATA'!$A:$F,7,0),"")</f>
        <v/>
      </c>
      <c r="AR11" s="270" t="str">
        <f>_xlfn.IFNA(VLOOKUP(CONCATENATE(AR$4,$C11),'INSER DATA'!$A:$F,7,0),"")</f>
        <v/>
      </c>
      <c r="AS11" s="270" t="str">
        <f>_xlfn.IFNA(VLOOKUP(CONCATENATE(AS$4,$C11),'INSER DATA'!$A:$F,7,0),"")</f>
        <v/>
      </c>
      <c r="AT11" s="270" t="str">
        <f>_xlfn.IFNA(VLOOKUP(CONCATENATE(AT$4,$C11),'INSER DATA'!$A:$F,7,0),"")</f>
        <v/>
      </c>
      <c r="AU11" s="270" t="str">
        <f>_xlfn.IFNA(VLOOKUP(CONCATENATE(AU$4,$C11),'INSER DATA'!$A:$F,7,0),"")</f>
        <v/>
      </c>
      <c r="AV11" s="270" t="str">
        <f>_xlfn.IFNA(VLOOKUP(CONCATENATE(AV$4,$C11),'INSER DATA'!$A:$F,7,0),"")</f>
        <v/>
      </c>
      <c r="AW11" s="270" t="str">
        <f>_xlfn.IFNA(VLOOKUP(CONCATENATE(AW$4,$C11),'INSER DATA'!$A:$F,7,0),"")</f>
        <v/>
      </c>
      <c r="AX11" s="270" t="str">
        <f>_xlfn.IFNA(VLOOKUP(CONCATENATE(AX$4,$C11),'INSER DATA'!$A:$F,7,0),"")</f>
        <v/>
      </c>
      <c r="AY11" s="270" t="str">
        <f>_xlfn.IFNA(VLOOKUP(CONCATENATE(AY$4,$C11),'INSER DATA'!$A:$F,7,0),"")</f>
        <v/>
      </c>
      <c r="AZ11" s="270" t="str">
        <f>_xlfn.IFNA(VLOOKUP(CONCATENATE(AZ$4,$C11),'INSER DATA'!$A:$F,7,0),"")</f>
        <v/>
      </c>
      <c r="BA11" s="270" t="str">
        <f>_xlfn.IFNA(VLOOKUP(CONCATENATE(BA$4,$C11),'INSER DATA'!$A:$F,7,0),"")</f>
        <v/>
      </c>
      <c r="BB11" s="270" t="str">
        <f>_xlfn.IFNA(VLOOKUP(CONCATENATE(BB$4,$C11),'INSER DATA'!$A:$F,7,0),"")</f>
        <v/>
      </c>
      <c r="BC11" s="270" t="str">
        <f>_xlfn.IFNA(VLOOKUP(CONCATENATE(BC$4,$C11),'INSER DATA'!$A:$F,7,0),"")</f>
        <v/>
      </c>
      <c r="BD11" s="270" t="str">
        <f>_xlfn.IFNA(VLOOKUP(CONCATENATE(BD$4,$C11),'INSER DATA'!$A:$F,7,0),"")</f>
        <v/>
      </c>
      <c r="BE11" s="270" t="str">
        <f>_xlfn.IFNA(VLOOKUP(CONCATENATE(BE$4,$C11),'INSER DATA'!$A:$F,7,0),"")</f>
        <v/>
      </c>
      <c r="BF11" s="270" t="str">
        <f>_xlfn.IFNA(VLOOKUP(CONCATENATE(BF$4,$C11),'INSER DATA'!$A:$F,7,0),"")</f>
        <v/>
      </c>
      <c r="BG11" s="270" t="str">
        <f>_xlfn.IFNA(VLOOKUP(CONCATENATE(BG$4,$C11),'INSER DATA'!$A:$F,7,0),"")</f>
        <v/>
      </c>
      <c r="BH11" s="270" t="str">
        <f>_xlfn.IFNA(VLOOKUP(CONCATENATE(BH$4,$C11),'INSER DATA'!$A:$F,7,0),"")</f>
        <v/>
      </c>
      <c r="BI11" s="270" t="str">
        <f>_xlfn.IFNA(VLOOKUP(CONCATENATE(BI$4,$C11),'INSER DATA'!$A:$F,7,0),"")</f>
        <v/>
      </c>
      <c r="BJ11" s="270" t="str">
        <f>_xlfn.IFNA(VLOOKUP(CONCATENATE(BJ$4,$C11),'INSER DATA'!$A:$F,7,0),"")</f>
        <v/>
      </c>
      <c r="BK11" s="270" t="str">
        <f>_xlfn.IFNA(VLOOKUP(CONCATENATE(BK$4,$C11),'INSER DATA'!$A:$F,7,0),"")</f>
        <v/>
      </c>
      <c r="BL11" s="272"/>
      <c r="BM11" s="30"/>
      <c r="BN11" s="30"/>
      <c r="BO11" s="30"/>
      <c r="BP11" s="30"/>
      <c r="BQ11" s="30"/>
      <c r="BR11" s="30"/>
      <c r="BS11" s="30"/>
      <c r="BT11" s="30"/>
      <c r="BU11" s="30"/>
      <c r="BV11" s="30"/>
      <c r="BW11" s="30"/>
      <c r="BX11" s="30"/>
      <c r="BY11" s="30"/>
      <c r="BZ11" s="30"/>
      <c r="CA11" s="30"/>
      <c r="CB11" s="30"/>
      <c r="CC11" s="30"/>
      <c r="CD11" s="30"/>
      <c r="CE11" s="30"/>
      <c r="CF11" s="30"/>
      <c r="CG11" s="30"/>
      <c r="CH11" s="30"/>
      <c r="CI11" s="30"/>
      <c r="CJ11" s="30"/>
      <c r="CK11" s="30"/>
      <c r="CL11" s="30"/>
      <c r="CM11" s="30"/>
      <c r="CN11" s="30"/>
      <c r="CO11" s="30"/>
      <c r="CP11" s="30"/>
      <c r="CQ11" s="30"/>
      <c r="CR11" s="30"/>
      <c r="CS11" s="30"/>
      <c r="CT11" s="30"/>
      <c r="CU11" s="30"/>
      <c r="CV11" s="30"/>
      <c r="CW11" s="30"/>
      <c r="CX11" s="30"/>
      <c r="CY11" s="30"/>
      <c r="CZ11" s="30"/>
      <c r="DA11" s="30"/>
    </row>
    <row r="12" spans="1:105" ht="19.2" thickTop="1" thickBot="1" x14ac:dyDescent="0.4">
      <c r="A12" s="30"/>
      <c r="B12" s="30"/>
      <c r="C12" s="185" t="s">
        <v>331</v>
      </c>
      <c r="D12" s="274" t="s">
        <v>642</v>
      </c>
      <c r="E12" s="35" t="str">
        <f>_xlfn.XLOOKUP(Tabella4[[#This Row],[NOME]],'ROSE SQUADRE'!$N$3:$N$253,'ROSE SQUADRE'!$O$3:$O$253,"")</f>
        <v/>
      </c>
      <c r="F12" s="36" t="s">
        <v>161</v>
      </c>
      <c r="G12" s="43">
        <v>8</v>
      </c>
      <c r="H12" s="43">
        <v>8</v>
      </c>
      <c r="I12" s="44">
        <f t="shared" si="0"/>
        <v>0</v>
      </c>
      <c r="J12" s="37">
        <f t="shared" si="1"/>
        <v>3</v>
      </c>
      <c r="K12" s="178">
        <f t="shared" si="2"/>
        <v>5.833333333333333</v>
      </c>
      <c r="L12" s="178">
        <f t="shared" si="3"/>
        <v>5.833333333333333</v>
      </c>
      <c r="M12" s="179">
        <f t="shared" si="4"/>
        <v>17.5</v>
      </c>
      <c r="N12" s="45">
        <f t="shared" ca="1" si="5"/>
        <v>0</v>
      </c>
      <c r="O12" s="40">
        <f>SUMIF(Tabella1[Nome],Tabella4[[#This Row],[NOME]],Tabella1[Gf])</f>
        <v>0</v>
      </c>
      <c r="P12" s="40">
        <f>-(SUMIF(Tabella1[Nome],Tabella4[[#This Row],[NOME]],Tabella1[Gs]))</f>
        <v>0</v>
      </c>
      <c r="Q12" s="40">
        <f>SUMIF(Tabella1[Nome],Tabella4[[#This Row],[NOME]],Tabella1[Rp])</f>
        <v>0</v>
      </c>
      <c r="R12" s="40">
        <f>SUMIF(Tabella1[Nome],Tabella4[[#This Row],[NOME]],Tabella1[Rs])</f>
        <v>0</v>
      </c>
      <c r="S12" s="40">
        <f>SUMIF(Tabella1[Nome],Tabella4[[#This Row],[NOME]],Tabella1[Rf])</f>
        <v>0</v>
      </c>
      <c r="T12" s="40">
        <f>SUMIF(Tabella1[Nome],Tabella4[[#This Row],[NOME]],Tabella1[Au])</f>
        <v>0</v>
      </c>
      <c r="U12" s="41">
        <f>SUMIF(Tabella1[Nome],Tabella4[[#This Row],[NOME]],Tabella1[Amm])</f>
        <v>0</v>
      </c>
      <c r="V12" s="42">
        <f>SUMIF(Tabella1[Nome],Tabella4[[#This Row],[NOME]],Tabella1[Esp])</f>
        <v>0</v>
      </c>
      <c r="W12" s="40">
        <f>SUMIF(Tabella1[Nome],Tabella4[[#This Row],[NOME]],Tabella1[Ass])</f>
        <v>0</v>
      </c>
      <c r="X12" s="40">
        <f>SUMIF(Tabella1[Nome],Tabella4[[#This Row],[NOME]],Tabella1[Gdv])</f>
        <v>0</v>
      </c>
      <c r="Y12" s="40">
        <f>SUMIF(Tabella1[Nome],Tabella4[[#This Row],[NOME]],Tabella1[cl sh])</f>
        <v>0</v>
      </c>
      <c r="Z12" s="270">
        <f>_xlfn.IFNA(_xlfn.XLOOKUP(CONCATENATE(Z$4,$C12),Tabella1[CONC X VOTI IN TAB GIOC],Tabella1[Voto],""),"")</f>
        <v>6.5</v>
      </c>
      <c r="AA12" s="270">
        <f>_xlfn.IFNA(_xlfn.XLOOKUP(CONCATENATE(AA$4,$C12),Tabella1[CONC X VOTI IN TAB GIOC],Tabella1[Voto],""),"")</f>
        <v>5.5</v>
      </c>
      <c r="AB12" s="270">
        <f>_xlfn.IFNA(_xlfn.XLOOKUP(CONCATENATE(AB$4,$C12),Tabella1[CONC X VOTI IN TAB GIOC],Tabella1[Voto]),"")</f>
        <v>5.5</v>
      </c>
      <c r="AC12" s="270" t="str" cm="1">
        <f t="array" ref="AC12">_xlfn.IFNA(_xlfn.XLOOKUP(CONCATENATE(AC$4,$C12),INDEX(Tabella1[],0,MATCH("CONC X VOTI IN TAB GIOC",Tabella1[#Headers],0)),INDEX(Tabella1[],0,MATCH("Voto",Tabella1[#Headers],0))),"")</f>
        <v/>
      </c>
      <c r="AD12" s="270" t="str">
        <f>_xlfn.IFNA(_xlfn.XLOOKUP(CONCATENATE(AD$4,$C12),Tabella1[CONC X VOTI IN TAB GIOC],Tabella1[Voto]),"")</f>
        <v/>
      </c>
      <c r="AE12" s="270" t="str">
        <f>_xlfn.IFNA(VLOOKUP(CONCATENATE(AE$4,$C12),'INSER DATA'!$A:$F,6,0),"")</f>
        <v/>
      </c>
      <c r="AF12" s="270" t="str">
        <f>_xlfn.IFNA(VLOOKUP(CONCATENATE(AF$4,$C12),'INSER DATA'!$A:$F,6,0),"")</f>
        <v/>
      </c>
      <c r="AG12" s="270" t="str">
        <f>_xlfn.IFNA(VLOOKUP(CONCATENATE(AG$4,$C12),'INSER DATA'!$A:$F,6,0),"")</f>
        <v/>
      </c>
      <c r="AH12" s="270" t="str">
        <f>_xlfn.IFNA(VLOOKUP(CONCATENATE(AH$4,$C12),'INSER DATA'!$A:$F,7,0),"")</f>
        <v/>
      </c>
      <c r="AI12" s="270" t="str">
        <f>_xlfn.IFNA(VLOOKUP(CONCATENATE(AI$4,$C12),'INSER DATA'!$A:$F,7,0),"")</f>
        <v/>
      </c>
      <c r="AJ12" s="270" t="str">
        <f>_xlfn.IFNA(VLOOKUP(CONCATENATE(AJ$4,$C12),'INSER DATA'!$A:$F,7,0),"")</f>
        <v/>
      </c>
      <c r="AK12" s="270" t="str">
        <f>_xlfn.IFNA(VLOOKUP(CONCATENATE(AK$4,$C12),'INSER DATA'!$A:$F,7,0),"")</f>
        <v/>
      </c>
      <c r="AL12" s="270" t="str">
        <f>_xlfn.IFNA(VLOOKUP(CONCATENATE(AL$4,$C12),'INSER DATA'!$A:$F,7,0),"")</f>
        <v/>
      </c>
      <c r="AM12" s="270" t="str">
        <f>_xlfn.IFNA(VLOOKUP(CONCATENATE(AM$4,$C12),'INSER DATA'!$A:$F,7,0),"")</f>
        <v/>
      </c>
      <c r="AN12" s="270" t="str">
        <f>_xlfn.IFNA(VLOOKUP(CONCATENATE(AN$4,$C12),'INSER DATA'!$A:$F,7,0),"")</f>
        <v/>
      </c>
      <c r="AO12" s="270" t="str">
        <f>_xlfn.IFNA(VLOOKUP(CONCATENATE(AO$4,$C12),'INSER DATA'!$A:$F,7,0),"")</f>
        <v/>
      </c>
      <c r="AP12" s="270" t="str">
        <f>_xlfn.IFNA(VLOOKUP(CONCATENATE(AP$4,$C12),'INSER DATA'!$A:$F,7,0),"")</f>
        <v/>
      </c>
      <c r="AQ12" s="270" t="str">
        <f>_xlfn.IFNA(VLOOKUP(CONCATENATE(AQ$4,$C12),'INSER DATA'!$A:$F,7,0),"")</f>
        <v/>
      </c>
      <c r="AR12" s="270" t="str">
        <f>_xlfn.IFNA(VLOOKUP(CONCATENATE(AR$4,$C12),'INSER DATA'!$A:$F,7,0),"")</f>
        <v/>
      </c>
      <c r="AS12" s="270" t="str">
        <f>_xlfn.IFNA(VLOOKUP(CONCATENATE(AS$4,$C12),'INSER DATA'!$A:$F,7,0),"")</f>
        <v/>
      </c>
      <c r="AT12" s="270" t="str">
        <f>_xlfn.IFNA(VLOOKUP(CONCATENATE(AT$4,$C12),'INSER DATA'!$A:$F,7,0),"")</f>
        <v/>
      </c>
      <c r="AU12" s="270" t="str">
        <f>_xlfn.IFNA(VLOOKUP(CONCATENATE(AU$4,$C12),'INSER DATA'!$A:$F,7,0),"")</f>
        <v/>
      </c>
      <c r="AV12" s="270" t="str">
        <f>_xlfn.IFNA(VLOOKUP(CONCATENATE(AV$4,$C12),'INSER DATA'!$A:$F,7,0),"")</f>
        <v/>
      </c>
      <c r="AW12" s="270" t="str">
        <f>_xlfn.IFNA(VLOOKUP(CONCATENATE(AW$4,$C12),'INSER DATA'!$A:$F,7,0),"")</f>
        <v/>
      </c>
      <c r="AX12" s="270" t="str">
        <f>_xlfn.IFNA(VLOOKUP(CONCATENATE(AX$4,$C12),'INSER DATA'!$A:$F,7,0),"")</f>
        <v/>
      </c>
      <c r="AY12" s="270" t="str">
        <f>_xlfn.IFNA(VLOOKUP(CONCATENATE(AY$4,$C12),'INSER DATA'!$A:$F,7,0),"")</f>
        <v/>
      </c>
      <c r="AZ12" s="270" t="str">
        <f>_xlfn.IFNA(VLOOKUP(CONCATENATE(AZ$4,$C12),'INSER DATA'!$A:$F,7,0),"")</f>
        <v/>
      </c>
      <c r="BA12" s="270" t="str">
        <f>_xlfn.IFNA(VLOOKUP(CONCATENATE(BA$4,$C12),'INSER DATA'!$A:$F,7,0),"")</f>
        <v/>
      </c>
      <c r="BB12" s="270" t="str">
        <f>_xlfn.IFNA(VLOOKUP(CONCATENATE(BB$4,$C12),'INSER DATA'!$A:$F,7,0),"")</f>
        <v/>
      </c>
      <c r="BC12" s="270" t="str">
        <f>_xlfn.IFNA(VLOOKUP(CONCATENATE(BC$4,$C12),'INSER DATA'!$A:$F,7,0),"")</f>
        <v/>
      </c>
      <c r="BD12" s="270" t="str">
        <f>_xlfn.IFNA(VLOOKUP(CONCATENATE(BD$4,$C12),'INSER DATA'!$A:$F,7,0),"")</f>
        <v/>
      </c>
      <c r="BE12" s="270" t="str">
        <f>_xlfn.IFNA(VLOOKUP(CONCATENATE(BE$4,$C12),'INSER DATA'!$A:$F,7,0),"")</f>
        <v/>
      </c>
      <c r="BF12" s="270" t="str">
        <f>_xlfn.IFNA(VLOOKUP(CONCATENATE(BF$4,$C12),'INSER DATA'!$A:$F,7,0),"")</f>
        <v/>
      </c>
      <c r="BG12" s="270" t="str">
        <f>_xlfn.IFNA(VLOOKUP(CONCATENATE(BG$4,$C12),'INSER DATA'!$A:$F,7,0),"")</f>
        <v/>
      </c>
      <c r="BH12" s="270" t="str">
        <f>_xlfn.IFNA(VLOOKUP(CONCATENATE(BH$4,$C12),'INSER DATA'!$A:$F,7,0),"")</f>
        <v/>
      </c>
      <c r="BI12" s="270" t="str">
        <f>_xlfn.IFNA(VLOOKUP(CONCATENATE(BI$4,$C12),'INSER DATA'!$A:$F,7,0),"")</f>
        <v/>
      </c>
      <c r="BJ12" s="270" t="str">
        <f>_xlfn.IFNA(VLOOKUP(CONCATENATE(BJ$4,$C12),'INSER DATA'!$A:$F,7,0),"")</f>
        <v/>
      </c>
      <c r="BK12" s="270" t="str">
        <f>_xlfn.IFNA(VLOOKUP(CONCATENATE(BK$4,$C12),'INSER DATA'!$A:$F,7,0),"")</f>
        <v/>
      </c>
      <c r="BL12" s="272"/>
      <c r="BM12" s="30"/>
      <c r="BN12" s="30"/>
      <c r="BO12" s="30"/>
      <c r="BP12" s="30"/>
      <c r="BQ12" s="30"/>
      <c r="BR12" s="30"/>
      <c r="BS12" s="30"/>
      <c r="BT12" s="30"/>
      <c r="BU12" s="30"/>
      <c r="BV12" s="30"/>
      <c r="BW12" s="30"/>
      <c r="BX12" s="30"/>
      <c r="BY12" s="30"/>
      <c r="BZ12" s="30"/>
      <c r="CA12" s="30"/>
      <c r="CB12" s="30"/>
      <c r="CC12" s="30"/>
      <c r="CD12" s="30"/>
      <c r="CE12" s="30"/>
      <c r="CF12" s="30"/>
      <c r="CG12" s="30"/>
      <c r="CH12" s="30"/>
      <c r="CI12" s="30"/>
      <c r="CJ12" s="30"/>
      <c r="CK12" s="30"/>
      <c r="CL12" s="30"/>
      <c r="CM12" s="30"/>
      <c r="CN12" s="30"/>
      <c r="CO12" s="30"/>
      <c r="CP12" s="30"/>
      <c r="CQ12" s="30"/>
      <c r="CR12" s="30"/>
      <c r="CS12" s="30"/>
      <c r="CT12" s="30"/>
      <c r="CU12" s="30"/>
      <c r="CV12" s="30"/>
      <c r="CW12" s="30"/>
      <c r="CX12" s="30"/>
      <c r="CY12" s="30"/>
      <c r="CZ12" s="30"/>
      <c r="DA12" s="30"/>
    </row>
    <row r="13" spans="1:105" ht="19.2" thickTop="1" thickBot="1" x14ac:dyDescent="0.4">
      <c r="A13" s="30"/>
      <c r="B13" s="30"/>
      <c r="C13" s="188" t="s">
        <v>637</v>
      </c>
      <c r="D13" s="274" t="s">
        <v>642</v>
      </c>
      <c r="E13" s="35" t="str">
        <f>_xlfn.XLOOKUP(Tabella4[[#This Row],[NOME]],'ROSE SQUADRE'!$N$3:$N$253,'ROSE SQUADRE'!$O$3:$O$253,"")</f>
        <v/>
      </c>
      <c r="F13" s="36" t="s">
        <v>161</v>
      </c>
      <c r="G13" s="43">
        <v>3</v>
      </c>
      <c r="H13" s="43">
        <v>3</v>
      </c>
      <c r="I13" s="44">
        <f t="shared" si="0"/>
        <v>0</v>
      </c>
      <c r="J13" s="37">
        <f t="shared" si="1"/>
        <v>4</v>
      </c>
      <c r="K13" s="38">
        <f t="shared" si="2"/>
        <v>5.5</v>
      </c>
      <c r="L13" s="38">
        <f t="shared" si="3"/>
        <v>5.5</v>
      </c>
      <c r="M13" s="39">
        <f t="shared" si="4"/>
        <v>22</v>
      </c>
      <c r="N13" s="45">
        <f t="shared" ca="1" si="5"/>
        <v>0</v>
      </c>
      <c r="O13" s="40">
        <f>SUMIF(Tabella1[Nome],Tabella4[[#This Row],[NOME]],Tabella1[Gf])</f>
        <v>0</v>
      </c>
      <c r="P13" s="40">
        <f>-(SUMIF(Tabella1[Nome],Tabella4[[#This Row],[NOME]],Tabella1[Gs]))</f>
        <v>0</v>
      </c>
      <c r="Q13" s="40">
        <f>SUMIF(Tabella1[Nome],Tabella4[[#This Row],[NOME]],Tabella1[Rp])</f>
        <v>0</v>
      </c>
      <c r="R13" s="40">
        <f>SUMIF(Tabella1[Nome],Tabella4[[#This Row],[NOME]],Tabella1[Rs])</f>
        <v>0</v>
      </c>
      <c r="S13" s="40">
        <f>SUMIF(Tabella1[Nome],Tabella4[[#This Row],[NOME]],Tabella1[Rf])</f>
        <v>0</v>
      </c>
      <c r="T13" s="40">
        <f>SUMIF(Tabella1[Nome],Tabella4[[#This Row],[NOME]],Tabella1[Au])</f>
        <v>0</v>
      </c>
      <c r="U13" s="41">
        <f>SUMIF(Tabella1[Nome],Tabella4[[#This Row],[NOME]],Tabella1[Amm])</f>
        <v>0</v>
      </c>
      <c r="V13" s="42">
        <f>SUMIF(Tabella1[Nome],Tabella4[[#This Row],[NOME]],Tabella1[Esp])</f>
        <v>0</v>
      </c>
      <c r="W13" s="40">
        <f>SUMIF(Tabella1[Nome],Tabella4[[#This Row],[NOME]],Tabella1[Ass])</f>
        <v>0</v>
      </c>
      <c r="X13" s="40">
        <f>SUMIF(Tabella1[Nome],Tabella4[[#This Row],[NOME]],Tabella1[Gdv])</f>
        <v>0</v>
      </c>
      <c r="Y13" s="40">
        <f>SUMIF(Tabella1[Nome],Tabella4[[#This Row],[NOME]],Tabella1[cl sh])</f>
        <v>0</v>
      </c>
      <c r="Z13" s="270">
        <f>_xlfn.IFNA(_xlfn.XLOOKUP(CONCATENATE(Z$4,$C13),Tabella1[CONC X VOTI IN TAB GIOC],Tabella1[Voto],""),"")</f>
        <v>5.5</v>
      </c>
      <c r="AA13" s="270">
        <f>_xlfn.IFNA(_xlfn.XLOOKUP(CONCATENATE(AA$4,$C13),Tabella1[CONC X VOTI IN TAB GIOC],Tabella1[Voto],""),"")</f>
        <v>6</v>
      </c>
      <c r="AB13" s="270">
        <f>_xlfn.IFNA(_xlfn.XLOOKUP(CONCATENATE(AB$4,$C13),Tabella1[CONC X VOTI IN TAB GIOC],Tabella1[Voto]),"")</f>
        <v>5.5</v>
      </c>
      <c r="AC13" s="270" cm="1">
        <f t="array" ref="AC13">_xlfn.IFNA(_xlfn.XLOOKUP(CONCATENATE(AC$4,$C13),INDEX(Tabella1[],0,MATCH("CONC X VOTI IN TAB GIOC",Tabella1[#Headers],0)),INDEX(Tabella1[],0,MATCH("Voto",Tabella1[#Headers],0))),"")</f>
        <v>5</v>
      </c>
      <c r="AD13" s="270" t="str">
        <f>_xlfn.IFNA(_xlfn.XLOOKUP(CONCATENATE(AD$4,$C13),Tabella1[CONC X VOTI IN TAB GIOC],Tabella1[Voto]),"")</f>
        <v/>
      </c>
      <c r="AE13" s="270" t="str">
        <f>_xlfn.IFNA(VLOOKUP(CONCATENATE(AE$4,$C13),'INSER DATA'!$A:$F,6,0),"")</f>
        <v/>
      </c>
      <c r="AF13" s="270" t="str">
        <f>_xlfn.IFNA(VLOOKUP(CONCATENATE(AF$4,$C13),'INSER DATA'!$A:$F,6,0),"")</f>
        <v/>
      </c>
      <c r="AG13" s="270" t="str">
        <f>_xlfn.IFNA(VLOOKUP(CONCATENATE(AG$4,$C13),'INSER DATA'!$A:$F,6,0),"")</f>
        <v/>
      </c>
      <c r="AH13" s="270" t="str">
        <f>_xlfn.IFNA(VLOOKUP(CONCATENATE(AH$4,$C13),'INSER DATA'!$A:$F,7,0),"")</f>
        <v/>
      </c>
      <c r="AI13" s="270" t="str">
        <f>_xlfn.IFNA(VLOOKUP(CONCATENATE(AI$4,$C13),'INSER DATA'!$A:$F,7,0),"")</f>
        <v/>
      </c>
      <c r="AJ13" s="270" t="str">
        <f>_xlfn.IFNA(VLOOKUP(CONCATENATE(AJ$4,$C13),'INSER DATA'!$A:$F,7,0),"")</f>
        <v/>
      </c>
      <c r="AK13" s="270" t="str">
        <f>_xlfn.IFNA(VLOOKUP(CONCATENATE(AK$4,$C13),'INSER DATA'!$A:$F,7,0),"")</f>
        <v/>
      </c>
      <c r="AL13" s="270" t="str">
        <f>_xlfn.IFNA(VLOOKUP(CONCATENATE(AL$4,$C13),'INSER DATA'!$A:$F,7,0),"")</f>
        <v/>
      </c>
      <c r="AM13" s="270" t="str">
        <f>_xlfn.IFNA(VLOOKUP(CONCATENATE(AM$4,$C13),'INSER DATA'!$A:$F,7,0),"")</f>
        <v/>
      </c>
      <c r="AN13" s="270" t="str">
        <f>_xlfn.IFNA(VLOOKUP(CONCATENATE(AN$4,$C13),'INSER DATA'!$A:$F,7,0),"")</f>
        <v/>
      </c>
      <c r="AO13" s="270" t="str">
        <f>_xlfn.IFNA(VLOOKUP(CONCATENATE(AO$4,$C13),'INSER DATA'!$A:$F,7,0),"")</f>
        <v/>
      </c>
      <c r="AP13" s="270" t="str">
        <f>_xlfn.IFNA(VLOOKUP(CONCATENATE(AP$4,$C13),'INSER DATA'!$A:$F,7,0),"")</f>
        <v/>
      </c>
      <c r="AQ13" s="270" t="str">
        <f>_xlfn.IFNA(VLOOKUP(CONCATENATE(AQ$4,$C13),'INSER DATA'!$A:$F,7,0),"")</f>
        <v/>
      </c>
      <c r="AR13" s="270" t="str">
        <f>_xlfn.IFNA(VLOOKUP(CONCATENATE(AR$4,$C13),'INSER DATA'!$A:$F,7,0),"")</f>
        <v/>
      </c>
      <c r="AS13" s="270" t="str">
        <f>_xlfn.IFNA(VLOOKUP(CONCATENATE(AS$4,$C13),'INSER DATA'!$A:$F,7,0),"")</f>
        <v/>
      </c>
      <c r="AT13" s="270" t="str">
        <f>_xlfn.IFNA(VLOOKUP(CONCATENATE(AT$4,$C13),'INSER DATA'!$A:$F,7,0),"")</f>
        <v/>
      </c>
      <c r="AU13" s="270" t="str">
        <f>_xlfn.IFNA(VLOOKUP(CONCATENATE(AU$4,$C13),'INSER DATA'!$A:$F,7,0),"")</f>
        <v/>
      </c>
      <c r="AV13" s="270" t="str">
        <f>_xlfn.IFNA(VLOOKUP(CONCATENATE(AV$4,$C13),'INSER DATA'!$A:$F,7,0),"")</f>
        <v/>
      </c>
      <c r="AW13" s="270" t="str">
        <f>_xlfn.IFNA(VLOOKUP(CONCATENATE(AW$4,$C13),'INSER DATA'!$A:$F,7,0),"")</f>
        <v/>
      </c>
      <c r="AX13" s="270" t="str">
        <f>_xlfn.IFNA(VLOOKUP(CONCATENATE(AX$4,$C13),'INSER DATA'!$A:$F,7,0),"")</f>
        <v/>
      </c>
      <c r="AY13" s="270" t="str">
        <f>_xlfn.IFNA(VLOOKUP(CONCATENATE(AY$4,$C13),'INSER DATA'!$A:$F,7,0),"")</f>
        <v/>
      </c>
      <c r="AZ13" s="270" t="str">
        <f>_xlfn.IFNA(VLOOKUP(CONCATENATE(AZ$4,$C13),'INSER DATA'!$A:$F,7,0),"")</f>
        <v/>
      </c>
      <c r="BA13" s="270" t="str">
        <f>_xlfn.IFNA(VLOOKUP(CONCATENATE(BA$4,$C13),'INSER DATA'!$A:$F,7,0),"")</f>
        <v/>
      </c>
      <c r="BB13" s="270" t="str">
        <f>_xlfn.IFNA(VLOOKUP(CONCATENATE(BB$4,$C13),'INSER DATA'!$A:$F,7,0),"")</f>
        <v/>
      </c>
      <c r="BC13" s="270" t="str">
        <f>_xlfn.IFNA(VLOOKUP(CONCATENATE(BC$4,$C13),'INSER DATA'!$A:$F,7,0),"")</f>
        <v/>
      </c>
      <c r="BD13" s="270" t="str">
        <f>_xlfn.IFNA(VLOOKUP(CONCATENATE(BD$4,$C13),'INSER DATA'!$A:$F,7,0),"")</f>
        <v/>
      </c>
      <c r="BE13" s="270" t="str">
        <f>_xlfn.IFNA(VLOOKUP(CONCATENATE(BE$4,$C13),'INSER DATA'!$A:$F,7,0),"")</f>
        <v/>
      </c>
      <c r="BF13" s="270" t="str">
        <f>_xlfn.IFNA(VLOOKUP(CONCATENATE(BF$4,$C13),'INSER DATA'!$A:$F,7,0),"")</f>
        <v/>
      </c>
      <c r="BG13" s="270" t="str">
        <f>_xlfn.IFNA(VLOOKUP(CONCATENATE(BG$4,$C13),'INSER DATA'!$A:$F,7,0),"")</f>
        <v/>
      </c>
      <c r="BH13" s="270" t="str">
        <f>_xlfn.IFNA(VLOOKUP(CONCATENATE(BH$4,$C13),'INSER DATA'!$A:$F,7,0),"")</f>
        <v/>
      </c>
      <c r="BI13" s="270" t="str">
        <f>_xlfn.IFNA(VLOOKUP(CONCATENATE(BI$4,$C13),'INSER DATA'!$A:$F,7,0),"")</f>
        <v/>
      </c>
      <c r="BJ13" s="270" t="str">
        <f>_xlfn.IFNA(VLOOKUP(CONCATENATE(BJ$4,$C13),'INSER DATA'!$A:$F,7,0),"")</f>
        <v/>
      </c>
      <c r="BK13" s="270" t="str">
        <f>_xlfn.IFNA(VLOOKUP(CONCATENATE(BK$4,$C13),'INSER DATA'!$A:$F,7,0),"")</f>
        <v/>
      </c>
      <c r="BL13" s="272"/>
      <c r="BM13" s="30"/>
      <c r="BN13" s="30"/>
      <c r="BO13" s="30"/>
      <c r="BP13" s="30"/>
      <c r="BQ13" s="30"/>
      <c r="BR13" s="30"/>
      <c r="BS13" s="30"/>
      <c r="BT13" s="30"/>
      <c r="BU13" s="30"/>
      <c r="BV13" s="30"/>
      <c r="BW13" s="30"/>
      <c r="BX13" s="30"/>
      <c r="BY13" s="30"/>
      <c r="BZ13" s="30"/>
      <c r="CA13" s="30"/>
      <c r="CB13" s="30"/>
      <c r="CC13" s="30"/>
      <c r="CD13" s="30"/>
      <c r="CE13" s="30"/>
      <c r="CF13" s="30"/>
      <c r="CG13" s="30"/>
      <c r="CH13" s="30"/>
      <c r="CI13" s="30"/>
      <c r="CJ13" s="30"/>
      <c r="CK13" s="30"/>
      <c r="CL13" s="30"/>
      <c r="CM13" s="30"/>
      <c r="CN13" s="30"/>
      <c r="CO13" s="30"/>
      <c r="CP13" s="30"/>
      <c r="CQ13" s="30"/>
      <c r="CR13" s="30"/>
      <c r="CS13" s="30"/>
      <c r="CT13" s="30"/>
      <c r="CU13" s="30"/>
      <c r="CV13" s="30"/>
      <c r="CW13" s="30"/>
      <c r="CX13" s="30"/>
      <c r="CY13" s="30"/>
      <c r="CZ13" s="30"/>
      <c r="DA13" s="30"/>
    </row>
    <row r="14" spans="1:105" ht="19.2" thickTop="1" thickBot="1" x14ac:dyDescent="0.4">
      <c r="A14" s="30"/>
      <c r="B14" s="30"/>
      <c r="C14" s="363" t="s">
        <v>640</v>
      </c>
      <c r="D14" s="389" t="s">
        <v>642</v>
      </c>
      <c r="E14" s="35" t="str">
        <f>_xlfn.XLOOKUP(Tabella4[[#This Row],[NOME]],'ROSE SQUADRE'!$N$3:$N$253,'ROSE SQUADRE'!$O$3:$O$253,"")</f>
        <v>FC INTERNAZIOANALE</v>
      </c>
      <c r="F14" s="36" t="s">
        <v>162</v>
      </c>
      <c r="G14" s="43">
        <v>12</v>
      </c>
      <c r="H14" s="43">
        <v>12</v>
      </c>
      <c r="I14" s="44">
        <f t="shared" si="0"/>
        <v>0</v>
      </c>
      <c r="J14" s="37">
        <f t="shared" si="1"/>
        <v>4</v>
      </c>
      <c r="K14" s="38">
        <f t="shared" si="2"/>
        <v>6</v>
      </c>
      <c r="L14" s="38">
        <f t="shared" si="3"/>
        <v>6.75</v>
      </c>
      <c r="M14" s="39">
        <f t="shared" si="4"/>
        <v>27</v>
      </c>
      <c r="N14" s="45">
        <f t="shared" ca="1" si="5"/>
        <v>0</v>
      </c>
      <c r="O14" s="40">
        <f>SUMIF(Tabella1[Nome],Tabella4[[#This Row],[NOME]],Tabella1[Gf])</f>
        <v>1</v>
      </c>
      <c r="P14" s="40">
        <f>-(SUMIF(Tabella1[Nome],Tabella4[[#This Row],[NOME]],Tabella1[Gs]))</f>
        <v>0</v>
      </c>
      <c r="Q14" s="40">
        <f>SUMIF(Tabella1[Nome],Tabella4[[#This Row],[NOME]],Tabella1[Rp])</f>
        <v>0</v>
      </c>
      <c r="R14" s="40">
        <f>SUMIF(Tabella1[Nome],Tabella4[[#This Row],[NOME]],Tabella1[Rs])</f>
        <v>0</v>
      </c>
      <c r="S14" s="40">
        <f>SUMIF(Tabella1[Nome],Tabella4[[#This Row],[NOME]],Tabella1[Rf])</f>
        <v>0</v>
      </c>
      <c r="T14" s="40">
        <f>SUMIF(Tabella1[Nome],Tabella4[[#This Row],[NOME]],Tabella1[Au])</f>
        <v>0</v>
      </c>
      <c r="U14" s="41">
        <f>SUMIF(Tabella1[Nome],Tabella4[[#This Row],[NOME]],Tabella1[Amm])</f>
        <v>0</v>
      </c>
      <c r="V14" s="42">
        <f>SUMIF(Tabella1[Nome],Tabella4[[#This Row],[NOME]],Tabella1[Esp])</f>
        <v>0</v>
      </c>
      <c r="W14" s="40">
        <f>SUMIF(Tabella1[Nome],Tabella4[[#This Row],[NOME]],Tabella1[Ass])</f>
        <v>0</v>
      </c>
      <c r="X14" s="40">
        <f>SUMIF(Tabella1[Nome],Tabella4[[#This Row],[NOME]],Tabella1[Gdv])</f>
        <v>0</v>
      </c>
      <c r="Y14" s="40">
        <f>SUMIF(Tabella1[Nome],Tabella4[[#This Row],[NOME]],Tabella1[cl sh])</f>
        <v>0</v>
      </c>
      <c r="Z14" s="270">
        <f>_xlfn.IFNA(_xlfn.XLOOKUP(CONCATENATE(Z$4,$C14),Tabella1[CONC X VOTI IN TAB GIOC],Tabella1[Voto],""),"")</f>
        <v>6</v>
      </c>
      <c r="AA14" s="270">
        <f>_xlfn.IFNA(_xlfn.XLOOKUP(CONCATENATE(AA$4,$C14),Tabella1[CONC X VOTI IN TAB GIOC],Tabella1[Voto],""),"")</f>
        <v>5.5</v>
      </c>
      <c r="AB14" s="270">
        <f>_xlfn.IFNA(_xlfn.XLOOKUP(CONCATENATE(AB$4,$C14),Tabella1[CONC X VOTI IN TAB GIOC],Tabella1[Voto]),"")</f>
        <v>7</v>
      </c>
      <c r="AC14" s="270" cm="1">
        <f t="array" ref="AC14">_xlfn.IFNA(_xlfn.XLOOKUP(CONCATENATE(AC$4,$C14),INDEX(Tabella1[],0,MATCH("CONC X VOTI IN TAB GIOC",Tabella1[#Headers],0)),INDEX(Tabella1[],0,MATCH("Voto",Tabella1[#Headers],0))),"")</f>
        <v>5.5</v>
      </c>
      <c r="AD14" s="270" t="str">
        <f>_xlfn.IFNA(_xlfn.XLOOKUP(CONCATENATE(AD$4,$C14),Tabella1[CONC X VOTI IN TAB GIOC],Tabella1[Voto]),"")</f>
        <v/>
      </c>
      <c r="AE14" s="270" t="str">
        <f>_xlfn.IFNA(VLOOKUP(CONCATENATE(AE$4,$C14),'INSER DATA'!$A:$F,6,0),"")</f>
        <v/>
      </c>
      <c r="AF14" s="270" t="str">
        <f>_xlfn.IFNA(VLOOKUP(CONCATENATE(AF$4,$C14),'INSER DATA'!$A:$F,6,0),"")</f>
        <v/>
      </c>
      <c r="AG14" s="270" t="str">
        <f>_xlfn.IFNA(VLOOKUP(CONCATENATE(AG$4,$C14),'INSER DATA'!$A:$F,6,0),"")</f>
        <v/>
      </c>
      <c r="AH14" s="270" t="str">
        <f>_xlfn.IFNA(VLOOKUP(CONCATENATE(AH$4,$C14),'INSER DATA'!$A:$F,7,0),"")</f>
        <v/>
      </c>
      <c r="AI14" s="270" t="str">
        <f>_xlfn.IFNA(VLOOKUP(CONCATENATE(AI$4,$C14),'INSER DATA'!$A:$F,7,0),"")</f>
        <v/>
      </c>
      <c r="AJ14" s="270" t="str">
        <f>_xlfn.IFNA(VLOOKUP(CONCATENATE(AJ$4,$C14),'INSER DATA'!$A:$F,7,0),"")</f>
        <v/>
      </c>
      <c r="AK14" s="270" t="str">
        <f>_xlfn.IFNA(VLOOKUP(CONCATENATE(AK$4,$C14),'INSER DATA'!$A:$F,7,0),"")</f>
        <v/>
      </c>
      <c r="AL14" s="270" t="str">
        <f>_xlfn.IFNA(VLOOKUP(CONCATENATE(AL$4,$C14),'INSER DATA'!$A:$F,7,0),"")</f>
        <v/>
      </c>
      <c r="AM14" s="270" t="str">
        <f>_xlfn.IFNA(VLOOKUP(CONCATENATE(AM$4,$C14),'INSER DATA'!$A:$F,7,0),"")</f>
        <v/>
      </c>
      <c r="AN14" s="270" t="str">
        <f>_xlfn.IFNA(VLOOKUP(CONCATENATE(AN$4,$C14),'INSER DATA'!$A:$F,7,0),"")</f>
        <v/>
      </c>
      <c r="AO14" s="270" t="str">
        <f>_xlfn.IFNA(VLOOKUP(CONCATENATE(AO$4,$C14),'INSER DATA'!$A:$F,7,0),"")</f>
        <v/>
      </c>
      <c r="AP14" s="270" t="str">
        <f>_xlfn.IFNA(VLOOKUP(CONCATENATE(AP$4,$C14),'INSER DATA'!$A:$F,7,0),"")</f>
        <v/>
      </c>
      <c r="AQ14" s="270" t="str">
        <f>_xlfn.IFNA(VLOOKUP(CONCATENATE(AQ$4,$C14),'INSER DATA'!$A:$F,7,0),"")</f>
        <v/>
      </c>
      <c r="AR14" s="270" t="str">
        <f>_xlfn.IFNA(VLOOKUP(CONCATENATE(AR$4,$C14),'INSER DATA'!$A:$F,7,0),"")</f>
        <v/>
      </c>
      <c r="AS14" s="270" t="str">
        <f>_xlfn.IFNA(VLOOKUP(CONCATENATE(AS$4,$C14),'INSER DATA'!$A:$F,7,0),"")</f>
        <v/>
      </c>
      <c r="AT14" s="270" t="str">
        <f>_xlfn.IFNA(VLOOKUP(CONCATENATE(AT$4,$C14),'INSER DATA'!$A:$F,7,0),"")</f>
        <v/>
      </c>
      <c r="AU14" s="270" t="str">
        <f>_xlfn.IFNA(VLOOKUP(CONCATENATE(AU$4,$C14),'INSER DATA'!$A:$F,7,0),"")</f>
        <v/>
      </c>
      <c r="AV14" s="270" t="str">
        <f>_xlfn.IFNA(VLOOKUP(CONCATENATE(AV$4,$C14),'INSER DATA'!$A:$F,7,0),"")</f>
        <v/>
      </c>
      <c r="AW14" s="270" t="str">
        <f>_xlfn.IFNA(VLOOKUP(CONCATENATE(AW$4,$C14),'INSER DATA'!$A:$F,7,0),"")</f>
        <v/>
      </c>
      <c r="AX14" s="270" t="str">
        <f>_xlfn.IFNA(VLOOKUP(CONCATENATE(AX$4,$C14),'INSER DATA'!$A:$F,7,0),"")</f>
        <v/>
      </c>
      <c r="AY14" s="270" t="str">
        <f>_xlfn.IFNA(VLOOKUP(CONCATENATE(AY$4,$C14),'INSER DATA'!$A:$F,7,0),"")</f>
        <v/>
      </c>
      <c r="AZ14" s="270" t="str">
        <f>_xlfn.IFNA(VLOOKUP(CONCATENATE(AZ$4,$C14),'INSER DATA'!$A:$F,7,0),"")</f>
        <v/>
      </c>
      <c r="BA14" s="270" t="str">
        <f>_xlfn.IFNA(VLOOKUP(CONCATENATE(BA$4,$C14),'INSER DATA'!$A:$F,7,0),"")</f>
        <v/>
      </c>
      <c r="BB14" s="270" t="str">
        <f>_xlfn.IFNA(VLOOKUP(CONCATENATE(BB$4,$C14),'INSER DATA'!$A:$F,7,0),"")</f>
        <v/>
      </c>
      <c r="BC14" s="270" t="str">
        <f>_xlfn.IFNA(VLOOKUP(CONCATENATE(BC$4,$C14),'INSER DATA'!$A:$F,7,0),"")</f>
        <v/>
      </c>
      <c r="BD14" s="270" t="str">
        <f>_xlfn.IFNA(VLOOKUP(CONCATENATE(BD$4,$C14),'INSER DATA'!$A:$F,7,0),"")</f>
        <v/>
      </c>
      <c r="BE14" s="270" t="str">
        <f>_xlfn.IFNA(VLOOKUP(CONCATENATE(BE$4,$C14),'INSER DATA'!$A:$F,7,0),"")</f>
        <v/>
      </c>
      <c r="BF14" s="270" t="str">
        <f>_xlfn.IFNA(VLOOKUP(CONCATENATE(BF$4,$C14),'INSER DATA'!$A:$F,7,0),"")</f>
        <v/>
      </c>
      <c r="BG14" s="270" t="str">
        <f>_xlfn.IFNA(VLOOKUP(CONCATENATE(BG$4,$C14),'INSER DATA'!$A:$F,7,0),"")</f>
        <v/>
      </c>
      <c r="BH14" s="270" t="str">
        <f>_xlfn.IFNA(VLOOKUP(CONCATENATE(BH$4,$C14),'INSER DATA'!$A:$F,7,0),"")</f>
        <v/>
      </c>
      <c r="BI14" s="270" t="str">
        <f>_xlfn.IFNA(VLOOKUP(CONCATENATE(BI$4,$C14),'INSER DATA'!$A:$F,7,0),"")</f>
        <v/>
      </c>
      <c r="BJ14" s="270" t="str">
        <f>_xlfn.IFNA(VLOOKUP(CONCATENATE(BJ$4,$C14),'INSER DATA'!$A:$F,7,0),"")</f>
        <v/>
      </c>
      <c r="BK14" s="270" t="str">
        <f>_xlfn.IFNA(VLOOKUP(CONCATENATE(BK$4,$C14),'INSER DATA'!$A:$F,7,0),"")</f>
        <v/>
      </c>
      <c r="BL14" s="272"/>
      <c r="BM14" s="30"/>
      <c r="BN14" s="30"/>
      <c r="BO14" s="30"/>
      <c r="BP14" s="30"/>
      <c r="BQ14" s="30"/>
      <c r="BR14" s="30"/>
      <c r="BS14" s="30"/>
      <c r="BT14" s="30"/>
      <c r="BU14" s="30"/>
      <c r="BV14" s="30"/>
      <c r="BW14" s="30"/>
      <c r="BX14" s="30"/>
      <c r="BY14" s="30"/>
      <c r="BZ14" s="30"/>
      <c r="CA14" s="30"/>
      <c r="CB14" s="30"/>
      <c r="CC14" s="30"/>
      <c r="CD14" s="30"/>
      <c r="CE14" s="30"/>
      <c r="CF14" s="30"/>
      <c r="CG14" s="30"/>
      <c r="CH14" s="30"/>
      <c r="CI14" s="30"/>
      <c r="CJ14" s="30"/>
      <c r="CK14" s="30"/>
      <c r="CL14" s="30"/>
      <c r="CM14" s="30"/>
      <c r="CN14" s="30"/>
      <c r="CO14" s="30"/>
      <c r="CP14" s="30"/>
      <c r="CQ14" s="30"/>
      <c r="CR14" s="30"/>
      <c r="CS14" s="30"/>
      <c r="CT14" s="30"/>
      <c r="CU14" s="30"/>
      <c r="CV14" s="30"/>
      <c r="CW14" s="30"/>
      <c r="CX14" s="30"/>
      <c r="CY14" s="30"/>
      <c r="CZ14" s="30"/>
      <c r="DA14" s="30"/>
    </row>
    <row r="15" spans="1:105" ht="19.2" thickTop="1" thickBot="1" x14ac:dyDescent="0.4">
      <c r="A15" s="30"/>
      <c r="B15" s="30"/>
      <c r="C15" s="360" t="s">
        <v>639</v>
      </c>
      <c r="D15" s="391" t="s">
        <v>642</v>
      </c>
      <c r="E15" s="35" t="str">
        <f>_xlfn.XLOOKUP(Tabella4[[#This Row],[NOME]],'ROSE SQUADRE'!$N$3:$N$253,'ROSE SQUADRE'!$O$3:$O$253,"")</f>
        <v>TRICCHETRACHT</v>
      </c>
      <c r="F15" s="36" t="s">
        <v>162</v>
      </c>
      <c r="G15" s="43">
        <v>7</v>
      </c>
      <c r="H15" s="43">
        <v>8</v>
      </c>
      <c r="I15" s="44">
        <f t="shared" si="0"/>
        <v>1</v>
      </c>
      <c r="J15" s="37">
        <f t="shared" si="1"/>
        <v>3</v>
      </c>
      <c r="K15" s="38">
        <f t="shared" si="2"/>
        <v>5.666666666666667</v>
      </c>
      <c r="L15" s="38">
        <f t="shared" si="3"/>
        <v>5.666666666666667</v>
      </c>
      <c r="M15" s="39">
        <f t="shared" si="4"/>
        <v>17</v>
      </c>
      <c r="N15" s="45">
        <f ca="1">ContaCellePerColore(Z15:BK15,$C$3)</f>
        <v>0</v>
      </c>
      <c r="O15" s="40">
        <f>SUMIF(Tabella1[Nome],Tabella4[[#This Row],[NOME]],Tabella1[Gf])</f>
        <v>0</v>
      </c>
      <c r="P15" s="40">
        <f>-(SUMIF(Tabella1[Nome],Tabella4[[#This Row],[NOME]],Tabella1[Gs]))</f>
        <v>0</v>
      </c>
      <c r="Q15" s="40">
        <f>SUMIF(Tabella1[Nome],Tabella4[[#This Row],[NOME]],Tabella1[Rp])</f>
        <v>0</v>
      </c>
      <c r="R15" s="40">
        <f>SUMIF(Tabella1[Nome],Tabella4[[#This Row],[NOME]],Tabella1[Rs])</f>
        <v>0</v>
      </c>
      <c r="S15" s="40">
        <f>SUMIF(Tabella1[Nome],Tabella4[[#This Row],[NOME]],Tabella1[Rf])</f>
        <v>0</v>
      </c>
      <c r="T15" s="40">
        <f>SUMIF(Tabella1[Nome],Tabella4[[#This Row],[NOME]],Tabella1[Au])</f>
        <v>0</v>
      </c>
      <c r="U15" s="41">
        <f>SUMIF(Tabella1[Nome],Tabella4[[#This Row],[NOME]],Tabella1[Amm])</f>
        <v>0</v>
      </c>
      <c r="V15" s="42">
        <f>SUMIF(Tabella1[Nome],Tabella4[[#This Row],[NOME]],Tabella1[Esp])</f>
        <v>1</v>
      </c>
      <c r="W15" s="40">
        <f>SUMIF(Tabella1[Nome],Tabella4[[#This Row],[NOME]],Tabella1[Ass])</f>
        <v>1</v>
      </c>
      <c r="X15" s="40">
        <f>SUMIF(Tabella1[Nome],Tabella4[[#This Row],[NOME]],Tabella1[Gdv])</f>
        <v>0</v>
      </c>
      <c r="Y15" s="40">
        <f>SUMIF(Tabella1[Nome],Tabella4[[#This Row],[NOME]],Tabella1[cl sh])</f>
        <v>0</v>
      </c>
      <c r="Z15" s="270">
        <f>_xlfn.IFNA(_xlfn.XLOOKUP(CONCATENATE(Z$4,$C15),Tabella1[CONC X VOTI IN TAB GIOC],Tabella1[Voto],""),"")</f>
        <v>6.5</v>
      </c>
      <c r="AA15" s="270">
        <f>_xlfn.IFNA(_xlfn.XLOOKUP(CONCATENATE(AA$4,$C15),Tabella1[CONC X VOTI IN TAB GIOC],Tabella1[Voto],""),"")</f>
        <v>5</v>
      </c>
      <c r="AB15" s="270">
        <f>_xlfn.IFNA(_xlfn.XLOOKUP(CONCATENATE(AB$4,$C15),Tabella1[CONC X VOTI IN TAB GIOC],Tabella1[Voto]),"")</f>
        <v>5.5</v>
      </c>
      <c r="AC15" s="270" t="str" cm="1">
        <f t="array" ref="AC15">_xlfn.IFNA(_xlfn.XLOOKUP(CONCATENATE(AC$4,$C15),INDEX(Tabella1[],0,MATCH("CONC X VOTI IN TAB GIOC",Tabella1[#Headers],0)),INDEX(Tabella1[],0,MATCH("Voto",Tabella1[#Headers],0))),"")</f>
        <v/>
      </c>
      <c r="AD15" s="270" t="str">
        <f>_xlfn.IFNA(_xlfn.XLOOKUP(CONCATENATE(AD$4,$C15),Tabella1[CONC X VOTI IN TAB GIOC],Tabella1[Voto]),"")</f>
        <v/>
      </c>
      <c r="AE15" s="270" t="str">
        <f>_xlfn.IFNA(VLOOKUP(CONCATENATE(AE$4,$C15),'INSER DATA'!$A:$F,6,0),"")</f>
        <v/>
      </c>
      <c r="AF15" s="270" t="str">
        <f>_xlfn.IFNA(VLOOKUP(CONCATENATE(AF$4,$C15),'INSER DATA'!$A:$F,6,0),"")</f>
        <v/>
      </c>
      <c r="AG15" s="270" t="str">
        <f>_xlfn.IFNA(VLOOKUP(CONCATENATE(AG$4,$C15),'INSER DATA'!$A:$F,6,0),"")</f>
        <v/>
      </c>
      <c r="AH15" s="270" t="str">
        <f>_xlfn.IFNA(VLOOKUP(CONCATENATE(AH$4,$C15),'INSER DATA'!$A:$F,7,0),"")</f>
        <v/>
      </c>
      <c r="AI15" s="270" t="str">
        <f>_xlfn.IFNA(VLOOKUP(CONCATENATE(AI$4,$C15),'INSER DATA'!$A:$F,7,0),"")</f>
        <v/>
      </c>
      <c r="AJ15" s="270" t="str">
        <f>_xlfn.IFNA(VLOOKUP(CONCATENATE(AJ$4,$C15),'INSER DATA'!$A:$F,7,0),"")</f>
        <v/>
      </c>
      <c r="AK15" s="270" t="str">
        <f>_xlfn.IFNA(VLOOKUP(CONCATENATE(AK$4,$C15),'INSER DATA'!$A:$F,7,0),"")</f>
        <v/>
      </c>
      <c r="AL15" s="270" t="str">
        <f>_xlfn.IFNA(VLOOKUP(CONCATENATE(AL$4,$C15),'INSER DATA'!$A:$F,7,0),"")</f>
        <v/>
      </c>
      <c r="AM15" s="270" t="str">
        <f>_xlfn.IFNA(VLOOKUP(CONCATENATE(AM$4,$C15),'INSER DATA'!$A:$F,7,0),"")</f>
        <v/>
      </c>
      <c r="AN15" s="270" t="str">
        <f>_xlfn.IFNA(VLOOKUP(CONCATENATE(AN$4,$C15),'INSER DATA'!$A:$F,7,0),"")</f>
        <v/>
      </c>
      <c r="AO15" s="270" t="str">
        <f>_xlfn.IFNA(VLOOKUP(CONCATENATE(AO$4,$C15),'INSER DATA'!$A:$F,7,0),"")</f>
        <v/>
      </c>
      <c r="AP15" s="270" t="str">
        <f>_xlfn.IFNA(VLOOKUP(CONCATENATE(AP$4,$C15),'INSER DATA'!$A:$F,7,0),"")</f>
        <v/>
      </c>
      <c r="AQ15" s="270" t="str">
        <f>_xlfn.IFNA(VLOOKUP(CONCATENATE(AQ$4,$C15),'INSER DATA'!$A:$F,7,0),"")</f>
        <v/>
      </c>
      <c r="AR15" s="270" t="str">
        <f>_xlfn.IFNA(VLOOKUP(CONCATENATE(AR$4,$C15),'INSER DATA'!$A:$F,7,0),"")</f>
        <v/>
      </c>
      <c r="AS15" s="270" t="str">
        <f>_xlfn.IFNA(VLOOKUP(CONCATENATE(AS$4,$C15),'INSER DATA'!$A:$F,7,0),"")</f>
        <v/>
      </c>
      <c r="AT15" s="270" t="str">
        <f>_xlfn.IFNA(VLOOKUP(CONCATENATE(AT$4,$C15),'INSER DATA'!$A:$F,7,0),"")</f>
        <v/>
      </c>
      <c r="AU15" s="270" t="str">
        <f>_xlfn.IFNA(VLOOKUP(CONCATENATE(AU$4,$C15),'INSER DATA'!$A:$F,7,0),"")</f>
        <v/>
      </c>
      <c r="AV15" s="270" t="str">
        <f>_xlfn.IFNA(VLOOKUP(CONCATENATE(AV$4,$C15),'INSER DATA'!$A:$F,7,0),"")</f>
        <v/>
      </c>
      <c r="AW15" s="270" t="str">
        <f>_xlfn.IFNA(VLOOKUP(CONCATENATE(AW$4,$C15),'INSER DATA'!$A:$F,7,0),"")</f>
        <v/>
      </c>
      <c r="AX15" s="270" t="str">
        <f>_xlfn.IFNA(VLOOKUP(CONCATENATE(AX$4,$C15),'INSER DATA'!$A:$F,7,0),"")</f>
        <v/>
      </c>
      <c r="AY15" s="270" t="str">
        <f>_xlfn.IFNA(VLOOKUP(CONCATENATE(AY$4,$C15),'INSER DATA'!$A:$F,7,0),"")</f>
        <v/>
      </c>
      <c r="AZ15" s="270" t="str">
        <f>_xlfn.IFNA(VLOOKUP(CONCATENATE(AZ$4,$C15),'INSER DATA'!$A:$F,7,0),"")</f>
        <v/>
      </c>
      <c r="BA15" s="270" t="str">
        <f>_xlfn.IFNA(VLOOKUP(CONCATENATE(BA$4,$C15),'INSER DATA'!$A:$F,7,0),"")</f>
        <v/>
      </c>
      <c r="BB15" s="270" t="str">
        <f>_xlfn.IFNA(VLOOKUP(CONCATENATE(BB$4,$C15),'INSER DATA'!$A:$F,7,0),"")</f>
        <v/>
      </c>
      <c r="BC15" s="270" t="str">
        <f>_xlfn.IFNA(VLOOKUP(CONCATENATE(BC$4,$C15),'INSER DATA'!$A:$F,7,0),"")</f>
        <v/>
      </c>
      <c r="BD15" s="270" t="str">
        <f>_xlfn.IFNA(VLOOKUP(CONCATENATE(BD$4,$C15),'INSER DATA'!$A:$F,7,0),"")</f>
        <v/>
      </c>
      <c r="BE15" s="270" t="str">
        <f>_xlfn.IFNA(VLOOKUP(CONCATENATE(BE$4,$C15),'INSER DATA'!$A:$F,7,0),"")</f>
        <v/>
      </c>
      <c r="BF15" s="270" t="str">
        <f>_xlfn.IFNA(VLOOKUP(CONCATENATE(BF$4,$C15),'INSER DATA'!$A:$F,7,0),"")</f>
        <v/>
      </c>
      <c r="BG15" s="270" t="str">
        <f>_xlfn.IFNA(VLOOKUP(CONCATENATE(BG$4,$C15),'INSER DATA'!$A:$F,7,0),"")</f>
        <v/>
      </c>
      <c r="BH15" s="270" t="str">
        <f>_xlfn.IFNA(VLOOKUP(CONCATENATE(BH$4,$C15),'INSER DATA'!$A:$F,7,0),"")</f>
        <v/>
      </c>
      <c r="BI15" s="270" t="str">
        <f>_xlfn.IFNA(VLOOKUP(CONCATENATE(BI$4,$C15),'INSER DATA'!$A:$F,7,0),"")</f>
        <v/>
      </c>
      <c r="BJ15" s="270" t="str">
        <f>_xlfn.IFNA(VLOOKUP(CONCATENATE(BJ$4,$C15),'INSER DATA'!$A:$F,7,0),"")</f>
        <v/>
      </c>
      <c r="BK15" s="270" t="str">
        <f>_xlfn.IFNA(VLOOKUP(CONCATENATE(BK$4,$C15),'INSER DATA'!$A:$F,7,0),"")</f>
        <v/>
      </c>
      <c r="BL15" s="272"/>
      <c r="BM15" s="30"/>
      <c r="BN15" s="30"/>
      <c r="BO15" s="30"/>
      <c r="BP15" s="30"/>
      <c r="BQ15" s="30"/>
      <c r="BR15" s="30"/>
      <c r="BS15" s="30"/>
      <c r="BT15" s="30"/>
      <c r="BU15" s="30"/>
      <c r="BV15" s="30"/>
      <c r="BW15" s="30"/>
      <c r="BX15" s="30"/>
      <c r="BY15" s="30"/>
      <c r="BZ15" s="30"/>
      <c r="CA15" s="30"/>
      <c r="CB15" s="30"/>
      <c r="CC15" s="30"/>
      <c r="CD15" s="30"/>
      <c r="CE15" s="30"/>
      <c r="CF15" s="30"/>
      <c r="CG15" s="30"/>
      <c r="CH15" s="30"/>
      <c r="CI15" s="30"/>
      <c r="CJ15" s="30"/>
      <c r="CK15" s="30"/>
      <c r="CL15" s="30"/>
      <c r="CM15" s="30"/>
      <c r="CN15" s="30"/>
      <c r="CO15" s="30"/>
      <c r="CP15" s="30"/>
      <c r="CQ15" s="30"/>
      <c r="CR15" s="30"/>
      <c r="CS15" s="30"/>
      <c r="CT15" s="30"/>
      <c r="CU15" s="30"/>
      <c r="CV15" s="30"/>
      <c r="CW15" s="30"/>
      <c r="CX15" s="30"/>
      <c r="CY15" s="30"/>
      <c r="CZ15" s="30"/>
      <c r="DA15" s="30"/>
    </row>
    <row r="16" spans="1:105" ht="19.2" thickTop="1" thickBot="1" x14ac:dyDescent="0.4">
      <c r="A16" s="30"/>
      <c r="B16" s="30"/>
      <c r="C16" s="362" t="s">
        <v>248</v>
      </c>
      <c r="D16" s="390" t="s">
        <v>642</v>
      </c>
      <c r="E16" s="35" t="str">
        <f>_xlfn.XLOOKUP(Tabella4[[#This Row],[NOME]],'ROSE SQUADRE'!$N$3:$N$253,'ROSE SQUADRE'!$O$3:$O$253,"")</f>
        <v>PESCICULINI</v>
      </c>
      <c r="F16" s="36" t="s">
        <v>163</v>
      </c>
      <c r="G16" s="43">
        <v>17</v>
      </c>
      <c r="H16" s="43">
        <v>17</v>
      </c>
      <c r="I16" s="44">
        <f t="shared" si="0"/>
        <v>0</v>
      </c>
      <c r="J16" s="37">
        <f t="shared" si="1"/>
        <v>4</v>
      </c>
      <c r="K16" s="38">
        <f t="shared" si="2"/>
        <v>5.625</v>
      </c>
      <c r="L16" s="38">
        <f t="shared" si="3"/>
        <v>5.625</v>
      </c>
      <c r="M16" s="39">
        <f t="shared" si="4"/>
        <v>22.5</v>
      </c>
      <c r="N16" s="45">
        <f t="shared" ca="1" si="5"/>
        <v>0</v>
      </c>
      <c r="O16" s="40">
        <f>SUMIF(Tabella1[Nome],Tabella4[[#This Row],[NOME]],Tabella1[Gf])</f>
        <v>0</v>
      </c>
      <c r="P16" s="40">
        <f>-(SUMIF(Tabella1[Nome],Tabella4[[#This Row],[NOME]],Tabella1[Gs]))</f>
        <v>0</v>
      </c>
      <c r="Q16" s="40">
        <f>SUMIF(Tabella1[Nome],Tabella4[[#This Row],[NOME]],Tabella1[Rp])</f>
        <v>0</v>
      </c>
      <c r="R16" s="40">
        <f>SUMIF(Tabella1[Nome],Tabella4[[#This Row],[NOME]],Tabella1[Rs])</f>
        <v>0</v>
      </c>
      <c r="S16" s="40">
        <f>SUMIF(Tabella1[Nome],Tabella4[[#This Row],[NOME]],Tabella1[Rf])</f>
        <v>0</v>
      </c>
      <c r="T16" s="40">
        <f>SUMIF(Tabella1[Nome],Tabella4[[#This Row],[NOME]],Tabella1[Au])</f>
        <v>0</v>
      </c>
      <c r="U16" s="41">
        <f>SUMIF(Tabella1[Nome],Tabella4[[#This Row],[NOME]],Tabella1[Amm])</f>
        <v>0</v>
      </c>
      <c r="V16" s="42">
        <f>SUMIF(Tabella1[Nome],Tabella4[[#This Row],[NOME]],Tabella1[Esp])</f>
        <v>0</v>
      </c>
      <c r="W16" s="40">
        <f>SUMIF(Tabella1[Nome],Tabella4[[#This Row],[NOME]],Tabella1[Ass])</f>
        <v>0</v>
      </c>
      <c r="X16" s="40">
        <f>SUMIF(Tabella1[Nome],Tabella4[[#This Row],[NOME]],Tabella1[Gdv])</f>
        <v>0</v>
      </c>
      <c r="Y16" s="40">
        <f>SUMIF(Tabella1[Nome],Tabella4[[#This Row],[NOME]],Tabella1[cl sh])</f>
        <v>0</v>
      </c>
      <c r="Z16" s="270">
        <f>_xlfn.IFNA(_xlfn.XLOOKUP(CONCATENATE(Z$4,$C16),Tabella1[CONC X VOTI IN TAB GIOC],Tabella1[Voto],""),"")</f>
        <v>6</v>
      </c>
      <c r="AA16" s="270">
        <f>_xlfn.IFNA(_xlfn.XLOOKUP(CONCATENATE(AA$4,$C16),Tabella1[CONC X VOTI IN TAB GIOC],Tabella1[Voto],""),"")</f>
        <v>5.5</v>
      </c>
      <c r="AB16" s="270">
        <f>_xlfn.IFNA(_xlfn.XLOOKUP(CONCATENATE(AB$4,$C16),Tabella1[CONC X VOTI IN TAB GIOC],Tabella1[Voto]),"")</f>
        <v>6</v>
      </c>
      <c r="AC16" s="270" cm="1">
        <f t="array" ref="AC16">_xlfn.IFNA(_xlfn.XLOOKUP(CONCATENATE(AC$4,$C16),INDEX(Tabella1[],0,MATCH("CONC X VOTI IN TAB GIOC",Tabella1[#Headers],0)),INDEX(Tabella1[],0,MATCH("Voto",Tabella1[#Headers],0))),"")</f>
        <v>5</v>
      </c>
      <c r="AD16" s="270" t="str">
        <f>_xlfn.IFNA(_xlfn.XLOOKUP(CONCATENATE(AD$4,$C16),Tabella1[CONC X VOTI IN TAB GIOC],Tabella1[Voto]),"")</f>
        <v/>
      </c>
      <c r="AE16" s="270" t="str">
        <f>_xlfn.IFNA(VLOOKUP(CONCATENATE(AE$4,$C16),'INSER DATA'!$A:$F,6,0),"")</f>
        <v/>
      </c>
      <c r="AF16" s="270" t="str">
        <f>_xlfn.IFNA(VLOOKUP(CONCATENATE(AF$4,$C16),'INSER DATA'!$A:$F,6,0),"")</f>
        <v/>
      </c>
      <c r="AG16" s="270" t="str">
        <f>_xlfn.IFNA(VLOOKUP(CONCATENATE(AG$4,$C16),'INSER DATA'!$A:$F,6,0),"")</f>
        <v/>
      </c>
      <c r="AH16" s="270" t="str">
        <f>_xlfn.IFNA(VLOOKUP(CONCATENATE(AH$4,$C16),'INSER DATA'!$A:$F,7,0),"")</f>
        <v/>
      </c>
      <c r="AI16" s="270" t="str">
        <f>_xlfn.IFNA(VLOOKUP(CONCATENATE(AI$4,$C16),'INSER DATA'!$A:$F,7,0),"")</f>
        <v/>
      </c>
      <c r="AJ16" s="270" t="str">
        <f>_xlfn.IFNA(VLOOKUP(CONCATENATE(AJ$4,$C16),'INSER DATA'!$A:$F,7,0),"")</f>
        <v/>
      </c>
      <c r="AK16" s="270" t="str">
        <f>_xlfn.IFNA(VLOOKUP(CONCATENATE(AK$4,$C16),'INSER DATA'!$A:$F,7,0),"")</f>
        <v/>
      </c>
      <c r="AL16" s="270" t="str">
        <f>_xlfn.IFNA(VLOOKUP(CONCATENATE(AL$4,$C16),'INSER DATA'!$A:$F,7,0),"")</f>
        <v/>
      </c>
      <c r="AM16" s="270" t="str">
        <f>_xlfn.IFNA(VLOOKUP(CONCATENATE(AM$4,$C16),'INSER DATA'!$A:$F,7,0),"")</f>
        <v/>
      </c>
      <c r="AN16" s="270" t="str">
        <f>_xlfn.IFNA(VLOOKUP(CONCATENATE(AN$4,$C16),'INSER DATA'!$A:$F,7,0),"")</f>
        <v/>
      </c>
      <c r="AO16" s="270" t="str">
        <f>_xlfn.IFNA(VLOOKUP(CONCATENATE(AO$4,$C16),'INSER DATA'!$A:$F,7,0),"")</f>
        <v/>
      </c>
      <c r="AP16" s="270" t="str">
        <f>_xlfn.IFNA(VLOOKUP(CONCATENATE(AP$4,$C16),'INSER DATA'!$A:$F,7,0),"")</f>
        <v/>
      </c>
      <c r="AQ16" s="270" t="str">
        <f>_xlfn.IFNA(VLOOKUP(CONCATENATE(AQ$4,$C16),'INSER DATA'!$A:$F,7,0),"")</f>
        <v/>
      </c>
      <c r="AR16" s="270" t="str">
        <f>_xlfn.IFNA(VLOOKUP(CONCATENATE(AR$4,$C16),'INSER DATA'!$A:$F,7,0),"")</f>
        <v/>
      </c>
      <c r="AS16" s="270" t="str">
        <f>_xlfn.IFNA(VLOOKUP(CONCATENATE(AS$4,$C16),'INSER DATA'!$A:$F,7,0),"")</f>
        <v/>
      </c>
      <c r="AT16" s="270" t="str">
        <f>_xlfn.IFNA(VLOOKUP(CONCATENATE(AT$4,$C16),'INSER DATA'!$A:$F,7,0),"")</f>
        <v/>
      </c>
      <c r="AU16" s="270" t="str">
        <f>_xlfn.IFNA(VLOOKUP(CONCATENATE(AU$4,$C16),'INSER DATA'!$A:$F,7,0),"")</f>
        <v/>
      </c>
      <c r="AV16" s="270" t="str">
        <f>_xlfn.IFNA(VLOOKUP(CONCATENATE(AV$4,$C16),'INSER DATA'!$A:$F,7,0),"")</f>
        <v/>
      </c>
      <c r="AW16" s="270" t="str">
        <f>_xlfn.IFNA(VLOOKUP(CONCATENATE(AW$4,$C16),'INSER DATA'!$A:$F,7,0),"")</f>
        <v/>
      </c>
      <c r="AX16" s="270" t="str">
        <f>_xlfn.IFNA(VLOOKUP(CONCATENATE(AX$4,$C16),'INSER DATA'!$A:$F,7,0),"")</f>
        <v/>
      </c>
      <c r="AY16" s="270" t="str">
        <f>_xlfn.IFNA(VLOOKUP(CONCATENATE(AY$4,$C16),'INSER DATA'!$A:$F,7,0),"")</f>
        <v/>
      </c>
      <c r="AZ16" s="270" t="str">
        <f>_xlfn.IFNA(VLOOKUP(CONCATENATE(AZ$4,$C16),'INSER DATA'!$A:$F,7,0),"")</f>
        <v/>
      </c>
      <c r="BA16" s="270" t="str">
        <f>_xlfn.IFNA(VLOOKUP(CONCATENATE(BA$4,$C16),'INSER DATA'!$A:$F,7,0),"")</f>
        <v/>
      </c>
      <c r="BB16" s="270" t="str">
        <f>_xlfn.IFNA(VLOOKUP(CONCATENATE(BB$4,$C16),'INSER DATA'!$A:$F,7,0),"")</f>
        <v/>
      </c>
      <c r="BC16" s="270" t="str">
        <f>_xlfn.IFNA(VLOOKUP(CONCATENATE(BC$4,$C16),'INSER DATA'!$A:$F,7,0),"")</f>
        <v/>
      </c>
      <c r="BD16" s="270" t="str">
        <f>_xlfn.IFNA(VLOOKUP(CONCATENATE(BD$4,$C16),'INSER DATA'!$A:$F,7,0),"")</f>
        <v/>
      </c>
      <c r="BE16" s="270" t="str">
        <f>_xlfn.IFNA(VLOOKUP(CONCATENATE(BE$4,$C16),'INSER DATA'!$A:$F,7,0),"")</f>
        <v/>
      </c>
      <c r="BF16" s="270" t="str">
        <f>_xlfn.IFNA(VLOOKUP(CONCATENATE(BF$4,$C16),'INSER DATA'!$A:$F,7,0),"")</f>
        <v/>
      </c>
      <c r="BG16" s="270" t="str">
        <f>_xlfn.IFNA(VLOOKUP(CONCATENATE(BG$4,$C16),'INSER DATA'!$A:$F,7,0),"")</f>
        <v/>
      </c>
      <c r="BH16" s="270" t="str">
        <f>_xlfn.IFNA(VLOOKUP(CONCATENATE(BH$4,$C16),'INSER DATA'!$A:$F,7,0),"")</f>
        <v/>
      </c>
      <c r="BI16" s="270" t="str">
        <f>_xlfn.IFNA(VLOOKUP(CONCATENATE(BI$4,$C16),'INSER DATA'!$A:$F,7,0),"")</f>
        <v/>
      </c>
      <c r="BJ16" s="270" t="str">
        <f>_xlfn.IFNA(VLOOKUP(CONCATENATE(BJ$4,$C16),'INSER DATA'!$A:$F,7,0),"")</f>
        <v/>
      </c>
      <c r="BK16" s="270" t="str">
        <f>_xlfn.IFNA(VLOOKUP(CONCATENATE(BK$4,$C16),'INSER DATA'!$A:$F,7,0),"")</f>
        <v/>
      </c>
      <c r="BL16" s="272"/>
      <c r="BM16" s="30"/>
      <c r="BN16" s="30"/>
      <c r="BO16" s="30"/>
      <c r="BP16" s="30"/>
      <c r="BQ16" s="30"/>
      <c r="BR16" s="30"/>
      <c r="BS16" s="30"/>
      <c r="BT16" s="30"/>
      <c r="BU16" s="30"/>
      <c r="BV16" s="30"/>
      <c r="BW16" s="30"/>
      <c r="BX16" s="30"/>
      <c r="BY16" s="30"/>
      <c r="BZ16" s="30"/>
      <c r="CA16" s="30"/>
      <c r="CB16" s="30"/>
      <c r="CC16" s="30"/>
      <c r="CD16" s="30"/>
      <c r="CE16" s="30"/>
      <c r="CF16" s="30"/>
      <c r="CG16" s="30"/>
      <c r="CH16" s="30"/>
      <c r="CI16" s="30"/>
      <c r="CJ16" s="30"/>
      <c r="CK16" s="30"/>
      <c r="CL16" s="30"/>
      <c r="CM16" s="30"/>
      <c r="CN16" s="30"/>
      <c r="CO16" s="30"/>
      <c r="CP16" s="30"/>
      <c r="CQ16" s="30"/>
      <c r="CR16" s="30"/>
      <c r="CS16" s="30"/>
      <c r="CT16" s="30"/>
      <c r="CU16" s="30"/>
      <c r="CV16" s="30"/>
      <c r="CW16" s="30"/>
      <c r="CX16" s="30"/>
      <c r="CY16" s="30"/>
      <c r="CZ16" s="30"/>
      <c r="DA16" s="30"/>
    </row>
    <row r="17" spans="1:105" ht="19.2" thickTop="1" thickBot="1" x14ac:dyDescent="0.4">
      <c r="A17" s="30"/>
      <c r="B17" s="30"/>
      <c r="C17" s="358" t="s">
        <v>641</v>
      </c>
      <c r="D17" s="366" t="s">
        <v>642</v>
      </c>
      <c r="E17" s="35" t="str">
        <f>_xlfn.XLOOKUP(Tabella4[[#This Row],[NOME]],'ROSE SQUADRE'!$N$3:$N$253,'ROSE SQUADRE'!$O$3:$O$253,"")</f>
        <v>TRICCHETRACHT</v>
      </c>
      <c r="F17" s="36" t="s">
        <v>163</v>
      </c>
      <c r="G17" s="43">
        <v>19</v>
      </c>
      <c r="H17" s="43">
        <v>19</v>
      </c>
      <c r="I17" s="44">
        <f t="shared" si="0"/>
        <v>0</v>
      </c>
      <c r="J17" s="37">
        <f t="shared" si="1"/>
        <v>4</v>
      </c>
      <c r="K17" s="38">
        <f t="shared" si="2"/>
        <v>6.125</v>
      </c>
      <c r="L17" s="38">
        <f t="shared" si="3"/>
        <v>6.875</v>
      </c>
      <c r="M17" s="39">
        <f t="shared" si="4"/>
        <v>27.5</v>
      </c>
      <c r="N17" s="45">
        <f t="shared" ca="1" si="5"/>
        <v>0</v>
      </c>
      <c r="O17" s="40">
        <f>SUMIF(Tabella1[Nome],Tabella4[[#This Row],[NOME]],Tabella1[Gf])</f>
        <v>1</v>
      </c>
      <c r="P17" s="40">
        <f>-(SUMIF(Tabella1[Nome],Tabella4[[#This Row],[NOME]],Tabella1[Gs]))</f>
        <v>0</v>
      </c>
      <c r="Q17" s="40">
        <f>SUMIF(Tabella1[Nome],Tabella4[[#This Row],[NOME]],Tabella1[Rp])</f>
        <v>0</v>
      </c>
      <c r="R17" s="40">
        <f>SUMIF(Tabella1[Nome],Tabella4[[#This Row],[NOME]],Tabella1[Rs])</f>
        <v>0</v>
      </c>
      <c r="S17" s="40">
        <f>SUMIF(Tabella1[Nome],Tabella4[[#This Row],[NOME]],Tabella1[Rf])</f>
        <v>0</v>
      </c>
      <c r="T17" s="40">
        <f>SUMIF(Tabella1[Nome],Tabella4[[#This Row],[NOME]],Tabella1[Au])</f>
        <v>0</v>
      </c>
      <c r="U17" s="41">
        <f>SUMIF(Tabella1[Nome],Tabella4[[#This Row],[NOME]],Tabella1[Amm])</f>
        <v>0</v>
      </c>
      <c r="V17" s="42">
        <f>SUMIF(Tabella1[Nome],Tabella4[[#This Row],[NOME]],Tabella1[Esp])</f>
        <v>0</v>
      </c>
      <c r="W17" s="40">
        <f>SUMIF(Tabella1[Nome],Tabella4[[#This Row],[NOME]],Tabella1[Ass])</f>
        <v>0</v>
      </c>
      <c r="X17" s="40">
        <f>SUMIF(Tabella1[Nome],Tabella4[[#This Row],[NOME]],Tabella1[Gdv])</f>
        <v>0</v>
      </c>
      <c r="Y17" s="40">
        <f>SUMIF(Tabella1[Nome],Tabella4[[#This Row],[NOME]],Tabella1[cl sh])</f>
        <v>0</v>
      </c>
      <c r="Z17" s="270">
        <f>_xlfn.IFNA(_xlfn.XLOOKUP(CONCATENATE(Z$4,$C17),Tabella1[CONC X VOTI IN TAB GIOC],Tabella1[Voto],""),"")</f>
        <v>6</v>
      </c>
      <c r="AA17" s="270">
        <f>_xlfn.IFNA(_xlfn.XLOOKUP(CONCATENATE(AA$4,$C17),Tabella1[CONC X VOTI IN TAB GIOC],Tabella1[Voto],""),"")</f>
        <v>5.5</v>
      </c>
      <c r="AB17" s="270">
        <f>_xlfn.IFNA(_xlfn.XLOOKUP(CONCATENATE(AB$4,$C17),Tabella1[CONC X VOTI IN TAB GIOC],Tabella1[Voto]),"")</f>
        <v>6</v>
      </c>
      <c r="AC17" s="270" cm="1">
        <f t="array" ref="AC17">_xlfn.IFNA(_xlfn.XLOOKUP(CONCATENATE(AC$4,$C17),INDEX(Tabella1[],0,MATCH("CONC X VOTI IN TAB GIOC",Tabella1[#Headers],0)),INDEX(Tabella1[],0,MATCH("Voto",Tabella1[#Headers],0))),"")</f>
        <v>7</v>
      </c>
      <c r="AD17" s="270" t="str">
        <f>_xlfn.IFNA(_xlfn.XLOOKUP(CONCATENATE(AD$4,$C17),Tabella1[CONC X VOTI IN TAB GIOC],Tabella1[Voto]),"")</f>
        <v/>
      </c>
      <c r="AE17" s="270" t="str">
        <f>_xlfn.IFNA(VLOOKUP(CONCATENATE(AE$4,$C17),'INSER DATA'!$A:$F,6,0),"")</f>
        <v/>
      </c>
      <c r="AF17" s="270" t="str">
        <f>_xlfn.IFNA(VLOOKUP(CONCATENATE(AF$4,$C17),'INSER DATA'!$A:$F,6,0),"")</f>
        <v/>
      </c>
      <c r="AG17" s="270" t="str">
        <f>_xlfn.IFNA(VLOOKUP(CONCATENATE(AG$4,$C17),'INSER DATA'!$A:$F,6,0),"")</f>
        <v/>
      </c>
      <c r="AH17" s="270" t="str">
        <f>_xlfn.IFNA(VLOOKUP(CONCATENATE(AH$4,$C17),'INSER DATA'!$A:$F,7,0),"")</f>
        <v/>
      </c>
      <c r="AI17" s="270" t="str">
        <f>_xlfn.IFNA(VLOOKUP(CONCATENATE(AI$4,$C17),'INSER DATA'!$A:$F,7,0),"")</f>
        <v/>
      </c>
      <c r="AJ17" s="270" t="str">
        <f>_xlfn.IFNA(VLOOKUP(CONCATENATE(AJ$4,$C17),'INSER DATA'!$A:$F,7,0),"")</f>
        <v/>
      </c>
      <c r="AK17" s="270" t="str">
        <f>_xlfn.IFNA(VLOOKUP(CONCATENATE(AK$4,$C17),'INSER DATA'!$A:$F,7,0),"")</f>
        <v/>
      </c>
      <c r="AL17" s="270" t="str">
        <f>_xlfn.IFNA(VLOOKUP(CONCATENATE(AL$4,$C17),'INSER DATA'!$A:$F,7,0),"")</f>
        <v/>
      </c>
      <c r="AM17" s="270" t="str">
        <f>_xlfn.IFNA(VLOOKUP(CONCATENATE(AM$4,$C17),'INSER DATA'!$A:$F,7,0),"")</f>
        <v/>
      </c>
      <c r="AN17" s="270" t="str">
        <f>_xlfn.IFNA(VLOOKUP(CONCATENATE(AN$4,$C17),'INSER DATA'!$A:$F,7,0),"")</f>
        <v/>
      </c>
      <c r="AO17" s="270" t="str">
        <f>_xlfn.IFNA(VLOOKUP(CONCATENATE(AO$4,$C17),'INSER DATA'!$A:$F,7,0),"")</f>
        <v/>
      </c>
      <c r="AP17" s="270" t="str">
        <f>_xlfn.IFNA(VLOOKUP(CONCATENATE(AP$4,$C17),'INSER DATA'!$A:$F,7,0),"")</f>
        <v/>
      </c>
      <c r="AQ17" s="270" t="str">
        <f>_xlfn.IFNA(VLOOKUP(CONCATENATE(AQ$4,$C17),'INSER DATA'!$A:$F,7,0),"")</f>
        <v/>
      </c>
      <c r="AR17" s="270" t="str">
        <f>_xlfn.IFNA(VLOOKUP(CONCATENATE(AR$4,$C17),'INSER DATA'!$A:$F,7,0),"")</f>
        <v/>
      </c>
      <c r="AS17" s="270" t="str">
        <f>_xlfn.IFNA(VLOOKUP(CONCATENATE(AS$4,$C17),'INSER DATA'!$A:$F,7,0),"")</f>
        <v/>
      </c>
      <c r="AT17" s="270" t="str">
        <f>_xlfn.IFNA(VLOOKUP(CONCATENATE(AT$4,$C17),'INSER DATA'!$A:$F,7,0),"")</f>
        <v/>
      </c>
      <c r="AU17" s="270" t="str">
        <f>_xlfn.IFNA(VLOOKUP(CONCATENATE(AU$4,$C17),'INSER DATA'!$A:$F,7,0),"")</f>
        <v/>
      </c>
      <c r="AV17" s="270" t="str">
        <f>_xlfn.IFNA(VLOOKUP(CONCATENATE(AV$4,$C17),'INSER DATA'!$A:$F,7,0),"")</f>
        <v/>
      </c>
      <c r="AW17" s="270" t="str">
        <f>_xlfn.IFNA(VLOOKUP(CONCATENATE(AW$4,$C17),'INSER DATA'!$A:$F,7,0),"")</f>
        <v/>
      </c>
      <c r="AX17" s="270" t="str">
        <f>_xlfn.IFNA(VLOOKUP(CONCATENATE(AX$4,$C17),'INSER DATA'!$A:$F,7,0),"")</f>
        <v/>
      </c>
      <c r="AY17" s="270" t="str">
        <f>_xlfn.IFNA(VLOOKUP(CONCATENATE(AY$4,$C17),'INSER DATA'!$A:$F,7,0),"")</f>
        <v/>
      </c>
      <c r="AZ17" s="270" t="str">
        <f>_xlfn.IFNA(VLOOKUP(CONCATENATE(AZ$4,$C17),'INSER DATA'!$A:$F,7,0),"")</f>
        <v/>
      </c>
      <c r="BA17" s="270" t="str">
        <f>_xlfn.IFNA(VLOOKUP(CONCATENATE(BA$4,$C17),'INSER DATA'!$A:$F,7,0),"")</f>
        <v/>
      </c>
      <c r="BB17" s="270" t="str">
        <f>_xlfn.IFNA(VLOOKUP(CONCATENATE(BB$4,$C17),'INSER DATA'!$A:$F,7,0),"")</f>
        <v/>
      </c>
      <c r="BC17" s="270" t="str">
        <f>_xlfn.IFNA(VLOOKUP(CONCATENATE(BC$4,$C17),'INSER DATA'!$A:$F,7,0),"")</f>
        <v/>
      </c>
      <c r="BD17" s="270" t="str">
        <f>_xlfn.IFNA(VLOOKUP(CONCATENATE(BD$4,$C17),'INSER DATA'!$A:$F,7,0),"")</f>
        <v/>
      </c>
      <c r="BE17" s="270" t="str">
        <f>_xlfn.IFNA(VLOOKUP(CONCATENATE(BE$4,$C17),'INSER DATA'!$A:$F,7,0),"")</f>
        <v/>
      </c>
      <c r="BF17" s="270" t="str">
        <f>_xlfn.IFNA(VLOOKUP(CONCATENATE(BF$4,$C17),'INSER DATA'!$A:$F,7,0),"")</f>
        <v/>
      </c>
      <c r="BG17" s="270" t="str">
        <f>_xlfn.IFNA(VLOOKUP(CONCATENATE(BG$4,$C17),'INSER DATA'!$A:$F,7,0),"")</f>
        <v/>
      </c>
      <c r="BH17" s="270" t="str">
        <f>_xlfn.IFNA(VLOOKUP(CONCATENATE(BH$4,$C17),'INSER DATA'!$A:$F,7,0),"")</f>
        <v/>
      </c>
      <c r="BI17" s="270" t="str">
        <f>_xlfn.IFNA(VLOOKUP(CONCATENATE(BI$4,$C17),'INSER DATA'!$A:$F,7,0),"")</f>
        <v/>
      </c>
      <c r="BJ17" s="270" t="str">
        <f>_xlfn.IFNA(VLOOKUP(CONCATENATE(BJ$4,$C17),'INSER DATA'!$A:$F,7,0),"")</f>
        <v/>
      </c>
      <c r="BK17" s="270" t="str">
        <f>_xlfn.IFNA(VLOOKUP(CONCATENATE(BK$4,$C17),'INSER DATA'!$A:$F,7,0),"")</f>
        <v/>
      </c>
      <c r="BL17" s="272"/>
      <c r="BM17" s="30"/>
      <c r="BN17" s="30"/>
      <c r="BO17" s="30"/>
      <c r="BP17" s="30"/>
      <c r="BQ17" s="30"/>
      <c r="BR17" s="30"/>
      <c r="BS17" s="30"/>
      <c r="BT17" s="30"/>
      <c r="BU17" s="30"/>
      <c r="BV17" s="30"/>
      <c r="BW17" s="30"/>
      <c r="BX17" s="30"/>
      <c r="BY17" s="30"/>
      <c r="BZ17" s="30"/>
      <c r="CA17" s="30"/>
      <c r="CB17" s="30"/>
      <c r="CC17" s="30"/>
      <c r="CD17" s="30"/>
      <c r="CE17" s="30"/>
      <c r="CF17" s="30"/>
      <c r="CG17" s="30"/>
      <c r="CH17" s="30"/>
      <c r="CI17" s="30"/>
      <c r="CJ17" s="30"/>
      <c r="CK17" s="30"/>
      <c r="CL17" s="30"/>
      <c r="CM17" s="30"/>
      <c r="CN17" s="30"/>
      <c r="CO17" s="30"/>
      <c r="CP17" s="30"/>
      <c r="CQ17" s="30"/>
      <c r="CR17" s="30"/>
      <c r="CS17" s="30"/>
      <c r="CT17" s="30"/>
      <c r="CU17" s="30"/>
      <c r="CV17" s="30"/>
      <c r="CW17" s="30"/>
      <c r="CX17" s="30"/>
      <c r="CY17" s="30"/>
      <c r="CZ17" s="30"/>
      <c r="DA17" s="30"/>
    </row>
    <row r="18" spans="1:105" ht="19.2" thickTop="1" thickBot="1" x14ac:dyDescent="0.4">
      <c r="A18" s="30"/>
      <c r="B18" s="30"/>
      <c r="C18" s="362" t="s">
        <v>638</v>
      </c>
      <c r="D18" s="365" t="s">
        <v>642</v>
      </c>
      <c r="E18" s="35" t="str">
        <f>_xlfn.XLOOKUP(Tabella4[[#This Row],[NOME]],'ROSE SQUADRE'!$N$3:$N$253,'ROSE SQUADRE'!$O$3:$O$253,"")</f>
        <v>PARTIZAN DEGRADO</v>
      </c>
      <c r="F18" s="36" t="s">
        <v>161</v>
      </c>
      <c r="G18" s="43">
        <v>6</v>
      </c>
      <c r="H18" s="43">
        <v>6</v>
      </c>
      <c r="I18" s="44">
        <f t="shared" si="0"/>
        <v>0</v>
      </c>
      <c r="J18" s="37">
        <f t="shared" si="1"/>
        <v>2</v>
      </c>
      <c r="K18" s="178">
        <f t="shared" si="2"/>
        <v>5.75</v>
      </c>
      <c r="L18" s="178">
        <f t="shared" si="3"/>
        <v>5.75</v>
      </c>
      <c r="M18" s="179">
        <f t="shared" si="4"/>
        <v>11.5</v>
      </c>
      <c r="N18" s="45">
        <f t="shared" ca="1" si="5"/>
        <v>0</v>
      </c>
      <c r="O18" s="40">
        <f>SUMIF(Tabella1[Nome],Tabella4[[#This Row],[NOME]],Tabella1[Gf])</f>
        <v>0</v>
      </c>
      <c r="P18" s="40">
        <f>-(SUMIF(Tabella1[Nome],Tabella4[[#This Row],[NOME]],Tabella1[Gs]))</f>
        <v>0</v>
      </c>
      <c r="Q18" s="40">
        <f>SUMIF(Tabella1[Nome],Tabella4[[#This Row],[NOME]],Tabella1[Rp])</f>
        <v>0</v>
      </c>
      <c r="R18" s="40">
        <f>SUMIF(Tabella1[Nome],Tabella4[[#This Row],[NOME]],Tabella1[Rs])</f>
        <v>0</v>
      </c>
      <c r="S18" s="40">
        <f>SUMIF(Tabella1[Nome],Tabella4[[#This Row],[NOME]],Tabella1[Rf])</f>
        <v>0</v>
      </c>
      <c r="T18" s="40">
        <f>SUMIF(Tabella1[Nome],Tabella4[[#This Row],[NOME]],Tabella1[Au])</f>
        <v>0</v>
      </c>
      <c r="U18" s="41">
        <f>SUMIF(Tabella1[Nome],Tabella4[[#This Row],[NOME]],Tabella1[Amm])</f>
        <v>0</v>
      </c>
      <c r="V18" s="42">
        <f>SUMIF(Tabella1[Nome],Tabella4[[#This Row],[NOME]],Tabella1[Esp])</f>
        <v>0</v>
      </c>
      <c r="W18" s="40">
        <f>SUMIF(Tabella1[Nome],Tabella4[[#This Row],[NOME]],Tabella1[Ass])</f>
        <v>0</v>
      </c>
      <c r="X18" s="40">
        <f>SUMIF(Tabella1[Nome],Tabella4[[#This Row],[NOME]],Tabella1[Gdv])</f>
        <v>0</v>
      </c>
      <c r="Y18" s="40">
        <f>SUMIF(Tabella1[Nome],Tabella4[[#This Row],[NOME]],Tabella1[cl sh])</f>
        <v>0</v>
      </c>
      <c r="Z18" s="270">
        <f>_xlfn.IFNA(_xlfn.XLOOKUP(CONCATENATE(Z$4,$C18),Tabella1[CONC X VOTI IN TAB GIOC],Tabella1[Voto],""),"")</f>
        <v>5.5</v>
      </c>
      <c r="AA18" s="270" t="str">
        <f>_xlfn.IFNA(_xlfn.XLOOKUP(CONCATENATE(AA$4,$C18),Tabella1[CONC X VOTI IN TAB GIOC],Tabella1[Voto],""),"")</f>
        <v/>
      </c>
      <c r="AB18" s="270" t="str">
        <f>_xlfn.IFNA(_xlfn.XLOOKUP(CONCATENATE(AB$4,$C18),Tabella1[CONC X VOTI IN TAB GIOC],Tabella1[Voto]),"")</f>
        <v/>
      </c>
      <c r="AC18" s="270" cm="1">
        <f t="array" ref="AC18">_xlfn.IFNA(_xlfn.XLOOKUP(CONCATENATE(AC$4,$C18),INDEX(Tabella1[],0,MATCH("CONC X VOTI IN TAB GIOC",Tabella1[#Headers],0)),INDEX(Tabella1[],0,MATCH("Voto",Tabella1[#Headers],0))),"")</f>
        <v>6</v>
      </c>
      <c r="AD18" s="270" t="str">
        <f>_xlfn.IFNA(_xlfn.XLOOKUP(CONCATENATE(AD$4,$C18),Tabella1[CONC X VOTI IN TAB GIOC],Tabella1[Voto]),"")</f>
        <v/>
      </c>
      <c r="AE18" s="270" t="str">
        <f>_xlfn.IFNA(VLOOKUP(CONCATENATE(AE$4,$C18),'INSER DATA'!$A:$F,6,0),"")</f>
        <v/>
      </c>
      <c r="AF18" s="270" t="str">
        <f>_xlfn.IFNA(VLOOKUP(CONCATENATE(AF$4,$C18),'INSER DATA'!$A:$F,6,0),"")</f>
        <v/>
      </c>
      <c r="AG18" s="270" t="str">
        <f>_xlfn.IFNA(VLOOKUP(CONCATENATE(AG$4,$C18),'INSER DATA'!$A:$F,6,0),"")</f>
        <v/>
      </c>
      <c r="AH18" s="270" t="str">
        <f>_xlfn.IFNA(VLOOKUP(CONCATENATE(AH$4,$C18),'INSER DATA'!$A:$F,7,0),"")</f>
        <v/>
      </c>
      <c r="AI18" s="270" t="str">
        <f>_xlfn.IFNA(VLOOKUP(CONCATENATE(AI$4,$C18),'INSER DATA'!$A:$F,7,0),"")</f>
        <v/>
      </c>
      <c r="AJ18" s="270" t="str">
        <f>_xlfn.IFNA(VLOOKUP(CONCATENATE(AJ$4,$C18),'INSER DATA'!$A:$F,7,0),"")</f>
        <v/>
      </c>
      <c r="AK18" s="270" t="str">
        <f>_xlfn.IFNA(VLOOKUP(CONCATENATE(AK$4,$C18),'INSER DATA'!$A:$F,7,0),"")</f>
        <v/>
      </c>
      <c r="AL18" s="270" t="str">
        <f>_xlfn.IFNA(VLOOKUP(CONCATENATE(AL$4,$C18),'INSER DATA'!$A:$F,7,0),"")</f>
        <v/>
      </c>
      <c r="AM18" s="270" t="str">
        <f>_xlfn.IFNA(VLOOKUP(CONCATENATE(AM$4,$C18),'INSER DATA'!$A:$F,7,0),"")</f>
        <v/>
      </c>
      <c r="AN18" s="270" t="str">
        <f>_xlfn.IFNA(VLOOKUP(CONCATENATE(AN$4,$C18),'INSER DATA'!$A:$F,7,0),"")</f>
        <v/>
      </c>
      <c r="AO18" s="270" t="str">
        <f>_xlfn.IFNA(VLOOKUP(CONCATENATE(AO$4,$C18),'INSER DATA'!$A:$F,7,0),"")</f>
        <v/>
      </c>
      <c r="AP18" s="270" t="str">
        <f>_xlfn.IFNA(VLOOKUP(CONCATENATE(AP$4,$C18),'INSER DATA'!$A:$F,7,0),"")</f>
        <v/>
      </c>
      <c r="AQ18" s="270" t="str">
        <f>_xlfn.IFNA(VLOOKUP(CONCATENATE(AQ$4,$C18),'INSER DATA'!$A:$F,7,0),"")</f>
        <v/>
      </c>
      <c r="AR18" s="270" t="str">
        <f>_xlfn.IFNA(VLOOKUP(CONCATENATE(AR$4,$C18),'INSER DATA'!$A:$F,7,0),"")</f>
        <v/>
      </c>
      <c r="AS18" s="270" t="str">
        <f>_xlfn.IFNA(VLOOKUP(CONCATENATE(AS$4,$C18),'INSER DATA'!$A:$F,7,0),"")</f>
        <v/>
      </c>
      <c r="AT18" s="270" t="str">
        <f>_xlfn.IFNA(VLOOKUP(CONCATENATE(AT$4,$C18),'INSER DATA'!$A:$F,7,0),"")</f>
        <v/>
      </c>
      <c r="AU18" s="270" t="str">
        <f>_xlfn.IFNA(VLOOKUP(CONCATENATE(AU$4,$C18),'INSER DATA'!$A:$F,7,0),"")</f>
        <v/>
      </c>
      <c r="AV18" s="270" t="str">
        <f>_xlfn.IFNA(VLOOKUP(CONCATENATE(AV$4,$C18),'INSER DATA'!$A:$F,7,0),"")</f>
        <v/>
      </c>
      <c r="AW18" s="270" t="str">
        <f>_xlfn.IFNA(VLOOKUP(CONCATENATE(AW$4,$C18),'INSER DATA'!$A:$F,7,0),"")</f>
        <v/>
      </c>
      <c r="AX18" s="270" t="str">
        <f>_xlfn.IFNA(VLOOKUP(CONCATENATE(AX$4,$C18),'INSER DATA'!$A:$F,7,0),"")</f>
        <v/>
      </c>
      <c r="AY18" s="270" t="str">
        <f>_xlfn.IFNA(VLOOKUP(CONCATENATE(AY$4,$C18),'INSER DATA'!$A:$F,7,0),"")</f>
        <v/>
      </c>
      <c r="AZ18" s="270" t="str">
        <f>_xlfn.IFNA(VLOOKUP(CONCATENATE(AZ$4,$C18),'INSER DATA'!$A:$F,7,0),"")</f>
        <v/>
      </c>
      <c r="BA18" s="270" t="str">
        <f>_xlfn.IFNA(VLOOKUP(CONCATENATE(BA$4,$C18),'INSER DATA'!$A:$F,7,0),"")</f>
        <v/>
      </c>
      <c r="BB18" s="270" t="str">
        <f>_xlfn.IFNA(VLOOKUP(CONCATENATE(BB$4,$C18),'INSER DATA'!$A:$F,7,0),"")</f>
        <v/>
      </c>
      <c r="BC18" s="270" t="str">
        <f>_xlfn.IFNA(VLOOKUP(CONCATENATE(BC$4,$C18),'INSER DATA'!$A:$F,7,0),"")</f>
        <v/>
      </c>
      <c r="BD18" s="270" t="str">
        <f>_xlfn.IFNA(VLOOKUP(CONCATENATE(BD$4,$C18),'INSER DATA'!$A:$F,7,0),"")</f>
        <v/>
      </c>
      <c r="BE18" s="270" t="str">
        <f>_xlfn.IFNA(VLOOKUP(CONCATENATE(BE$4,$C18),'INSER DATA'!$A:$F,7,0),"")</f>
        <v/>
      </c>
      <c r="BF18" s="270" t="str">
        <f>_xlfn.IFNA(VLOOKUP(CONCATENATE(BF$4,$C18),'INSER DATA'!$A:$F,7,0),"")</f>
        <v/>
      </c>
      <c r="BG18" s="270" t="str">
        <f>_xlfn.IFNA(VLOOKUP(CONCATENATE(BG$4,$C18),'INSER DATA'!$A:$F,7,0),"")</f>
        <v/>
      </c>
      <c r="BH18" s="270" t="str">
        <f>_xlfn.IFNA(VLOOKUP(CONCATENATE(BH$4,$C18),'INSER DATA'!$A:$F,7,0),"")</f>
        <v/>
      </c>
      <c r="BI18" s="270" t="str">
        <f>_xlfn.IFNA(VLOOKUP(CONCATENATE(BI$4,$C18),'INSER DATA'!$A:$F,7,0),"")</f>
        <v/>
      </c>
      <c r="BJ18" s="270" t="str">
        <f>_xlfn.IFNA(VLOOKUP(CONCATENATE(BJ$4,$C18),'INSER DATA'!$A:$F,7,0),"")</f>
        <v/>
      </c>
      <c r="BK18" s="270" t="str">
        <f>_xlfn.IFNA(VLOOKUP(CONCATENATE(BK$4,$C18),'INSER DATA'!$A:$F,7,0),"")</f>
        <v/>
      </c>
      <c r="BL18" s="272"/>
      <c r="BM18" s="30"/>
      <c r="BN18" s="30"/>
      <c r="BO18" s="30"/>
      <c r="BP18" s="30"/>
      <c r="BQ18" s="30"/>
      <c r="BR18" s="30"/>
      <c r="BS18" s="30"/>
      <c r="BT18" s="30"/>
      <c r="BU18" s="30"/>
      <c r="BV18" s="30"/>
      <c r="BW18" s="30"/>
      <c r="BX18" s="30"/>
      <c r="BY18" s="30"/>
      <c r="BZ18" s="30"/>
      <c r="CA18" s="30"/>
      <c r="CB18" s="30"/>
      <c r="CC18" s="30"/>
      <c r="CD18" s="30"/>
      <c r="CE18" s="30"/>
      <c r="CF18" s="30"/>
      <c r="CG18" s="30"/>
      <c r="CH18" s="30"/>
      <c r="CI18" s="30"/>
      <c r="CJ18" s="30"/>
      <c r="CK18" s="30"/>
      <c r="CL18" s="30"/>
      <c r="CM18" s="30"/>
      <c r="CN18" s="30"/>
      <c r="CO18" s="30"/>
      <c r="CP18" s="30"/>
      <c r="CQ18" s="30"/>
      <c r="CR18" s="30"/>
      <c r="CS18" s="30"/>
      <c r="CT18" s="30"/>
      <c r="CU18" s="30"/>
      <c r="CV18" s="30"/>
      <c r="CW18" s="30"/>
      <c r="CX18" s="30"/>
      <c r="CY18" s="30"/>
      <c r="CZ18" s="30"/>
      <c r="DA18" s="30"/>
    </row>
    <row r="19" spans="1:105" ht="19.2" thickTop="1" thickBot="1" x14ac:dyDescent="0.4">
      <c r="A19" s="30"/>
      <c r="B19" s="30"/>
      <c r="C19" s="363" t="s">
        <v>271</v>
      </c>
      <c r="D19" s="365" t="s">
        <v>642</v>
      </c>
      <c r="E19" s="35" t="str">
        <f>_xlfn.XLOOKUP(Tabella4[[#This Row],[NOME]],'ROSE SQUADRE'!$N$3:$N$253,'ROSE SQUADRE'!$O$3:$O$253,"")</f>
        <v>ATL. IMPROVVISATO</v>
      </c>
      <c r="F19" s="36" t="s">
        <v>162</v>
      </c>
      <c r="G19" s="43">
        <v>9</v>
      </c>
      <c r="H19" s="43">
        <v>9</v>
      </c>
      <c r="I19" s="44">
        <f t="shared" si="0"/>
        <v>0</v>
      </c>
      <c r="J19" s="37">
        <f t="shared" si="1"/>
        <v>3</v>
      </c>
      <c r="K19" s="38">
        <f t="shared" si="2"/>
        <v>5.5</v>
      </c>
      <c r="L19" s="38">
        <f t="shared" si="3"/>
        <v>5.5</v>
      </c>
      <c r="M19" s="39">
        <f t="shared" si="4"/>
        <v>16.5</v>
      </c>
      <c r="N19" s="45">
        <f t="shared" ca="1" si="5"/>
        <v>0</v>
      </c>
      <c r="O19" s="40">
        <f>SUMIF(Tabella1[Nome],Tabella4[[#This Row],[NOME]],Tabella1[Gf])</f>
        <v>0</v>
      </c>
      <c r="P19" s="40">
        <f>-(SUMIF(Tabella1[Nome],Tabella4[[#This Row],[NOME]],Tabella1[Gs]))</f>
        <v>0</v>
      </c>
      <c r="Q19" s="40">
        <f>SUMIF(Tabella1[Nome],Tabella4[[#This Row],[NOME]],Tabella1[Rp])</f>
        <v>0</v>
      </c>
      <c r="R19" s="40">
        <f>SUMIF(Tabella1[Nome],Tabella4[[#This Row],[NOME]],Tabella1[Rs])</f>
        <v>0</v>
      </c>
      <c r="S19" s="40">
        <f>SUMIF(Tabella1[Nome],Tabella4[[#This Row],[NOME]],Tabella1[Rf])</f>
        <v>0</v>
      </c>
      <c r="T19" s="40">
        <f>SUMIF(Tabella1[Nome],Tabella4[[#This Row],[NOME]],Tabella1[Au])</f>
        <v>0</v>
      </c>
      <c r="U19" s="41">
        <f>SUMIF(Tabella1[Nome],Tabella4[[#This Row],[NOME]],Tabella1[Amm])</f>
        <v>0</v>
      </c>
      <c r="V19" s="42">
        <f>SUMIF(Tabella1[Nome],Tabella4[[#This Row],[NOME]],Tabella1[Esp])</f>
        <v>0</v>
      </c>
      <c r="W19" s="40">
        <f>SUMIF(Tabella1[Nome],Tabella4[[#This Row],[NOME]],Tabella1[Ass])</f>
        <v>0</v>
      </c>
      <c r="X19" s="40">
        <f>SUMIF(Tabella1[Nome],Tabella4[[#This Row],[NOME]],Tabella1[Gdv])</f>
        <v>0</v>
      </c>
      <c r="Y19" s="40">
        <f>SUMIF(Tabella1[Nome],Tabella4[[#This Row],[NOME]],Tabella1[cl sh])</f>
        <v>0</v>
      </c>
      <c r="Z19" s="270">
        <f>_xlfn.IFNA(_xlfn.XLOOKUP(CONCATENATE(Z$4,$C19),Tabella1[CONC X VOTI IN TAB GIOC],Tabella1[Voto],""),"")</f>
        <v>5.5</v>
      </c>
      <c r="AA19" s="270">
        <f>_xlfn.IFNA(_xlfn.XLOOKUP(CONCATENATE(AA$4,$C19),Tabella1[CONC X VOTI IN TAB GIOC],Tabella1[Voto],""),"")</f>
        <v>5.5</v>
      </c>
      <c r="AB19" s="270">
        <f>_xlfn.IFNA(_xlfn.XLOOKUP(CONCATENATE(AB$4,$C19),Tabella1[CONC X VOTI IN TAB GIOC],Tabella1[Voto]),"")</f>
        <v>5.5</v>
      </c>
      <c r="AC19" s="270" t="str" cm="1">
        <f t="array" ref="AC19">_xlfn.IFNA(_xlfn.XLOOKUP(CONCATENATE(AC$4,$C19),INDEX(Tabella1[],0,MATCH("CONC X VOTI IN TAB GIOC",Tabella1[#Headers],0)),INDEX(Tabella1[],0,MATCH("Voto",Tabella1[#Headers],0))),"")</f>
        <v/>
      </c>
      <c r="AD19" s="270" t="str">
        <f>_xlfn.IFNA(_xlfn.XLOOKUP(CONCATENATE(AD$4,$C19),Tabella1[CONC X VOTI IN TAB GIOC],Tabella1[Voto]),"")</f>
        <v/>
      </c>
      <c r="AE19" s="270" t="str">
        <f>_xlfn.IFNA(VLOOKUP(CONCATENATE(AE$4,$C19),'INSER DATA'!$A:$F,6,0),"")</f>
        <v/>
      </c>
      <c r="AF19" s="270" t="str">
        <f>_xlfn.IFNA(VLOOKUP(CONCATENATE(AF$4,$C19),'INSER DATA'!$A:$F,6,0),"")</f>
        <v/>
      </c>
      <c r="AG19" s="270" t="str">
        <f>_xlfn.IFNA(VLOOKUP(CONCATENATE(AG$4,$C19),'INSER DATA'!$A:$F,6,0),"")</f>
        <v/>
      </c>
      <c r="AH19" s="270" t="str">
        <f>_xlfn.IFNA(VLOOKUP(CONCATENATE(AH$4,$C19),'INSER DATA'!$A:$F,7,0),"")</f>
        <v/>
      </c>
      <c r="AI19" s="270" t="str">
        <f>_xlfn.IFNA(VLOOKUP(CONCATENATE(AI$4,$C19),'INSER DATA'!$A:$F,7,0),"")</f>
        <v/>
      </c>
      <c r="AJ19" s="270" t="str">
        <f>_xlfn.IFNA(VLOOKUP(CONCATENATE(AJ$4,$C19),'INSER DATA'!$A:$F,7,0),"")</f>
        <v/>
      </c>
      <c r="AK19" s="270" t="str">
        <f>_xlfn.IFNA(VLOOKUP(CONCATENATE(AK$4,$C19),'INSER DATA'!$A:$F,7,0),"")</f>
        <v/>
      </c>
      <c r="AL19" s="270" t="str">
        <f>_xlfn.IFNA(VLOOKUP(CONCATENATE(AL$4,$C19),'INSER DATA'!$A:$F,7,0),"")</f>
        <v/>
      </c>
      <c r="AM19" s="270" t="str">
        <f>_xlfn.IFNA(VLOOKUP(CONCATENATE(AM$4,$C19),'INSER DATA'!$A:$F,7,0),"")</f>
        <v/>
      </c>
      <c r="AN19" s="270" t="str">
        <f>_xlfn.IFNA(VLOOKUP(CONCATENATE(AN$4,$C19),'INSER DATA'!$A:$F,7,0),"")</f>
        <v/>
      </c>
      <c r="AO19" s="270" t="str">
        <f>_xlfn.IFNA(VLOOKUP(CONCATENATE(AO$4,$C19),'INSER DATA'!$A:$F,7,0),"")</f>
        <v/>
      </c>
      <c r="AP19" s="270" t="str">
        <f>_xlfn.IFNA(VLOOKUP(CONCATENATE(AP$4,$C19),'INSER DATA'!$A:$F,7,0),"")</f>
        <v/>
      </c>
      <c r="AQ19" s="270" t="str">
        <f>_xlfn.IFNA(VLOOKUP(CONCATENATE(AQ$4,$C19),'INSER DATA'!$A:$F,7,0),"")</f>
        <v/>
      </c>
      <c r="AR19" s="270" t="str">
        <f>_xlfn.IFNA(VLOOKUP(CONCATENATE(AR$4,$C19),'INSER DATA'!$A:$F,7,0),"")</f>
        <v/>
      </c>
      <c r="AS19" s="270" t="str">
        <f>_xlfn.IFNA(VLOOKUP(CONCATENATE(AS$4,$C19),'INSER DATA'!$A:$F,7,0),"")</f>
        <v/>
      </c>
      <c r="AT19" s="270" t="str">
        <f>_xlfn.IFNA(VLOOKUP(CONCATENATE(AT$4,$C19),'INSER DATA'!$A:$F,7,0),"")</f>
        <v/>
      </c>
      <c r="AU19" s="270" t="str">
        <f>_xlfn.IFNA(VLOOKUP(CONCATENATE(AU$4,$C19),'INSER DATA'!$A:$F,7,0),"")</f>
        <v/>
      </c>
      <c r="AV19" s="270" t="str">
        <f>_xlfn.IFNA(VLOOKUP(CONCATENATE(AV$4,$C19),'INSER DATA'!$A:$F,7,0),"")</f>
        <v/>
      </c>
      <c r="AW19" s="270" t="str">
        <f>_xlfn.IFNA(VLOOKUP(CONCATENATE(AW$4,$C19),'INSER DATA'!$A:$F,7,0),"")</f>
        <v/>
      </c>
      <c r="AX19" s="270" t="str">
        <f>_xlfn.IFNA(VLOOKUP(CONCATENATE(AX$4,$C19),'INSER DATA'!$A:$F,7,0),"")</f>
        <v/>
      </c>
      <c r="AY19" s="270" t="str">
        <f>_xlfn.IFNA(VLOOKUP(CONCATENATE(AY$4,$C19),'INSER DATA'!$A:$F,7,0),"")</f>
        <v/>
      </c>
      <c r="AZ19" s="270" t="str">
        <f>_xlfn.IFNA(VLOOKUP(CONCATENATE(AZ$4,$C19),'INSER DATA'!$A:$F,7,0),"")</f>
        <v/>
      </c>
      <c r="BA19" s="270" t="str">
        <f>_xlfn.IFNA(VLOOKUP(CONCATENATE(BA$4,$C19),'INSER DATA'!$A:$F,7,0),"")</f>
        <v/>
      </c>
      <c r="BB19" s="270" t="str">
        <f>_xlfn.IFNA(VLOOKUP(CONCATENATE(BB$4,$C19),'INSER DATA'!$A:$F,7,0),"")</f>
        <v/>
      </c>
      <c r="BC19" s="270" t="str">
        <f>_xlfn.IFNA(VLOOKUP(CONCATENATE(BC$4,$C19),'INSER DATA'!$A:$F,7,0),"")</f>
        <v/>
      </c>
      <c r="BD19" s="270" t="str">
        <f>_xlfn.IFNA(VLOOKUP(CONCATENATE(BD$4,$C19),'INSER DATA'!$A:$F,7,0),"")</f>
        <v/>
      </c>
      <c r="BE19" s="270" t="str">
        <f>_xlfn.IFNA(VLOOKUP(CONCATENATE(BE$4,$C19),'INSER DATA'!$A:$F,7,0),"")</f>
        <v/>
      </c>
      <c r="BF19" s="270" t="str">
        <f>_xlfn.IFNA(VLOOKUP(CONCATENATE(BF$4,$C19),'INSER DATA'!$A:$F,7,0),"")</f>
        <v/>
      </c>
      <c r="BG19" s="270" t="str">
        <f>_xlfn.IFNA(VLOOKUP(CONCATENATE(BG$4,$C19),'INSER DATA'!$A:$F,7,0),"")</f>
        <v/>
      </c>
      <c r="BH19" s="270" t="str">
        <f>_xlfn.IFNA(VLOOKUP(CONCATENATE(BH$4,$C19),'INSER DATA'!$A:$F,7,0),"")</f>
        <v/>
      </c>
      <c r="BI19" s="270" t="str">
        <f>_xlfn.IFNA(VLOOKUP(CONCATENATE(BI$4,$C19),'INSER DATA'!$A:$F,7,0),"")</f>
        <v/>
      </c>
      <c r="BJ19" s="270" t="str">
        <f>_xlfn.IFNA(VLOOKUP(CONCATENATE(BJ$4,$C19),'INSER DATA'!$A:$F,7,0),"")</f>
        <v/>
      </c>
      <c r="BK19" s="270" t="str">
        <f>_xlfn.IFNA(VLOOKUP(CONCATENATE(BK$4,$C19),'INSER DATA'!$A:$F,7,0),"")</f>
        <v/>
      </c>
      <c r="BL19" s="272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30"/>
      <c r="CZ19" s="30"/>
      <c r="DA19" s="30"/>
    </row>
    <row r="20" spans="1:105" ht="19.2" thickTop="1" thickBot="1" x14ac:dyDescent="0.4">
      <c r="A20" s="30"/>
      <c r="B20" s="30"/>
      <c r="C20" s="188" t="s">
        <v>1013</v>
      </c>
      <c r="D20" s="187" t="s">
        <v>642</v>
      </c>
      <c r="E20" s="35" t="str">
        <f>_xlfn.XLOOKUP(Tabella4[[#This Row],[NOME]],'ROSE SQUADRE'!$N$3:$N$253,'ROSE SQUADRE'!$O$3:$O$253,"")</f>
        <v>FC INTERNAZIOANALE</v>
      </c>
      <c r="F20" s="36"/>
      <c r="G20" s="43"/>
      <c r="H20" s="43"/>
      <c r="I20" s="44">
        <f t="shared" si="0"/>
        <v>0</v>
      </c>
      <c r="J20" s="37">
        <f t="shared" si="1"/>
        <v>2</v>
      </c>
      <c r="K20" s="38">
        <f t="shared" si="2"/>
        <v>5.5</v>
      </c>
      <c r="L20" s="38">
        <f t="shared" si="3"/>
        <v>5.5</v>
      </c>
      <c r="M20" s="39">
        <f t="shared" si="4"/>
        <v>11</v>
      </c>
      <c r="N20" s="45">
        <f t="shared" ca="1" si="5"/>
        <v>0</v>
      </c>
      <c r="O20" s="40">
        <f>SUMIF(Tabella1[Nome],Tabella4[[#This Row],[NOME]],Tabella1[Gf])</f>
        <v>0</v>
      </c>
      <c r="P20" s="40">
        <f>-(SUMIF(Tabella1[Nome],Tabella4[[#This Row],[NOME]],Tabella1[Gs]))</f>
        <v>0</v>
      </c>
      <c r="Q20" s="40">
        <f>SUMIF(Tabella1[Nome],Tabella4[[#This Row],[NOME]],Tabella1[Rp])</f>
        <v>0</v>
      </c>
      <c r="R20" s="40">
        <f>SUMIF(Tabella1[Nome],Tabella4[[#This Row],[NOME]],Tabella1[Rs])</f>
        <v>0</v>
      </c>
      <c r="S20" s="40">
        <f>SUMIF(Tabella1[Nome],Tabella4[[#This Row],[NOME]],Tabella1[Rf])</f>
        <v>0</v>
      </c>
      <c r="T20" s="40">
        <f>SUMIF(Tabella1[Nome],Tabella4[[#This Row],[NOME]],Tabella1[Au])</f>
        <v>0</v>
      </c>
      <c r="U20" s="41">
        <f>SUMIF(Tabella1[Nome],Tabella4[[#This Row],[NOME]],Tabella1[Amm])</f>
        <v>0</v>
      </c>
      <c r="V20" s="42">
        <f>SUMIF(Tabella1[Nome],Tabella4[[#This Row],[NOME]],Tabella1[Esp])</f>
        <v>0</v>
      </c>
      <c r="W20" s="40">
        <f>SUMIF(Tabella1[Nome],Tabella4[[#This Row],[NOME]],Tabella1[Ass])</f>
        <v>0</v>
      </c>
      <c r="X20" s="40">
        <f>SUMIF(Tabella1[Nome],Tabella4[[#This Row],[NOME]],Tabella1[Gdv])</f>
        <v>0</v>
      </c>
      <c r="Y20" s="40">
        <f>SUMIF(Tabella1[Nome],Tabella4[[#This Row],[NOME]],Tabella1[cl sh])</f>
        <v>0</v>
      </c>
      <c r="Z20" s="270" t="str">
        <f>_xlfn.IFNA(_xlfn.XLOOKUP(CONCATENATE(Z$4,$C20),Tabella1[CONC X VOTI IN TAB GIOC],Tabella1[Voto],""),"")</f>
        <v/>
      </c>
      <c r="AA20" s="270">
        <f>_xlfn.IFNA(_xlfn.XLOOKUP(CONCATENATE(AA$4,$C20),Tabella1[CONC X VOTI IN TAB GIOC],Tabella1[Voto],""),"")</f>
        <v>5.5</v>
      </c>
      <c r="AB20" s="270">
        <f>_xlfn.IFNA(_xlfn.XLOOKUP(CONCATENATE(AB$4,$C20),Tabella1[CONC X VOTI IN TAB GIOC],Tabella1[Voto]),"")</f>
        <v>5.5</v>
      </c>
      <c r="AC20" s="270" t="str" cm="1">
        <f t="array" ref="AC20">_xlfn.IFNA(_xlfn.XLOOKUP(CONCATENATE(AC$4,$C20),INDEX(Tabella1[],0,MATCH("CONC X VOTI IN TAB GIOC",Tabella1[#Headers],0)),INDEX(Tabella1[],0,MATCH("Voto",Tabella1[#Headers],0))),"")</f>
        <v/>
      </c>
      <c r="AD20" s="270" t="str">
        <f>_xlfn.IFNA(_xlfn.XLOOKUP(CONCATENATE(AD$4,$C20),Tabella1[CONC X VOTI IN TAB GIOC],Tabella1[Voto]),"")</f>
        <v/>
      </c>
      <c r="AE20" s="270" t="str">
        <f>_xlfn.IFNA(VLOOKUP(CONCATENATE(AE$4,$C20),'INSER DATA'!$A:$F,6,0),"")</f>
        <v/>
      </c>
      <c r="AF20" s="270" t="str">
        <f>_xlfn.IFNA(VLOOKUP(CONCATENATE(AF$4,$C20),'INSER DATA'!$A:$F,6,0),"")</f>
        <v/>
      </c>
      <c r="AG20" s="270" t="str">
        <f>_xlfn.IFNA(VLOOKUP(CONCATENATE(AG$4,$C20),'INSER DATA'!$A:$F,6,0),"")</f>
        <v/>
      </c>
      <c r="AH20" s="270" t="str">
        <f>_xlfn.IFNA(VLOOKUP(CONCATENATE(AH$4,$C20),'INSER DATA'!$A:$F,7,0),"")</f>
        <v/>
      </c>
      <c r="AI20" s="270" t="str">
        <f>_xlfn.IFNA(VLOOKUP(CONCATENATE(AI$4,$C20),'INSER DATA'!$A:$F,7,0),"")</f>
        <v/>
      </c>
      <c r="AJ20" s="270" t="str">
        <f>_xlfn.IFNA(VLOOKUP(CONCATENATE(AJ$4,$C20),'INSER DATA'!$A:$F,7,0),"")</f>
        <v/>
      </c>
      <c r="AK20" s="270" t="str">
        <f>_xlfn.IFNA(VLOOKUP(CONCATENATE(AK$4,$C20),'INSER DATA'!$A:$F,7,0),"")</f>
        <v/>
      </c>
      <c r="AL20" s="270" t="str">
        <f>_xlfn.IFNA(VLOOKUP(CONCATENATE(AL$4,$C20),'INSER DATA'!$A:$F,7,0),"")</f>
        <v/>
      </c>
      <c r="AM20" s="270" t="str">
        <f>_xlfn.IFNA(VLOOKUP(CONCATENATE(AM$4,$C20),'INSER DATA'!$A:$F,7,0),"")</f>
        <v/>
      </c>
      <c r="AN20" s="270" t="str">
        <f>_xlfn.IFNA(VLOOKUP(CONCATENATE(AN$4,$C20),'INSER DATA'!$A:$F,7,0),"")</f>
        <v/>
      </c>
      <c r="AO20" s="270" t="str">
        <f>_xlfn.IFNA(VLOOKUP(CONCATENATE(AO$4,$C20),'INSER DATA'!$A:$F,7,0),"")</f>
        <v/>
      </c>
      <c r="AP20" s="270" t="str">
        <f>_xlfn.IFNA(VLOOKUP(CONCATENATE(AP$4,$C20),'INSER DATA'!$A:$F,7,0),"")</f>
        <v/>
      </c>
      <c r="AQ20" s="270" t="str">
        <f>_xlfn.IFNA(VLOOKUP(CONCATENATE(AQ$4,$C20),'INSER DATA'!$A:$F,7,0),"")</f>
        <v/>
      </c>
      <c r="AR20" s="270" t="str">
        <f>_xlfn.IFNA(VLOOKUP(CONCATENATE(AR$4,$C20),'INSER DATA'!$A:$F,7,0),"")</f>
        <v/>
      </c>
      <c r="AS20" s="270" t="str">
        <f>_xlfn.IFNA(VLOOKUP(CONCATENATE(AS$4,$C20),'INSER DATA'!$A:$F,7,0),"")</f>
        <v/>
      </c>
      <c r="AT20" s="270" t="str">
        <f>_xlfn.IFNA(VLOOKUP(CONCATENATE(AT$4,$C20),'INSER DATA'!$A:$F,7,0),"")</f>
        <v/>
      </c>
      <c r="AU20" s="270" t="str">
        <f>_xlfn.IFNA(VLOOKUP(CONCATENATE(AU$4,$C20),'INSER DATA'!$A:$F,7,0),"")</f>
        <v/>
      </c>
      <c r="AV20" s="270" t="str">
        <f>_xlfn.IFNA(VLOOKUP(CONCATENATE(AV$4,$C20),'INSER DATA'!$A:$F,7,0),"")</f>
        <v/>
      </c>
      <c r="AW20" s="270" t="str">
        <f>_xlfn.IFNA(VLOOKUP(CONCATENATE(AW$4,$C20),'INSER DATA'!$A:$F,7,0),"")</f>
        <v/>
      </c>
      <c r="AX20" s="270" t="str">
        <f>_xlfn.IFNA(VLOOKUP(CONCATENATE(AX$4,$C20),'INSER DATA'!$A:$F,7,0),"")</f>
        <v/>
      </c>
      <c r="AY20" s="270" t="str">
        <f>_xlfn.IFNA(VLOOKUP(CONCATENATE(AY$4,$C20),'INSER DATA'!$A:$F,7,0),"")</f>
        <v/>
      </c>
      <c r="AZ20" s="270" t="str">
        <f>_xlfn.IFNA(VLOOKUP(CONCATENATE(AZ$4,$C20),'INSER DATA'!$A:$F,7,0),"")</f>
        <v/>
      </c>
      <c r="BA20" s="270" t="str">
        <f>_xlfn.IFNA(VLOOKUP(CONCATENATE(BA$4,$C20),'INSER DATA'!$A:$F,7,0),"")</f>
        <v/>
      </c>
      <c r="BB20" s="270" t="str">
        <f>_xlfn.IFNA(VLOOKUP(CONCATENATE(BB$4,$C20),'INSER DATA'!$A:$F,7,0),"")</f>
        <v/>
      </c>
      <c r="BC20" s="270" t="str">
        <f>_xlfn.IFNA(VLOOKUP(CONCATENATE(BC$4,$C20),'INSER DATA'!$A:$F,7,0),"")</f>
        <v/>
      </c>
      <c r="BD20" s="270" t="str">
        <f>_xlfn.IFNA(VLOOKUP(CONCATENATE(BD$4,$C20),'INSER DATA'!$A:$F,7,0),"")</f>
        <v/>
      </c>
      <c r="BE20" s="270" t="str">
        <f>_xlfn.IFNA(VLOOKUP(CONCATENATE(BE$4,$C20),'INSER DATA'!$A:$F,7,0),"")</f>
        <v/>
      </c>
      <c r="BF20" s="270" t="str">
        <f>_xlfn.IFNA(VLOOKUP(CONCATENATE(BF$4,$C20),'INSER DATA'!$A:$F,7,0),"")</f>
        <v/>
      </c>
      <c r="BG20" s="270" t="str">
        <f>_xlfn.IFNA(VLOOKUP(CONCATENATE(BG$4,$C20),'INSER DATA'!$A:$F,7,0),"")</f>
        <v/>
      </c>
      <c r="BH20" s="270" t="str">
        <f>_xlfn.IFNA(VLOOKUP(CONCATENATE(BH$4,$C20),'INSER DATA'!$A:$F,7,0),"")</f>
        <v/>
      </c>
      <c r="BI20" s="270" t="str">
        <f>_xlfn.IFNA(VLOOKUP(CONCATENATE(BI$4,$C20),'INSER DATA'!$A:$F,7,0),"")</f>
        <v/>
      </c>
      <c r="BJ20" s="270" t="str">
        <f>_xlfn.IFNA(VLOOKUP(CONCATENATE(BJ$4,$C20),'INSER DATA'!$A:$F,7,0),"")</f>
        <v/>
      </c>
      <c r="BK20" s="270" t="str">
        <f>_xlfn.IFNA(VLOOKUP(CONCATENATE(BK$4,$C20),'INSER DATA'!$A:$F,7,0),"")</f>
        <v/>
      </c>
      <c r="BL20" s="272"/>
      <c r="BM20" s="30"/>
      <c r="BN20" s="30"/>
      <c r="BO20" s="30"/>
      <c r="BP20" s="30"/>
      <c r="BQ20" s="30"/>
      <c r="BR20" s="30"/>
      <c r="BS20" s="30"/>
      <c r="BT20" s="30"/>
      <c r="BU20" s="30"/>
      <c r="BV20" s="30"/>
      <c r="BW20" s="30"/>
      <c r="BX20" s="30"/>
      <c r="BY20" s="30"/>
      <c r="BZ20" s="30"/>
      <c r="CA20" s="30"/>
      <c r="CB20" s="30"/>
      <c r="CC20" s="30"/>
      <c r="CD20" s="30"/>
      <c r="CE20" s="30"/>
      <c r="CF20" s="30"/>
      <c r="CG20" s="30"/>
      <c r="CH20" s="30"/>
      <c r="CI20" s="30"/>
      <c r="CJ20" s="30"/>
      <c r="CK20" s="30"/>
      <c r="CL20" s="30"/>
      <c r="CM20" s="30"/>
      <c r="CN20" s="30"/>
      <c r="CO20" s="30"/>
      <c r="CP20" s="30"/>
      <c r="CQ20" s="30"/>
      <c r="CR20" s="30"/>
      <c r="CS20" s="30"/>
      <c r="CT20" s="30"/>
      <c r="CU20" s="30"/>
      <c r="CV20" s="30"/>
      <c r="CW20" s="30"/>
      <c r="CX20" s="30"/>
      <c r="CY20" s="30"/>
      <c r="CZ20" s="30"/>
      <c r="DA20" s="30"/>
    </row>
    <row r="21" spans="1:105" ht="19.2" thickTop="1" thickBot="1" x14ac:dyDescent="0.4">
      <c r="A21" s="30"/>
      <c r="B21" s="30"/>
      <c r="C21" s="362" t="s">
        <v>347</v>
      </c>
      <c r="D21" s="365" t="s">
        <v>642</v>
      </c>
      <c r="E21" s="35" t="str">
        <f>_xlfn.XLOOKUP(Tabella4[[#This Row],[NOME]],'ROSE SQUADRE'!$N$3:$N$253,'ROSE SQUADRE'!$O$3:$O$253,"")</f>
        <v>PESCICULINI</v>
      </c>
      <c r="F21" s="36" t="s">
        <v>161</v>
      </c>
      <c r="G21" s="43">
        <v>6</v>
      </c>
      <c r="H21" s="43">
        <v>6</v>
      </c>
      <c r="I21" s="44">
        <f t="shared" si="0"/>
        <v>0</v>
      </c>
      <c r="J21" s="37">
        <f t="shared" si="1"/>
        <v>2</v>
      </c>
      <c r="K21" s="178">
        <f t="shared" si="2"/>
        <v>5.5</v>
      </c>
      <c r="L21" s="178">
        <f t="shared" si="3"/>
        <v>5.25</v>
      </c>
      <c r="M21" s="179">
        <f t="shared" si="4"/>
        <v>10.5</v>
      </c>
      <c r="N21" s="45">
        <f t="shared" ca="1" si="5"/>
        <v>0</v>
      </c>
      <c r="O21" s="40">
        <f>SUMIF(Tabella1[Nome],Tabella4[[#This Row],[NOME]],Tabella1[Gf])</f>
        <v>0</v>
      </c>
      <c r="P21" s="40">
        <f>-(SUMIF(Tabella1[Nome],Tabella4[[#This Row],[NOME]],Tabella1[Gs]))</f>
        <v>0</v>
      </c>
      <c r="Q21" s="40">
        <f>SUMIF(Tabella1[Nome],Tabella4[[#This Row],[NOME]],Tabella1[Rp])</f>
        <v>0</v>
      </c>
      <c r="R21" s="40">
        <f>SUMIF(Tabella1[Nome],Tabella4[[#This Row],[NOME]],Tabella1[Rs])</f>
        <v>0</v>
      </c>
      <c r="S21" s="40">
        <f>SUMIF(Tabella1[Nome],Tabella4[[#This Row],[NOME]],Tabella1[Rf])</f>
        <v>0</v>
      </c>
      <c r="T21" s="40">
        <f>SUMIF(Tabella1[Nome],Tabella4[[#This Row],[NOME]],Tabella1[Au])</f>
        <v>0</v>
      </c>
      <c r="U21" s="41">
        <f>SUMIF(Tabella1[Nome],Tabella4[[#This Row],[NOME]],Tabella1[Amm])</f>
        <v>1</v>
      </c>
      <c r="V21" s="42">
        <f>SUMIF(Tabella1[Nome],Tabella4[[#This Row],[NOME]],Tabella1[Esp])</f>
        <v>0</v>
      </c>
      <c r="W21" s="40">
        <f>SUMIF(Tabella1[Nome],Tabella4[[#This Row],[NOME]],Tabella1[Ass])</f>
        <v>0</v>
      </c>
      <c r="X21" s="40">
        <f>SUMIF(Tabella1[Nome],Tabella4[[#This Row],[NOME]],Tabella1[Gdv])</f>
        <v>0</v>
      </c>
      <c r="Y21" s="40">
        <f>SUMIF(Tabella1[Nome],Tabella4[[#This Row],[NOME]],Tabella1[cl sh])</f>
        <v>0</v>
      </c>
      <c r="Z21" s="270" t="str">
        <f>_xlfn.IFNA(_xlfn.XLOOKUP(CONCATENATE(Z$4,$C21),Tabella1[CONC X VOTI IN TAB GIOC],Tabella1[Voto],""),"")</f>
        <v/>
      </c>
      <c r="AA21" s="270" t="str">
        <f>_xlfn.IFNA(_xlfn.XLOOKUP(CONCATENATE(AA$4,$C21),Tabella1[CONC X VOTI IN TAB GIOC],Tabella1[Voto],""),"")</f>
        <v/>
      </c>
      <c r="AB21" s="270">
        <f>_xlfn.IFNA(_xlfn.XLOOKUP(CONCATENATE(AB$4,$C21),Tabella1[CONC X VOTI IN TAB GIOC],Tabella1[Voto]),"")</f>
        <v>5.5</v>
      </c>
      <c r="AC21" s="270" cm="1">
        <f t="array" ref="AC21">_xlfn.IFNA(_xlfn.XLOOKUP(CONCATENATE(AC$4,$C21),INDEX(Tabella1[],0,MATCH("CONC X VOTI IN TAB GIOC",Tabella1[#Headers],0)),INDEX(Tabella1[],0,MATCH("Voto",Tabella1[#Headers],0))),"")</f>
        <v>5.5</v>
      </c>
      <c r="AD21" s="270" t="str">
        <f>_xlfn.IFNA(_xlfn.XLOOKUP(CONCATENATE(AD$4,$C21),Tabella1[CONC X VOTI IN TAB GIOC],Tabella1[Voto]),"")</f>
        <v/>
      </c>
      <c r="AE21" s="270" t="str">
        <f>_xlfn.IFNA(VLOOKUP(CONCATENATE(AE$4,$C21),'INSER DATA'!$A:$F,6,0),"")</f>
        <v/>
      </c>
      <c r="AF21" s="270" t="str">
        <f>_xlfn.IFNA(VLOOKUP(CONCATENATE(AF$4,$C21),'INSER DATA'!$A:$F,6,0),"")</f>
        <v/>
      </c>
      <c r="AG21" s="270" t="str">
        <f>_xlfn.IFNA(VLOOKUP(CONCATENATE(AG$4,$C21),'INSER DATA'!$A:$F,6,0),"")</f>
        <v/>
      </c>
      <c r="AH21" s="270" t="str">
        <f>_xlfn.IFNA(VLOOKUP(CONCATENATE(AH$4,$C21),'INSER DATA'!$A:$F,7,0),"")</f>
        <v/>
      </c>
      <c r="AI21" s="270" t="str">
        <f>_xlfn.IFNA(VLOOKUP(CONCATENATE(AI$4,$C21),'INSER DATA'!$A:$F,7,0),"")</f>
        <v/>
      </c>
      <c r="AJ21" s="270" t="str">
        <f>_xlfn.IFNA(VLOOKUP(CONCATENATE(AJ$4,$C21),'INSER DATA'!$A:$F,7,0),"")</f>
        <v/>
      </c>
      <c r="AK21" s="270" t="str">
        <f>_xlfn.IFNA(VLOOKUP(CONCATENATE(AK$4,$C21),'INSER DATA'!$A:$F,7,0),"")</f>
        <v/>
      </c>
      <c r="AL21" s="270" t="str">
        <f>_xlfn.IFNA(VLOOKUP(CONCATENATE(AL$4,$C21),'INSER DATA'!$A:$F,7,0),"")</f>
        <v/>
      </c>
      <c r="AM21" s="270" t="str">
        <f>_xlfn.IFNA(VLOOKUP(CONCATENATE(AM$4,$C21),'INSER DATA'!$A:$F,7,0),"")</f>
        <v/>
      </c>
      <c r="AN21" s="270" t="str">
        <f>_xlfn.IFNA(VLOOKUP(CONCATENATE(AN$4,$C21),'INSER DATA'!$A:$F,7,0),"")</f>
        <v/>
      </c>
      <c r="AO21" s="270" t="str">
        <f>_xlfn.IFNA(VLOOKUP(CONCATENATE(AO$4,$C21),'INSER DATA'!$A:$F,7,0),"")</f>
        <v/>
      </c>
      <c r="AP21" s="270" t="str">
        <f>_xlfn.IFNA(VLOOKUP(CONCATENATE(AP$4,$C21),'INSER DATA'!$A:$F,7,0),"")</f>
        <v/>
      </c>
      <c r="AQ21" s="270" t="str">
        <f>_xlfn.IFNA(VLOOKUP(CONCATENATE(AQ$4,$C21),'INSER DATA'!$A:$F,7,0),"")</f>
        <v/>
      </c>
      <c r="AR21" s="270" t="str">
        <f>_xlfn.IFNA(VLOOKUP(CONCATENATE(AR$4,$C21),'INSER DATA'!$A:$F,7,0),"")</f>
        <v/>
      </c>
      <c r="AS21" s="270" t="str">
        <f>_xlfn.IFNA(VLOOKUP(CONCATENATE(AS$4,$C21),'INSER DATA'!$A:$F,7,0),"")</f>
        <v/>
      </c>
      <c r="AT21" s="270" t="str">
        <f>_xlfn.IFNA(VLOOKUP(CONCATENATE(AT$4,$C21),'INSER DATA'!$A:$F,7,0),"")</f>
        <v/>
      </c>
      <c r="AU21" s="270" t="str">
        <f>_xlfn.IFNA(VLOOKUP(CONCATENATE(AU$4,$C21),'INSER DATA'!$A:$F,7,0),"")</f>
        <v/>
      </c>
      <c r="AV21" s="270" t="str">
        <f>_xlfn.IFNA(VLOOKUP(CONCATENATE(AV$4,$C21),'INSER DATA'!$A:$F,7,0),"")</f>
        <v/>
      </c>
      <c r="AW21" s="270" t="str">
        <f>_xlfn.IFNA(VLOOKUP(CONCATENATE(AW$4,$C21),'INSER DATA'!$A:$F,7,0),"")</f>
        <v/>
      </c>
      <c r="AX21" s="270" t="str">
        <f>_xlfn.IFNA(VLOOKUP(CONCATENATE(AX$4,$C21),'INSER DATA'!$A:$F,7,0),"")</f>
        <v/>
      </c>
      <c r="AY21" s="270" t="str">
        <f>_xlfn.IFNA(VLOOKUP(CONCATENATE(AY$4,$C21),'INSER DATA'!$A:$F,7,0),"")</f>
        <v/>
      </c>
      <c r="AZ21" s="270" t="str">
        <f>_xlfn.IFNA(VLOOKUP(CONCATENATE(AZ$4,$C21),'INSER DATA'!$A:$F,7,0),"")</f>
        <v/>
      </c>
      <c r="BA21" s="270" t="str">
        <f>_xlfn.IFNA(VLOOKUP(CONCATENATE(BA$4,$C21),'INSER DATA'!$A:$F,7,0),"")</f>
        <v/>
      </c>
      <c r="BB21" s="270" t="str">
        <f>_xlfn.IFNA(VLOOKUP(CONCATENATE(BB$4,$C21),'INSER DATA'!$A:$F,7,0),"")</f>
        <v/>
      </c>
      <c r="BC21" s="270" t="str">
        <f>_xlfn.IFNA(VLOOKUP(CONCATENATE(BC$4,$C21),'INSER DATA'!$A:$F,7,0),"")</f>
        <v/>
      </c>
      <c r="BD21" s="270" t="str">
        <f>_xlfn.IFNA(VLOOKUP(CONCATENATE(BD$4,$C21),'INSER DATA'!$A:$F,7,0),"")</f>
        <v/>
      </c>
      <c r="BE21" s="270" t="str">
        <f>_xlfn.IFNA(VLOOKUP(CONCATENATE(BE$4,$C21),'INSER DATA'!$A:$F,7,0),"")</f>
        <v/>
      </c>
      <c r="BF21" s="270" t="str">
        <f>_xlfn.IFNA(VLOOKUP(CONCATENATE(BF$4,$C21),'INSER DATA'!$A:$F,7,0),"")</f>
        <v/>
      </c>
      <c r="BG21" s="270" t="str">
        <f>_xlfn.IFNA(VLOOKUP(CONCATENATE(BG$4,$C21),'INSER DATA'!$A:$F,7,0),"")</f>
        <v/>
      </c>
      <c r="BH21" s="270" t="str">
        <f>_xlfn.IFNA(VLOOKUP(CONCATENATE(BH$4,$C21),'INSER DATA'!$A:$F,7,0),"")</f>
        <v/>
      </c>
      <c r="BI21" s="270" t="str">
        <f>_xlfn.IFNA(VLOOKUP(CONCATENATE(BI$4,$C21),'INSER DATA'!$A:$F,7,0),"")</f>
        <v/>
      </c>
      <c r="BJ21" s="270" t="str">
        <f>_xlfn.IFNA(VLOOKUP(CONCATENATE(BJ$4,$C21),'INSER DATA'!$A:$F,7,0),"")</f>
        <v/>
      </c>
      <c r="BK21" s="270" t="str">
        <f>_xlfn.IFNA(VLOOKUP(CONCATENATE(BK$4,$C21),'INSER DATA'!$A:$F,7,0),"")</f>
        <v/>
      </c>
      <c r="BL21" s="272"/>
      <c r="BM21" s="30"/>
      <c r="BN21" s="30"/>
      <c r="BO21" s="30"/>
      <c r="BP21" s="30"/>
      <c r="BQ21" s="30"/>
      <c r="BR21" s="30"/>
      <c r="BS21" s="30"/>
      <c r="BT21" s="30"/>
      <c r="BU21" s="30"/>
      <c r="BV21" s="30"/>
      <c r="BW21" s="30"/>
      <c r="BX21" s="30"/>
      <c r="BY21" s="30"/>
      <c r="BZ21" s="30"/>
      <c r="CA21" s="30"/>
      <c r="CB21" s="30"/>
      <c r="CC21" s="30"/>
      <c r="CD21" s="30"/>
      <c r="CE21" s="30"/>
      <c r="CF21" s="30"/>
      <c r="CG21" s="30"/>
      <c r="CH21" s="30"/>
      <c r="CI21" s="30"/>
      <c r="CJ21" s="30"/>
      <c r="CK21" s="30"/>
      <c r="CL21" s="30"/>
      <c r="CM21" s="30"/>
      <c r="CN21" s="30"/>
      <c r="CO21" s="30"/>
      <c r="CP21" s="30"/>
      <c r="CQ21" s="30"/>
      <c r="CR21" s="30"/>
      <c r="CS21" s="30"/>
      <c r="CT21" s="30"/>
      <c r="CU21" s="30"/>
      <c r="CV21" s="30"/>
      <c r="CW21" s="30"/>
      <c r="CX21" s="30"/>
      <c r="CY21" s="30"/>
      <c r="CZ21" s="30"/>
      <c r="DA21" s="30"/>
    </row>
    <row r="22" spans="1:105" ht="19.2" thickTop="1" thickBot="1" x14ac:dyDescent="0.4">
      <c r="A22" s="30"/>
      <c r="B22" s="30"/>
      <c r="C22" s="188" t="s">
        <v>325</v>
      </c>
      <c r="D22" s="187" t="s">
        <v>642</v>
      </c>
      <c r="E22" s="35" t="str">
        <f>_xlfn.XLOOKUP(Tabella4[[#This Row],[NOME]],'ROSE SQUADRE'!$N$3:$N$253,'ROSE SQUADRE'!$O$3:$O$253,"")</f>
        <v/>
      </c>
      <c r="F22" s="36" t="s">
        <v>161</v>
      </c>
      <c r="G22" s="43">
        <v>8</v>
      </c>
      <c r="H22" s="43">
        <v>8</v>
      </c>
      <c r="I22" s="44">
        <f t="shared" si="0"/>
        <v>0</v>
      </c>
      <c r="J22" s="37">
        <f t="shared" si="1"/>
        <v>0</v>
      </c>
      <c r="K22" s="178">
        <f t="shared" si="2"/>
        <v>0</v>
      </c>
      <c r="L22" s="178">
        <f t="shared" si="3"/>
        <v>0</v>
      </c>
      <c r="M22" s="179">
        <f t="shared" si="4"/>
        <v>0</v>
      </c>
      <c r="N22" s="45">
        <f t="shared" ca="1" si="5"/>
        <v>0</v>
      </c>
      <c r="O22" s="40">
        <f>SUMIF(Tabella1[Nome],Tabella4[[#This Row],[NOME]],Tabella1[Gf])</f>
        <v>0</v>
      </c>
      <c r="P22" s="40">
        <f>-(SUMIF(Tabella1[Nome],Tabella4[[#This Row],[NOME]],Tabella1[Gs]))</f>
        <v>0</v>
      </c>
      <c r="Q22" s="40">
        <f>SUMIF(Tabella1[Nome],Tabella4[[#This Row],[NOME]],Tabella1[Rp])</f>
        <v>0</v>
      </c>
      <c r="R22" s="40">
        <f>SUMIF(Tabella1[Nome],Tabella4[[#This Row],[NOME]],Tabella1[Rs])</f>
        <v>0</v>
      </c>
      <c r="S22" s="40">
        <f>SUMIF(Tabella1[Nome],Tabella4[[#This Row],[NOME]],Tabella1[Rf])</f>
        <v>0</v>
      </c>
      <c r="T22" s="40">
        <f>SUMIF(Tabella1[Nome],Tabella4[[#This Row],[NOME]],Tabella1[Au])</f>
        <v>0</v>
      </c>
      <c r="U22" s="41">
        <f>SUMIF(Tabella1[Nome],Tabella4[[#This Row],[NOME]],Tabella1[Amm])</f>
        <v>0</v>
      </c>
      <c r="V22" s="42">
        <f>SUMIF(Tabella1[Nome],Tabella4[[#This Row],[NOME]],Tabella1[Esp])</f>
        <v>0</v>
      </c>
      <c r="W22" s="40">
        <f>SUMIF(Tabella1[Nome],Tabella4[[#This Row],[NOME]],Tabella1[Ass])</f>
        <v>0</v>
      </c>
      <c r="X22" s="40">
        <f>SUMIF(Tabella1[Nome],Tabella4[[#This Row],[NOME]],Tabella1[Gdv])</f>
        <v>0</v>
      </c>
      <c r="Y22" s="40">
        <f>SUMIF(Tabella1[Nome],Tabella4[[#This Row],[NOME]],Tabella1[cl sh])</f>
        <v>0</v>
      </c>
      <c r="Z22" s="270" t="str">
        <f>_xlfn.IFNA(_xlfn.XLOOKUP(CONCATENATE(Z$4,$C22),Tabella1[CONC X VOTI IN TAB GIOC],Tabella1[Voto],""),"")</f>
        <v/>
      </c>
      <c r="AA22" s="270" t="str">
        <f>_xlfn.IFNA(_xlfn.XLOOKUP(CONCATENATE(AA$4,$C22),Tabella1[CONC X VOTI IN TAB GIOC],Tabella1[Voto],""),"")</f>
        <v/>
      </c>
      <c r="AB22" s="270" t="str">
        <f>_xlfn.IFNA(_xlfn.XLOOKUP(CONCATENATE(AB$4,$C22),Tabella1[CONC X VOTI IN TAB GIOC],Tabella1[Voto]),"")</f>
        <v/>
      </c>
      <c r="AC22" s="270" t="str" cm="1">
        <f t="array" ref="AC22">_xlfn.IFNA(_xlfn.XLOOKUP(CONCATENATE(AC$4,$C22),INDEX(Tabella1[],0,MATCH("CONC X VOTI IN TAB GIOC",Tabella1[#Headers],0)),INDEX(Tabella1[],0,MATCH("Voto",Tabella1[#Headers],0))),"")</f>
        <v/>
      </c>
      <c r="AD22" s="270" t="str">
        <f>_xlfn.IFNA(_xlfn.XLOOKUP(CONCATENATE(AD$4,$C22),Tabella1[CONC X VOTI IN TAB GIOC],Tabella1[Voto]),"")</f>
        <v/>
      </c>
      <c r="AE22" s="270" t="str">
        <f>_xlfn.IFNA(VLOOKUP(CONCATENATE(AE$4,$C22),'INSER DATA'!$A:$F,6,0),"")</f>
        <v/>
      </c>
      <c r="AF22" s="270" t="str">
        <f>_xlfn.IFNA(VLOOKUP(CONCATENATE(AF$4,$C22),'INSER DATA'!$A:$F,6,0),"")</f>
        <v/>
      </c>
      <c r="AG22" s="270" t="str">
        <f>_xlfn.IFNA(VLOOKUP(CONCATENATE(AG$4,$C22),'INSER DATA'!$A:$F,6,0),"")</f>
        <v/>
      </c>
      <c r="AH22" s="270" t="str">
        <f>_xlfn.IFNA(VLOOKUP(CONCATENATE(AH$4,$C22),'INSER DATA'!$A:$F,7,0),"")</f>
        <v/>
      </c>
      <c r="AI22" s="270" t="str">
        <f>_xlfn.IFNA(VLOOKUP(CONCATENATE(AI$4,$C22),'INSER DATA'!$A:$F,7,0),"")</f>
        <v/>
      </c>
      <c r="AJ22" s="270" t="str">
        <f>_xlfn.IFNA(VLOOKUP(CONCATENATE(AJ$4,$C22),'INSER DATA'!$A:$F,7,0),"")</f>
        <v/>
      </c>
      <c r="AK22" s="270" t="str">
        <f>_xlfn.IFNA(VLOOKUP(CONCATENATE(AK$4,$C22),'INSER DATA'!$A:$F,7,0),"")</f>
        <v/>
      </c>
      <c r="AL22" s="270" t="str">
        <f>_xlfn.IFNA(VLOOKUP(CONCATENATE(AL$4,$C22),'INSER DATA'!$A:$F,7,0),"")</f>
        <v/>
      </c>
      <c r="AM22" s="270" t="str">
        <f>_xlfn.IFNA(VLOOKUP(CONCATENATE(AM$4,$C22),'INSER DATA'!$A:$F,7,0),"")</f>
        <v/>
      </c>
      <c r="AN22" s="270" t="str">
        <f>_xlfn.IFNA(VLOOKUP(CONCATENATE(AN$4,$C22),'INSER DATA'!$A:$F,7,0),"")</f>
        <v/>
      </c>
      <c r="AO22" s="270" t="str">
        <f>_xlfn.IFNA(VLOOKUP(CONCATENATE(AO$4,$C22),'INSER DATA'!$A:$F,7,0),"")</f>
        <v/>
      </c>
      <c r="AP22" s="270" t="str">
        <f>_xlfn.IFNA(VLOOKUP(CONCATENATE(AP$4,$C22),'INSER DATA'!$A:$F,7,0),"")</f>
        <v/>
      </c>
      <c r="AQ22" s="270" t="str">
        <f>_xlfn.IFNA(VLOOKUP(CONCATENATE(AQ$4,$C22),'INSER DATA'!$A:$F,7,0),"")</f>
        <v/>
      </c>
      <c r="AR22" s="270" t="str">
        <f>_xlfn.IFNA(VLOOKUP(CONCATENATE(AR$4,$C22),'INSER DATA'!$A:$F,7,0),"")</f>
        <v/>
      </c>
      <c r="AS22" s="270" t="str">
        <f>_xlfn.IFNA(VLOOKUP(CONCATENATE(AS$4,$C22),'INSER DATA'!$A:$F,7,0),"")</f>
        <v/>
      </c>
      <c r="AT22" s="270" t="str">
        <f>_xlfn.IFNA(VLOOKUP(CONCATENATE(AT$4,$C22),'INSER DATA'!$A:$F,7,0),"")</f>
        <v/>
      </c>
      <c r="AU22" s="270" t="str">
        <f>_xlfn.IFNA(VLOOKUP(CONCATENATE(AU$4,$C22),'INSER DATA'!$A:$F,7,0),"")</f>
        <v/>
      </c>
      <c r="AV22" s="270" t="str">
        <f>_xlfn.IFNA(VLOOKUP(CONCATENATE(AV$4,$C22),'INSER DATA'!$A:$F,7,0),"")</f>
        <v/>
      </c>
      <c r="AW22" s="270" t="str">
        <f>_xlfn.IFNA(VLOOKUP(CONCATENATE(AW$4,$C22),'INSER DATA'!$A:$F,7,0),"")</f>
        <v/>
      </c>
      <c r="AX22" s="270" t="str">
        <f>_xlfn.IFNA(VLOOKUP(CONCATENATE(AX$4,$C22),'INSER DATA'!$A:$F,7,0),"")</f>
        <v/>
      </c>
      <c r="AY22" s="270" t="str">
        <f>_xlfn.IFNA(VLOOKUP(CONCATENATE(AY$4,$C22),'INSER DATA'!$A:$F,7,0),"")</f>
        <v/>
      </c>
      <c r="AZ22" s="270" t="str">
        <f>_xlfn.IFNA(VLOOKUP(CONCATENATE(AZ$4,$C22),'INSER DATA'!$A:$F,7,0),"")</f>
        <v/>
      </c>
      <c r="BA22" s="270" t="str">
        <f>_xlfn.IFNA(VLOOKUP(CONCATENATE(BA$4,$C22),'INSER DATA'!$A:$F,7,0),"")</f>
        <v/>
      </c>
      <c r="BB22" s="270" t="str">
        <f>_xlfn.IFNA(VLOOKUP(CONCATENATE(BB$4,$C22),'INSER DATA'!$A:$F,7,0),"")</f>
        <v/>
      </c>
      <c r="BC22" s="270" t="str">
        <f>_xlfn.IFNA(VLOOKUP(CONCATENATE(BC$4,$C22),'INSER DATA'!$A:$F,7,0),"")</f>
        <v/>
      </c>
      <c r="BD22" s="270" t="str">
        <f>_xlfn.IFNA(VLOOKUP(CONCATENATE(BD$4,$C22),'INSER DATA'!$A:$F,7,0),"")</f>
        <v/>
      </c>
      <c r="BE22" s="270" t="str">
        <f>_xlfn.IFNA(VLOOKUP(CONCATENATE(BE$4,$C22),'INSER DATA'!$A:$F,7,0),"")</f>
        <v/>
      </c>
      <c r="BF22" s="270" t="str">
        <f>_xlfn.IFNA(VLOOKUP(CONCATENATE(BF$4,$C22),'INSER DATA'!$A:$F,7,0),"")</f>
        <v/>
      </c>
      <c r="BG22" s="270" t="str">
        <f>_xlfn.IFNA(VLOOKUP(CONCATENATE(BG$4,$C22),'INSER DATA'!$A:$F,7,0),"")</f>
        <v/>
      </c>
      <c r="BH22" s="270" t="str">
        <f>_xlfn.IFNA(VLOOKUP(CONCATENATE(BH$4,$C22),'INSER DATA'!$A:$F,7,0),"")</f>
        <v/>
      </c>
      <c r="BI22" s="270" t="str">
        <f>_xlfn.IFNA(VLOOKUP(CONCATENATE(BI$4,$C22),'INSER DATA'!$A:$F,7,0),"")</f>
        <v/>
      </c>
      <c r="BJ22" s="270" t="str">
        <f>_xlfn.IFNA(VLOOKUP(CONCATENATE(BJ$4,$C22),'INSER DATA'!$A:$F,7,0),"")</f>
        <v/>
      </c>
      <c r="BK22" s="270" t="str">
        <f>_xlfn.IFNA(VLOOKUP(CONCATENATE(BK$4,$C22),'INSER DATA'!$A:$F,7,0),"")</f>
        <v/>
      </c>
      <c r="BL22" s="272"/>
      <c r="BM22" s="30"/>
      <c r="BN22" s="30"/>
      <c r="BO22" s="30"/>
      <c r="BP22" s="30"/>
      <c r="BQ22" s="30"/>
      <c r="BR22" s="30"/>
      <c r="BS22" s="30"/>
      <c r="BT22" s="30"/>
      <c r="BU22" s="30"/>
      <c r="BV22" s="30"/>
      <c r="BW22" s="30"/>
      <c r="BX22" s="30"/>
      <c r="BY22" s="30"/>
      <c r="BZ22" s="30"/>
      <c r="CA22" s="30"/>
      <c r="CB22" s="30"/>
      <c r="CC22" s="30"/>
      <c r="CD22" s="30"/>
      <c r="CE22" s="30"/>
      <c r="CF22" s="30"/>
      <c r="CG22" s="30"/>
      <c r="CH22" s="30"/>
      <c r="CI22" s="30"/>
      <c r="CJ22" s="30"/>
      <c r="CK22" s="30"/>
      <c r="CL22" s="30"/>
      <c r="CM22" s="30"/>
      <c r="CN22" s="30"/>
      <c r="CO22" s="30"/>
      <c r="CP22" s="30"/>
      <c r="CQ22" s="30"/>
      <c r="CR22" s="30"/>
      <c r="CS22" s="30"/>
      <c r="CT22" s="30"/>
      <c r="CU22" s="30"/>
      <c r="CV22" s="30"/>
      <c r="CW22" s="30"/>
      <c r="CX22" s="30"/>
      <c r="CY22" s="30"/>
      <c r="CZ22" s="30"/>
      <c r="DA22" s="30"/>
    </row>
    <row r="23" spans="1:105" ht="19.2" thickTop="1" thickBot="1" x14ac:dyDescent="0.4">
      <c r="A23" s="30"/>
      <c r="B23" s="30"/>
      <c r="C23" s="363" t="s">
        <v>643</v>
      </c>
      <c r="D23" s="365" t="s">
        <v>642</v>
      </c>
      <c r="E23" s="35" t="str">
        <f>_xlfn.XLOOKUP(Tabella4[[#This Row],[NOME]],'ROSE SQUADRE'!$N$3:$N$253,'ROSE SQUADRE'!$O$3:$O$253,"")</f>
        <v>AS PIPPERIA</v>
      </c>
      <c r="F23" s="36" t="s">
        <v>161</v>
      </c>
      <c r="G23" s="43">
        <v>7</v>
      </c>
      <c r="H23" s="43">
        <v>7</v>
      </c>
      <c r="I23" s="44">
        <f t="shared" si="0"/>
        <v>0</v>
      </c>
      <c r="J23" s="37">
        <f t="shared" si="1"/>
        <v>0</v>
      </c>
      <c r="K23" s="38">
        <f t="shared" si="2"/>
        <v>0</v>
      </c>
      <c r="L23" s="38">
        <f t="shared" si="3"/>
        <v>0</v>
      </c>
      <c r="M23" s="39">
        <f t="shared" si="4"/>
        <v>0</v>
      </c>
      <c r="N23" s="45">
        <f t="shared" ca="1" si="5"/>
        <v>0</v>
      </c>
      <c r="O23" s="40">
        <f>SUMIF(Tabella1[Nome],Tabella4[[#This Row],[NOME]],Tabella1[Gf])</f>
        <v>0</v>
      </c>
      <c r="P23" s="40">
        <f>-(SUMIF(Tabella1[Nome],Tabella4[[#This Row],[NOME]],Tabella1[Gs]))</f>
        <v>0</v>
      </c>
      <c r="Q23" s="40">
        <f>SUMIF(Tabella1[Nome],Tabella4[[#This Row],[NOME]],Tabella1[Rp])</f>
        <v>0</v>
      </c>
      <c r="R23" s="40">
        <f>SUMIF(Tabella1[Nome],Tabella4[[#This Row],[NOME]],Tabella1[Rs])</f>
        <v>0</v>
      </c>
      <c r="S23" s="40">
        <f>SUMIF(Tabella1[Nome],Tabella4[[#This Row],[NOME]],Tabella1[Rf])</f>
        <v>0</v>
      </c>
      <c r="T23" s="40">
        <f>SUMIF(Tabella1[Nome],Tabella4[[#This Row],[NOME]],Tabella1[Au])</f>
        <v>0</v>
      </c>
      <c r="U23" s="41">
        <f>SUMIF(Tabella1[Nome],Tabella4[[#This Row],[NOME]],Tabella1[Amm])</f>
        <v>0</v>
      </c>
      <c r="V23" s="42">
        <f>SUMIF(Tabella1[Nome],Tabella4[[#This Row],[NOME]],Tabella1[Esp])</f>
        <v>0</v>
      </c>
      <c r="W23" s="40">
        <f>SUMIF(Tabella1[Nome],Tabella4[[#This Row],[NOME]],Tabella1[Ass])</f>
        <v>0</v>
      </c>
      <c r="X23" s="40">
        <f>SUMIF(Tabella1[Nome],Tabella4[[#This Row],[NOME]],Tabella1[Gdv])</f>
        <v>0</v>
      </c>
      <c r="Y23" s="40">
        <f>SUMIF(Tabella1[Nome],Tabella4[[#This Row],[NOME]],Tabella1[cl sh])</f>
        <v>0</v>
      </c>
      <c r="Z23" s="270" t="str">
        <f>_xlfn.IFNA(_xlfn.XLOOKUP(CONCATENATE(Z$4,$C23),Tabella1[CONC X VOTI IN TAB GIOC],Tabella1[Voto],""),"")</f>
        <v/>
      </c>
      <c r="AA23" s="270" t="str">
        <f>_xlfn.IFNA(_xlfn.XLOOKUP(CONCATENATE(AA$4,$C23),Tabella1[CONC X VOTI IN TAB GIOC],Tabella1[Voto],""),"")</f>
        <v/>
      </c>
      <c r="AB23" s="270" t="str">
        <f>_xlfn.IFNA(_xlfn.XLOOKUP(CONCATENATE(AB$4,$C23),Tabella1[CONC X VOTI IN TAB GIOC],Tabella1[Voto]),"")</f>
        <v/>
      </c>
      <c r="AC23" s="270" t="str" cm="1">
        <f t="array" ref="AC23">_xlfn.IFNA(_xlfn.XLOOKUP(CONCATENATE(AC$4,$C23),INDEX(Tabella1[],0,MATCH("CONC X VOTI IN TAB GIOC",Tabella1[#Headers],0)),INDEX(Tabella1[],0,MATCH("Voto",Tabella1[#Headers],0))),"")</f>
        <v/>
      </c>
      <c r="AD23" s="270" t="str">
        <f>_xlfn.IFNA(_xlfn.XLOOKUP(CONCATENATE(AD$4,$C23),Tabella1[CONC X VOTI IN TAB GIOC],Tabella1[Voto]),"")</f>
        <v/>
      </c>
      <c r="AE23" s="270" t="str">
        <f>_xlfn.IFNA(VLOOKUP(CONCATENATE(AE$4,$C23),'INSER DATA'!$A:$F,6,0),"")</f>
        <v/>
      </c>
      <c r="AF23" s="270" t="str">
        <f>_xlfn.IFNA(VLOOKUP(CONCATENATE(AF$4,$C23),'INSER DATA'!$A:$F,6,0),"")</f>
        <v/>
      </c>
      <c r="AG23" s="270" t="str">
        <f>_xlfn.IFNA(VLOOKUP(CONCATENATE(AG$4,$C23),'INSER DATA'!$A:$F,6,0),"")</f>
        <v/>
      </c>
      <c r="AH23" s="270" t="str">
        <f>_xlfn.IFNA(VLOOKUP(CONCATENATE(AH$4,$C23),'INSER DATA'!$A:$F,7,0),"")</f>
        <v/>
      </c>
      <c r="AI23" s="270" t="str">
        <f>_xlfn.IFNA(VLOOKUP(CONCATENATE(AI$4,$C23),'INSER DATA'!$A:$F,7,0),"")</f>
        <v/>
      </c>
      <c r="AJ23" s="270" t="str">
        <f>_xlfn.IFNA(VLOOKUP(CONCATENATE(AJ$4,$C23),'INSER DATA'!$A:$F,7,0),"")</f>
        <v/>
      </c>
      <c r="AK23" s="270" t="str">
        <f>_xlfn.IFNA(VLOOKUP(CONCATENATE(AK$4,$C23),'INSER DATA'!$A:$F,7,0),"")</f>
        <v/>
      </c>
      <c r="AL23" s="270" t="str">
        <f>_xlfn.IFNA(VLOOKUP(CONCATENATE(AL$4,$C23),'INSER DATA'!$A:$F,7,0),"")</f>
        <v/>
      </c>
      <c r="AM23" s="270" t="str">
        <f>_xlfn.IFNA(VLOOKUP(CONCATENATE(AM$4,$C23),'INSER DATA'!$A:$F,7,0),"")</f>
        <v/>
      </c>
      <c r="AN23" s="270" t="str">
        <f>_xlfn.IFNA(VLOOKUP(CONCATENATE(AN$4,$C23),'INSER DATA'!$A:$F,7,0),"")</f>
        <v/>
      </c>
      <c r="AO23" s="270" t="str">
        <f>_xlfn.IFNA(VLOOKUP(CONCATENATE(AO$4,$C23),'INSER DATA'!$A:$F,7,0),"")</f>
        <v/>
      </c>
      <c r="AP23" s="270" t="str">
        <f>_xlfn.IFNA(VLOOKUP(CONCATENATE(AP$4,$C23),'INSER DATA'!$A:$F,7,0),"")</f>
        <v/>
      </c>
      <c r="AQ23" s="270" t="str">
        <f>_xlfn.IFNA(VLOOKUP(CONCATENATE(AQ$4,$C23),'INSER DATA'!$A:$F,7,0),"")</f>
        <v/>
      </c>
      <c r="AR23" s="270" t="str">
        <f>_xlfn.IFNA(VLOOKUP(CONCATENATE(AR$4,$C23),'INSER DATA'!$A:$F,7,0),"")</f>
        <v/>
      </c>
      <c r="AS23" s="270" t="str">
        <f>_xlfn.IFNA(VLOOKUP(CONCATENATE(AS$4,$C23),'INSER DATA'!$A:$F,7,0),"")</f>
        <v/>
      </c>
      <c r="AT23" s="270" t="str">
        <f>_xlfn.IFNA(VLOOKUP(CONCATENATE(AT$4,$C23),'INSER DATA'!$A:$F,7,0),"")</f>
        <v/>
      </c>
      <c r="AU23" s="270" t="str">
        <f>_xlfn.IFNA(VLOOKUP(CONCATENATE(AU$4,$C23),'INSER DATA'!$A:$F,7,0),"")</f>
        <v/>
      </c>
      <c r="AV23" s="270" t="str">
        <f>_xlfn.IFNA(VLOOKUP(CONCATENATE(AV$4,$C23),'INSER DATA'!$A:$F,7,0),"")</f>
        <v/>
      </c>
      <c r="AW23" s="270" t="str">
        <f>_xlfn.IFNA(VLOOKUP(CONCATENATE(AW$4,$C23),'INSER DATA'!$A:$F,7,0),"")</f>
        <v/>
      </c>
      <c r="AX23" s="270" t="str">
        <f>_xlfn.IFNA(VLOOKUP(CONCATENATE(AX$4,$C23),'INSER DATA'!$A:$F,7,0),"")</f>
        <v/>
      </c>
      <c r="AY23" s="270" t="str">
        <f>_xlfn.IFNA(VLOOKUP(CONCATENATE(AY$4,$C23),'INSER DATA'!$A:$F,7,0),"")</f>
        <v/>
      </c>
      <c r="AZ23" s="270" t="str">
        <f>_xlfn.IFNA(VLOOKUP(CONCATENATE(AZ$4,$C23),'INSER DATA'!$A:$F,7,0),"")</f>
        <v/>
      </c>
      <c r="BA23" s="270" t="str">
        <f>_xlfn.IFNA(VLOOKUP(CONCATENATE(BA$4,$C23),'INSER DATA'!$A:$F,7,0),"")</f>
        <v/>
      </c>
      <c r="BB23" s="270" t="str">
        <f>_xlfn.IFNA(VLOOKUP(CONCATENATE(BB$4,$C23),'INSER DATA'!$A:$F,7,0),"")</f>
        <v/>
      </c>
      <c r="BC23" s="270" t="str">
        <f>_xlfn.IFNA(VLOOKUP(CONCATENATE(BC$4,$C23),'INSER DATA'!$A:$F,7,0),"")</f>
        <v/>
      </c>
      <c r="BD23" s="270" t="str">
        <f>_xlfn.IFNA(VLOOKUP(CONCATENATE(BD$4,$C23),'INSER DATA'!$A:$F,7,0),"")</f>
        <v/>
      </c>
      <c r="BE23" s="270" t="str">
        <f>_xlfn.IFNA(VLOOKUP(CONCATENATE(BE$4,$C23),'INSER DATA'!$A:$F,7,0),"")</f>
        <v/>
      </c>
      <c r="BF23" s="270" t="str">
        <f>_xlfn.IFNA(VLOOKUP(CONCATENATE(BF$4,$C23),'INSER DATA'!$A:$F,7,0),"")</f>
        <v/>
      </c>
      <c r="BG23" s="270" t="str">
        <f>_xlfn.IFNA(VLOOKUP(CONCATENATE(BG$4,$C23),'INSER DATA'!$A:$F,7,0),"")</f>
        <v/>
      </c>
      <c r="BH23" s="270" t="str">
        <f>_xlfn.IFNA(VLOOKUP(CONCATENATE(BH$4,$C23),'INSER DATA'!$A:$F,7,0),"")</f>
        <v/>
      </c>
      <c r="BI23" s="270" t="str">
        <f>_xlfn.IFNA(VLOOKUP(CONCATENATE(BI$4,$C23),'INSER DATA'!$A:$F,7,0),"")</f>
        <v/>
      </c>
      <c r="BJ23" s="270" t="str">
        <f>_xlfn.IFNA(VLOOKUP(CONCATENATE(BJ$4,$C23),'INSER DATA'!$A:$F,7,0),"")</f>
        <v/>
      </c>
      <c r="BK23" s="270" t="str">
        <f>_xlfn.IFNA(VLOOKUP(CONCATENATE(BK$4,$C23),'INSER DATA'!$A:$F,7,0),"")</f>
        <v/>
      </c>
      <c r="BL23" s="272"/>
      <c r="BM23" s="30"/>
      <c r="BN23" s="30"/>
      <c r="BO23" s="30"/>
      <c r="BP23" s="30"/>
      <c r="BQ23" s="30"/>
      <c r="BR23" s="30"/>
      <c r="BS23" s="30"/>
      <c r="BT23" s="30"/>
      <c r="BU23" s="30"/>
      <c r="BV23" s="30"/>
      <c r="BW23" s="30"/>
      <c r="BX23" s="30"/>
      <c r="BY23" s="30"/>
      <c r="BZ23" s="30"/>
      <c r="CA23" s="30"/>
      <c r="CB23" s="30"/>
      <c r="CC23" s="30"/>
      <c r="CD23" s="30"/>
      <c r="CE23" s="30"/>
      <c r="CF23" s="30"/>
      <c r="CG23" s="30"/>
      <c r="CH23" s="30"/>
      <c r="CI23" s="30"/>
      <c r="CJ23" s="30"/>
      <c r="CK23" s="30"/>
      <c r="CL23" s="30"/>
      <c r="CM23" s="30"/>
      <c r="CN23" s="30"/>
      <c r="CO23" s="30"/>
      <c r="CP23" s="30"/>
      <c r="CQ23" s="30"/>
      <c r="CR23" s="30"/>
      <c r="CS23" s="30"/>
      <c r="CT23" s="30"/>
      <c r="CU23" s="30"/>
      <c r="CV23" s="30"/>
      <c r="CW23" s="30"/>
      <c r="CX23" s="30"/>
      <c r="CY23" s="30"/>
      <c r="CZ23" s="30"/>
      <c r="DA23" s="30"/>
    </row>
    <row r="24" spans="1:105" ht="19.2" thickTop="1" thickBot="1" x14ac:dyDescent="0.4">
      <c r="A24" s="30"/>
      <c r="B24" s="30"/>
      <c r="C24" s="363" t="s">
        <v>261</v>
      </c>
      <c r="D24" s="365" t="s">
        <v>642</v>
      </c>
      <c r="E24" s="35" t="str">
        <f>_xlfn.XLOOKUP(Tabella4[[#This Row],[NOME]],'ROSE SQUADRE'!$N$3:$N$253,'ROSE SQUADRE'!$O$3:$O$253,"")</f>
        <v>PESCICULINI</v>
      </c>
      <c r="F24" s="36" t="s">
        <v>162</v>
      </c>
      <c r="G24" s="43">
        <v>4</v>
      </c>
      <c r="H24" s="43">
        <v>4</v>
      </c>
      <c r="I24" s="44">
        <f t="shared" si="0"/>
        <v>0</v>
      </c>
      <c r="J24" s="37">
        <f t="shared" si="1"/>
        <v>1</v>
      </c>
      <c r="K24" s="178">
        <f t="shared" si="2"/>
        <v>6.5</v>
      </c>
      <c r="L24" s="178">
        <f t="shared" si="3"/>
        <v>6.5</v>
      </c>
      <c r="M24" s="179">
        <f t="shared" si="4"/>
        <v>6.5</v>
      </c>
      <c r="N24" s="45">
        <f t="shared" ca="1" si="5"/>
        <v>0</v>
      </c>
      <c r="O24" s="40">
        <f>SUMIF(Tabella1[Nome],Tabella4[[#This Row],[NOME]],Tabella1[Gf])</f>
        <v>0</v>
      </c>
      <c r="P24" s="40">
        <f>-(SUMIF(Tabella1[Nome],Tabella4[[#This Row],[NOME]],Tabella1[Gs]))</f>
        <v>0</v>
      </c>
      <c r="Q24" s="40">
        <f>SUMIF(Tabella1[Nome],Tabella4[[#This Row],[NOME]],Tabella1[Rp])</f>
        <v>0</v>
      </c>
      <c r="R24" s="40">
        <f>SUMIF(Tabella1[Nome],Tabella4[[#This Row],[NOME]],Tabella1[Rs])</f>
        <v>0</v>
      </c>
      <c r="S24" s="40">
        <f>SUMIF(Tabella1[Nome],Tabella4[[#This Row],[NOME]],Tabella1[Rf])</f>
        <v>0</v>
      </c>
      <c r="T24" s="40">
        <f>SUMIF(Tabella1[Nome],Tabella4[[#This Row],[NOME]],Tabella1[Au])</f>
        <v>0</v>
      </c>
      <c r="U24" s="41">
        <f>SUMIF(Tabella1[Nome],Tabella4[[#This Row],[NOME]],Tabella1[Amm])</f>
        <v>0</v>
      </c>
      <c r="V24" s="42">
        <f>SUMIF(Tabella1[Nome],Tabella4[[#This Row],[NOME]],Tabella1[Esp])</f>
        <v>0</v>
      </c>
      <c r="W24" s="40">
        <f>SUMIF(Tabella1[Nome],Tabella4[[#This Row],[NOME]],Tabella1[Ass])</f>
        <v>0</v>
      </c>
      <c r="X24" s="40">
        <f>SUMIF(Tabella1[Nome],Tabella4[[#This Row],[NOME]],Tabella1[Gdv])</f>
        <v>0</v>
      </c>
      <c r="Y24" s="40">
        <f>SUMIF(Tabella1[Nome],Tabella4[[#This Row],[NOME]],Tabella1[cl sh])</f>
        <v>0</v>
      </c>
      <c r="Z24" s="270" t="str">
        <f>_xlfn.IFNA(_xlfn.XLOOKUP(CONCATENATE(Z$4,$C24),Tabella1[CONC X VOTI IN TAB GIOC],Tabella1[Voto],""),"")</f>
        <v/>
      </c>
      <c r="AA24" s="270" t="str">
        <f>_xlfn.IFNA(_xlfn.XLOOKUP(CONCATENATE(AA$4,$C24),Tabella1[CONC X VOTI IN TAB GIOC],Tabella1[Voto],""),"")</f>
        <v/>
      </c>
      <c r="AB24" s="270" t="str">
        <f>_xlfn.IFNA(_xlfn.XLOOKUP(CONCATENATE(AB$4,$C24),Tabella1[CONC X VOTI IN TAB GIOC],Tabella1[Voto]),"")</f>
        <v/>
      </c>
      <c r="AC24" s="270" cm="1">
        <f t="array" ref="AC24">_xlfn.IFNA(_xlfn.XLOOKUP(CONCATENATE(AC$4,$C24),INDEX(Tabella1[],0,MATCH("CONC X VOTI IN TAB GIOC",Tabella1[#Headers],0)),INDEX(Tabella1[],0,MATCH("Voto",Tabella1[#Headers],0))),"")</f>
        <v>6.5</v>
      </c>
      <c r="AD24" s="270" t="str">
        <f>_xlfn.IFNA(_xlfn.XLOOKUP(CONCATENATE(AD$4,$C24),Tabella1[CONC X VOTI IN TAB GIOC],Tabella1[Voto]),"")</f>
        <v/>
      </c>
      <c r="AE24" s="270" t="str">
        <f>_xlfn.IFNA(VLOOKUP(CONCATENATE(AE$4,$C24),'INSER DATA'!$A:$F,6,0),"")</f>
        <v/>
      </c>
      <c r="AF24" s="270" t="str">
        <f>_xlfn.IFNA(VLOOKUP(CONCATENATE(AF$4,$C24),'INSER DATA'!$A:$F,6,0),"")</f>
        <v/>
      </c>
      <c r="AG24" s="270" t="str">
        <f>_xlfn.IFNA(VLOOKUP(CONCATENATE(AG$4,$C24),'INSER DATA'!$A:$F,6,0),"")</f>
        <v/>
      </c>
      <c r="AH24" s="270" t="str">
        <f>_xlfn.IFNA(VLOOKUP(CONCATENATE(AH$4,$C24),'INSER DATA'!$A:$F,7,0),"")</f>
        <v/>
      </c>
      <c r="AI24" s="270" t="str">
        <f>_xlfn.IFNA(VLOOKUP(CONCATENATE(AI$4,$C24),'INSER DATA'!$A:$F,7,0),"")</f>
        <v/>
      </c>
      <c r="AJ24" s="270" t="str">
        <f>_xlfn.IFNA(VLOOKUP(CONCATENATE(AJ$4,$C24),'INSER DATA'!$A:$F,7,0),"")</f>
        <v/>
      </c>
      <c r="AK24" s="270" t="str">
        <f>_xlfn.IFNA(VLOOKUP(CONCATENATE(AK$4,$C24),'INSER DATA'!$A:$F,7,0),"")</f>
        <v/>
      </c>
      <c r="AL24" s="270" t="str">
        <f>_xlfn.IFNA(VLOOKUP(CONCATENATE(AL$4,$C24),'INSER DATA'!$A:$F,7,0),"")</f>
        <v/>
      </c>
      <c r="AM24" s="270" t="str">
        <f>_xlfn.IFNA(VLOOKUP(CONCATENATE(AM$4,$C24),'INSER DATA'!$A:$F,7,0),"")</f>
        <v/>
      </c>
      <c r="AN24" s="270" t="str">
        <f>_xlfn.IFNA(VLOOKUP(CONCATENATE(AN$4,$C24),'INSER DATA'!$A:$F,7,0),"")</f>
        <v/>
      </c>
      <c r="AO24" s="270" t="str">
        <f>_xlfn.IFNA(VLOOKUP(CONCATENATE(AO$4,$C24),'INSER DATA'!$A:$F,7,0),"")</f>
        <v/>
      </c>
      <c r="AP24" s="270" t="str">
        <f>_xlfn.IFNA(VLOOKUP(CONCATENATE(AP$4,$C24),'INSER DATA'!$A:$F,7,0),"")</f>
        <v/>
      </c>
      <c r="AQ24" s="270" t="str">
        <f>_xlfn.IFNA(VLOOKUP(CONCATENATE(AQ$4,$C24),'INSER DATA'!$A:$F,7,0),"")</f>
        <v/>
      </c>
      <c r="AR24" s="270" t="str">
        <f>_xlfn.IFNA(VLOOKUP(CONCATENATE(AR$4,$C24),'INSER DATA'!$A:$F,7,0),"")</f>
        <v/>
      </c>
      <c r="AS24" s="270" t="str">
        <f>_xlfn.IFNA(VLOOKUP(CONCATENATE(AS$4,$C24),'INSER DATA'!$A:$F,7,0),"")</f>
        <v/>
      </c>
      <c r="AT24" s="270" t="str">
        <f>_xlfn.IFNA(VLOOKUP(CONCATENATE(AT$4,$C24),'INSER DATA'!$A:$F,7,0),"")</f>
        <v/>
      </c>
      <c r="AU24" s="270" t="str">
        <f>_xlfn.IFNA(VLOOKUP(CONCATENATE(AU$4,$C24),'INSER DATA'!$A:$F,7,0),"")</f>
        <v/>
      </c>
      <c r="AV24" s="270" t="str">
        <f>_xlfn.IFNA(VLOOKUP(CONCATENATE(AV$4,$C24),'INSER DATA'!$A:$F,7,0),"")</f>
        <v/>
      </c>
      <c r="AW24" s="270" t="str">
        <f>_xlfn.IFNA(VLOOKUP(CONCATENATE(AW$4,$C24),'INSER DATA'!$A:$F,7,0),"")</f>
        <v/>
      </c>
      <c r="AX24" s="270" t="str">
        <f>_xlfn.IFNA(VLOOKUP(CONCATENATE(AX$4,$C24),'INSER DATA'!$A:$F,7,0),"")</f>
        <v/>
      </c>
      <c r="AY24" s="270" t="str">
        <f>_xlfn.IFNA(VLOOKUP(CONCATENATE(AY$4,$C24),'INSER DATA'!$A:$F,7,0),"")</f>
        <v/>
      </c>
      <c r="AZ24" s="270" t="str">
        <f>_xlfn.IFNA(VLOOKUP(CONCATENATE(AZ$4,$C24),'INSER DATA'!$A:$F,7,0),"")</f>
        <v/>
      </c>
      <c r="BA24" s="270" t="str">
        <f>_xlfn.IFNA(VLOOKUP(CONCATENATE(BA$4,$C24),'INSER DATA'!$A:$F,7,0),"")</f>
        <v/>
      </c>
      <c r="BB24" s="270" t="str">
        <f>_xlfn.IFNA(VLOOKUP(CONCATENATE(BB$4,$C24),'INSER DATA'!$A:$F,7,0),"")</f>
        <v/>
      </c>
      <c r="BC24" s="270" t="str">
        <f>_xlfn.IFNA(VLOOKUP(CONCATENATE(BC$4,$C24),'INSER DATA'!$A:$F,7,0),"")</f>
        <v/>
      </c>
      <c r="BD24" s="270" t="str">
        <f>_xlfn.IFNA(VLOOKUP(CONCATENATE(BD$4,$C24),'INSER DATA'!$A:$F,7,0),"")</f>
        <v/>
      </c>
      <c r="BE24" s="270" t="str">
        <f>_xlfn.IFNA(VLOOKUP(CONCATENATE(BE$4,$C24),'INSER DATA'!$A:$F,7,0),"")</f>
        <v/>
      </c>
      <c r="BF24" s="270" t="str">
        <f>_xlfn.IFNA(VLOOKUP(CONCATENATE(BF$4,$C24),'INSER DATA'!$A:$F,7,0),"")</f>
        <v/>
      </c>
      <c r="BG24" s="270" t="str">
        <f>_xlfn.IFNA(VLOOKUP(CONCATENATE(BG$4,$C24),'INSER DATA'!$A:$F,7,0),"")</f>
        <v/>
      </c>
      <c r="BH24" s="270" t="str">
        <f>_xlfn.IFNA(VLOOKUP(CONCATENATE(BH$4,$C24),'INSER DATA'!$A:$F,7,0),"")</f>
        <v/>
      </c>
      <c r="BI24" s="270" t="str">
        <f>_xlfn.IFNA(VLOOKUP(CONCATENATE(BI$4,$C24),'INSER DATA'!$A:$F,7,0),"")</f>
        <v/>
      </c>
      <c r="BJ24" s="270" t="str">
        <f>_xlfn.IFNA(VLOOKUP(CONCATENATE(BJ$4,$C24),'INSER DATA'!$A:$F,7,0),"")</f>
        <v/>
      </c>
      <c r="BK24" s="270" t="str">
        <f>_xlfn.IFNA(VLOOKUP(CONCATENATE(BK$4,$C24),'INSER DATA'!$A:$F,7,0),"")</f>
        <v/>
      </c>
      <c r="BL24" s="272"/>
      <c r="BM24" s="30"/>
      <c r="BN24" s="30"/>
      <c r="BO24" s="30"/>
      <c r="BP24" s="30"/>
      <c r="BQ24" s="30"/>
      <c r="BR24" s="30"/>
      <c r="BS24" s="30"/>
      <c r="BT24" s="30"/>
      <c r="BU24" s="30"/>
      <c r="BV24" s="30"/>
      <c r="BW24" s="30"/>
      <c r="BX24" s="30"/>
      <c r="BY24" s="30"/>
      <c r="BZ24" s="30"/>
      <c r="CA24" s="30"/>
      <c r="CB24" s="30"/>
      <c r="CC24" s="30"/>
      <c r="CD24" s="30"/>
      <c r="CE24" s="30"/>
      <c r="CF24" s="30"/>
      <c r="CG24" s="30"/>
      <c r="CH24" s="30"/>
      <c r="CI24" s="30"/>
      <c r="CJ24" s="30"/>
      <c r="CK24" s="30"/>
      <c r="CL24" s="30"/>
      <c r="CM24" s="30"/>
      <c r="CN24" s="30"/>
      <c r="CO24" s="30"/>
      <c r="CP24" s="30"/>
      <c r="CQ24" s="30"/>
      <c r="CR24" s="30"/>
      <c r="CS24" s="30"/>
      <c r="CT24" s="30"/>
      <c r="CU24" s="30"/>
      <c r="CV24" s="30"/>
      <c r="CW24" s="30"/>
      <c r="CX24" s="30"/>
      <c r="CY24" s="30"/>
      <c r="CZ24" s="30"/>
      <c r="DA24" s="30"/>
    </row>
    <row r="25" spans="1:105" ht="19.2" thickTop="1" thickBot="1" x14ac:dyDescent="0.4">
      <c r="A25" s="30"/>
      <c r="B25" s="30"/>
      <c r="C25" s="188" t="s">
        <v>354</v>
      </c>
      <c r="D25" s="46" t="s">
        <v>910</v>
      </c>
      <c r="E25" s="35" t="str">
        <f>_xlfn.XLOOKUP(Tabella4[[#This Row],[NOME]],'ROSE SQUADRE'!$N$3:$N$253,'ROSE SQUADRE'!$O$3:$O$253,"")</f>
        <v/>
      </c>
      <c r="F25" s="36" t="s">
        <v>162</v>
      </c>
      <c r="G25" s="43">
        <v>3</v>
      </c>
      <c r="H25" s="43">
        <v>3</v>
      </c>
      <c r="I25" s="44">
        <f t="shared" si="0"/>
        <v>0</v>
      </c>
      <c r="J25" s="37">
        <f t="shared" si="1"/>
        <v>1</v>
      </c>
      <c r="K25" s="178">
        <f t="shared" si="2"/>
        <v>6</v>
      </c>
      <c r="L25" s="178">
        <f t="shared" si="3"/>
        <v>6</v>
      </c>
      <c r="M25" s="179">
        <f t="shared" si="4"/>
        <v>6</v>
      </c>
      <c r="N25" s="45">
        <f t="shared" ca="1" si="5"/>
        <v>0</v>
      </c>
      <c r="O25" s="40">
        <f>SUMIF(Tabella1[Nome],Tabella4[[#This Row],[NOME]],Tabella1[Gf])</f>
        <v>0</v>
      </c>
      <c r="P25" s="40">
        <f>-(SUMIF(Tabella1[Nome],Tabella4[[#This Row],[NOME]],Tabella1[Gs]))</f>
        <v>0</v>
      </c>
      <c r="Q25" s="40">
        <f>SUMIF(Tabella1[Nome],Tabella4[[#This Row],[NOME]],Tabella1[Rp])</f>
        <v>0</v>
      </c>
      <c r="R25" s="40">
        <f>SUMIF(Tabella1[Nome],Tabella4[[#This Row],[NOME]],Tabella1[Rs])</f>
        <v>0</v>
      </c>
      <c r="S25" s="40">
        <f>SUMIF(Tabella1[Nome],Tabella4[[#This Row],[NOME]],Tabella1[Rf])</f>
        <v>0</v>
      </c>
      <c r="T25" s="40">
        <f>SUMIF(Tabella1[Nome],Tabella4[[#This Row],[NOME]],Tabella1[Au])</f>
        <v>0</v>
      </c>
      <c r="U25" s="41">
        <f>SUMIF(Tabella1[Nome],Tabella4[[#This Row],[NOME]],Tabella1[Amm])</f>
        <v>0</v>
      </c>
      <c r="V25" s="42">
        <f>SUMIF(Tabella1[Nome],Tabella4[[#This Row],[NOME]],Tabella1[Esp])</f>
        <v>0</v>
      </c>
      <c r="W25" s="40">
        <f>SUMIF(Tabella1[Nome],Tabella4[[#This Row],[NOME]],Tabella1[Ass])</f>
        <v>0</v>
      </c>
      <c r="X25" s="40">
        <f>SUMIF(Tabella1[Nome],Tabella4[[#This Row],[NOME]],Tabella1[Gdv])</f>
        <v>0</v>
      </c>
      <c r="Y25" s="40">
        <f>SUMIF(Tabella1[Nome],Tabella4[[#This Row],[NOME]],Tabella1[cl sh])</f>
        <v>0</v>
      </c>
      <c r="Z25" s="270" t="str">
        <f>_xlfn.IFNA(_xlfn.XLOOKUP(CONCATENATE(Z$4,$C25),Tabella1[CONC X VOTI IN TAB GIOC],Tabella1[Voto],""),"")</f>
        <v/>
      </c>
      <c r="AA25" s="270" t="str">
        <f>_xlfn.IFNA(_xlfn.XLOOKUP(CONCATENATE(AA$4,$C25),Tabella1[CONC X VOTI IN TAB GIOC],Tabella1[Voto],""),"")</f>
        <v/>
      </c>
      <c r="AB25" s="270">
        <f>_xlfn.IFNA(_xlfn.XLOOKUP(CONCATENATE(AB$4,$C25),Tabella1[CONC X VOTI IN TAB GIOC],Tabella1[Voto]),"")</f>
        <v>6</v>
      </c>
      <c r="AC25" s="270" t="str" cm="1">
        <f t="array" ref="AC25">_xlfn.IFNA(_xlfn.XLOOKUP(CONCATENATE(AC$4,$C25),INDEX(Tabella1[],0,MATCH("CONC X VOTI IN TAB GIOC",Tabella1[#Headers],0)),INDEX(Tabella1[],0,MATCH("Voto",Tabella1[#Headers],0))),"")</f>
        <v/>
      </c>
      <c r="AD25" s="270" t="str">
        <f>_xlfn.IFNA(_xlfn.XLOOKUP(CONCATENATE(AD$4,$C25),Tabella1[CONC X VOTI IN TAB GIOC],Tabella1[Voto]),"")</f>
        <v/>
      </c>
      <c r="AE25" s="270" t="str">
        <f>_xlfn.IFNA(VLOOKUP(CONCATENATE(AE$4,$C25),'INSER DATA'!$A:$F,6,0),"")</f>
        <v/>
      </c>
      <c r="AF25" s="270" t="str">
        <f>_xlfn.IFNA(VLOOKUP(CONCATENATE(AF$4,$C25),'INSER DATA'!$A:$F,6,0),"")</f>
        <v/>
      </c>
      <c r="AG25" s="270" t="str">
        <f>_xlfn.IFNA(VLOOKUP(CONCATENATE(AG$4,$C25),'INSER DATA'!$A:$F,6,0),"")</f>
        <v/>
      </c>
      <c r="AH25" s="270" t="str">
        <f>_xlfn.IFNA(VLOOKUP(CONCATENATE(AH$4,$C25),'INSER DATA'!$A:$F,7,0),"")</f>
        <v/>
      </c>
      <c r="AI25" s="270" t="str">
        <f>_xlfn.IFNA(VLOOKUP(CONCATENATE(AI$4,$C25),'INSER DATA'!$A:$F,7,0),"")</f>
        <v/>
      </c>
      <c r="AJ25" s="270" t="str">
        <f>_xlfn.IFNA(VLOOKUP(CONCATENATE(AJ$4,$C25),'INSER DATA'!$A:$F,7,0),"")</f>
        <v/>
      </c>
      <c r="AK25" s="270" t="str">
        <f>_xlfn.IFNA(VLOOKUP(CONCATENATE(AK$4,$C25),'INSER DATA'!$A:$F,7,0),"")</f>
        <v/>
      </c>
      <c r="AL25" s="270" t="str">
        <f>_xlfn.IFNA(VLOOKUP(CONCATENATE(AL$4,$C25),'INSER DATA'!$A:$F,7,0),"")</f>
        <v/>
      </c>
      <c r="AM25" s="270" t="str">
        <f>_xlfn.IFNA(VLOOKUP(CONCATENATE(AM$4,$C25),'INSER DATA'!$A:$F,7,0),"")</f>
        <v/>
      </c>
      <c r="AN25" s="270" t="str">
        <f>_xlfn.IFNA(VLOOKUP(CONCATENATE(AN$4,$C25),'INSER DATA'!$A:$F,7,0),"")</f>
        <v/>
      </c>
      <c r="AO25" s="270" t="str">
        <f>_xlfn.IFNA(VLOOKUP(CONCATENATE(AO$4,$C25),'INSER DATA'!$A:$F,7,0),"")</f>
        <v/>
      </c>
      <c r="AP25" s="270" t="str">
        <f>_xlfn.IFNA(VLOOKUP(CONCATENATE(AP$4,$C25),'INSER DATA'!$A:$F,7,0),"")</f>
        <v/>
      </c>
      <c r="AQ25" s="270" t="str">
        <f>_xlfn.IFNA(VLOOKUP(CONCATENATE(AQ$4,$C25),'INSER DATA'!$A:$F,7,0),"")</f>
        <v/>
      </c>
      <c r="AR25" s="270" t="str">
        <f>_xlfn.IFNA(VLOOKUP(CONCATENATE(AR$4,$C25),'INSER DATA'!$A:$F,7,0),"")</f>
        <v/>
      </c>
      <c r="AS25" s="270" t="str">
        <f>_xlfn.IFNA(VLOOKUP(CONCATENATE(AS$4,$C25),'INSER DATA'!$A:$F,7,0),"")</f>
        <v/>
      </c>
      <c r="AT25" s="270" t="str">
        <f>_xlfn.IFNA(VLOOKUP(CONCATENATE(AT$4,$C25),'INSER DATA'!$A:$F,7,0),"")</f>
        <v/>
      </c>
      <c r="AU25" s="270" t="str">
        <f>_xlfn.IFNA(VLOOKUP(CONCATENATE(AU$4,$C25),'INSER DATA'!$A:$F,7,0),"")</f>
        <v/>
      </c>
      <c r="AV25" s="270" t="str">
        <f>_xlfn.IFNA(VLOOKUP(CONCATENATE(AV$4,$C25),'INSER DATA'!$A:$F,7,0),"")</f>
        <v/>
      </c>
      <c r="AW25" s="270" t="str">
        <f>_xlfn.IFNA(VLOOKUP(CONCATENATE(AW$4,$C25),'INSER DATA'!$A:$F,7,0),"")</f>
        <v/>
      </c>
      <c r="AX25" s="270" t="str">
        <f>_xlfn.IFNA(VLOOKUP(CONCATENATE(AX$4,$C25),'INSER DATA'!$A:$F,7,0),"")</f>
        <v/>
      </c>
      <c r="AY25" s="270" t="str">
        <f>_xlfn.IFNA(VLOOKUP(CONCATENATE(AY$4,$C25),'INSER DATA'!$A:$F,7,0),"")</f>
        <v/>
      </c>
      <c r="AZ25" s="270" t="str">
        <f>_xlfn.IFNA(VLOOKUP(CONCATENATE(AZ$4,$C25),'INSER DATA'!$A:$F,7,0),"")</f>
        <v/>
      </c>
      <c r="BA25" s="270" t="str">
        <f>_xlfn.IFNA(VLOOKUP(CONCATENATE(BA$4,$C25),'INSER DATA'!$A:$F,7,0),"")</f>
        <v/>
      </c>
      <c r="BB25" s="270" t="str">
        <f>_xlfn.IFNA(VLOOKUP(CONCATENATE(BB$4,$C25),'INSER DATA'!$A:$F,7,0),"")</f>
        <v/>
      </c>
      <c r="BC25" s="270" t="str">
        <f>_xlfn.IFNA(VLOOKUP(CONCATENATE(BC$4,$C25),'INSER DATA'!$A:$F,7,0),"")</f>
        <v/>
      </c>
      <c r="BD25" s="270" t="str">
        <f>_xlfn.IFNA(VLOOKUP(CONCATENATE(BD$4,$C25),'INSER DATA'!$A:$F,7,0),"")</f>
        <v/>
      </c>
      <c r="BE25" s="270" t="str">
        <f>_xlfn.IFNA(VLOOKUP(CONCATENATE(BE$4,$C25),'INSER DATA'!$A:$F,7,0),"")</f>
        <v/>
      </c>
      <c r="BF25" s="270" t="str">
        <f>_xlfn.IFNA(VLOOKUP(CONCATENATE(BF$4,$C25),'INSER DATA'!$A:$F,7,0),"")</f>
        <v/>
      </c>
      <c r="BG25" s="270" t="str">
        <f>_xlfn.IFNA(VLOOKUP(CONCATENATE(BG$4,$C25),'INSER DATA'!$A:$F,7,0),"")</f>
        <v/>
      </c>
      <c r="BH25" s="270" t="str">
        <f>_xlfn.IFNA(VLOOKUP(CONCATENATE(BH$4,$C25),'INSER DATA'!$A:$F,7,0),"")</f>
        <v/>
      </c>
      <c r="BI25" s="270" t="str">
        <f>_xlfn.IFNA(VLOOKUP(CONCATENATE(BI$4,$C25),'INSER DATA'!$A:$F,7,0),"")</f>
        <v/>
      </c>
      <c r="BJ25" s="270" t="str">
        <f>_xlfn.IFNA(VLOOKUP(CONCATENATE(BJ$4,$C25),'INSER DATA'!$A:$F,7,0),"")</f>
        <v/>
      </c>
      <c r="BK25" s="270" t="str">
        <f>_xlfn.IFNA(VLOOKUP(CONCATENATE(BK$4,$C25),'INSER DATA'!$A:$F,7,0),"")</f>
        <v/>
      </c>
      <c r="BL25" s="272"/>
      <c r="BM25" s="30"/>
      <c r="BN25" s="30"/>
      <c r="BO25" s="30"/>
      <c r="BP25" s="30"/>
      <c r="BQ25" s="30"/>
      <c r="BR25" s="30"/>
      <c r="BS25" s="30"/>
      <c r="BT25" s="30"/>
      <c r="BU25" s="30"/>
      <c r="BV25" s="30"/>
      <c r="BW25" s="30"/>
      <c r="BX25" s="30"/>
      <c r="BY25" s="30"/>
      <c r="BZ25" s="30"/>
      <c r="CA25" s="30"/>
      <c r="CB25" s="30"/>
      <c r="CC25" s="30"/>
      <c r="CD25" s="30"/>
      <c r="CE25" s="30"/>
      <c r="CF25" s="30"/>
      <c r="CG25" s="30"/>
      <c r="CH25" s="30"/>
      <c r="CI25" s="30"/>
      <c r="CJ25" s="30"/>
      <c r="CK25" s="30"/>
      <c r="CL25" s="30"/>
      <c r="CM25" s="30"/>
      <c r="CN25" s="30"/>
      <c r="CO25" s="30"/>
      <c r="CP25" s="30"/>
      <c r="CQ25" s="30"/>
      <c r="CR25" s="30"/>
      <c r="CS25" s="30"/>
      <c r="CT25" s="30"/>
      <c r="CU25" s="30"/>
      <c r="CV25" s="30"/>
      <c r="CW25" s="30"/>
      <c r="CX25" s="30"/>
      <c r="CY25" s="30"/>
      <c r="CZ25" s="30"/>
      <c r="DA25" s="30"/>
    </row>
    <row r="26" spans="1:105" ht="19.2" thickTop="1" thickBot="1" x14ac:dyDescent="0.4">
      <c r="A26" s="30"/>
      <c r="B26" s="30"/>
      <c r="C26" s="188" t="s">
        <v>644</v>
      </c>
      <c r="D26" s="46" t="s">
        <v>642</v>
      </c>
      <c r="E26" s="35" t="str">
        <f>_xlfn.XLOOKUP(Tabella4[[#This Row],[NOME]],'ROSE SQUADRE'!$N$3:$N$253,'ROSE SQUADRE'!$O$3:$O$253,"")</f>
        <v/>
      </c>
      <c r="F26" s="36" t="s">
        <v>163</v>
      </c>
      <c r="G26" s="43">
        <v>6</v>
      </c>
      <c r="H26" s="43">
        <v>6</v>
      </c>
      <c r="I26" s="44">
        <f t="shared" si="0"/>
        <v>0</v>
      </c>
      <c r="J26" s="37">
        <f t="shared" si="1"/>
        <v>0</v>
      </c>
      <c r="K26" s="38">
        <f t="shared" si="2"/>
        <v>0</v>
      </c>
      <c r="L26" s="38">
        <f t="shared" si="3"/>
        <v>0</v>
      </c>
      <c r="M26" s="39">
        <f t="shared" si="4"/>
        <v>0</v>
      </c>
      <c r="N26" s="45">
        <f t="shared" ca="1" si="5"/>
        <v>0</v>
      </c>
      <c r="O26" s="40">
        <f>SUMIF(Tabella1[Nome],Tabella4[[#This Row],[NOME]],Tabella1[Gf])</f>
        <v>0</v>
      </c>
      <c r="P26" s="40">
        <f>-(SUMIF(Tabella1[Nome],Tabella4[[#This Row],[NOME]],Tabella1[Gs]))</f>
        <v>0</v>
      </c>
      <c r="Q26" s="40">
        <f>SUMIF(Tabella1[Nome],Tabella4[[#This Row],[NOME]],Tabella1[Rp])</f>
        <v>0</v>
      </c>
      <c r="R26" s="40">
        <f>SUMIF(Tabella1[Nome],Tabella4[[#This Row],[NOME]],Tabella1[Rs])</f>
        <v>0</v>
      </c>
      <c r="S26" s="40">
        <f>SUMIF(Tabella1[Nome],Tabella4[[#This Row],[NOME]],Tabella1[Rf])</f>
        <v>0</v>
      </c>
      <c r="T26" s="40">
        <f>SUMIF(Tabella1[Nome],Tabella4[[#This Row],[NOME]],Tabella1[Au])</f>
        <v>0</v>
      </c>
      <c r="U26" s="41">
        <f>SUMIF(Tabella1[Nome],Tabella4[[#This Row],[NOME]],Tabella1[Amm])</f>
        <v>0</v>
      </c>
      <c r="V26" s="42">
        <f>SUMIF(Tabella1[Nome],Tabella4[[#This Row],[NOME]],Tabella1[Esp])</f>
        <v>0</v>
      </c>
      <c r="W26" s="40">
        <f>SUMIF(Tabella1[Nome],Tabella4[[#This Row],[NOME]],Tabella1[Ass])</f>
        <v>0</v>
      </c>
      <c r="X26" s="40">
        <f>SUMIF(Tabella1[Nome],Tabella4[[#This Row],[NOME]],Tabella1[Gdv])</f>
        <v>0</v>
      </c>
      <c r="Y26" s="40">
        <f>SUMIF(Tabella1[Nome],Tabella4[[#This Row],[NOME]],Tabella1[cl sh])</f>
        <v>0</v>
      </c>
      <c r="Z26" s="270" t="str">
        <f>_xlfn.IFNA(_xlfn.XLOOKUP(CONCATENATE(Z$4,$C26),Tabella1[CONC X VOTI IN TAB GIOC],Tabella1[Voto],""),"")</f>
        <v/>
      </c>
      <c r="AA26" s="270" t="str">
        <f>_xlfn.IFNA(_xlfn.XLOOKUP(CONCATENATE(AA$4,$C26),Tabella1[CONC X VOTI IN TAB GIOC],Tabella1[Voto],""),"")</f>
        <v/>
      </c>
      <c r="AB26" s="270" t="str">
        <f>_xlfn.IFNA(_xlfn.XLOOKUP(CONCATENATE(AB$4,$C26),Tabella1[CONC X VOTI IN TAB GIOC],Tabella1[Voto]),"")</f>
        <v/>
      </c>
      <c r="AC26" s="270" t="str" cm="1">
        <f t="array" ref="AC26">_xlfn.IFNA(_xlfn.XLOOKUP(CONCATENATE(AC$4,$C26),INDEX(Tabella1[],0,MATCH("CONC X VOTI IN TAB GIOC",Tabella1[#Headers],0)),INDEX(Tabella1[],0,MATCH("Voto",Tabella1[#Headers],0))),"")</f>
        <v/>
      </c>
      <c r="AD26" s="270" t="str">
        <f>_xlfn.IFNA(_xlfn.XLOOKUP(CONCATENATE(AD$4,$C26),Tabella1[CONC X VOTI IN TAB GIOC],Tabella1[Voto]),"")</f>
        <v/>
      </c>
      <c r="AE26" s="270" t="str">
        <f>_xlfn.IFNA(VLOOKUP(CONCATENATE(AE$4,$C26),'INSER DATA'!$A:$F,6,0),"")</f>
        <v/>
      </c>
      <c r="AF26" s="270" t="str">
        <f>_xlfn.IFNA(VLOOKUP(CONCATENATE(AF$4,$C26),'INSER DATA'!$A:$F,6,0),"")</f>
        <v/>
      </c>
      <c r="AG26" s="270" t="str">
        <f>_xlfn.IFNA(VLOOKUP(CONCATENATE(AG$4,$C26),'INSER DATA'!$A:$F,6,0),"")</f>
        <v/>
      </c>
      <c r="AH26" s="270" t="str">
        <f>_xlfn.IFNA(VLOOKUP(CONCATENATE(AH$4,$C26),'INSER DATA'!$A:$F,7,0),"")</f>
        <v/>
      </c>
      <c r="AI26" s="270" t="str">
        <f>_xlfn.IFNA(VLOOKUP(CONCATENATE(AI$4,$C26),'INSER DATA'!$A:$F,7,0),"")</f>
        <v/>
      </c>
      <c r="AJ26" s="270" t="str">
        <f>_xlfn.IFNA(VLOOKUP(CONCATENATE(AJ$4,$C26),'INSER DATA'!$A:$F,7,0),"")</f>
        <v/>
      </c>
      <c r="AK26" s="270" t="str">
        <f>_xlfn.IFNA(VLOOKUP(CONCATENATE(AK$4,$C26),'INSER DATA'!$A:$F,7,0),"")</f>
        <v/>
      </c>
      <c r="AL26" s="270" t="str">
        <f>_xlfn.IFNA(VLOOKUP(CONCATENATE(AL$4,$C26),'INSER DATA'!$A:$F,7,0),"")</f>
        <v/>
      </c>
      <c r="AM26" s="270" t="str">
        <f>_xlfn.IFNA(VLOOKUP(CONCATENATE(AM$4,$C26),'INSER DATA'!$A:$F,7,0),"")</f>
        <v/>
      </c>
      <c r="AN26" s="270" t="str">
        <f>_xlfn.IFNA(VLOOKUP(CONCATENATE(AN$4,$C26),'INSER DATA'!$A:$F,7,0),"")</f>
        <v/>
      </c>
      <c r="AO26" s="270" t="str">
        <f>_xlfn.IFNA(VLOOKUP(CONCATENATE(AO$4,$C26),'INSER DATA'!$A:$F,7,0),"")</f>
        <v/>
      </c>
      <c r="AP26" s="270" t="str">
        <f>_xlfn.IFNA(VLOOKUP(CONCATENATE(AP$4,$C26),'INSER DATA'!$A:$F,7,0),"")</f>
        <v/>
      </c>
      <c r="AQ26" s="270" t="str">
        <f>_xlfn.IFNA(VLOOKUP(CONCATENATE(AQ$4,$C26),'INSER DATA'!$A:$F,7,0),"")</f>
        <v/>
      </c>
      <c r="AR26" s="270" t="str">
        <f>_xlfn.IFNA(VLOOKUP(CONCATENATE(AR$4,$C26),'INSER DATA'!$A:$F,7,0),"")</f>
        <v/>
      </c>
      <c r="AS26" s="270" t="str">
        <f>_xlfn.IFNA(VLOOKUP(CONCATENATE(AS$4,$C26),'INSER DATA'!$A:$F,7,0),"")</f>
        <v/>
      </c>
      <c r="AT26" s="270" t="str">
        <f>_xlfn.IFNA(VLOOKUP(CONCATENATE(AT$4,$C26),'INSER DATA'!$A:$F,7,0),"")</f>
        <v/>
      </c>
      <c r="AU26" s="270" t="str">
        <f>_xlfn.IFNA(VLOOKUP(CONCATENATE(AU$4,$C26),'INSER DATA'!$A:$F,7,0),"")</f>
        <v/>
      </c>
      <c r="AV26" s="270" t="str">
        <f>_xlfn.IFNA(VLOOKUP(CONCATENATE(AV$4,$C26),'INSER DATA'!$A:$F,7,0),"")</f>
        <v/>
      </c>
      <c r="AW26" s="270" t="str">
        <f>_xlfn.IFNA(VLOOKUP(CONCATENATE(AW$4,$C26),'INSER DATA'!$A:$F,7,0),"")</f>
        <v/>
      </c>
      <c r="AX26" s="270" t="str">
        <f>_xlfn.IFNA(VLOOKUP(CONCATENATE(AX$4,$C26),'INSER DATA'!$A:$F,7,0),"")</f>
        <v/>
      </c>
      <c r="AY26" s="270" t="str">
        <f>_xlfn.IFNA(VLOOKUP(CONCATENATE(AY$4,$C26),'INSER DATA'!$A:$F,7,0),"")</f>
        <v/>
      </c>
      <c r="AZ26" s="270" t="str">
        <f>_xlfn.IFNA(VLOOKUP(CONCATENATE(AZ$4,$C26),'INSER DATA'!$A:$F,7,0),"")</f>
        <v/>
      </c>
      <c r="BA26" s="270" t="str">
        <f>_xlfn.IFNA(VLOOKUP(CONCATENATE(BA$4,$C26),'INSER DATA'!$A:$F,7,0),"")</f>
        <v/>
      </c>
      <c r="BB26" s="270" t="str">
        <f>_xlfn.IFNA(VLOOKUP(CONCATENATE(BB$4,$C26),'INSER DATA'!$A:$F,7,0),"")</f>
        <v/>
      </c>
      <c r="BC26" s="270" t="str">
        <f>_xlfn.IFNA(VLOOKUP(CONCATENATE(BC$4,$C26),'INSER DATA'!$A:$F,7,0),"")</f>
        <v/>
      </c>
      <c r="BD26" s="270" t="str">
        <f>_xlfn.IFNA(VLOOKUP(CONCATENATE(BD$4,$C26),'INSER DATA'!$A:$F,7,0),"")</f>
        <v/>
      </c>
      <c r="BE26" s="270" t="str">
        <f>_xlfn.IFNA(VLOOKUP(CONCATENATE(BE$4,$C26),'INSER DATA'!$A:$F,7,0),"")</f>
        <v/>
      </c>
      <c r="BF26" s="270" t="str">
        <f>_xlfn.IFNA(VLOOKUP(CONCATENATE(BF$4,$C26),'INSER DATA'!$A:$F,7,0),"")</f>
        <v/>
      </c>
      <c r="BG26" s="270" t="str">
        <f>_xlfn.IFNA(VLOOKUP(CONCATENATE(BG$4,$C26),'INSER DATA'!$A:$F,7,0),"")</f>
        <v/>
      </c>
      <c r="BH26" s="270" t="str">
        <f>_xlfn.IFNA(VLOOKUP(CONCATENATE(BH$4,$C26),'INSER DATA'!$A:$F,7,0),"")</f>
        <v/>
      </c>
      <c r="BI26" s="270" t="str">
        <f>_xlfn.IFNA(VLOOKUP(CONCATENATE(BI$4,$C26),'INSER DATA'!$A:$F,7,0),"")</f>
        <v/>
      </c>
      <c r="BJ26" s="270" t="str">
        <f>_xlfn.IFNA(VLOOKUP(CONCATENATE(BJ$4,$C26),'INSER DATA'!$A:$F,7,0),"")</f>
        <v/>
      </c>
      <c r="BK26" s="270" t="str">
        <f>_xlfn.IFNA(VLOOKUP(CONCATENATE(BK$4,$C26),'INSER DATA'!$A:$F,7,0),"")</f>
        <v/>
      </c>
      <c r="BL26" s="272"/>
      <c r="BM26" s="30"/>
      <c r="BN26" s="30"/>
      <c r="BO26" s="30"/>
      <c r="BP26" s="30"/>
      <c r="BQ26" s="30"/>
      <c r="BR26" s="30"/>
      <c r="BS26" s="30"/>
      <c r="BT26" s="30"/>
      <c r="BU26" s="30"/>
      <c r="BV26" s="30"/>
      <c r="BW26" s="30"/>
      <c r="BX26" s="30"/>
      <c r="BY26" s="30"/>
      <c r="BZ26" s="30"/>
      <c r="CA26" s="30"/>
      <c r="CB26" s="30"/>
      <c r="CC26" s="30"/>
      <c r="CD26" s="30"/>
      <c r="CE26" s="30"/>
      <c r="CF26" s="30"/>
      <c r="CG26" s="30"/>
      <c r="CH26" s="30"/>
      <c r="CI26" s="30"/>
      <c r="CJ26" s="30"/>
      <c r="CK26" s="30"/>
      <c r="CL26" s="30"/>
      <c r="CM26" s="30"/>
      <c r="CN26" s="30"/>
      <c r="CO26" s="30"/>
      <c r="CP26" s="30"/>
      <c r="CQ26" s="30"/>
      <c r="CR26" s="30"/>
      <c r="CS26" s="30"/>
      <c r="CT26" s="30"/>
      <c r="CU26" s="30"/>
      <c r="CV26" s="30"/>
      <c r="CW26" s="30"/>
      <c r="CX26" s="30"/>
      <c r="CY26" s="30"/>
      <c r="CZ26" s="30"/>
      <c r="DA26" s="30"/>
    </row>
    <row r="27" spans="1:105" ht="19.2" thickTop="1" thickBot="1" x14ac:dyDescent="0.4">
      <c r="A27" s="30"/>
      <c r="B27" s="30"/>
      <c r="C27" s="362" t="s">
        <v>656</v>
      </c>
      <c r="D27" s="364" t="s">
        <v>646</v>
      </c>
      <c r="E27" s="35" t="str">
        <f>_xlfn.XLOOKUP(Tabella4[[#This Row],[NOME]],'ROSE SQUADRE'!$N$3:$N$253,'ROSE SQUADRE'!$O$3:$O$253,"")</f>
        <v>AC ASPARAGHESE</v>
      </c>
      <c r="F27" s="36" t="s">
        <v>162</v>
      </c>
      <c r="G27" s="43">
        <v>9</v>
      </c>
      <c r="H27" s="43">
        <v>9</v>
      </c>
      <c r="I27" s="44">
        <f t="shared" si="0"/>
        <v>0</v>
      </c>
      <c r="J27" s="37">
        <f t="shared" si="1"/>
        <v>4</v>
      </c>
      <c r="K27" s="38">
        <f t="shared" si="2"/>
        <v>6.25</v>
      </c>
      <c r="L27" s="38">
        <f t="shared" si="3"/>
        <v>6.25</v>
      </c>
      <c r="M27" s="39">
        <f t="shared" si="4"/>
        <v>25</v>
      </c>
      <c r="N27" s="45">
        <f t="shared" ca="1" si="5"/>
        <v>0</v>
      </c>
      <c r="O27" s="40">
        <f>SUMIF(Tabella1[Nome],Tabella4[[#This Row],[NOME]],Tabella1[Gf])</f>
        <v>0</v>
      </c>
      <c r="P27" s="40">
        <f>-(SUMIF(Tabella1[Nome],Tabella4[[#This Row],[NOME]],Tabella1[Gs]))</f>
        <v>0</v>
      </c>
      <c r="Q27" s="40">
        <f>SUMIF(Tabella1[Nome],Tabella4[[#This Row],[NOME]],Tabella1[Rp])</f>
        <v>0</v>
      </c>
      <c r="R27" s="40">
        <f>SUMIF(Tabella1[Nome],Tabella4[[#This Row],[NOME]],Tabella1[Rs])</f>
        <v>0</v>
      </c>
      <c r="S27" s="40">
        <f>SUMIF(Tabella1[Nome],Tabella4[[#This Row],[NOME]],Tabella1[Rf])</f>
        <v>0</v>
      </c>
      <c r="T27" s="40">
        <f>SUMIF(Tabella1[Nome],Tabella4[[#This Row],[NOME]],Tabella1[Au])</f>
        <v>0</v>
      </c>
      <c r="U27" s="41">
        <f>SUMIF(Tabella1[Nome],Tabella4[[#This Row],[NOME]],Tabella1[Amm])</f>
        <v>0</v>
      </c>
      <c r="V27" s="42">
        <f>SUMIF(Tabella1[Nome],Tabella4[[#This Row],[NOME]],Tabella1[Esp])</f>
        <v>0</v>
      </c>
      <c r="W27" s="40">
        <f>SUMIF(Tabella1[Nome],Tabella4[[#This Row],[NOME]],Tabella1[Ass])</f>
        <v>0</v>
      </c>
      <c r="X27" s="40">
        <f>SUMIF(Tabella1[Nome],Tabella4[[#This Row],[NOME]],Tabella1[Gdv])</f>
        <v>0</v>
      </c>
      <c r="Y27" s="40">
        <f>SUMIF(Tabella1[Nome],Tabella4[[#This Row],[NOME]],Tabella1[cl sh])</f>
        <v>0</v>
      </c>
      <c r="Z27" s="270">
        <f>_xlfn.IFNA(_xlfn.XLOOKUP(CONCATENATE(Z$4,$C27),Tabella1[CONC X VOTI IN TAB GIOC],Tabella1[Voto],""),"")</f>
        <v>6.5</v>
      </c>
      <c r="AA27" s="270">
        <f>_xlfn.IFNA(_xlfn.XLOOKUP(CONCATENATE(AA$4,$C27),Tabella1[CONC X VOTI IN TAB GIOC],Tabella1[Voto],""),"")</f>
        <v>6.5</v>
      </c>
      <c r="AB27" s="270">
        <f>_xlfn.IFNA(_xlfn.XLOOKUP(CONCATENATE(AB$4,$C27),Tabella1[CONC X VOTI IN TAB GIOC],Tabella1[Voto]),"")</f>
        <v>6</v>
      </c>
      <c r="AC27" s="270" cm="1">
        <f t="array" ref="AC27">_xlfn.IFNA(_xlfn.XLOOKUP(CONCATENATE(AC$4,$C27),INDEX(Tabella1[],0,MATCH("CONC X VOTI IN TAB GIOC",Tabella1[#Headers],0)),INDEX(Tabella1[],0,MATCH("Voto",Tabella1[#Headers],0))),"")</f>
        <v>6</v>
      </c>
      <c r="AD27" s="270" t="str">
        <f>_xlfn.IFNA(_xlfn.XLOOKUP(CONCATENATE(AD$4,$C27),Tabella1[CONC X VOTI IN TAB GIOC],Tabella1[Voto]),"")</f>
        <v/>
      </c>
      <c r="AE27" s="270" t="str">
        <f>_xlfn.IFNA(VLOOKUP(CONCATENATE(AE$4,$C27),'INSER DATA'!$A:$F,6,0),"")</f>
        <v/>
      </c>
      <c r="AF27" s="270" t="str">
        <f>_xlfn.IFNA(VLOOKUP(CONCATENATE(AF$4,$C27),'INSER DATA'!$A:$F,6,0),"")</f>
        <v/>
      </c>
      <c r="AG27" s="270" t="str">
        <f>_xlfn.IFNA(VLOOKUP(CONCATENATE(AG$4,$C27),'INSER DATA'!$A:$F,6,0),"")</f>
        <v/>
      </c>
      <c r="AH27" s="270" t="str">
        <f>_xlfn.IFNA(VLOOKUP(CONCATENATE(AH$4,$C27),'INSER DATA'!$A:$F,7,0),"")</f>
        <v/>
      </c>
      <c r="AI27" s="270" t="str">
        <f>_xlfn.IFNA(VLOOKUP(CONCATENATE(AI$4,$C27),'INSER DATA'!$A:$F,7,0),"")</f>
        <v/>
      </c>
      <c r="AJ27" s="270" t="str">
        <f>_xlfn.IFNA(VLOOKUP(CONCATENATE(AJ$4,$C27),'INSER DATA'!$A:$F,7,0),"")</f>
        <v/>
      </c>
      <c r="AK27" s="270" t="str">
        <f>_xlfn.IFNA(VLOOKUP(CONCATENATE(AK$4,$C27),'INSER DATA'!$A:$F,7,0),"")</f>
        <v/>
      </c>
      <c r="AL27" s="270" t="str">
        <f>_xlfn.IFNA(VLOOKUP(CONCATENATE(AL$4,$C27),'INSER DATA'!$A:$F,7,0),"")</f>
        <v/>
      </c>
      <c r="AM27" s="270" t="str">
        <f>_xlfn.IFNA(VLOOKUP(CONCATENATE(AM$4,$C27),'INSER DATA'!$A:$F,7,0),"")</f>
        <v/>
      </c>
      <c r="AN27" s="270" t="str">
        <f>_xlfn.IFNA(VLOOKUP(CONCATENATE(AN$4,$C27),'INSER DATA'!$A:$F,7,0),"")</f>
        <v/>
      </c>
      <c r="AO27" s="270" t="str">
        <f>_xlfn.IFNA(VLOOKUP(CONCATENATE(AO$4,$C27),'INSER DATA'!$A:$F,7,0),"")</f>
        <v/>
      </c>
      <c r="AP27" s="270" t="str">
        <f>_xlfn.IFNA(VLOOKUP(CONCATENATE(AP$4,$C27),'INSER DATA'!$A:$F,7,0),"")</f>
        <v/>
      </c>
      <c r="AQ27" s="270" t="str">
        <f>_xlfn.IFNA(VLOOKUP(CONCATENATE(AQ$4,$C27),'INSER DATA'!$A:$F,7,0),"")</f>
        <v/>
      </c>
      <c r="AR27" s="270" t="str">
        <f>_xlfn.IFNA(VLOOKUP(CONCATENATE(AR$4,$C27),'INSER DATA'!$A:$F,7,0),"")</f>
        <v/>
      </c>
      <c r="AS27" s="270" t="str">
        <f>_xlfn.IFNA(VLOOKUP(CONCATENATE(AS$4,$C27),'INSER DATA'!$A:$F,7,0),"")</f>
        <v/>
      </c>
      <c r="AT27" s="270" t="str">
        <f>_xlfn.IFNA(VLOOKUP(CONCATENATE(AT$4,$C27),'INSER DATA'!$A:$F,7,0),"")</f>
        <v/>
      </c>
      <c r="AU27" s="270" t="str">
        <f>_xlfn.IFNA(VLOOKUP(CONCATENATE(AU$4,$C27),'INSER DATA'!$A:$F,7,0),"")</f>
        <v/>
      </c>
      <c r="AV27" s="270" t="str">
        <f>_xlfn.IFNA(VLOOKUP(CONCATENATE(AV$4,$C27),'INSER DATA'!$A:$F,7,0),"")</f>
        <v/>
      </c>
      <c r="AW27" s="270" t="str">
        <f>_xlfn.IFNA(VLOOKUP(CONCATENATE(AW$4,$C27),'INSER DATA'!$A:$F,7,0),"")</f>
        <v/>
      </c>
      <c r="AX27" s="270" t="str">
        <f>_xlfn.IFNA(VLOOKUP(CONCATENATE(AX$4,$C27),'INSER DATA'!$A:$F,7,0),"")</f>
        <v/>
      </c>
      <c r="AY27" s="270" t="str">
        <f>_xlfn.IFNA(VLOOKUP(CONCATENATE(AY$4,$C27),'INSER DATA'!$A:$F,7,0),"")</f>
        <v/>
      </c>
      <c r="AZ27" s="270" t="str">
        <f>_xlfn.IFNA(VLOOKUP(CONCATENATE(AZ$4,$C27),'INSER DATA'!$A:$F,7,0),"")</f>
        <v/>
      </c>
      <c r="BA27" s="270" t="str">
        <f>_xlfn.IFNA(VLOOKUP(CONCATENATE(BA$4,$C27),'INSER DATA'!$A:$F,7,0),"")</f>
        <v/>
      </c>
      <c r="BB27" s="270" t="str">
        <f>_xlfn.IFNA(VLOOKUP(CONCATENATE(BB$4,$C27),'INSER DATA'!$A:$F,7,0),"")</f>
        <v/>
      </c>
      <c r="BC27" s="270" t="str">
        <f>_xlfn.IFNA(VLOOKUP(CONCATENATE(BC$4,$C27),'INSER DATA'!$A:$F,7,0),"")</f>
        <v/>
      </c>
      <c r="BD27" s="270" t="str">
        <f>_xlfn.IFNA(VLOOKUP(CONCATENATE(BD$4,$C27),'INSER DATA'!$A:$F,7,0),"")</f>
        <v/>
      </c>
      <c r="BE27" s="270" t="str">
        <f>_xlfn.IFNA(VLOOKUP(CONCATENATE(BE$4,$C27),'INSER DATA'!$A:$F,7,0),"")</f>
        <v/>
      </c>
      <c r="BF27" s="270" t="str">
        <f>_xlfn.IFNA(VLOOKUP(CONCATENATE(BF$4,$C27),'INSER DATA'!$A:$F,7,0),"")</f>
        <v/>
      </c>
      <c r="BG27" s="270" t="str">
        <f>_xlfn.IFNA(VLOOKUP(CONCATENATE(BG$4,$C27),'INSER DATA'!$A:$F,7,0),"")</f>
        <v/>
      </c>
      <c r="BH27" s="270" t="str">
        <f>_xlfn.IFNA(VLOOKUP(CONCATENATE(BH$4,$C27),'INSER DATA'!$A:$F,7,0),"")</f>
        <v/>
      </c>
      <c r="BI27" s="270" t="str">
        <f>_xlfn.IFNA(VLOOKUP(CONCATENATE(BI$4,$C27),'INSER DATA'!$A:$F,7,0),"")</f>
        <v/>
      </c>
      <c r="BJ27" s="270" t="str">
        <f>_xlfn.IFNA(VLOOKUP(CONCATENATE(BJ$4,$C27),'INSER DATA'!$A:$F,7,0),"")</f>
        <v/>
      </c>
      <c r="BK27" s="270" t="str">
        <f>_xlfn.IFNA(VLOOKUP(CONCATENATE(BK$4,$C27),'INSER DATA'!$A:$F,7,0),"")</f>
        <v/>
      </c>
      <c r="BL27" s="272"/>
      <c r="BM27" s="30"/>
      <c r="BN27" s="30"/>
      <c r="BO27" s="30"/>
      <c r="BP27" s="30"/>
      <c r="BQ27" s="30"/>
      <c r="BR27" s="30"/>
      <c r="BS27" s="30"/>
      <c r="BT27" s="30"/>
      <c r="BU27" s="30"/>
      <c r="BV27" s="30"/>
      <c r="BW27" s="30"/>
      <c r="BX27" s="30"/>
      <c r="BY27" s="30"/>
      <c r="BZ27" s="30"/>
      <c r="CA27" s="30"/>
      <c r="CB27" s="30"/>
      <c r="CC27" s="30"/>
      <c r="CD27" s="30"/>
      <c r="CE27" s="30"/>
      <c r="CF27" s="30"/>
      <c r="CG27" s="30"/>
      <c r="CH27" s="30"/>
      <c r="CI27" s="30"/>
      <c r="CJ27" s="30"/>
      <c r="CK27" s="30"/>
      <c r="CL27" s="30"/>
      <c r="CM27" s="30"/>
      <c r="CN27" s="30"/>
      <c r="CO27" s="30"/>
      <c r="CP27" s="30"/>
      <c r="CQ27" s="30"/>
      <c r="CR27" s="30"/>
      <c r="CS27" s="30"/>
      <c r="CT27" s="30"/>
      <c r="CU27" s="30"/>
      <c r="CV27" s="30"/>
      <c r="CW27" s="30"/>
      <c r="CX27" s="30"/>
      <c r="CY27" s="30"/>
      <c r="CZ27" s="30"/>
      <c r="DA27" s="30"/>
    </row>
    <row r="28" spans="1:105" ht="19.2" thickTop="1" thickBot="1" x14ac:dyDescent="0.4">
      <c r="A28" s="30"/>
      <c r="B28" s="30"/>
      <c r="C28" s="363" t="s">
        <v>652</v>
      </c>
      <c r="D28" s="364" t="s">
        <v>646</v>
      </c>
      <c r="E28" s="35" t="str">
        <f>_xlfn.XLOOKUP(Tabella4[[#This Row],[NOME]],'ROSE SQUADRE'!$N$3:$N$253,'ROSE SQUADRE'!$O$3:$O$253,"")</f>
        <v>SESTO ASENSIO</v>
      </c>
      <c r="F28" s="36" t="s">
        <v>161</v>
      </c>
      <c r="G28" s="43">
        <v>5</v>
      </c>
      <c r="H28" s="43">
        <v>5</v>
      </c>
      <c r="I28" s="44">
        <f t="shared" si="0"/>
        <v>0</v>
      </c>
      <c r="J28" s="37">
        <f t="shared" si="1"/>
        <v>4</v>
      </c>
      <c r="K28" s="38">
        <f t="shared" si="2"/>
        <v>6.125</v>
      </c>
      <c r="L28" s="38">
        <f t="shared" si="3"/>
        <v>6</v>
      </c>
      <c r="M28" s="39">
        <f t="shared" si="4"/>
        <v>24</v>
      </c>
      <c r="N28" s="45">
        <f t="shared" ca="1" si="5"/>
        <v>0</v>
      </c>
      <c r="O28" s="40">
        <f>SUMIF(Tabella1[Nome],Tabella4[[#This Row],[NOME]],Tabella1[Gf])</f>
        <v>0</v>
      </c>
      <c r="P28" s="40">
        <f>-(SUMIF(Tabella1[Nome],Tabella4[[#This Row],[NOME]],Tabella1[Gs]))</f>
        <v>0</v>
      </c>
      <c r="Q28" s="40">
        <f>SUMIF(Tabella1[Nome],Tabella4[[#This Row],[NOME]],Tabella1[Rp])</f>
        <v>0</v>
      </c>
      <c r="R28" s="40">
        <f>SUMIF(Tabella1[Nome],Tabella4[[#This Row],[NOME]],Tabella1[Rs])</f>
        <v>0</v>
      </c>
      <c r="S28" s="40">
        <f>SUMIF(Tabella1[Nome],Tabella4[[#This Row],[NOME]],Tabella1[Rf])</f>
        <v>0</v>
      </c>
      <c r="T28" s="40">
        <f>SUMIF(Tabella1[Nome],Tabella4[[#This Row],[NOME]],Tabella1[Au])</f>
        <v>0</v>
      </c>
      <c r="U28" s="41">
        <f>SUMIF(Tabella1[Nome],Tabella4[[#This Row],[NOME]],Tabella1[Amm])</f>
        <v>1</v>
      </c>
      <c r="V28" s="42">
        <f>SUMIF(Tabella1[Nome],Tabella4[[#This Row],[NOME]],Tabella1[Esp])</f>
        <v>0</v>
      </c>
      <c r="W28" s="40">
        <f>SUMIF(Tabella1[Nome],Tabella4[[#This Row],[NOME]],Tabella1[Ass])</f>
        <v>0</v>
      </c>
      <c r="X28" s="40">
        <f>SUMIF(Tabella1[Nome],Tabella4[[#This Row],[NOME]],Tabella1[Gdv])</f>
        <v>0</v>
      </c>
      <c r="Y28" s="40">
        <f>SUMIF(Tabella1[Nome],Tabella4[[#This Row],[NOME]],Tabella1[cl sh])</f>
        <v>0</v>
      </c>
      <c r="Z28" s="270">
        <f>_xlfn.IFNA(_xlfn.XLOOKUP(CONCATENATE(Z$4,$C28),Tabella1[CONC X VOTI IN TAB GIOC],Tabella1[Voto],""),"")</f>
        <v>6</v>
      </c>
      <c r="AA28" s="270">
        <f>_xlfn.IFNA(_xlfn.XLOOKUP(CONCATENATE(AA$4,$C28),Tabella1[CONC X VOTI IN TAB GIOC],Tabella1[Voto],""),"")</f>
        <v>6.5</v>
      </c>
      <c r="AB28" s="270">
        <f>_xlfn.IFNA(_xlfn.XLOOKUP(CONCATENATE(AB$4,$C28),Tabella1[CONC X VOTI IN TAB GIOC],Tabella1[Voto]),"")</f>
        <v>6</v>
      </c>
      <c r="AC28" s="270" cm="1">
        <f t="array" ref="AC28">_xlfn.IFNA(_xlfn.XLOOKUP(CONCATENATE(AC$4,$C28),INDEX(Tabella1[],0,MATCH("CONC X VOTI IN TAB GIOC",Tabella1[#Headers],0)),INDEX(Tabella1[],0,MATCH("Voto",Tabella1[#Headers],0))),"")</f>
        <v>6</v>
      </c>
      <c r="AD28" s="270" t="str">
        <f>_xlfn.IFNA(_xlfn.XLOOKUP(CONCATENATE(AD$4,$C28),Tabella1[CONC X VOTI IN TAB GIOC],Tabella1[Voto]),"")</f>
        <v/>
      </c>
      <c r="AE28" s="270" t="str">
        <f>_xlfn.IFNA(VLOOKUP(CONCATENATE(AE$4,$C28),'INSER DATA'!$A:$F,6,0),"")</f>
        <v/>
      </c>
      <c r="AF28" s="270" t="str">
        <f>_xlfn.IFNA(VLOOKUP(CONCATENATE(AF$4,$C28),'INSER DATA'!$A:$F,6,0),"")</f>
        <v/>
      </c>
      <c r="AG28" s="270" t="str">
        <f>_xlfn.IFNA(VLOOKUP(CONCATENATE(AG$4,$C28),'INSER DATA'!$A:$F,6,0),"")</f>
        <v/>
      </c>
      <c r="AH28" s="270" t="str">
        <f>_xlfn.IFNA(VLOOKUP(CONCATENATE(AH$4,$C28),'INSER DATA'!$A:$F,7,0),"")</f>
        <v/>
      </c>
      <c r="AI28" s="270" t="str">
        <f>_xlfn.IFNA(VLOOKUP(CONCATENATE(AI$4,$C28),'INSER DATA'!$A:$F,7,0),"")</f>
        <v/>
      </c>
      <c r="AJ28" s="270" t="str">
        <f>_xlfn.IFNA(VLOOKUP(CONCATENATE(AJ$4,$C28),'INSER DATA'!$A:$F,7,0),"")</f>
        <v/>
      </c>
      <c r="AK28" s="270" t="str">
        <f>_xlfn.IFNA(VLOOKUP(CONCATENATE(AK$4,$C28),'INSER DATA'!$A:$F,7,0),"")</f>
        <v/>
      </c>
      <c r="AL28" s="270" t="str">
        <f>_xlfn.IFNA(VLOOKUP(CONCATENATE(AL$4,$C28),'INSER DATA'!$A:$F,7,0),"")</f>
        <v/>
      </c>
      <c r="AM28" s="270" t="str">
        <f>_xlfn.IFNA(VLOOKUP(CONCATENATE(AM$4,$C28),'INSER DATA'!$A:$F,7,0),"")</f>
        <v/>
      </c>
      <c r="AN28" s="270" t="str">
        <f>_xlfn.IFNA(VLOOKUP(CONCATENATE(AN$4,$C28),'INSER DATA'!$A:$F,7,0),"")</f>
        <v/>
      </c>
      <c r="AO28" s="270" t="str">
        <f>_xlfn.IFNA(VLOOKUP(CONCATENATE(AO$4,$C28),'INSER DATA'!$A:$F,7,0),"")</f>
        <v/>
      </c>
      <c r="AP28" s="270" t="str">
        <f>_xlfn.IFNA(VLOOKUP(CONCATENATE(AP$4,$C28),'INSER DATA'!$A:$F,7,0),"")</f>
        <v/>
      </c>
      <c r="AQ28" s="270" t="str">
        <f>_xlfn.IFNA(VLOOKUP(CONCATENATE(AQ$4,$C28),'INSER DATA'!$A:$F,7,0),"")</f>
        <v/>
      </c>
      <c r="AR28" s="270" t="str">
        <f>_xlfn.IFNA(VLOOKUP(CONCATENATE(AR$4,$C28),'INSER DATA'!$A:$F,7,0),"")</f>
        <v/>
      </c>
      <c r="AS28" s="270" t="str">
        <f>_xlfn.IFNA(VLOOKUP(CONCATENATE(AS$4,$C28),'INSER DATA'!$A:$F,7,0),"")</f>
        <v/>
      </c>
      <c r="AT28" s="270" t="str">
        <f>_xlfn.IFNA(VLOOKUP(CONCATENATE(AT$4,$C28),'INSER DATA'!$A:$F,7,0),"")</f>
        <v/>
      </c>
      <c r="AU28" s="270" t="str">
        <f>_xlfn.IFNA(VLOOKUP(CONCATENATE(AU$4,$C28),'INSER DATA'!$A:$F,7,0),"")</f>
        <v/>
      </c>
      <c r="AV28" s="270" t="str">
        <f>_xlfn.IFNA(VLOOKUP(CONCATENATE(AV$4,$C28),'INSER DATA'!$A:$F,7,0),"")</f>
        <v/>
      </c>
      <c r="AW28" s="270" t="str">
        <f>_xlfn.IFNA(VLOOKUP(CONCATENATE(AW$4,$C28),'INSER DATA'!$A:$F,7,0),"")</f>
        <v/>
      </c>
      <c r="AX28" s="270" t="str">
        <f>_xlfn.IFNA(VLOOKUP(CONCATENATE(AX$4,$C28),'INSER DATA'!$A:$F,7,0),"")</f>
        <v/>
      </c>
      <c r="AY28" s="270" t="str">
        <f>_xlfn.IFNA(VLOOKUP(CONCATENATE(AY$4,$C28),'INSER DATA'!$A:$F,7,0),"")</f>
        <v/>
      </c>
      <c r="AZ28" s="270" t="str">
        <f>_xlfn.IFNA(VLOOKUP(CONCATENATE(AZ$4,$C28),'INSER DATA'!$A:$F,7,0),"")</f>
        <v/>
      </c>
      <c r="BA28" s="270" t="str">
        <f>_xlfn.IFNA(VLOOKUP(CONCATENATE(BA$4,$C28),'INSER DATA'!$A:$F,7,0),"")</f>
        <v/>
      </c>
      <c r="BB28" s="270" t="str">
        <f>_xlfn.IFNA(VLOOKUP(CONCATENATE(BB$4,$C28),'INSER DATA'!$A:$F,7,0),"")</f>
        <v/>
      </c>
      <c r="BC28" s="270" t="str">
        <f>_xlfn.IFNA(VLOOKUP(CONCATENATE(BC$4,$C28),'INSER DATA'!$A:$F,7,0),"")</f>
        <v/>
      </c>
      <c r="BD28" s="270" t="str">
        <f>_xlfn.IFNA(VLOOKUP(CONCATENATE(BD$4,$C28),'INSER DATA'!$A:$F,7,0),"")</f>
        <v/>
      </c>
      <c r="BE28" s="270" t="str">
        <f>_xlfn.IFNA(VLOOKUP(CONCATENATE(BE$4,$C28),'INSER DATA'!$A:$F,7,0),"")</f>
        <v/>
      </c>
      <c r="BF28" s="270" t="str">
        <f>_xlfn.IFNA(VLOOKUP(CONCATENATE(BF$4,$C28),'INSER DATA'!$A:$F,7,0),"")</f>
        <v/>
      </c>
      <c r="BG28" s="270" t="str">
        <f>_xlfn.IFNA(VLOOKUP(CONCATENATE(BG$4,$C28),'INSER DATA'!$A:$F,7,0),"")</f>
        <v/>
      </c>
      <c r="BH28" s="270" t="str">
        <f>_xlfn.IFNA(VLOOKUP(CONCATENATE(BH$4,$C28),'INSER DATA'!$A:$F,7,0),"")</f>
        <v/>
      </c>
      <c r="BI28" s="270" t="str">
        <f>_xlfn.IFNA(VLOOKUP(CONCATENATE(BI$4,$C28),'INSER DATA'!$A:$F,7,0),"")</f>
        <v/>
      </c>
      <c r="BJ28" s="270" t="str">
        <f>_xlfn.IFNA(VLOOKUP(CONCATENATE(BJ$4,$C28),'INSER DATA'!$A:$F,7,0),"")</f>
        <v/>
      </c>
      <c r="BK28" s="270" t="str">
        <f>_xlfn.IFNA(VLOOKUP(CONCATENATE(BK$4,$C28),'INSER DATA'!$A:$F,7,0),"")</f>
        <v/>
      </c>
      <c r="BL28" s="272"/>
      <c r="BM28" s="30"/>
      <c r="BN28" s="30"/>
      <c r="BO28" s="30"/>
      <c r="BP28" s="30"/>
      <c r="BQ28" s="30"/>
      <c r="BR28" s="30"/>
      <c r="BS28" s="30"/>
      <c r="BT28" s="30"/>
      <c r="BU28" s="30"/>
      <c r="BV28" s="30"/>
      <c r="BW28" s="30"/>
      <c r="BX28" s="30"/>
      <c r="BY28" s="30"/>
      <c r="BZ28" s="30"/>
      <c r="CA28" s="30"/>
      <c r="CB28" s="30"/>
      <c r="CC28" s="30"/>
      <c r="CD28" s="30"/>
      <c r="CE28" s="30"/>
      <c r="CF28" s="30"/>
      <c r="CG28" s="30"/>
      <c r="CH28" s="30"/>
      <c r="CI28" s="30"/>
      <c r="CJ28" s="30"/>
      <c r="CK28" s="30"/>
      <c r="CL28" s="30"/>
      <c r="CM28" s="30"/>
      <c r="CN28" s="30"/>
      <c r="CO28" s="30"/>
      <c r="CP28" s="30"/>
      <c r="CQ28" s="30"/>
      <c r="CR28" s="30"/>
      <c r="CS28" s="30"/>
      <c r="CT28" s="30"/>
      <c r="CU28" s="30"/>
      <c r="CV28" s="30"/>
      <c r="CW28" s="30"/>
      <c r="CX28" s="30"/>
      <c r="CY28" s="30"/>
      <c r="CZ28" s="30"/>
      <c r="DA28" s="30"/>
    </row>
    <row r="29" spans="1:105" ht="19.2" thickTop="1" thickBot="1" x14ac:dyDescent="0.4">
      <c r="A29" s="30"/>
      <c r="B29" s="30"/>
      <c r="C29" s="188" t="s">
        <v>648</v>
      </c>
      <c r="D29" s="46" t="s">
        <v>646</v>
      </c>
      <c r="E29" s="35" t="str">
        <f>_xlfn.XLOOKUP(Tabella4[[#This Row],[NOME]],'ROSE SQUADRE'!$N$3:$N$253,'ROSE SQUADRE'!$O$3:$O$253,"")</f>
        <v/>
      </c>
      <c r="F29" s="36" t="s">
        <v>161</v>
      </c>
      <c r="G29" s="43">
        <v>2</v>
      </c>
      <c r="H29" s="43">
        <v>2</v>
      </c>
      <c r="I29" s="44">
        <f t="shared" si="0"/>
        <v>0</v>
      </c>
      <c r="J29" s="37">
        <f t="shared" si="1"/>
        <v>2</v>
      </c>
      <c r="K29" s="178">
        <f t="shared" si="2"/>
        <v>5.75</v>
      </c>
      <c r="L29" s="178">
        <f t="shared" si="3"/>
        <v>5.75</v>
      </c>
      <c r="M29" s="179">
        <f t="shared" si="4"/>
        <v>11.5</v>
      </c>
      <c r="N29" s="45">
        <f t="shared" ca="1" si="5"/>
        <v>0</v>
      </c>
      <c r="O29" s="40">
        <f>SUMIF(Tabella1[Nome],Tabella4[[#This Row],[NOME]],Tabella1[Gf])</f>
        <v>0</v>
      </c>
      <c r="P29" s="40">
        <f>-(SUMIF(Tabella1[Nome],Tabella4[[#This Row],[NOME]],Tabella1[Gs]))</f>
        <v>0</v>
      </c>
      <c r="Q29" s="40">
        <f>SUMIF(Tabella1[Nome],Tabella4[[#This Row],[NOME]],Tabella1[Rp])</f>
        <v>0</v>
      </c>
      <c r="R29" s="40">
        <f>SUMIF(Tabella1[Nome],Tabella4[[#This Row],[NOME]],Tabella1[Rs])</f>
        <v>0</v>
      </c>
      <c r="S29" s="40">
        <f>SUMIF(Tabella1[Nome],Tabella4[[#This Row],[NOME]],Tabella1[Rf])</f>
        <v>0</v>
      </c>
      <c r="T29" s="40">
        <f>SUMIF(Tabella1[Nome],Tabella4[[#This Row],[NOME]],Tabella1[Au])</f>
        <v>0</v>
      </c>
      <c r="U29" s="41">
        <f>SUMIF(Tabella1[Nome],Tabella4[[#This Row],[NOME]],Tabella1[Amm])</f>
        <v>0</v>
      </c>
      <c r="V29" s="42">
        <f>SUMIF(Tabella1[Nome],Tabella4[[#This Row],[NOME]],Tabella1[Esp])</f>
        <v>0</v>
      </c>
      <c r="W29" s="40">
        <f>SUMIF(Tabella1[Nome],Tabella4[[#This Row],[NOME]],Tabella1[Ass])</f>
        <v>0</v>
      </c>
      <c r="X29" s="40">
        <f>SUMIF(Tabella1[Nome],Tabella4[[#This Row],[NOME]],Tabella1[Gdv])</f>
        <v>0</v>
      </c>
      <c r="Y29" s="40">
        <f>SUMIF(Tabella1[Nome],Tabella4[[#This Row],[NOME]],Tabella1[cl sh])</f>
        <v>0</v>
      </c>
      <c r="Z29" s="270" t="str">
        <f>_xlfn.IFNA(_xlfn.XLOOKUP(CONCATENATE(Z$4,$C29),Tabella1[CONC X VOTI IN TAB GIOC],Tabella1[Voto],""),"")</f>
        <v/>
      </c>
      <c r="AA29" s="270">
        <f>_xlfn.IFNA(_xlfn.XLOOKUP(CONCATENATE(AA$4,$C29),Tabella1[CONC X VOTI IN TAB GIOC],Tabella1[Voto],""),"")</f>
        <v>6</v>
      </c>
      <c r="AB29" s="270">
        <f>_xlfn.IFNA(_xlfn.XLOOKUP(CONCATENATE(AB$4,$C29),Tabella1[CONC X VOTI IN TAB GIOC],Tabella1[Voto]),"")</f>
        <v>5.5</v>
      </c>
      <c r="AC29" s="270" t="str" cm="1">
        <f t="array" ref="AC29">_xlfn.IFNA(_xlfn.XLOOKUP(CONCATENATE(AC$4,$C29),INDEX(Tabella1[],0,MATCH("CONC X VOTI IN TAB GIOC",Tabella1[#Headers],0)),INDEX(Tabella1[],0,MATCH("Voto",Tabella1[#Headers],0))),"")</f>
        <v/>
      </c>
      <c r="AD29" s="270" t="str">
        <f>_xlfn.IFNA(_xlfn.XLOOKUP(CONCATENATE(AD$4,$C29),Tabella1[CONC X VOTI IN TAB GIOC],Tabella1[Voto]),"")</f>
        <v/>
      </c>
      <c r="AE29" s="270" t="str">
        <f>_xlfn.IFNA(VLOOKUP(CONCATENATE(AE$4,$C29),'INSER DATA'!$A:$F,6,0),"")</f>
        <v/>
      </c>
      <c r="AF29" s="270" t="str">
        <f>_xlfn.IFNA(VLOOKUP(CONCATENATE(AF$4,$C29),'INSER DATA'!$A:$F,6,0),"")</f>
        <v/>
      </c>
      <c r="AG29" s="270" t="str">
        <f>_xlfn.IFNA(VLOOKUP(CONCATENATE(AG$4,$C29),'INSER DATA'!$A:$F,6,0),"")</f>
        <v/>
      </c>
      <c r="AH29" s="270" t="str">
        <f>_xlfn.IFNA(VLOOKUP(CONCATENATE(AH$4,$C29),'INSER DATA'!$A:$F,7,0),"")</f>
        <v/>
      </c>
      <c r="AI29" s="270" t="str">
        <f>_xlfn.IFNA(VLOOKUP(CONCATENATE(AI$4,$C29),'INSER DATA'!$A:$F,7,0),"")</f>
        <v/>
      </c>
      <c r="AJ29" s="270" t="str">
        <f>_xlfn.IFNA(VLOOKUP(CONCATENATE(AJ$4,$C29),'INSER DATA'!$A:$F,7,0),"")</f>
        <v/>
      </c>
      <c r="AK29" s="270" t="str">
        <f>_xlfn.IFNA(VLOOKUP(CONCATENATE(AK$4,$C29),'INSER DATA'!$A:$F,7,0),"")</f>
        <v/>
      </c>
      <c r="AL29" s="270" t="str">
        <f>_xlfn.IFNA(VLOOKUP(CONCATENATE(AL$4,$C29),'INSER DATA'!$A:$F,7,0),"")</f>
        <v/>
      </c>
      <c r="AM29" s="270" t="str">
        <f>_xlfn.IFNA(VLOOKUP(CONCATENATE(AM$4,$C29),'INSER DATA'!$A:$F,7,0),"")</f>
        <v/>
      </c>
      <c r="AN29" s="270" t="str">
        <f>_xlfn.IFNA(VLOOKUP(CONCATENATE(AN$4,$C29),'INSER DATA'!$A:$F,7,0),"")</f>
        <v/>
      </c>
      <c r="AO29" s="270" t="str">
        <f>_xlfn.IFNA(VLOOKUP(CONCATENATE(AO$4,$C29),'INSER DATA'!$A:$F,7,0),"")</f>
        <v/>
      </c>
      <c r="AP29" s="270" t="str">
        <f>_xlfn.IFNA(VLOOKUP(CONCATENATE(AP$4,$C29),'INSER DATA'!$A:$F,7,0),"")</f>
        <v/>
      </c>
      <c r="AQ29" s="270" t="str">
        <f>_xlfn.IFNA(VLOOKUP(CONCATENATE(AQ$4,$C29),'INSER DATA'!$A:$F,7,0),"")</f>
        <v/>
      </c>
      <c r="AR29" s="270" t="str">
        <f>_xlfn.IFNA(VLOOKUP(CONCATENATE(AR$4,$C29),'INSER DATA'!$A:$F,7,0),"")</f>
        <v/>
      </c>
      <c r="AS29" s="270" t="str">
        <f>_xlfn.IFNA(VLOOKUP(CONCATENATE(AS$4,$C29),'INSER DATA'!$A:$F,7,0),"")</f>
        <v/>
      </c>
      <c r="AT29" s="270" t="str">
        <f>_xlfn.IFNA(VLOOKUP(CONCATENATE(AT$4,$C29),'INSER DATA'!$A:$F,7,0),"")</f>
        <v/>
      </c>
      <c r="AU29" s="270" t="str">
        <f>_xlfn.IFNA(VLOOKUP(CONCATENATE(AU$4,$C29),'INSER DATA'!$A:$F,7,0),"")</f>
        <v/>
      </c>
      <c r="AV29" s="270" t="str">
        <f>_xlfn.IFNA(VLOOKUP(CONCATENATE(AV$4,$C29),'INSER DATA'!$A:$F,7,0),"")</f>
        <v/>
      </c>
      <c r="AW29" s="270" t="str">
        <f>_xlfn.IFNA(VLOOKUP(CONCATENATE(AW$4,$C29),'INSER DATA'!$A:$F,7,0),"")</f>
        <v/>
      </c>
      <c r="AX29" s="270" t="str">
        <f>_xlfn.IFNA(VLOOKUP(CONCATENATE(AX$4,$C29),'INSER DATA'!$A:$F,7,0),"")</f>
        <v/>
      </c>
      <c r="AY29" s="270" t="str">
        <f>_xlfn.IFNA(VLOOKUP(CONCATENATE(AY$4,$C29),'INSER DATA'!$A:$F,7,0),"")</f>
        <v/>
      </c>
      <c r="AZ29" s="270" t="str">
        <f>_xlfn.IFNA(VLOOKUP(CONCATENATE(AZ$4,$C29),'INSER DATA'!$A:$F,7,0),"")</f>
        <v/>
      </c>
      <c r="BA29" s="270" t="str">
        <f>_xlfn.IFNA(VLOOKUP(CONCATENATE(BA$4,$C29),'INSER DATA'!$A:$F,7,0),"")</f>
        <v/>
      </c>
      <c r="BB29" s="270" t="str">
        <f>_xlfn.IFNA(VLOOKUP(CONCATENATE(BB$4,$C29),'INSER DATA'!$A:$F,7,0),"")</f>
        <v/>
      </c>
      <c r="BC29" s="270" t="str">
        <f>_xlfn.IFNA(VLOOKUP(CONCATENATE(BC$4,$C29),'INSER DATA'!$A:$F,7,0),"")</f>
        <v/>
      </c>
      <c r="BD29" s="270" t="str">
        <f>_xlfn.IFNA(VLOOKUP(CONCATENATE(BD$4,$C29),'INSER DATA'!$A:$F,7,0),"")</f>
        <v/>
      </c>
      <c r="BE29" s="270" t="str">
        <f>_xlfn.IFNA(VLOOKUP(CONCATENATE(BE$4,$C29),'INSER DATA'!$A:$F,7,0),"")</f>
        <v/>
      </c>
      <c r="BF29" s="270" t="str">
        <f>_xlfn.IFNA(VLOOKUP(CONCATENATE(BF$4,$C29),'INSER DATA'!$A:$F,7,0),"")</f>
        <v/>
      </c>
      <c r="BG29" s="270" t="str">
        <f>_xlfn.IFNA(VLOOKUP(CONCATENATE(BG$4,$C29),'INSER DATA'!$A:$F,7,0),"")</f>
        <v/>
      </c>
      <c r="BH29" s="270" t="str">
        <f>_xlfn.IFNA(VLOOKUP(CONCATENATE(BH$4,$C29),'INSER DATA'!$A:$F,7,0),"")</f>
        <v/>
      </c>
      <c r="BI29" s="270" t="str">
        <f>_xlfn.IFNA(VLOOKUP(CONCATENATE(BI$4,$C29),'INSER DATA'!$A:$F,7,0),"")</f>
        <v/>
      </c>
      <c r="BJ29" s="270" t="str">
        <f>_xlfn.IFNA(VLOOKUP(CONCATENATE(BJ$4,$C29),'INSER DATA'!$A:$F,7,0),"")</f>
        <v/>
      </c>
      <c r="BK29" s="270" t="str">
        <f>_xlfn.IFNA(VLOOKUP(CONCATENATE(BK$4,$C29),'INSER DATA'!$A:$F,7,0),"")</f>
        <v/>
      </c>
      <c r="BL29" s="272"/>
      <c r="BM29" s="30"/>
      <c r="BN29" s="30"/>
      <c r="BO29" s="30"/>
      <c r="BP29" s="30"/>
      <c r="BQ29" s="30"/>
      <c r="BR29" s="30"/>
      <c r="BS29" s="30"/>
      <c r="BT29" s="30"/>
      <c r="BU29" s="30"/>
      <c r="BV29" s="30"/>
      <c r="BW29" s="30"/>
      <c r="BX29" s="30"/>
      <c r="BY29" s="30"/>
      <c r="BZ29" s="30"/>
      <c r="CA29" s="30"/>
      <c r="CB29" s="30"/>
      <c r="CC29" s="30"/>
      <c r="CD29" s="30"/>
      <c r="CE29" s="30"/>
      <c r="CF29" s="30"/>
      <c r="CG29" s="30"/>
      <c r="CH29" s="30"/>
      <c r="CI29" s="30"/>
      <c r="CJ29" s="30"/>
      <c r="CK29" s="30"/>
      <c r="CL29" s="30"/>
      <c r="CM29" s="30"/>
      <c r="CN29" s="30"/>
      <c r="CO29" s="30"/>
      <c r="CP29" s="30"/>
      <c r="CQ29" s="30"/>
      <c r="CR29" s="30"/>
      <c r="CS29" s="30"/>
      <c r="CT29" s="30"/>
      <c r="CU29" s="30"/>
      <c r="CV29" s="30"/>
      <c r="CW29" s="30"/>
      <c r="CX29" s="30"/>
      <c r="CY29" s="30"/>
      <c r="CZ29" s="30"/>
      <c r="DA29" s="30"/>
    </row>
    <row r="30" spans="1:105" ht="19.2" thickTop="1" thickBot="1" x14ac:dyDescent="0.4">
      <c r="A30" s="30"/>
      <c r="B30" s="30"/>
      <c r="C30" s="188" t="s">
        <v>651</v>
      </c>
      <c r="D30" s="46" t="s">
        <v>646</v>
      </c>
      <c r="E30" s="35" t="str">
        <f>_xlfn.XLOOKUP(Tabella4[[#This Row],[NOME]],'ROSE SQUADRE'!$N$3:$N$253,'ROSE SQUADRE'!$O$3:$O$253,"")</f>
        <v/>
      </c>
      <c r="F30" s="36" t="s">
        <v>161</v>
      </c>
      <c r="G30" s="43">
        <v>2</v>
      </c>
      <c r="H30" s="43">
        <v>3</v>
      </c>
      <c r="I30" s="44">
        <f t="shared" si="0"/>
        <v>1</v>
      </c>
      <c r="J30" s="37">
        <f t="shared" si="1"/>
        <v>2</v>
      </c>
      <c r="K30" s="38">
        <f t="shared" si="2"/>
        <v>6</v>
      </c>
      <c r="L30" s="38">
        <f t="shared" si="3"/>
        <v>6</v>
      </c>
      <c r="M30" s="39">
        <f t="shared" si="4"/>
        <v>12</v>
      </c>
      <c r="N30" s="45">
        <f t="shared" ca="1" si="5"/>
        <v>0</v>
      </c>
      <c r="O30" s="40">
        <f>SUMIF(Tabella1[Nome],Tabella4[[#This Row],[NOME]],Tabella1[Gf])</f>
        <v>0</v>
      </c>
      <c r="P30" s="40">
        <f>-(SUMIF(Tabella1[Nome],Tabella4[[#This Row],[NOME]],Tabella1[Gs]))</f>
        <v>0</v>
      </c>
      <c r="Q30" s="40">
        <f>SUMIF(Tabella1[Nome],Tabella4[[#This Row],[NOME]],Tabella1[Rp])</f>
        <v>0</v>
      </c>
      <c r="R30" s="40">
        <f>SUMIF(Tabella1[Nome],Tabella4[[#This Row],[NOME]],Tabella1[Rs])</f>
        <v>0</v>
      </c>
      <c r="S30" s="40">
        <f>SUMIF(Tabella1[Nome],Tabella4[[#This Row],[NOME]],Tabella1[Rf])</f>
        <v>0</v>
      </c>
      <c r="T30" s="40">
        <f>SUMIF(Tabella1[Nome],Tabella4[[#This Row],[NOME]],Tabella1[Au])</f>
        <v>0</v>
      </c>
      <c r="U30" s="41">
        <f>SUMIF(Tabella1[Nome],Tabella4[[#This Row],[NOME]],Tabella1[Amm])</f>
        <v>0</v>
      </c>
      <c r="V30" s="42">
        <f>SUMIF(Tabella1[Nome],Tabella4[[#This Row],[NOME]],Tabella1[Esp])</f>
        <v>0</v>
      </c>
      <c r="W30" s="40">
        <f>SUMIF(Tabella1[Nome],Tabella4[[#This Row],[NOME]],Tabella1[Ass])</f>
        <v>0</v>
      </c>
      <c r="X30" s="40">
        <f>SUMIF(Tabella1[Nome],Tabella4[[#This Row],[NOME]],Tabella1[Gdv])</f>
        <v>0</v>
      </c>
      <c r="Y30" s="40">
        <f>SUMIF(Tabella1[Nome],Tabella4[[#This Row],[NOME]],Tabella1[cl sh])</f>
        <v>0</v>
      </c>
      <c r="Z30" s="270">
        <f>_xlfn.IFNA(_xlfn.XLOOKUP(CONCATENATE(Z$4,$C30),Tabella1[CONC X VOTI IN TAB GIOC],Tabella1[Voto],""),"")</f>
        <v>6</v>
      </c>
      <c r="AA30" s="270">
        <f>_xlfn.IFNA(_xlfn.XLOOKUP(CONCATENATE(AA$4,$C30),Tabella1[CONC X VOTI IN TAB GIOC],Tabella1[Voto],""),"")</f>
        <v>6</v>
      </c>
      <c r="AB30" s="270" t="str">
        <f>_xlfn.IFNA(_xlfn.XLOOKUP(CONCATENATE(AB$4,$C30),Tabella1[CONC X VOTI IN TAB GIOC],Tabella1[Voto]),"")</f>
        <v/>
      </c>
      <c r="AC30" s="270" t="str" cm="1">
        <f t="array" ref="AC30">_xlfn.IFNA(_xlfn.XLOOKUP(CONCATENATE(AC$4,$C30),INDEX(Tabella1[],0,MATCH("CONC X VOTI IN TAB GIOC",Tabella1[#Headers],0)),INDEX(Tabella1[],0,MATCH("Voto",Tabella1[#Headers],0))),"")</f>
        <v/>
      </c>
      <c r="AD30" s="270" t="str">
        <f>_xlfn.IFNA(_xlfn.XLOOKUP(CONCATENATE(AD$4,$C30),Tabella1[CONC X VOTI IN TAB GIOC],Tabella1[Voto]),"")</f>
        <v/>
      </c>
      <c r="AE30" s="270" t="str">
        <f>_xlfn.IFNA(VLOOKUP(CONCATENATE(AE$4,$C30),'INSER DATA'!$A:$F,6,0),"")</f>
        <v/>
      </c>
      <c r="AF30" s="270" t="str">
        <f>_xlfn.IFNA(VLOOKUP(CONCATENATE(AF$4,$C30),'INSER DATA'!$A:$F,6,0),"")</f>
        <v/>
      </c>
      <c r="AG30" s="270" t="str">
        <f>_xlfn.IFNA(VLOOKUP(CONCATENATE(AG$4,$C30),'INSER DATA'!$A:$F,6,0),"")</f>
        <v/>
      </c>
      <c r="AH30" s="270" t="str">
        <f>_xlfn.IFNA(VLOOKUP(CONCATENATE(AH$4,$C30),'INSER DATA'!$A:$F,7,0),"")</f>
        <v/>
      </c>
      <c r="AI30" s="270" t="str">
        <f>_xlfn.IFNA(VLOOKUP(CONCATENATE(AI$4,$C30),'INSER DATA'!$A:$F,7,0),"")</f>
        <v/>
      </c>
      <c r="AJ30" s="270" t="str">
        <f>_xlfn.IFNA(VLOOKUP(CONCATENATE(AJ$4,$C30),'INSER DATA'!$A:$F,7,0),"")</f>
        <v/>
      </c>
      <c r="AK30" s="270" t="str">
        <f>_xlfn.IFNA(VLOOKUP(CONCATENATE(AK$4,$C30),'INSER DATA'!$A:$F,7,0),"")</f>
        <v/>
      </c>
      <c r="AL30" s="270" t="str">
        <f>_xlfn.IFNA(VLOOKUP(CONCATENATE(AL$4,$C30),'INSER DATA'!$A:$F,7,0),"")</f>
        <v/>
      </c>
      <c r="AM30" s="270" t="str">
        <f>_xlfn.IFNA(VLOOKUP(CONCATENATE(AM$4,$C30),'INSER DATA'!$A:$F,7,0),"")</f>
        <v/>
      </c>
      <c r="AN30" s="270" t="str">
        <f>_xlfn.IFNA(VLOOKUP(CONCATENATE(AN$4,$C30),'INSER DATA'!$A:$F,7,0),"")</f>
        <v/>
      </c>
      <c r="AO30" s="270" t="str">
        <f>_xlfn.IFNA(VLOOKUP(CONCATENATE(AO$4,$C30),'INSER DATA'!$A:$F,7,0),"")</f>
        <v/>
      </c>
      <c r="AP30" s="270" t="str">
        <f>_xlfn.IFNA(VLOOKUP(CONCATENATE(AP$4,$C30),'INSER DATA'!$A:$F,7,0),"")</f>
        <v/>
      </c>
      <c r="AQ30" s="270" t="str">
        <f>_xlfn.IFNA(VLOOKUP(CONCATENATE(AQ$4,$C30),'INSER DATA'!$A:$F,7,0),"")</f>
        <v/>
      </c>
      <c r="AR30" s="270" t="str">
        <f>_xlfn.IFNA(VLOOKUP(CONCATENATE(AR$4,$C30),'INSER DATA'!$A:$F,7,0),"")</f>
        <v/>
      </c>
      <c r="AS30" s="270" t="str">
        <f>_xlfn.IFNA(VLOOKUP(CONCATENATE(AS$4,$C30),'INSER DATA'!$A:$F,7,0),"")</f>
        <v/>
      </c>
      <c r="AT30" s="270" t="str">
        <f>_xlfn.IFNA(VLOOKUP(CONCATENATE(AT$4,$C30),'INSER DATA'!$A:$F,7,0),"")</f>
        <v/>
      </c>
      <c r="AU30" s="270" t="str">
        <f>_xlfn.IFNA(VLOOKUP(CONCATENATE(AU$4,$C30),'INSER DATA'!$A:$F,7,0),"")</f>
        <v/>
      </c>
      <c r="AV30" s="270" t="str">
        <f>_xlfn.IFNA(VLOOKUP(CONCATENATE(AV$4,$C30),'INSER DATA'!$A:$F,7,0),"")</f>
        <v/>
      </c>
      <c r="AW30" s="270" t="str">
        <f>_xlfn.IFNA(VLOOKUP(CONCATENATE(AW$4,$C30),'INSER DATA'!$A:$F,7,0),"")</f>
        <v/>
      </c>
      <c r="AX30" s="270" t="str">
        <f>_xlfn.IFNA(VLOOKUP(CONCATENATE(AX$4,$C30),'INSER DATA'!$A:$F,7,0),"")</f>
        <v/>
      </c>
      <c r="AY30" s="270" t="str">
        <f>_xlfn.IFNA(VLOOKUP(CONCATENATE(AY$4,$C30),'INSER DATA'!$A:$F,7,0),"")</f>
        <v/>
      </c>
      <c r="AZ30" s="270" t="str">
        <f>_xlfn.IFNA(VLOOKUP(CONCATENATE(AZ$4,$C30),'INSER DATA'!$A:$F,7,0),"")</f>
        <v/>
      </c>
      <c r="BA30" s="270" t="str">
        <f>_xlfn.IFNA(VLOOKUP(CONCATENATE(BA$4,$C30),'INSER DATA'!$A:$F,7,0),"")</f>
        <v/>
      </c>
      <c r="BB30" s="270" t="str">
        <f>_xlfn.IFNA(VLOOKUP(CONCATENATE(BB$4,$C30),'INSER DATA'!$A:$F,7,0),"")</f>
        <v/>
      </c>
      <c r="BC30" s="270" t="str">
        <f>_xlfn.IFNA(VLOOKUP(CONCATENATE(BC$4,$C30),'INSER DATA'!$A:$F,7,0),"")</f>
        <v/>
      </c>
      <c r="BD30" s="270" t="str">
        <f>_xlfn.IFNA(VLOOKUP(CONCATENATE(BD$4,$C30),'INSER DATA'!$A:$F,7,0),"")</f>
        <v/>
      </c>
      <c r="BE30" s="270" t="str">
        <f>_xlfn.IFNA(VLOOKUP(CONCATENATE(BE$4,$C30),'INSER DATA'!$A:$F,7,0),"")</f>
        <v/>
      </c>
      <c r="BF30" s="270" t="str">
        <f>_xlfn.IFNA(VLOOKUP(CONCATENATE(BF$4,$C30),'INSER DATA'!$A:$F,7,0),"")</f>
        <v/>
      </c>
      <c r="BG30" s="270" t="str">
        <f>_xlfn.IFNA(VLOOKUP(CONCATENATE(BG$4,$C30),'INSER DATA'!$A:$F,7,0),"")</f>
        <v/>
      </c>
      <c r="BH30" s="270" t="str">
        <f>_xlfn.IFNA(VLOOKUP(CONCATENATE(BH$4,$C30),'INSER DATA'!$A:$F,7,0),"")</f>
        <v/>
      </c>
      <c r="BI30" s="270" t="str">
        <f>_xlfn.IFNA(VLOOKUP(CONCATENATE(BI$4,$C30),'INSER DATA'!$A:$F,7,0),"")</f>
        <v/>
      </c>
      <c r="BJ30" s="270" t="str">
        <f>_xlfn.IFNA(VLOOKUP(CONCATENATE(BJ$4,$C30),'INSER DATA'!$A:$F,7,0),"")</f>
        <v/>
      </c>
      <c r="BK30" s="270" t="str">
        <f>_xlfn.IFNA(VLOOKUP(CONCATENATE(BK$4,$C30),'INSER DATA'!$A:$F,7,0),"")</f>
        <v/>
      </c>
      <c r="BL30" s="272"/>
      <c r="BM30" s="30"/>
      <c r="BN30" s="30"/>
      <c r="BO30" s="30"/>
      <c r="BP30" s="30"/>
      <c r="BQ30" s="30"/>
      <c r="BR30" s="30"/>
      <c r="BS30" s="30"/>
      <c r="BT30" s="30"/>
      <c r="BU30" s="30"/>
      <c r="BV30" s="30"/>
      <c r="BW30" s="30"/>
      <c r="BX30" s="30"/>
      <c r="BY30" s="30"/>
      <c r="BZ30" s="30"/>
      <c r="CA30" s="30"/>
      <c r="CB30" s="30"/>
      <c r="CC30" s="30"/>
      <c r="CD30" s="30"/>
      <c r="CE30" s="30"/>
      <c r="CF30" s="30"/>
      <c r="CG30" s="30"/>
      <c r="CH30" s="30"/>
      <c r="CI30" s="30"/>
      <c r="CJ30" s="30"/>
      <c r="CK30" s="30"/>
      <c r="CL30" s="30"/>
      <c r="CM30" s="30"/>
      <c r="CN30" s="30"/>
      <c r="CO30" s="30"/>
      <c r="CP30" s="30"/>
      <c r="CQ30" s="30"/>
      <c r="CR30" s="30"/>
      <c r="CS30" s="30"/>
      <c r="CT30" s="30"/>
      <c r="CU30" s="30"/>
      <c r="CV30" s="30"/>
      <c r="CW30" s="30"/>
      <c r="CX30" s="30"/>
      <c r="CY30" s="30"/>
      <c r="CZ30" s="30"/>
      <c r="DA30" s="30"/>
    </row>
    <row r="31" spans="1:105" ht="19.2" thickTop="1" thickBot="1" x14ac:dyDescent="0.4">
      <c r="A31" s="30"/>
      <c r="B31" s="30"/>
      <c r="C31" s="362" t="s">
        <v>506</v>
      </c>
      <c r="D31" s="364" t="s">
        <v>646</v>
      </c>
      <c r="E31" s="35" t="str">
        <f>_xlfn.XLOOKUP(Tabella4[[#This Row],[NOME]],'ROSE SQUADRE'!$N$3:$N$253,'ROSE SQUADRE'!$O$3:$O$253,"")</f>
        <v>FC INTERNAZIOANALE</v>
      </c>
      <c r="F31" s="36" t="s">
        <v>161</v>
      </c>
      <c r="G31" s="43">
        <v>8</v>
      </c>
      <c r="H31" s="43">
        <v>8</v>
      </c>
      <c r="I31" s="44">
        <f t="shared" si="0"/>
        <v>0</v>
      </c>
      <c r="J31" s="37">
        <f t="shared" si="1"/>
        <v>3</v>
      </c>
      <c r="K31" s="38">
        <f t="shared" si="2"/>
        <v>6</v>
      </c>
      <c r="L31" s="38">
        <f t="shared" si="3"/>
        <v>6.333333333333333</v>
      </c>
      <c r="M31" s="39">
        <f t="shared" si="4"/>
        <v>19</v>
      </c>
      <c r="N31" s="45">
        <f t="shared" ca="1" si="5"/>
        <v>0</v>
      </c>
      <c r="O31" s="40">
        <f>SUMIF(Tabella1[Nome],Tabella4[[#This Row],[NOME]],Tabella1[Gf])</f>
        <v>0</v>
      </c>
      <c r="P31" s="40">
        <f>-(SUMIF(Tabella1[Nome],Tabella4[[#This Row],[NOME]],Tabella1[Gs]))</f>
        <v>0</v>
      </c>
      <c r="Q31" s="40">
        <f>SUMIF(Tabella1[Nome],Tabella4[[#This Row],[NOME]],Tabella1[Rp])</f>
        <v>0</v>
      </c>
      <c r="R31" s="40">
        <f>SUMIF(Tabella1[Nome],Tabella4[[#This Row],[NOME]],Tabella1[Rs])</f>
        <v>0</v>
      </c>
      <c r="S31" s="40">
        <f>SUMIF(Tabella1[Nome],Tabella4[[#This Row],[NOME]],Tabella1[Rf])</f>
        <v>0</v>
      </c>
      <c r="T31" s="40">
        <f>SUMIF(Tabella1[Nome],Tabella4[[#This Row],[NOME]],Tabella1[Au])</f>
        <v>0</v>
      </c>
      <c r="U31" s="41">
        <f>SUMIF(Tabella1[Nome],Tabella4[[#This Row],[NOME]],Tabella1[Amm])</f>
        <v>0</v>
      </c>
      <c r="V31" s="42">
        <f>SUMIF(Tabella1[Nome],Tabella4[[#This Row],[NOME]],Tabella1[Esp])</f>
        <v>0</v>
      </c>
      <c r="W31" s="40">
        <f>SUMIF(Tabella1[Nome],Tabella4[[#This Row],[NOME]],Tabella1[Ass])</f>
        <v>1</v>
      </c>
      <c r="X31" s="40">
        <f>SUMIF(Tabella1[Nome],Tabella4[[#This Row],[NOME]],Tabella1[Gdv])</f>
        <v>0</v>
      </c>
      <c r="Y31" s="40">
        <f>SUMIF(Tabella1[Nome],Tabella4[[#This Row],[NOME]],Tabella1[cl sh])</f>
        <v>0</v>
      </c>
      <c r="Z31" s="270">
        <f>_xlfn.IFNA(_xlfn.XLOOKUP(CONCATENATE(Z$4,$C31),Tabella1[CONC X VOTI IN TAB GIOC],Tabella1[Voto],""),"")</f>
        <v>6</v>
      </c>
      <c r="AA31" s="270" t="str">
        <f>_xlfn.IFNA(_xlfn.XLOOKUP(CONCATENATE(AA$4,$C31),Tabella1[CONC X VOTI IN TAB GIOC],Tabella1[Voto],""),"")</f>
        <v/>
      </c>
      <c r="AB31" s="270">
        <f>_xlfn.IFNA(_xlfn.XLOOKUP(CONCATENATE(AB$4,$C31),Tabella1[CONC X VOTI IN TAB GIOC],Tabella1[Voto]),"")</f>
        <v>6.5</v>
      </c>
      <c r="AC31" s="270" cm="1">
        <f t="array" ref="AC31">_xlfn.IFNA(_xlfn.XLOOKUP(CONCATENATE(AC$4,$C31),INDEX(Tabella1[],0,MATCH("CONC X VOTI IN TAB GIOC",Tabella1[#Headers],0)),INDEX(Tabella1[],0,MATCH("Voto",Tabella1[#Headers],0))),"")</f>
        <v>5.5</v>
      </c>
      <c r="AD31" s="270" t="str">
        <f>_xlfn.IFNA(_xlfn.XLOOKUP(CONCATENATE(AD$4,$C31),Tabella1[CONC X VOTI IN TAB GIOC],Tabella1[Voto]),"")</f>
        <v/>
      </c>
      <c r="AE31" s="270" t="str">
        <f>_xlfn.IFNA(VLOOKUP(CONCATENATE(AE$4,$C31),'INSER DATA'!$A:$F,6,0),"")</f>
        <v/>
      </c>
      <c r="AF31" s="270" t="str">
        <f>_xlfn.IFNA(VLOOKUP(CONCATENATE(AF$4,$C31),'INSER DATA'!$A:$F,6,0),"")</f>
        <v/>
      </c>
      <c r="AG31" s="270" t="str">
        <f>_xlfn.IFNA(VLOOKUP(CONCATENATE(AG$4,$C31),'INSER DATA'!$A:$F,6,0),"")</f>
        <v/>
      </c>
      <c r="AH31" s="270" t="str">
        <f>_xlfn.IFNA(VLOOKUP(CONCATENATE(AH$4,$C31),'INSER DATA'!$A:$F,7,0),"")</f>
        <v/>
      </c>
      <c r="AI31" s="270" t="str">
        <f>_xlfn.IFNA(VLOOKUP(CONCATENATE(AI$4,$C31),'INSER DATA'!$A:$F,7,0),"")</f>
        <v/>
      </c>
      <c r="AJ31" s="270" t="str">
        <f>_xlfn.IFNA(VLOOKUP(CONCATENATE(AJ$4,$C31),'INSER DATA'!$A:$F,7,0),"")</f>
        <v/>
      </c>
      <c r="AK31" s="270" t="str">
        <f>_xlfn.IFNA(VLOOKUP(CONCATENATE(AK$4,$C31),'INSER DATA'!$A:$F,7,0),"")</f>
        <v/>
      </c>
      <c r="AL31" s="270" t="str">
        <f>_xlfn.IFNA(VLOOKUP(CONCATENATE(AL$4,$C31),'INSER DATA'!$A:$F,7,0),"")</f>
        <v/>
      </c>
      <c r="AM31" s="270" t="str">
        <f>_xlfn.IFNA(VLOOKUP(CONCATENATE(AM$4,$C31),'INSER DATA'!$A:$F,7,0),"")</f>
        <v/>
      </c>
      <c r="AN31" s="270" t="str">
        <f>_xlfn.IFNA(VLOOKUP(CONCATENATE(AN$4,$C31),'INSER DATA'!$A:$F,7,0),"")</f>
        <v/>
      </c>
      <c r="AO31" s="270" t="str">
        <f>_xlfn.IFNA(VLOOKUP(CONCATENATE(AO$4,$C31),'INSER DATA'!$A:$F,7,0),"")</f>
        <v/>
      </c>
      <c r="AP31" s="270" t="str">
        <f>_xlfn.IFNA(VLOOKUP(CONCATENATE(AP$4,$C31),'INSER DATA'!$A:$F,7,0),"")</f>
        <v/>
      </c>
      <c r="AQ31" s="270" t="str">
        <f>_xlfn.IFNA(VLOOKUP(CONCATENATE(AQ$4,$C31),'INSER DATA'!$A:$F,7,0),"")</f>
        <v/>
      </c>
      <c r="AR31" s="270" t="str">
        <f>_xlfn.IFNA(VLOOKUP(CONCATENATE(AR$4,$C31),'INSER DATA'!$A:$F,7,0),"")</f>
        <v/>
      </c>
      <c r="AS31" s="270" t="str">
        <f>_xlfn.IFNA(VLOOKUP(CONCATENATE(AS$4,$C31),'INSER DATA'!$A:$F,7,0),"")</f>
        <v/>
      </c>
      <c r="AT31" s="270" t="str">
        <f>_xlfn.IFNA(VLOOKUP(CONCATENATE(AT$4,$C31),'INSER DATA'!$A:$F,7,0),"")</f>
        <v/>
      </c>
      <c r="AU31" s="270" t="str">
        <f>_xlfn.IFNA(VLOOKUP(CONCATENATE(AU$4,$C31),'INSER DATA'!$A:$F,7,0),"")</f>
        <v/>
      </c>
      <c r="AV31" s="270" t="str">
        <f>_xlfn.IFNA(VLOOKUP(CONCATENATE(AV$4,$C31),'INSER DATA'!$A:$F,7,0),"")</f>
        <v/>
      </c>
      <c r="AW31" s="270" t="str">
        <f>_xlfn.IFNA(VLOOKUP(CONCATENATE(AW$4,$C31),'INSER DATA'!$A:$F,7,0),"")</f>
        <v/>
      </c>
      <c r="AX31" s="270" t="str">
        <f>_xlfn.IFNA(VLOOKUP(CONCATENATE(AX$4,$C31),'INSER DATA'!$A:$F,7,0),"")</f>
        <v/>
      </c>
      <c r="AY31" s="270" t="str">
        <f>_xlfn.IFNA(VLOOKUP(CONCATENATE(AY$4,$C31),'INSER DATA'!$A:$F,7,0),"")</f>
        <v/>
      </c>
      <c r="AZ31" s="270" t="str">
        <f>_xlfn.IFNA(VLOOKUP(CONCATENATE(AZ$4,$C31),'INSER DATA'!$A:$F,7,0),"")</f>
        <v/>
      </c>
      <c r="BA31" s="270" t="str">
        <f>_xlfn.IFNA(VLOOKUP(CONCATENATE(BA$4,$C31),'INSER DATA'!$A:$F,7,0),"")</f>
        <v/>
      </c>
      <c r="BB31" s="270" t="str">
        <f>_xlfn.IFNA(VLOOKUP(CONCATENATE(BB$4,$C31),'INSER DATA'!$A:$F,7,0),"")</f>
        <v/>
      </c>
      <c r="BC31" s="270" t="str">
        <f>_xlfn.IFNA(VLOOKUP(CONCATENATE(BC$4,$C31),'INSER DATA'!$A:$F,7,0),"")</f>
        <v/>
      </c>
      <c r="BD31" s="270" t="str">
        <f>_xlfn.IFNA(VLOOKUP(CONCATENATE(BD$4,$C31),'INSER DATA'!$A:$F,7,0),"")</f>
        <v/>
      </c>
      <c r="BE31" s="270" t="str">
        <f>_xlfn.IFNA(VLOOKUP(CONCATENATE(BE$4,$C31),'INSER DATA'!$A:$F,7,0),"")</f>
        <v/>
      </c>
      <c r="BF31" s="270" t="str">
        <f>_xlfn.IFNA(VLOOKUP(CONCATENATE(BF$4,$C31),'INSER DATA'!$A:$F,7,0),"")</f>
        <v/>
      </c>
      <c r="BG31" s="270" t="str">
        <f>_xlfn.IFNA(VLOOKUP(CONCATENATE(BG$4,$C31),'INSER DATA'!$A:$F,7,0),"")</f>
        <v/>
      </c>
      <c r="BH31" s="270" t="str">
        <f>_xlfn.IFNA(VLOOKUP(CONCATENATE(BH$4,$C31),'INSER DATA'!$A:$F,7,0),"")</f>
        <v/>
      </c>
      <c r="BI31" s="270" t="str">
        <f>_xlfn.IFNA(VLOOKUP(CONCATENATE(BI$4,$C31),'INSER DATA'!$A:$F,7,0),"")</f>
        <v/>
      </c>
      <c r="BJ31" s="270" t="str">
        <f>_xlfn.IFNA(VLOOKUP(CONCATENATE(BJ$4,$C31),'INSER DATA'!$A:$F,7,0),"")</f>
        <v/>
      </c>
      <c r="BK31" s="270" t="str">
        <f>_xlfn.IFNA(VLOOKUP(CONCATENATE(BK$4,$C31),'INSER DATA'!$A:$F,7,0),"")</f>
        <v/>
      </c>
      <c r="BL31" s="272"/>
      <c r="BM31" s="30"/>
      <c r="BN31" s="30"/>
      <c r="BO31" s="30"/>
      <c r="BP31" s="30"/>
      <c r="BQ31" s="30"/>
      <c r="BR31" s="30"/>
      <c r="BS31" s="30"/>
      <c r="BT31" s="30"/>
      <c r="BU31" s="30"/>
      <c r="BV31" s="30"/>
      <c r="BW31" s="30"/>
      <c r="BX31" s="30"/>
      <c r="BY31" s="30"/>
      <c r="BZ31" s="30"/>
      <c r="CA31" s="30"/>
      <c r="CB31" s="30"/>
      <c r="CC31" s="30"/>
      <c r="CD31" s="30"/>
      <c r="CE31" s="30"/>
      <c r="CF31" s="30"/>
      <c r="CG31" s="30"/>
      <c r="CH31" s="30"/>
      <c r="CI31" s="30"/>
      <c r="CJ31" s="30"/>
      <c r="CK31" s="30"/>
      <c r="CL31" s="30"/>
      <c r="CM31" s="30"/>
      <c r="CN31" s="30"/>
      <c r="CO31" s="30"/>
      <c r="CP31" s="30"/>
      <c r="CQ31" s="30"/>
      <c r="CR31" s="30"/>
      <c r="CS31" s="30"/>
      <c r="CT31" s="30"/>
      <c r="CU31" s="30"/>
      <c r="CV31" s="30"/>
      <c r="CW31" s="30"/>
      <c r="CX31" s="30"/>
      <c r="CY31" s="30"/>
      <c r="CZ31" s="30"/>
      <c r="DA31" s="30"/>
    </row>
    <row r="32" spans="1:105" ht="19.2" thickTop="1" thickBot="1" x14ac:dyDescent="0.4">
      <c r="A32" s="30"/>
      <c r="B32" s="30"/>
      <c r="C32" s="362" t="s">
        <v>654</v>
      </c>
      <c r="D32" s="364" t="s">
        <v>646</v>
      </c>
      <c r="E32" s="35" t="str">
        <f>_xlfn.XLOOKUP(Tabella4[[#This Row],[NOME]],'ROSE SQUADRE'!$N$3:$N$253,'ROSE SQUADRE'!$O$3:$O$253,"")</f>
        <v>FC INTERNAZIOANALE</v>
      </c>
      <c r="F32" s="36" t="s">
        <v>161</v>
      </c>
      <c r="G32" s="43">
        <v>6</v>
      </c>
      <c r="H32" s="43">
        <v>6</v>
      </c>
      <c r="I32" s="44">
        <f t="shared" si="0"/>
        <v>0</v>
      </c>
      <c r="J32" s="37">
        <f t="shared" si="1"/>
        <v>2</v>
      </c>
      <c r="K32" s="38">
        <f t="shared" si="2"/>
        <v>6</v>
      </c>
      <c r="L32" s="38">
        <f t="shared" si="3"/>
        <v>6</v>
      </c>
      <c r="M32" s="39">
        <f t="shared" si="4"/>
        <v>12</v>
      </c>
      <c r="N32" s="45">
        <f t="shared" ca="1" si="5"/>
        <v>0</v>
      </c>
      <c r="O32" s="40">
        <f>SUMIF(Tabella1[Nome],Tabella4[[#This Row],[NOME]],Tabella1[Gf])</f>
        <v>0</v>
      </c>
      <c r="P32" s="40">
        <f>-(SUMIF(Tabella1[Nome],Tabella4[[#This Row],[NOME]],Tabella1[Gs]))</f>
        <v>0</v>
      </c>
      <c r="Q32" s="40">
        <f>SUMIF(Tabella1[Nome],Tabella4[[#This Row],[NOME]],Tabella1[Rp])</f>
        <v>0</v>
      </c>
      <c r="R32" s="40">
        <f>SUMIF(Tabella1[Nome],Tabella4[[#This Row],[NOME]],Tabella1[Rs])</f>
        <v>0</v>
      </c>
      <c r="S32" s="40">
        <f>SUMIF(Tabella1[Nome],Tabella4[[#This Row],[NOME]],Tabella1[Rf])</f>
        <v>0</v>
      </c>
      <c r="T32" s="40">
        <f>SUMIF(Tabella1[Nome],Tabella4[[#This Row],[NOME]],Tabella1[Au])</f>
        <v>0</v>
      </c>
      <c r="U32" s="41">
        <f>SUMIF(Tabella1[Nome],Tabella4[[#This Row],[NOME]],Tabella1[Amm])</f>
        <v>0</v>
      </c>
      <c r="V32" s="42">
        <f>SUMIF(Tabella1[Nome],Tabella4[[#This Row],[NOME]],Tabella1[Esp])</f>
        <v>0</v>
      </c>
      <c r="W32" s="40">
        <f>SUMIF(Tabella1[Nome],Tabella4[[#This Row],[NOME]],Tabella1[Ass])</f>
        <v>0</v>
      </c>
      <c r="X32" s="40">
        <f>SUMIF(Tabella1[Nome],Tabella4[[#This Row],[NOME]],Tabella1[Gdv])</f>
        <v>0</v>
      </c>
      <c r="Y32" s="40">
        <f>SUMIF(Tabella1[Nome],Tabella4[[#This Row],[NOME]],Tabella1[cl sh])</f>
        <v>0</v>
      </c>
      <c r="Z32" s="270">
        <f>_xlfn.IFNA(_xlfn.XLOOKUP(CONCATENATE(Z$4,$C32),Tabella1[CONC X VOTI IN TAB GIOC],Tabella1[Voto],""),"")</f>
        <v>6</v>
      </c>
      <c r="AA32" s="270">
        <f>_xlfn.IFNA(_xlfn.XLOOKUP(CONCATENATE(AA$4,$C32),Tabella1[CONC X VOTI IN TAB GIOC],Tabella1[Voto],""),"")</f>
        <v>6</v>
      </c>
      <c r="AB32" s="270" t="str">
        <f>_xlfn.IFNA(_xlfn.XLOOKUP(CONCATENATE(AB$4,$C32),Tabella1[CONC X VOTI IN TAB GIOC],Tabella1[Voto]),"")</f>
        <v/>
      </c>
      <c r="AC32" s="270" t="str" cm="1">
        <f t="array" ref="AC32">_xlfn.IFNA(_xlfn.XLOOKUP(CONCATENATE(AC$4,$C32),INDEX(Tabella1[],0,MATCH("CONC X VOTI IN TAB GIOC",Tabella1[#Headers],0)),INDEX(Tabella1[],0,MATCH("Voto",Tabella1[#Headers],0))),"")</f>
        <v/>
      </c>
      <c r="AD32" s="270" t="str">
        <f>_xlfn.IFNA(_xlfn.XLOOKUP(CONCATENATE(AD$4,$C32),Tabella1[CONC X VOTI IN TAB GIOC],Tabella1[Voto]),"")</f>
        <v/>
      </c>
      <c r="AE32" s="270" t="str">
        <f>_xlfn.IFNA(VLOOKUP(CONCATENATE(AE$4,$C32),'INSER DATA'!$A:$F,6,0),"")</f>
        <v/>
      </c>
      <c r="AF32" s="270" t="str">
        <f>_xlfn.IFNA(VLOOKUP(CONCATENATE(AF$4,$C32),'INSER DATA'!$A:$F,6,0),"")</f>
        <v/>
      </c>
      <c r="AG32" s="270" t="str">
        <f>_xlfn.IFNA(VLOOKUP(CONCATENATE(AG$4,$C32),'INSER DATA'!$A:$F,6,0),"")</f>
        <v/>
      </c>
      <c r="AH32" s="270" t="str">
        <f>_xlfn.IFNA(VLOOKUP(CONCATENATE(AH$4,$C32),'INSER DATA'!$A:$F,7,0),"")</f>
        <v/>
      </c>
      <c r="AI32" s="270" t="str">
        <f>_xlfn.IFNA(VLOOKUP(CONCATENATE(AI$4,$C32),'INSER DATA'!$A:$F,7,0),"")</f>
        <v/>
      </c>
      <c r="AJ32" s="270" t="str">
        <f>_xlfn.IFNA(VLOOKUP(CONCATENATE(AJ$4,$C32),'INSER DATA'!$A:$F,7,0),"")</f>
        <v/>
      </c>
      <c r="AK32" s="270" t="str">
        <f>_xlfn.IFNA(VLOOKUP(CONCATENATE(AK$4,$C32),'INSER DATA'!$A:$F,7,0),"")</f>
        <v/>
      </c>
      <c r="AL32" s="270" t="str">
        <f>_xlfn.IFNA(VLOOKUP(CONCATENATE(AL$4,$C32),'INSER DATA'!$A:$F,7,0),"")</f>
        <v/>
      </c>
      <c r="AM32" s="270" t="str">
        <f>_xlfn.IFNA(VLOOKUP(CONCATENATE(AM$4,$C32),'INSER DATA'!$A:$F,7,0),"")</f>
        <v/>
      </c>
      <c r="AN32" s="270" t="str">
        <f>_xlfn.IFNA(VLOOKUP(CONCATENATE(AN$4,$C32),'INSER DATA'!$A:$F,7,0),"")</f>
        <v/>
      </c>
      <c r="AO32" s="270" t="str">
        <f>_xlfn.IFNA(VLOOKUP(CONCATENATE(AO$4,$C32),'INSER DATA'!$A:$F,7,0),"")</f>
        <v/>
      </c>
      <c r="AP32" s="270" t="str">
        <f>_xlfn.IFNA(VLOOKUP(CONCATENATE(AP$4,$C32),'INSER DATA'!$A:$F,7,0),"")</f>
        <v/>
      </c>
      <c r="AQ32" s="270" t="str">
        <f>_xlfn.IFNA(VLOOKUP(CONCATENATE(AQ$4,$C32),'INSER DATA'!$A:$F,7,0),"")</f>
        <v/>
      </c>
      <c r="AR32" s="270" t="str">
        <f>_xlfn.IFNA(VLOOKUP(CONCATENATE(AR$4,$C32),'INSER DATA'!$A:$F,7,0),"")</f>
        <v/>
      </c>
      <c r="AS32" s="270" t="str">
        <f>_xlfn.IFNA(VLOOKUP(CONCATENATE(AS$4,$C32),'INSER DATA'!$A:$F,7,0),"")</f>
        <v/>
      </c>
      <c r="AT32" s="270" t="str">
        <f>_xlfn.IFNA(VLOOKUP(CONCATENATE(AT$4,$C32),'INSER DATA'!$A:$F,7,0),"")</f>
        <v/>
      </c>
      <c r="AU32" s="270" t="str">
        <f>_xlfn.IFNA(VLOOKUP(CONCATENATE(AU$4,$C32),'INSER DATA'!$A:$F,7,0),"")</f>
        <v/>
      </c>
      <c r="AV32" s="270" t="str">
        <f>_xlfn.IFNA(VLOOKUP(CONCATENATE(AV$4,$C32),'INSER DATA'!$A:$F,7,0),"")</f>
        <v/>
      </c>
      <c r="AW32" s="270" t="str">
        <f>_xlfn.IFNA(VLOOKUP(CONCATENATE(AW$4,$C32),'INSER DATA'!$A:$F,7,0),"")</f>
        <v/>
      </c>
      <c r="AX32" s="270" t="str">
        <f>_xlfn.IFNA(VLOOKUP(CONCATENATE(AX$4,$C32),'INSER DATA'!$A:$F,7,0),"")</f>
        <v/>
      </c>
      <c r="AY32" s="270" t="str">
        <f>_xlfn.IFNA(VLOOKUP(CONCATENATE(AY$4,$C32),'INSER DATA'!$A:$F,7,0),"")</f>
        <v/>
      </c>
      <c r="AZ32" s="270" t="str">
        <f>_xlfn.IFNA(VLOOKUP(CONCATENATE(AZ$4,$C32),'INSER DATA'!$A:$F,7,0),"")</f>
        <v/>
      </c>
      <c r="BA32" s="270" t="str">
        <f>_xlfn.IFNA(VLOOKUP(CONCATENATE(BA$4,$C32),'INSER DATA'!$A:$F,7,0),"")</f>
        <v/>
      </c>
      <c r="BB32" s="270" t="str">
        <f>_xlfn.IFNA(VLOOKUP(CONCATENATE(BB$4,$C32),'INSER DATA'!$A:$F,7,0),"")</f>
        <v/>
      </c>
      <c r="BC32" s="270" t="str">
        <f>_xlfn.IFNA(VLOOKUP(CONCATENATE(BC$4,$C32),'INSER DATA'!$A:$F,7,0),"")</f>
        <v/>
      </c>
      <c r="BD32" s="270" t="str">
        <f>_xlfn.IFNA(VLOOKUP(CONCATENATE(BD$4,$C32),'INSER DATA'!$A:$F,7,0),"")</f>
        <v/>
      </c>
      <c r="BE32" s="270" t="str">
        <f>_xlfn.IFNA(VLOOKUP(CONCATENATE(BE$4,$C32),'INSER DATA'!$A:$F,7,0),"")</f>
        <v/>
      </c>
      <c r="BF32" s="270" t="str">
        <f>_xlfn.IFNA(VLOOKUP(CONCATENATE(BF$4,$C32),'INSER DATA'!$A:$F,7,0),"")</f>
        <v/>
      </c>
      <c r="BG32" s="270" t="str">
        <f>_xlfn.IFNA(VLOOKUP(CONCATENATE(BG$4,$C32),'INSER DATA'!$A:$F,7,0),"")</f>
        <v/>
      </c>
      <c r="BH32" s="270" t="str">
        <f>_xlfn.IFNA(VLOOKUP(CONCATENATE(BH$4,$C32),'INSER DATA'!$A:$F,7,0),"")</f>
        <v/>
      </c>
      <c r="BI32" s="270" t="str">
        <f>_xlfn.IFNA(VLOOKUP(CONCATENATE(BI$4,$C32),'INSER DATA'!$A:$F,7,0),"")</f>
        <v/>
      </c>
      <c r="BJ32" s="270" t="str">
        <f>_xlfn.IFNA(VLOOKUP(CONCATENATE(BJ$4,$C32),'INSER DATA'!$A:$F,7,0),"")</f>
        <v/>
      </c>
      <c r="BK32" s="270" t="str">
        <f>_xlfn.IFNA(VLOOKUP(CONCATENATE(BK$4,$C32),'INSER DATA'!$A:$F,7,0),"")</f>
        <v/>
      </c>
      <c r="BL32" s="272"/>
      <c r="BM32" s="30"/>
      <c r="BN32" s="30"/>
      <c r="BO32" s="30"/>
      <c r="BP32" s="30"/>
      <c r="BQ32" s="30"/>
      <c r="BR32" s="30"/>
      <c r="BS32" s="30"/>
      <c r="BT32" s="30"/>
      <c r="BU32" s="30"/>
      <c r="BV32" s="30"/>
      <c r="BW32" s="30"/>
      <c r="BX32" s="30"/>
      <c r="BY32" s="30"/>
      <c r="BZ32" s="30"/>
      <c r="CA32" s="30"/>
      <c r="CB32" s="30"/>
      <c r="CC32" s="30"/>
      <c r="CD32" s="30"/>
      <c r="CE32" s="30"/>
      <c r="CF32" s="30"/>
      <c r="CG32" s="30"/>
      <c r="CH32" s="30"/>
      <c r="CI32" s="30"/>
      <c r="CJ32" s="30"/>
      <c r="CK32" s="30"/>
      <c r="CL32" s="30"/>
      <c r="CM32" s="30"/>
      <c r="CN32" s="30"/>
      <c r="CO32" s="30"/>
      <c r="CP32" s="30"/>
      <c r="CQ32" s="30"/>
      <c r="CR32" s="30"/>
      <c r="CS32" s="30"/>
      <c r="CT32" s="30"/>
      <c r="CU32" s="30"/>
      <c r="CV32" s="30"/>
      <c r="CW32" s="30"/>
      <c r="CX32" s="30"/>
      <c r="CY32" s="30"/>
      <c r="CZ32" s="30"/>
      <c r="DA32" s="30"/>
    </row>
    <row r="33" spans="1:105" ht="19.2" thickTop="1" thickBot="1" x14ac:dyDescent="0.4">
      <c r="A33" s="30"/>
      <c r="B33" s="30"/>
      <c r="C33" s="185" t="s">
        <v>239</v>
      </c>
      <c r="D33" s="46" t="s">
        <v>646</v>
      </c>
      <c r="E33" s="35" t="str">
        <f>_xlfn.XLOOKUP(Tabella4[[#This Row],[NOME]],'ROSE SQUADRE'!$N$3:$N$253,'ROSE SQUADRE'!$O$3:$O$253,"")</f>
        <v/>
      </c>
      <c r="F33" s="36" t="s">
        <v>162</v>
      </c>
      <c r="G33" s="43">
        <v>8</v>
      </c>
      <c r="H33" s="43">
        <v>8</v>
      </c>
      <c r="I33" s="44">
        <f t="shared" si="0"/>
        <v>0</v>
      </c>
      <c r="J33" s="37">
        <f t="shared" si="1"/>
        <v>4</v>
      </c>
      <c r="K33" s="178">
        <f t="shared" si="2"/>
        <v>5.875</v>
      </c>
      <c r="L33" s="178">
        <f t="shared" si="3"/>
        <v>5.75</v>
      </c>
      <c r="M33" s="179">
        <f t="shared" si="4"/>
        <v>23</v>
      </c>
      <c r="N33" s="45">
        <f t="shared" ca="1" si="5"/>
        <v>0</v>
      </c>
      <c r="O33" s="40">
        <f>SUMIF(Tabella1[Nome],Tabella4[[#This Row],[NOME]],Tabella1[Gf])</f>
        <v>0</v>
      </c>
      <c r="P33" s="40">
        <f>-(SUMIF(Tabella1[Nome],Tabella4[[#This Row],[NOME]],Tabella1[Gs]))</f>
        <v>0</v>
      </c>
      <c r="Q33" s="40">
        <f>SUMIF(Tabella1[Nome],Tabella4[[#This Row],[NOME]],Tabella1[Rp])</f>
        <v>0</v>
      </c>
      <c r="R33" s="40">
        <f>SUMIF(Tabella1[Nome],Tabella4[[#This Row],[NOME]],Tabella1[Rs])</f>
        <v>0</v>
      </c>
      <c r="S33" s="40">
        <f>SUMIF(Tabella1[Nome],Tabella4[[#This Row],[NOME]],Tabella1[Rf])</f>
        <v>0</v>
      </c>
      <c r="T33" s="40">
        <f>SUMIF(Tabella1[Nome],Tabella4[[#This Row],[NOME]],Tabella1[Au])</f>
        <v>0</v>
      </c>
      <c r="U33" s="41">
        <f>SUMIF(Tabella1[Nome],Tabella4[[#This Row],[NOME]],Tabella1[Amm])</f>
        <v>1</v>
      </c>
      <c r="V33" s="42">
        <f>SUMIF(Tabella1[Nome],Tabella4[[#This Row],[NOME]],Tabella1[Esp])</f>
        <v>0</v>
      </c>
      <c r="W33" s="40">
        <f>SUMIF(Tabella1[Nome],Tabella4[[#This Row],[NOME]],Tabella1[Ass])</f>
        <v>0</v>
      </c>
      <c r="X33" s="40">
        <f>SUMIF(Tabella1[Nome],Tabella4[[#This Row],[NOME]],Tabella1[Gdv])</f>
        <v>0</v>
      </c>
      <c r="Y33" s="40">
        <f>SUMIF(Tabella1[Nome],Tabella4[[#This Row],[NOME]],Tabella1[cl sh])</f>
        <v>0</v>
      </c>
      <c r="Z33" s="270">
        <f>_xlfn.IFNA(_xlfn.XLOOKUP(CONCATENATE(Z$4,$C33),Tabella1[CONC X VOTI IN TAB GIOC],Tabella1[Voto],""),"")</f>
        <v>5.5</v>
      </c>
      <c r="AA33" s="270">
        <f>_xlfn.IFNA(_xlfn.XLOOKUP(CONCATENATE(AA$4,$C33),Tabella1[CONC X VOTI IN TAB GIOC],Tabella1[Voto],""),"")</f>
        <v>6.5</v>
      </c>
      <c r="AB33" s="270">
        <f>_xlfn.IFNA(_xlfn.XLOOKUP(CONCATENATE(AB$4,$C33),Tabella1[CONC X VOTI IN TAB GIOC],Tabella1[Voto]),"")</f>
        <v>6</v>
      </c>
      <c r="AC33" s="270" cm="1">
        <f t="array" ref="AC33">_xlfn.IFNA(_xlfn.XLOOKUP(CONCATENATE(AC$4,$C33),INDEX(Tabella1[],0,MATCH("CONC X VOTI IN TAB GIOC",Tabella1[#Headers],0)),INDEX(Tabella1[],0,MATCH("Voto",Tabella1[#Headers],0))),"")</f>
        <v>5.5</v>
      </c>
      <c r="AD33" s="270" t="str">
        <f>_xlfn.IFNA(_xlfn.XLOOKUP(CONCATENATE(AD$4,$C33),Tabella1[CONC X VOTI IN TAB GIOC],Tabella1[Voto]),"")</f>
        <v/>
      </c>
      <c r="AE33" s="270" t="str">
        <f>_xlfn.IFNA(VLOOKUP(CONCATENATE(AE$4,$C33),'INSER DATA'!$A:$F,6,0),"")</f>
        <v/>
      </c>
      <c r="AF33" s="270" t="str">
        <f>_xlfn.IFNA(VLOOKUP(CONCATENATE(AF$4,$C33),'INSER DATA'!$A:$F,6,0),"")</f>
        <v/>
      </c>
      <c r="AG33" s="270" t="str">
        <f>_xlfn.IFNA(VLOOKUP(CONCATENATE(AG$4,$C33),'INSER DATA'!$A:$F,6,0),"")</f>
        <v/>
      </c>
      <c r="AH33" s="270" t="str">
        <f>_xlfn.IFNA(VLOOKUP(CONCATENATE(AH$4,$C33),'INSER DATA'!$A:$F,7,0),"")</f>
        <v/>
      </c>
      <c r="AI33" s="270" t="str">
        <f>_xlfn.IFNA(VLOOKUP(CONCATENATE(AI$4,$C33),'INSER DATA'!$A:$F,7,0),"")</f>
        <v/>
      </c>
      <c r="AJ33" s="270" t="str">
        <f>_xlfn.IFNA(VLOOKUP(CONCATENATE(AJ$4,$C33),'INSER DATA'!$A:$F,7,0),"")</f>
        <v/>
      </c>
      <c r="AK33" s="270" t="str">
        <f>_xlfn.IFNA(VLOOKUP(CONCATENATE(AK$4,$C33),'INSER DATA'!$A:$F,7,0),"")</f>
        <v/>
      </c>
      <c r="AL33" s="270" t="str">
        <f>_xlfn.IFNA(VLOOKUP(CONCATENATE(AL$4,$C33),'INSER DATA'!$A:$F,7,0),"")</f>
        <v/>
      </c>
      <c r="AM33" s="270" t="str">
        <f>_xlfn.IFNA(VLOOKUP(CONCATENATE(AM$4,$C33),'INSER DATA'!$A:$F,7,0),"")</f>
        <v/>
      </c>
      <c r="AN33" s="270" t="str">
        <f>_xlfn.IFNA(VLOOKUP(CONCATENATE(AN$4,$C33),'INSER DATA'!$A:$F,7,0),"")</f>
        <v/>
      </c>
      <c r="AO33" s="270" t="str">
        <f>_xlfn.IFNA(VLOOKUP(CONCATENATE(AO$4,$C33),'INSER DATA'!$A:$F,7,0),"")</f>
        <v/>
      </c>
      <c r="AP33" s="270" t="str">
        <f>_xlfn.IFNA(VLOOKUP(CONCATENATE(AP$4,$C33),'INSER DATA'!$A:$F,7,0),"")</f>
        <v/>
      </c>
      <c r="AQ33" s="270" t="str">
        <f>_xlfn.IFNA(VLOOKUP(CONCATENATE(AQ$4,$C33),'INSER DATA'!$A:$F,7,0),"")</f>
        <v/>
      </c>
      <c r="AR33" s="270" t="str">
        <f>_xlfn.IFNA(VLOOKUP(CONCATENATE(AR$4,$C33),'INSER DATA'!$A:$F,7,0),"")</f>
        <v/>
      </c>
      <c r="AS33" s="270" t="str">
        <f>_xlfn.IFNA(VLOOKUP(CONCATENATE(AS$4,$C33),'INSER DATA'!$A:$F,7,0),"")</f>
        <v/>
      </c>
      <c r="AT33" s="270" t="str">
        <f>_xlfn.IFNA(VLOOKUP(CONCATENATE(AT$4,$C33),'INSER DATA'!$A:$F,7,0),"")</f>
        <v/>
      </c>
      <c r="AU33" s="270" t="str">
        <f>_xlfn.IFNA(VLOOKUP(CONCATENATE(AU$4,$C33),'INSER DATA'!$A:$F,7,0),"")</f>
        <v/>
      </c>
      <c r="AV33" s="270" t="str">
        <f>_xlfn.IFNA(VLOOKUP(CONCATENATE(AV$4,$C33),'INSER DATA'!$A:$F,7,0),"")</f>
        <v/>
      </c>
      <c r="AW33" s="270" t="str">
        <f>_xlfn.IFNA(VLOOKUP(CONCATENATE(AW$4,$C33),'INSER DATA'!$A:$F,7,0),"")</f>
        <v/>
      </c>
      <c r="AX33" s="270" t="str">
        <f>_xlfn.IFNA(VLOOKUP(CONCATENATE(AX$4,$C33),'INSER DATA'!$A:$F,7,0),"")</f>
        <v/>
      </c>
      <c r="AY33" s="270" t="str">
        <f>_xlfn.IFNA(VLOOKUP(CONCATENATE(AY$4,$C33),'INSER DATA'!$A:$F,7,0),"")</f>
        <v/>
      </c>
      <c r="AZ33" s="270" t="str">
        <f>_xlfn.IFNA(VLOOKUP(CONCATENATE(AZ$4,$C33),'INSER DATA'!$A:$F,7,0),"")</f>
        <v/>
      </c>
      <c r="BA33" s="270" t="str">
        <f>_xlfn.IFNA(VLOOKUP(CONCATENATE(BA$4,$C33),'INSER DATA'!$A:$F,7,0),"")</f>
        <v/>
      </c>
      <c r="BB33" s="270" t="str">
        <f>_xlfn.IFNA(VLOOKUP(CONCATENATE(BB$4,$C33),'INSER DATA'!$A:$F,7,0),"")</f>
        <v/>
      </c>
      <c r="BC33" s="270" t="str">
        <f>_xlfn.IFNA(VLOOKUP(CONCATENATE(BC$4,$C33),'INSER DATA'!$A:$F,7,0),"")</f>
        <v/>
      </c>
      <c r="BD33" s="270" t="str">
        <f>_xlfn.IFNA(VLOOKUP(CONCATENATE(BD$4,$C33),'INSER DATA'!$A:$F,7,0),"")</f>
        <v/>
      </c>
      <c r="BE33" s="270" t="str">
        <f>_xlfn.IFNA(VLOOKUP(CONCATENATE(BE$4,$C33),'INSER DATA'!$A:$F,7,0),"")</f>
        <v/>
      </c>
      <c r="BF33" s="270" t="str">
        <f>_xlfn.IFNA(VLOOKUP(CONCATENATE(BF$4,$C33),'INSER DATA'!$A:$F,7,0),"")</f>
        <v/>
      </c>
      <c r="BG33" s="270" t="str">
        <f>_xlfn.IFNA(VLOOKUP(CONCATENATE(BG$4,$C33),'INSER DATA'!$A:$F,7,0),"")</f>
        <v/>
      </c>
      <c r="BH33" s="270" t="str">
        <f>_xlfn.IFNA(VLOOKUP(CONCATENATE(BH$4,$C33),'INSER DATA'!$A:$F,7,0),"")</f>
        <v/>
      </c>
      <c r="BI33" s="270" t="str">
        <f>_xlfn.IFNA(VLOOKUP(CONCATENATE(BI$4,$C33),'INSER DATA'!$A:$F,7,0),"")</f>
        <v/>
      </c>
      <c r="BJ33" s="270" t="str">
        <f>_xlfn.IFNA(VLOOKUP(CONCATENATE(BJ$4,$C33),'INSER DATA'!$A:$F,7,0),"")</f>
        <v/>
      </c>
      <c r="BK33" s="270" t="str">
        <f>_xlfn.IFNA(VLOOKUP(CONCATENATE(BK$4,$C33),'INSER DATA'!$A:$F,7,0),"")</f>
        <v/>
      </c>
      <c r="BL33" s="272"/>
      <c r="BM33" s="30"/>
      <c r="BN33" s="30"/>
      <c r="BO33" s="30"/>
      <c r="BP33" s="30"/>
      <c r="BQ33" s="30"/>
      <c r="BR33" s="30"/>
      <c r="BS33" s="30"/>
      <c r="BT33" s="30"/>
      <c r="BU33" s="30"/>
      <c r="BV33" s="30"/>
      <c r="BW33" s="30"/>
      <c r="BX33" s="30"/>
      <c r="BY33" s="30"/>
      <c r="BZ33" s="30"/>
      <c r="CA33" s="30"/>
      <c r="CB33" s="30"/>
      <c r="CC33" s="30"/>
      <c r="CD33" s="30"/>
      <c r="CE33" s="30"/>
      <c r="CF33" s="30"/>
      <c r="CG33" s="30"/>
      <c r="CH33" s="30"/>
      <c r="CI33" s="30"/>
      <c r="CJ33" s="30"/>
      <c r="CK33" s="30"/>
      <c r="CL33" s="30"/>
      <c r="CM33" s="30"/>
      <c r="CN33" s="30"/>
      <c r="CO33" s="30"/>
      <c r="CP33" s="30"/>
      <c r="CQ33" s="30"/>
      <c r="CR33" s="30"/>
      <c r="CS33" s="30"/>
      <c r="CT33" s="30"/>
      <c r="CU33" s="30"/>
      <c r="CV33" s="30"/>
      <c r="CW33" s="30"/>
      <c r="CX33" s="30"/>
      <c r="CY33" s="30"/>
      <c r="CZ33" s="30"/>
      <c r="DA33" s="30"/>
    </row>
    <row r="34" spans="1:105" ht="19.2" thickTop="1" thickBot="1" x14ac:dyDescent="0.4">
      <c r="A34" s="30"/>
      <c r="B34" s="30"/>
      <c r="C34" s="188" t="s">
        <v>658</v>
      </c>
      <c r="D34" s="46" t="s">
        <v>646</v>
      </c>
      <c r="E34" s="35" t="str">
        <f>_xlfn.XLOOKUP(Tabella4[[#This Row],[NOME]],'ROSE SQUADRE'!$N$3:$N$253,'ROSE SQUADRE'!$O$3:$O$253,"")</f>
        <v/>
      </c>
      <c r="F34" s="36" t="s">
        <v>162</v>
      </c>
      <c r="G34" s="43">
        <v>7</v>
      </c>
      <c r="H34" s="43">
        <v>7</v>
      </c>
      <c r="I34" s="44">
        <f t="shared" si="0"/>
        <v>0</v>
      </c>
      <c r="J34" s="37">
        <f t="shared" si="1"/>
        <v>4</v>
      </c>
      <c r="K34" s="38">
        <f t="shared" si="2"/>
        <v>6.125</v>
      </c>
      <c r="L34" s="38">
        <f t="shared" si="3"/>
        <v>6.125</v>
      </c>
      <c r="M34" s="39">
        <f t="shared" si="4"/>
        <v>24.5</v>
      </c>
      <c r="N34" s="45">
        <f t="shared" ca="1" si="5"/>
        <v>0</v>
      </c>
      <c r="O34" s="40">
        <f>SUMIF(Tabella1[Nome],Tabella4[[#This Row],[NOME]],Tabella1[Gf])</f>
        <v>0</v>
      </c>
      <c r="P34" s="40">
        <f>-(SUMIF(Tabella1[Nome],Tabella4[[#This Row],[NOME]],Tabella1[Gs]))</f>
        <v>0</v>
      </c>
      <c r="Q34" s="40">
        <f>SUMIF(Tabella1[Nome],Tabella4[[#This Row],[NOME]],Tabella1[Rp])</f>
        <v>0</v>
      </c>
      <c r="R34" s="40">
        <f>SUMIF(Tabella1[Nome],Tabella4[[#This Row],[NOME]],Tabella1[Rs])</f>
        <v>0</v>
      </c>
      <c r="S34" s="40">
        <f>SUMIF(Tabella1[Nome],Tabella4[[#This Row],[NOME]],Tabella1[Rf])</f>
        <v>0</v>
      </c>
      <c r="T34" s="40">
        <f>SUMIF(Tabella1[Nome],Tabella4[[#This Row],[NOME]],Tabella1[Au])</f>
        <v>0</v>
      </c>
      <c r="U34" s="41">
        <f>SUMIF(Tabella1[Nome],Tabella4[[#This Row],[NOME]],Tabella1[Amm])</f>
        <v>0</v>
      </c>
      <c r="V34" s="42">
        <f>SUMIF(Tabella1[Nome],Tabella4[[#This Row],[NOME]],Tabella1[Esp])</f>
        <v>0</v>
      </c>
      <c r="W34" s="40">
        <f>SUMIF(Tabella1[Nome],Tabella4[[#This Row],[NOME]],Tabella1[Ass])</f>
        <v>0</v>
      </c>
      <c r="X34" s="40">
        <f>SUMIF(Tabella1[Nome],Tabella4[[#This Row],[NOME]],Tabella1[Gdv])</f>
        <v>0</v>
      </c>
      <c r="Y34" s="40">
        <f>SUMIF(Tabella1[Nome],Tabella4[[#This Row],[NOME]],Tabella1[cl sh])</f>
        <v>0</v>
      </c>
      <c r="Z34" s="270">
        <f>_xlfn.IFNA(_xlfn.XLOOKUP(CONCATENATE(Z$4,$C34),Tabella1[CONC X VOTI IN TAB GIOC],Tabella1[Voto],""),"")</f>
        <v>6</v>
      </c>
      <c r="AA34" s="270">
        <f>_xlfn.IFNA(_xlfn.XLOOKUP(CONCATENATE(AA$4,$C34),Tabella1[CONC X VOTI IN TAB GIOC],Tabella1[Voto],""),"")</f>
        <v>6</v>
      </c>
      <c r="AB34" s="270">
        <f>_xlfn.IFNA(_xlfn.XLOOKUP(CONCATENATE(AB$4,$C34),Tabella1[CONC X VOTI IN TAB GIOC],Tabella1[Voto]),"")</f>
        <v>6</v>
      </c>
      <c r="AC34" s="270" cm="1">
        <f t="array" ref="AC34">_xlfn.IFNA(_xlfn.XLOOKUP(CONCATENATE(AC$4,$C34),INDEX(Tabella1[],0,MATCH("CONC X VOTI IN TAB GIOC",Tabella1[#Headers],0)),INDEX(Tabella1[],0,MATCH("Voto",Tabella1[#Headers],0))),"")</f>
        <v>6.5</v>
      </c>
      <c r="AD34" s="270" t="str">
        <f>_xlfn.IFNA(_xlfn.XLOOKUP(CONCATENATE(AD$4,$C34),Tabella1[CONC X VOTI IN TAB GIOC],Tabella1[Voto]),"")</f>
        <v/>
      </c>
      <c r="AE34" s="270" t="str">
        <f>_xlfn.IFNA(VLOOKUP(CONCATENATE(AE$4,$C34),'INSER DATA'!$A:$F,6,0),"")</f>
        <v/>
      </c>
      <c r="AF34" s="270" t="str">
        <f>_xlfn.IFNA(VLOOKUP(CONCATENATE(AF$4,$C34),'INSER DATA'!$A:$F,6,0),"")</f>
        <v/>
      </c>
      <c r="AG34" s="270" t="str">
        <f>_xlfn.IFNA(VLOOKUP(CONCATENATE(AG$4,$C34),'INSER DATA'!$A:$F,6,0),"")</f>
        <v/>
      </c>
      <c r="AH34" s="270" t="str">
        <f>_xlfn.IFNA(VLOOKUP(CONCATENATE(AH$4,$C34),'INSER DATA'!$A:$F,7,0),"")</f>
        <v/>
      </c>
      <c r="AI34" s="270" t="str">
        <f>_xlfn.IFNA(VLOOKUP(CONCATENATE(AI$4,$C34),'INSER DATA'!$A:$F,7,0),"")</f>
        <v/>
      </c>
      <c r="AJ34" s="270" t="str">
        <f>_xlfn.IFNA(VLOOKUP(CONCATENATE(AJ$4,$C34),'INSER DATA'!$A:$F,7,0),"")</f>
        <v/>
      </c>
      <c r="AK34" s="270" t="str">
        <f>_xlfn.IFNA(VLOOKUP(CONCATENATE(AK$4,$C34),'INSER DATA'!$A:$F,7,0),"")</f>
        <v/>
      </c>
      <c r="AL34" s="270" t="str">
        <f>_xlfn.IFNA(VLOOKUP(CONCATENATE(AL$4,$C34),'INSER DATA'!$A:$F,7,0),"")</f>
        <v/>
      </c>
      <c r="AM34" s="270" t="str">
        <f>_xlfn.IFNA(VLOOKUP(CONCATENATE(AM$4,$C34),'INSER DATA'!$A:$F,7,0),"")</f>
        <v/>
      </c>
      <c r="AN34" s="270" t="str">
        <f>_xlfn.IFNA(VLOOKUP(CONCATENATE(AN$4,$C34),'INSER DATA'!$A:$F,7,0),"")</f>
        <v/>
      </c>
      <c r="AO34" s="270" t="str">
        <f>_xlfn.IFNA(VLOOKUP(CONCATENATE(AO$4,$C34),'INSER DATA'!$A:$F,7,0),"")</f>
        <v/>
      </c>
      <c r="AP34" s="270" t="str">
        <f>_xlfn.IFNA(VLOOKUP(CONCATENATE(AP$4,$C34),'INSER DATA'!$A:$F,7,0),"")</f>
        <v/>
      </c>
      <c r="AQ34" s="270" t="str">
        <f>_xlfn.IFNA(VLOOKUP(CONCATENATE(AQ$4,$C34),'INSER DATA'!$A:$F,7,0),"")</f>
        <v/>
      </c>
      <c r="AR34" s="270" t="str">
        <f>_xlfn.IFNA(VLOOKUP(CONCATENATE(AR$4,$C34),'INSER DATA'!$A:$F,7,0),"")</f>
        <v/>
      </c>
      <c r="AS34" s="270" t="str">
        <f>_xlfn.IFNA(VLOOKUP(CONCATENATE(AS$4,$C34),'INSER DATA'!$A:$F,7,0),"")</f>
        <v/>
      </c>
      <c r="AT34" s="270" t="str">
        <f>_xlfn.IFNA(VLOOKUP(CONCATENATE(AT$4,$C34),'INSER DATA'!$A:$F,7,0),"")</f>
        <v/>
      </c>
      <c r="AU34" s="270" t="str">
        <f>_xlfn.IFNA(VLOOKUP(CONCATENATE(AU$4,$C34),'INSER DATA'!$A:$F,7,0),"")</f>
        <v/>
      </c>
      <c r="AV34" s="270" t="str">
        <f>_xlfn.IFNA(VLOOKUP(CONCATENATE(AV$4,$C34),'INSER DATA'!$A:$F,7,0),"")</f>
        <v/>
      </c>
      <c r="AW34" s="270" t="str">
        <f>_xlfn.IFNA(VLOOKUP(CONCATENATE(AW$4,$C34),'INSER DATA'!$A:$F,7,0),"")</f>
        <v/>
      </c>
      <c r="AX34" s="270" t="str">
        <f>_xlfn.IFNA(VLOOKUP(CONCATENATE(AX$4,$C34),'INSER DATA'!$A:$F,7,0),"")</f>
        <v/>
      </c>
      <c r="AY34" s="270" t="str">
        <f>_xlfn.IFNA(VLOOKUP(CONCATENATE(AY$4,$C34),'INSER DATA'!$A:$F,7,0),"")</f>
        <v/>
      </c>
      <c r="AZ34" s="270" t="str">
        <f>_xlfn.IFNA(VLOOKUP(CONCATENATE(AZ$4,$C34),'INSER DATA'!$A:$F,7,0),"")</f>
        <v/>
      </c>
      <c r="BA34" s="270" t="str">
        <f>_xlfn.IFNA(VLOOKUP(CONCATENATE(BA$4,$C34),'INSER DATA'!$A:$F,7,0),"")</f>
        <v/>
      </c>
      <c r="BB34" s="270" t="str">
        <f>_xlfn.IFNA(VLOOKUP(CONCATENATE(BB$4,$C34),'INSER DATA'!$A:$F,7,0),"")</f>
        <v/>
      </c>
      <c r="BC34" s="270" t="str">
        <f>_xlfn.IFNA(VLOOKUP(CONCATENATE(BC$4,$C34),'INSER DATA'!$A:$F,7,0),"")</f>
        <v/>
      </c>
      <c r="BD34" s="270" t="str">
        <f>_xlfn.IFNA(VLOOKUP(CONCATENATE(BD$4,$C34),'INSER DATA'!$A:$F,7,0),"")</f>
        <v/>
      </c>
      <c r="BE34" s="270" t="str">
        <f>_xlfn.IFNA(VLOOKUP(CONCATENATE(BE$4,$C34),'INSER DATA'!$A:$F,7,0),"")</f>
        <v/>
      </c>
      <c r="BF34" s="270" t="str">
        <f>_xlfn.IFNA(VLOOKUP(CONCATENATE(BF$4,$C34),'INSER DATA'!$A:$F,7,0),"")</f>
        <v/>
      </c>
      <c r="BG34" s="270" t="str">
        <f>_xlfn.IFNA(VLOOKUP(CONCATENATE(BG$4,$C34),'INSER DATA'!$A:$F,7,0),"")</f>
        <v/>
      </c>
      <c r="BH34" s="270" t="str">
        <f>_xlfn.IFNA(VLOOKUP(CONCATENATE(BH$4,$C34),'INSER DATA'!$A:$F,7,0),"")</f>
        <v/>
      </c>
      <c r="BI34" s="270" t="str">
        <f>_xlfn.IFNA(VLOOKUP(CONCATENATE(BI$4,$C34),'INSER DATA'!$A:$F,7,0),"")</f>
        <v/>
      </c>
      <c r="BJ34" s="270" t="str">
        <f>_xlfn.IFNA(VLOOKUP(CONCATENATE(BJ$4,$C34),'INSER DATA'!$A:$F,7,0),"")</f>
        <v/>
      </c>
      <c r="BK34" s="270" t="str">
        <f>_xlfn.IFNA(VLOOKUP(CONCATENATE(BK$4,$C34),'INSER DATA'!$A:$F,7,0),"")</f>
        <v/>
      </c>
      <c r="BL34" s="272"/>
      <c r="BM34" s="30"/>
      <c r="BN34" s="30"/>
      <c r="BO34" s="30"/>
      <c r="BP34" s="30"/>
      <c r="BQ34" s="30"/>
      <c r="BR34" s="30"/>
      <c r="BS34" s="30"/>
      <c r="BT34" s="30"/>
      <c r="BU34" s="30"/>
      <c r="BV34" s="30"/>
      <c r="BW34" s="30"/>
      <c r="BX34" s="30"/>
      <c r="BY34" s="30"/>
      <c r="BZ34" s="30"/>
      <c r="CA34" s="30"/>
      <c r="CB34" s="30"/>
      <c r="CC34" s="30"/>
      <c r="CD34" s="30"/>
      <c r="CE34" s="30"/>
      <c r="CF34" s="30"/>
      <c r="CG34" s="30"/>
      <c r="CH34" s="30"/>
      <c r="CI34" s="30"/>
      <c r="CJ34" s="30"/>
      <c r="CK34" s="30"/>
      <c r="CL34" s="30"/>
      <c r="CM34" s="30"/>
      <c r="CN34" s="30"/>
      <c r="CO34" s="30"/>
      <c r="CP34" s="30"/>
      <c r="CQ34" s="30"/>
      <c r="CR34" s="30"/>
      <c r="CS34" s="30"/>
      <c r="CT34" s="30"/>
      <c r="CU34" s="30"/>
      <c r="CV34" s="30"/>
      <c r="CW34" s="30"/>
      <c r="CX34" s="30"/>
      <c r="CY34" s="30"/>
      <c r="CZ34" s="30"/>
      <c r="DA34" s="30"/>
    </row>
    <row r="35" spans="1:105" ht="19.2" thickTop="1" thickBot="1" x14ac:dyDescent="0.4">
      <c r="A35" s="30"/>
      <c r="B35" s="30"/>
      <c r="C35" s="188" t="s">
        <v>659</v>
      </c>
      <c r="D35" s="46" t="s">
        <v>646</v>
      </c>
      <c r="E35" s="35" t="str">
        <f>_xlfn.XLOOKUP(Tabella4[[#This Row],[NOME]],'ROSE SQUADRE'!$N$3:$N$253,'ROSE SQUADRE'!$O$3:$O$253,"")</f>
        <v/>
      </c>
      <c r="F35" s="36" t="s">
        <v>162</v>
      </c>
      <c r="G35" s="43">
        <v>6</v>
      </c>
      <c r="H35" s="43">
        <v>6</v>
      </c>
      <c r="I35" s="44">
        <f t="shared" si="0"/>
        <v>0</v>
      </c>
      <c r="J35" s="37">
        <f t="shared" si="1"/>
        <v>3</v>
      </c>
      <c r="K35" s="38">
        <f t="shared" si="2"/>
        <v>6</v>
      </c>
      <c r="L35" s="38">
        <f t="shared" si="3"/>
        <v>6</v>
      </c>
      <c r="M35" s="39">
        <f t="shared" si="4"/>
        <v>18</v>
      </c>
      <c r="N35" s="45">
        <f t="shared" ca="1" si="5"/>
        <v>0</v>
      </c>
      <c r="O35" s="40">
        <f>SUMIF(Tabella1[Nome],Tabella4[[#This Row],[NOME]],Tabella1[Gf])</f>
        <v>0</v>
      </c>
      <c r="P35" s="40">
        <f>-(SUMIF(Tabella1[Nome],Tabella4[[#This Row],[NOME]],Tabella1[Gs]))</f>
        <v>0</v>
      </c>
      <c r="Q35" s="40">
        <f>SUMIF(Tabella1[Nome],Tabella4[[#This Row],[NOME]],Tabella1[Rp])</f>
        <v>0</v>
      </c>
      <c r="R35" s="40">
        <f>SUMIF(Tabella1[Nome],Tabella4[[#This Row],[NOME]],Tabella1[Rs])</f>
        <v>0</v>
      </c>
      <c r="S35" s="40">
        <f>SUMIF(Tabella1[Nome],Tabella4[[#This Row],[NOME]],Tabella1[Rf])</f>
        <v>0</v>
      </c>
      <c r="T35" s="40">
        <f>SUMIF(Tabella1[Nome],Tabella4[[#This Row],[NOME]],Tabella1[Au])</f>
        <v>0</v>
      </c>
      <c r="U35" s="41">
        <f>SUMIF(Tabella1[Nome],Tabella4[[#This Row],[NOME]],Tabella1[Amm])</f>
        <v>0</v>
      </c>
      <c r="V35" s="42">
        <f>SUMIF(Tabella1[Nome],Tabella4[[#This Row],[NOME]],Tabella1[Esp])</f>
        <v>0</v>
      </c>
      <c r="W35" s="40">
        <f>SUMIF(Tabella1[Nome],Tabella4[[#This Row],[NOME]],Tabella1[Ass])</f>
        <v>0</v>
      </c>
      <c r="X35" s="40">
        <f>SUMIF(Tabella1[Nome],Tabella4[[#This Row],[NOME]],Tabella1[Gdv])</f>
        <v>0</v>
      </c>
      <c r="Y35" s="40">
        <f>SUMIF(Tabella1[Nome],Tabella4[[#This Row],[NOME]],Tabella1[cl sh])</f>
        <v>0</v>
      </c>
      <c r="Z35" s="270" t="str">
        <f>_xlfn.IFNA(_xlfn.XLOOKUP(CONCATENATE(Z$4,$C35),Tabella1[CONC X VOTI IN TAB GIOC],Tabella1[Voto],""),"")</f>
        <v/>
      </c>
      <c r="AA35" s="270">
        <f>_xlfn.IFNA(_xlfn.XLOOKUP(CONCATENATE(AA$4,$C35),Tabella1[CONC X VOTI IN TAB GIOC],Tabella1[Voto],""),"")</f>
        <v>6</v>
      </c>
      <c r="AB35" s="270">
        <f>_xlfn.IFNA(_xlfn.XLOOKUP(CONCATENATE(AB$4,$C35),Tabella1[CONC X VOTI IN TAB GIOC],Tabella1[Voto]),"")</f>
        <v>6</v>
      </c>
      <c r="AC35" s="270" cm="1">
        <f t="array" ref="AC35">_xlfn.IFNA(_xlfn.XLOOKUP(CONCATENATE(AC$4,$C35),INDEX(Tabella1[],0,MATCH("CONC X VOTI IN TAB GIOC",Tabella1[#Headers],0)),INDEX(Tabella1[],0,MATCH("Voto",Tabella1[#Headers],0))),"")</f>
        <v>6</v>
      </c>
      <c r="AD35" s="270" t="str">
        <f>_xlfn.IFNA(_xlfn.XLOOKUP(CONCATENATE(AD$4,$C35),Tabella1[CONC X VOTI IN TAB GIOC],Tabella1[Voto]),"")</f>
        <v/>
      </c>
      <c r="AE35" s="270" t="str">
        <f>_xlfn.IFNA(VLOOKUP(CONCATENATE(AE$4,$C35),'INSER DATA'!$A:$F,6,0),"")</f>
        <v/>
      </c>
      <c r="AF35" s="270" t="str">
        <f>_xlfn.IFNA(VLOOKUP(CONCATENATE(AF$4,$C35),'INSER DATA'!$A:$F,6,0),"")</f>
        <v/>
      </c>
      <c r="AG35" s="270" t="str">
        <f>_xlfn.IFNA(VLOOKUP(CONCATENATE(AG$4,$C35),'INSER DATA'!$A:$F,6,0),"")</f>
        <v/>
      </c>
      <c r="AH35" s="270" t="str">
        <f>_xlfn.IFNA(VLOOKUP(CONCATENATE(AH$4,$C35),'INSER DATA'!$A:$F,7,0),"")</f>
        <v/>
      </c>
      <c r="AI35" s="270" t="str">
        <f>_xlfn.IFNA(VLOOKUP(CONCATENATE(AI$4,$C35),'INSER DATA'!$A:$F,7,0),"")</f>
        <v/>
      </c>
      <c r="AJ35" s="270" t="str">
        <f>_xlfn.IFNA(VLOOKUP(CONCATENATE(AJ$4,$C35),'INSER DATA'!$A:$F,7,0),"")</f>
        <v/>
      </c>
      <c r="AK35" s="270" t="str">
        <f>_xlfn.IFNA(VLOOKUP(CONCATENATE(AK$4,$C35),'INSER DATA'!$A:$F,7,0),"")</f>
        <v/>
      </c>
      <c r="AL35" s="270" t="str">
        <f>_xlfn.IFNA(VLOOKUP(CONCATENATE(AL$4,$C35),'INSER DATA'!$A:$F,7,0),"")</f>
        <v/>
      </c>
      <c r="AM35" s="270" t="str">
        <f>_xlfn.IFNA(VLOOKUP(CONCATENATE(AM$4,$C35),'INSER DATA'!$A:$F,7,0),"")</f>
        <v/>
      </c>
      <c r="AN35" s="270" t="str">
        <f>_xlfn.IFNA(VLOOKUP(CONCATENATE(AN$4,$C35),'INSER DATA'!$A:$F,7,0),"")</f>
        <v/>
      </c>
      <c r="AO35" s="270" t="str">
        <f>_xlfn.IFNA(VLOOKUP(CONCATENATE(AO$4,$C35),'INSER DATA'!$A:$F,7,0),"")</f>
        <v/>
      </c>
      <c r="AP35" s="270" t="str">
        <f>_xlfn.IFNA(VLOOKUP(CONCATENATE(AP$4,$C35),'INSER DATA'!$A:$F,7,0),"")</f>
        <v/>
      </c>
      <c r="AQ35" s="270" t="str">
        <f>_xlfn.IFNA(VLOOKUP(CONCATENATE(AQ$4,$C35),'INSER DATA'!$A:$F,7,0),"")</f>
        <v/>
      </c>
      <c r="AR35" s="270" t="str">
        <f>_xlfn.IFNA(VLOOKUP(CONCATENATE(AR$4,$C35),'INSER DATA'!$A:$F,7,0),"")</f>
        <v/>
      </c>
      <c r="AS35" s="270" t="str">
        <f>_xlfn.IFNA(VLOOKUP(CONCATENATE(AS$4,$C35),'INSER DATA'!$A:$F,7,0),"")</f>
        <v/>
      </c>
      <c r="AT35" s="270" t="str">
        <f>_xlfn.IFNA(VLOOKUP(CONCATENATE(AT$4,$C35),'INSER DATA'!$A:$F,7,0),"")</f>
        <v/>
      </c>
      <c r="AU35" s="270" t="str">
        <f>_xlfn.IFNA(VLOOKUP(CONCATENATE(AU$4,$C35),'INSER DATA'!$A:$F,7,0),"")</f>
        <v/>
      </c>
      <c r="AV35" s="270" t="str">
        <f>_xlfn.IFNA(VLOOKUP(CONCATENATE(AV$4,$C35),'INSER DATA'!$A:$F,7,0),"")</f>
        <v/>
      </c>
      <c r="AW35" s="270" t="str">
        <f>_xlfn.IFNA(VLOOKUP(CONCATENATE(AW$4,$C35),'INSER DATA'!$A:$F,7,0),"")</f>
        <v/>
      </c>
      <c r="AX35" s="270" t="str">
        <f>_xlfn.IFNA(VLOOKUP(CONCATENATE(AX$4,$C35),'INSER DATA'!$A:$F,7,0),"")</f>
        <v/>
      </c>
      <c r="AY35" s="270" t="str">
        <f>_xlfn.IFNA(VLOOKUP(CONCATENATE(AY$4,$C35),'INSER DATA'!$A:$F,7,0),"")</f>
        <v/>
      </c>
      <c r="AZ35" s="270" t="str">
        <f>_xlfn.IFNA(VLOOKUP(CONCATENATE(AZ$4,$C35),'INSER DATA'!$A:$F,7,0),"")</f>
        <v/>
      </c>
      <c r="BA35" s="270" t="str">
        <f>_xlfn.IFNA(VLOOKUP(CONCATENATE(BA$4,$C35),'INSER DATA'!$A:$F,7,0),"")</f>
        <v/>
      </c>
      <c r="BB35" s="270" t="str">
        <f>_xlfn.IFNA(VLOOKUP(CONCATENATE(BB$4,$C35),'INSER DATA'!$A:$F,7,0),"")</f>
        <v/>
      </c>
      <c r="BC35" s="270" t="str">
        <f>_xlfn.IFNA(VLOOKUP(CONCATENATE(BC$4,$C35),'INSER DATA'!$A:$F,7,0),"")</f>
        <v/>
      </c>
      <c r="BD35" s="270" t="str">
        <f>_xlfn.IFNA(VLOOKUP(CONCATENATE(BD$4,$C35),'INSER DATA'!$A:$F,7,0),"")</f>
        <v/>
      </c>
      <c r="BE35" s="270" t="str">
        <f>_xlfn.IFNA(VLOOKUP(CONCATENATE(BE$4,$C35),'INSER DATA'!$A:$F,7,0),"")</f>
        <v/>
      </c>
      <c r="BF35" s="270" t="str">
        <f>_xlfn.IFNA(VLOOKUP(CONCATENATE(BF$4,$C35),'INSER DATA'!$A:$F,7,0),"")</f>
        <v/>
      </c>
      <c r="BG35" s="270" t="str">
        <f>_xlfn.IFNA(VLOOKUP(CONCATENATE(BG$4,$C35),'INSER DATA'!$A:$F,7,0),"")</f>
        <v/>
      </c>
      <c r="BH35" s="270" t="str">
        <f>_xlfn.IFNA(VLOOKUP(CONCATENATE(BH$4,$C35),'INSER DATA'!$A:$F,7,0),"")</f>
        <v/>
      </c>
      <c r="BI35" s="270" t="str">
        <f>_xlfn.IFNA(VLOOKUP(CONCATENATE(BI$4,$C35),'INSER DATA'!$A:$F,7,0),"")</f>
        <v/>
      </c>
      <c r="BJ35" s="270" t="str">
        <f>_xlfn.IFNA(VLOOKUP(CONCATENATE(BJ$4,$C35),'INSER DATA'!$A:$F,7,0),"")</f>
        <v/>
      </c>
      <c r="BK35" s="270" t="str">
        <f>_xlfn.IFNA(VLOOKUP(CONCATENATE(BK$4,$C35),'INSER DATA'!$A:$F,7,0),"")</f>
        <v/>
      </c>
      <c r="BL35" s="272"/>
      <c r="BM35" s="30"/>
      <c r="BN35" s="30"/>
      <c r="BO35" s="30"/>
      <c r="BP35" s="30"/>
      <c r="BQ35" s="30"/>
      <c r="BR35" s="30"/>
      <c r="BS35" s="30"/>
      <c r="BT35" s="30"/>
      <c r="BU35" s="30"/>
      <c r="BV35" s="30"/>
      <c r="BW35" s="30"/>
      <c r="BX35" s="30"/>
      <c r="BY35" s="30"/>
      <c r="BZ35" s="30"/>
      <c r="CA35" s="30"/>
      <c r="CB35" s="30"/>
      <c r="CC35" s="30"/>
      <c r="CD35" s="30"/>
      <c r="CE35" s="30"/>
      <c r="CF35" s="30"/>
      <c r="CG35" s="30"/>
      <c r="CH35" s="30"/>
      <c r="CI35" s="30"/>
      <c r="CJ35" s="30"/>
      <c r="CK35" s="30"/>
      <c r="CL35" s="30"/>
      <c r="CM35" s="30"/>
      <c r="CN35" s="30"/>
      <c r="CO35" s="30"/>
      <c r="CP35" s="30"/>
      <c r="CQ35" s="30"/>
      <c r="CR35" s="30"/>
      <c r="CS35" s="30"/>
      <c r="CT35" s="30"/>
      <c r="CU35" s="30"/>
      <c r="CV35" s="30"/>
      <c r="CW35" s="30"/>
      <c r="CX35" s="30"/>
      <c r="CY35" s="30"/>
      <c r="CZ35" s="30"/>
      <c r="DA35" s="30"/>
    </row>
    <row r="36" spans="1:105" ht="19.2" thickTop="1" thickBot="1" x14ac:dyDescent="0.4">
      <c r="A36" s="30"/>
      <c r="B36" s="30"/>
      <c r="C36" s="363" t="s">
        <v>508</v>
      </c>
      <c r="D36" s="364" t="s">
        <v>646</v>
      </c>
      <c r="E36" s="35" t="str">
        <f>_xlfn.XLOOKUP(Tabella4[[#This Row],[NOME]],'ROSE SQUADRE'!$N$3:$N$253,'ROSE SQUADRE'!$O$3:$O$253,"")</f>
        <v>AS PIPPERIA</v>
      </c>
      <c r="F36" s="36" t="s">
        <v>162</v>
      </c>
      <c r="G36" s="43">
        <v>8</v>
      </c>
      <c r="H36" s="43">
        <v>8</v>
      </c>
      <c r="I36" s="44">
        <f t="shared" si="0"/>
        <v>0</v>
      </c>
      <c r="J36" s="37">
        <f t="shared" si="1"/>
        <v>4</v>
      </c>
      <c r="K36" s="38">
        <f t="shared" si="2"/>
        <v>5.625</v>
      </c>
      <c r="L36" s="38">
        <f t="shared" si="3"/>
        <v>5.5</v>
      </c>
      <c r="M36" s="39">
        <f t="shared" si="4"/>
        <v>22</v>
      </c>
      <c r="N36" s="45">
        <f t="shared" ca="1" si="5"/>
        <v>0</v>
      </c>
      <c r="O36" s="40">
        <f>SUMIF(Tabella1[Nome],Tabella4[[#This Row],[NOME]],Tabella1[Gf])</f>
        <v>0</v>
      </c>
      <c r="P36" s="40">
        <f>-(SUMIF(Tabella1[Nome],Tabella4[[#This Row],[NOME]],Tabella1[Gs]))</f>
        <v>0</v>
      </c>
      <c r="Q36" s="40">
        <f>SUMIF(Tabella1[Nome],Tabella4[[#This Row],[NOME]],Tabella1[Rp])</f>
        <v>0</v>
      </c>
      <c r="R36" s="40">
        <f>SUMIF(Tabella1[Nome],Tabella4[[#This Row],[NOME]],Tabella1[Rs])</f>
        <v>0</v>
      </c>
      <c r="S36" s="40">
        <f>SUMIF(Tabella1[Nome],Tabella4[[#This Row],[NOME]],Tabella1[Rf])</f>
        <v>0</v>
      </c>
      <c r="T36" s="40">
        <f>SUMIF(Tabella1[Nome],Tabella4[[#This Row],[NOME]],Tabella1[Au])</f>
        <v>0</v>
      </c>
      <c r="U36" s="41">
        <f>SUMIF(Tabella1[Nome],Tabella4[[#This Row],[NOME]],Tabella1[Amm])</f>
        <v>1</v>
      </c>
      <c r="V36" s="42">
        <f>SUMIF(Tabella1[Nome],Tabella4[[#This Row],[NOME]],Tabella1[Esp])</f>
        <v>0</v>
      </c>
      <c r="W36" s="40">
        <f>SUMIF(Tabella1[Nome],Tabella4[[#This Row],[NOME]],Tabella1[Ass])</f>
        <v>0</v>
      </c>
      <c r="X36" s="40">
        <f>SUMIF(Tabella1[Nome],Tabella4[[#This Row],[NOME]],Tabella1[Gdv])</f>
        <v>0</v>
      </c>
      <c r="Y36" s="40">
        <f>SUMIF(Tabella1[Nome],Tabella4[[#This Row],[NOME]],Tabella1[cl sh])</f>
        <v>0</v>
      </c>
      <c r="Z36" s="270">
        <f>_xlfn.IFNA(_xlfn.XLOOKUP(CONCATENATE(Z$4,$C36),Tabella1[CONC X VOTI IN TAB GIOC],Tabella1[Voto],""),"")</f>
        <v>5.5</v>
      </c>
      <c r="AA36" s="270">
        <f>_xlfn.IFNA(_xlfn.XLOOKUP(CONCATENATE(AA$4,$C36),Tabella1[CONC X VOTI IN TAB GIOC],Tabella1[Voto],""),"")</f>
        <v>6</v>
      </c>
      <c r="AB36" s="270">
        <f>_xlfn.IFNA(_xlfn.XLOOKUP(CONCATENATE(AB$4,$C36),Tabella1[CONC X VOTI IN TAB GIOC],Tabella1[Voto]),"")</f>
        <v>5.5</v>
      </c>
      <c r="AC36" s="270" cm="1">
        <f t="array" ref="AC36">_xlfn.IFNA(_xlfn.XLOOKUP(CONCATENATE(AC$4,$C36),INDEX(Tabella1[],0,MATCH("CONC X VOTI IN TAB GIOC",Tabella1[#Headers],0)),INDEX(Tabella1[],0,MATCH("Voto",Tabella1[#Headers],0))),"")</f>
        <v>5.5</v>
      </c>
      <c r="AD36" s="270" t="str">
        <f>_xlfn.IFNA(_xlfn.XLOOKUP(CONCATENATE(AD$4,$C36),Tabella1[CONC X VOTI IN TAB GIOC],Tabella1[Voto]),"")</f>
        <v/>
      </c>
      <c r="AE36" s="270" t="str">
        <f>_xlfn.IFNA(VLOOKUP(CONCATENATE(AE$4,$C36),'INSER DATA'!$A:$F,6,0),"")</f>
        <v/>
      </c>
      <c r="AF36" s="270" t="str">
        <f>_xlfn.IFNA(VLOOKUP(CONCATENATE(AF$4,$C36),'INSER DATA'!$A:$F,6,0),"")</f>
        <v/>
      </c>
      <c r="AG36" s="270" t="str">
        <f>_xlfn.IFNA(VLOOKUP(CONCATENATE(AG$4,$C36),'INSER DATA'!$A:$F,6,0),"")</f>
        <v/>
      </c>
      <c r="AH36" s="270" t="str">
        <f>_xlfn.IFNA(VLOOKUP(CONCATENATE(AH$4,$C36),'INSER DATA'!$A:$F,7,0),"")</f>
        <v/>
      </c>
      <c r="AI36" s="270" t="str">
        <f>_xlfn.IFNA(VLOOKUP(CONCATENATE(AI$4,$C36),'INSER DATA'!$A:$F,7,0),"")</f>
        <v/>
      </c>
      <c r="AJ36" s="270" t="str">
        <f>_xlfn.IFNA(VLOOKUP(CONCATENATE(AJ$4,$C36),'INSER DATA'!$A:$F,7,0),"")</f>
        <v/>
      </c>
      <c r="AK36" s="270" t="str">
        <f>_xlfn.IFNA(VLOOKUP(CONCATENATE(AK$4,$C36),'INSER DATA'!$A:$F,7,0),"")</f>
        <v/>
      </c>
      <c r="AL36" s="270" t="str">
        <f>_xlfn.IFNA(VLOOKUP(CONCATENATE(AL$4,$C36),'INSER DATA'!$A:$F,7,0),"")</f>
        <v/>
      </c>
      <c r="AM36" s="270" t="str">
        <f>_xlfn.IFNA(VLOOKUP(CONCATENATE(AM$4,$C36),'INSER DATA'!$A:$F,7,0),"")</f>
        <v/>
      </c>
      <c r="AN36" s="270" t="str">
        <f>_xlfn.IFNA(VLOOKUP(CONCATENATE(AN$4,$C36),'INSER DATA'!$A:$F,7,0),"")</f>
        <v/>
      </c>
      <c r="AO36" s="270" t="str">
        <f>_xlfn.IFNA(VLOOKUP(CONCATENATE(AO$4,$C36),'INSER DATA'!$A:$F,7,0),"")</f>
        <v/>
      </c>
      <c r="AP36" s="270" t="str">
        <f>_xlfn.IFNA(VLOOKUP(CONCATENATE(AP$4,$C36),'INSER DATA'!$A:$F,7,0),"")</f>
        <v/>
      </c>
      <c r="AQ36" s="270" t="str">
        <f>_xlfn.IFNA(VLOOKUP(CONCATENATE(AQ$4,$C36),'INSER DATA'!$A:$F,7,0),"")</f>
        <v/>
      </c>
      <c r="AR36" s="270" t="str">
        <f>_xlfn.IFNA(VLOOKUP(CONCATENATE(AR$4,$C36),'INSER DATA'!$A:$F,7,0),"")</f>
        <v/>
      </c>
      <c r="AS36" s="270" t="str">
        <f>_xlfn.IFNA(VLOOKUP(CONCATENATE(AS$4,$C36),'INSER DATA'!$A:$F,7,0),"")</f>
        <v/>
      </c>
      <c r="AT36" s="270" t="str">
        <f>_xlfn.IFNA(VLOOKUP(CONCATENATE(AT$4,$C36),'INSER DATA'!$A:$F,7,0),"")</f>
        <v/>
      </c>
      <c r="AU36" s="270" t="str">
        <f>_xlfn.IFNA(VLOOKUP(CONCATENATE(AU$4,$C36),'INSER DATA'!$A:$F,7,0),"")</f>
        <v/>
      </c>
      <c r="AV36" s="270" t="str">
        <f>_xlfn.IFNA(VLOOKUP(CONCATENATE(AV$4,$C36),'INSER DATA'!$A:$F,7,0),"")</f>
        <v/>
      </c>
      <c r="AW36" s="270" t="str">
        <f>_xlfn.IFNA(VLOOKUP(CONCATENATE(AW$4,$C36),'INSER DATA'!$A:$F,7,0),"")</f>
        <v/>
      </c>
      <c r="AX36" s="270" t="str">
        <f>_xlfn.IFNA(VLOOKUP(CONCATENATE(AX$4,$C36),'INSER DATA'!$A:$F,7,0),"")</f>
        <v/>
      </c>
      <c r="AY36" s="270" t="str">
        <f>_xlfn.IFNA(VLOOKUP(CONCATENATE(AY$4,$C36),'INSER DATA'!$A:$F,7,0),"")</f>
        <v/>
      </c>
      <c r="AZ36" s="270" t="str">
        <f>_xlfn.IFNA(VLOOKUP(CONCATENATE(AZ$4,$C36),'INSER DATA'!$A:$F,7,0),"")</f>
        <v/>
      </c>
      <c r="BA36" s="270" t="str">
        <f>_xlfn.IFNA(VLOOKUP(CONCATENATE(BA$4,$C36),'INSER DATA'!$A:$F,7,0),"")</f>
        <v/>
      </c>
      <c r="BB36" s="270" t="str">
        <f>_xlfn.IFNA(VLOOKUP(CONCATENATE(BB$4,$C36),'INSER DATA'!$A:$F,7,0),"")</f>
        <v/>
      </c>
      <c r="BC36" s="270" t="str">
        <f>_xlfn.IFNA(VLOOKUP(CONCATENATE(BC$4,$C36),'INSER DATA'!$A:$F,7,0),"")</f>
        <v/>
      </c>
      <c r="BD36" s="270" t="str">
        <f>_xlfn.IFNA(VLOOKUP(CONCATENATE(BD$4,$C36),'INSER DATA'!$A:$F,7,0),"")</f>
        <v/>
      </c>
      <c r="BE36" s="270" t="str">
        <f>_xlfn.IFNA(VLOOKUP(CONCATENATE(BE$4,$C36),'INSER DATA'!$A:$F,7,0),"")</f>
        <v/>
      </c>
      <c r="BF36" s="270" t="str">
        <f>_xlfn.IFNA(VLOOKUP(CONCATENATE(BF$4,$C36),'INSER DATA'!$A:$F,7,0),"")</f>
        <v/>
      </c>
      <c r="BG36" s="270" t="str">
        <f>_xlfn.IFNA(VLOOKUP(CONCATENATE(BG$4,$C36),'INSER DATA'!$A:$F,7,0),"")</f>
        <v/>
      </c>
      <c r="BH36" s="270" t="str">
        <f>_xlfn.IFNA(VLOOKUP(CONCATENATE(BH$4,$C36),'INSER DATA'!$A:$F,7,0),"")</f>
        <v/>
      </c>
      <c r="BI36" s="270" t="str">
        <f>_xlfn.IFNA(VLOOKUP(CONCATENATE(BI$4,$C36),'INSER DATA'!$A:$F,7,0),"")</f>
        <v/>
      </c>
      <c r="BJ36" s="270" t="str">
        <f>_xlfn.IFNA(VLOOKUP(CONCATENATE(BJ$4,$C36),'INSER DATA'!$A:$F,7,0),"")</f>
        <v/>
      </c>
      <c r="BK36" s="270" t="str">
        <f>_xlfn.IFNA(VLOOKUP(CONCATENATE(BK$4,$C36),'INSER DATA'!$A:$F,7,0),"")</f>
        <v/>
      </c>
      <c r="BL36" s="272"/>
      <c r="BM36" s="30"/>
      <c r="BN36" s="30"/>
      <c r="BO36" s="30"/>
      <c r="BP36" s="30"/>
      <c r="BQ36" s="30"/>
      <c r="BR36" s="30"/>
      <c r="BS36" s="30"/>
      <c r="BT36" s="30"/>
      <c r="BU36" s="30"/>
      <c r="BV36" s="30"/>
      <c r="BW36" s="30"/>
      <c r="BX36" s="30"/>
      <c r="BY36" s="30"/>
      <c r="BZ36" s="30"/>
      <c r="CA36" s="30"/>
      <c r="CB36" s="30"/>
      <c r="CC36" s="30"/>
      <c r="CD36" s="30"/>
      <c r="CE36" s="30"/>
      <c r="CF36" s="30"/>
      <c r="CG36" s="30"/>
      <c r="CH36" s="30"/>
      <c r="CI36" s="30"/>
      <c r="CJ36" s="30"/>
      <c r="CK36" s="30"/>
      <c r="CL36" s="30"/>
      <c r="CM36" s="30"/>
      <c r="CN36" s="30"/>
      <c r="CO36" s="30"/>
      <c r="CP36" s="30"/>
      <c r="CQ36" s="30"/>
      <c r="CR36" s="30"/>
      <c r="CS36" s="30"/>
      <c r="CT36" s="30"/>
      <c r="CU36" s="30"/>
      <c r="CV36" s="30"/>
      <c r="CW36" s="30"/>
      <c r="CX36" s="30"/>
      <c r="CY36" s="30"/>
      <c r="CZ36" s="30"/>
      <c r="DA36" s="30"/>
    </row>
    <row r="37" spans="1:105" ht="19.2" thickTop="1" thickBot="1" x14ac:dyDescent="0.4">
      <c r="A37" s="30"/>
      <c r="B37" s="30"/>
      <c r="C37" s="362" t="s">
        <v>303</v>
      </c>
      <c r="D37" s="364" t="s">
        <v>646</v>
      </c>
      <c r="E37" s="35" t="str">
        <f>_xlfn.XLOOKUP(Tabella4[[#This Row],[NOME]],'ROSE SQUADRE'!$N$3:$N$253,'ROSE SQUADRE'!$O$3:$O$253,"")</f>
        <v>SHARK</v>
      </c>
      <c r="F37" s="36" t="s">
        <v>162</v>
      </c>
      <c r="G37" s="43">
        <v>26</v>
      </c>
      <c r="H37" s="43">
        <v>25</v>
      </c>
      <c r="I37" s="44">
        <f t="shared" si="0"/>
        <v>-1</v>
      </c>
      <c r="J37" s="37">
        <f t="shared" si="1"/>
        <v>2</v>
      </c>
      <c r="K37" s="178">
        <f t="shared" si="2"/>
        <v>5.75</v>
      </c>
      <c r="L37" s="178">
        <f t="shared" si="3"/>
        <v>5.75</v>
      </c>
      <c r="M37" s="179">
        <f t="shared" si="4"/>
        <v>11.5</v>
      </c>
      <c r="N37" s="45">
        <f t="shared" ref="N37:N73" ca="1" si="6">ContaCellePerColore(Z37:BK37,$C$3)</f>
        <v>0</v>
      </c>
      <c r="O37" s="40">
        <f>SUMIF(Tabella1[Nome],Tabella4[[#This Row],[NOME]],Tabella1[Gf])</f>
        <v>0</v>
      </c>
      <c r="P37" s="40">
        <f>-(SUMIF(Tabella1[Nome],Tabella4[[#This Row],[NOME]],Tabella1[Gs]))</f>
        <v>0</v>
      </c>
      <c r="Q37" s="40">
        <f>SUMIF(Tabella1[Nome],Tabella4[[#This Row],[NOME]],Tabella1[Rp])</f>
        <v>0</v>
      </c>
      <c r="R37" s="40">
        <f>SUMIF(Tabella1[Nome],Tabella4[[#This Row],[NOME]],Tabella1[Rs])</f>
        <v>0</v>
      </c>
      <c r="S37" s="40">
        <f>SUMIF(Tabella1[Nome],Tabella4[[#This Row],[NOME]],Tabella1[Rf])</f>
        <v>0</v>
      </c>
      <c r="T37" s="40">
        <f>SUMIF(Tabella1[Nome],Tabella4[[#This Row],[NOME]],Tabella1[Au])</f>
        <v>0</v>
      </c>
      <c r="U37" s="41">
        <f>SUMIF(Tabella1[Nome],Tabella4[[#This Row],[NOME]],Tabella1[Amm])</f>
        <v>0</v>
      </c>
      <c r="V37" s="42">
        <f>SUMIF(Tabella1[Nome],Tabella4[[#This Row],[NOME]],Tabella1[Esp])</f>
        <v>0</v>
      </c>
      <c r="W37" s="40">
        <f>SUMIF(Tabella1[Nome],Tabella4[[#This Row],[NOME]],Tabella1[Ass])</f>
        <v>0</v>
      </c>
      <c r="X37" s="40">
        <f>SUMIF(Tabella1[Nome],Tabella4[[#This Row],[NOME]],Tabella1[Gdv])</f>
        <v>0</v>
      </c>
      <c r="Y37" s="40">
        <f>SUMIF(Tabella1[Nome],Tabella4[[#This Row],[NOME]],Tabella1[cl sh])</f>
        <v>0</v>
      </c>
      <c r="Z37" s="270">
        <f>_xlfn.IFNA(_xlfn.XLOOKUP(CONCATENATE(Z$4,$C37),Tabella1[CONC X VOTI IN TAB GIOC],Tabella1[Voto],""),"")</f>
        <v>5.5</v>
      </c>
      <c r="AA37" s="270">
        <f>_xlfn.IFNA(_xlfn.XLOOKUP(CONCATENATE(AA$4,$C37),Tabella1[CONC X VOTI IN TAB GIOC],Tabella1[Voto],""),"")</f>
        <v>6</v>
      </c>
      <c r="AB37" s="270" t="str">
        <f>_xlfn.IFNA(_xlfn.XLOOKUP(CONCATENATE(AB$4,$C37),Tabella1[CONC X VOTI IN TAB GIOC],Tabella1[Voto]),"")</f>
        <v/>
      </c>
      <c r="AC37" s="270" t="str" cm="1">
        <f t="array" ref="AC37">_xlfn.IFNA(_xlfn.XLOOKUP(CONCATENATE(AC$4,$C37),INDEX(Tabella1[],0,MATCH("CONC X VOTI IN TAB GIOC",Tabella1[#Headers],0)),INDEX(Tabella1[],0,MATCH("Voto",Tabella1[#Headers],0))),"")</f>
        <v/>
      </c>
      <c r="AD37" s="270" t="str">
        <f>_xlfn.IFNA(_xlfn.XLOOKUP(CONCATENATE(AD$4,$C37),Tabella1[CONC X VOTI IN TAB GIOC],Tabella1[Voto]),"")</f>
        <v/>
      </c>
      <c r="AE37" s="270" t="str">
        <f>_xlfn.IFNA(VLOOKUP(CONCATENATE(AE$4,$C37),'INSER DATA'!$A:$F,6,0),"")</f>
        <v/>
      </c>
      <c r="AF37" s="270" t="str">
        <f>_xlfn.IFNA(VLOOKUP(CONCATENATE(AF$4,$C37),'INSER DATA'!$A:$F,6,0),"")</f>
        <v/>
      </c>
      <c r="AG37" s="270" t="str">
        <f>_xlfn.IFNA(VLOOKUP(CONCATENATE(AG$4,$C37),'INSER DATA'!$A:$F,6,0),"")</f>
        <v/>
      </c>
      <c r="AH37" s="270" t="str">
        <f>_xlfn.IFNA(VLOOKUP(CONCATENATE(AH$4,$C37),'INSER DATA'!$A:$F,7,0),"")</f>
        <v/>
      </c>
      <c r="AI37" s="270" t="str">
        <f>_xlfn.IFNA(VLOOKUP(CONCATENATE(AI$4,$C37),'INSER DATA'!$A:$F,7,0),"")</f>
        <v/>
      </c>
      <c r="AJ37" s="270" t="str">
        <f>_xlfn.IFNA(VLOOKUP(CONCATENATE(AJ$4,$C37),'INSER DATA'!$A:$F,7,0),"")</f>
        <v/>
      </c>
      <c r="AK37" s="270" t="str">
        <f>_xlfn.IFNA(VLOOKUP(CONCATENATE(AK$4,$C37),'INSER DATA'!$A:$F,7,0),"")</f>
        <v/>
      </c>
      <c r="AL37" s="270" t="str">
        <f>_xlfn.IFNA(VLOOKUP(CONCATENATE(AL$4,$C37),'INSER DATA'!$A:$F,7,0),"")</f>
        <v/>
      </c>
      <c r="AM37" s="270" t="str">
        <f>_xlfn.IFNA(VLOOKUP(CONCATENATE(AM$4,$C37),'INSER DATA'!$A:$F,7,0),"")</f>
        <v/>
      </c>
      <c r="AN37" s="270" t="str">
        <f>_xlfn.IFNA(VLOOKUP(CONCATENATE(AN$4,$C37),'INSER DATA'!$A:$F,7,0),"")</f>
        <v/>
      </c>
      <c r="AO37" s="270" t="str">
        <f>_xlfn.IFNA(VLOOKUP(CONCATENATE(AO$4,$C37),'INSER DATA'!$A:$F,7,0),"")</f>
        <v/>
      </c>
      <c r="AP37" s="270" t="str">
        <f>_xlfn.IFNA(VLOOKUP(CONCATENATE(AP$4,$C37),'INSER DATA'!$A:$F,7,0),"")</f>
        <v/>
      </c>
      <c r="AQ37" s="270" t="str">
        <f>_xlfn.IFNA(VLOOKUP(CONCATENATE(AQ$4,$C37),'INSER DATA'!$A:$F,7,0),"")</f>
        <v/>
      </c>
      <c r="AR37" s="270" t="str">
        <f>_xlfn.IFNA(VLOOKUP(CONCATENATE(AR$4,$C37),'INSER DATA'!$A:$F,7,0),"")</f>
        <v/>
      </c>
      <c r="AS37" s="270" t="str">
        <f>_xlfn.IFNA(VLOOKUP(CONCATENATE(AS$4,$C37),'INSER DATA'!$A:$F,7,0),"")</f>
        <v/>
      </c>
      <c r="AT37" s="270" t="str">
        <f>_xlfn.IFNA(VLOOKUP(CONCATENATE(AT$4,$C37),'INSER DATA'!$A:$F,7,0),"")</f>
        <v/>
      </c>
      <c r="AU37" s="270" t="str">
        <f>_xlfn.IFNA(VLOOKUP(CONCATENATE(AU$4,$C37),'INSER DATA'!$A:$F,7,0),"")</f>
        <v/>
      </c>
      <c r="AV37" s="270" t="str">
        <f>_xlfn.IFNA(VLOOKUP(CONCATENATE(AV$4,$C37),'INSER DATA'!$A:$F,7,0),"")</f>
        <v/>
      </c>
      <c r="AW37" s="270" t="str">
        <f>_xlfn.IFNA(VLOOKUP(CONCATENATE(AW$4,$C37),'INSER DATA'!$A:$F,7,0),"")</f>
        <v/>
      </c>
      <c r="AX37" s="270" t="str">
        <f>_xlfn.IFNA(VLOOKUP(CONCATENATE(AX$4,$C37),'INSER DATA'!$A:$F,7,0),"")</f>
        <v/>
      </c>
      <c r="AY37" s="270" t="str">
        <f>_xlfn.IFNA(VLOOKUP(CONCATENATE(AY$4,$C37),'INSER DATA'!$A:$F,7,0),"")</f>
        <v/>
      </c>
      <c r="AZ37" s="270" t="str">
        <f>_xlfn.IFNA(VLOOKUP(CONCATENATE(AZ$4,$C37),'INSER DATA'!$A:$F,7,0),"")</f>
        <v/>
      </c>
      <c r="BA37" s="270" t="str">
        <f>_xlfn.IFNA(VLOOKUP(CONCATENATE(BA$4,$C37),'INSER DATA'!$A:$F,7,0),"")</f>
        <v/>
      </c>
      <c r="BB37" s="270" t="str">
        <f>_xlfn.IFNA(VLOOKUP(CONCATENATE(BB$4,$C37),'INSER DATA'!$A:$F,7,0),"")</f>
        <v/>
      </c>
      <c r="BC37" s="270" t="str">
        <f>_xlfn.IFNA(VLOOKUP(CONCATENATE(BC$4,$C37),'INSER DATA'!$A:$F,7,0),"")</f>
        <v/>
      </c>
      <c r="BD37" s="270" t="str">
        <f>_xlfn.IFNA(VLOOKUP(CONCATENATE(BD$4,$C37),'INSER DATA'!$A:$F,7,0),"")</f>
        <v/>
      </c>
      <c r="BE37" s="270" t="str">
        <f>_xlfn.IFNA(VLOOKUP(CONCATENATE(BE$4,$C37),'INSER DATA'!$A:$F,7,0),"")</f>
        <v/>
      </c>
      <c r="BF37" s="270" t="str">
        <f>_xlfn.IFNA(VLOOKUP(CONCATENATE(BF$4,$C37),'INSER DATA'!$A:$F,7,0),"")</f>
        <v/>
      </c>
      <c r="BG37" s="270" t="str">
        <f>_xlfn.IFNA(VLOOKUP(CONCATENATE(BG$4,$C37),'INSER DATA'!$A:$F,7,0),"")</f>
        <v/>
      </c>
      <c r="BH37" s="270" t="str">
        <f>_xlfn.IFNA(VLOOKUP(CONCATENATE(BH$4,$C37),'INSER DATA'!$A:$F,7,0),"")</f>
        <v/>
      </c>
      <c r="BI37" s="270" t="str">
        <f>_xlfn.IFNA(VLOOKUP(CONCATENATE(BI$4,$C37),'INSER DATA'!$A:$F,7,0),"")</f>
        <v/>
      </c>
      <c r="BJ37" s="270" t="str">
        <f>_xlfn.IFNA(VLOOKUP(CONCATENATE(BJ$4,$C37),'INSER DATA'!$A:$F,7,0),"")</f>
        <v/>
      </c>
      <c r="BK37" s="270" t="str">
        <f>_xlfn.IFNA(VLOOKUP(CONCATENATE(BK$4,$C37),'INSER DATA'!$A:$F,7,0),"")</f>
        <v/>
      </c>
      <c r="BL37" s="272"/>
      <c r="BM37" s="30"/>
      <c r="BN37" s="30"/>
      <c r="BO37" s="30"/>
      <c r="BP37" s="30"/>
      <c r="BQ37" s="30"/>
      <c r="BR37" s="30"/>
      <c r="BS37" s="30"/>
      <c r="BT37" s="30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0"/>
      <c r="CJ37" s="30"/>
      <c r="CK37" s="30"/>
      <c r="CL37" s="30"/>
      <c r="CM37" s="30"/>
      <c r="CN37" s="30"/>
      <c r="CO37" s="30"/>
      <c r="CP37" s="30"/>
      <c r="CQ37" s="30"/>
      <c r="CR37" s="30"/>
      <c r="CS37" s="30"/>
      <c r="CT37" s="30"/>
      <c r="CU37" s="30"/>
      <c r="CV37" s="30"/>
      <c r="CW37" s="30"/>
      <c r="CX37" s="30"/>
      <c r="CY37" s="30"/>
      <c r="CZ37" s="30"/>
      <c r="DA37" s="30"/>
    </row>
    <row r="38" spans="1:105" ht="19.2" thickTop="1" thickBot="1" x14ac:dyDescent="0.4">
      <c r="A38" s="30"/>
      <c r="B38" s="30"/>
      <c r="C38" s="362" t="s">
        <v>280</v>
      </c>
      <c r="D38" s="364" t="s">
        <v>646</v>
      </c>
      <c r="E38" s="35" t="str">
        <f>_xlfn.XLOOKUP(Tabella4[[#This Row],[NOME]],'ROSE SQUADRE'!$N$3:$N$253,'ROSE SQUADRE'!$O$3:$O$253,"")</f>
        <v>SHARK</v>
      </c>
      <c r="F38" s="36" t="s">
        <v>5</v>
      </c>
      <c r="G38" s="43">
        <v>10</v>
      </c>
      <c r="H38" s="43">
        <v>10</v>
      </c>
      <c r="I38" s="44">
        <f t="shared" si="0"/>
        <v>0</v>
      </c>
      <c r="J38" s="37">
        <f t="shared" si="1"/>
        <v>3</v>
      </c>
      <c r="K38" s="178">
        <f t="shared" si="2"/>
        <v>5.833333333333333</v>
      </c>
      <c r="L38" s="178">
        <f t="shared" si="3"/>
        <v>4.5</v>
      </c>
      <c r="M38" s="179">
        <f t="shared" si="4"/>
        <v>13.5</v>
      </c>
      <c r="N38" s="45">
        <f t="shared" ca="1" si="6"/>
        <v>0</v>
      </c>
      <c r="O38" s="40">
        <f>SUMIF(Tabella1[Nome],Tabella4[[#This Row],[NOME]],Tabella1[Gf])</f>
        <v>0</v>
      </c>
      <c r="P38" s="40">
        <f>-(SUMIF(Tabella1[Nome],Tabella4[[#This Row],[NOME]],Tabella1[Gs]))</f>
        <v>-4</v>
      </c>
      <c r="Q38" s="40">
        <f>SUMIF(Tabella1[Nome],Tabella4[[#This Row],[NOME]],Tabella1[Rp])</f>
        <v>0</v>
      </c>
      <c r="R38" s="40">
        <f>SUMIF(Tabella1[Nome],Tabella4[[#This Row],[NOME]],Tabella1[Rs])</f>
        <v>0</v>
      </c>
      <c r="S38" s="40">
        <f>SUMIF(Tabella1[Nome],Tabella4[[#This Row],[NOME]],Tabella1[Rf])</f>
        <v>0</v>
      </c>
      <c r="T38" s="40">
        <f>SUMIF(Tabella1[Nome],Tabella4[[#This Row],[NOME]],Tabella1[Au])</f>
        <v>0</v>
      </c>
      <c r="U38" s="41">
        <f>SUMIF(Tabella1[Nome],Tabella4[[#This Row],[NOME]],Tabella1[Amm])</f>
        <v>0</v>
      </c>
      <c r="V38" s="42">
        <f>SUMIF(Tabella1[Nome],Tabella4[[#This Row],[NOME]],Tabella1[Esp])</f>
        <v>0</v>
      </c>
      <c r="W38" s="40">
        <f>SUMIF(Tabella1[Nome],Tabella4[[#This Row],[NOME]],Tabella1[Ass])</f>
        <v>0</v>
      </c>
      <c r="X38" s="40">
        <f>SUMIF(Tabella1[Nome],Tabella4[[#This Row],[NOME]],Tabella1[Gdv])</f>
        <v>0</v>
      </c>
      <c r="Y38" s="40">
        <f>SUMIF(Tabella1[Nome],Tabella4[[#This Row],[NOME]],Tabella1[cl sh])</f>
        <v>0</v>
      </c>
      <c r="Z38" s="270">
        <f>_xlfn.IFNA(_xlfn.XLOOKUP(CONCATENATE(Z$4,$C38),Tabella1[CONC X VOTI IN TAB GIOC],Tabella1[Voto],""),"")</f>
        <v>6</v>
      </c>
      <c r="AA38" s="270">
        <f>_xlfn.IFNA(_xlfn.XLOOKUP(CONCATENATE(AA$4,$C38),Tabella1[CONC X VOTI IN TAB GIOC],Tabella1[Voto],""),"")</f>
        <v>5</v>
      </c>
      <c r="AB38" s="270">
        <f>_xlfn.IFNA(_xlfn.XLOOKUP(CONCATENATE(AB$4,$C38),Tabella1[CONC X VOTI IN TAB GIOC],Tabella1[Voto]),"")</f>
        <v>6.5</v>
      </c>
      <c r="AC38" s="270" t="str" cm="1">
        <f t="array" ref="AC38">_xlfn.IFNA(_xlfn.XLOOKUP(CONCATENATE(AC$4,$C38),INDEX(Tabella1[],0,MATCH("CONC X VOTI IN TAB GIOC",Tabella1[#Headers],0)),INDEX(Tabella1[],0,MATCH("Voto",Tabella1[#Headers],0))),"")</f>
        <v/>
      </c>
      <c r="AD38" s="270" t="str">
        <f>_xlfn.IFNA(_xlfn.XLOOKUP(CONCATENATE(AD$4,$C38),Tabella1[CONC X VOTI IN TAB GIOC],Tabella1[Voto]),"")</f>
        <v/>
      </c>
      <c r="AE38" s="270" t="str">
        <f>_xlfn.IFNA(VLOOKUP(CONCATENATE(AE$4,$C38),'INSER DATA'!$A:$F,6,0),"")</f>
        <v/>
      </c>
      <c r="AF38" s="270" t="str">
        <f>_xlfn.IFNA(VLOOKUP(CONCATENATE(AF$4,$C38),'INSER DATA'!$A:$F,6,0),"")</f>
        <v/>
      </c>
      <c r="AG38" s="270" t="str">
        <f>_xlfn.IFNA(VLOOKUP(CONCATENATE(AG$4,$C38),'INSER DATA'!$A:$F,6,0),"")</f>
        <v/>
      </c>
      <c r="AH38" s="270" t="str">
        <f>_xlfn.IFNA(VLOOKUP(CONCATENATE(AH$4,$C38),'INSER DATA'!$A:$F,7,0),"")</f>
        <v/>
      </c>
      <c r="AI38" s="270" t="str">
        <f>_xlfn.IFNA(VLOOKUP(CONCATENATE(AI$4,$C38),'INSER DATA'!$A:$F,7,0),"")</f>
        <v/>
      </c>
      <c r="AJ38" s="270" t="str">
        <f>_xlfn.IFNA(VLOOKUP(CONCATENATE(AJ$4,$C38),'INSER DATA'!$A:$F,7,0),"")</f>
        <v/>
      </c>
      <c r="AK38" s="270" t="str">
        <f>_xlfn.IFNA(VLOOKUP(CONCATENATE(AK$4,$C38),'INSER DATA'!$A:$F,7,0),"")</f>
        <v/>
      </c>
      <c r="AL38" s="270" t="str">
        <f>_xlfn.IFNA(VLOOKUP(CONCATENATE(AL$4,$C38),'INSER DATA'!$A:$F,7,0),"")</f>
        <v/>
      </c>
      <c r="AM38" s="270" t="str">
        <f>_xlfn.IFNA(VLOOKUP(CONCATENATE(AM$4,$C38),'INSER DATA'!$A:$F,7,0),"")</f>
        <v/>
      </c>
      <c r="AN38" s="270" t="str">
        <f>_xlfn.IFNA(VLOOKUP(CONCATENATE(AN$4,$C38),'INSER DATA'!$A:$F,7,0),"")</f>
        <v/>
      </c>
      <c r="AO38" s="270" t="str">
        <f>_xlfn.IFNA(VLOOKUP(CONCATENATE(AO$4,$C38),'INSER DATA'!$A:$F,7,0),"")</f>
        <v/>
      </c>
      <c r="AP38" s="270" t="str">
        <f>_xlfn.IFNA(VLOOKUP(CONCATENATE(AP$4,$C38),'INSER DATA'!$A:$F,7,0),"")</f>
        <v/>
      </c>
      <c r="AQ38" s="270" t="str">
        <f>_xlfn.IFNA(VLOOKUP(CONCATENATE(AQ$4,$C38),'INSER DATA'!$A:$F,7,0),"")</f>
        <v/>
      </c>
      <c r="AR38" s="270" t="str">
        <f>_xlfn.IFNA(VLOOKUP(CONCATENATE(AR$4,$C38),'INSER DATA'!$A:$F,7,0),"")</f>
        <v/>
      </c>
      <c r="AS38" s="270" t="str">
        <f>_xlfn.IFNA(VLOOKUP(CONCATENATE(AS$4,$C38),'INSER DATA'!$A:$F,7,0),"")</f>
        <v/>
      </c>
      <c r="AT38" s="270" t="str">
        <f>_xlfn.IFNA(VLOOKUP(CONCATENATE(AT$4,$C38),'INSER DATA'!$A:$F,7,0),"")</f>
        <v/>
      </c>
      <c r="AU38" s="270" t="str">
        <f>_xlfn.IFNA(VLOOKUP(CONCATENATE(AU$4,$C38),'INSER DATA'!$A:$F,7,0),"")</f>
        <v/>
      </c>
      <c r="AV38" s="270" t="str">
        <f>_xlfn.IFNA(VLOOKUP(CONCATENATE(AV$4,$C38),'INSER DATA'!$A:$F,7,0),"")</f>
        <v/>
      </c>
      <c r="AW38" s="270" t="str">
        <f>_xlfn.IFNA(VLOOKUP(CONCATENATE(AW$4,$C38),'INSER DATA'!$A:$F,7,0),"")</f>
        <v/>
      </c>
      <c r="AX38" s="270" t="str">
        <f>_xlfn.IFNA(VLOOKUP(CONCATENATE(AX$4,$C38),'INSER DATA'!$A:$F,7,0),"")</f>
        <v/>
      </c>
      <c r="AY38" s="270" t="str">
        <f>_xlfn.IFNA(VLOOKUP(CONCATENATE(AY$4,$C38),'INSER DATA'!$A:$F,7,0),"")</f>
        <v/>
      </c>
      <c r="AZ38" s="270" t="str">
        <f>_xlfn.IFNA(VLOOKUP(CONCATENATE(AZ$4,$C38),'INSER DATA'!$A:$F,7,0),"")</f>
        <v/>
      </c>
      <c r="BA38" s="270" t="str">
        <f>_xlfn.IFNA(VLOOKUP(CONCATENATE(BA$4,$C38),'INSER DATA'!$A:$F,7,0),"")</f>
        <v/>
      </c>
      <c r="BB38" s="270" t="str">
        <f>_xlfn.IFNA(VLOOKUP(CONCATENATE(BB$4,$C38),'INSER DATA'!$A:$F,7,0),"")</f>
        <v/>
      </c>
      <c r="BC38" s="270" t="str">
        <f>_xlfn.IFNA(VLOOKUP(CONCATENATE(BC$4,$C38),'INSER DATA'!$A:$F,7,0),"")</f>
        <v/>
      </c>
      <c r="BD38" s="270" t="str">
        <f>_xlfn.IFNA(VLOOKUP(CONCATENATE(BD$4,$C38),'INSER DATA'!$A:$F,7,0),"")</f>
        <v/>
      </c>
      <c r="BE38" s="270" t="str">
        <f>_xlfn.IFNA(VLOOKUP(CONCATENATE(BE$4,$C38),'INSER DATA'!$A:$F,7,0),"")</f>
        <v/>
      </c>
      <c r="BF38" s="270" t="str">
        <f>_xlfn.IFNA(VLOOKUP(CONCATENATE(BF$4,$C38),'INSER DATA'!$A:$F,7,0),"")</f>
        <v/>
      </c>
      <c r="BG38" s="270" t="str">
        <f>_xlfn.IFNA(VLOOKUP(CONCATENATE(BG$4,$C38),'INSER DATA'!$A:$F,7,0),"")</f>
        <v/>
      </c>
      <c r="BH38" s="270" t="str">
        <f>_xlfn.IFNA(VLOOKUP(CONCATENATE(BH$4,$C38),'INSER DATA'!$A:$F,7,0),"")</f>
        <v/>
      </c>
      <c r="BI38" s="270" t="str">
        <f>_xlfn.IFNA(VLOOKUP(CONCATENATE(BI$4,$C38),'INSER DATA'!$A:$F,7,0),"")</f>
        <v/>
      </c>
      <c r="BJ38" s="270" t="str">
        <f>_xlfn.IFNA(VLOOKUP(CONCATENATE(BJ$4,$C38),'INSER DATA'!$A:$F,7,0),"")</f>
        <v/>
      </c>
      <c r="BK38" s="270" t="str">
        <f>_xlfn.IFNA(VLOOKUP(CONCATENATE(BK$4,$C38),'INSER DATA'!$A:$F,7,0),"")</f>
        <v/>
      </c>
      <c r="BL38" s="272"/>
      <c r="BM38" s="30"/>
      <c r="BN38" s="30"/>
      <c r="BO38" s="30"/>
      <c r="BP38" s="30"/>
      <c r="BQ38" s="30"/>
      <c r="BR38" s="30"/>
      <c r="BS38" s="30"/>
      <c r="BT38" s="30"/>
      <c r="BU38" s="30"/>
      <c r="BV38" s="30"/>
      <c r="BW38" s="30"/>
      <c r="BX38" s="30"/>
      <c r="BY38" s="30"/>
      <c r="BZ38" s="30"/>
      <c r="CA38" s="30"/>
      <c r="CB38" s="30"/>
      <c r="CC38" s="30"/>
      <c r="CD38" s="30"/>
      <c r="CE38" s="30"/>
      <c r="CF38" s="30"/>
      <c r="CG38" s="30"/>
      <c r="CH38" s="30"/>
      <c r="CI38" s="30"/>
      <c r="CJ38" s="30"/>
      <c r="CK38" s="30"/>
      <c r="CL38" s="30"/>
      <c r="CM38" s="30"/>
      <c r="CN38" s="30"/>
      <c r="CO38" s="30"/>
      <c r="CP38" s="30"/>
      <c r="CQ38" s="30"/>
      <c r="CR38" s="30"/>
      <c r="CS38" s="30"/>
      <c r="CT38" s="30"/>
      <c r="CU38" s="30"/>
      <c r="CV38" s="30"/>
      <c r="CW38" s="30"/>
      <c r="CX38" s="30"/>
      <c r="CY38" s="30"/>
      <c r="CZ38" s="30"/>
      <c r="DA38" s="30"/>
    </row>
    <row r="39" spans="1:105" ht="19.2" thickTop="1" thickBot="1" x14ac:dyDescent="0.4">
      <c r="A39" s="30"/>
      <c r="B39" s="30"/>
      <c r="C39" s="185" t="s">
        <v>650</v>
      </c>
      <c r="D39" s="46" t="s">
        <v>646</v>
      </c>
      <c r="E39" s="35" t="str">
        <f>_xlfn.XLOOKUP(Tabella4[[#This Row],[NOME]],'ROSE SQUADRE'!$N$3:$N$253,'ROSE SQUADRE'!$O$3:$O$253,"")</f>
        <v/>
      </c>
      <c r="F39" s="36" t="s">
        <v>161</v>
      </c>
      <c r="G39" s="43">
        <v>6</v>
      </c>
      <c r="H39" s="43">
        <v>6</v>
      </c>
      <c r="I39" s="44">
        <f t="shared" si="0"/>
        <v>0</v>
      </c>
      <c r="J39" s="37">
        <f t="shared" si="1"/>
        <v>4</v>
      </c>
      <c r="K39" s="38">
        <f t="shared" si="2"/>
        <v>5.625</v>
      </c>
      <c r="L39" s="38">
        <f t="shared" si="3"/>
        <v>5.5</v>
      </c>
      <c r="M39" s="39">
        <f t="shared" si="4"/>
        <v>22</v>
      </c>
      <c r="N39" s="45">
        <f t="shared" ca="1" si="6"/>
        <v>0</v>
      </c>
      <c r="O39" s="40">
        <f>SUMIF(Tabella1[Nome],Tabella4[[#This Row],[NOME]],Tabella1[Gf])</f>
        <v>0</v>
      </c>
      <c r="P39" s="40">
        <f>-(SUMIF(Tabella1[Nome],Tabella4[[#This Row],[NOME]],Tabella1[Gs]))</f>
        <v>0</v>
      </c>
      <c r="Q39" s="40">
        <f>SUMIF(Tabella1[Nome],Tabella4[[#This Row],[NOME]],Tabella1[Rp])</f>
        <v>0</v>
      </c>
      <c r="R39" s="40">
        <f>SUMIF(Tabella1[Nome],Tabella4[[#This Row],[NOME]],Tabella1[Rs])</f>
        <v>0</v>
      </c>
      <c r="S39" s="40">
        <f>SUMIF(Tabella1[Nome],Tabella4[[#This Row],[NOME]],Tabella1[Rf])</f>
        <v>0</v>
      </c>
      <c r="T39" s="40">
        <f>SUMIF(Tabella1[Nome],Tabella4[[#This Row],[NOME]],Tabella1[Au])</f>
        <v>0</v>
      </c>
      <c r="U39" s="41">
        <f>SUMIF(Tabella1[Nome],Tabella4[[#This Row],[NOME]],Tabella1[Amm])</f>
        <v>1</v>
      </c>
      <c r="V39" s="42">
        <f>SUMIF(Tabella1[Nome],Tabella4[[#This Row],[NOME]],Tabella1[Esp])</f>
        <v>0</v>
      </c>
      <c r="W39" s="40">
        <f>SUMIF(Tabella1[Nome],Tabella4[[#This Row],[NOME]],Tabella1[Ass])</f>
        <v>0</v>
      </c>
      <c r="X39" s="40">
        <f>SUMIF(Tabella1[Nome],Tabella4[[#This Row],[NOME]],Tabella1[Gdv])</f>
        <v>0</v>
      </c>
      <c r="Y39" s="40">
        <f>SUMIF(Tabella1[Nome],Tabella4[[#This Row],[NOME]],Tabella1[cl sh])</f>
        <v>0</v>
      </c>
      <c r="Z39" s="270">
        <f>_xlfn.IFNA(_xlfn.XLOOKUP(CONCATENATE(Z$4,$C39),Tabella1[CONC X VOTI IN TAB GIOC],Tabella1[Voto],""),"")</f>
        <v>5.5</v>
      </c>
      <c r="AA39" s="270">
        <f>_xlfn.IFNA(_xlfn.XLOOKUP(CONCATENATE(AA$4,$C39),Tabella1[CONC X VOTI IN TAB GIOC],Tabella1[Voto],""),"")</f>
        <v>5.5</v>
      </c>
      <c r="AB39" s="270">
        <f>_xlfn.IFNA(_xlfn.XLOOKUP(CONCATENATE(AB$4,$C39),Tabella1[CONC X VOTI IN TAB GIOC],Tabella1[Voto]),"")</f>
        <v>5</v>
      </c>
      <c r="AC39" s="270" cm="1">
        <f t="array" ref="AC39">_xlfn.IFNA(_xlfn.XLOOKUP(CONCATENATE(AC$4,$C39),INDEX(Tabella1[],0,MATCH("CONC X VOTI IN TAB GIOC",Tabella1[#Headers],0)),INDEX(Tabella1[],0,MATCH("Voto",Tabella1[#Headers],0))),"")</f>
        <v>6.5</v>
      </c>
      <c r="AD39" s="270" t="str">
        <f>_xlfn.IFNA(_xlfn.XLOOKUP(CONCATENATE(AD$4,$C39),Tabella1[CONC X VOTI IN TAB GIOC],Tabella1[Voto]),"")</f>
        <v/>
      </c>
      <c r="AE39" s="270" t="str">
        <f>_xlfn.IFNA(VLOOKUP(CONCATENATE(AE$4,$C39),'INSER DATA'!$A:$F,6,0),"")</f>
        <v/>
      </c>
      <c r="AF39" s="270" t="str">
        <f>_xlfn.IFNA(VLOOKUP(CONCATENATE(AF$4,$C39),'INSER DATA'!$A:$F,6,0),"")</f>
        <v/>
      </c>
      <c r="AG39" s="270" t="str">
        <f>_xlfn.IFNA(VLOOKUP(CONCATENATE(AG$4,$C39),'INSER DATA'!$A:$F,6,0),"")</f>
        <v/>
      </c>
      <c r="AH39" s="270" t="str">
        <f>_xlfn.IFNA(VLOOKUP(CONCATENATE(AH$4,$C39),'INSER DATA'!$A:$F,7,0),"")</f>
        <v/>
      </c>
      <c r="AI39" s="270" t="str">
        <f>_xlfn.IFNA(VLOOKUP(CONCATENATE(AI$4,$C39),'INSER DATA'!$A:$F,7,0),"")</f>
        <v/>
      </c>
      <c r="AJ39" s="270" t="str">
        <f>_xlfn.IFNA(VLOOKUP(CONCATENATE(AJ$4,$C39),'INSER DATA'!$A:$F,7,0),"")</f>
        <v/>
      </c>
      <c r="AK39" s="270" t="str">
        <f>_xlfn.IFNA(VLOOKUP(CONCATENATE(AK$4,$C39),'INSER DATA'!$A:$F,7,0),"")</f>
        <v/>
      </c>
      <c r="AL39" s="270" t="str">
        <f>_xlfn.IFNA(VLOOKUP(CONCATENATE(AL$4,$C39),'INSER DATA'!$A:$F,7,0),"")</f>
        <v/>
      </c>
      <c r="AM39" s="270" t="str">
        <f>_xlfn.IFNA(VLOOKUP(CONCATENATE(AM$4,$C39),'INSER DATA'!$A:$F,7,0),"")</f>
        <v/>
      </c>
      <c r="AN39" s="270" t="str">
        <f>_xlfn.IFNA(VLOOKUP(CONCATENATE(AN$4,$C39),'INSER DATA'!$A:$F,7,0),"")</f>
        <v/>
      </c>
      <c r="AO39" s="270" t="str">
        <f>_xlfn.IFNA(VLOOKUP(CONCATENATE(AO$4,$C39),'INSER DATA'!$A:$F,7,0),"")</f>
        <v/>
      </c>
      <c r="AP39" s="270" t="str">
        <f>_xlfn.IFNA(VLOOKUP(CONCATENATE(AP$4,$C39),'INSER DATA'!$A:$F,7,0),"")</f>
        <v/>
      </c>
      <c r="AQ39" s="270" t="str">
        <f>_xlfn.IFNA(VLOOKUP(CONCATENATE(AQ$4,$C39),'INSER DATA'!$A:$F,7,0),"")</f>
        <v/>
      </c>
      <c r="AR39" s="270" t="str">
        <f>_xlfn.IFNA(VLOOKUP(CONCATENATE(AR$4,$C39),'INSER DATA'!$A:$F,7,0),"")</f>
        <v/>
      </c>
      <c r="AS39" s="270" t="str">
        <f>_xlfn.IFNA(VLOOKUP(CONCATENATE(AS$4,$C39),'INSER DATA'!$A:$F,7,0),"")</f>
        <v/>
      </c>
      <c r="AT39" s="270" t="str">
        <f>_xlfn.IFNA(VLOOKUP(CONCATENATE(AT$4,$C39),'INSER DATA'!$A:$F,7,0),"")</f>
        <v/>
      </c>
      <c r="AU39" s="270" t="str">
        <f>_xlfn.IFNA(VLOOKUP(CONCATENATE(AU$4,$C39),'INSER DATA'!$A:$F,7,0),"")</f>
        <v/>
      </c>
      <c r="AV39" s="270" t="str">
        <f>_xlfn.IFNA(VLOOKUP(CONCATENATE(AV$4,$C39),'INSER DATA'!$A:$F,7,0),"")</f>
        <v/>
      </c>
      <c r="AW39" s="270" t="str">
        <f>_xlfn.IFNA(VLOOKUP(CONCATENATE(AW$4,$C39),'INSER DATA'!$A:$F,7,0),"")</f>
        <v/>
      </c>
      <c r="AX39" s="270" t="str">
        <f>_xlfn.IFNA(VLOOKUP(CONCATENATE(AX$4,$C39),'INSER DATA'!$A:$F,7,0),"")</f>
        <v/>
      </c>
      <c r="AY39" s="270" t="str">
        <f>_xlfn.IFNA(VLOOKUP(CONCATENATE(AY$4,$C39),'INSER DATA'!$A:$F,7,0),"")</f>
        <v/>
      </c>
      <c r="AZ39" s="270" t="str">
        <f>_xlfn.IFNA(VLOOKUP(CONCATENATE(AZ$4,$C39),'INSER DATA'!$A:$F,7,0),"")</f>
        <v/>
      </c>
      <c r="BA39" s="270" t="str">
        <f>_xlfn.IFNA(VLOOKUP(CONCATENATE(BA$4,$C39),'INSER DATA'!$A:$F,7,0),"")</f>
        <v/>
      </c>
      <c r="BB39" s="270" t="str">
        <f>_xlfn.IFNA(VLOOKUP(CONCATENATE(BB$4,$C39),'INSER DATA'!$A:$F,7,0),"")</f>
        <v/>
      </c>
      <c r="BC39" s="270" t="str">
        <f>_xlfn.IFNA(VLOOKUP(CONCATENATE(BC$4,$C39),'INSER DATA'!$A:$F,7,0),"")</f>
        <v/>
      </c>
      <c r="BD39" s="270" t="str">
        <f>_xlfn.IFNA(VLOOKUP(CONCATENATE(BD$4,$C39),'INSER DATA'!$A:$F,7,0),"")</f>
        <v/>
      </c>
      <c r="BE39" s="270" t="str">
        <f>_xlfn.IFNA(VLOOKUP(CONCATENATE(BE$4,$C39),'INSER DATA'!$A:$F,7,0),"")</f>
        <v/>
      </c>
      <c r="BF39" s="270" t="str">
        <f>_xlfn.IFNA(VLOOKUP(CONCATENATE(BF$4,$C39),'INSER DATA'!$A:$F,7,0),"")</f>
        <v/>
      </c>
      <c r="BG39" s="270" t="str">
        <f>_xlfn.IFNA(VLOOKUP(CONCATENATE(BG$4,$C39),'INSER DATA'!$A:$F,7,0),"")</f>
        <v/>
      </c>
      <c r="BH39" s="270" t="str">
        <f>_xlfn.IFNA(VLOOKUP(CONCATENATE(BH$4,$C39),'INSER DATA'!$A:$F,7,0),"")</f>
        <v/>
      </c>
      <c r="BI39" s="270" t="str">
        <f>_xlfn.IFNA(VLOOKUP(CONCATENATE(BI$4,$C39),'INSER DATA'!$A:$F,7,0),"")</f>
        <v/>
      </c>
      <c r="BJ39" s="270" t="str">
        <f>_xlfn.IFNA(VLOOKUP(CONCATENATE(BJ$4,$C39),'INSER DATA'!$A:$F,7,0),"")</f>
        <v/>
      </c>
      <c r="BK39" s="270" t="str">
        <f>_xlfn.IFNA(VLOOKUP(CONCATENATE(BK$4,$C39),'INSER DATA'!$A:$F,7,0),"")</f>
        <v/>
      </c>
      <c r="BL39" s="272"/>
      <c r="BM39" s="30"/>
      <c r="BN39" s="30"/>
      <c r="BO39" s="30"/>
      <c r="BP39" s="30"/>
      <c r="BQ39" s="30"/>
      <c r="BR39" s="30"/>
      <c r="BS39" s="30"/>
      <c r="BT39" s="30"/>
      <c r="BU39" s="30"/>
      <c r="BV39" s="30"/>
      <c r="BW39" s="30"/>
      <c r="BX39" s="30"/>
      <c r="BY39" s="30"/>
      <c r="BZ39" s="30"/>
      <c r="CA39" s="30"/>
      <c r="CB39" s="30"/>
      <c r="CC39" s="30"/>
      <c r="CD39" s="30"/>
      <c r="CE39" s="30"/>
      <c r="CF39" s="30"/>
      <c r="CG39" s="30"/>
      <c r="CH39" s="30"/>
      <c r="CI39" s="30"/>
      <c r="CJ39" s="30"/>
      <c r="CK39" s="30"/>
      <c r="CL39" s="30"/>
      <c r="CM39" s="30"/>
      <c r="CN39" s="30"/>
      <c r="CO39" s="30"/>
      <c r="CP39" s="30"/>
      <c r="CQ39" s="30"/>
      <c r="CR39" s="30"/>
      <c r="CS39" s="30"/>
      <c r="CT39" s="30"/>
      <c r="CU39" s="30"/>
      <c r="CV39" s="30"/>
      <c r="CW39" s="30"/>
      <c r="CX39" s="30"/>
      <c r="CY39" s="30"/>
      <c r="CZ39" s="30"/>
      <c r="DA39" s="30"/>
    </row>
    <row r="40" spans="1:105" ht="19.2" thickTop="1" thickBot="1" x14ac:dyDescent="0.4">
      <c r="A40" s="30"/>
      <c r="B40" s="30"/>
      <c r="C40" s="188" t="s">
        <v>655</v>
      </c>
      <c r="D40" s="46" t="s">
        <v>646</v>
      </c>
      <c r="E40" s="35" t="str">
        <f>_xlfn.XLOOKUP(Tabella4[[#This Row],[NOME]],'ROSE SQUADRE'!$N$3:$N$253,'ROSE SQUADRE'!$O$3:$O$253,"")</f>
        <v/>
      </c>
      <c r="F40" s="36" t="s">
        <v>162</v>
      </c>
      <c r="G40" s="43">
        <v>5</v>
      </c>
      <c r="H40" s="43">
        <v>5</v>
      </c>
      <c r="I40" s="44">
        <f t="shared" si="0"/>
        <v>0</v>
      </c>
      <c r="J40" s="37">
        <f t="shared" si="1"/>
        <v>2</v>
      </c>
      <c r="K40" s="38">
        <f t="shared" si="2"/>
        <v>5.5</v>
      </c>
      <c r="L40" s="38">
        <f t="shared" si="3"/>
        <v>5.25</v>
      </c>
      <c r="M40" s="39">
        <f t="shared" si="4"/>
        <v>10.5</v>
      </c>
      <c r="N40" s="45">
        <f t="shared" ca="1" si="6"/>
        <v>0</v>
      </c>
      <c r="O40" s="40">
        <f>SUMIF(Tabella1[Nome],Tabella4[[#This Row],[NOME]],Tabella1[Gf])</f>
        <v>0</v>
      </c>
      <c r="P40" s="40">
        <f>-(SUMIF(Tabella1[Nome],Tabella4[[#This Row],[NOME]],Tabella1[Gs]))</f>
        <v>0</v>
      </c>
      <c r="Q40" s="40">
        <f>SUMIF(Tabella1[Nome],Tabella4[[#This Row],[NOME]],Tabella1[Rp])</f>
        <v>0</v>
      </c>
      <c r="R40" s="40">
        <f>SUMIF(Tabella1[Nome],Tabella4[[#This Row],[NOME]],Tabella1[Rs])</f>
        <v>0</v>
      </c>
      <c r="S40" s="40">
        <f>SUMIF(Tabella1[Nome],Tabella4[[#This Row],[NOME]],Tabella1[Rf])</f>
        <v>0</v>
      </c>
      <c r="T40" s="40">
        <f>SUMIF(Tabella1[Nome],Tabella4[[#This Row],[NOME]],Tabella1[Au])</f>
        <v>0</v>
      </c>
      <c r="U40" s="41">
        <f>SUMIF(Tabella1[Nome],Tabella4[[#This Row],[NOME]],Tabella1[Amm])</f>
        <v>1</v>
      </c>
      <c r="V40" s="42">
        <f>SUMIF(Tabella1[Nome],Tabella4[[#This Row],[NOME]],Tabella1[Esp])</f>
        <v>0</v>
      </c>
      <c r="W40" s="40">
        <f>SUMIF(Tabella1[Nome],Tabella4[[#This Row],[NOME]],Tabella1[Ass])</f>
        <v>0</v>
      </c>
      <c r="X40" s="40">
        <f>SUMIF(Tabella1[Nome],Tabella4[[#This Row],[NOME]],Tabella1[Gdv])</f>
        <v>0</v>
      </c>
      <c r="Y40" s="40">
        <f>SUMIF(Tabella1[Nome],Tabella4[[#This Row],[NOME]],Tabella1[cl sh])</f>
        <v>0</v>
      </c>
      <c r="Z40" s="270" t="str">
        <f>_xlfn.IFNA(_xlfn.XLOOKUP(CONCATENATE(Z$4,$C40),Tabella1[CONC X VOTI IN TAB GIOC],Tabella1[Voto],""),"")</f>
        <v/>
      </c>
      <c r="AA40" s="270">
        <f>_xlfn.IFNA(_xlfn.XLOOKUP(CONCATENATE(AA$4,$C40),Tabella1[CONC X VOTI IN TAB GIOC],Tabella1[Voto],""),"")</f>
        <v>5.5</v>
      </c>
      <c r="AB40" s="270" t="str">
        <f>_xlfn.IFNA(_xlfn.XLOOKUP(CONCATENATE(AB$4,$C40),Tabella1[CONC X VOTI IN TAB GIOC],Tabella1[Voto]),"")</f>
        <v/>
      </c>
      <c r="AC40" s="270" cm="1">
        <f t="array" ref="AC40">_xlfn.IFNA(_xlfn.XLOOKUP(CONCATENATE(AC$4,$C40),INDEX(Tabella1[],0,MATCH("CONC X VOTI IN TAB GIOC",Tabella1[#Headers],0)),INDEX(Tabella1[],0,MATCH("Voto",Tabella1[#Headers],0))),"")</f>
        <v>5.5</v>
      </c>
      <c r="AD40" s="270" t="str">
        <f>_xlfn.IFNA(_xlfn.XLOOKUP(CONCATENATE(AD$4,$C40),Tabella1[CONC X VOTI IN TAB GIOC],Tabella1[Voto]),"")</f>
        <v/>
      </c>
      <c r="AE40" s="270" t="str">
        <f>_xlfn.IFNA(VLOOKUP(CONCATENATE(AE$4,$C40),'INSER DATA'!$A:$F,6,0),"")</f>
        <v/>
      </c>
      <c r="AF40" s="270" t="str">
        <f>_xlfn.IFNA(VLOOKUP(CONCATENATE(AF$4,$C40),'INSER DATA'!$A:$F,6,0),"")</f>
        <v/>
      </c>
      <c r="AG40" s="270" t="str">
        <f>_xlfn.IFNA(VLOOKUP(CONCATENATE(AG$4,$C40),'INSER DATA'!$A:$F,6,0),"")</f>
        <v/>
      </c>
      <c r="AH40" s="270" t="str">
        <f>_xlfn.IFNA(VLOOKUP(CONCATENATE(AH$4,$C40),'INSER DATA'!$A:$F,7,0),"")</f>
        <v/>
      </c>
      <c r="AI40" s="270" t="str">
        <f>_xlfn.IFNA(VLOOKUP(CONCATENATE(AI$4,$C40),'INSER DATA'!$A:$F,7,0),"")</f>
        <v/>
      </c>
      <c r="AJ40" s="270" t="str">
        <f>_xlfn.IFNA(VLOOKUP(CONCATENATE(AJ$4,$C40),'INSER DATA'!$A:$F,7,0),"")</f>
        <v/>
      </c>
      <c r="AK40" s="270" t="str">
        <f>_xlfn.IFNA(VLOOKUP(CONCATENATE(AK$4,$C40),'INSER DATA'!$A:$F,7,0),"")</f>
        <v/>
      </c>
      <c r="AL40" s="270" t="str">
        <f>_xlfn.IFNA(VLOOKUP(CONCATENATE(AL$4,$C40),'INSER DATA'!$A:$F,7,0),"")</f>
        <v/>
      </c>
      <c r="AM40" s="270" t="str">
        <f>_xlfn.IFNA(VLOOKUP(CONCATENATE(AM$4,$C40),'INSER DATA'!$A:$F,7,0),"")</f>
        <v/>
      </c>
      <c r="AN40" s="270" t="str">
        <f>_xlfn.IFNA(VLOOKUP(CONCATENATE(AN$4,$C40),'INSER DATA'!$A:$F,7,0),"")</f>
        <v/>
      </c>
      <c r="AO40" s="270" t="str">
        <f>_xlfn.IFNA(VLOOKUP(CONCATENATE(AO$4,$C40),'INSER DATA'!$A:$F,7,0),"")</f>
        <v/>
      </c>
      <c r="AP40" s="270" t="str">
        <f>_xlfn.IFNA(VLOOKUP(CONCATENATE(AP$4,$C40),'INSER DATA'!$A:$F,7,0),"")</f>
        <v/>
      </c>
      <c r="AQ40" s="270" t="str">
        <f>_xlfn.IFNA(VLOOKUP(CONCATENATE(AQ$4,$C40),'INSER DATA'!$A:$F,7,0),"")</f>
        <v/>
      </c>
      <c r="AR40" s="270" t="str">
        <f>_xlfn.IFNA(VLOOKUP(CONCATENATE(AR$4,$C40),'INSER DATA'!$A:$F,7,0),"")</f>
        <v/>
      </c>
      <c r="AS40" s="270" t="str">
        <f>_xlfn.IFNA(VLOOKUP(CONCATENATE(AS$4,$C40),'INSER DATA'!$A:$F,7,0),"")</f>
        <v/>
      </c>
      <c r="AT40" s="270" t="str">
        <f>_xlfn.IFNA(VLOOKUP(CONCATENATE(AT$4,$C40),'INSER DATA'!$A:$F,7,0),"")</f>
        <v/>
      </c>
      <c r="AU40" s="270" t="str">
        <f>_xlfn.IFNA(VLOOKUP(CONCATENATE(AU$4,$C40),'INSER DATA'!$A:$F,7,0),"")</f>
        <v/>
      </c>
      <c r="AV40" s="270" t="str">
        <f>_xlfn.IFNA(VLOOKUP(CONCATENATE(AV$4,$C40),'INSER DATA'!$A:$F,7,0),"")</f>
        <v/>
      </c>
      <c r="AW40" s="270" t="str">
        <f>_xlfn.IFNA(VLOOKUP(CONCATENATE(AW$4,$C40),'INSER DATA'!$A:$F,7,0),"")</f>
        <v/>
      </c>
      <c r="AX40" s="270" t="str">
        <f>_xlfn.IFNA(VLOOKUP(CONCATENATE(AX$4,$C40),'INSER DATA'!$A:$F,7,0),"")</f>
        <v/>
      </c>
      <c r="AY40" s="270" t="str">
        <f>_xlfn.IFNA(VLOOKUP(CONCATENATE(AY$4,$C40),'INSER DATA'!$A:$F,7,0),"")</f>
        <v/>
      </c>
      <c r="AZ40" s="270" t="str">
        <f>_xlfn.IFNA(VLOOKUP(CONCATENATE(AZ$4,$C40),'INSER DATA'!$A:$F,7,0),"")</f>
        <v/>
      </c>
      <c r="BA40" s="270" t="str">
        <f>_xlfn.IFNA(VLOOKUP(CONCATENATE(BA$4,$C40),'INSER DATA'!$A:$F,7,0),"")</f>
        <v/>
      </c>
      <c r="BB40" s="270" t="str">
        <f>_xlfn.IFNA(VLOOKUP(CONCATENATE(BB$4,$C40),'INSER DATA'!$A:$F,7,0),"")</f>
        <v/>
      </c>
      <c r="BC40" s="270" t="str">
        <f>_xlfn.IFNA(VLOOKUP(CONCATENATE(BC$4,$C40),'INSER DATA'!$A:$F,7,0),"")</f>
        <v/>
      </c>
      <c r="BD40" s="270" t="str">
        <f>_xlfn.IFNA(VLOOKUP(CONCATENATE(BD$4,$C40),'INSER DATA'!$A:$F,7,0),"")</f>
        <v/>
      </c>
      <c r="BE40" s="270" t="str">
        <f>_xlfn.IFNA(VLOOKUP(CONCATENATE(BE$4,$C40),'INSER DATA'!$A:$F,7,0),"")</f>
        <v/>
      </c>
      <c r="BF40" s="270" t="str">
        <f>_xlfn.IFNA(VLOOKUP(CONCATENATE(BF$4,$C40),'INSER DATA'!$A:$F,7,0),"")</f>
        <v/>
      </c>
      <c r="BG40" s="270" t="str">
        <f>_xlfn.IFNA(VLOOKUP(CONCATENATE(BG$4,$C40),'INSER DATA'!$A:$F,7,0),"")</f>
        <v/>
      </c>
      <c r="BH40" s="270" t="str">
        <f>_xlfn.IFNA(VLOOKUP(CONCATENATE(BH$4,$C40),'INSER DATA'!$A:$F,7,0),"")</f>
        <v/>
      </c>
      <c r="BI40" s="270" t="str">
        <f>_xlfn.IFNA(VLOOKUP(CONCATENATE(BI$4,$C40),'INSER DATA'!$A:$F,7,0),"")</f>
        <v/>
      </c>
      <c r="BJ40" s="270" t="str">
        <f>_xlfn.IFNA(VLOOKUP(CONCATENATE(BJ$4,$C40),'INSER DATA'!$A:$F,7,0),"")</f>
        <v/>
      </c>
      <c r="BK40" s="270" t="str">
        <f>_xlfn.IFNA(VLOOKUP(CONCATENATE(BK$4,$C40),'INSER DATA'!$A:$F,7,0),"")</f>
        <v/>
      </c>
      <c r="BL40" s="272"/>
      <c r="BM40" s="30"/>
      <c r="BN40" s="30"/>
      <c r="BO40" s="30"/>
      <c r="BP40" s="30"/>
      <c r="BQ40" s="30"/>
      <c r="BR40" s="30"/>
      <c r="BS40" s="30"/>
      <c r="BT40" s="30"/>
      <c r="BU40" s="30"/>
      <c r="BV40" s="30"/>
      <c r="BW40" s="30"/>
      <c r="BX40" s="30"/>
      <c r="BY40" s="30"/>
      <c r="BZ40" s="30"/>
      <c r="CA40" s="30"/>
      <c r="CB40" s="30"/>
      <c r="CC40" s="30"/>
      <c r="CD40" s="30"/>
      <c r="CE40" s="30"/>
      <c r="CF40" s="30"/>
      <c r="CG40" s="30"/>
      <c r="CH40" s="30"/>
      <c r="CI40" s="30"/>
      <c r="CJ40" s="30"/>
      <c r="CK40" s="30"/>
      <c r="CL40" s="30"/>
      <c r="CM40" s="30"/>
      <c r="CN40" s="30"/>
      <c r="CO40" s="30"/>
      <c r="CP40" s="30"/>
      <c r="CQ40" s="30"/>
      <c r="CR40" s="30"/>
      <c r="CS40" s="30"/>
      <c r="CT40" s="30"/>
      <c r="CU40" s="30"/>
      <c r="CV40" s="30"/>
      <c r="CW40" s="30"/>
      <c r="CX40" s="30"/>
      <c r="CY40" s="30"/>
      <c r="CZ40" s="30"/>
      <c r="DA40" s="30"/>
    </row>
    <row r="41" spans="1:105" ht="19.2" thickTop="1" thickBot="1" x14ac:dyDescent="0.4">
      <c r="A41" s="30"/>
      <c r="B41" s="30"/>
      <c r="C41" s="358" t="s">
        <v>660</v>
      </c>
      <c r="D41" s="359" t="s">
        <v>646</v>
      </c>
      <c r="E41" s="35" t="str">
        <f>_xlfn.XLOOKUP(Tabella4[[#This Row],[NOME]],'ROSE SQUADRE'!$N$3:$N$253,'ROSE SQUADRE'!$O$3:$O$253,"")</f>
        <v>TRICCHETRACHT</v>
      </c>
      <c r="F41" s="36" t="s">
        <v>162</v>
      </c>
      <c r="G41" s="43">
        <v>11</v>
      </c>
      <c r="H41" s="43">
        <v>11</v>
      </c>
      <c r="I41" s="44">
        <f t="shared" si="0"/>
        <v>0</v>
      </c>
      <c r="J41" s="37">
        <f t="shared" si="1"/>
        <v>2</v>
      </c>
      <c r="K41" s="178">
        <f t="shared" si="2"/>
        <v>5.5</v>
      </c>
      <c r="L41" s="178">
        <f t="shared" si="3"/>
        <v>5.5</v>
      </c>
      <c r="M41" s="179">
        <f t="shared" si="4"/>
        <v>11</v>
      </c>
      <c r="N41" s="45">
        <f ca="1">ContaCellePerColore(Z41:BK41,$C$3)</f>
        <v>0</v>
      </c>
      <c r="O41" s="40">
        <f>SUMIF(Tabella1[Nome],Tabella4[[#This Row],[NOME]],Tabella1[Gf])</f>
        <v>0</v>
      </c>
      <c r="P41" s="40">
        <f>-(SUMIF(Tabella1[Nome],Tabella4[[#This Row],[NOME]],Tabella1[Gs]))</f>
        <v>0</v>
      </c>
      <c r="Q41" s="40">
        <f>SUMIF(Tabella1[Nome],Tabella4[[#This Row],[NOME]],Tabella1[Rp])</f>
        <v>0</v>
      </c>
      <c r="R41" s="40">
        <f>SUMIF(Tabella1[Nome],Tabella4[[#This Row],[NOME]],Tabella1[Rs])</f>
        <v>0</v>
      </c>
      <c r="S41" s="40">
        <f>SUMIF(Tabella1[Nome],Tabella4[[#This Row],[NOME]],Tabella1[Rf])</f>
        <v>0</v>
      </c>
      <c r="T41" s="40">
        <f>SUMIF(Tabella1[Nome],Tabella4[[#This Row],[NOME]],Tabella1[Au])</f>
        <v>0</v>
      </c>
      <c r="U41" s="41">
        <f>SUMIF(Tabella1[Nome],Tabella4[[#This Row],[NOME]],Tabella1[Amm])</f>
        <v>0</v>
      </c>
      <c r="V41" s="42">
        <f>SUMIF(Tabella1[Nome],Tabella4[[#This Row],[NOME]],Tabella1[Esp])</f>
        <v>0</v>
      </c>
      <c r="W41" s="40">
        <f>SUMIF(Tabella1[Nome],Tabella4[[#This Row],[NOME]],Tabella1[Ass])</f>
        <v>0</v>
      </c>
      <c r="X41" s="40">
        <f>SUMIF(Tabella1[Nome],Tabella4[[#This Row],[NOME]],Tabella1[Gdv])</f>
        <v>0</v>
      </c>
      <c r="Y41" s="40">
        <f>SUMIF(Tabella1[Nome],Tabella4[[#This Row],[NOME]],Tabella1[cl sh])</f>
        <v>0</v>
      </c>
      <c r="Z41" s="270">
        <f>_xlfn.IFNA(_xlfn.XLOOKUP(CONCATENATE(Z$4,$C41),Tabella1[CONC X VOTI IN TAB GIOC],Tabella1[Voto],""),"")</f>
        <v>5.5</v>
      </c>
      <c r="AA41" s="270" t="str">
        <f>_xlfn.IFNA(_xlfn.XLOOKUP(CONCATENATE(AA$4,$C41),Tabella1[CONC X VOTI IN TAB GIOC],Tabella1[Voto],""),"")</f>
        <v/>
      </c>
      <c r="AB41" s="270" t="str">
        <f>_xlfn.IFNA(_xlfn.XLOOKUP(CONCATENATE(AB$4,$C41),Tabella1[CONC X VOTI IN TAB GIOC],Tabella1[Voto]),"")</f>
        <v/>
      </c>
      <c r="AC41" s="270" cm="1">
        <f t="array" ref="AC41">_xlfn.IFNA(_xlfn.XLOOKUP(CONCATENATE(AC$4,$C41),INDEX(Tabella1[],0,MATCH("CONC X VOTI IN TAB GIOC",Tabella1[#Headers],0)),INDEX(Tabella1[],0,MATCH("Voto",Tabella1[#Headers],0))),"")</f>
        <v>5.5</v>
      </c>
      <c r="AD41" s="270" t="str">
        <f>_xlfn.IFNA(_xlfn.XLOOKUP(CONCATENATE(AD$4,$C41),Tabella1[CONC X VOTI IN TAB GIOC],Tabella1[Voto]),"")</f>
        <v/>
      </c>
      <c r="AE41" s="270" t="str">
        <f>_xlfn.IFNA(VLOOKUP(CONCATENATE(AE$4,$C41),'INSER DATA'!$A:$F,6,0),"")</f>
        <v/>
      </c>
      <c r="AF41" s="270" t="str">
        <f>_xlfn.IFNA(VLOOKUP(CONCATENATE(AF$4,$C41),'INSER DATA'!$A:$F,6,0),"")</f>
        <v/>
      </c>
      <c r="AG41" s="270" t="str">
        <f>_xlfn.IFNA(VLOOKUP(CONCATENATE(AG$4,$C41),'INSER DATA'!$A:$F,6,0),"")</f>
        <v/>
      </c>
      <c r="AH41" s="270" t="str">
        <f>_xlfn.IFNA(VLOOKUP(CONCATENATE(AH$4,$C41),'INSER DATA'!$A:$F,7,0),"")</f>
        <v/>
      </c>
      <c r="AI41" s="270" t="str">
        <f>_xlfn.IFNA(VLOOKUP(CONCATENATE(AI$4,$C41),'INSER DATA'!$A:$F,7,0),"")</f>
        <v/>
      </c>
      <c r="AJ41" s="270" t="str">
        <f>_xlfn.IFNA(VLOOKUP(CONCATENATE(AJ$4,$C41),'INSER DATA'!$A:$F,7,0),"")</f>
        <v/>
      </c>
      <c r="AK41" s="270" t="str">
        <f>_xlfn.IFNA(VLOOKUP(CONCATENATE(AK$4,$C41),'INSER DATA'!$A:$F,7,0),"")</f>
        <v/>
      </c>
      <c r="AL41" s="270" t="str">
        <f>_xlfn.IFNA(VLOOKUP(CONCATENATE(AL$4,$C41),'INSER DATA'!$A:$F,7,0),"")</f>
        <v/>
      </c>
      <c r="AM41" s="270" t="str">
        <f>_xlfn.IFNA(VLOOKUP(CONCATENATE(AM$4,$C41),'INSER DATA'!$A:$F,7,0),"")</f>
        <v/>
      </c>
      <c r="AN41" s="270" t="str">
        <f>_xlfn.IFNA(VLOOKUP(CONCATENATE(AN$4,$C41),'INSER DATA'!$A:$F,7,0),"")</f>
        <v/>
      </c>
      <c r="AO41" s="270" t="str">
        <f>_xlfn.IFNA(VLOOKUP(CONCATENATE(AO$4,$C41),'INSER DATA'!$A:$F,7,0),"")</f>
        <v/>
      </c>
      <c r="AP41" s="270" t="str">
        <f>_xlfn.IFNA(VLOOKUP(CONCATENATE(AP$4,$C41),'INSER DATA'!$A:$F,7,0),"")</f>
        <v/>
      </c>
      <c r="AQ41" s="270" t="str">
        <f>_xlfn.IFNA(VLOOKUP(CONCATENATE(AQ$4,$C41),'INSER DATA'!$A:$F,7,0),"")</f>
        <v/>
      </c>
      <c r="AR41" s="270" t="str">
        <f>_xlfn.IFNA(VLOOKUP(CONCATENATE(AR$4,$C41),'INSER DATA'!$A:$F,7,0),"")</f>
        <v/>
      </c>
      <c r="AS41" s="270" t="str">
        <f>_xlfn.IFNA(VLOOKUP(CONCATENATE(AS$4,$C41),'INSER DATA'!$A:$F,7,0),"")</f>
        <v/>
      </c>
      <c r="AT41" s="270" t="str">
        <f>_xlfn.IFNA(VLOOKUP(CONCATENATE(AT$4,$C41),'INSER DATA'!$A:$F,7,0),"")</f>
        <v/>
      </c>
      <c r="AU41" s="270" t="str">
        <f>_xlfn.IFNA(VLOOKUP(CONCATENATE(AU$4,$C41),'INSER DATA'!$A:$F,7,0),"")</f>
        <v/>
      </c>
      <c r="AV41" s="270" t="str">
        <f>_xlfn.IFNA(VLOOKUP(CONCATENATE(AV$4,$C41),'INSER DATA'!$A:$F,7,0),"")</f>
        <v/>
      </c>
      <c r="AW41" s="270" t="str">
        <f>_xlfn.IFNA(VLOOKUP(CONCATENATE(AW$4,$C41),'INSER DATA'!$A:$F,7,0),"")</f>
        <v/>
      </c>
      <c r="AX41" s="270" t="str">
        <f>_xlfn.IFNA(VLOOKUP(CONCATENATE(AX$4,$C41),'INSER DATA'!$A:$F,7,0),"")</f>
        <v/>
      </c>
      <c r="AY41" s="270" t="str">
        <f>_xlfn.IFNA(VLOOKUP(CONCATENATE(AY$4,$C41),'INSER DATA'!$A:$F,7,0),"")</f>
        <v/>
      </c>
      <c r="AZ41" s="270" t="str">
        <f>_xlfn.IFNA(VLOOKUP(CONCATENATE(AZ$4,$C41),'INSER DATA'!$A:$F,7,0),"")</f>
        <v/>
      </c>
      <c r="BA41" s="270" t="str">
        <f>_xlfn.IFNA(VLOOKUP(CONCATENATE(BA$4,$C41),'INSER DATA'!$A:$F,7,0),"")</f>
        <v/>
      </c>
      <c r="BB41" s="270" t="str">
        <f>_xlfn.IFNA(VLOOKUP(CONCATENATE(BB$4,$C41),'INSER DATA'!$A:$F,7,0),"")</f>
        <v/>
      </c>
      <c r="BC41" s="270" t="str">
        <f>_xlfn.IFNA(VLOOKUP(CONCATENATE(BC$4,$C41),'INSER DATA'!$A:$F,7,0),"")</f>
        <v/>
      </c>
      <c r="BD41" s="270" t="str">
        <f>_xlfn.IFNA(VLOOKUP(CONCATENATE(BD$4,$C41),'INSER DATA'!$A:$F,7,0),"")</f>
        <v/>
      </c>
      <c r="BE41" s="270" t="str">
        <f>_xlfn.IFNA(VLOOKUP(CONCATENATE(BE$4,$C41),'INSER DATA'!$A:$F,7,0),"")</f>
        <v/>
      </c>
      <c r="BF41" s="270" t="str">
        <f>_xlfn.IFNA(VLOOKUP(CONCATENATE(BF$4,$C41),'INSER DATA'!$A:$F,7,0),"")</f>
        <v/>
      </c>
      <c r="BG41" s="270" t="str">
        <f>_xlfn.IFNA(VLOOKUP(CONCATENATE(BG$4,$C41),'INSER DATA'!$A:$F,7,0),"")</f>
        <v/>
      </c>
      <c r="BH41" s="270" t="str">
        <f>_xlfn.IFNA(VLOOKUP(CONCATENATE(BH$4,$C41),'INSER DATA'!$A:$F,7,0),"")</f>
        <v/>
      </c>
      <c r="BI41" s="270" t="str">
        <f>_xlfn.IFNA(VLOOKUP(CONCATENATE(BI$4,$C41),'INSER DATA'!$A:$F,7,0),"")</f>
        <v/>
      </c>
      <c r="BJ41" s="270" t="str">
        <f>_xlfn.IFNA(VLOOKUP(CONCATENATE(BJ$4,$C41),'INSER DATA'!$A:$F,7,0),"")</f>
        <v/>
      </c>
      <c r="BK41" s="270" t="str">
        <f>_xlfn.IFNA(VLOOKUP(CONCATENATE(BK$4,$C41),'INSER DATA'!$A:$F,7,0),"")</f>
        <v/>
      </c>
      <c r="BL41" s="272"/>
      <c r="BM41" s="30"/>
      <c r="BN41" s="30"/>
      <c r="BO41" s="30"/>
      <c r="BP41" s="30"/>
      <c r="BQ41" s="30"/>
      <c r="BR41" s="30"/>
      <c r="BS41" s="30"/>
      <c r="BT41" s="30"/>
      <c r="BU41" s="30"/>
      <c r="BV41" s="30"/>
      <c r="BW41" s="30"/>
      <c r="BX41" s="30"/>
      <c r="BY41" s="30"/>
      <c r="BZ41" s="30"/>
      <c r="CA41" s="30"/>
      <c r="CB41" s="30"/>
      <c r="CC41" s="30"/>
      <c r="CD41" s="30"/>
      <c r="CE41" s="30"/>
      <c r="CF41" s="30"/>
      <c r="CG41" s="30"/>
      <c r="CH41" s="30"/>
      <c r="CI41" s="30"/>
      <c r="CJ41" s="30"/>
      <c r="CK41" s="30"/>
      <c r="CL41" s="30"/>
      <c r="CM41" s="30"/>
      <c r="CN41" s="30"/>
      <c r="CO41" s="30"/>
      <c r="CP41" s="30"/>
      <c r="CQ41" s="30"/>
      <c r="CR41" s="30"/>
      <c r="CS41" s="30"/>
      <c r="CT41" s="30"/>
      <c r="CU41" s="30"/>
      <c r="CV41" s="30"/>
      <c r="CW41" s="30"/>
      <c r="CX41" s="30"/>
      <c r="CY41" s="30"/>
      <c r="CZ41" s="30"/>
      <c r="DA41" s="30"/>
    </row>
    <row r="42" spans="1:105" ht="19.2" thickTop="1" thickBot="1" x14ac:dyDescent="0.4">
      <c r="A42" s="30"/>
      <c r="B42" s="30"/>
      <c r="C42" s="363" t="s">
        <v>260</v>
      </c>
      <c r="D42" s="365" t="s">
        <v>646</v>
      </c>
      <c r="E42" s="35" t="str">
        <f>_xlfn.XLOOKUP(Tabella4[[#This Row],[NOME]],'ROSE SQUADRE'!$N$3:$N$253,'ROSE SQUADRE'!$O$3:$O$253,"")</f>
        <v>SHARK</v>
      </c>
      <c r="F42" s="36" t="s">
        <v>163</v>
      </c>
      <c r="G42" s="43">
        <v>8</v>
      </c>
      <c r="H42" s="43">
        <v>8</v>
      </c>
      <c r="I42" s="44">
        <f t="shared" si="0"/>
        <v>0</v>
      </c>
      <c r="J42" s="37">
        <f t="shared" si="1"/>
        <v>4</v>
      </c>
      <c r="K42" s="38">
        <f t="shared" si="2"/>
        <v>5.75</v>
      </c>
      <c r="L42" s="38">
        <f t="shared" si="3"/>
        <v>6.375</v>
      </c>
      <c r="M42" s="39">
        <f t="shared" si="4"/>
        <v>25.5</v>
      </c>
      <c r="N42" s="45">
        <f t="shared" ca="1" si="6"/>
        <v>0</v>
      </c>
      <c r="O42" s="40">
        <f>SUMIF(Tabella1[Nome],Tabella4[[#This Row],[NOME]],Tabella1[Gf])</f>
        <v>1</v>
      </c>
      <c r="P42" s="40">
        <f>-(SUMIF(Tabella1[Nome],Tabella4[[#This Row],[NOME]],Tabella1[Gs]))</f>
        <v>0</v>
      </c>
      <c r="Q42" s="40">
        <f>SUMIF(Tabella1[Nome],Tabella4[[#This Row],[NOME]],Tabella1[Rp])</f>
        <v>0</v>
      </c>
      <c r="R42" s="40">
        <f>SUMIF(Tabella1[Nome],Tabella4[[#This Row],[NOME]],Tabella1[Rs])</f>
        <v>0</v>
      </c>
      <c r="S42" s="40">
        <f>SUMIF(Tabella1[Nome],Tabella4[[#This Row],[NOME]],Tabella1[Rf])</f>
        <v>0</v>
      </c>
      <c r="T42" s="40">
        <f>SUMIF(Tabella1[Nome],Tabella4[[#This Row],[NOME]],Tabella1[Au])</f>
        <v>0</v>
      </c>
      <c r="U42" s="41">
        <f>SUMIF(Tabella1[Nome],Tabella4[[#This Row],[NOME]],Tabella1[Amm])</f>
        <v>1</v>
      </c>
      <c r="V42" s="42">
        <f>SUMIF(Tabella1[Nome],Tabella4[[#This Row],[NOME]],Tabella1[Esp])</f>
        <v>0</v>
      </c>
      <c r="W42" s="40">
        <f>SUMIF(Tabella1[Nome],Tabella4[[#This Row],[NOME]],Tabella1[Ass])</f>
        <v>0</v>
      </c>
      <c r="X42" s="40">
        <f>SUMIF(Tabella1[Nome],Tabella4[[#This Row],[NOME]],Tabella1[Gdv])</f>
        <v>0</v>
      </c>
      <c r="Y42" s="40">
        <f>SUMIF(Tabella1[Nome],Tabella4[[#This Row],[NOME]],Tabella1[cl sh])</f>
        <v>0</v>
      </c>
      <c r="Z42" s="270">
        <f>_xlfn.IFNA(_xlfn.XLOOKUP(CONCATENATE(Z$4,$C42),Tabella1[CONC X VOTI IN TAB GIOC],Tabella1[Voto],""),"")</f>
        <v>6</v>
      </c>
      <c r="AA42" s="270">
        <f>_xlfn.IFNA(_xlfn.XLOOKUP(CONCATENATE(AA$4,$C42),Tabella1[CONC X VOTI IN TAB GIOC],Tabella1[Voto],""),"")</f>
        <v>5</v>
      </c>
      <c r="AB42" s="270">
        <f>_xlfn.IFNA(_xlfn.XLOOKUP(CONCATENATE(AB$4,$C42),Tabella1[CONC X VOTI IN TAB GIOC],Tabella1[Voto]),"")</f>
        <v>6.5</v>
      </c>
      <c r="AC42" s="270" cm="1">
        <f t="array" ref="AC42">_xlfn.IFNA(_xlfn.XLOOKUP(CONCATENATE(AC$4,$C42),INDEX(Tabella1[],0,MATCH("CONC X VOTI IN TAB GIOC",Tabella1[#Headers],0)),INDEX(Tabella1[],0,MATCH("Voto",Tabella1[#Headers],0))),"")</f>
        <v>5.5</v>
      </c>
      <c r="AD42" s="270" t="str">
        <f>_xlfn.IFNA(_xlfn.XLOOKUP(CONCATENATE(AD$4,$C42),Tabella1[CONC X VOTI IN TAB GIOC],Tabella1[Voto]),"")</f>
        <v/>
      </c>
      <c r="AE42" s="270" t="str">
        <f>_xlfn.IFNA(VLOOKUP(CONCATENATE(AE$4,$C42),'INSER DATA'!$A:$F,6,0),"")</f>
        <v/>
      </c>
      <c r="AF42" s="270" t="str">
        <f>_xlfn.IFNA(VLOOKUP(CONCATENATE(AF$4,$C42),'INSER DATA'!$A:$F,6,0),"")</f>
        <v/>
      </c>
      <c r="AG42" s="270" t="str">
        <f>_xlfn.IFNA(VLOOKUP(CONCATENATE(AG$4,$C42),'INSER DATA'!$A:$F,6,0),"")</f>
        <v/>
      </c>
      <c r="AH42" s="270" t="str">
        <f>_xlfn.IFNA(VLOOKUP(CONCATENATE(AH$4,$C42),'INSER DATA'!$A:$F,7,0),"")</f>
        <v/>
      </c>
      <c r="AI42" s="270" t="str">
        <f>_xlfn.IFNA(VLOOKUP(CONCATENATE(AI$4,$C42),'INSER DATA'!$A:$F,7,0),"")</f>
        <v/>
      </c>
      <c r="AJ42" s="270" t="str">
        <f>_xlfn.IFNA(VLOOKUP(CONCATENATE(AJ$4,$C42),'INSER DATA'!$A:$F,7,0),"")</f>
        <v/>
      </c>
      <c r="AK42" s="270" t="str">
        <f>_xlfn.IFNA(VLOOKUP(CONCATENATE(AK$4,$C42),'INSER DATA'!$A:$F,7,0),"")</f>
        <v/>
      </c>
      <c r="AL42" s="270" t="str">
        <f>_xlfn.IFNA(VLOOKUP(CONCATENATE(AL$4,$C42),'INSER DATA'!$A:$F,7,0),"")</f>
        <v/>
      </c>
      <c r="AM42" s="270" t="str">
        <f>_xlfn.IFNA(VLOOKUP(CONCATENATE(AM$4,$C42),'INSER DATA'!$A:$F,7,0),"")</f>
        <v/>
      </c>
      <c r="AN42" s="270" t="str">
        <f>_xlfn.IFNA(VLOOKUP(CONCATENATE(AN$4,$C42),'INSER DATA'!$A:$F,7,0),"")</f>
        <v/>
      </c>
      <c r="AO42" s="270" t="str">
        <f>_xlfn.IFNA(VLOOKUP(CONCATENATE(AO$4,$C42),'INSER DATA'!$A:$F,7,0),"")</f>
        <v/>
      </c>
      <c r="AP42" s="270" t="str">
        <f>_xlfn.IFNA(VLOOKUP(CONCATENATE(AP$4,$C42),'INSER DATA'!$A:$F,7,0),"")</f>
        <v/>
      </c>
      <c r="AQ42" s="270" t="str">
        <f>_xlfn.IFNA(VLOOKUP(CONCATENATE(AQ$4,$C42),'INSER DATA'!$A:$F,7,0),"")</f>
        <v/>
      </c>
      <c r="AR42" s="270" t="str">
        <f>_xlfn.IFNA(VLOOKUP(CONCATENATE(AR$4,$C42),'INSER DATA'!$A:$F,7,0),"")</f>
        <v/>
      </c>
      <c r="AS42" s="270" t="str">
        <f>_xlfn.IFNA(VLOOKUP(CONCATENATE(AS$4,$C42),'INSER DATA'!$A:$F,7,0),"")</f>
        <v/>
      </c>
      <c r="AT42" s="270" t="str">
        <f>_xlfn.IFNA(VLOOKUP(CONCATENATE(AT$4,$C42),'INSER DATA'!$A:$F,7,0),"")</f>
        <v/>
      </c>
      <c r="AU42" s="270" t="str">
        <f>_xlfn.IFNA(VLOOKUP(CONCATENATE(AU$4,$C42),'INSER DATA'!$A:$F,7,0),"")</f>
        <v/>
      </c>
      <c r="AV42" s="270" t="str">
        <f>_xlfn.IFNA(VLOOKUP(CONCATENATE(AV$4,$C42),'INSER DATA'!$A:$F,7,0),"")</f>
        <v/>
      </c>
      <c r="AW42" s="270" t="str">
        <f>_xlfn.IFNA(VLOOKUP(CONCATENATE(AW$4,$C42),'INSER DATA'!$A:$F,7,0),"")</f>
        <v/>
      </c>
      <c r="AX42" s="270" t="str">
        <f>_xlfn.IFNA(VLOOKUP(CONCATENATE(AX$4,$C42),'INSER DATA'!$A:$F,7,0),"")</f>
        <v/>
      </c>
      <c r="AY42" s="270" t="str">
        <f>_xlfn.IFNA(VLOOKUP(CONCATENATE(AY$4,$C42),'INSER DATA'!$A:$F,7,0),"")</f>
        <v/>
      </c>
      <c r="AZ42" s="270" t="str">
        <f>_xlfn.IFNA(VLOOKUP(CONCATENATE(AZ$4,$C42),'INSER DATA'!$A:$F,7,0),"")</f>
        <v/>
      </c>
      <c r="BA42" s="270" t="str">
        <f>_xlfn.IFNA(VLOOKUP(CONCATENATE(BA$4,$C42),'INSER DATA'!$A:$F,7,0),"")</f>
        <v/>
      </c>
      <c r="BB42" s="270" t="str">
        <f>_xlfn.IFNA(VLOOKUP(CONCATENATE(BB$4,$C42),'INSER DATA'!$A:$F,7,0),"")</f>
        <v/>
      </c>
      <c r="BC42" s="270" t="str">
        <f>_xlfn.IFNA(VLOOKUP(CONCATENATE(BC$4,$C42),'INSER DATA'!$A:$F,7,0),"")</f>
        <v/>
      </c>
      <c r="BD42" s="270" t="str">
        <f>_xlfn.IFNA(VLOOKUP(CONCATENATE(BD$4,$C42),'INSER DATA'!$A:$F,7,0),"")</f>
        <v/>
      </c>
      <c r="BE42" s="270" t="str">
        <f>_xlfn.IFNA(VLOOKUP(CONCATENATE(BE$4,$C42),'INSER DATA'!$A:$F,7,0),"")</f>
        <v/>
      </c>
      <c r="BF42" s="270" t="str">
        <f>_xlfn.IFNA(VLOOKUP(CONCATENATE(BF$4,$C42),'INSER DATA'!$A:$F,7,0),"")</f>
        <v/>
      </c>
      <c r="BG42" s="270" t="str">
        <f>_xlfn.IFNA(VLOOKUP(CONCATENATE(BG$4,$C42),'INSER DATA'!$A:$F,7,0),"")</f>
        <v/>
      </c>
      <c r="BH42" s="270" t="str">
        <f>_xlfn.IFNA(VLOOKUP(CONCATENATE(BH$4,$C42),'INSER DATA'!$A:$F,7,0),"")</f>
        <v/>
      </c>
      <c r="BI42" s="270" t="str">
        <f>_xlfn.IFNA(VLOOKUP(CONCATENATE(BI$4,$C42),'INSER DATA'!$A:$F,7,0),"")</f>
        <v/>
      </c>
      <c r="BJ42" s="270" t="str">
        <f>_xlfn.IFNA(VLOOKUP(CONCATENATE(BJ$4,$C42),'INSER DATA'!$A:$F,7,0),"")</f>
        <v/>
      </c>
      <c r="BK42" s="270" t="str">
        <f>_xlfn.IFNA(VLOOKUP(CONCATENATE(BK$4,$C42),'INSER DATA'!$A:$F,7,0),"")</f>
        <v/>
      </c>
      <c r="BL42" s="272"/>
      <c r="BM42" s="30"/>
      <c r="BN42" s="30"/>
      <c r="BO42" s="30"/>
      <c r="BP42" s="30"/>
      <c r="BQ42" s="30"/>
      <c r="BR42" s="30"/>
      <c r="BS42" s="30"/>
      <c r="BT42" s="30"/>
      <c r="BU42" s="30"/>
      <c r="BV42" s="30"/>
      <c r="BW42" s="30"/>
      <c r="BX42" s="30"/>
      <c r="BY42" s="30"/>
      <c r="BZ42" s="30"/>
      <c r="CA42" s="30"/>
      <c r="CB42" s="30"/>
      <c r="CC42" s="30"/>
      <c r="CD42" s="30"/>
      <c r="CE42" s="30"/>
      <c r="CF42" s="30"/>
      <c r="CG42" s="30"/>
      <c r="CH42" s="30"/>
      <c r="CI42" s="30"/>
      <c r="CJ42" s="30"/>
      <c r="CK42" s="30"/>
      <c r="CL42" s="30"/>
      <c r="CM42" s="30"/>
      <c r="CN42" s="30"/>
      <c r="CO42" s="30"/>
      <c r="CP42" s="30"/>
      <c r="CQ42" s="30"/>
      <c r="CR42" s="30"/>
      <c r="CS42" s="30"/>
      <c r="CT42" s="30"/>
      <c r="CU42" s="30"/>
      <c r="CV42" s="30"/>
      <c r="CW42" s="30"/>
      <c r="CX42" s="30"/>
      <c r="CY42" s="30"/>
      <c r="CZ42" s="30"/>
      <c r="DA42" s="30"/>
    </row>
    <row r="43" spans="1:105" ht="19.2" thickTop="1" thickBot="1" x14ac:dyDescent="0.4">
      <c r="A43" s="30"/>
      <c r="B43" s="30"/>
      <c r="C43" s="362" t="s">
        <v>569</v>
      </c>
      <c r="D43" s="365" t="s">
        <v>646</v>
      </c>
      <c r="E43" s="35" t="str">
        <f>_xlfn.XLOOKUP(Tabella4[[#This Row],[NOME]],'ROSE SQUADRE'!$N$3:$N$253,'ROSE SQUADRE'!$O$3:$O$253,"")</f>
        <v>PARTIZAN DEGRADO</v>
      </c>
      <c r="F43" s="36" t="s">
        <v>163</v>
      </c>
      <c r="G43" s="43">
        <v>16</v>
      </c>
      <c r="H43" s="43">
        <v>15</v>
      </c>
      <c r="I43" s="44">
        <f t="shared" si="0"/>
        <v>-1</v>
      </c>
      <c r="J43" s="37">
        <f t="shared" si="1"/>
        <v>3</v>
      </c>
      <c r="K43" s="178">
        <f t="shared" si="2"/>
        <v>5.833333333333333</v>
      </c>
      <c r="L43" s="178">
        <f t="shared" si="3"/>
        <v>6.666666666666667</v>
      </c>
      <c r="M43" s="179">
        <f t="shared" si="4"/>
        <v>20</v>
      </c>
      <c r="N43" s="45">
        <f t="shared" ca="1" si="6"/>
        <v>0</v>
      </c>
      <c r="O43" s="40">
        <f>SUMIF(Tabella1[Nome],Tabella4[[#This Row],[NOME]],Tabella1[Gf])</f>
        <v>1</v>
      </c>
      <c r="P43" s="40">
        <f>-(SUMIF(Tabella1[Nome],Tabella4[[#This Row],[NOME]],Tabella1[Gs]))</f>
        <v>0</v>
      </c>
      <c r="Q43" s="40">
        <f>SUMIF(Tabella1[Nome],Tabella4[[#This Row],[NOME]],Tabella1[Rp])</f>
        <v>0</v>
      </c>
      <c r="R43" s="40">
        <f>SUMIF(Tabella1[Nome],Tabella4[[#This Row],[NOME]],Tabella1[Rs])</f>
        <v>0</v>
      </c>
      <c r="S43" s="40">
        <f>SUMIF(Tabella1[Nome],Tabella4[[#This Row],[NOME]],Tabella1[Rf])</f>
        <v>0</v>
      </c>
      <c r="T43" s="40">
        <f>SUMIF(Tabella1[Nome],Tabella4[[#This Row],[NOME]],Tabella1[Au])</f>
        <v>0</v>
      </c>
      <c r="U43" s="41">
        <f>SUMIF(Tabella1[Nome],Tabella4[[#This Row],[NOME]],Tabella1[Amm])</f>
        <v>1</v>
      </c>
      <c r="V43" s="42">
        <f>SUMIF(Tabella1[Nome],Tabella4[[#This Row],[NOME]],Tabella1[Esp])</f>
        <v>0</v>
      </c>
      <c r="W43" s="40">
        <f>SUMIF(Tabella1[Nome],Tabella4[[#This Row],[NOME]],Tabella1[Ass])</f>
        <v>0</v>
      </c>
      <c r="X43" s="40">
        <f>SUMIF(Tabella1[Nome],Tabella4[[#This Row],[NOME]],Tabella1[Gdv])</f>
        <v>0</v>
      </c>
      <c r="Y43" s="40">
        <f>SUMIF(Tabella1[Nome],Tabella4[[#This Row],[NOME]],Tabella1[cl sh])</f>
        <v>0</v>
      </c>
      <c r="Z43" s="270">
        <f>_xlfn.IFNA(_xlfn.XLOOKUP(CONCATENATE(Z$4,$C43),Tabella1[CONC X VOTI IN TAB GIOC],Tabella1[Voto],""),"")</f>
        <v>5</v>
      </c>
      <c r="AA43" s="270">
        <f>_xlfn.IFNA(_xlfn.XLOOKUP(CONCATENATE(AA$4,$C43),Tabella1[CONC X VOTI IN TAB GIOC],Tabella1[Voto],""),"")</f>
        <v>5.5</v>
      </c>
      <c r="AB43" s="270">
        <f>_xlfn.IFNA(_xlfn.XLOOKUP(CONCATENATE(AB$4,$C43),Tabella1[CONC X VOTI IN TAB GIOC],Tabella1[Voto]),"")</f>
        <v>7</v>
      </c>
      <c r="AC43" s="270" t="str" cm="1">
        <f t="array" ref="AC43">_xlfn.IFNA(_xlfn.XLOOKUP(CONCATENATE(AC$4,$C43),INDEX(Tabella1[],0,MATCH("CONC X VOTI IN TAB GIOC",Tabella1[#Headers],0)),INDEX(Tabella1[],0,MATCH("Voto",Tabella1[#Headers],0))),"")</f>
        <v/>
      </c>
      <c r="AD43" s="270" t="str">
        <f>_xlfn.IFNA(_xlfn.XLOOKUP(CONCATENATE(AD$4,$C43),Tabella1[CONC X VOTI IN TAB GIOC],Tabella1[Voto]),"")</f>
        <v/>
      </c>
      <c r="AE43" s="270" t="str">
        <f>_xlfn.IFNA(VLOOKUP(CONCATENATE(AE$4,$C43),'INSER DATA'!$A:$F,6,0),"")</f>
        <v/>
      </c>
      <c r="AF43" s="270" t="str">
        <f>_xlfn.IFNA(VLOOKUP(CONCATENATE(AF$4,$C43),'INSER DATA'!$A:$F,6,0),"")</f>
        <v/>
      </c>
      <c r="AG43" s="270" t="str">
        <f>_xlfn.IFNA(VLOOKUP(CONCATENATE(AG$4,$C43),'INSER DATA'!$A:$F,6,0),"")</f>
        <v/>
      </c>
      <c r="AH43" s="270" t="str">
        <f>_xlfn.IFNA(VLOOKUP(CONCATENATE(AH$4,$C43),'INSER DATA'!$A:$F,7,0),"")</f>
        <v/>
      </c>
      <c r="AI43" s="270" t="str">
        <f>_xlfn.IFNA(VLOOKUP(CONCATENATE(AI$4,$C43),'INSER DATA'!$A:$F,7,0),"")</f>
        <v/>
      </c>
      <c r="AJ43" s="270" t="str">
        <f>_xlfn.IFNA(VLOOKUP(CONCATENATE(AJ$4,$C43),'INSER DATA'!$A:$F,7,0),"")</f>
        <v/>
      </c>
      <c r="AK43" s="270" t="str">
        <f>_xlfn.IFNA(VLOOKUP(CONCATENATE(AK$4,$C43),'INSER DATA'!$A:$F,7,0),"")</f>
        <v/>
      </c>
      <c r="AL43" s="270" t="str">
        <f>_xlfn.IFNA(VLOOKUP(CONCATENATE(AL$4,$C43),'INSER DATA'!$A:$F,7,0),"")</f>
        <v/>
      </c>
      <c r="AM43" s="270" t="str">
        <f>_xlfn.IFNA(VLOOKUP(CONCATENATE(AM$4,$C43),'INSER DATA'!$A:$F,7,0),"")</f>
        <v/>
      </c>
      <c r="AN43" s="270" t="str">
        <f>_xlfn.IFNA(VLOOKUP(CONCATENATE(AN$4,$C43),'INSER DATA'!$A:$F,7,0),"")</f>
        <v/>
      </c>
      <c r="AO43" s="270" t="str">
        <f>_xlfn.IFNA(VLOOKUP(CONCATENATE(AO$4,$C43),'INSER DATA'!$A:$F,7,0),"")</f>
        <v/>
      </c>
      <c r="AP43" s="270" t="str">
        <f>_xlfn.IFNA(VLOOKUP(CONCATENATE(AP$4,$C43),'INSER DATA'!$A:$F,7,0),"")</f>
        <v/>
      </c>
      <c r="AQ43" s="270" t="str">
        <f>_xlfn.IFNA(VLOOKUP(CONCATENATE(AQ$4,$C43),'INSER DATA'!$A:$F,7,0),"")</f>
        <v/>
      </c>
      <c r="AR43" s="270" t="str">
        <f>_xlfn.IFNA(VLOOKUP(CONCATENATE(AR$4,$C43),'INSER DATA'!$A:$F,7,0),"")</f>
        <v/>
      </c>
      <c r="AS43" s="270" t="str">
        <f>_xlfn.IFNA(VLOOKUP(CONCATENATE(AS$4,$C43),'INSER DATA'!$A:$F,7,0),"")</f>
        <v/>
      </c>
      <c r="AT43" s="270" t="str">
        <f>_xlfn.IFNA(VLOOKUP(CONCATENATE(AT$4,$C43),'INSER DATA'!$A:$F,7,0),"")</f>
        <v/>
      </c>
      <c r="AU43" s="270" t="str">
        <f>_xlfn.IFNA(VLOOKUP(CONCATENATE(AU$4,$C43),'INSER DATA'!$A:$F,7,0),"")</f>
        <v/>
      </c>
      <c r="AV43" s="270" t="str">
        <f>_xlfn.IFNA(VLOOKUP(CONCATENATE(AV$4,$C43),'INSER DATA'!$A:$F,7,0),"")</f>
        <v/>
      </c>
      <c r="AW43" s="270" t="str">
        <f>_xlfn.IFNA(VLOOKUP(CONCATENATE(AW$4,$C43),'INSER DATA'!$A:$F,7,0),"")</f>
        <v/>
      </c>
      <c r="AX43" s="270" t="str">
        <f>_xlfn.IFNA(VLOOKUP(CONCATENATE(AX$4,$C43),'INSER DATA'!$A:$F,7,0),"")</f>
        <v/>
      </c>
      <c r="AY43" s="270" t="str">
        <f>_xlfn.IFNA(VLOOKUP(CONCATENATE(AY$4,$C43),'INSER DATA'!$A:$F,7,0),"")</f>
        <v/>
      </c>
      <c r="AZ43" s="270" t="str">
        <f>_xlfn.IFNA(VLOOKUP(CONCATENATE(AZ$4,$C43),'INSER DATA'!$A:$F,7,0),"")</f>
        <v/>
      </c>
      <c r="BA43" s="270" t="str">
        <f>_xlfn.IFNA(VLOOKUP(CONCATENATE(BA$4,$C43),'INSER DATA'!$A:$F,7,0),"")</f>
        <v/>
      </c>
      <c r="BB43" s="270" t="str">
        <f>_xlfn.IFNA(VLOOKUP(CONCATENATE(BB$4,$C43),'INSER DATA'!$A:$F,7,0),"")</f>
        <v/>
      </c>
      <c r="BC43" s="270" t="str">
        <f>_xlfn.IFNA(VLOOKUP(CONCATENATE(BC$4,$C43),'INSER DATA'!$A:$F,7,0),"")</f>
        <v/>
      </c>
      <c r="BD43" s="270" t="str">
        <f>_xlfn.IFNA(VLOOKUP(CONCATENATE(BD$4,$C43),'INSER DATA'!$A:$F,7,0),"")</f>
        <v/>
      </c>
      <c r="BE43" s="270" t="str">
        <f>_xlfn.IFNA(VLOOKUP(CONCATENATE(BE$4,$C43),'INSER DATA'!$A:$F,7,0),"")</f>
        <v/>
      </c>
      <c r="BF43" s="270" t="str">
        <f>_xlfn.IFNA(VLOOKUP(CONCATENATE(BF$4,$C43),'INSER DATA'!$A:$F,7,0),"")</f>
        <v/>
      </c>
      <c r="BG43" s="270" t="str">
        <f>_xlfn.IFNA(VLOOKUP(CONCATENATE(BG$4,$C43),'INSER DATA'!$A:$F,7,0),"")</f>
        <v/>
      </c>
      <c r="BH43" s="270" t="str">
        <f>_xlfn.IFNA(VLOOKUP(CONCATENATE(BH$4,$C43),'INSER DATA'!$A:$F,7,0),"")</f>
        <v/>
      </c>
      <c r="BI43" s="270" t="str">
        <f>_xlfn.IFNA(VLOOKUP(CONCATENATE(BI$4,$C43),'INSER DATA'!$A:$F,7,0),"")</f>
        <v/>
      </c>
      <c r="BJ43" s="270" t="str">
        <f>_xlfn.IFNA(VLOOKUP(CONCATENATE(BJ$4,$C43),'INSER DATA'!$A:$F,7,0),"")</f>
        <v/>
      </c>
      <c r="BK43" s="270" t="str">
        <f>_xlfn.IFNA(VLOOKUP(CONCATENATE(BK$4,$C43),'INSER DATA'!$A:$F,7,0),"")</f>
        <v/>
      </c>
      <c r="BL43" s="272"/>
      <c r="BM43" s="30"/>
      <c r="BN43" s="30"/>
      <c r="BO43" s="30"/>
      <c r="BP43" s="30"/>
      <c r="BQ43" s="30"/>
      <c r="BR43" s="30"/>
      <c r="BS43" s="30"/>
      <c r="BT43" s="30"/>
      <c r="BU43" s="30"/>
      <c r="BV43" s="30"/>
      <c r="BW43" s="30"/>
      <c r="BX43" s="30"/>
      <c r="BY43" s="30"/>
      <c r="BZ43" s="30"/>
      <c r="CA43" s="30"/>
      <c r="CB43" s="30"/>
      <c r="CC43" s="30"/>
      <c r="CD43" s="30"/>
      <c r="CE43" s="30"/>
      <c r="CF43" s="30"/>
      <c r="CG43" s="30"/>
      <c r="CH43" s="30"/>
      <c r="CI43" s="30"/>
      <c r="CJ43" s="30"/>
      <c r="CK43" s="30"/>
      <c r="CL43" s="30"/>
      <c r="CM43" s="30"/>
      <c r="CN43" s="30"/>
      <c r="CO43" s="30"/>
      <c r="CP43" s="30"/>
      <c r="CQ43" s="30"/>
      <c r="CR43" s="30"/>
      <c r="CS43" s="30"/>
      <c r="CT43" s="30"/>
      <c r="CU43" s="30"/>
      <c r="CV43" s="30"/>
      <c r="CW43" s="30"/>
      <c r="CX43" s="30"/>
      <c r="CY43" s="30"/>
      <c r="CZ43" s="30"/>
      <c r="DA43" s="30"/>
    </row>
    <row r="44" spans="1:105" ht="19.2" thickTop="1" thickBot="1" x14ac:dyDescent="0.4">
      <c r="A44" s="30"/>
      <c r="B44" s="30"/>
      <c r="C44" s="185" t="s">
        <v>657</v>
      </c>
      <c r="D44" s="46" t="s">
        <v>646</v>
      </c>
      <c r="E44" s="35" t="str">
        <f>_xlfn.XLOOKUP(Tabella4[[#This Row],[NOME]],'ROSE SQUADRE'!$N$3:$N$253,'ROSE SQUADRE'!$O$3:$O$253,"")</f>
        <v/>
      </c>
      <c r="F44" s="36" t="s">
        <v>162</v>
      </c>
      <c r="G44" s="43">
        <v>2</v>
      </c>
      <c r="H44" s="43">
        <v>2</v>
      </c>
      <c r="I44" s="44">
        <f t="shared" si="0"/>
        <v>0</v>
      </c>
      <c r="J44" s="37">
        <f t="shared" si="1"/>
        <v>1</v>
      </c>
      <c r="K44" s="178">
        <f t="shared" si="2"/>
        <v>5</v>
      </c>
      <c r="L44" s="178">
        <f t="shared" si="3"/>
        <v>4.5</v>
      </c>
      <c r="M44" s="179">
        <f t="shared" si="4"/>
        <v>4.5</v>
      </c>
      <c r="N44" s="45">
        <f t="shared" ca="1" si="6"/>
        <v>0</v>
      </c>
      <c r="O44" s="40">
        <f>SUMIF(Tabella1[Nome],Tabella4[[#This Row],[NOME]],Tabella1[Gf])</f>
        <v>0</v>
      </c>
      <c r="P44" s="40">
        <f>-(SUMIF(Tabella1[Nome],Tabella4[[#This Row],[NOME]],Tabella1[Gs]))</f>
        <v>0</v>
      </c>
      <c r="Q44" s="40">
        <f>SUMIF(Tabella1[Nome],Tabella4[[#This Row],[NOME]],Tabella1[Rp])</f>
        <v>0</v>
      </c>
      <c r="R44" s="40">
        <f>SUMIF(Tabella1[Nome],Tabella4[[#This Row],[NOME]],Tabella1[Rs])</f>
        <v>0</v>
      </c>
      <c r="S44" s="40">
        <f>SUMIF(Tabella1[Nome],Tabella4[[#This Row],[NOME]],Tabella1[Rf])</f>
        <v>0</v>
      </c>
      <c r="T44" s="40">
        <f>SUMIF(Tabella1[Nome],Tabella4[[#This Row],[NOME]],Tabella1[Au])</f>
        <v>0</v>
      </c>
      <c r="U44" s="41">
        <f>SUMIF(Tabella1[Nome],Tabella4[[#This Row],[NOME]],Tabella1[Amm])</f>
        <v>1</v>
      </c>
      <c r="V44" s="42">
        <f>SUMIF(Tabella1[Nome],Tabella4[[#This Row],[NOME]],Tabella1[Esp])</f>
        <v>0</v>
      </c>
      <c r="W44" s="40">
        <f>SUMIF(Tabella1[Nome],Tabella4[[#This Row],[NOME]],Tabella1[Ass])</f>
        <v>0</v>
      </c>
      <c r="X44" s="40">
        <f>SUMIF(Tabella1[Nome],Tabella4[[#This Row],[NOME]],Tabella1[Gdv])</f>
        <v>0</v>
      </c>
      <c r="Y44" s="40">
        <f>SUMIF(Tabella1[Nome],Tabella4[[#This Row],[NOME]],Tabella1[cl sh])</f>
        <v>0</v>
      </c>
      <c r="Z44" s="270">
        <f>_xlfn.IFNA(_xlfn.XLOOKUP(CONCATENATE(Z$4,$C44),Tabella1[CONC X VOTI IN TAB GIOC],Tabella1[Voto],""),"")</f>
        <v>5</v>
      </c>
      <c r="AA44" s="270" t="str">
        <f>_xlfn.IFNA(_xlfn.XLOOKUP(CONCATENATE(AA$4,$C44),Tabella1[CONC X VOTI IN TAB GIOC],Tabella1[Voto],""),"")</f>
        <v/>
      </c>
      <c r="AB44" s="270" t="str">
        <f>_xlfn.IFNA(_xlfn.XLOOKUP(CONCATENATE(AB$4,$C44),Tabella1[CONC X VOTI IN TAB GIOC],Tabella1[Voto]),"")</f>
        <v/>
      </c>
      <c r="AC44" s="270" t="str" cm="1">
        <f t="array" ref="AC44">_xlfn.IFNA(_xlfn.XLOOKUP(CONCATENATE(AC$4,$C44),INDEX(Tabella1[],0,MATCH("CONC X VOTI IN TAB GIOC",Tabella1[#Headers],0)),INDEX(Tabella1[],0,MATCH("Voto",Tabella1[#Headers],0))),"")</f>
        <v/>
      </c>
      <c r="AD44" s="270" t="str">
        <f>_xlfn.IFNA(_xlfn.XLOOKUP(CONCATENATE(AD$4,$C44),Tabella1[CONC X VOTI IN TAB GIOC],Tabella1[Voto]),"")</f>
        <v/>
      </c>
      <c r="AE44" s="270" t="str">
        <f>_xlfn.IFNA(VLOOKUP(CONCATENATE(AE$4,$C44),'INSER DATA'!$A:$F,6,0),"")</f>
        <v/>
      </c>
      <c r="AF44" s="270" t="str">
        <f>_xlfn.IFNA(VLOOKUP(CONCATENATE(AF$4,$C44),'INSER DATA'!$A:$F,6,0),"")</f>
        <v/>
      </c>
      <c r="AG44" s="270" t="str">
        <f>_xlfn.IFNA(VLOOKUP(CONCATENATE(AG$4,$C44),'INSER DATA'!$A:$F,6,0),"")</f>
        <v/>
      </c>
      <c r="AH44" s="270" t="str">
        <f>_xlfn.IFNA(VLOOKUP(CONCATENATE(AH$4,$C44),'INSER DATA'!$A:$F,7,0),"")</f>
        <v/>
      </c>
      <c r="AI44" s="270" t="str">
        <f>_xlfn.IFNA(VLOOKUP(CONCATENATE(AI$4,$C44),'INSER DATA'!$A:$F,7,0),"")</f>
        <v/>
      </c>
      <c r="AJ44" s="270" t="str">
        <f>_xlfn.IFNA(VLOOKUP(CONCATENATE(AJ$4,$C44),'INSER DATA'!$A:$F,7,0),"")</f>
        <v/>
      </c>
      <c r="AK44" s="270" t="str">
        <f>_xlfn.IFNA(VLOOKUP(CONCATENATE(AK$4,$C44),'INSER DATA'!$A:$F,7,0),"")</f>
        <v/>
      </c>
      <c r="AL44" s="270" t="str">
        <f>_xlfn.IFNA(VLOOKUP(CONCATENATE(AL$4,$C44),'INSER DATA'!$A:$F,7,0),"")</f>
        <v/>
      </c>
      <c r="AM44" s="270" t="str">
        <f>_xlfn.IFNA(VLOOKUP(CONCATENATE(AM$4,$C44),'INSER DATA'!$A:$F,7,0),"")</f>
        <v/>
      </c>
      <c r="AN44" s="270" t="str">
        <f>_xlfn.IFNA(VLOOKUP(CONCATENATE(AN$4,$C44),'INSER DATA'!$A:$F,7,0),"")</f>
        <v/>
      </c>
      <c r="AO44" s="270" t="str">
        <f>_xlfn.IFNA(VLOOKUP(CONCATENATE(AO$4,$C44),'INSER DATA'!$A:$F,7,0),"")</f>
        <v/>
      </c>
      <c r="AP44" s="270" t="str">
        <f>_xlfn.IFNA(VLOOKUP(CONCATENATE(AP$4,$C44),'INSER DATA'!$A:$F,7,0),"")</f>
        <v/>
      </c>
      <c r="AQ44" s="270" t="str">
        <f>_xlfn.IFNA(VLOOKUP(CONCATENATE(AQ$4,$C44),'INSER DATA'!$A:$F,7,0),"")</f>
        <v/>
      </c>
      <c r="AR44" s="270" t="str">
        <f>_xlfn.IFNA(VLOOKUP(CONCATENATE(AR$4,$C44),'INSER DATA'!$A:$F,7,0),"")</f>
        <v/>
      </c>
      <c r="AS44" s="270" t="str">
        <f>_xlfn.IFNA(VLOOKUP(CONCATENATE(AS$4,$C44),'INSER DATA'!$A:$F,7,0),"")</f>
        <v/>
      </c>
      <c r="AT44" s="270" t="str">
        <f>_xlfn.IFNA(VLOOKUP(CONCATENATE(AT$4,$C44),'INSER DATA'!$A:$F,7,0),"")</f>
        <v/>
      </c>
      <c r="AU44" s="270" t="str">
        <f>_xlfn.IFNA(VLOOKUP(CONCATENATE(AU$4,$C44),'INSER DATA'!$A:$F,7,0),"")</f>
        <v/>
      </c>
      <c r="AV44" s="270" t="str">
        <f>_xlfn.IFNA(VLOOKUP(CONCATENATE(AV$4,$C44),'INSER DATA'!$A:$F,7,0),"")</f>
        <v/>
      </c>
      <c r="AW44" s="270" t="str">
        <f>_xlfn.IFNA(VLOOKUP(CONCATENATE(AW$4,$C44),'INSER DATA'!$A:$F,7,0),"")</f>
        <v/>
      </c>
      <c r="AX44" s="270" t="str">
        <f>_xlfn.IFNA(VLOOKUP(CONCATENATE(AX$4,$C44),'INSER DATA'!$A:$F,7,0),"")</f>
        <v/>
      </c>
      <c r="AY44" s="270" t="str">
        <f>_xlfn.IFNA(VLOOKUP(CONCATENATE(AY$4,$C44),'INSER DATA'!$A:$F,7,0),"")</f>
        <v/>
      </c>
      <c r="AZ44" s="270" t="str">
        <f>_xlfn.IFNA(VLOOKUP(CONCATENATE(AZ$4,$C44),'INSER DATA'!$A:$F,7,0),"")</f>
        <v/>
      </c>
      <c r="BA44" s="270" t="str">
        <f>_xlfn.IFNA(VLOOKUP(CONCATENATE(BA$4,$C44),'INSER DATA'!$A:$F,7,0),"")</f>
        <v/>
      </c>
      <c r="BB44" s="270" t="str">
        <f>_xlfn.IFNA(VLOOKUP(CONCATENATE(BB$4,$C44),'INSER DATA'!$A:$F,7,0),"")</f>
        <v/>
      </c>
      <c r="BC44" s="270" t="str">
        <f>_xlfn.IFNA(VLOOKUP(CONCATENATE(BC$4,$C44),'INSER DATA'!$A:$F,7,0),"")</f>
        <v/>
      </c>
      <c r="BD44" s="270" t="str">
        <f>_xlfn.IFNA(VLOOKUP(CONCATENATE(BD$4,$C44),'INSER DATA'!$A:$F,7,0),"")</f>
        <v/>
      </c>
      <c r="BE44" s="270" t="str">
        <f>_xlfn.IFNA(VLOOKUP(CONCATENATE(BE$4,$C44),'INSER DATA'!$A:$F,7,0),"")</f>
        <v/>
      </c>
      <c r="BF44" s="270" t="str">
        <f>_xlfn.IFNA(VLOOKUP(CONCATENATE(BF$4,$C44),'INSER DATA'!$A:$F,7,0),"")</f>
        <v/>
      </c>
      <c r="BG44" s="270" t="str">
        <f>_xlfn.IFNA(VLOOKUP(CONCATENATE(BG$4,$C44),'INSER DATA'!$A:$F,7,0),"")</f>
        <v/>
      </c>
      <c r="BH44" s="270" t="str">
        <f>_xlfn.IFNA(VLOOKUP(CONCATENATE(BH$4,$C44),'INSER DATA'!$A:$F,7,0),"")</f>
        <v/>
      </c>
      <c r="BI44" s="270" t="str">
        <f>_xlfn.IFNA(VLOOKUP(CONCATENATE(BI$4,$C44),'INSER DATA'!$A:$F,7,0),"")</f>
        <v/>
      </c>
      <c r="BJ44" s="270" t="str">
        <f>_xlfn.IFNA(VLOOKUP(CONCATENATE(BJ$4,$C44),'INSER DATA'!$A:$F,7,0),"")</f>
        <v/>
      </c>
      <c r="BK44" s="270" t="str">
        <f>_xlfn.IFNA(VLOOKUP(CONCATENATE(BK$4,$C44),'INSER DATA'!$A:$F,7,0),"")</f>
        <v/>
      </c>
      <c r="BL44" s="272"/>
      <c r="BM44" s="30"/>
      <c r="BN44" s="30"/>
      <c r="BO44" s="30"/>
      <c r="BP44" s="30"/>
      <c r="BQ44" s="30"/>
      <c r="BR44" s="30"/>
      <c r="BS44" s="30"/>
      <c r="BT44" s="30"/>
      <c r="BU44" s="30"/>
      <c r="BV44" s="30"/>
      <c r="BW44" s="30"/>
      <c r="BX44" s="30"/>
      <c r="BY44" s="30"/>
      <c r="BZ44" s="30"/>
      <c r="CA44" s="30"/>
      <c r="CB44" s="30"/>
      <c r="CC44" s="30"/>
      <c r="CD44" s="30"/>
      <c r="CE44" s="30"/>
      <c r="CF44" s="30"/>
      <c r="CG44" s="30"/>
      <c r="CH44" s="30"/>
      <c r="CI44" s="30"/>
      <c r="CJ44" s="30"/>
      <c r="CK44" s="30"/>
      <c r="CL44" s="30"/>
      <c r="CM44" s="30"/>
      <c r="CN44" s="30"/>
      <c r="CO44" s="30"/>
      <c r="CP44" s="30"/>
      <c r="CQ44" s="30"/>
      <c r="CR44" s="30"/>
      <c r="CS44" s="30"/>
      <c r="CT44" s="30"/>
      <c r="CU44" s="30"/>
      <c r="CV44" s="30"/>
      <c r="CW44" s="30"/>
      <c r="CX44" s="30"/>
      <c r="CY44" s="30"/>
      <c r="CZ44" s="30"/>
      <c r="DA44" s="30"/>
    </row>
    <row r="45" spans="1:105" ht="19.2" thickTop="1" thickBot="1" x14ac:dyDescent="0.4">
      <c r="A45" s="30"/>
      <c r="B45" s="30"/>
      <c r="C45" s="185" t="s">
        <v>645</v>
      </c>
      <c r="D45" s="46" t="s">
        <v>646</v>
      </c>
      <c r="E45" s="35" t="str">
        <f>_xlfn.XLOOKUP(Tabella4[[#This Row],[NOME]],'ROSE SQUADRE'!$N$3:$N$253,'ROSE SQUADRE'!$O$3:$O$253,"")</f>
        <v/>
      </c>
      <c r="F45" s="36" t="s">
        <v>5</v>
      </c>
      <c r="G45" s="43">
        <v>1</v>
      </c>
      <c r="H45" s="43">
        <v>1</v>
      </c>
      <c r="I45" s="44">
        <f t="shared" si="0"/>
        <v>0</v>
      </c>
      <c r="J45" s="37">
        <f t="shared" si="1"/>
        <v>0</v>
      </c>
      <c r="K45" s="38">
        <f t="shared" si="2"/>
        <v>0</v>
      </c>
      <c r="L45" s="38">
        <f t="shared" si="3"/>
        <v>0</v>
      </c>
      <c r="M45" s="39">
        <f t="shared" si="4"/>
        <v>0</v>
      </c>
      <c r="N45" s="45">
        <f t="shared" ca="1" si="6"/>
        <v>0</v>
      </c>
      <c r="O45" s="40">
        <f>SUMIF(Tabella1[Nome],Tabella4[[#This Row],[NOME]],Tabella1[Gf])</f>
        <v>0</v>
      </c>
      <c r="P45" s="40">
        <f>-(SUMIF(Tabella1[Nome],Tabella4[[#This Row],[NOME]],Tabella1[Gs]))</f>
        <v>0</v>
      </c>
      <c r="Q45" s="40">
        <f>SUMIF(Tabella1[Nome],Tabella4[[#This Row],[NOME]],Tabella1[Rp])</f>
        <v>0</v>
      </c>
      <c r="R45" s="40">
        <f>SUMIF(Tabella1[Nome],Tabella4[[#This Row],[NOME]],Tabella1[Rs])</f>
        <v>0</v>
      </c>
      <c r="S45" s="40">
        <f>SUMIF(Tabella1[Nome],Tabella4[[#This Row],[NOME]],Tabella1[Rf])</f>
        <v>0</v>
      </c>
      <c r="T45" s="40">
        <f>SUMIF(Tabella1[Nome],Tabella4[[#This Row],[NOME]],Tabella1[Au])</f>
        <v>0</v>
      </c>
      <c r="U45" s="41">
        <f>SUMIF(Tabella1[Nome],Tabella4[[#This Row],[NOME]],Tabella1[Amm])</f>
        <v>0</v>
      </c>
      <c r="V45" s="42">
        <f>SUMIF(Tabella1[Nome],Tabella4[[#This Row],[NOME]],Tabella1[Esp])</f>
        <v>0</v>
      </c>
      <c r="W45" s="40">
        <f>SUMIF(Tabella1[Nome],Tabella4[[#This Row],[NOME]],Tabella1[Ass])</f>
        <v>0</v>
      </c>
      <c r="X45" s="40">
        <f>SUMIF(Tabella1[Nome],Tabella4[[#This Row],[NOME]],Tabella1[Gdv])</f>
        <v>0</v>
      </c>
      <c r="Y45" s="40">
        <f>SUMIF(Tabella1[Nome],Tabella4[[#This Row],[NOME]],Tabella1[cl sh])</f>
        <v>0</v>
      </c>
      <c r="Z45" s="270" t="str">
        <f>_xlfn.IFNA(_xlfn.XLOOKUP(CONCATENATE(Z$4,$C45),Tabella1[CONC X VOTI IN TAB GIOC],Tabella1[Voto],""),"")</f>
        <v/>
      </c>
      <c r="AA45" s="270" t="str">
        <f>_xlfn.IFNA(_xlfn.XLOOKUP(CONCATENATE(AA$4,$C45),Tabella1[CONC X VOTI IN TAB GIOC],Tabella1[Voto],""),"")</f>
        <v/>
      </c>
      <c r="AB45" s="270" t="str">
        <f>_xlfn.IFNA(_xlfn.XLOOKUP(CONCATENATE(AB$4,$C45),Tabella1[CONC X VOTI IN TAB GIOC],Tabella1[Voto]),"")</f>
        <v/>
      </c>
      <c r="AC45" s="270" t="str" cm="1">
        <f t="array" ref="AC45">_xlfn.IFNA(_xlfn.XLOOKUP(CONCATENATE(AC$4,$C45),INDEX(Tabella1[],0,MATCH("CONC X VOTI IN TAB GIOC",Tabella1[#Headers],0)),INDEX(Tabella1[],0,MATCH("Voto",Tabella1[#Headers],0))),"")</f>
        <v/>
      </c>
      <c r="AD45" s="270" t="str">
        <f>_xlfn.IFNA(_xlfn.XLOOKUP(CONCATENATE(AD$4,$C45),Tabella1[CONC X VOTI IN TAB GIOC],Tabella1[Voto]),"")</f>
        <v/>
      </c>
      <c r="AE45" s="270" t="str">
        <f>_xlfn.IFNA(VLOOKUP(CONCATENATE(AE$4,$C45),'INSER DATA'!$A:$F,6,0),"")</f>
        <v/>
      </c>
      <c r="AF45" s="270" t="str">
        <f>_xlfn.IFNA(VLOOKUP(CONCATENATE(AF$4,$C45),'INSER DATA'!$A:$F,6,0),"")</f>
        <v/>
      </c>
      <c r="AG45" s="270" t="str">
        <f>_xlfn.IFNA(VLOOKUP(CONCATENATE(AG$4,$C45),'INSER DATA'!$A:$F,6,0),"")</f>
        <v/>
      </c>
      <c r="AH45" s="270" t="str">
        <f>_xlfn.IFNA(VLOOKUP(CONCATENATE(AH$4,$C45),'INSER DATA'!$A:$F,7,0),"")</f>
        <v/>
      </c>
      <c r="AI45" s="270" t="str">
        <f>_xlfn.IFNA(VLOOKUP(CONCATENATE(AI$4,$C45),'INSER DATA'!$A:$F,7,0),"")</f>
        <v/>
      </c>
      <c r="AJ45" s="270" t="str">
        <f>_xlfn.IFNA(VLOOKUP(CONCATENATE(AJ$4,$C45),'INSER DATA'!$A:$F,7,0),"")</f>
        <v/>
      </c>
      <c r="AK45" s="270" t="str">
        <f>_xlfn.IFNA(VLOOKUP(CONCATENATE(AK$4,$C45),'INSER DATA'!$A:$F,7,0),"")</f>
        <v/>
      </c>
      <c r="AL45" s="270" t="str">
        <f>_xlfn.IFNA(VLOOKUP(CONCATENATE(AL$4,$C45),'INSER DATA'!$A:$F,7,0),"")</f>
        <v/>
      </c>
      <c r="AM45" s="270" t="str">
        <f>_xlfn.IFNA(VLOOKUP(CONCATENATE(AM$4,$C45),'INSER DATA'!$A:$F,7,0),"")</f>
        <v/>
      </c>
      <c r="AN45" s="270" t="str">
        <f>_xlfn.IFNA(VLOOKUP(CONCATENATE(AN$4,$C45),'INSER DATA'!$A:$F,7,0),"")</f>
        <v/>
      </c>
      <c r="AO45" s="270" t="str">
        <f>_xlfn.IFNA(VLOOKUP(CONCATENATE(AO$4,$C45),'INSER DATA'!$A:$F,7,0),"")</f>
        <v/>
      </c>
      <c r="AP45" s="270" t="str">
        <f>_xlfn.IFNA(VLOOKUP(CONCATENATE(AP$4,$C45),'INSER DATA'!$A:$F,7,0),"")</f>
        <v/>
      </c>
      <c r="AQ45" s="270" t="str">
        <f>_xlfn.IFNA(VLOOKUP(CONCATENATE(AQ$4,$C45),'INSER DATA'!$A:$F,7,0),"")</f>
        <v/>
      </c>
      <c r="AR45" s="270" t="str">
        <f>_xlfn.IFNA(VLOOKUP(CONCATENATE(AR$4,$C45),'INSER DATA'!$A:$F,7,0),"")</f>
        <v/>
      </c>
      <c r="AS45" s="270" t="str">
        <f>_xlfn.IFNA(VLOOKUP(CONCATENATE(AS$4,$C45),'INSER DATA'!$A:$F,7,0),"")</f>
        <v/>
      </c>
      <c r="AT45" s="270" t="str">
        <f>_xlfn.IFNA(VLOOKUP(CONCATENATE(AT$4,$C45),'INSER DATA'!$A:$F,7,0),"")</f>
        <v/>
      </c>
      <c r="AU45" s="270" t="str">
        <f>_xlfn.IFNA(VLOOKUP(CONCATENATE(AU$4,$C45),'INSER DATA'!$A:$F,7,0),"")</f>
        <v/>
      </c>
      <c r="AV45" s="270" t="str">
        <f>_xlfn.IFNA(VLOOKUP(CONCATENATE(AV$4,$C45),'INSER DATA'!$A:$F,7,0),"")</f>
        <v/>
      </c>
      <c r="AW45" s="270" t="str">
        <f>_xlfn.IFNA(VLOOKUP(CONCATENATE(AW$4,$C45),'INSER DATA'!$A:$F,7,0),"")</f>
        <v/>
      </c>
      <c r="AX45" s="270" t="str">
        <f>_xlfn.IFNA(VLOOKUP(CONCATENATE(AX$4,$C45),'INSER DATA'!$A:$F,7,0),"")</f>
        <v/>
      </c>
      <c r="AY45" s="270" t="str">
        <f>_xlfn.IFNA(VLOOKUP(CONCATENATE(AY$4,$C45),'INSER DATA'!$A:$F,7,0),"")</f>
        <v/>
      </c>
      <c r="AZ45" s="270" t="str">
        <f>_xlfn.IFNA(VLOOKUP(CONCATENATE(AZ$4,$C45),'INSER DATA'!$A:$F,7,0),"")</f>
        <v/>
      </c>
      <c r="BA45" s="270" t="str">
        <f>_xlfn.IFNA(VLOOKUP(CONCATENATE(BA$4,$C45),'INSER DATA'!$A:$F,7,0),"")</f>
        <v/>
      </c>
      <c r="BB45" s="270" t="str">
        <f>_xlfn.IFNA(VLOOKUP(CONCATENATE(BB$4,$C45),'INSER DATA'!$A:$F,7,0),"")</f>
        <v/>
      </c>
      <c r="BC45" s="270" t="str">
        <f>_xlfn.IFNA(VLOOKUP(CONCATENATE(BC$4,$C45),'INSER DATA'!$A:$F,7,0),"")</f>
        <v/>
      </c>
      <c r="BD45" s="270" t="str">
        <f>_xlfn.IFNA(VLOOKUP(CONCATENATE(BD$4,$C45),'INSER DATA'!$A:$F,7,0),"")</f>
        <v/>
      </c>
      <c r="BE45" s="270" t="str">
        <f>_xlfn.IFNA(VLOOKUP(CONCATENATE(BE$4,$C45),'INSER DATA'!$A:$F,7,0),"")</f>
        <v/>
      </c>
      <c r="BF45" s="270" t="str">
        <f>_xlfn.IFNA(VLOOKUP(CONCATENATE(BF$4,$C45),'INSER DATA'!$A:$F,7,0),"")</f>
        <v/>
      </c>
      <c r="BG45" s="270" t="str">
        <f>_xlfn.IFNA(VLOOKUP(CONCATENATE(BG$4,$C45),'INSER DATA'!$A:$F,7,0),"")</f>
        <v/>
      </c>
      <c r="BH45" s="270" t="str">
        <f>_xlfn.IFNA(VLOOKUP(CONCATENATE(BH$4,$C45),'INSER DATA'!$A:$F,7,0),"")</f>
        <v/>
      </c>
      <c r="BI45" s="270" t="str">
        <f>_xlfn.IFNA(VLOOKUP(CONCATENATE(BI$4,$C45),'INSER DATA'!$A:$F,7,0),"")</f>
        <v/>
      </c>
      <c r="BJ45" s="270" t="str">
        <f>_xlfn.IFNA(VLOOKUP(CONCATENATE(BJ$4,$C45),'INSER DATA'!$A:$F,7,0),"")</f>
        <v/>
      </c>
      <c r="BK45" s="270" t="str">
        <f>_xlfn.IFNA(VLOOKUP(CONCATENATE(BK$4,$C45),'INSER DATA'!$A:$F,7,0),"")</f>
        <v/>
      </c>
      <c r="BL45" s="272"/>
      <c r="BM45" s="30"/>
      <c r="BN45" s="30"/>
      <c r="BO45" s="30"/>
      <c r="BP45" s="30"/>
      <c r="BQ45" s="30"/>
      <c r="BR45" s="30"/>
      <c r="BS45" s="30"/>
      <c r="BT45" s="30"/>
      <c r="BU45" s="30"/>
      <c r="BV45" s="30"/>
      <c r="BW45" s="30"/>
      <c r="BX45" s="30"/>
      <c r="BY45" s="30"/>
      <c r="BZ45" s="30"/>
      <c r="CA45" s="30"/>
      <c r="CB45" s="30"/>
      <c r="CC45" s="30"/>
      <c r="CD45" s="30"/>
      <c r="CE45" s="30"/>
      <c r="CF45" s="30"/>
      <c r="CG45" s="30"/>
      <c r="CH45" s="30"/>
      <c r="CI45" s="30"/>
      <c r="CJ45" s="30"/>
      <c r="CK45" s="30"/>
      <c r="CL45" s="30"/>
      <c r="CM45" s="30"/>
      <c r="CN45" s="30"/>
      <c r="CO45" s="30"/>
      <c r="CP45" s="30"/>
      <c r="CQ45" s="30"/>
      <c r="CR45" s="30"/>
      <c r="CS45" s="30"/>
      <c r="CT45" s="30"/>
      <c r="CU45" s="30"/>
      <c r="CV45" s="30"/>
      <c r="CW45" s="30"/>
      <c r="CX45" s="30"/>
      <c r="CY45" s="30"/>
      <c r="CZ45" s="30"/>
      <c r="DA45" s="30"/>
    </row>
    <row r="46" spans="1:105" ht="19.2" thickTop="1" thickBot="1" x14ac:dyDescent="0.4">
      <c r="A46" s="30"/>
      <c r="B46" s="30"/>
      <c r="C46" s="185" t="s">
        <v>647</v>
      </c>
      <c r="D46" s="46" t="s">
        <v>646</v>
      </c>
      <c r="E46" s="35" t="str">
        <f>_xlfn.XLOOKUP(Tabella4[[#This Row],[NOME]],'ROSE SQUADRE'!$N$3:$N$253,'ROSE SQUADRE'!$O$3:$O$253,"")</f>
        <v/>
      </c>
      <c r="F46" s="36" t="s">
        <v>5</v>
      </c>
      <c r="G46" s="43">
        <v>1</v>
      </c>
      <c r="H46" s="43">
        <v>1</v>
      </c>
      <c r="I46" s="44">
        <f t="shared" si="0"/>
        <v>0</v>
      </c>
      <c r="J46" s="37">
        <f t="shared" si="1"/>
        <v>1</v>
      </c>
      <c r="K46" s="38">
        <f t="shared" si="2"/>
        <v>6</v>
      </c>
      <c r="L46" s="38">
        <f t="shared" si="3"/>
        <v>5</v>
      </c>
      <c r="M46" s="39">
        <f t="shared" si="4"/>
        <v>5</v>
      </c>
      <c r="N46" s="45">
        <f t="shared" ca="1" si="6"/>
        <v>0</v>
      </c>
      <c r="O46" s="40">
        <f>SUMIF(Tabella1[Nome],Tabella4[[#This Row],[NOME]],Tabella1[Gf])</f>
        <v>0</v>
      </c>
      <c r="P46" s="40">
        <f>-(SUMIF(Tabella1[Nome],Tabella4[[#This Row],[NOME]],Tabella1[Gs]))</f>
        <v>-1</v>
      </c>
      <c r="Q46" s="40">
        <f>SUMIF(Tabella1[Nome],Tabella4[[#This Row],[NOME]],Tabella1[Rp])</f>
        <v>0</v>
      </c>
      <c r="R46" s="40">
        <f>SUMIF(Tabella1[Nome],Tabella4[[#This Row],[NOME]],Tabella1[Rs])</f>
        <v>0</v>
      </c>
      <c r="S46" s="40">
        <f>SUMIF(Tabella1[Nome],Tabella4[[#This Row],[NOME]],Tabella1[Rf])</f>
        <v>0</v>
      </c>
      <c r="T46" s="40">
        <f>SUMIF(Tabella1[Nome],Tabella4[[#This Row],[NOME]],Tabella1[Au])</f>
        <v>0</v>
      </c>
      <c r="U46" s="41">
        <f>SUMIF(Tabella1[Nome],Tabella4[[#This Row],[NOME]],Tabella1[Amm])</f>
        <v>0</v>
      </c>
      <c r="V46" s="42">
        <f>SUMIF(Tabella1[Nome],Tabella4[[#This Row],[NOME]],Tabella1[Esp])</f>
        <v>0</v>
      </c>
      <c r="W46" s="40">
        <f>SUMIF(Tabella1[Nome],Tabella4[[#This Row],[NOME]],Tabella1[Ass])</f>
        <v>0</v>
      </c>
      <c r="X46" s="40">
        <f>SUMIF(Tabella1[Nome],Tabella4[[#This Row],[NOME]],Tabella1[Gdv])</f>
        <v>0</v>
      </c>
      <c r="Y46" s="40">
        <f>SUMIF(Tabella1[Nome],Tabella4[[#This Row],[NOME]],Tabella1[cl sh])</f>
        <v>0</v>
      </c>
      <c r="Z46" s="270" t="str">
        <f>_xlfn.IFNA(_xlfn.XLOOKUP(CONCATENATE(Z$4,$C46),Tabella1[CONC X VOTI IN TAB GIOC],Tabella1[Voto],""),"")</f>
        <v/>
      </c>
      <c r="AA46" s="270" t="str">
        <f>_xlfn.IFNA(_xlfn.XLOOKUP(CONCATENATE(AA$4,$C46),Tabella1[CONC X VOTI IN TAB GIOC],Tabella1[Voto],""),"")</f>
        <v/>
      </c>
      <c r="AB46" s="270" t="str">
        <f>_xlfn.IFNA(_xlfn.XLOOKUP(CONCATENATE(AB$4,$C46),Tabella1[CONC X VOTI IN TAB GIOC],Tabella1[Voto]),"")</f>
        <v/>
      </c>
      <c r="AC46" s="270" cm="1">
        <f t="array" ref="AC46">_xlfn.IFNA(_xlfn.XLOOKUP(CONCATENATE(AC$4,$C46),INDEX(Tabella1[],0,MATCH("CONC X VOTI IN TAB GIOC",Tabella1[#Headers],0)),INDEX(Tabella1[],0,MATCH("Voto",Tabella1[#Headers],0))),"")</f>
        <v>6</v>
      </c>
      <c r="AD46" s="270" t="str">
        <f>_xlfn.IFNA(_xlfn.XLOOKUP(CONCATENATE(AD$4,$C46),Tabella1[CONC X VOTI IN TAB GIOC],Tabella1[Voto]),"")</f>
        <v/>
      </c>
      <c r="AE46" s="270" t="str">
        <f>_xlfn.IFNA(VLOOKUP(CONCATENATE(AE$4,$C46),'INSER DATA'!$A:$F,6,0),"")</f>
        <v/>
      </c>
      <c r="AF46" s="270" t="str">
        <f>_xlfn.IFNA(VLOOKUP(CONCATENATE(AF$4,$C46),'INSER DATA'!$A:$F,6,0),"")</f>
        <v/>
      </c>
      <c r="AG46" s="270" t="str">
        <f>_xlfn.IFNA(VLOOKUP(CONCATENATE(AG$4,$C46),'INSER DATA'!$A:$F,6,0),"")</f>
        <v/>
      </c>
      <c r="AH46" s="270" t="str">
        <f>_xlfn.IFNA(VLOOKUP(CONCATENATE(AH$4,$C46),'INSER DATA'!$A:$F,7,0),"")</f>
        <v/>
      </c>
      <c r="AI46" s="270" t="str">
        <f>_xlfn.IFNA(VLOOKUP(CONCATENATE(AI$4,$C46),'INSER DATA'!$A:$F,7,0),"")</f>
        <v/>
      </c>
      <c r="AJ46" s="270" t="str">
        <f>_xlfn.IFNA(VLOOKUP(CONCATENATE(AJ$4,$C46),'INSER DATA'!$A:$F,7,0),"")</f>
        <v/>
      </c>
      <c r="AK46" s="270" t="str">
        <f>_xlfn.IFNA(VLOOKUP(CONCATENATE(AK$4,$C46),'INSER DATA'!$A:$F,7,0),"")</f>
        <v/>
      </c>
      <c r="AL46" s="270" t="str">
        <f>_xlfn.IFNA(VLOOKUP(CONCATENATE(AL$4,$C46),'INSER DATA'!$A:$F,7,0),"")</f>
        <v/>
      </c>
      <c r="AM46" s="270" t="str">
        <f>_xlfn.IFNA(VLOOKUP(CONCATENATE(AM$4,$C46),'INSER DATA'!$A:$F,7,0),"")</f>
        <v/>
      </c>
      <c r="AN46" s="270" t="str">
        <f>_xlfn.IFNA(VLOOKUP(CONCATENATE(AN$4,$C46),'INSER DATA'!$A:$F,7,0),"")</f>
        <v/>
      </c>
      <c r="AO46" s="270" t="str">
        <f>_xlfn.IFNA(VLOOKUP(CONCATENATE(AO$4,$C46),'INSER DATA'!$A:$F,7,0),"")</f>
        <v/>
      </c>
      <c r="AP46" s="270" t="str">
        <f>_xlfn.IFNA(VLOOKUP(CONCATENATE(AP$4,$C46),'INSER DATA'!$A:$F,7,0),"")</f>
        <v/>
      </c>
      <c r="AQ46" s="270" t="str">
        <f>_xlfn.IFNA(VLOOKUP(CONCATENATE(AQ$4,$C46),'INSER DATA'!$A:$F,7,0),"")</f>
        <v/>
      </c>
      <c r="AR46" s="270" t="str">
        <f>_xlfn.IFNA(VLOOKUP(CONCATENATE(AR$4,$C46),'INSER DATA'!$A:$F,7,0),"")</f>
        <v/>
      </c>
      <c r="AS46" s="270" t="str">
        <f>_xlfn.IFNA(VLOOKUP(CONCATENATE(AS$4,$C46),'INSER DATA'!$A:$F,7,0),"")</f>
        <v/>
      </c>
      <c r="AT46" s="270" t="str">
        <f>_xlfn.IFNA(VLOOKUP(CONCATENATE(AT$4,$C46),'INSER DATA'!$A:$F,7,0),"")</f>
        <v/>
      </c>
      <c r="AU46" s="270" t="str">
        <f>_xlfn.IFNA(VLOOKUP(CONCATENATE(AU$4,$C46),'INSER DATA'!$A:$F,7,0),"")</f>
        <v/>
      </c>
      <c r="AV46" s="270" t="str">
        <f>_xlfn.IFNA(VLOOKUP(CONCATENATE(AV$4,$C46),'INSER DATA'!$A:$F,7,0),"")</f>
        <v/>
      </c>
      <c r="AW46" s="270" t="str">
        <f>_xlfn.IFNA(VLOOKUP(CONCATENATE(AW$4,$C46),'INSER DATA'!$A:$F,7,0),"")</f>
        <v/>
      </c>
      <c r="AX46" s="270" t="str">
        <f>_xlfn.IFNA(VLOOKUP(CONCATENATE(AX$4,$C46),'INSER DATA'!$A:$F,7,0),"")</f>
        <v/>
      </c>
      <c r="AY46" s="270" t="str">
        <f>_xlfn.IFNA(VLOOKUP(CONCATENATE(AY$4,$C46),'INSER DATA'!$A:$F,7,0),"")</f>
        <v/>
      </c>
      <c r="AZ46" s="270" t="str">
        <f>_xlfn.IFNA(VLOOKUP(CONCATENATE(AZ$4,$C46),'INSER DATA'!$A:$F,7,0),"")</f>
        <v/>
      </c>
      <c r="BA46" s="270" t="str">
        <f>_xlfn.IFNA(VLOOKUP(CONCATENATE(BA$4,$C46),'INSER DATA'!$A:$F,7,0),"")</f>
        <v/>
      </c>
      <c r="BB46" s="270" t="str">
        <f>_xlfn.IFNA(VLOOKUP(CONCATENATE(BB$4,$C46),'INSER DATA'!$A:$F,7,0),"")</f>
        <v/>
      </c>
      <c r="BC46" s="270" t="str">
        <f>_xlfn.IFNA(VLOOKUP(CONCATENATE(BC$4,$C46),'INSER DATA'!$A:$F,7,0),"")</f>
        <v/>
      </c>
      <c r="BD46" s="270" t="str">
        <f>_xlfn.IFNA(VLOOKUP(CONCATENATE(BD$4,$C46),'INSER DATA'!$A:$F,7,0),"")</f>
        <v/>
      </c>
      <c r="BE46" s="270" t="str">
        <f>_xlfn.IFNA(VLOOKUP(CONCATENATE(BE$4,$C46),'INSER DATA'!$A:$F,7,0),"")</f>
        <v/>
      </c>
      <c r="BF46" s="270" t="str">
        <f>_xlfn.IFNA(VLOOKUP(CONCATENATE(BF$4,$C46),'INSER DATA'!$A:$F,7,0),"")</f>
        <v/>
      </c>
      <c r="BG46" s="270" t="str">
        <f>_xlfn.IFNA(VLOOKUP(CONCATENATE(BG$4,$C46),'INSER DATA'!$A:$F,7,0),"")</f>
        <v/>
      </c>
      <c r="BH46" s="270" t="str">
        <f>_xlfn.IFNA(VLOOKUP(CONCATENATE(BH$4,$C46),'INSER DATA'!$A:$F,7,0),"")</f>
        <v/>
      </c>
      <c r="BI46" s="270" t="str">
        <f>_xlfn.IFNA(VLOOKUP(CONCATENATE(BI$4,$C46),'INSER DATA'!$A:$F,7,0),"")</f>
        <v/>
      </c>
      <c r="BJ46" s="270" t="str">
        <f>_xlfn.IFNA(VLOOKUP(CONCATENATE(BJ$4,$C46),'INSER DATA'!$A:$F,7,0),"")</f>
        <v/>
      </c>
      <c r="BK46" s="270" t="str">
        <f>_xlfn.IFNA(VLOOKUP(CONCATENATE(BK$4,$C46),'INSER DATA'!$A:$F,7,0),"")</f>
        <v/>
      </c>
      <c r="BL46" s="272"/>
      <c r="BM46" s="30"/>
      <c r="BN46" s="30"/>
      <c r="BO46" s="30"/>
      <c r="BP46" s="30"/>
      <c r="BQ46" s="30"/>
      <c r="BR46" s="30"/>
      <c r="BS46" s="30"/>
      <c r="BT46" s="30"/>
      <c r="BU46" s="30"/>
      <c r="BV46" s="30"/>
      <c r="BW46" s="30"/>
      <c r="BX46" s="30"/>
      <c r="BY46" s="30"/>
      <c r="BZ46" s="30"/>
      <c r="CA46" s="30"/>
      <c r="CB46" s="30"/>
      <c r="CC46" s="30"/>
      <c r="CD46" s="30"/>
      <c r="CE46" s="30"/>
      <c r="CF46" s="30"/>
      <c r="CG46" s="30"/>
      <c r="CH46" s="30"/>
      <c r="CI46" s="30"/>
      <c r="CJ46" s="30"/>
      <c r="CK46" s="30"/>
      <c r="CL46" s="30"/>
      <c r="CM46" s="30"/>
      <c r="CN46" s="30"/>
      <c r="CO46" s="30"/>
      <c r="CP46" s="30"/>
      <c r="CQ46" s="30"/>
      <c r="CR46" s="30"/>
      <c r="CS46" s="30"/>
      <c r="CT46" s="30"/>
      <c r="CU46" s="30"/>
      <c r="CV46" s="30"/>
      <c r="CW46" s="30"/>
      <c r="CX46" s="30"/>
      <c r="CY46" s="30"/>
      <c r="CZ46" s="30"/>
      <c r="DA46" s="30"/>
    </row>
    <row r="47" spans="1:105" ht="19.2" thickTop="1" thickBot="1" x14ac:dyDescent="0.4">
      <c r="A47" s="30"/>
      <c r="B47" s="30"/>
      <c r="C47" s="188" t="s">
        <v>348</v>
      </c>
      <c r="D47" s="46" t="s">
        <v>646</v>
      </c>
      <c r="E47" s="35" t="str">
        <f>_xlfn.XLOOKUP(Tabella4[[#This Row],[NOME]],'ROSE SQUADRE'!$N$3:$N$253,'ROSE SQUADRE'!$O$3:$O$253,"")</f>
        <v/>
      </c>
      <c r="F47" s="36" t="s">
        <v>161</v>
      </c>
      <c r="G47" s="43">
        <v>3</v>
      </c>
      <c r="H47" s="43">
        <v>3</v>
      </c>
      <c r="I47" s="44">
        <f t="shared" si="0"/>
        <v>0</v>
      </c>
      <c r="J47" s="37">
        <f t="shared" si="1"/>
        <v>0</v>
      </c>
      <c r="K47" s="178">
        <f t="shared" si="2"/>
        <v>0</v>
      </c>
      <c r="L47" s="178">
        <f t="shared" si="3"/>
        <v>0</v>
      </c>
      <c r="M47" s="179">
        <f t="shared" si="4"/>
        <v>0</v>
      </c>
      <c r="N47" s="45">
        <f t="shared" ca="1" si="6"/>
        <v>0</v>
      </c>
      <c r="O47" s="40">
        <f>SUMIF(Tabella1[Nome],Tabella4[[#This Row],[NOME]],Tabella1[Gf])</f>
        <v>0</v>
      </c>
      <c r="P47" s="40">
        <f>-(SUMIF(Tabella1[Nome],Tabella4[[#This Row],[NOME]],Tabella1[Gs]))</f>
        <v>0</v>
      </c>
      <c r="Q47" s="40">
        <f>SUMIF(Tabella1[Nome],Tabella4[[#This Row],[NOME]],Tabella1[Rp])</f>
        <v>0</v>
      </c>
      <c r="R47" s="40">
        <f>SUMIF(Tabella1[Nome],Tabella4[[#This Row],[NOME]],Tabella1[Rs])</f>
        <v>0</v>
      </c>
      <c r="S47" s="40">
        <f>SUMIF(Tabella1[Nome],Tabella4[[#This Row],[NOME]],Tabella1[Rf])</f>
        <v>0</v>
      </c>
      <c r="T47" s="40">
        <f>SUMIF(Tabella1[Nome],Tabella4[[#This Row],[NOME]],Tabella1[Au])</f>
        <v>0</v>
      </c>
      <c r="U47" s="41">
        <f>SUMIF(Tabella1[Nome],Tabella4[[#This Row],[NOME]],Tabella1[Amm])</f>
        <v>0</v>
      </c>
      <c r="V47" s="42">
        <f>SUMIF(Tabella1[Nome],Tabella4[[#This Row],[NOME]],Tabella1[Esp])</f>
        <v>0</v>
      </c>
      <c r="W47" s="40">
        <f>SUMIF(Tabella1[Nome],Tabella4[[#This Row],[NOME]],Tabella1[Ass])</f>
        <v>0</v>
      </c>
      <c r="X47" s="40">
        <f>SUMIF(Tabella1[Nome],Tabella4[[#This Row],[NOME]],Tabella1[Gdv])</f>
        <v>0</v>
      </c>
      <c r="Y47" s="40">
        <f>SUMIF(Tabella1[Nome],Tabella4[[#This Row],[NOME]],Tabella1[cl sh])</f>
        <v>0</v>
      </c>
      <c r="Z47" s="270" t="str">
        <f>_xlfn.IFNA(_xlfn.XLOOKUP(CONCATENATE(Z$4,$C47),Tabella1[CONC X VOTI IN TAB GIOC],Tabella1[Voto],""),"")</f>
        <v/>
      </c>
      <c r="AA47" s="270" t="str">
        <f>_xlfn.IFNA(_xlfn.XLOOKUP(CONCATENATE(AA$4,$C47),Tabella1[CONC X VOTI IN TAB GIOC],Tabella1[Voto],""),"")</f>
        <v/>
      </c>
      <c r="AB47" s="270" t="str">
        <f>_xlfn.IFNA(_xlfn.XLOOKUP(CONCATENATE(AB$4,$C47),Tabella1[CONC X VOTI IN TAB GIOC],Tabella1[Voto]),"")</f>
        <v/>
      </c>
      <c r="AC47" s="270" t="str" cm="1">
        <f t="array" ref="AC47">_xlfn.IFNA(_xlfn.XLOOKUP(CONCATENATE(AC$4,$C47),INDEX(Tabella1[],0,MATCH("CONC X VOTI IN TAB GIOC",Tabella1[#Headers],0)),INDEX(Tabella1[],0,MATCH("Voto",Tabella1[#Headers],0))),"")</f>
        <v/>
      </c>
      <c r="AD47" s="270" t="str">
        <f>_xlfn.IFNA(_xlfn.XLOOKUP(CONCATENATE(AD$4,$C47),Tabella1[CONC X VOTI IN TAB GIOC],Tabella1[Voto]),"")</f>
        <v/>
      </c>
      <c r="AE47" s="270" t="str">
        <f>_xlfn.IFNA(VLOOKUP(CONCATENATE(AE$4,$C47),'INSER DATA'!$A:$F,6,0),"")</f>
        <v/>
      </c>
      <c r="AF47" s="270" t="str">
        <f>_xlfn.IFNA(VLOOKUP(CONCATENATE(AF$4,$C47),'INSER DATA'!$A:$F,6,0),"")</f>
        <v/>
      </c>
      <c r="AG47" s="270" t="str">
        <f>_xlfn.IFNA(VLOOKUP(CONCATENATE(AG$4,$C47),'INSER DATA'!$A:$F,6,0),"")</f>
        <v/>
      </c>
      <c r="AH47" s="270" t="str">
        <f>_xlfn.IFNA(VLOOKUP(CONCATENATE(AH$4,$C47),'INSER DATA'!$A:$F,7,0),"")</f>
        <v/>
      </c>
      <c r="AI47" s="270" t="str">
        <f>_xlfn.IFNA(VLOOKUP(CONCATENATE(AI$4,$C47),'INSER DATA'!$A:$F,7,0),"")</f>
        <v/>
      </c>
      <c r="AJ47" s="270" t="str">
        <f>_xlfn.IFNA(VLOOKUP(CONCATENATE(AJ$4,$C47),'INSER DATA'!$A:$F,7,0),"")</f>
        <v/>
      </c>
      <c r="AK47" s="270" t="str">
        <f>_xlfn.IFNA(VLOOKUP(CONCATENATE(AK$4,$C47),'INSER DATA'!$A:$F,7,0),"")</f>
        <v/>
      </c>
      <c r="AL47" s="270" t="str">
        <f>_xlfn.IFNA(VLOOKUP(CONCATENATE(AL$4,$C47),'INSER DATA'!$A:$F,7,0),"")</f>
        <v/>
      </c>
      <c r="AM47" s="270" t="str">
        <f>_xlfn.IFNA(VLOOKUP(CONCATENATE(AM$4,$C47),'INSER DATA'!$A:$F,7,0),"")</f>
        <v/>
      </c>
      <c r="AN47" s="270" t="str">
        <f>_xlfn.IFNA(VLOOKUP(CONCATENATE(AN$4,$C47),'INSER DATA'!$A:$F,7,0),"")</f>
        <v/>
      </c>
      <c r="AO47" s="270" t="str">
        <f>_xlfn.IFNA(VLOOKUP(CONCATENATE(AO$4,$C47),'INSER DATA'!$A:$F,7,0),"")</f>
        <v/>
      </c>
      <c r="AP47" s="270" t="str">
        <f>_xlfn.IFNA(VLOOKUP(CONCATENATE(AP$4,$C47),'INSER DATA'!$A:$F,7,0),"")</f>
        <v/>
      </c>
      <c r="AQ47" s="270" t="str">
        <f>_xlfn.IFNA(VLOOKUP(CONCATENATE(AQ$4,$C47),'INSER DATA'!$A:$F,7,0),"")</f>
        <v/>
      </c>
      <c r="AR47" s="270" t="str">
        <f>_xlfn.IFNA(VLOOKUP(CONCATENATE(AR$4,$C47),'INSER DATA'!$A:$F,7,0),"")</f>
        <v/>
      </c>
      <c r="AS47" s="270" t="str">
        <f>_xlfn.IFNA(VLOOKUP(CONCATENATE(AS$4,$C47),'INSER DATA'!$A:$F,7,0),"")</f>
        <v/>
      </c>
      <c r="AT47" s="270" t="str">
        <f>_xlfn.IFNA(VLOOKUP(CONCATENATE(AT$4,$C47),'INSER DATA'!$A:$F,7,0),"")</f>
        <v/>
      </c>
      <c r="AU47" s="270" t="str">
        <f>_xlfn.IFNA(VLOOKUP(CONCATENATE(AU$4,$C47),'INSER DATA'!$A:$F,7,0),"")</f>
        <v/>
      </c>
      <c r="AV47" s="270" t="str">
        <f>_xlfn.IFNA(VLOOKUP(CONCATENATE(AV$4,$C47),'INSER DATA'!$A:$F,7,0),"")</f>
        <v/>
      </c>
      <c r="AW47" s="270" t="str">
        <f>_xlfn.IFNA(VLOOKUP(CONCATENATE(AW$4,$C47),'INSER DATA'!$A:$F,7,0),"")</f>
        <v/>
      </c>
      <c r="AX47" s="270" t="str">
        <f>_xlfn.IFNA(VLOOKUP(CONCATENATE(AX$4,$C47),'INSER DATA'!$A:$F,7,0),"")</f>
        <v/>
      </c>
      <c r="AY47" s="270" t="str">
        <f>_xlfn.IFNA(VLOOKUP(CONCATENATE(AY$4,$C47),'INSER DATA'!$A:$F,7,0),"")</f>
        <v/>
      </c>
      <c r="AZ47" s="270" t="str">
        <f>_xlfn.IFNA(VLOOKUP(CONCATENATE(AZ$4,$C47),'INSER DATA'!$A:$F,7,0),"")</f>
        <v/>
      </c>
      <c r="BA47" s="270" t="str">
        <f>_xlfn.IFNA(VLOOKUP(CONCATENATE(BA$4,$C47),'INSER DATA'!$A:$F,7,0),"")</f>
        <v/>
      </c>
      <c r="BB47" s="270" t="str">
        <f>_xlfn.IFNA(VLOOKUP(CONCATENATE(BB$4,$C47),'INSER DATA'!$A:$F,7,0),"")</f>
        <v/>
      </c>
      <c r="BC47" s="270" t="str">
        <f>_xlfn.IFNA(VLOOKUP(CONCATENATE(BC$4,$C47),'INSER DATA'!$A:$F,7,0),"")</f>
        <v/>
      </c>
      <c r="BD47" s="270" t="str">
        <f>_xlfn.IFNA(VLOOKUP(CONCATENATE(BD$4,$C47),'INSER DATA'!$A:$F,7,0),"")</f>
        <v/>
      </c>
      <c r="BE47" s="270" t="str">
        <f>_xlfn.IFNA(VLOOKUP(CONCATENATE(BE$4,$C47),'INSER DATA'!$A:$F,7,0),"")</f>
        <v/>
      </c>
      <c r="BF47" s="270" t="str">
        <f>_xlfn.IFNA(VLOOKUP(CONCATENATE(BF$4,$C47),'INSER DATA'!$A:$F,7,0),"")</f>
        <v/>
      </c>
      <c r="BG47" s="270" t="str">
        <f>_xlfn.IFNA(VLOOKUP(CONCATENATE(BG$4,$C47),'INSER DATA'!$A:$F,7,0),"")</f>
        <v/>
      </c>
      <c r="BH47" s="270" t="str">
        <f>_xlfn.IFNA(VLOOKUP(CONCATENATE(BH$4,$C47),'INSER DATA'!$A:$F,7,0),"")</f>
        <v/>
      </c>
      <c r="BI47" s="270" t="str">
        <f>_xlfn.IFNA(VLOOKUP(CONCATENATE(BI$4,$C47),'INSER DATA'!$A:$F,7,0),"")</f>
        <v/>
      </c>
      <c r="BJ47" s="270" t="str">
        <f>_xlfn.IFNA(VLOOKUP(CONCATENATE(BJ$4,$C47),'INSER DATA'!$A:$F,7,0),"")</f>
        <v/>
      </c>
      <c r="BK47" s="270" t="str">
        <f>_xlfn.IFNA(VLOOKUP(CONCATENATE(BK$4,$C47),'INSER DATA'!$A:$F,7,0),"")</f>
        <v/>
      </c>
      <c r="BL47" s="272"/>
      <c r="BM47" s="30"/>
      <c r="BN47" s="30"/>
      <c r="BO47" s="30"/>
      <c r="BP47" s="30"/>
      <c r="BQ47" s="30"/>
      <c r="BR47" s="30"/>
      <c r="BS47" s="30"/>
      <c r="BT47" s="30"/>
      <c r="BU47" s="30"/>
      <c r="BV47" s="30"/>
      <c r="BW47" s="30"/>
      <c r="BX47" s="30"/>
      <c r="BY47" s="30"/>
      <c r="BZ47" s="30"/>
      <c r="CA47" s="30"/>
      <c r="CB47" s="30"/>
      <c r="CC47" s="30"/>
      <c r="CD47" s="30"/>
      <c r="CE47" s="30"/>
      <c r="CF47" s="30"/>
      <c r="CG47" s="30"/>
      <c r="CH47" s="30"/>
      <c r="CI47" s="30"/>
      <c r="CJ47" s="30"/>
      <c r="CK47" s="30"/>
      <c r="CL47" s="30"/>
      <c r="CM47" s="30"/>
      <c r="CN47" s="30"/>
      <c r="CO47" s="30"/>
      <c r="CP47" s="30"/>
      <c r="CQ47" s="30"/>
      <c r="CR47" s="30"/>
      <c r="CS47" s="30"/>
      <c r="CT47" s="30"/>
      <c r="CU47" s="30"/>
      <c r="CV47" s="30"/>
      <c r="CW47" s="30"/>
      <c r="CX47" s="30"/>
      <c r="CY47" s="30"/>
      <c r="CZ47" s="30"/>
      <c r="DA47" s="30"/>
    </row>
    <row r="48" spans="1:105" ht="19.2" thickTop="1" thickBot="1" x14ac:dyDescent="0.4">
      <c r="A48" s="30"/>
      <c r="B48" s="30"/>
      <c r="C48" s="188" t="s">
        <v>649</v>
      </c>
      <c r="D48" s="46" t="s">
        <v>646</v>
      </c>
      <c r="E48" s="35" t="str">
        <f>_xlfn.XLOOKUP(Tabella4[[#This Row],[NOME]],'ROSE SQUADRE'!$N$3:$N$253,'ROSE SQUADRE'!$O$3:$O$253,"")</f>
        <v/>
      </c>
      <c r="F48" s="36" t="s">
        <v>161</v>
      </c>
      <c r="G48" s="43">
        <v>1</v>
      </c>
      <c r="H48" s="43">
        <v>1</v>
      </c>
      <c r="I48" s="44">
        <f t="shared" si="0"/>
        <v>0</v>
      </c>
      <c r="J48" s="37">
        <f t="shared" si="1"/>
        <v>0</v>
      </c>
      <c r="K48" s="178">
        <f t="shared" si="2"/>
        <v>0</v>
      </c>
      <c r="L48" s="178">
        <f t="shared" si="3"/>
        <v>0</v>
      </c>
      <c r="M48" s="179">
        <f t="shared" si="4"/>
        <v>0</v>
      </c>
      <c r="N48" s="45">
        <f t="shared" ca="1" si="6"/>
        <v>0</v>
      </c>
      <c r="O48" s="40">
        <f>SUMIF(Tabella1[Nome],Tabella4[[#This Row],[NOME]],Tabella1[Gf])</f>
        <v>0</v>
      </c>
      <c r="P48" s="40">
        <f>-(SUMIF(Tabella1[Nome],Tabella4[[#This Row],[NOME]],Tabella1[Gs]))</f>
        <v>0</v>
      </c>
      <c r="Q48" s="40">
        <f>SUMIF(Tabella1[Nome],Tabella4[[#This Row],[NOME]],Tabella1[Rp])</f>
        <v>0</v>
      </c>
      <c r="R48" s="40">
        <f>SUMIF(Tabella1[Nome],Tabella4[[#This Row],[NOME]],Tabella1[Rs])</f>
        <v>0</v>
      </c>
      <c r="S48" s="40">
        <f>SUMIF(Tabella1[Nome],Tabella4[[#This Row],[NOME]],Tabella1[Rf])</f>
        <v>0</v>
      </c>
      <c r="T48" s="40">
        <f>SUMIF(Tabella1[Nome],Tabella4[[#This Row],[NOME]],Tabella1[Au])</f>
        <v>0</v>
      </c>
      <c r="U48" s="41">
        <f>SUMIF(Tabella1[Nome],Tabella4[[#This Row],[NOME]],Tabella1[Amm])</f>
        <v>0</v>
      </c>
      <c r="V48" s="42">
        <f>SUMIF(Tabella1[Nome],Tabella4[[#This Row],[NOME]],Tabella1[Esp])</f>
        <v>0</v>
      </c>
      <c r="W48" s="40">
        <f>SUMIF(Tabella1[Nome],Tabella4[[#This Row],[NOME]],Tabella1[Ass])</f>
        <v>0</v>
      </c>
      <c r="X48" s="40">
        <f>SUMIF(Tabella1[Nome],Tabella4[[#This Row],[NOME]],Tabella1[Gdv])</f>
        <v>0</v>
      </c>
      <c r="Y48" s="40">
        <f>SUMIF(Tabella1[Nome],Tabella4[[#This Row],[NOME]],Tabella1[cl sh])</f>
        <v>0</v>
      </c>
      <c r="Z48" s="270" t="str">
        <f>_xlfn.IFNA(_xlfn.XLOOKUP(CONCATENATE(Z$4,$C48),Tabella1[CONC X VOTI IN TAB GIOC],Tabella1[Voto],""),"")</f>
        <v/>
      </c>
      <c r="AA48" s="270" t="str">
        <f>_xlfn.IFNA(_xlfn.XLOOKUP(CONCATENATE(AA$4,$C48),Tabella1[CONC X VOTI IN TAB GIOC],Tabella1[Voto],""),"")</f>
        <v/>
      </c>
      <c r="AB48" s="270" t="str">
        <f>_xlfn.IFNA(_xlfn.XLOOKUP(CONCATENATE(AB$4,$C48),Tabella1[CONC X VOTI IN TAB GIOC],Tabella1[Voto]),"")</f>
        <v/>
      </c>
      <c r="AC48" s="270" t="str" cm="1">
        <f t="array" ref="AC48">_xlfn.IFNA(_xlfn.XLOOKUP(CONCATENATE(AC$4,$C48),INDEX(Tabella1[],0,MATCH("CONC X VOTI IN TAB GIOC",Tabella1[#Headers],0)),INDEX(Tabella1[],0,MATCH("Voto",Tabella1[#Headers],0))),"")</f>
        <v/>
      </c>
      <c r="AD48" s="270" t="str">
        <f>_xlfn.IFNA(_xlfn.XLOOKUP(CONCATENATE(AD$4,$C48),Tabella1[CONC X VOTI IN TAB GIOC],Tabella1[Voto]),"")</f>
        <v/>
      </c>
      <c r="AE48" s="270" t="str">
        <f>_xlfn.IFNA(VLOOKUP(CONCATENATE(AE$4,$C48),'INSER DATA'!$A:$F,6,0),"")</f>
        <v/>
      </c>
      <c r="AF48" s="270" t="str">
        <f>_xlfn.IFNA(VLOOKUP(CONCATENATE(AF$4,$C48),'INSER DATA'!$A:$F,6,0),"")</f>
        <v/>
      </c>
      <c r="AG48" s="270" t="str">
        <f>_xlfn.IFNA(VLOOKUP(CONCATENATE(AG$4,$C48),'INSER DATA'!$A:$F,6,0),"")</f>
        <v/>
      </c>
      <c r="AH48" s="270" t="str">
        <f>_xlfn.IFNA(VLOOKUP(CONCATENATE(AH$4,$C48),'INSER DATA'!$A:$F,7,0),"")</f>
        <v/>
      </c>
      <c r="AI48" s="270" t="str">
        <f>_xlfn.IFNA(VLOOKUP(CONCATENATE(AI$4,$C48),'INSER DATA'!$A:$F,7,0),"")</f>
        <v/>
      </c>
      <c r="AJ48" s="270" t="str">
        <f>_xlfn.IFNA(VLOOKUP(CONCATENATE(AJ$4,$C48),'INSER DATA'!$A:$F,7,0),"")</f>
        <v/>
      </c>
      <c r="AK48" s="270" t="str">
        <f>_xlfn.IFNA(VLOOKUP(CONCATENATE(AK$4,$C48),'INSER DATA'!$A:$F,7,0),"")</f>
        <v/>
      </c>
      <c r="AL48" s="270" t="str">
        <f>_xlfn.IFNA(VLOOKUP(CONCATENATE(AL$4,$C48),'INSER DATA'!$A:$F,7,0),"")</f>
        <v/>
      </c>
      <c r="AM48" s="270" t="str">
        <f>_xlfn.IFNA(VLOOKUP(CONCATENATE(AM$4,$C48),'INSER DATA'!$A:$F,7,0),"")</f>
        <v/>
      </c>
      <c r="AN48" s="270" t="str">
        <f>_xlfn.IFNA(VLOOKUP(CONCATENATE(AN$4,$C48),'INSER DATA'!$A:$F,7,0),"")</f>
        <v/>
      </c>
      <c r="AO48" s="270" t="str">
        <f>_xlfn.IFNA(VLOOKUP(CONCATENATE(AO$4,$C48),'INSER DATA'!$A:$F,7,0),"")</f>
        <v/>
      </c>
      <c r="AP48" s="270" t="str">
        <f>_xlfn.IFNA(VLOOKUP(CONCATENATE(AP$4,$C48),'INSER DATA'!$A:$F,7,0),"")</f>
        <v/>
      </c>
      <c r="AQ48" s="270" t="str">
        <f>_xlfn.IFNA(VLOOKUP(CONCATENATE(AQ$4,$C48),'INSER DATA'!$A:$F,7,0),"")</f>
        <v/>
      </c>
      <c r="AR48" s="270" t="str">
        <f>_xlfn.IFNA(VLOOKUP(CONCATENATE(AR$4,$C48),'INSER DATA'!$A:$F,7,0),"")</f>
        <v/>
      </c>
      <c r="AS48" s="270" t="str">
        <f>_xlfn.IFNA(VLOOKUP(CONCATENATE(AS$4,$C48),'INSER DATA'!$A:$F,7,0),"")</f>
        <v/>
      </c>
      <c r="AT48" s="270" t="str">
        <f>_xlfn.IFNA(VLOOKUP(CONCATENATE(AT$4,$C48),'INSER DATA'!$A:$F,7,0),"")</f>
        <v/>
      </c>
      <c r="AU48" s="270" t="str">
        <f>_xlfn.IFNA(VLOOKUP(CONCATENATE(AU$4,$C48),'INSER DATA'!$A:$F,7,0),"")</f>
        <v/>
      </c>
      <c r="AV48" s="270" t="str">
        <f>_xlfn.IFNA(VLOOKUP(CONCATENATE(AV$4,$C48),'INSER DATA'!$A:$F,7,0),"")</f>
        <v/>
      </c>
      <c r="AW48" s="270" t="str">
        <f>_xlfn.IFNA(VLOOKUP(CONCATENATE(AW$4,$C48),'INSER DATA'!$A:$F,7,0),"")</f>
        <v/>
      </c>
      <c r="AX48" s="270" t="str">
        <f>_xlfn.IFNA(VLOOKUP(CONCATENATE(AX$4,$C48),'INSER DATA'!$A:$F,7,0),"")</f>
        <v/>
      </c>
      <c r="AY48" s="270" t="str">
        <f>_xlfn.IFNA(VLOOKUP(CONCATENATE(AY$4,$C48),'INSER DATA'!$A:$F,7,0),"")</f>
        <v/>
      </c>
      <c r="AZ48" s="270" t="str">
        <f>_xlfn.IFNA(VLOOKUP(CONCATENATE(AZ$4,$C48),'INSER DATA'!$A:$F,7,0),"")</f>
        <v/>
      </c>
      <c r="BA48" s="270" t="str">
        <f>_xlfn.IFNA(VLOOKUP(CONCATENATE(BA$4,$C48),'INSER DATA'!$A:$F,7,0),"")</f>
        <v/>
      </c>
      <c r="BB48" s="270" t="str">
        <f>_xlfn.IFNA(VLOOKUP(CONCATENATE(BB$4,$C48),'INSER DATA'!$A:$F,7,0),"")</f>
        <v/>
      </c>
      <c r="BC48" s="270" t="str">
        <f>_xlfn.IFNA(VLOOKUP(CONCATENATE(BC$4,$C48),'INSER DATA'!$A:$F,7,0),"")</f>
        <v/>
      </c>
      <c r="BD48" s="270" t="str">
        <f>_xlfn.IFNA(VLOOKUP(CONCATENATE(BD$4,$C48),'INSER DATA'!$A:$F,7,0),"")</f>
        <v/>
      </c>
      <c r="BE48" s="270" t="str">
        <f>_xlfn.IFNA(VLOOKUP(CONCATENATE(BE$4,$C48),'INSER DATA'!$A:$F,7,0),"")</f>
        <v/>
      </c>
      <c r="BF48" s="270" t="str">
        <f>_xlfn.IFNA(VLOOKUP(CONCATENATE(BF$4,$C48),'INSER DATA'!$A:$F,7,0),"")</f>
        <v/>
      </c>
      <c r="BG48" s="270" t="str">
        <f>_xlfn.IFNA(VLOOKUP(CONCATENATE(BG$4,$C48),'INSER DATA'!$A:$F,7,0),"")</f>
        <v/>
      </c>
      <c r="BH48" s="270" t="str">
        <f>_xlfn.IFNA(VLOOKUP(CONCATENATE(BH$4,$C48),'INSER DATA'!$A:$F,7,0),"")</f>
        <v/>
      </c>
      <c r="BI48" s="270" t="str">
        <f>_xlfn.IFNA(VLOOKUP(CONCATENATE(BI$4,$C48),'INSER DATA'!$A:$F,7,0),"")</f>
        <v/>
      </c>
      <c r="BJ48" s="270" t="str">
        <f>_xlfn.IFNA(VLOOKUP(CONCATENATE(BJ$4,$C48),'INSER DATA'!$A:$F,7,0),"")</f>
        <v/>
      </c>
      <c r="BK48" s="270" t="str">
        <f>_xlfn.IFNA(VLOOKUP(CONCATENATE(BK$4,$C48),'INSER DATA'!$A:$F,7,0),"")</f>
        <v/>
      </c>
      <c r="BL48" s="272"/>
      <c r="BM48" s="30"/>
      <c r="BN48" s="30"/>
      <c r="BO48" s="30"/>
      <c r="BP48" s="30"/>
      <c r="BQ48" s="30"/>
      <c r="BR48" s="30"/>
      <c r="BS48" s="30"/>
      <c r="BT48" s="30"/>
      <c r="BU48" s="30"/>
      <c r="BV48" s="30"/>
      <c r="BW48" s="30"/>
      <c r="BX48" s="30"/>
      <c r="BY48" s="30"/>
      <c r="BZ48" s="30"/>
      <c r="CA48" s="30"/>
      <c r="CB48" s="30"/>
      <c r="CC48" s="30"/>
      <c r="CD48" s="30"/>
      <c r="CE48" s="30"/>
      <c r="CF48" s="30"/>
      <c r="CG48" s="30"/>
      <c r="CH48" s="30"/>
      <c r="CI48" s="30"/>
      <c r="CJ48" s="30"/>
      <c r="CK48" s="30"/>
      <c r="CL48" s="30"/>
      <c r="CM48" s="30"/>
      <c r="CN48" s="30"/>
      <c r="CO48" s="30"/>
      <c r="CP48" s="30"/>
      <c r="CQ48" s="30"/>
      <c r="CR48" s="30"/>
      <c r="CS48" s="30"/>
      <c r="CT48" s="30"/>
      <c r="CU48" s="30"/>
      <c r="CV48" s="30"/>
      <c r="CW48" s="30"/>
      <c r="CX48" s="30"/>
      <c r="CY48" s="30"/>
      <c r="CZ48" s="30"/>
      <c r="DA48" s="30"/>
    </row>
    <row r="49" spans="1:105" ht="19.2" thickTop="1" thickBot="1" x14ac:dyDescent="0.4">
      <c r="A49" s="30"/>
      <c r="B49" s="30"/>
      <c r="C49" s="188" t="s">
        <v>653</v>
      </c>
      <c r="D49" s="46" t="s">
        <v>646</v>
      </c>
      <c r="E49" s="35" t="str">
        <f>_xlfn.XLOOKUP(Tabella4[[#This Row],[NOME]],'ROSE SQUADRE'!$N$3:$N$253,'ROSE SQUADRE'!$O$3:$O$253,"")</f>
        <v/>
      </c>
      <c r="F49" s="36" t="s">
        <v>161</v>
      </c>
      <c r="G49" s="43">
        <v>5</v>
      </c>
      <c r="H49" s="43">
        <v>5</v>
      </c>
      <c r="I49" s="44">
        <f t="shared" si="0"/>
        <v>0</v>
      </c>
      <c r="J49" s="37">
        <f t="shared" si="1"/>
        <v>0</v>
      </c>
      <c r="K49" s="178">
        <f t="shared" si="2"/>
        <v>0</v>
      </c>
      <c r="L49" s="178">
        <f t="shared" si="3"/>
        <v>0</v>
      </c>
      <c r="M49" s="179">
        <f t="shared" si="4"/>
        <v>0</v>
      </c>
      <c r="N49" s="45">
        <f t="shared" ca="1" si="6"/>
        <v>0</v>
      </c>
      <c r="O49" s="40">
        <f>SUMIF(Tabella1[Nome],Tabella4[[#This Row],[NOME]],Tabella1[Gf])</f>
        <v>0</v>
      </c>
      <c r="P49" s="40">
        <f>-(SUMIF(Tabella1[Nome],Tabella4[[#This Row],[NOME]],Tabella1[Gs]))</f>
        <v>0</v>
      </c>
      <c r="Q49" s="40">
        <f>SUMIF(Tabella1[Nome],Tabella4[[#This Row],[NOME]],Tabella1[Rp])</f>
        <v>0</v>
      </c>
      <c r="R49" s="40">
        <f>SUMIF(Tabella1[Nome],Tabella4[[#This Row],[NOME]],Tabella1[Rs])</f>
        <v>0</v>
      </c>
      <c r="S49" s="40">
        <f>SUMIF(Tabella1[Nome],Tabella4[[#This Row],[NOME]],Tabella1[Rf])</f>
        <v>0</v>
      </c>
      <c r="T49" s="40">
        <f>SUMIF(Tabella1[Nome],Tabella4[[#This Row],[NOME]],Tabella1[Au])</f>
        <v>0</v>
      </c>
      <c r="U49" s="41">
        <f>SUMIF(Tabella1[Nome],Tabella4[[#This Row],[NOME]],Tabella1[Amm])</f>
        <v>0</v>
      </c>
      <c r="V49" s="42">
        <f>SUMIF(Tabella1[Nome],Tabella4[[#This Row],[NOME]],Tabella1[Esp])</f>
        <v>0</v>
      </c>
      <c r="W49" s="40">
        <f>SUMIF(Tabella1[Nome],Tabella4[[#This Row],[NOME]],Tabella1[Ass])</f>
        <v>0</v>
      </c>
      <c r="X49" s="40">
        <f>SUMIF(Tabella1[Nome],Tabella4[[#This Row],[NOME]],Tabella1[Gdv])</f>
        <v>0</v>
      </c>
      <c r="Y49" s="40">
        <f>SUMIF(Tabella1[Nome],Tabella4[[#This Row],[NOME]],Tabella1[cl sh])</f>
        <v>0</v>
      </c>
      <c r="Z49" s="270" t="str">
        <f>_xlfn.IFNA(_xlfn.XLOOKUP(CONCATENATE(Z$4,$C49),Tabella1[CONC X VOTI IN TAB GIOC],Tabella1[Voto],""),"")</f>
        <v/>
      </c>
      <c r="AA49" s="270" t="str">
        <f>_xlfn.IFNA(_xlfn.XLOOKUP(CONCATENATE(AA$4,$C49),Tabella1[CONC X VOTI IN TAB GIOC],Tabella1[Voto],""),"")</f>
        <v/>
      </c>
      <c r="AB49" s="270" t="str">
        <f>_xlfn.IFNA(_xlfn.XLOOKUP(CONCATENATE(AB$4,$C49),Tabella1[CONC X VOTI IN TAB GIOC],Tabella1[Voto]),"")</f>
        <v/>
      </c>
      <c r="AC49" s="270" t="str" cm="1">
        <f t="array" ref="AC49">_xlfn.IFNA(_xlfn.XLOOKUP(CONCATENATE(AC$4,$C49),INDEX(Tabella1[],0,MATCH("CONC X VOTI IN TAB GIOC",Tabella1[#Headers],0)),INDEX(Tabella1[],0,MATCH("Voto",Tabella1[#Headers],0))),"")</f>
        <v/>
      </c>
      <c r="AD49" s="270" t="str">
        <f>_xlfn.IFNA(_xlfn.XLOOKUP(CONCATENATE(AD$4,$C49),Tabella1[CONC X VOTI IN TAB GIOC],Tabella1[Voto]),"")</f>
        <v/>
      </c>
      <c r="AE49" s="270" t="str">
        <f>_xlfn.IFNA(VLOOKUP(CONCATENATE(AE$4,$C49),'INSER DATA'!$A:$F,6,0),"")</f>
        <v/>
      </c>
      <c r="AF49" s="270" t="str">
        <f>_xlfn.IFNA(VLOOKUP(CONCATENATE(AF$4,$C49),'INSER DATA'!$A:$F,6,0),"")</f>
        <v/>
      </c>
      <c r="AG49" s="270" t="str">
        <f>_xlfn.IFNA(VLOOKUP(CONCATENATE(AG$4,$C49),'INSER DATA'!$A:$F,6,0),"")</f>
        <v/>
      </c>
      <c r="AH49" s="270" t="str">
        <f>_xlfn.IFNA(VLOOKUP(CONCATENATE(AH$4,$C49),'INSER DATA'!$A:$F,7,0),"")</f>
        <v/>
      </c>
      <c r="AI49" s="270" t="str">
        <f>_xlfn.IFNA(VLOOKUP(CONCATENATE(AI$4,$C49),'INSER DATA'!$A:$F,7,0),"")</f>
        <v/>
      </c>
      <c r="AJ49" s="270" t="str">
        <f>_xlfn.IFNA(VLOOKUP(CONCATENATE(AJ$4,$C49),'INSER DATA'!$A:$F,7,0),"")</f>
        <v/>
      </c>
      <c r="AK49" s="270" t="str">
        <f>_xlfn.IFNA(VLOOKUP(CONCATENATE(AK$4,$C49),'INSER DATA'!$A:$F,7,0),"")</f>
        <v/>
      </c>
      <c r="AL49" s="270" t="str">
        <f>_xlfn.IFNA(VLOOKUP(CONCATENATE(AL$4,$C49),'INSER DATA'!$A:$F,7,0),"")</f>
        <v/>
      </c>
      <c r="AM49" s="270" t="str">
        <f>_xlfn.IFNA(VLOOKUP(CONCATENATE(AM$4,$C49),'INSER DATA'!$A:$F,7,0),"")</f>
        <v/>
      </c>
      <c r="AN49" s="270" t="str">
        <f>_xlfn.IFNA(VLOOKUP(CONCATENATE(AN$4,$C49),'INSER DATA'!$A:$F,7,0),"")</f>
        <v/>
      </c>
      <c r="AO49" s="270" t="str">
        <f>_xlfn.IFNA(VLOOKUP(CONCATENATE(AO$4,$C49),'INSER DATA'!$A:$F,7,0),"")</f>
        <v/>
      </c>
      <c r="AP49" s="270" t="str">
        <f>_xlfn.IFNA(VLOOKUP(CONCATENATE(AP$4,$C49),'INSER DATA'!$A:$F,7,0),"")</f>
        <v/>
      </c>
      <c r="AQ49" s="270" t="str">
        <f>_xlfn.IFNA(VLOOKUP(CONCATENATE(AQ$4,$C49),'INSER DATA'!$A:$F,7,0),"")</f>
        <v/>
      </c>
      <c r="AR49" s="270" t="str">
        <f>_xlfn.IFNA(VLOOKUP(CONCATENATE(AR$4,$C49),'INSER DATA'!$A:$F,7,0),"")</f>
        <v/>
      </c>
      <c r="AS49" s="270" t="str">
        <f>_xlfn.IFNA(VLOOKUP(CONCATENATE(AS$4,$C49),'INSER DATA'!$A:$F,7,0),"")</f>
        <v/>
      </c>
      <c r="AT49" s="270" t="str">
        <f>_xlfn.IFNA(VLOOKUP(CONCATENATE(AT$4,$C49),'INSER DATA'!$A:$F,7,0),"")</f>
        <v/>
      </c>
      <c r="AU49" s="270" t="str">
        <f>_xlfn.IFNA(VLOOKUP(CONCATENATE(AU$4,$C49),'INSER DATA'!$A:$F,7,0),"")</f>
        <v/>
      </c>
      <c r="AV49" s="270" t="str">
        <f>_xlfn.IFNA(VLOOKUP(CONCATENATE(AV$4,$C49),'INSER DATA'!$A:$F,7,0),"")</f>
        <v/>
      </c>
      <c r="AW49" s="270" t="str">
        <f>_xlfn.IFNA(VLOOKUP(CONCATENATE(AW$4,$C49),'INSER DATA'!$A:$F,7,0),"")</f>
        <v/>
      </c>
      <c r="AX49" s="270" t="str">
        <f>_xlfn.IFNA(VLOOKUP(CONCATENATE(AX$4,$C49),'INSER DATA'!$A:$F,7,0),"")</f>
        <v/>
      </c>
      <c r="AY49" s="270" t="str">
        <f>_xlfn.IFNA(VLOOKUP(CONCATENATE(AY$4,$C49),'INSER DATA'!$A:$F,7,0),"")</f>
        <v/>
      </c>
      <c r="AZ49" s="270" t="str">
        <f>_xlfn.IFNA(VLOOKUP(CONCATENATE(AZ$4,$C49),'INSER DATA'!$A:$F,7,0),"")</f>
        <v/>
      </c>
      <c r="BA49" s="270" t="str">
        <f>_xlfn.IFNA(VLOOKUP(CONCATENATE(BA$4,$C49),'INSER DATA'!$A:$F,7,0),"")</f>
        <v/>
      </c>
      <c r="BB49" s="270" t="str">
        <f>_xlfn.IFNA(VLOOKUP(CONCATENATE(BB$4,$C49),'INSER DATA'!$A:$F,7,0),"")</f>
        <v/>
      </c>
      <c r="BC49" s="270" t="str">
        <f>_xlfn.IFNA(VLOOKUP(CONCATENATE(BC$4,$C49),'INSER DATA'!$A:$F,7,0),"")</f>
        <v/>
      </c>
      <c r="BD49" s="270" t="str">
        <f>_xlfn.IFNA(VLOOKUP(CONCATENATE(BD$4,$C49),'INSER DATA'!$A:$F,7,0),"")</f>
        <v/>
      </c>
      <c r="BE49" s="270" t="str">
        <f>_xlfn.IFNA(VLOOKUP(CONCATENATE(BE$4,$C49),'INSER DATA'!$A:$F,7,0),"")</f>
        <v/>
      </c>
      <c r="BF49" s="270" t="str">
        <f>_xlfn.IFNA(VLOOKUP(CONCATENATE(BF$4,$C49),'INSER DATA'!$A:$F,7,0),"")</f>
        <v/>
      </c>
      <c r="BG49" s="270" t="str">
        <f>_xlfn.IFNA(VLOOKUP(CONCATENATE(BG$4,$C49),'INSER DATA'!$A:$F,7,0),"")</f>
        <v/>
      </c>
      <c r="BH49" s="270" t="str">
        <f>_xlfn.IFNA(VLOOKUP(CONCATENATE(BH$4,$C49),'INSER DATA'!$A:$F,7,0),"")</f>
        <v/>
      </c>
      <c r="BI49" s="270" t="str">
        <f>_xlfn.IFNA(VLOOKUP(CONCATENATE(BI$4,$C49),'INSER DATA'!$A:$F,7,0),"")</f>
        <v/>
      </c>
      <c r="BJ49" s="270" t="str">
        <f>_xlfn.IFNA(VLOOKUP(CONCATENATE(BJ$4,$C49),'INSER DATA'!$A:$F,7,0),"")</f>
        <v/>
      </c>
      <c r="BK49" s="270" t="str">
        <f>_xlfn.IFNA(VLOOKUP(CONCATENATE(BK$4,$C49),'INSER DATA'!$A:$F,7,0),"")</f>
        <v/>
      </c>
      <c r="BL49" s="272"/>
      <c r="BM49" s="30"/>
      <c r="BN49" s="30"/>
      <c r="BO49" s="30"/>
      <c r="BP49" s="30"/>
      <c r="BQ49" s="30"/>
      <c r="BR49" s="30"/>
      <c r="BS49" s="30"/>
      <c r="BT49" s="30"/>
      <c r="BU49" s="30"/>
      <c r="BV49" s="30"/>
      <c r="BW49" s="30"/>
      <c r="BX49" s="30"/>
      <c r="BY49" s="30"/>
      <c r="BZ49" s="30"/>
      <c r="CA49" s="30"/>
      <c r="CB49" s="30"/>
      <c r="CC49" s="30"/>
      <c r="CD49" s="30"/>
      <c r="CE49" s="30"/>
      <c r="CF49" s="30"/>
      <c r="CG49" s="30"/>
      <c r="CH49" s="30"/>
      <c r="CI49" s="30"/>
      <c r="CJ49" s="30"/>
      <c r="CK49" s="30"/>
      <c r="CL49" s="30"/>
      <c r="CM49" s="30"/>
      <c r="CN49" s="30"/>
      <c r="CO49" s="30"/>
      <c r="CP49" s="30"/>
      <c r="CQ49" s="30"/>
      <c r="CR49" s="30"/>
      <c r="CS49" s="30"/>
      <c r="CT49" s="30"/>
      <c r="CU49" s="30"/>
      <c r="CV49" s="30"/>
      <c r="CW49" s="30"/>
      <c r="CX49" s="30"/>
      <c r="CY49" s="30"/>
      <c r="CZ49" s="30"/>
      <c r="DA49" s="30"/>
    </row>
    <row r="50" spans="1:105" ht="19.2" thickTop="1" thickBot="1" x14ac:dyDescent="0.4">
      <c r="A50" s="30"/>
      <c r="B50" s="30"/>
      <c r="C50" s="185" t="s">
        <v>336</v>
      </c>
      <c r="D50" s="46" t="s">
        <v>646</v>
      </c>
      <c r="E50" s="35" t="str">
        <f>_xlfn.XLOOKUP(Tabella4[[#This Row],[NOME]],'ROSE SQUADRE'!$N$3:$N$253,'ROSE SQUADRE'!$O$3:$O$253,"")</f>
        <v/>
      </c>
      <c r="F50" s="36" t="s">
        <v>162</v>
      </c>
      <c r="G50" s="43">
        <v>4</v>
      </c>
      <c r="H50" s="43">
        <v>4</v>
      </c>
      <c r="I50" s="44">
        <f t="shared" si="0"/>
        <v>0</v>
      </c>
      <c r="J50" s="37">
        <f t="shared" si="1"/>
        <v>2</v>
      </c>
      <c r="K50" s="178">
        <f t="shared" si="2"/>
        <v>5.75</v>
      </c>
      <c r="L50" s="178">
        <f t="shared" si="3"/>
        <v>5.75</v>
      </c>
      <c r="M50" s="179">
        <f t="shared" si="4"/>
        <v>11.5</v>
      </c>
      <c r="N50" s="45">
        <f t="shared" ca="1" si="6"/>
        <v>0</v>
      </c>
      <c r="O50" s="40">
        <f>SUMIF(Tabella1[Nome],Tabella4[[#This Row],[NOME]],Tabella1[Gf])</f>
        <v>0</v>
      </c>
      <c r="P50" s="40">
        <f>-(SUMIF(Tabella1[Nome],Tabella4[[#This Row],[NOME]],Tabella1[Gs]))</f>
        <v>0</v>
      </c>
      <c r="Q50" s="40">
        <f>SUMIF(Tabella1[Nome],Tabella4[[#This Row],[NOME]],Tabella1[Rp])</f>
        <v>0</v>
      </c>
      <c r="R50" s="40">
        <f>SUMIF(Tabella1[Nome],Tabella4[[#This Row],[NOME]],Tabella1[Rs])</f>
        <v>0</v>
      </c>
      <c r="S50" s="40">
        <f>SUMIF(Tabella1[Nome],Tabella4[[#This Row],[NOME]],Tabella1[Rf])</f>
        <v>0</v>
      </c>
      <c r="T50" s="40">
        <f>SUMIF(Tabella1[Nome],Tabella4[[#This Row],[NOME]],Tabella1[Au])</f>
        <v>0</v>
      </c>
      <c r="U50" s="41">
        <f>SUMIF(Tabella1[Nome],Tabella4[[#This Row],[NOME]],Tabella1[Amm])</f>
        <v>0</v>
      </c>
      <c r="V50" s="42">
        <f>SUMIF(Tabella1[Nome],Tabella4[[#This Row],[NOME]],Tabella1[Esp])</f>
        <v>0</v>
      </c>
      <c r="W50" s="40">
        <f>SUMIF(Tabella1[Nome],Tabella4[[#This Row],[NOME]],Tabella1[Ass])</f>
        <v>0</v>
      </c>
      <c r="X50" s="40">
        <f>SUMIF(Tabella1[Nome],Tabella4[[#This Row],[NOME]],Tabella1[Gdv])</f>
        <v>0</v>
      </c>
      <c r="Y50" s="40">
        <f>SUMIF(Tabella1[Nome],Tabella4[[#This Row],[NOME]],Tabella1[cl sh])</f>
        <v>0</v>
      </c>
      <c r="Z50" s="270" t="str">
        <f>_xlfn.IFNA(_xlfn.XLOOKUP(CONCATENATE(Z$4,$C50),Tabella1[CONC X VOTI IN TAB GIOC],Tabella1[Voto],""),"")</f>
        <v/>
      </c>
      <c r="AA50" s="270" t="str">
        <f>_xlfn.IFNA(_xlfn.XLOOKUP(CONCATENATE(AA$4,$C50),Tabella1[CONC X VOTI IN TAB GIOC],Tabella1[Voto],""),"")</f>
        <v/>
      </c>
      <c r="AB50" s="270">
        <f>_xlfn.IFNA(_xlfn.XLOOKUP(CONCATENATE(AB$4,$C50),Tabella1[CONC X VOTI IN TAB GIOC],Tabella1[Voto]),"")</f>
        <v>5.5</v>
      </c>
      <c r="AC50" s="270" cm="1">
        <f t="array" ref="AC50">_xlfn.IFNA(_xlfn.XLOOKUP(CONCATENATE(AC$4,$C50),INDEX(Tabella1[],0,MATCH("CONC X VOTI IN TAB GIOC",Tabella1[#Headers],0)),INDEX(Tabella1[],0,MATCH("Voto",Tabella1[#Headers],0))),"")</f>
        <v>6</v>
      </c>
      <c r="AD50" s="270" t="str">
        <f>_xlfn.IFNA(_xlfn.XLOOKUP(CONCATENATE(AD$4,$C50),Tabella1[CONC X VOTI IN TAB GIOC],Tabella1[Voto]),"")</f>
        <v/>
      </c>
      <c r="AE50" s="270" t="str">
        <f>_xlfn.IFNA(VLOOKUP(CONCATENATE(AE$4,$C50),'INSER DATA'!$A:$F,6,0),"")</f>
        <v/>
      </c>
      <c r="AF50" s="270" t="str">
        <f>_xlfn.IFNA(VLOOKUP(CONCATENATE(AF$4,$C50),'INSER DATA'!$A:$F,6,0),"")</f>
        <v/>
      </c>
      <c r="AG50" s="270" t="str">
        <f>_xlfn.IFNA(VLOOKUP(CONCATENATE(AG$4,$C50),'INSER DATA'!$A:$F,6,0),"")</f>
        <v/>
      </c>
      <c r="AH50" s="270" t="str">
        <f>_xlfn.IFNA(VLOOKUP(CONCATENATE(AH$4,$C50),'INSER DATA'!$A:$F,7,0),"")</f>
        <v/>
      </c>
      <c r="AI50" s="270" t="str">
        <f>_xlfn.IFNA(VLOOKUP(CONCATENATE(AI$4,$C50),'INSER DATA'!$A:$F,7,0),"")</f>
        <v/>
      </c>
      <c r="AJ50" s="270" t="str">
        <f>_xlfn.IFNA(VLOOKUP(CONCATENATE(AJ$4,$C50),'INSER DATA'!$A:$F,7,0),"")</f>
        <v/>
      </c>
      <c r="AK50" s="270" t="str">
        <f>_xlfn.IFNA(VLOOKUP(CONCATENATE(AK$4,$C50),'INSER DATA'!$A:$F,7,0),"")</f>
        <v/>
      </c>
      <c r="AL50" s="270" t="str">
        <f>_xlfn.IFNA(VLOOKUP(CONCATENATE(AL$4,$C50),'INSER DATA'!$A:$F,7,0),"")</f>
        <v/>
      </c>
      <c r="AM50" s="270" t="str">
        <f>_xlfn.IFNA(VLOOKUP(CONCATENATE(AM$4,$C50),'INSER DATA'!$A:$F,7,0),"")</f>
        <v/>
      </c>
      <c r="AN50" s="270" t="str">
        <f>_xlfn.IFNA(VLOOKUP(CONCATENATE(AN$4,$C50),'INSER DATA'!$A:$F,7,0),"")</f>
        <v/>
      </c>
      <c r="AO50" s="270" t="str">
        <f>_xlfn.IFNA(VLOOKUP(CONCATENATE(AO$4,$C50),'INSER DATA'!$A:$F,7,0),"")</f>
        <v/>
      </c>
      <c r="AP50" s="270" t="str">
        <f>_xlfn.IFNA(VLOOKUP(CONCATENATE(AP$4,$C50),'INSER DATA'!$A:$F,7,0),"")</f>
        <v/>
      </c>
      <c r="AQ50" s="270" t="str">
        <f>_xlfn.IFNA(VLOOKUP(CONCATENATE(AQ$4,$C50),'INSER DATA'!$A:$F,7,0),"")</f>
        <v/>
      </c>
      <c r="AR50" s="270" t="str">
        <f>_xlfn.IFNA(VLOOKUP(CONCATENATE(AR$4,$C50),'INSER DATA'!$A:$F,7,0),"")</f>
        <v/>
      </c>
      <c r="AS50" s="270" t="str">
        <f>_xlfn.IFNA(VLOOKUP(CONCATENATE(AS$4,$C50),'INSER DATA'!$A:$F,7,0),"")</f>
        <v/>
      </c>
      <c r="AT50" s="270" t="str">
        <f>_xlfn.IFNA(VLOOKUP(CONCATENATE(AT$4,$C50),'INSER DATA'!$A:$F,7,0),"")</f>
        <v/>
      </c>
      <c r="AU50" s="270" t="str">
        <f>_xlfn.IFNA(VLOOKUP(CONCATENATE(AU$4,$C50),'INSER DATA'!$A:$F,7,0),"")</f>
        <v/>
      </c>
      <c r="AV50" s="270" t="str">
        <f>_xlfn.IFNA(VLOOKUP(CONCATENATE(AV$4,$C50),'INSER DATA'!$A:$F,7,0),"")</f>
        <v/>
      </c>
      <c r="AW50" s="270" t="str">
        <f>_xlfn.IFNA(VLOOKUP(CONCATENATE(AW$4,$C50),'INSER DATA'!$A:$F,7,0),"")</f>
        <v/>
      </c>
      <c r="AX50" s="270" t="str">
        <f>_xlfn.IFNA(VLOOKUP(CONCATENATE(AX$4,$C50),'INSER DATA'!$A:$F,7,0),"")</f>
        <v/>
      </c>
      <c r="AY50" s="270" t="str">
        <f>_xlfn.IFNA(VLOOKUP(CONCATENATE(AY$4,$C50),'INSER DATA'!$A:$F,7,0),"")</f>
        <v/>
      </c>
      <c r="AZ50" s="270" t="str">
        <f>_xlfn.IFNA(VLOOKUP(CONCATENATE(AZ$4,$C50),'INSER DATA'!$A:$F,7,0),"")</f>
        <v/>
      </c>
      <c r="BA50" s="270" t="str">
        <f>_xlfn.IFNA(VLOOKUP(CONCATENATE(BA$4,$C50),'INSER DATA'!$A:$F,7,0),"")</f>
        <v/>
      </c>
      <c r="BB50" s="270" t="str">
        <f>_xlfn.IFNA(VLOOKUP(CONCATENATE(BB$4,$C50),'INSER DATA'!$A:$F,7,0),"")</f>
        <v/>
      </c>
      <c r="BC50" s="270" t="str">
        <f>_xlfn.IFNA(VLOOKUP(CONCATENATE(BC$4,$C50),'INSER DATA'!$A:$F,7,0),"")</f>
        <v/>
      </c>
      <c r="BD50" s="270" t="str">
        <f>_xlfn.IFNA(VLOOKUP(CONCATENATE(BD$4,$C50),'INSER DATA'!$A:$F,7,0),"")</f>
        <v/>
      </c>
      <c r="BE50" s="270" t="str">
        <f>_xlfn.IFNA(VLOOKUP(CONCATENATE(BE$4,$C50),'INSER DATA'!$A:$F,7,0),"")</f>
        <v/>
      </c>
      <c r="BF50" s="270" t="str">
        <f>_xlfn.IFNA(VLOOKUP(CONCATENATE(BF$4,$C50),'INSER DATA'!$A:$F,7,0),"")</f>
        <v/>
      </c>
      <c r="BG50" s="270" t="str">
        <f>_xlfn.IFNA(VLOOKUP(CONCATENATE(BG$4,$C50),'INSER DATA'!$A:$F,7,0),"")</f>
        <v/>
      </c>
      <c r="BH50" s="270" t="str">
        <f>_xlfn.IFNA(VLOOKUP(CONCATENATE(BH$4,$C50),'INSER DATA'!$A:$F,7,0),"")</f>
        <v/>
      </c>
      <c r="BI50" s="270" t="str">
        <f>_xlfn.IFNA(VLOOKUP(CONCATENATE(BI$4,$C50),'INSER DATA'!$A:$F,7,0),"")</f>
        <v/>
      </c>
      <c r="BJ50" s="270" t="str">
        <f>_xlfn.IFNA(VLOOKUP(CONCATENATE(BJ$4,$C50),'INSER DATA'!$A:$F,7,0),"")</f>
        <v/>
      </c>
      <c r="BK50" s="270" t="str">
        <f>_xlfn.IFNA(VLOOKUP(CONCATENATE(BK$4,$C50),'INSER DATA'!$A:$F,7,0),"")</f>
        <v/>
      </c>
      <c r="BL50" s="272"/>
      <c r="BM50" s="30"/>
      <c r="BN50" s="30"/>
      <c r="BO50" s="30"/>
      <c r="BP50" s="30"/>
      <c r="BQ50" s="30"/>
      <c r="BR50" s="30"/>
      <c r="BS50" s="30"/>
      <c r="BT50" s="30"/>
      <c r="BU50" s="30"/>
      <c r="BV50" s="30"/>
      <c r="BW50" s="30"/>
      <c r="BX50" s="30"/>
      <c r="BY50" s="30"/>
      <c r="BZ50" s="30"/>
      <c r="CA50" s="30"/>
      <c r="CB50" s="30"/>
      <c r="CC50" s="30"/>
      <c r="CD50" s="30"/>
      <c r="CE50" s="30"/>
      <c r="CF50" s="30"/>
      <c r="CG50" s="30"/>
      <c r="CH50" s="30"/>
      <c r="CI50" s="30"/>
      <c r="CJ50" s="30"/>
      <c r="CK50" s="30"/>
      <c r="CL50" s="30"/>
      <c r="CM50" s="30"/>
      <c r="CN50" s="30"/>
      <c r="CO50" s="30"/>
      <c r="CP50" s="30"/>
      <c r="CQ50" s="30"/>
      <c r="CR50" s="30"/>
      <c r="CS50" s="30"/>
      <c r="CT50" s="30"/>
      <c r="CU50" s="30"/>
      <c r="CV50" s="30"/>
      <c r="CW50" s="30"/>
      <c r="CX50" s="30"/>
      <c r="CY50" s="30"/>
      <c r="CZ50" s="30"/>
      <c r="DA50" s="30"/>
    </row>
    <row r="51" spans="1:105" ht="19.2" thickTop="1" thickBot="1" x14ac:dyDescent="0.4">
      <c r="A51" s="30"/>
      <c r="B51" s="30"/>
      <c r="C51" s="188" t="s">
        <v>1047</v>
      </c>
      <c r="D51" s="187" t="s">
        <v>646</v>
      </c>
      <c r="E51" s="35" t="str">
        <f>_xlfn.XLOOKUP(Tabella4[[#This Row],[NOME]],'ROSE SQUADRE'!$N$3:$N$253,'ROSE SQUADRE'!$O$3:$O$253,"")</f>
        <v>FC INTERNAZIOANALE</v>
      </c>
      <c r="F51" s="36" t="s">
        <v>161</v>
      </c>
      <c r="G51" s="43"/>
      <c r="H51" s="43"/>
      <c r="I51" s="44">
        <f t="shared" si="0"/>
        <v>0</v>
      </c>
      <c r="J51" s="37">
        <f t="shared" si="1"/>
        <v>2</v>
      </c>
      <c r="K51" s="178">
        <f t="shared" si="2"/>
        <v>5.75</v>
      </c>
      <c r="L51" s="178">
        <f t="shared" si="3"/>
        <v>5.75</v>
      </c>
      <c r="M51" s="179">
        <f t="shared" si="4"/>
        <v>11.5</v>
      </c>
      <c r="N51" s="45">
        <f t="shared" ca="1" si="6"/>
        <v>0</v>
      </c>
      <c r="O51" s="40">
        <f>SUMIF(Tabella1[Nome],Tabella4[[#This Row],[NOME]],Tabella1[Gf])</f>
        <v>0</v>
      </c>
      <c r="P51" s="40">
        <f>-(SUMIF(Tabella1[Nome],Tabella4[[#This Row],[NOME]],Tabella1[Gs]))</f>
        <v>0</v>
      </c>
      <c r="Q51" s="40">
        <f>SUMIF(Tabella1[Nome],Tabella4[[#This Row],[NOME]],Tabella1[Rp])</f>
        <v>0</v>
      </c>
      <c r="R51" s="40">
        <f>SUMIF(Tabella1[Nome],Tabella4[[#This Row],[NOME]],Tabella1[Rs])</f>
        <v>0</v>
      </c>
      <c r="S51" s="40">
        <f>SUMIF(Tabella1[Nome],Tabella4[[#This Row],[NOME]],Tabella1[Rf])</f>
        <v>0</v>
      </c>
      <c r="T51" s="40">
        <f>SUMIF(Tabella1[Nome],Tabella4[[#This Row],[NOME]],Tabella1[Au])</f>
        <v>0</v>
      </c>
      <c r="U51" s="41">
        <f>SUMIF(Tabella1[Nome],Tabella4[[#This Row],[NOME]],Tabella1[Amm])</f>
        <v>0</v>
      </c>
      <c r="V51" s="42">
        <f>SUMIF(Tabella1[Nome],Tabella4[[#This Row],[NOME]],Tabella1[Esp])</f>
        <v>0</v>
      </c>
      <c r="W51" s="40">
        <f>SUMIF(Tabella1[Nome],Tabella4[[#This Row],[NOME]],Tabella1[Ass])</f>
        <v>0</v>
      </c>
      <c r="X51" s="40">
        <f>SUMIF(Tabella1[Nome],Tabella4[[#This Row],[NOME]],Tabella1[Gdv])</f>
        <v>0</v>
      </c>
      <c r="Y51" s="40">
        <f>SUMIF(Tabella1[Nome],Tabella4[[#This Row],[NOME]],Tabella1[cl sh])</f>
        <v>0</v>
      </c>
      <c r="Z51" s="270" t="str">
        <f>_xlfn.IFNA(_xlfn.XLOOKUP(CONCATENATE(Z$4,$C51),Tabella1[CONC X VOTI IN TAB GIOC],Tabella1[Voto],""),"")</f>
        <v/>
      </c>
      <c r="AA51" s="270" t="str">
        <f>_xlfn.IFNA(_xlfn.XLOOKUP(CONCATENATE(AA$4,$C51),Tabella1[CONC X VOTI IN TAB GIOC],Tabella1[Voto],""),"")</f>
        <v/>
      </c>
      <c r="AB51" s="270">
        <f>_xlfn.IFNA(_xlfn.XLOOKUP(CONCATENATE(AB$4,$C51),Tabella1[CONC X VOTI IN TAB GIOC],Tabella1[Voto]),"")</f>
        <v>5.5</v>
      </c>
      <c r="AC51" s="270" cm="1">
        <f t="array" ref="AC51">_xlfn.IFNA(_xlfn.XLOOKUP(CONCATENATE(AC$4,$C51),INDEX(Tabella1[],0,MATCH("CONC X VOTI IN TAB GIOC",Tabella1[#Headers],0)),INDEX(Tabella1[],0,MATCH("Voto",Tabella1[#Headers],0))),"")</f>
        <v>6</v>
      </c>
      <c r="AD51" s="270" t="str">
        <f>_xlfn.IFNA(_xlfn.XLOOKUP(CONCATENATE(AD$4,$C51),Tabella1[CONC X VOTI IN TAB GIOC],Tabella1[Voto]),"")</f>
        <v/>
      </c>
      <c r="AE51" s="270" t="str">
        <f>_xlfn.IFNA(VLOOKUP(CONCATENATE(AE$4,$C51),'INSER DATA'!$A:$F,6,0),"")</f>
        <v/>
      </c>
      <c r="AF51" s="270" t="str">
        <f>_xlfn.IFNA(VLOOKUP(CONCATENATE(AF$4,$C51),'INSER DATA'!$A:$F,6,0),"")</f>
        <v/>
      </c>
      <c r="AG51" s="270" t="str">
        <f>_xlfn.IFNA(VLOOKUP(CONCATENATE(AG$4,$C51),'INSER DATA'!$A:$F,6,0),"")</f>
        <v/>
      </c>
      <c r="AH51" s="270" t="str">
        <f>_xlfn.IFNA(VLOOKUP(CONCATENATE(AH$4,$C51),'INSER DATA'!$A:$F,7,0),"")</f>
        <v/>
      </c>
      <c r="AI51" s="270" t="str">
        <f>_xlfn.IFNA(VLOOKUP(CONCATENATE(AI$4,$C51),'INSER DATA'!$A:$F,7,0),"")</f>
        <v/>
      </c>
      <c r="AJ51" s="270" t="str">
        <f>_xlfn.IFNA(VLOOKUP(CONCATENATE(AJ$4,$C51),'INSER DATA'!$A:$F,7,0),"")</f>
        <v/>
      </c>
      <c r="AK51" s="270" t="str">
        <f>_xlfn.IFNA(VLOOKUP(CONCATENATE(AK$4,$C51),'INSER DATA'!$A:$F,7,0),"")</f>
        <v/>
      </c>
      <c r="AL51" s="270" t="str">
        <f>_xlfn.IFNA(VLOOKUP(CONCATENATE(AL$4,$C51),'INSER DATA'!$A:$F,7,0),"")</f>
        <v/>
      </c>
      <c r="AM51" s="270" t="str">
        <f>_xlfn.IFNA(VLOOKUP(CONCATENATE(AM$4,$C51),'INSER DATA'!$A:$F,7,0),"")</f>
        <v/>
      </c>
      <c r="AN51" s="270" t="str">
        <f>_xlfn.IFNA(VLOOKUP(CONCATENATE(AN$4,$C51),'INSER DATA'!$A:$F,7,0),"")</f>
        <v/>
      </c>
      <c r="AO51" s="270" t="str">
        <f>_xlfn.IFNA(VLOOKUP(CONCATENATE(AO$4,$C51),'INSER DATA'!$A:$F,7,0),"")</f>
        <v/>
      </c>
      <c r="AP51" s="270" t="str">
        <f>_xlfn.IFNA(VLOOKUP(CONCATENATE(AP$4,$C51),'INSER DATA'!$A:$F,7,0),"")</f>
        <v/>
      </c>
      <c r="AQ51" s="270" t="str">
        <f>_xlfn.IFNA(VLOOKUP(CONCATENATE(AQ$4,$C51),'INSER DATA'!$A:$F,7,0),"")</f>
        <v/>
      </c>
      <c r="AR51" s="270" t="str">
        <f>_xlfn.IFNA(VLOOKUP(CONCATENATE(AR$4,$C51),'INSER DATA'!$A:$F,7,0),"")</f>
        <v/>
      </c>
      <c r="AS51" s="270" t="str">
        <f>_xlfn.IFNA(VLOOKUP(CONCATENATE(AS$4,$C51),'INSER DATA'!$A:$F,7,0),"")</f>
        <v/>
      </c>
      <c r="AT51" s="270" t="str">
        <f>_xlfn.IFNA(VLOOKUP(CONCATENATE(AT$4,$C51),'INSER DATA'!$A:$F,7,0),"")</f>
        <v/>
      </c>
      <c r="AU51" s="270" t="str">
        <f>_xlfn.IFNA(VLOOKUP(CONCATENATE(AU$4,$C51),'INSER DATA'!$A:$F,7,0),"")</f>
        <v/>
      </c>
      <c r="AV51" s="270" t="str">
        <f>_xlfn.IFNA(VLOOKUP(CONCATENATE(AV$4,$C51),'INSER DATA'!$A:$F,7,0),"")</f>
        <v/>
      </c>
      <c r="AW51" s="270" t="str">
        <f>_xlfn.IFNA(VLOOKUP(CONCATENATE(AW$4,$C51),'INSER DATA'!$A:$F,7,0),"")</f>
        <v/>
      </c>
      <c r="AX51" s="270" t="str">
        <f>_xlfn.IFNA(VLOOKUP(CONCATENATE(AX$4,$C51),'INSER DATA'!$A:$F,7,0),"")</f>
        <v/>
      </c>
      <c r="AY51" s="270" t="str">
        <f>_xlfn.IFNA(VLOOKUP(CONCATENATE(AY$4,$C51),'INSER DATA'!$A:$F,7,0),"")</f>
        <v/>
      </c>
      <c r="AZ51" s="270" t="str">
        <f>_xlfn.IFNA(VLOOKUP(CONCATENATE(AZ$4,$C51),'INSER DATA'!$A:$F,7,0),"")</f>
        <v/>
      </c>
      <c r="BA51" s="270" t="str">
        <f>_xlfn.IFNA(VLOOKUP(CONCATENATE(BA$4,$C51),'INSER DATA'!$A:$F,7,0),"")</f>
        <v/>
      </c>
      <c r="BB51" s="270" t="str">
        <f>_xlfn.IFNA(VLOOKUP(CONCATENATE(BB$4,$C51),'INSER DATA'!$A:$F,7,0),"")</f>
        <v/>
      </c>
      <c r="BC51" s="270" t="str">
        <f>_xlfn.IFNA(VLOOKUP(CONCATENATE(BC$4,$C51),'INSER DATA'!$A:$F,7,0),"")</f>
        <v/>
      </c>
      <c r="BD51" s="270" t="str">
        <f>_xlfn.IFNA(VLOOKUP(CONCATENATE(BD$4,$C51),'INSER DATA'!$A:$F,7,0),"")</f>
        <v/>
      </c>
      <c r="BE51" s="270" t="str">
        <f>_xlfn.IFNA(VLOOKUP(CONCATENATE(BE$4,$C51),'INSER DATA'!$A:$F,7,0),"")</f>
        <v/>
      </c>
      <c r="BF51" s="270" t="str">
        <f>_xlfn.IFNA(VLOOKUP(CONCATENATE(BF$4,$C51),'INSER DATA'!$A:$F,7,0),"")</f>
        <v/>
      </c>
      <c r="BG51" s="270" t="str">
        <f>_xlfn.IFNA(VLOOKUP(CONCATENATE(BG$4,$C51),'INSER DATA'!$A:$F,7,0),"")</f>
        <v/>
      </c>
      <c r="BH51" s="270" t="str">
        <f>_xlfn.IFNA(VLOOKUP(CONCATENATE(BH$4,$C51),'INSER DATA'!$A:$F,7,0),"")</f>
        <v/>
      </c>
      <c r="BI51" s="270" t="str">
        <f>_xlfn.IFNA(VLOOKUP(CONCATENATE(BI$4,$C51),'INSER DATA'!$A:$F,7,0),"")</f>
        <v/>
      </c>
      <c r="BJ51" s="270" t="str">
        <f>_xlfn.IFNA(VLOOKUP(CONCATENATE(BJ$4,$C51),'INSER DATA'!$A:$F,7,0),"")</f>
        <v/>
      </c>
      <c r="BK51" s="270" t="str">
        <f>_xlfn.IFNA(VLOOKUP(CONCATENATE(BK$4,$C51),'INSER DATA'!$A:$F,7,0),"")</f>
        <v/>
      </c>
      <c r="BL51" s="272"/>
      <c r="BM51" s="30"/>
      <c r="BN51" s="30"/>
      <c r="BO51" s="30"/>
      <c r="BP51" s="30"/>
      <c r="BQ51" s="30"/>
      <c r="BR51" s="30"/>
      <c r="BS51" s="30"/>
      <c r="BT51" s="30"/>
      <c r="BU51" s="30"/>
      <c r="BV51" s="30"/>
      <c r="BW51" s="30"/>
      <c r="BX51" s="30"/>
      <c r="BY51" s="30"/>
      <c r="BZ51" s="30"/>
      <c r="CA51" s="30"/>
      <c r="CB51" s="30"/>
      <c r="CC51" s="30"/>
      <c r="CD51" s="30"/>
      <c r="CE51" s="30"/>
      <c r="CF51" s="30"/>
      <c r="CG51" s="30"/>
      <c r="CH51" s="30"/>
      <c r="CI51" s="30"/>
      <c r="CJ51" s="30"/>
      <c r="CK51" s="30"/>
      <c r="CL51" s="30"/>
      <c r="CM51" s="30"/>
      <c r="CN51" s="30"/>
      <c r="CO51" s="30"/>
      <c r="CP51" s="30"/>
      <c r="CQ51" s="30"/>
      <c r="CR51" s="30"/>
      <c r="CS51" s="30"/>
      <c r="CT51" s="30"/>
      <c r="CU51" s="30"/>
      <c r="CV51" s="30"/>
      <c r="CW51" s="30"/>
      <c r="CX51" s="30"/>
      <c r="CY51" s="30"/>
      <c r="CZ51" s="30"/>
      <c r="DA51" s="30"/>
    </row>
    <row r="52" spans="1:105" ht="19.2" thickTop="1" thickBot="1" x14ac:dyDescent="0.4">
      <c r="A52" s="30"/>
      <c r="B52" s="30"/>
      <c r="C52" s="188" t="s">
        <v>1051</v>
      </c>
      <c r="D52" s="187" t="s">
        <v>646</v>
      </c>
      <c r="E52" s="35" t="str">
        <f>_xlfn.XLOOKUP(Tabella4[[#This Row],[NOME]],'ROSE SQUADRE'!$N$3:$N$253,'ROSE SQUADRE'!$O$3:$O$253,"")</f>
        <v/>
      </c>
      <c r="F52" s="36" t="s">
        <v>162</v>
      </c>
      <c r="G52" s="43"/>
      <c r="H52" s="43"/>
      <c r="I52" s="44">
        <f t="shared" si="0"/>
        <v>0</v>
      </c>
      <c r="J52" s="37">
        <f t="shared" si="1"/>
        <v>2</v>
      </c>
      <c r="K52" s="178">
        <f t="shared" si="2"/>
        <v>5.5</v>
      </c>
      <c r="L52" s="178">
        <f t="shared" si="3"/>
        <v>5.5</v>
      </c>
      <c r="M52" s="179">
        <f t="shared" si="4"/>
        <v>11</v>
      </c>
      <c r="N52" s="45">
        <f t="shared" ca="1" si="6"/>
        <v>0</v>
      </c>
      <c r="O52" s="40">
        <f>SUMIF(Tabella1[Nome],Tabella4[[#This Row],[NOME]],Tabella1[Gf])</f>
        <v>0</v>
      </c>
      <c r="P52" s="40">
        <f>-(SUMIF(Tabella1[Nome],Tabella4[[#This Row],[NOME]],Tabella1[Gs]))</f>
        <v>0</v>
      </c>
      <c r="Q52" s="40">
        <f>SUMIF(Tabella1[Nome],Tabella4[[#This Row],[NOME]],Tabella1[Rp])</f>
        <v>0</v>
      </c>
      <c r="R52" s="40">
        <f>SUMIF(Tabella1[Nome],Tabella4[[#This Row],[NOME]],Tabella1[Rs])</f>
        <v>0</v>
      </c>
      <c r="S52" s="40">
        <f>SUMIF(Tabella1[Nome],Tabella4[[#This Row],[NOME]],Tabella1[Rf])</f>
        <v>0</v>
      </c>
      <c r="T52" s="40">
        <f>SUMIF(Tabella1[Nome],Tabella4[[#This Row],[NOME]],Tabella1[Au])</f>
        <v>0</v>
      </c>
      <c r="U52" s="41">
        <f>SUMIF(Tabella1[Nome],Tabella4[[#This Row],[NOME]],Tabella1[Amm])</f>
        <v>0</v>
      </c>
      <c r="V52" s="42">
        <f>SUMIF(Tabella1[Nome],Tabella4[[#This Row],[NOME]],Tabella1[Esp])</f>
        <v>0</v>
      </c>
      <c r="W52" s="40">
        <f>SUMIF(Tabella1[Nome],Tabella4[[#This Row],[NOME]],Tabella1[Ass])</f>
        <v>0</v>
      </c>
      <c r="X52" s="40">
        <f>SUMIF(Tabella1[Nome],Tabella4[[#This Row],[NOME]],Tabella1[Gdv])</f>
        <v>0</v>
      </c>
      <c r="Y52" s="40">
        <f>SUMIF(Tabella1[Nome],Tabella4[[#This Row],[NOME]],Tabella1[cl sh])</f>
        <v>0</v>
      </c>
      <c r="Z52" s="270" t="str">
        <f>_xlfn.IFNA(_xlfn.XLOOKUP(CONCATENATE(Z$4,$C52),Tabella1[CONC X VOTI IN TAB GIOC],Tabella1[Voto],""),"")</f>
        <v/>
      </c>
      <c r="AA52" s="270" t="str">
        <f>_xlfn.IFNA(_xlfn.XLOOKUP(CONCATENATE(AA$4,$C52),Tabella1[CONC X VOTI IN TAB GIOC],Tabella1[Voto],""),"")</f>
        <v/>
      </c>
      <c r="AB52" s="270">
        <f>_xlfn.IFNA(_xlfn.XLOOKUP(CONCATENATE(AB$4,$C52),Tabella1[CONC X VOTI IN TAB GIOC],Tabella1[Voto]),"")</f>
        <v>6</v>
      </c>
      <c r="AC52" s="270" cm="1">
        <f t="array" ref="AC52">_xlfn.IFNA(_xlfn.XLOOKUP(CONCATENATE(AC$4,$C52),INDEX(Tabella1[],0,MATCH("CONC X VOTI IN TAB GIOC",Tabella1[#Headers],0)),INDEX(Tabella1[],0,MATCH("Voto",Tabella1[#Headers],0))),"")</f>
        <v>5</v>
      </c>
      <c r="AD52" s="270" t="str">
        <f>_xlfn.IFNA(_xlfn.XLOOKUP(CONCATENATE(AD$4,$C52),Tabella1[CONC X VOTI IN TAB GIOC],Tabella1[Voto]),"")</f>
        <v/>
      </c>
      <c r="AE52" s="270" t="str">
        <f>_xlfn.IFNA(VLOOKUP(CONCATENATE(AE$4,$C52),'INSER DATA'!$A:$F,6,0),"")</f>
        <v/>
      </c>
      <c r="AF52" s="270" t="str">
        <f>_xlfn.IFNA(VLOOKUP(CONCATENATE(AF$4,$C52),'INSER DATA'!$A:$F,6,0),"")</f>
        <v/>
      </c>
      <c r="AG52" s="270" t="str">
        <f>_xlfn.IFNA(VLOOKUP(CONCATENATE(AG$4,$C52),'INSER DATA'!$A:$F,6,0),"")</f>
        <v/>
      </c>
      <c r="AH52" s="270" t="str">
        <f>_xlfn.IFNA(VLOOKUP(CONCATENATE(AH$4,$C52),'INSER DATA'!$A:$F,7,0),"")</f>
        <v/>
      </c>
      <c r="AI52" s="270" t="str">
        <f>_xlfn.IFNA(VLOOKUP(CONCATENATE(AI$4,$C52),'INSER DATA'!$A:$F,7,0),"")</f>
        <v/>
      </c>
      <c r="AJ52" s="270" t="str">
        <f>_xlfn.IFNA(VLOOKUP(CONCATENATE(AJ$4,$C52),'INSER DATA'!$A:$F,7,0),"")</f>
        <v/>
      </c>
      <c r="AK52" s="270" t="str">
        <f>_xlfn.IFNA(VLOOKUP(CONCATENATE(AK$4,$C52),'INSER DATA'!$A:$F,7,0),"")</f>
        <v/>
      </c>
      <c r="AL52" s="270" t="str">
        <f>_xlfn.IFNA(VLOOKUP(CONCATENATE(AL$4,$C52),'INSER DATA'!$A:$F,7,0),"")</f>
        <v/>
      </c>
      <c r="AM52" s="270" t="str">
        <f>_xlfn.IFNA(VLOOKUP(CONCATENATE(AM$4,$C52),'INSER DATA'!$A:$F,7,0),"")</f>
        <v/>
      </c>
      <c r="AN52" s="270" t="str">
        <f>_xlfn.IFNA(VLOOKUP(CONCATENATE(AN$4,$C52),'INSER DATA'!$A:$F,7,0),"")</f>
        <v/>
      </c>
      <c r="AO52" s="270" t="str">
        <f>_xlfn.IFNA(VLOOKUP(CONCATENATE(AO$4,$C52),'INSER DATA'!$A:$F,7,0),"")</f>
        <v/>
      </c>
      <c r="AP52" s="270" t="str">
        <f>_xlfn.IFNA(VLOOKUP(CONCATENATE(AP$4,$C52),'INSER DATA'!$A:$F,7,0),"")</f>
        <v/>
      </c>
      <c r="AQ52" s="270" t="str">
        <f>_xlfn.IFNA(VLOOKUP(CONCATENATE(AQ$4,$C52),'INSER DATA'!$A:$F,7,0),"")</f>
        <v/>
      </c>
      <c r="AR52" s="270" t="str">
        <f>_xlfn.IFNA(VLOOKUP(CONCATENATE(AR$4,$C52),'INSER DATA'!$A:$F,7,0),"")</f>
        <v/>
      </c>
      <c r="AS52" s="270" t="str">
        <f>_xlfn.IFNA(VLOOKUP(CONCATENATE(AS$4,$C52),'INSER DATA'!$A:$F,7,0),"")</f>
        <v/>
      </c>
      <c r="AT52" s="270" t="str">
        <f>_xlfn.IFNA(VLOOKUP(CONCATENATE(AT$4,$C52),'INSER DATA'!$A:$F,7,0),"")</f>
        <v/>
      </c>
      <c r="AU52" s="270" t="str">
        <f>_xlfn.IFNA(VLOOKUP(CONCATENATE(AU$4,$C52),'INSER DATA'!$A:$F,7,0),"")</f>
        <v/>
      </c>
      <c r="AV52" s="270" t="str">
        <f>_xlfn.IFNA(VLOOKUP(CONCATENATE(AV$4,$C52),'INSER DATA'!$A:$F,7,0),"")</f>
        <v/>
      </c>
      <c r="AW52" s="270" t="str">
        <f>_xlfn.IFNA(VLOOKUP(CONCATENATE(AW$4,$C52),'INSER DATA'!$A:$F,7,0),"")</f>
        <v/>
      </c>
      <c r="AX52" s="270" t="str">
        <f>_xlfn.IFNA(VLOOKUP(CONCATENATE(AX$4,$C52),'INSER DATA'!$A:$F,7,0),"")</f>
        <v/>
      </c>
      <c r="AY52" s="270" t="str">
        <f>_xlfn.IFNA(VLOOKUP(CONCATENATE(AY$4,$C52),'INSER DATA'!$A:$F,7,0),"")</f>
        <v/>
      </c>
      <c r="AZ52" s="270" t="str">
        <f>_xlfn.IFNA(VLOOKUP(CONCATENATE(AZ$4,$C52),'INSER DATA'!$A:$F,7,0),"")</f>
        <v/>
      </c>
      <c r="BA52" s="270" t="str">
        <f>_xlfn.IFNA(VLOOKUP(CONCATENATE(BA$4,$C52),'INSER DATA'!$A:$F,7,0),"")</f>
        <v/>
      </c>
      <c r="BB52" s="270" t="str">
        <f>_xlfn.IFNA(VLOOKUP(CONCATENATE(BB$4,$C52),'INSER DATA'!$A:$F,7,0),"")</f>
        <v/>
      </c>
      <c r="BC52" s="270" t="str">
        <f>_xlfn.IFNA(VLOOKUP(CONCATENATE(BC$4,$C52),'INSER DATA'!$A:$F,7,0),"")</f>
        <v/>
      </c>
      <c r="BD52" s="270" t="str">
        <f>_xlfn.IFNA(VLOOKUP(CONCATENATE(BD$4,$C52),'INSER DATA'!$A:$F,7,0),"")</f>
        <v/>
      </c>
      <c r="BE52" s="270" t="str">
        <f>_xlfn.IFNA(VLOOKUP(CONCATENATE(BE$4,$C52),'INSER DATA'!$A:$F,7,0),"")</f>
        <v/>
      </c>
      <c r="BF52" s="270" t="str">
        <f>_xlfn.IFNA(VLOOKUP(CONCATENATE(BF$4,$C52),'INSER DATA'!$A:$F,7,0),"")</f>
        <v/>
      </c>
      <c r="BG52" s="270" t="str">
        <f>_xlfn.IFNA(VLOOKUP(CONCATENATE(BG$4,$C52),'INSER DATA'!$A:$F,7,0),"")</f>
        <v/>
      </c>
      <c r="BH52" s="270" t="str">
        <f>_xlfn.IFNA(VLOOKUP(CONCATENATE(BH$4,$C52),'INSER DATA'!$A:$F,7,0),"")</f>
        <v/>
      </c>
      <c r="BI52" s="270" t="str">
        <f>_xlfn.IFNA(VLOOKUP(CONCATENATE(BI$4,$C52),'INSER DATA'!$A:$F,7,0),"")</f>
        <v/>
      </c>
      <c r="BJ52" s="270" t="str">
        <f>_xlfn.IFNA(VLOOKUP(CONCATENATE(BJ$4,$C52),'INSER DATA'!$A:$F,7,0),"")</f>
        <v/>
      </c>
      <c r="BK52" s="270" t="str">
        <f>_xlfn.IFNA(VLOOKUP(CONCATENATE(BK$4,$C52),'INSER DATA'!$A:$F,7,0),"")</f>
        <v/>
      </c>
      <c r="BL52" s="272"/>
      <c r="BM52" s="30"/>
      <c r="BN52" s="30"/>
      <c r="BO52" s="30"/>
      <c r="BP52" s="30"/>
      <c r="BQ52" s="30"/>
      <c r="BR52" s="30"/>
      <c r="BS52" s="30"/>
      <c r="BT52" s="30"/>
      <c r="BU52" s="30"/>
      <c r="BV52" s="30"/>
      <c r="BW52" s="30"/>
      <c r="BX52" s="30"/>
      <c r="BY52" s="30"/>
      <c r="BZ52" s="30"/>
      <c r="CA52" s="30"/>
      <c r="CB52" s="30"/>
      <c r="CC52" s="30"/>
      <c r="CD52" s="30"/>
      <c r="CE52" s="30"/>
      <c r="CF52" s="30"/>
      <c r="CG52" s="30"/>
      <c r="CH52" s="30"/>
      <c r="CI52" s="30"/>
      <c r="CJ52" s="30"/>
      <c r="CK52" s="30"/>
      <c r="CL52" s="30"/>
      <c r="CM52" s="30"/>
      <c r="CN52" s="30"/>
      <c r="CO52" s="30"/>
      <c r="CP52" s="30"/>
      <c r="CQ52" s="30"/>
      <c r="CR52" s="30"/>
      <c r="CS52" s="30"/>
      <c r="CT52" s="30"/>
      <c r="CU52" s="30"/>
      <c r="CV52" s="30"/>
      <c r="CW52" s="30"/>
      <c r="CX52" s="30"/>
      <c r="CY52" s="30"/>
      <c r="CZ52" s="30"/>
      <c r="DA52" s="30"/>
    </row>
    <row r="53" spans="1:105" ht="19.2" thickTop="1" thickBot="1" x14ac:dyDescent="0.4">
      <c r="A53" s="30"/>
      <c r="B53" s="30"/>
      <c r="C53" s="188" t="s">
        <v>1052</v>
      </c>
      <c r="D53" s="187" t="s">
        <v>1060</v>
      </c>
      <c r="E53" s="35" t="str">
        <f>_xlfn.XLOOKUP(Tabella4[[#This Row],[NOME]],'ROSE SQUADRE'!$N$3:$N$253,'ROSE SQUADRE'!$O$3:$O$253,"")</f>
        <v/>
      </c>
      <c r="F53" s="36" t="s">
        <v>163</v>
      </c>
      <c r="G53" s="43"/>
      <c r="H53" s="43"/>
      <c r="I53" s="44">
        <f t="shared" si="0"/>
        <v>0</v>
      </c>
      <c r="J53" s="37">
        <f t="shared" si="1"/>
        <v>1</v>
      </c>
      <c r="K53" s="178">
        <f t="shared" si="2"/>
        <v>6.5</v>
      </c>
      <c r="L53" s="178">
        <f t="shared" si="3"/>
        <v>6.5</v>
      </c>
      <c r="M53" s="179">
        <f t="shared" si="4"/>
        <v>6.5</v>
      </c>
      <c r="N53" s="45">
        <f t="shared" ca="1" si="6"/>
        <v>0</v>
      </c>
      <c r="O53" s="40">
        <f>SUMIF(Tabella1[Nome],Tabella4[[#This Row],[NOME]],Tabella1[Gf])</f>
        <v>0</v>
      </c>
      <c r="P53" s="40">
        <f>-(SUMIF(Tabella1[Nome],Tabella4[[#This Row],[NOME]],Tabella1[Gs]))</f>
        <v>0</v>
      </c>
      <c r="Q53" s="40">
        <f>SUMIF(Tabella1[Nome],Tabella4[[#This Row],[NOME]],Tabella1[Rp])</f>
        <v>0</v>
      </c>
      <c r="R53" s="40">
        <f>SUMIF(Tabella1[Nome],Tabella4[[#This Row],[NOME]],Tabella1[Rs])</f>
        <v>0</v>
      </c>
      <c r="S53" s="40">
        <f>SUMIF(Tabella1[Nome],Tabella4[[#This Row],[NOME]],Tabella1[Rf])</f>
        <v>0</v>
      </c>
      <c r="T53" s="40">
        <f>SUMIF(Tabella1[Nome],Tabella4[[#This Row],[NOME]],Tabella1[Au])</f>
        <v>0</v>
      </c>
      <c r="U53" s="41">
        <f>SUMIF(Tabella1[Nome],Tabella4[[#This Row],[NOME]],Tabella1[Amm])</f>
        <v>0</v>
      </c>
      <c r="V53" s="42">
        <f>SUMIF(Tabella1[Nome],Tabella4[[#This Row],[NOME]],Tabella1[Esp])</f>
        <v>0</v>
      </c>
      <c r="W53" s="40">
        <f>SUMIF(Tabella1[Nome],Tabella4[[#This Row],[NOME]],Tabella1[Ass])</f>
        <v>0</v>
      </c>
      <c r="X53" s="40">
        <f>SUMIF(Tabella1[Nome],Tabella4[[#This Row],[NOME]],Tabella1[Gdv])</f>
        <v>0</v>
      </c>
      <c r="Y53" s="40">
        <f>SUMIF(Tabella1[Nome],Tabella4[[#This Row],[NOME]],Tabella1[cl sh])</f>
        <v>0</v>
      </c>
      <c r="Z53" s="270" t="str">
        <f>_xlfn.IFNA(_xlfn.XLOOKUP(CONCATENATE(Z$4,$C53),Tabella1[CONC X VOTI IN TAB GIOC],Tabella1[Voto],""),"")</f>
        <v/>
      </c>
      <c r="AA53" s="270" t="str">
        <f>_xlfn.IFNA(_xlfn.XLOOKUP(CONCATENATE(AA$4,$C53),Tabella1[CONC X VOTI IN TAB GIOC],Tabella1[Voto],""),"")</f>
        <v/>
      </c>
      <c r="AB53" s="270">
        <f>_xlfn.IFNA(_xlfn.XLOOKUP(CONCATENATE(AB$4,$C53),Tabella1[CONC X VOTI IN TAB GIOC],Tabella1[Voto]),"")</f>
        <v>6.5</v>
      </c>
      <c r="AC53" s="270" t="str" cm="1">
        <f t="array" ref="AC53">_xlfn.IFNA(_xlfn.XLOOKUP(CONCATENATE(AC$4,$C53),INDEX(Tabella1[],0,MATCH("CONC X VOTI IN TAB GIOC",Tabella1[#Headers],0)),INDEX(Tabella1[],0,MATCH("Voto",Tabella1[#Headers],0))),"")</f>
        <v/>
      </c>
      <c r="AD53" s="270" t="str">
        <f>_xlfn.IFNA(_xlfn.XLOOKUP(CONCATENATE(AD$4,$C53),Tabella1[CONC X VOTI IN TAB GIOC],Tabella1[Voto]),"")</f>
        <v/>
      </c>
      <c r="AE53" s="270" t="str">
        <f>_xlfn.IFNA(VLOOKUP(CONCATENATE(AE$4,$C53),'INSER DATA'!$A:$F,6,0),"")</f>
        <v/>
      </c>
      <c r="AF53" s="270" t="str">
        <f>_xlfn.IFNA(VLOOKUP(CONCATENATE(AF$4,$C53),'INSER DATA'!$A:$F,6,0),"")</f>
        <v/>
      </c>
      <c r="AG53" s="270" t="str">
        <f>_xlfn.IFNA(VLOOKUP(CONCATENATE(AG$4,$C53),'INSER DATA'!$A:$F,6,0),"")</f>
        <v/>
      </c>
      <c r="AH53" s="270" t="str">
        <f>_xlfn.IFNA(VLOOKUP(CONCATENATE(AH$4,$C53),'INSER DATA'!$A:$F,7,0),"")</f>
        <v/>
      </c>
      <c r="AI53" s="270" t="str">
        <f>_xlfn.IFNA(VLOOKUP(CONCATENATE(AI$4,$C53),'INSER DATA'!$A:$F,7,0),"")</f>
        <v/>
      </c>
      <c r="AJ53" s="270" t="str">
        <f>_xlfn.IFNA(VLOOKUP(CONCATENATE(AJ$4,$C53),'INSER DATA'!$A:$F,7,0),"")</f>
        <v/>
      </c>
      <c r="AK53" s="270" t="str">
        <f>_xlfn.IFNA(VLOOKUP(CONCATENATE(AK$4,$C53),'INSER DATA'!$A:$F,7,0),"")</f>
        <v/>
      </c>
      <c r="AL53" s="270" t="str">
        <f>_xlfn.IFNA(VLOOKUP(CONCATENATE(AL$4,$C53),'INSER DATA'!$A:$F,7,0),"")</f>
        <v/>
      </c>
      <c r="AM53" s="270" t="str">
        <f>_xlfn.IFNA(VLOOKUP(CONCATENATE(AM$4,$C53),'INSER DATA'!$A:$F,7,0),"")</f>
        <v/>
      </c>
      <c r="AN53" s="270" t="str">
        <f>_xlfn.IFNA(VLOOKUP(CONCATENATE(AN$4,$C53),'INSER DATA'!$A:$F,7,0),"")</f>
        <v/>
      </c>
      <c r="AO53" s="270" t="str">
        <f>_xlfn.IFNA(VLOOKUP(CONCATENATE(AO$4,$C53),'INSER DATA'!$A:$F,7,0),"")</f>
        <v/>
      </c>
      <c r="AP53" s="270" t="str">
        <f>_xlfn.IFNA(VLOOKUP(CONCATENATE(AP$4,$C53),'INSER DATA'!$A:$F,7,0),"")</f>
        <v/>
      </c>
      <c r="AQ53" s="270" t="str">
        <f>_xlfn.IFNA(VLOOKUP(CONCATENATE(AQ$4,$C53),'INSER DATA'!$A:$F,7,0),"")</f>
        <v/>
      </c>
      <c r="AR53" s="270" t="str">
        <f>_xlfn.IFNA(VLOOKUP(CONCATENATE(AR$4,$C53),'INSER DATA'!$A:$F,7,0),"")</f>
        <v/>
      </c>
      <c r="AS53" s="270" t="str">
        <f>_xlfn.IFNA(VLOOKUP(CONCATENATE(AS$4,$C53),'INSER DATA'!$A:$F,7,0),"")</f>
        <v/>
      </c>
      <c r="AT53" s="270" t="str">
        <f>_xlfn.IFNA(VLOOKUP(CONCATENATE(AT$4,$C53),'INSER DATA'!$A:$F,7,0),"")</f>
        <v/>
      </c>
      <c r="AU53" s="270" t="str">
        <f>_xlfn.IFNA(VLOOKUP(CONCATENATE(AU$4,$C53),'INSER DATA'!$A:$F,7,0),"")</f>
        <v/>
      </c>
      <c r="AV53" s="270" t="str">
        <f>_xlfn.IFNA(VLOOKUP(CONCATENATE(AV$4,$C53),'INSER DATA'!$A:$F,7,0),"")</f>
        <v/>
      </c>
      <c r="AW53" s="270" t="str">
        <f>_xlfn.IFNA(VLOOKUP(CONCATENATE(AW$4,$C53),'INSER DATA'!$A:$F,7,0),"")</f>
        <v/>
      </c>
      <c r="AX53" s="270" t="str">
        <f>_xlfn.IFNA(VLOOKUP(CONCATENATE(AX$4,$C53),'INSER DATA'!$A:$F,7,0),"")</f>
        <v/>
      </c>
      <c r="AY53" s="270" t="str">
        <f>_xlfn.IFNA(VLOOKUP(CONCATENATE(AY$4,$C53),'INSER DATA'!$A:$F,7,0),"")</f>
        <v/>
      </c>
      <c r="AZ53" s="270" t="str">
        <f>_xlfn.IFNA(VLOOKUP(CONCATENATE(AZ$4,$C53),'INSER DATA'!$A:$F,7,0),"")</f>
        <v/>
      </c>
      <c r="BA53" s="270" t="str">
        <f>_xlfn.IFNA(VLOOKUP(CONCATENATE(BA$4,$C53),'INSER DATA'!$A:$F,7,0),"")</f>
        <v/>
      </c>
      <c r="BB53" s="270" t="str">
        <f>_xlfn.IFNA(VLOOKUP(CONCATENATE(BB$4,$C53),'INSER DATA'!$A:$F,7,0),"")</f>
        <v/>
      </c>
      <c r="BC53" s="270" t="str">
        <f>_xlfn.IFNA(VLOOKUP(CONCATENATE(BC$4,$C53),'INSER DATA'!$A:$F,7,0),"")</f>
        <v/>
      </c>
      <c r="BD53" s="270" t="str">
        <f>_xlfn.IFNA(VLOOKUP(CONCATENATE(BD$4,$C53),'INSER DATA'!$A:$F,7,0),"")</f>
        <v/>
      </c>
      <c r="BE53" s="270" t="str">
        <f>_xlfn.IFNA(VLOOKUP(CONCATENATE(BE$4,$C53),'INSER DATA'!$A:$F,7,0),"")</f>
        <v/>
      </c>
      <c r="BF53" s="270" t="str">
        <f>_xlfn.IFNA(VLOOKUP(CONCATENATE(BF$4,$C53),'INSER DATA'!$A:$F,7,0),"")</f>
        <v/>
      </c>
      <c r="BG53" s="270" t="str">
        <f>_xlfn.IFNA(VLOOKUP(CONCATENATE(BG$4,$C53),'INSER DATA'!$A:$F,7,0),"")</f>
        <v/>
      </c>
      <c r="BH53" s="270" t="str">
        <f>_xlfn.IFNA(VLOOKUP(CONCATENATE(BH$4,$C53),'INSER DATA'!$A:$F,7,0),"")</f>
        <v/>
      </c>
      <c r="BI53" s="270" t="str">
        <f>_xlfn.IFNA(VLOOKUP(CONCATENATE(BI$4,$C53),'INSER DATA'!$A:$F,7,0),"")</f>
        <v/>
      </c>
      <c r="BJ53" s="270" t="str">
        <f>_xlfn.IFNA(VLOOKUP(CONCATENATE(BJ$4,$C53),'INSER DATA'!$A:$F,7,0),"")</f>
        <v/>
      </c>
      <c r="BK53" s="270" t="str">
        <f>_xlfn.IFNA(VLOOKUP(CONCATENATE(BK$4,$C53),'INSER DATA'!$A:$F,7,0),"")</f>
        <v/>
      </c>
      <c r="BL53" s="272"/>
      <c r="BM53" s="30"/>
      <c r="BN53" s="30"/>
      <c r="BO53" s="30"/>
      <c r="BP53" s="30"/>
      <c r="BQ53" s="30"/>
      <c r="BR53" s="30"/>
      <c r="BS53" s="30"/>
      <c r="BT53" s="30"/>
      <c r="BU53" s="30"/>
      <c r="BV53" s="30"/>
      <c r="BW53" s="30"/>
      <c r="BX53" s="30"/>
      <c r="BY53" s="30"/>
      <c r="BZ53" s="30"/>
      <c r="CA53" s="30"/>
      <c r="CB53" s="30"/>
      <c r="CC53" s="30"/>
      <c r="CD53" s="30"/>
      <c r="CE53" s="30"/>
      <c r="CF53" s="30"/>
      <c r="CG53" s="30"/>
      <c r="CH53" s="30"/>
      <c r="CI53" s="30"/>
      <c r="CJ53" s="30"/>
      <c r="CK53" s="30"/>
      <c r="CL53" s="30"/>
      <c r="CM53" s="30"/>
      <c r="CN53" s="30"/>
      <c r="CO53" s="30"/>
      <c r="CP53" s="30"/>
      <c r="CQ53" s="30"/>
      <c r="CR53" s="30"/>
      <c r="CS53" s="30"/>
      <c r="CT53" s="30"/>
      <c r="CU53" s="30"/>
      <c r="CV53" s="30"/>
      <c r="CW53" s="30"/>
      <c r="CX53" s="30"/>
      <c r="CY53" s="30"/>
      <c r="CZ53" s="30"/>
      <c r="DA53" s="30"/>
    </row>
    <row r="54" spans="1:105" ht="19.2" thickTop="1" thickBot="1" x14ac:dyDescent="0.4">
      <c r="A54" s="30"/>
      <c r="B54" s="30"/>
      <c r="C54" s="362" t="s">
        <v>661</v>
      </c>
      <c r="D54" s="365" t="s">
        <v>662</v>
      </c>
      <c r="E54" s="35" t="str">
        <f>_xlfn.XLOOKUP(Tabella4[[#This Row],[NOME]],'ROSE SQUADRE'!$N$3:$N$253,'ROSE SQUADRE'!$O$3:$O$253,"")</f>
        <v>AC ASPARAGHESE</v>
      </c>
      <c r="F54" s="36" t="s">
        <v>5</v>
      </c>
      <c r="G54" s="43">
        <v>9</v>
      </c>
      <c r="H54" s="43">
        <v>10</v>
      </c>
      <c r="I54" s="44">
        <f t="shared" si="0"/>
        <v>1</v>
      </c>
      <c r="J54" s="37">
        <f t="shared" si="1"/>
        <v>4</v>
      </c>
      <c r="K54" s="178">
        <f t="shared" si="2"/>
        <v>6.375</v>
      </c>
      <c r="L54" s="178">
        <f t="shared" si="3"/>
        <v>6.375</v>
      </c>
      <c r="M54" s="179">
        <f t="shared" si="4"/>
        <v>25.5</v>
      </c>
      <c r="N54" s="45">
        <f t="shared" ca="1" si="6"/>
        <v>0</v>
      </c>
      <c r="O54" s="40">
        <f>SUMIF(Tabella1[Nome],Tabella4[[#This Row],[NOME]],Tabella1[Gf])</f>
        <v>0</v>
      </c>
      <c r="P54" s="40">
        <f>-(SUMIF(Tabella1[Nome],Tabella4[[#This Row],[NOME]],Tabella1[Gs]))</f>
        <v>-2</v>
      </c>
      <c r="Q54" s="40">
        <f>SUMIF(Tabella1[Nome],Tabella4[[#This Row],[NOME]],Tabella1[Rp])</f>
        <v>0</v>
      </c>
      <c r="R54" s="40">
        <f>SUMIF(Tabella1[Nome],Tabella4[[#This Row],[NOME]],Tabella1[Rs])</f>
        <v>0</v>
      </c>
      <c r="S54" s="40">
        <f>SUMIF(Tabella1[Nome],Tabella4[[#This Row],[NOME]],Tabella1[Rf])</f>
        <v>0</v>
      </c>
      <c r="T54" s="40">
        <f>SUMIF(Tabella1[Nome],Tabella4[[#This Row],[NOME]],Tabella1[Au])</f>
        <v>0</v>
      </c>
      <c r="U54" s="41">
        <f>SUMIF(Tabella1[Nome],Tabella4[[#This Row],[NOME]],Tabella1[Amm])</f>
        <v>0</v>
      </c>
      <c r="V54" s="42">
        <f>SUMIF(Tabella1[Nome],Tabella4[[#This Row],[NOME]],Tabella1[Esp])</f>
        <v>0</v>
      </c>
      <c r="W54" s="40">
        <f>SUMIF(Tabella1[Nome],Tabella4[[#This Row],[NOME]],Tabella1[Ass])</f>
        <v>0</v>
      </c>
      <c r="X54" s="40">
        <f>SUMIF(Tabella1[Nome],Tabella4[[#This Row],[NOME]],Tabella1[Gdv])</f>
        <v>0</v>
      </c>
      <c r="Y54" s="40">
        <f>SUMIF(Tabella1[Nome],Tabella4[[#This Row],[NOME]],Tabella1[cl sh])</f>
        <v>2</v>
      </c>
      <c r="Z54" s="270">
        <f>_xlfn.IFNA(_xlfn.XLOOKUP(CONCATENATE(Z$4,$C54),Tabella1[CONC X VOTI IN TAB GIOC],Tabella1[Voto],""),"")</f>
        <v>6</v>
      </c>
      <c r="AA54" s="270">
        <f>_xlfn.IFNA(_xlfn.XLOOKUP(CONCATENATE(AA$4,$C54),Tabella1[CONC X VOTI IN TAB GIOC],Tabella1[Voto],""),"")</f>
        <v>7</v>
      </c>
      <c r="AB54" s="270">
        <f>_xlfn.IFNA(_xlfn.XLOOKUP(CONCATENATE(AB$4,$C54),Tabella1[CONC X VOTI IN TAB GIOC],Tabella1[Voto]),"")</f>
        <v>6</v>
      </c>
      <c r="AC54" s="270" cm="1">
        <f t="array" ref="AC54">_xlfn.IFNA(_xlfn.XLOOKUP(CONCATENATE(AC$4,$C54),INDEX(Tabella1[],0,MATCH("CONC X VOTI IN TAB GIOC",Tabella1[#Headers],0)),INDEX(Tabella1[],0,MATCH("Voto",Tabella1[#Headers],0))),"")</f>
        <v>6.5</v>
      </c>
      <c r="AD54" s="270" t="str">
        <f>_xlfn.IFNA(_xlfn.XLOOKUP(CONCATENATE(AD$4,$C54),Tabella1[CONC X VOTI IN TAB GIOC],Tabella1[Voto]),"")</f>
        <v/>
      </c>
      <c r="AE54" s="270" t="str">
        <f>_xlfn.IFNA(VLOOKUP(CONCATENATE(AE$4,$C54),'INSER DATA'!$A:$F,6,0),"")</f>
        <v/>
      </c>
      <c r="AF54" s="270" t="str">
        <f>_xlfn.IFNA(VLOOKUP(CONCATENATE(AF$4,$C54),'INSER DATA'!$A:$F,6,0),"")</f>
        <v/>
      </c>
      <c r="AG54" s="270" t="str">
        <f>_xlfn.IFNA(VLOOKUP(CONCATENATE(AG$4,$C54),'INSER DATA'!$A:$F,6,0),"")</f>
        <v/>
      </c>
      <c r="AH54" s="270" t="str">
        <f>_xlfn.IFNA(VLOOKUP(CONCATENATE(AH$4,$C54),'INSER DATA'!$A:$F,7,0),"")</f>
        <v/>
      </c>
      <c r="AI54" s="270" t="str">
        <f>_xlfn.IFNA(VLOOKUP(CONCATENATE(AI$4,$C54),'INSER DATA'!$A:$F,7,0),"")</f>
        <v/>
      </c>
      <c r="AJ54" s="270" t="str">
        <f>_xlfn.IFNA(VLOOKUP(CONCATENATE(AJ$4,$C54),'INSER DATA'!$A:$F,7,0),"")</f>
        <v/>
      </c>
      <c r="AK54" s="270" t="str">
        <f>_xlfn.IFNA(VLOOKUP(CONCATENATE(AK$4,$C54),'INSER DATA'!$A:$F,7,0),"")</f>
        <v/>
      </c>
      <c r="AL54" s="270" t="str">
        <f>_xlfn.IFNA(VLOOKUP(CONCATENATE(AL$4,$C54),'INSER DATA'!$A:$F,7,0),"")</f>
        <v/>
      </c>
      <c r="AM54" s="270" t="str">
        <f>_xlfn.IFNA(VLOOKUP(CONCATENATE(AM$4,$C54),'INSER DATA'!$A:$F,7,0),"")</f>
        <v/>
      </c>
      <c r="AN54" s="270" t="str">
        <f>_xlfn.IFNA(VLOOKUP(CONCATENATE(AN$4,$C54),'INSER DATA'!$A:$F,7,0),"")</f>
        <v/>
      </c>
      <c r="AO54" s="270" t="str">
        <f>_xlfn.IFNA(VLOOKUP(CONCATENATE(AO$4,$C54),'INSER DATA'!$A:$F,7,0),"")</f>
        <v/>
      </c>
      <c r="AP54" s="270" t="str">
        <f>_xlfn.IFNA(VLOOKUP(CONCATENATE(AP$4,$C54),'INSER DATA'!$A:$F,7,0),"")</f>
        <v/>
      </c>
      <c r="AQ54" s="270" t="str">
        <f>_xlfn.IFNA(VLOOKUP(CONCATENATE(AQ$4,$C54),'INSER DATA'!$A:$F,7,0),"")</f>
        <v/>
      </c>
      <c r="AR54" s="270" t="str">
        <f>_xlfn.IFNA(VLOOKUP(CONCATENATE(AR$4,$C54),'INSER DATA'!$A:$F,7,0),"")</f>
        <v/>
      </c>
      <c r="AS54" s="270" t="str">
        <f>_xlfn.IFNA(VLOOKUP(CONCATENATE(AS$4,$C54),'INSER DATA'!$A:$F,7,0),"")</f>
        <v/>
      </c>
      <c r="AT54" s="270" t="str">
        <f>_xlfn.IFNA(VLOOKUP(CONCATENATE(AT$4,$C54),'INSER DATA'!$A:$F,7,0),"")</f>
        <v/>
      </c>
      <c r="AU54" s="270" t="str">
        <f>_xlfn.IFNA(VLOOKUP(CONCATENATE(AU$4,$C54),'INSER DATA'!$A:$F,7,0),"")</f>
        <v/>
      </c>
      <c r="AV54" s="270" t="str">
        <f>_xlfn.IFNA(VLOOKUP(CONCATENATE(AV$4,$C54),'INSER DATA'!$A:$F,7,0),"")</f>
        <v/>
      </c>
      <c r="AW54" s="270" t="str">
        <f>_xlfn.IFNA(VLOOKUP(CONCATENATE(AW$4,$C54),'INSER DATA'!$A:$F,7,0),"")</f>
        <v/>
      </c>
      <c r="AX54" s="270" t="str">
        <f>_xlfn.IFNA(VLOOKUP(CONCATENATE(AX$4,$C54),'INSER DATA'!$A:$F,7,0),"")</f>
        <v/>
      </c>
      <c r="AY54" s="270" t="str">
        <f>_xlfn.IFNA(VLOOKUP(CONCATENATE(AY$4,$C54),'INSER DATA'!$A:$F,7,0),"")</f>
        <v/>
      </c>
      <c r="AZ54" s="270" t="str">
        <f>_xlfn.IFNA(VLOOKUP(CONCATENATE(AZ$4,$C54),'INSER DATA'!$A:$F,7,0),"")</f>
        <v/>
      </c>
      <c r="BA54" s="270" t="str">
        <f>_xlfn.IFNA(VLOOKUP(CONCATENATE(BA$4,$C54),'INSER DATA'!$A:$F,7,0),"")</f>
        <v/>
      </c>
      <c r="BB54" s="270" t="str">
        <f>_xlfn.IFNA(VLOOKUP(CONCATENATE(BB$4,$C54),'INSER DATA'!$A:$F,7,0),"")</f>
        <v/>
      </c>
      <c r="BC54" s="270" t="str">
        <f>_xlfn.IFNA(VLOOKUP(CONCATENATE(BC$4,$C54),'INSER DATA'!$A:$F,7,0),"")</f>
        <v/>
      </c>
      <c r="BD54" s="270" t="str">
        <f>_xlfn.IFNA(VLOOKUP(CONCATENATE(BD$4,$C54),'INSER DATA'!$A:$F,7,0),"")</f>
        <v/>
      </c>
      <c r="BE54" s="270" t="str">
        <f>_xlfn.IFNA(VLOOKUP(CONCATENATE(BE$4,$C54),'INSER DATA'!$A:$F,7,0),"")</f>
        <v/>
      </c>
      <c r="BF54" s="270" t="str">
        <f>_xlfn.IFNA(VLOOKUP(CONCATENATE(BF$4,$C54),'INSER DATA'!$A:$F,7,0),"")</f>
        <v/>
      </c>
      <c r="BG54" s="270" t="str">
        <f>_xlfn.IFNA(VLOOKUP(CONCATENATE(BG$4,$C54),'INSER DATA'!$A:$F,7,0),"")</f>
        <v/>
      </c>
      <c r="BH54" s="270" t="str">
        <f>_xlfn.IFNA(VLOOKUP(CONCATENATE(BH$4,$C54),'INSER DATA'!$A:$F,7,0),"")</f>
        <v/>
      </c>
      <c r="BI54" s="270" t="str">
        <f>_xlfn.IFNA(VLOOKUP(CONCATENATE(BI$4,$C54),'INSER DATA'!$A:$F,7,0),"")</f>
        <v/>
      </c>
      <c r="BJ54" s="270" t="str">
        <f>_xlfn.IFNA(VLOOKUP(CONCATENATE(BJ$4,$C54),'INSER DATA'!$A:$F,7,0),"")</f>
        <v/>
      </c>
      <c r="BK54" s="270" t="str">
        <f>_xlfn.IFNA(VLOOKUP(CONCATENATE(BK$4,$C54),'INSER DATA'!$A:$F,7,0),"")</f>
        <v/>
      </c>
      <c r="BL54" s="272"/>
      <c r="BM54" s="30"/>
      <c r="BN54" s="30"/>
      <c r="BO54" s="30"/>
      <c r="BP54" s="30"/>
      <c r="BQ54" s="30"/>
      <c r="BR54" s="30"/>
      <c r="BS54" s="30"/>
      <c r="BT54" s="30"/>
      <c r="BU54" s="30"/>
      <c r="BV54" s="30"/>
      <c r="BW54" s="30"/>
      <c r="BX54" s="30"/>
      <c r="BY54" s="30"/>
      <c r="BZ54" s="30"/>
      <c r="CA54" s="30"/>
      <c r="CB54" s="30"/>
      <c r="CC54" s="30"/>
      <c r="CD54" s="30"/>
      <c r="CE54" s="30"/>
      <c r="CF54" s="30"/>
      <c r="CG54" s="30"/>
      <c r="CH54" s="30"/>
      <c r="CI54" s="30"/>
      <c r="CJ54" s="30"/>
      <c r="CK54" s="30"/>
      <c r="CL54" s="30"/>
      <c r="CM54" s="30"/>
      <c r="CN54" s="30"/>
      <c r="CO54" s="30"/>
      <c r="CP54" s="30"/>
      <c r="CQ54" s="30"/>
      <c r="CR54" s="30"/>
      <c r="CS54" s="30"/>
      <c r="CT54" s="30"/>
      <c r="CU54" s="30"/>
      <c r="CV54" s="30"/>
      <c r="CW54" s="30"/>
      <c r="CX54" s="30"/>
      <c r="CY54" s="30"/>
      <c r="CZ54" s="30"/>
      <c r="DA54" s="30"/>
    </row>
    <row r="55" spans="1:105" ht="19.2" thickTop="1" thickBot="1" x14ac:dyDescent="0.4">
      <c r="A55" s="30"/>
      <c r="B55" s="30"/>
      <c r="C55" s="356" t="s">
        <v>673</v>
      </c>
      <c r="D55" s="357" t="s">
        <v>662</v>
      </c>
      <c r="E55" s="35" t="str">
        <f>_xlfn.XLOOKUP(Tabella4[[#This Row],[NOME]],'ROSE SQUADRE'!$N$3:$N$253,'ROSE SQUADRE'!$O$3:$O$253,"")</f>
        <v>PARTIZAN DEGRADO</v>
      </c>
      <c r="F55" s="36" t="s">
        <v>162</v>
      </c>
      <c r="G55" s="43">
        <v>5</v>
      </c>
      <c r="H55" s="43">
        <v>7</v>
      </c>
      <c r="I55" s="44">
        <f t="shared" si="0"/>
        <v>2</v>
      </c>
      <c r="J55" s="37">
        <f t="shared" si="1"/>
        <v>4</v>
      </c>
      <c r="K55" s="38">
        <f t="shared" si="2"/>
        <v>6.625</v>
      </c>
      <c r="L55" s="38">
        <f t="shared" si="3"/>
        <v>7.625</v>
      </c>
      <c r="M55" s="39">
        <f t="shared" si="4"/>
        <v>30.5</v>
      </c>
      <c r="N55" s="45">
        <f t="shared" ca="1" si="6"/>
        <v>0</v>
      </c>
      <c r="O55" s="40">
        <f>SUMIF(Tabella1[Nome],Tabella4[[#This Row],[NOME]],Tabella1[Gf])</f>
        <v>1</v>
      </c>
      <c r="P55" s="40">
        <f>-(SUMIF(Tabella1[Nome],Tabella4[[#This Row],[NOME]],Tabella1[Gs]))</f>
        <v>0</v>
      </c>
      <c r="Q55" s="40">
        <f>SUMIF(Tabella1[Nome],Tabella4[[#This Row],[NOME]],Tabella1[Rp])</f>
        <v>0</v>
      </c>
      <c r="R55" s="40">
        <f>SUMIF(Tabella1[Nome],Tabella4[[#This Row],[NOME]],Tabella1[Rs])</f>
        <v>0</v>
      </c>
      <c r="S55" s="40">
        <f>SUMIF(Tabella1[Nome],Tabella4[[#This Row],[NOME]],Tabella1[Rf])</f>
        <v>0</v>
      </c>
      <c r="T55" s="40">
        <f>SUMIF(Tabella1[Nome],Tabella4[[#This Row],[NOME]],Tabella1[Au])</f>
        <v>0</v>
      </c>
      <c r="U55" s="41">
        <f>SUMIF(Tabella1[Nome],Tabella4[[#This Row],[NOME]],Tabella1[Amm])</f>
        <v>0</v>
      </c>
      <c r="V55" s="42">
        <f>SUMIF(Tabella1[Nome],Tabella4[[#This Row],[NOME]],Tabella1[Esp])</f>
        <v>0</v>
      </c>
      <c r="W55" s="40">
        <f>SUMIF(Tabella1[Nome],Tabella4[[#This Row],[NOME]],Tabella1[Ass])</f>
        <v>0</v>
      </c>
      <c r="X55" s="40">
        <f>SUMIF(Tabella1[Nome],Tabella4[[#This Row],[NOME]],Tabella1[Gdv])</f>
        <v>1</v>
      </c>
      <c r="Y55" s="40">
        <f>SUMIF(Tabella1[Nome],Tabella4[[#This Row],[NOME]],Tabella1[cl sh])</f>
        <v>0</v>
      </c>
      <c r="Z55" s="270">
        <f>_xlfn.IFNA(_xlfn.XLOOKUP(CONCATENATE(Z$4,$C55),Tabella1[CONC X VOTI IN TAB GIOC],Tabella1[Voto],""),"")</f>
        <v>7</v>
      </c>
      <c r="AA55" s="270">
        <f>_xlfn.IFNA(_xlfn.XLOOKUP(CONCATENATE(AA$4,$C55),Tabella1[CONC X VOTI IN TAB GIOC],Tabella1[Voto],""),"")</f>
        <v>6</v>
      </c>
      <c r="AB55" s="270">
        <f>_xlfn.IFNA(_xlfn.XLOOKUP(CONCATENATE(AB$4,$C55),Tabella1[CONC X VOTI IN TAB GIOC],Tabella1[Voto]),"")</f>
        <v>6.5</v>
      </c>
      <c r="AC55" s="270" cm="1">
        <f t="array" ref="AC55">_xlfn.IFNA(_xlfn.XLOOKUP(CONCATENATE(AC$4,$C55),INDEX(Tabella1[],0,MATCH("CONC X VOTI IN TAB GIOC",Tabella1[#Headers],0)),INDEX(Tabella1[],0,MATCH("Voto",Tabella1[#Headers],0))),"")</f>
        <v>7</v>
      </c>
      <c r="AD55" s="270" t="str">
        <f>_xlfn.IFNA(_xlfn.XLOOKUP(CONCATENATE(AD$4,$C55),Tabella1[CONC X VOTI IN TAB GIOC],Tabella1[Voto]),"")</f>
        <v/>
      </c>
      <c r="AE55" s="270" t="str">
        <f>_xlfn.IFNA(VLOOKUP(CONCATENATE(AE$4,$C55),'INSER DATA'!$A:$F,6,0),"")</f>
        <v/>
      </c>
      <c r="AF55" s="270" t="str">
        <f>_xlfn.IFNA(VLOOKUP(CONCATENATE(AF$4,$C55),'INSER DATA'!$A:$F,6,0),"")</f>
        <v/>
      </c>
      <c r="AG55" s="270" t="str">
        <f>_xlfn.IFNA(VLOOKUP(CONCATENATE(AG$4,$C55),'INSER DATA'!$A:$F,6,0),"")</f>
        <v/>
      </c>
      <c r="AH55" s="270" t="str">
        <f>_xlfn.IFNA(VLOOKUP(CONCATENATE(AH$4,$C55),'INSER DATA'!$A:$F,7,0),"")</f>
        <v/>
      </c>
      <c r="AI55" s="270" t="str">
        <f>_xlfn.IFNA(VLOOKUP(CONCATENATE(AI$4,$C55),'INSER DATA'!$A:$F,7,0),"")</f>
        <v/>
      </c>
      <c r="AJ55" s="270" t="str">
        <f>_xlfn.IFNA(VLOOKUP(CONCATENATE(AJ$4,$C55),'INSER DATA'!$A:$F,7,0),"")</f>
        <v/>
      </c>
      <c r="AK55" s="270" t="str">
        <f>_xlfn.IFNA(VLOOKUP(CONCATENATE(AK$4,$C55),'INSER DATA'!$A:$F,7,0),"")</f>
        <v/>
      </c>
      <c r="AL55" s="270" t="str">
        <f>_xlfn.IFNA(VLOOKUP(CONCATENATE(AL$4,$C55),'INSER DATA'!$A:$F,7,0),"")</f>
        <v/>
      </c>
      <c r="AM55" s="270" t="str">
        <f>_xlfn.IFNA(VLOOKUP(CONCATENATE(AM$4,$C55),'INSER DATA'!$A:$F,7,0),"")</f>
        <v/>
      </c>
      <c r="AN55" s="270" t="str">
        <f>_xlfn.IFNA(VLOOKUP(CONCATENATE(AN$4,$C55),'INSER DATA'!$A:$F,7,0),"")</f>
        <v/>
      </c>
      <c r="AO55" s="270" t="str">
        <f>_xlfn.IFNA(VLOOKUP(CONCATENATE(AO$4,$C55),'INSER DATA'!$A:$F,7,0),"")</f>
        <v/>
      </c>
      <c r="AP55" s="270" t="str">
        <f>_xlfn.IFNA(VLOOKUP(CONCATENATE(AP$4,$C55),'INSER DATA'!$A:$F,7,0),"")</f>
        <v/>
      </c>
      <c r="AQ55" s="270" t="str">
        <f>_xlfn.IFNA(VLOOKUP(CONCATENATE(AQ$4,$C55),'INSER DATA'!$A:$F,7,0),"")</f>
        <v/>
      </c>
      <c r="AR55" s="270" t="str">
        <f>_xlfn.IFNA(VLOOKUP(CONCATENATE(AR$4,$C55),'INSER DATA'!$A:$F,7,0),"")</f>
        <v/>
      </c>
      <c r="AS55" s="270" t="str">
        <f>_xlfn.IFNA(VLOOKUP(CONCATENATE(AS$4,$C55),'INSER DATA'!$A:$F,7,0),"")</f>
        <v/>
      </c>
      <c r="AT55" s="270" t="str">
        <f>_xlfn.IFNA(VLOOKUP(CONCATENATE(AT$4,$C55),'INSER DATA'!$A:$F,7,0),"")</f>
        <v/>
      </c>
      <c r="AU55" s="270" t="str">
        <f>_xlfn.IFNA(VLOOKUP(CONCATENATE(AU$4,$C55),'INSER DATA'!$A:$F,7,0),"")</f>
        <v/>
      </c>
      <c r="AV55" s="270" t="str">
        <f>_xlfn.IFNA(VLOOKUP(CONCATENATE(AV$4,$C55),'INSER DATA'!$A:$F,7,0),"")</f>
        <v/>
      </c>
      <c r="AW55" s="270" t="str">
        <f>_xlfn.IFNA(VLOOKUP(CONCATENATE(AW$4,$C55),'INSER DATA'!$A:$F,7,0),"")</f>
        <v/>
      </c>
      <c r="AX55" s="270" t="str">
        <f>_xlfn.IFNA(VLOOKUP(CONCATENATE(AX$4,$C55),'INSER DATA'!$A:$F,7,0),"")</f>
        <v/>
      </c>
      <c r="AY55" s="270" t="str">
        <f>_xlfn.IFNA(VLOOKUP(CONCATENATE(AY$4,$C55),'INSER DATA'!$A:$F,7,0),"")</f>
        <v/>
      </c>
      <c r="AZ55" s="270" t="str">
        <f>_xlfn.IFNA(VLOOKUP(CONCATENATE(AZ$4,$C55),'INSER DATA'!$A:$F,7,0),"")</f>
        <v/>
      </c>
      <c r="BA55" s="270" t="str">
        <f>_xlfn.IFNA(VLOOKUP(CONCATENATE(BA$4,$C55),'INSER DATA'!$A:$F,7,0),"")</f>
        <v/>
      </c>
      <c r="BB55" s="270" t="str">
        <f>_xlfn.IFNA(VLOOKUP(CONCATENATE(BB$4,$C55),'INSER DATA'!$A:$F,7,0),"")</f>
        <v/>
      </c>
      <c r="BC55" s="270" t="str">
        <f>_xlfn.IFNA(VLOOKUP(CONCATENATE(BC$4,$C55),'INSER DATA'!$A:$F,7,0),"")</f>
        <v/>
      </c>
      <c r="BD55" s="270" t="str">
        <f>_xlfn.IFNA(VLOOKUP(CONCATENATE(BD$4,$C55),'INSER DATA'!$A:$F,7,0),"")</f>
        <v/>
      </c>
      <c r="BE55" s="270" t="str">
        <f>_xlfn.IFNA(VLOOKUP(CONCATENATE(BE$4,$C55),'INSER DATA'!$A:$F,7,0),"")</f>
        <v/>
      </c>
      <c r="BF55" s="270" t="str">
        <f>_xlfn.IFNA(VLOOKUP(CONCATENATE(BF$4,$C55),'INSER DATA'!$A:$F,7,0),"")</f>
        <v/>
      </c>
      <c r="BG55" s="270" t="str">
        <f>_xlfn.IFNA(VLOOKUP(CONCATENATE(BG$4,$C55),'INSER DATA'!$A:$F,7,0),"")</f>
        <v/>
      </c>
      <c r="BH55" s="270" t="str">
        <f>_xlfn.IFNA(VLOOKUP(CONCATENATE(BH$4,$C55),'INSER DATA'!$A:$F,7,0),"")</f>
        <v/>
      </c>
      <c r="BI55" s="270" t="str">
        <f>_xlfn.IFNA(VLOOKUP(CONCATENATE(BI$4,$C55),'INSER DATA'!$A:$F,7,0),"")</f>
        <v/>
      </c>
      <c r="BJ55" s="270" t="str">
        <f>_xlfn.IFNA(VLOOKUP(CONCATENATE(BJ$4,$C55),'INSER DATA'!$A:$F,7,0),"")</f>
        <v/>
      </c>
      <c r="BK55" s="270" t="str">
        <f>_xlfn.IFNA(VLOOKUP(CONCATENATE(BK$4,$C55),'INSER DATA'!$A:$F,7,0),"")</f>
        <v/>
      </c>
      <c r="BL55" s="272"/>
      <c r="BM55" s="30"/>
      <c r="BN55" s="30"/>
      <c r="BO55" s="30"/>
      <c r="BP55" s="30"/>
      <c r="BQ55" s="30"/>
      <c r="BR55" s="30"/>
      <c r="BS55" s="30"/>
      <c r="BT55" s="30"/>
      <c r="BU55" s="30"/>
      <c r="BV55" s="30"/>
      <c r="BW55" s="30"/>
      <c r="BX55" s="30"/>
      <c r="BY55" s="30"/>
      <c r="BZ55" s="30"/>
      <c r="CA55" s="30"/>
      <c r="CB55" s="30"/>
      <c r="CC55" s="30"/>
      <c r="CD55" s="30"/>
      <c r="CE55" s="30"/>
      <c r="CF55" s="30"/>
      <c r="CG55" s="30"/>
      <c r="CH55" s="30"/>
      <c r="CI55" s="30"/>
      <c r="CJ55" s="30"/>
      <c r="CK55" s="30"/>
      <c r="CL55" s="30"/>
      <c r="CM55" s="30"/>
      <c r="CN55" s="30"/>
      <c r="CO55" s="30"/>
      <c r="CP55" s="30"/>
      <c r="CQ55" s="30"/>
      <c r="CR55" s="30"/>
      <c r="CS55" s="30"/>
      <c r="CT55" s="30"/>
      <c r="CU55" s="30"/>
      <c r="CV55" s="30"/>
      <c r="CW55" s="30"/>
      <c r="CX55" s="30"/>
      <c r="CY55" s="30"/>
      <c r="CZ55" s="30"/>
      <c r="DA55" s="30"/>
    </row>
    <row r="56" spans="1:105" ht="19.2" thickTop="1" thickBot="1" x14ac:dyDescent="0.4">
      <c r="A56" s="30"/>
      <c r="B56" s="30"/>
      <c r="C56" s="188" t="s">
        <v>669</v>
      </c>
      <c r="D56" s="187" t="s">
        <v>662</v>
      </c>
      <c r="E56" s="35" t="str">
        <f>_xlfn.XLOOKUP(Tabella4[[#This Row],[NOME]],'ROSE SQUADRE'!$N$3:$N$253,'ROSE SQUADRE'!$O$3:$O$253,"")</f>
        <v/>
      </c>
      <c r="F56" s="36" t="s">
        <v>161</v>
      </c>
      <c r="G56" s="43">
        <v>3</v>
      </c>
      <c r="H56" s="43">
        <v>4</v>
      </c>
      <c r="I56" s="44">
        <f t="shared" si="0"/>
        <v>1</v>
      </c>
      <c r="J56" s="37">
        <f t="shared" si="1"/>
        <v>4</v>
      </c>
      <c r="K56" s="38">
        <f t="shared" si="2"/>
        <v>6.25</v>
      </c>
      <c r="L56" s="38">
        <f t="shared" si="3"/>
        <v>6.25</v>
      </c>
      <c r="M56" s="39">
        <f t="shared" si="4"/>
        <v>25</v>
      </c>
      <c r="N56" s="45">
        <f t="shared" ca="1" si="6"/>
        <v>0</v>
      </c>
      <c r="O56" s="40">
        <f>SUMIF(Tabella1[Nome],Tabella4[[#This Row],[NOME]],Tabella1[Gf])</f>
        <v>0</v>
      </c>
      <c r="P56" s="40">
        <f>-(SUMIF(Tabella1[Nome],Tabella4[[#This Row],[NOME]],Tabella1[Gs]))</f>
        <v>0</v>
      </c>
      <c r="Q56" s="40">
        <f>SUMIF(Tabella1[Nome],Tabella4[[#This Row],[NOME]],Tabella1[Rp])</f>
        <v>0</v>
      </c>
      <c r="R56" s="40">
        <f>SUMIF(Tabella1[Nome],Tabella4[[#This Row],[NOME]],Tabella1[Rs])</f>
        <v>0</v>
      </c>
      <c r="S56" s="40">
        <f>SUMIF(Tabella1[Nome],Tabella4[[#This Row],[NOME]],Tabella1[Rf])</f>
        <v>0</v>
      </c>
      <c r="T56" s="40">
        <f>SUMIF(Tabella1[Nome],Tabella4[[#This Row],[NOME]],Tabella1[Au])</f>
        <v>0</v>
      </c>
      <c r="U56" s="41">
        <f>SUMIF(Tabella1[Nome],Tabella4[[#This Row],[NOME]],Tabella1[Amm])</f>
        <v>0</v>
      </c>
      <c r="V56" s="42">
        <f>SUMIF(Tabella1[Nome],Tabella4[[#This Row],[NOME]],Tabella1[Esp])</f>
        <v>0</v>
      </c>
      <c r="W56" s="40">
        <f>SUMIF(Tabella1[Nome],Tabella4[[#This Row],[NOME]],Tabella1[Ass])</f>
        <v>0</v>
      </c>
      <c r="X56" s="40">
        <f>SUMIF(Tabella1[Nome],Tabella4[[#This Row],[NOME]],Tabella1[Gdv])</f>
        <v>0</v>
      </c>
      <c r="Y56" s="40">
        <f>SUMIF(Tabella1[Nome],Tabella4[[#This Row],[NOME]],Tabella1[cl sh])</f>
        <v>0</v>
      </c>
      <c r="Z56" s="270">
        <f>_xlfn.IFNA(_xlfn.XLOOKUP(CONCATENATE(Z$4,$C56),Tabella1[CONC X VOTI IN TAB GIOC],Tabella1[Voto],""),"")</f>
        <v>6.5</v>
      </c>
      <c r="AA56" s="270">
        <f>_xlfn.IFNA(_xlfn.XLOOKUP(CONCATENATE(AA$4,$C56),Tabella1[CONC X VOTI IN TAB GIOC],Tabella1[Voto],""),"")</f>
        <v>6</v>
      </c>
      <c r="AB56" s="270">
        <f>_xlfn.IFNA(_xlfn.XLOOKUP(CONCATENATE(AB$4,$C56),Tabella1[CONC X VOTI IN TAB GIOC],Tabella1[Voto]),"")</f>
        <v>6</v>
      </c>
      <c r="AC56" s="270" cm="1">
        <f t="array" ref="AC56">_xlfn.IFNA(_xlfn.XLOOKUP(CONCATENATE(AC$4,$C56),INDEX(Tabella1[],0,MATCH("CONC X VOTI IN TAB GIOC",Tabella1[#Headers],0)),INDEX(Tabella1[],0,MATCH("Voto",Tabella1[#Headers],0))),"")</f>
        <v>6.5</v>
      </c>
      <c r="AD56" s="270" t="str">
        <f>_xlfn.IFNA(_xlfn.XLOOKUP(CONCATENATE(AD$4,$C56),Tabella1[CONC X VOTI IN TAB GIOC],Tabella1[Voto]),"")</f>
        <v/>
      </c>
      <c r="AE56" s="270" t="str">
        <f>_xlfn.IFNA(VLOOKUP(CONCATENATE(AE$4,$C56),'INSER DATA'!$A:$F,6,0),"")</f>
        <v/>
      </c>
      <c r="AF56" s="270" t="str">
        <f>_xlfn.IFNA(VLOOKUP(CONCATENATE(AF$4,$C56),'INSER DATA'!$A:$F,6,0),"")</f>
        <v/>
      </c>
      <c r="AG56" s="270" t="str">
        <f>_xlfn.IFNA(VLOOKUP(CONCATENATE(AG$4,$C56),'INSER DATA'!$A:$F,6,0),"")</f>
        <v/>
      </c>
      <c r="AH56" s="270" t="str">
        <f>_xlfn.IFNA(VLOOKUP(CONCATENATE(AH$4,$C56),'INSER DATA'!$A:$F,7,0),"")</f>
        <v/>
      </c>
      <c r="AI56" s="270" t="str">
        <f>_xlfn.IFNA(VLOOKUP(CONCATENATE(AI$4,$C56),'INSER DATA'!$A:$F,7,0),"")</f>
        <v/>
      </c>
      <c r="AJ56" s="270" t="str">
        <f>_xlfn.IFNA(VLOOKUP(CONCATENATE(AJ$4,$C56),'INSER DATA'!$A:$F,7,0),"")</f>
        <v/>
      </c>
      <c r="AK56" s="270" t="str">
        <f>_xlfn.IFNA(VLOOKUP(CONCATENATE(AK$4,$C56),'INSER DATA'!$A:$F,7,0),"")</f>
        <v/>
      </c>
      <c r="AL56" s="270" t="str">
        <f>_xlfn.IFNA(VLOOKUP(CONCATENATE(AL$4,$C56),'INSER DATA'!$A:$F,7,0),"")</f>
        <v/>
      </c>
      <c r="AM56" s="270" t="str">
        <f>_xlfn.IFNA(VLOOKUP(CONCATENATE(AM$4,$C56),'INSER DATA'!$A:$F,7,0),"")</f>
        <v/>
      </c>
      <c r="AN56" s="270" t="str">
        <f>_xlfn.IFNA(VLOOKUP(CONCATENATE(AN$4,$C56),'INSER DATA'!$A:$F,7,0),"")</f>
        <v/>
      </c>
      <c r="AO56" s="270" t="str">
        <f>_xlfn.IFNA(VLOOKUP(CONCATENATE(AO$4,$C56),'INSER DATA'!$A:$F,7,0),"")</f>
        <v/>
      </c>
      <c r="AP56" s="270" t="str">
        <f>_xlfn.IFNA(VLOOKUP(CONCATENATE(AP$4,$C56),'INSER DATA'!$A:$F,7,0),"")</f>
        <v/>
      </c>
      <c r="AQ56" s="270" t="str">
        <f>_xlfn.IFNA(VLOOKUP(CONCATENATE(AQ$4,$C56),'INSER DATA'!$A:$F,7,0),"")</f>
        <v/>
      </c>
      <c r="AR56" s="270" t="str">
        <f>_xlfn.IFNA(VLOOKUP(CONCATENATE(AR$4,$C56),'INSER DATA'!$A:$F,7,0),"")</f>
        <v/>
      </c>
      <c r="AS56" s="270" t="str">
        <f>_xlfn.IFNA(VLOOKUP(CONCATENATE(AS$4,$C56),'INSER DATA'!$A:$F,7,0),"")</f>
        <v/>
      </c>
      <c r="AT56" s="270" t="str">
        <f>_xlfn.IFNA(VLOOKUP(CONCATENATE(AT$4,$C56),'INSER DATA'!$A:$F,7,0),"")</f>
        <v/>
      </c>
      <c r="AU56" s="270" t="str">
        <f>_xlfn.IFNA(VLOOKUP(CONCATENATE(AU$4,$C56),'INSER DATA'!$A:$F,7,0),"")</f>
        <v/>
      </c>
      <c r="AV56" s="270" t="str">
        <f>_xlfn.IFNA(VLOOKUP(CONCATENATE(AV$4,$C56),'INSER DATA'!$A:$F,7,0),"")</f>
        <v/>
      </c>
      <c r="AW56" s="270" t="str">
        <f>_xlfn.IFNA(VLOOKUP(CONCATENATE(AW$4,$C56),'INSER DATA'!$A:$F,7,0),"")</f>
        <v/>
      </c>
      <c r="AX56" s="270" t="str">
        <f>_xlfn.IFNA(VLOOKUP(CONCATENATE(AX$4,$C56),'INSER DATA'!$A:$F,7,0),"")</f>
        <v/>
      </c>
      <c r="AY56" s="270" t="str">
        <f>_xlfn.IFNA(VLOOKUP(CONCATENATE(AY$4,$C56),'INSER DATA'!$A:$F,7,0),"")</f>
        <v/>
      </c>
      <c r="AZ56" s="270" t="str">
        <f>_xlfn.IFNA(VLOOKUP(CONCATENATE(AZ$4,$C56),'INSER DATA'!$A:$F,7,0),"")</f>
        <v/>
      </c>
      <c r="BA56" s="270" t="str">
        <f>_xlfn.IFNA(VLOOKUP(CONCATENATE(BA$4,$C56),'INSER DATA'!$A:$F,7,0),"")</f>
        <v/>
      </c>
      <c r="BB56" s="270" t="str">
        <f>_xlfn.IFNA(VLOOKUP(CONCATENATE(BB$4,$C56),'INSER DATA'!$A:$F,7,0),"")</f>
        <v/>
      </c>
      <c r="BC56" s="270" t="str">
        <f>_xlfn.IFNA(VLOOKUP(CONCATENATE(BC$4,$C56),'INSER DATA'!$A:$F,7,0),"")</f>
        <v/>
      </c>
      <c r="BD56" s="270" t="str">
        <f>_xlfn.IFNA(VLOOKUP(CONCATENATE(BD$4,$C56),'INSER DATA'!$A:$F,7,0),"")</f>
        <v/>
      </c>
      <c r="BE56" s="270" t="str">
        <f>_xlfn.IFNA(VLOOKUP(CONCATENATE(BE$4,$C56),'INSER DATA'!$A:$F,7,0),"")</f>
        <v/>
      </c>
      <c r="BF56" s="270" t="str">
        <f>_xlfn.IFNA(VLOOKUP(CONCATENATE(BF$4,$C56),'INSER DATA'!$A:$F,7,0),"")</f>
        <v/>
      </c>
      <c r="BG56" s="270" t="str">
        <f>_xlfn.IFNA(VLOOKUP(CONCATENATE(BG$4,$C56),'INSER DATA'!$A:$F,7,0),"")</f>
        <v/>
      </c>
      <c r="BH56" s="270" t="str">
        <f>_xlfn.IFNA(VLOOKUP(CONCATENATE(BH$4,$C56),'INSER DATA'!$A:$F,7,0),"")</f>
        <v/>
      </c>
      <c r="BI56" s="270" t="str">
        <f>_xlfn.IFNA(VLOOKUP(CONCATENATE(BI$4,$C56),'INSER DATA'!$A:$F,7,0),"")</f>
        <v/>
      </c>
      <c r="BJ56" s="270" t="str">
        <f>_xlfn.IFNA(VLOOKUP(CONCATENATE(BJ$4,$C56),'INSER DATA'!$A:$F,7,0),"")</f>
        <v/>
      </c>
      <c r="BK56" s="270" t="str">
        <f>_xlfn.IFNA(VLOOKUP(CONCATENATE(BK$4,$C56),'INSER DATA'!$A:$F,7,0),"")</f>
        <v/>
      </c>
      <c r="BL56" s="272"/>
      <c r="BM56" s="30"/>
      <c r="BN56" s="30"/>
      <c r="BO56" s="30"/>
      <c r="BP56" s="30"/>
      <c r="BQ56" s="30"/>
      <c r="BR56" s="30"/>
      <c r="BS56" s="30"/>
      <c r="BT56" s="30"/>
      <c r="BU56" s="30"/>
      <c r="BV56" s="30"/>
      <c r="BW56" s="30"/>
      <c r="BX56" s="30"/>
      <c r="BY56" s="30"/>
      <c r="BZ56" s="30"/>
      <c r="CA56" s="30"/>
      <c r="CB56" s="30"/>
      <c r="CC56" s="30"/>
      <c r="CD56" s="30"/>
      <c r="CE56" s="30"/>
      <c r="CF56" s="30"/>
      <c r="CG56" s="30"/>
      <c r="CH56" s="30"/>
      <c r="CI56" s="30"/>
      <c r="CJ56" s="30"/>
      <c r="CK56" s="30"/>
      <c r="CL56" s="30"/>
      <c r="CM56" s="30"/>
      <c r="CN56" s="30"/>
      <c r="CO56" s="30"/>
      <c r="CP56" s="30"/>
      <c r="CQ56" s="30"/>
      <c r="CR56" s="30"/>
      <c r="CS56" s="30"/>
      <c r="CT56" s="30"/>
      <c r="CU56" s="30"/>
      <c r="CV56" s="30"/>
      <c r="CW56" s="30"/>
      <c r="CX56" s="30"/>
      <c r="CY56" s="30"/>
      <c r="CZ56" s="30"/>
      <c r="DA56" s="30"/>
    </row>
    <row r="57" spans="1:105" ht="19.2" thickTop="1" thickBot="1" x14ac:dyDescent="0.4">
      <c r="A57" s="30"/>
      <c r="B57" s="30"/>
      <c r="C57" s="354" t="s">
        <v>667</v>
      </c>
      <c r="D57" s="355" t="s">
        <v>662</v>
      </c>
      <c r="E57" s="35" t="str">
        <f>_xlfn.XLOOKUP(Tabella4[[#This Row],[NOME]],'ROSE SQUADRE'!$N$3:$N$253,'ROSE SQUADRE'!$O$3:$O$253,"")</f>
        <v>AC ASPARAGHESE</v>
      </c>
      <c r="F57" s="36" t="s">
        <v>161</v>
      </c>
      <c r="G57" s="43">
        <v>5</v>
      </c>
      <c r="H57" s="43">
        <v>5</v>
      </c>
      <c r="I57" s="44">
        <f t="shared" si="0"/>
        <v>0</v>
      </c>
      <c r="J57" s="37">
        <f t="shared" si="1"/>
        <v>3</v>
      </c>
      <c r="K57" s="38">
        <f t="shared" si="2"/>
        <v>6</v>
      </c>
      <c r="L57" s="38">
        <f t="shared" si="3"/>
        <v>6</v>
      </c>
      <c r="M57" s="39">
        <f t="shared" si="4"/>
        <v>18</v>
      </c>
      <c r="N57" s="45">
        <f t="shared" ca="1" si="6"/>
        <v>0</v>
      </c>
      <c r="O57" s="40">
        <f>SUMIF(Tabella1[Nome],Tabella4[[#This Row],[NOME]],Tabella1[Gf])</f>
        <v>0</v>
      </c>
      <c r="P57" s="40">
        <f>-(SUMIF(Tabella1[Nome],Tabella4[[#This Row],[NOME]],Tabella1[Gs]))</f>
        <v>0</v>
      </c>
      <c r="Q57" s="40">
        <f>SUMIF(Tabella1[Nome],Tabella4[[#This Row],[NOME]],Tabella1[Rp])</f>
        <v>0</v>
      </c>
      <c r="R57" s="40">
        <f>SUMIF(Tabella1[Nome],Tabella4[[#This Row],[NOME]],Tabella1[Rs])</f>
        <v>0</v>
      </c>
      <c r="S57" s="40">
        <f>SUMIF(Tabella1[Nome],Tabella4[[#This Row],[NOME]],Tabella1[Rf])</f>
        <v>0</v>
      </c>
      <c r="T57" s="40">
        <f>SUMIF(Tabella1[Nome],Tabella4[[#This Row],[NOME]],Tabella1[Au])</f>
        <v>0</v>
      </c>
      <c r="U57" s="41">
        <f>SUMIF(Tabella1[Nome],Tabella4[[#This Row],[NOME]],Tabella1[Amm])</f>
        <v>0</v>
      </c>
      <c r="V57" s="42">
        <f>SUMIF(Tabella1[Nome],Tabella4[[#This Row],[NOME]],Tabella1[Esp])</f>
        <v>0</v>
      </c>
      <c r="W57" s="40">
        <f>SUMIF(Tabella1[Nome],Tabella4[[#This Row],[NOME]],Tabella1[Ass])</f>
        <v>0</v>
      </c>
      <c r="X57" s="40">
        <f>SUMIF(Tabella1[Nome],Tabella4[[#This Row],[NOME]],Tabella1[Gdv])</f>
        <v>0</v>
      </c>
      <c r="Y57" s="40">
        <f>SUMIF(Tabella1[Nome],Tabella4[[#This Row],[NOME]],Tabella1[cl sh])</f>
        <v>0</v>
      </c>
      <c r="Z57" s="270" t="str">
        <f>_xlfn.IFNA(_xlfn.XLOOKUP(CONCATENATE(Z$4,$C57),Tabella1[CONC X VOTI IN TAB GIOC],Tabella1[Voto],""),"")</f>
        <v/>
      </c>
      <c r="AA57" s="270">
        <f>_xlfn.IFNA(_xlfn.XLOOKUP(CONCATENATE(AA$4,$C57),Tabella1[CONC X VOTI IN TAB GIOC],Tabella1[Voto],""),"")</f>
        <v>6</v>
      </c>
      <c r="AB57" s="270">
        <f>_xlfn.IFNA(_xlfn.XLOOKUP(CONCATENATE(AB$4,$C57),Tabella1[CONC X VOTI IN TAB GIOC],Tabella1[Voto]),"")</f>
        <v>6</v>
      </c>
      <c r="AC57" s="270" cm="1">
        <f t="array" ref="AC57">_xlfn.IFNA(_xlfn.XLOOKUP(CONCATENATE(AC$4,$C57),INDEX(Tabella1[],0,MATCH("CONC X VOTI IN TAB GIOC",Tabella1[#Headers],0)),INDEX(Tabella1[],0,MATCH("Voto",Tabella1[#Headers],0))),"")</f>
        <v>6</v>
      </c>
      <c r="AD57" s="270" t="str">
        <f>_xlfn.IFNA(_xlfn.XLOOKUP(CONCATENATE(AD$4,$C57),Tabella1[CONC X VOTI IN TAB GIOC],Tabella1[Voto]),"")</f>
        <v/>
      </c>
      <c r="AE57" s="270" t="str">
        <f>_xlfn.IFNA(VLOOKUP(CONCATENATE(AE$4,$C57),'INSER DATA'!$A:$F,6,0),"")</f>
        <v/>
      </c>
      <c r="AF57" s="270" t="str">
        <f>_xlfn.IFNA(VLOOKUP(CONCATENATE(AF$4,$C57),'INSER DATA'!$A:$F,6,0),"")</f>
        <v/>
      </c>
      <c r="AG57" s="270" t="str">
        <f>_xlfn.IFNA(VLOOKUP(CONCATENATE(AG$4,$C57),'INSER DATA'!$A:$F,6,0),"")</f>
        <v/>
      </c>
      <c r="AH57" s="270" t="str">
        <f>_xlfn.IFNA(VLOOKUP(CONCATENATE(AH$4,$C57),'INSER DATA'!$A:$F,7,0),"")</f>
        <v/>
      </c>
      <c r="AI57" s="270" t="str">
        <f>_xlfn.IFNA(VLOOKUP(CONCATENATE(AI$4,$C57),'INSER DATA'!$A:$F,7,0),"")</f>
        <v/>
      </c>
      <c r="AJ57" s="270" t="str">
        <f>_xlfn.IFNA(VLOOKUP(CONCATENATE(AJ$4,$C57),'INSER DATA'!$A:$F,7,0),"")</f>
        <v/>
      </c>
      <c r="AK57" s="270" t="str">
        <f>_xlfn.IFNA(VLOOKUP(CONCATENATE(AK$4,$C57),'INSER DATA'!$A:$F,7,0),"")</f>
        <v/>
      </c>
      <c r="AL57" s="270" t="str">
        <f>_xlfn.IFNA(VLOOKUP(CONCATENATE(AL$4,$C57),'INSER DATA'!$A:$F,7,0),"")</f>
        <v/>
      </c>
      <c r="AM57" s="270" t="str">
        <f>_xlfn.IFNA(VLOOKUP(CONCATENATE(AM$4,$C57),'INSER DATA'!$A:$F,7,0),"")</f>
        <v/>
      </c>
      <c r="AN57" s="270" t="str">
        <f>_xlfn.IFNA(VLOOKUP(CONCATENATE(AN$4,$C57),'INSER DATA'!$A:$F,7,0),"")</f>
        <v/>
      </c>
      <c r="AO57" s="270" t="str">
        <f>_xlfn.IFNA(VLOOKUP(CONCATENATE(AO$4,$C57),'INSER DATA'!$A:$F,7,0),"")</f>
        <v/>
      </c>
      <c r="AP57" s="270" t="str">
        <f>_xlfn.IFNA(VLOOKUP(CONCATENATE(AP$4,$C57),'INSER DATA'!$A:$F,7,0),"")</f>
        <v/>
      </c>
      <c r="AQ57" s="270" t="str">
        <f>_xlfn.IFNA(VLOOKUP(CONCATENATE(AQ$4,$C57),'INSER DATA'!$A:$F,7,0),"")</f>
        <v/>
      </c>
      <c r="AR57" s="270" t="str">
        <f>_xlfn.IFNA(VLOOKUP(CONCATENATE(AR$4,$C57),'INSER DATA'!$A:$F,7,0),"")</f>
        <v/>
      </c>
      <c r="AS57" s="270" t="str">
        <f>_xlfn.IFNA(VLOOKUP(CONCATENATE(AS$4,$C57),'INSER DATA'!$A:$F,7,0),"")</f>
        <v/>
      </c>
      <c r="AT57" s="270" t="str">
        <f>_xlfn.IFNA(VLOOKUP(CONCATENATE(AT$4,$C57),'INSER DATA'!$A:$F,7,0),"")</f>
        <v/>
      </c>
      <c r="AU57" s="270" t="str">
        <f>_xlfn.IFNA(VLOOKUP(CONCATENATE(AU$4,$C57),'INSER DATA'!$A:$F,7,0),"")</f>
        <v/>
      </c>
      <c r="AV57" s="270" t="str">
        <f>_xlfn.IFNA(VLOOKUP(CONCATENATE(AV$4,$C57),'INSER DATA'!$A:$F,7,0),"")</f>
        <v/>
      </c>
      <c r="AW57" s="270" t="str">
        <f>_xlfn.IFNA(VLOOKUP(CONCATENATE(AW$4,$C57),'INSER DATA'!$A:$F,7,0),"")</f>
        <v/>
      </c>
      <c r="AX57" s="270" t="str">
        <f>_xlfn.IFNA(VLOOKUP(CONCATENATE(AX$4,$C57),'INSER DATA'!$A:$F,7,0),"")</f>
        <v/>
      </c>
      <c r="AY57" s="270" t="str">
        <f>_xlfn.IFNA(VLOOKUP(CONCATENATE(AY$4,$C57),'INSER DATA'!$A:$F,7,0),"")</f>
        <v/>
      </c>
      <c r="AZ57" s="270" t="str">
        <f>_xlfn.IFNA(VLOOKUP(CONCATENATE(AZ$4,$C57),'INSER DATA'!$A:$F,7,0),"")</f>
        <v/>
      </c>
      <c r="BA57" s="270" t="str">
        <f>_xlfn.IFNA(VLOOKUP(CONCATENATE(BA$4,$C57),'INSER DATA'!$A:$F,7,0),"")</f>
        <v/>
      </c>
      <c r="BB57" s="270" t="str">
        <f>_xlfn.IFNA(VLOOKUP(CONCATENATE(BB$4,$C57),'INSER DATA'!$A:$F,7,0),"")</f>
        <v/>
      </c>
      <c r="BC57" s="270" t="str">
        <f>_xlfn.IFNA(VLOOKUP(CONCATENATE(BC$4,$C57),'INSER DATA'!$A:$F,7,0),"")</f>
        <v/>
      </c>
      <c r="BD57" s="270" t="str">
        <f>_xlfn.IFNA(VLOOKUP(CONCATENATE(BD$4,$C57),'INSER DATA'!$A:$F,7,0),"")</f>
        <v/>
      </c>
      <c r="BE57" s="270" t="str">
        <f>_xlfn.IFNA(VLOOKUP(CONCATENATE(BE$4,$C57),'INSER DATA'!$A:$F,7,0),"")</f>
        <v/>
      </c>
      <c r="BF57" s="270" t="str">
        <f>_xlfn.IFNA(VLOOKUP(CONCATENATE(BF$4,$C57),'INSER DATA'!$A:$F,7,0),"")</f>
        <v/>
      </c>
      <c r="BG57" s="270" t="str">
        <f>_xlfn.IFNA(VLOOKUP(CONCATENATE(BG$4,$C57),'INSER DATA'!$A:$F,7,0),"")</f>
        <v/>
      </c>
      <c r="BH57" s="270" t="str">
        <f>_xlfn.IFNA(VLOOKUP(CONCATENATE(BH$4,$C57),'INSER DATA'!$A:$F,7,0),"")</f>
        <v/>
      </c>
      <c r="BI57" s="270" t="str">
        <f>_xlfn.IFNA(VLOOKUP(CONCATENATE(BI$4,$C57),'INSER DATA'!$A:$F,7,0),"")</f>
        <v/>
      </c>
      <c r="BJ57" s="270" t="str">
        <f>_xlfn.IFNA(VLOOKUP(CONCATENATE(BJ$4,$C57),'INSER DATA'!$A:$F,7,0),"")</f>
        <v/>
      </c>
      <c r="BK57" s="270" t="str">
        <f>_xlfn.IFNA(VLOOKUP(CONCATENATE(BK$4,$C57),'INSER DATA'!$A:$F,7,0),"")</f>
        <v/>
      </c>
      <c r="BL57" s="272"/>
      <c r="BM57" s="30"/>
      <c r="BN57" s="30"/>
      <c r="BO57" s="30"/>
      <c r="BP57" s="30"/>
      <c r="BQ57" s="30"/>
      <c r="BR57" s="30"/>
      <c r="BS57" s="30"/>
      <c r="BT57" s="30"/>
      <c r="BU57" s="30"/>
      <c r="BV57" s="30"/>
      <c r="BW57" s="30"/>
      <c r="BX57" s="30"/>
      <c r="BY57" s="30"/>
      <c r="BZ57" s="30"/>
      <c r="CA57" s="30"/>
      <c r="CB57" s="30"/>
      <c r="CC57" s="30"/>
      <c r="CD57" s="30"/>
      <c r="CE57" s="30"/>
      <c r="CF57" s="30"/>
      <c r="CG57" s="30"/>
      <c r="CH57" s="30"/>
      <c r="CI57" s="30"/>
      <c r="CJ57" s="30"/>
      <c r="CK57" s="30"/>
      <c r="CL57" s="30"/>
      <c r="CM57" s="30"/>
      <c r="CN57" s="30"/>
      <c r="CO57" s="30"/>
      <c r="CP57" s="30"/>
      <c r="CQ57" s="30"/>
      <c r="CR57" s="30"/>
      <c r="CS57" s="30"/>
      <c r="CT57" s="30"/>
      <c r="CU57" s="30"/>
      <c r="CV57" s="30"/>
      <c r="CW57" s="30"/>
      <c r="CX57" s="30"/>
      <c r="CY57" s="30"/>
      <c r="CZ57" s="30"/>
      <c r="DA57" s="30"/>
    </row>
    <row r="58" spans="1:105" ht="19.2" thickTop="1" thickBot="1" x14ac:dyDescent="0.4">
      <c r="A58" s="30"/>
      <c r="B58" s="30"/>
      <c r="C58" s="188" t="s">
        <v>429</v>
      </c>
      <c r="D58" s="187" t="s">
        <v>662</v>
      </c>
      <c r="E58" s="35" t="str">
        <f>_xlfn.XLOOKUP(Tabella4[[#This Row],[NOME]],'ROSE SQUADRE'!$N$3:$N$253,'ROSE SQUADRE'!$O$3:$O$253,"")</f>
        <v/>
      </c>
      <c r="F58" s="36" t="s">
        <v>161</v>
      </c>
      <c r="G58" s="43">
        <v>4</v>
      </c>
      <c r="H58" s="43">
        <v>4</v>
      </c>
      <c r="I58" s="44">
        <f t="shared" si="0"/>
        <v>0</v>
      </c>
      <c r="J58" s="37">
        <f t="shared" si="1"/>
        <v>1</v>
      </c>
      <c r="K58" s="38">
        <f t="shared" si="2"/>
        <v>6</v>
      </c>
      <c r="L58" s="38">
        <f t="shared" si="3"/>
        <v>6</v>
      </c>
      <c r="M58" s="39">
        <f t="shared" si="4"/>
        <v>6</v>
      </c>
      <c r="N58" s="45">
        <f t="shared" ca="1" si="6"/>
        <v>0</v>
      </c>
      <c r="O58" s="40">
        <f>SUMIF(Tabella1[Nome],Tabella4[[#This Row],[NOME]],Tabella1[Gf])</f>
        <v>0</v>
      </c>
      <c r="P58" s="40">
        <f>-(SUMIF(Tabella1[Nome],Tabella4[[#This Row],[NOME]],Tabella1[Gs]))</f>
        <v>0</v>
      </c>
      <c r="Q58" s="40">
        <f>SUMIF(Tabella1[Nome],Tabella4[[#This Row],[NOME]],Tabella1[Rp])</f>
        <v>0</v>
      </c>
      <c r="R58" s="40">
        <f>SUMIF(Tabella1[Nome],Tabella4[[#This Row],[NOME]],Tabella1[Rs])</f>
        <v>0</v>
      </c>
      <c r="S58" s="40">
        <f>SUMIF(Tabella1[Nome],Tabella4[[#This Row],[NOME]],Tabella1[Rf])</f>
        <v>0</v>
      </c>
      <c r="T58" s="40">
        <f>SUMIF(Tabella1[Nome],Tabella4[[#This Row],[NOME]],Tabella1[Au])</f>
        <v>0</v>
      </c>
      <c r="U58" s="41">
        <f>SUMIF(Tabella1[Nome],Tabella4[[#This Row],[NOME]],Tabella1[Amm])</f>
        <v>0</v>
      </c>
      <c r="V58" s="42">
        <f>SUMIF(Tabella1[Nome],Tabella4[[#This Row],[NOME]],Tabella1[Esp])</f>
        <v>0</v>
      </c>
      <c r="W58" s="40">
        <f>SUMIF(Tabella1[Nome],Tabella4[[#This Row],[NOME]],Tabella1[Ass])</f>
        <v>0</v>
      </c>
      <c r="X58" s="40">
        <f>SUMIF(Tabella1[Nome],Tabella4[[#This Row],[NOME]],Tabella1[Gdv])</f>
        <v>0</v>
      </c>
      <c r="Y58" s="40">
        <f>SUMIF(Tabella1[Nome],Tabella4[[#This Row],[NOME]],Tabella1[cl sh])</f>
        <v>0</v>
      </c>
      <c r="Z58" s="270">
        <f>_xlfn.IFNA(_xlfn.XLOOKUP(CONCATENATE(Z$4,$C58),Tabella1[CONC X VOTI IN TAB GIOC],Tabella1[Voto],""),"")</f>
        <v>6</v>
      </c>
      <c r="AA58" s="270" t="str">
        <f>_xlfn.IFNA(_xlfn.XLOOKUP(CONCATENATE(AA$4,$C58),Tabella1[CONC X VOTI IN TAB GIOC],Tabella1[Voto],""),"")</f>
        <v/>
      </c>
      <c r="AB58" s="270" t="str">
        <f>_xlfn.IFNA(_xlfn.XLOOKUP(CONCATENATE(AB$4,$C58),Tabella1[CONC X VOTI IN TAB GIOC],Tabella1[Voto]),"")</f>
        <v/>
      </c>
      <c r="AC58" s="270" t="str" cm="1">
        <f t="array" ref="AC58">_xlfn.IFNA(_xlfn.XLOOKUP(CONCATENATE(AC$4,$C58),INDEX(Tabella1[],0,MATCH("CONC X VOTI IN TAB GIOC",Tabella1[#Headers],0)),INDEX(Tabella1[],0,MATCH("Voto",Tabella1[#Headers],0))),"")</f>
        <v/>
      </c>
      <c r="AD58" s="270" t="str">
        <f>_xlfn.IFNA(_xlfn.XLOOKUP(CONCATENATE(AD$4,$C58),Tabella1[CONC X VOTI IN TAB GIOC],Tabella1[Voto]),"")</f>
        <v/>
      </c>
      <c r="AE58" s="270" t="str">
        <f>_xlfn.IFNA(VLOOKUP(CONCATENATE(AE$4,$C58),'INSER DATA'!$A:$F,6,0),"")</f>
        <v/>
      </c>
      <c r="AF58" s="270" t="str">
        <f>_xlfn.IFNA(VLOOKUP(CONCATENATE(AF$4,$C58),'INSER DATA'!$A:$F,6,0),"")</f>
        <v/>
      </c>
      <c r="AG58" s="270" t="str">
        <f>_xlfn.IFNA(VLOOKUP(CONCATENATE(AG$4,$C58),'INSER DATA'!$A:$F,6,0),"")</f>
        <v/>
      </c>
      <c r="AH58" s="270" t="str">
        <f>_xlfn.IFNA(VLOOKUP(CONCATENATE(AH$4,$C58),'INSER DATA'!$A:$F,7,0),"")</f>
        <v/>
      </c>
      <c r="AI58" s="270" t="str">
        <f>_xlfn.IFNA(VLOOKUP(CONCATENATE(AI$4,$C58),'INSER DATA'!$A:$F,7,0),"")</f>
        <v/>
      </c>
      <c r="AJ58" s="270" t="str">
        <f>_xlfn.IFNA(VLOOKUP(CONCATENATE(AJ$4,$C58),'INSER DATA'!$A:$F,7,0),"")</f>
        <v/>
      </c>
      <c r="AK58" s="270" t="str">
        <f>_xlfn.IFNA(VLOOKUP(CONCATENATE(AK$4,$C58),'INSER DATA'!$A:$F,7,0),"")</f>
        <v/>
      </c>
      <c r="AL58" s="270" t="str">
        <f>_xlfn.IFNA(VLOOKUP(CONCATENATE(AL$4,$C58),'INSER DATA'!$A:$F,7,0),"")</f>
        <v/>
      </c>
      <c r="AM58" s="270" t="str">
        <f>_xlfn.IFNA(VLOOKUP(CONCATENATE(AM$4,$C58),'INSER DATA'!$A:$F,7,0),"")</f>
        <v/>
      </c>
      <c r="AN58" s="270" t="str">
        <f>_xlfn.IFNA(VLOOKUP(CONCATENATE(AN$4,$C58),'INSER DATA'!$A:$F,7,0),"")</f>
        <v/>
      </c>
      <c r="AO58" s="270" t="str">
        <f>_xlfn.IFNA(VLOOKUP(CONCATENATE(AO$4,$C58),'INSER DATA'!$A:$F,7,0),"")</f>
        <v/>
      </c>
      <c r="AP58" s="270" t="str">
        <f>_xlfn.IFNA(VLOOKUP(CONCATENATE(AP$4,$C58),'INSER DATA'!$A:$F,7,0),"")</f>
        <v/>
      </c>
      <c r="AQ58" s="270" t="str">
        <f>_xlfn.IFNA(VLOOKUP(CONCATENATE(AQ$4,$C58),'INSER DATA'!$A:$F,7,0),"")</f>
        <v/>
      </c>
      <c r="AR58" s="270" t="str">
        <f>_xlfn.IFNA(VLOOKUP(CONCATENATE(AR$4,$C58),'INSER DATA'!$A:$F,7,0),"")</f>
        <v/>
      </c>
      <c r="AS58" s="270" t="str">
        <f>_xlfn.IFNA(VLOOKUP(CONCATENATE(AS$4,$C58),'INSER DATA'!$A:$F,7,0),"")</f>
        <v/>
      </c>
      <c r="AT58" s="270" t="str">
        <f>_xlfn.IFNA(VLOOKUP(CONCATENATE(AT$4,$C58),'INSER DATA'!$A:$F,7,0),"")</f>
        <v/>
      </c>
      <c r="AU58" s="270" t="str">
        <f>_xlfn.IFNA(VLOOKUP(CONCATENATE(AU$4,$C58),'INSER DATA'!$A:$F,7,0),"")</f>
        <v/>
      </c>
      <c r="AV58" s="270" t="str">
        <f>_xlfn.IFNA(VLOOKUP(CONCATENATE(AV$4,$C58),'INSER DATA'!$A:$F,7,0),"")</f>
        <v/>
      </c>
      <c r="AW58" s="270" t="str">
        <f>_xlfn.IFNA(VLOOKUP(CONCATENATE(AW$4,$C58),'INSER DATA'!$A:$F,7,0),"")</f>
        <v/>
      </c>
      <c r="AX58" s="270" t="str">
        <f>_xlfn.IFNA(VLOOKUP(CONCATENATE(AX$4,$C58),'INSER DATA'!$A:$F,7,0),"")</f>
        <v/>
      </c>
      <c r="AY58" s="270" t="str">
        <f>_xlfn.IFNA(VLOOKUP(CONCATENATE(AY$4,$C58),'INSER DATA'!$A:$F,7,0),"")</f>
        <v/>
      </c>
      <c r="AZ58" s="270" t="str">
        <f>_xlfn.IFNA(VLOOKUP(CONCATENATE(AZ$4,$C58),'INSER DATA'!$A:$F,7,0),"")</f>
        <v/>
      </c>
      <c r="BA58" s="270" t="str">
        <f>_xlfn.IFNA(VLOOKUP(CONCATENATE(BA$4,$C58),'INSER DATA'!$A:$F,7,0),"")</f>
        <v/>
      </c>
      <c r="BB58" s="270" t="str">
        <f>_xlfn.IFNA(VLOOKUP(CONCATENATE(BB$4,$C58),'INSER DATA'!$A:$F,7,0),"")</f>
        <v/>
      </c>
      <c r="BC58" s="270" t="str">
        <f>_xlfn.IFNA(VLOOKUP(CONCATENATE(BC$4,$C58),'INSER DATA'!$A:$F,7,0),"")</f>
        <v/>
      </c>
      <c r="BD58" s="270" t="str">
        <f>_xlfn.IFNA(VLOOKUP(CONCATENATE(BD$4,$C58),'INSER DATA'!$A:$F,7,0),"")</f>
        <v/>
      </c>
      <c r="BE58" s="270" t="str">
        <f>_xlfn.IFNA(VLOOKUP(CONCATENATE(BE$4,$C58),'INSER DATA'!$A:$F,7,0),"")</f>
        <v/>
      </c>
      <c r="BF58" s="270" t="str">
        <f>_xlfn.IFNA(VLOOKUP(CONCATENATE(BF$4,$C58),'INSER DATA'!$A:$F,7,0),"")</f>
        <v/>
      </c>
      <c r="BG58" s="270" t="str">
        <f>_xlfn.IFNA(VLOOKUP(CONCATENATE(BG$4,$C58),'INSER DATA'!$A:$F,7,0),"")</f>
        <v/>
      </c>
      <c r="BH58" s="270" t="str">
        <f>_xlfn.IFNA(VLOOKUP(CONCATENATE(BH$4,$C58),'INSER DATA'!$A:$F,7,0),"")</f>
        <v/>
      </c>
      <c r="BI58" s="270" t="str">
        <f>_xlfn.IFNA(VLOOKUP(CONCATENATE(BI$4,$C58),'INSER DATA'!$A:$F,7,0),"")</f>
        <v/>
      </c>
      <c r="BJ58" s="270" t="str">
        <f>_xlfn.IFNA(VLOOKUP(CONCATENATE(BJ$4,$C58),'INSER DATA'!$A:$F,7,0),"")</f>
        <v/>
      </c>
      <c r="BK58" s="270" t="str">
        <f>_xlfn.IFNA(VLOOKUP(CONCATENATE(BK$4,$C58),'INSER DATA'!$A:$F,7,0),"")</f>
        <v/>
      </c>
      <c r="BL58" s="272"/>
      <c r="BM58" s="30"/>
      <c r="BN58" s="30"/>
      <c r="BO58" s="30"/>
      <c r="BP58" s="30"/>
      <c r="BQ58" s="30"/>
      <c r="BR58" s="30"/>
      <c r="BS58" s="30"/>
      <c r="BT58" s="30"/>
      <c r="BU58" s="30"/>
      <c r="BV58" s="30"/>
      <c r="BW58" s="30"/>
      <c r="BX58" s="30"/>
      <c r="BY58" s="30"/>
      <c r="BZ58" s="30"/>
      <c r="CA58" s="30"/>
      <c r="CB58" s="30"/>
      <c r="CC58" s="30"/>
      <c r="CD58" s="30"/>
      <c r="CE58" s="30"/>
      <c r="CF58" s="30"/>
      <c r="CG58" s="30"/>
      <c r="CH58" s="30"/>
      <c r="CI58" s="30"/>
      <c r="CJ58" s="30"/>
      <c r="CK58" s="30"/>
      <c r="CL58" s="30"/>
      <c r="CM58" s="30"/>
      <c r="CN58" s="30"/>
      <c r="CO58" s="30"/>
      <c r="CP58" s="30"/>
      <c r="CQ58" s="30"/>
      <c r="CR58" s="30"/>
      <c r="CS58" s="30"/>
      <c r="CT58" s="30"/>
      <c r="CU58" s="30"/>
      <c r="CV58" s="30"/>
      <c r="CW58" s="30"/>
      <c r="CX58" s="30"/>
      <c r="CY58" s="30"/>
      <c r="CZ58" s="30"/>
      <c r="DA58" s="30"/>
    </row>
    <row r="59" spans="1:105" ht="19.2" thickTop="1" thickBot="1" x14ac:dyDescent="0.4">
      <c r="A59" s="30"/>
      <c r="B59" s="30"/>
      <c r="C59" s="188" t="s">
        <v>231</v>
      </c>
      <c r="D59" s="187" t="s">
        <v>662</v>
      </c>
      <c r="E59" s="35" t="str">
        <f>_xlfn.XLOOKUP(Tabella4[[#This Row],[NOME]],'ROSE SQUADRE'!$N$3:$N$253,'ROSE SQUADRE'!$O$3:$O$253,"")</f>
        <v/>
      </c>
      <c r="F59" s="36" t="s">
        <v>162</v>
      </c>
      <c r="G59" s="43">
        <v>6</v>
      </c>
      <c r="H59" s="43">
        <v>7</v>
      </c>
      <c r="I59" s="44">
        <f t="shared" si="0"/>
        <v>1</v>
      </c>
      <c r="J59" s="37">
        <f t="shared" si="1"/>
        <v>4</v>
      </c>
      <c r="K59" s="178">
        <f t="shared" si="2"/>
        <v>6.25</v>
      </c>
      <c r="L59" s="178">
        <f t="shared" si="3"/>
        <v>6.75</v>
      </c>
      <c r="M59" s="179">
        <f t="shared" si="4"/>
        <v>27</v>
      </c>
      <c r="N59" s="45">
        <f t="shared" ca="1" si="6"/>
        <v>0</v>
      </c>
      <c r="O59" s="40">
        <f>SUMIF(Tabella1[Nome],Tabella4[[#This Row],[NOME]],Tabella1[Gf])</f>
        <v>0</v>
      </c>
      <c r="P59" s="40">
        <f>-(SUMIF(Tabella1[Nome],Tabella4[[#This Row],[NOME]],Tabella1[Gs]))</f>
        <v>0</v>
      </c>
      <c r="Q59" s="40">
        <f>SUMIF(Tabella1[Nome],Tabella4[[#This Row],[NOME]],Tabella1[Rp])</f>
        <v>0</v>
      </c>
      <c r="R59" s="40">
        <f>SUMIF(Tabella1[Nome],Tabella4[[#This Row],[NOME]],Tabella1[Rs])</f>
        <v>0</v>
      </c>
      <c r="S59" s="40">
        <f>SUMIF(Tabella1[Nome],Tabella4[[#This Row],[NOME]],Tabella1[Rf])</f>
        <v>0</v>
      </c>
      <c r="T59" s="40">
        <f>SUMIF(Tabella1[Nome],Tabella4[[#This Row],[NOME]],Tabella1[Au])</f>
        <v>0</v>
      </c>
      <c r="U59" s="41">
        <f>SUMIF(Tabella1[Nome],Tabella4[[#This Row],[NOME]],Tabella1[Amm])</f>
        <v>0</v>
      </c>
      <c r="V59" s="42">
        <f>SUMIF(Tabella1[Nome],Tabella4[[#This Row],[NOME]],Tabella1[Esp])</f>
        <v>0</v>
      </c>
      <c r="W59" s="40">
        <f>SUMIF(Tabella1[Nome],Tabella4[[#This Row],[NOME]],Tabella1[Ass])</f>
        <v>2</v>
      </c>
      <c r="X59" s="40">
        <f>SUMIF(Tabella1[Nome],Tabella4[[#This Row],[NOME]],Tabella1[Gdv])</f>
        <v>0</v>
      </c>
      <c r="Y59" s="40">
        <f>SUMIF(Tabella1[Nome],Tabella4[[#This Row],[NOME]],Tabella1[cl sh])</f>
        <v>0</v>
      </c>
      <c r="Z59" s="270">
        <f>_xlfn.IFNA(_xlfn.XLOOKUP(CONCATENATE(Z$4,$C59),Tabella1[CONC X VOTI IN TAB GIOC],Tabella1[Voto],""),"")</f>
        <v>6.5</v>
      </c>
      <c r="AA59" s="270">
        <f>_xlfn.IFNA(_xlfn.XLOOKUP(CONCATENATE(AA$4,$C59),Tabella1[CONC X VOTI IN TAB GIOC],Tabella1[Voto],""),"")</f>
        <v>5.5</v>
      </c>
      <c r="AB59" s="270">
        <f>_xlfn.IFNA(_xlfn.XLOOKUP(CONCATENATE(AB$4,$C59),Tabella1[CONC X VOTI IN TAB GIOC],Tabella1[Voto]),"")</f>
        <v>6.5</v>
      </c>
      <c r="AC59" s="270" cm="1">
        <f t="array" ref="AC59">_xlfn.IFNA(_xlfn.XLOOKUP(CONCATENATE(AC$4,$C59),INDEX(Tabella1[],0,MATCH("CONC X VOTI IN TAB GIOC",Tabella1[#Headers],0)),INDEX(Tabella1[],0,MATCH("Voto",Tabella1[#Headers],0))),"")</f>
        <v>6.5</v>
      </c>
      <c r="AD59" s="270" t="str">
        <f>_xlfn.IFNA(_xlfn.XLOOKUP(CONCATENATE(AD$4,$C59),Tabella1[CONC X VOTI IN TAB GIOC],Tabella1[Voto]),"")</f>
        <v/>
      </c>
      <c r="AE59" s="270" t="str">
        <f>_xlfn.IFNA(VLOOKUP(CONCATENATE(AE$4,$C59),'INSER DATA'!$A:$F,6,0),"")</f>
        <v/>
      </c>
      <c r="AF59" s="270" t="str">
        <f>_xlfn.IFNA(VLOOKUP(CONCATENATE(AF$4,$C59),'INSER DATA'!$A:$F,6,0),"")</f>
        <v/>
      </c>
      <c r="AG59" s="270" t="str">
        <f>_xlfn.IFNA(VLOOKUP(CONCATENATE(AG$4,$C59),'INSER DATA'!$A:$F,6,0),"")</f>
        <v/>
      </c>
      <c r="AH59" s="270" t="str">
        <f>_xlfn.IFNA(VLOOKUP(CONCATENATE(AH$4,$C59),'INSER DATA'!$A:$F,7,0),"")</f>
        <v/>
      </c>
      <c r="AI59" s="270" t="str">
        <f>_xlfn.IFNA(VLOOKUP(CONCATENATE(AI$4,$C59),'INSER DATA'!$A:$F,7,0),"")</f>
        <v/>
      </c>
      <c r="AJ59" s="270" t="str">
        <f>_xlfn.IFNA(VLOOKUP(CONCATENATE(AJ$4,$C59),'INSER DATA'!$A:$F,7,0),"")</f>
        <v/>
      </c>
      <c r="AK59" s="270" t="str">
        <f>_xlfn.IFNA(VLOOKUP(CONCATENATE(AK$4,$C59),'INSER DATA'!$A:$F,7,0),"")</f>
        <v/>
      </c>
      <c r="AL59" s="270" t="str">
        <f>_xlfn.IFNA(VLOOKUP(CONCATENATE(AL$4,$C59),'INSER DATA'!$A:$F,7,0),"")</f>
        <v/>
      </c>
      <c r="AM59" s="270" t="str">
        <f>_xlfn.IFNA(VLOOKUP(CONCATENATE(AM$4,$C59),'INSER DATA'!$A:$F,7,0),"")</f>
        <v/>
      </c>
      <c r="AN59" s="270" t="str">
        <f>_xlfn.IFNA(VLOOKUP(CONCATENATE(AN$4,$C59),'INSER DATA'!$A:$F,7,0),"")</f>
        <v/>
      </c>
      <c r="AO59" s="270" t="str">
        <f>_xlfn.IFNA(VLOOKUP(CONCATENATE(AO$4,$C59),'INSER DATA'!$A:$F,7,0),"")</f>
        <v/>
      </c>
      <c r="AP59" s="270" t="str">
        <f>_xlfn.IFNA(VLOOKUP(CONCATENATE(AP$4,$C59),'INSER DATA'!$A:$F,7,0),"")</f>
        <v/>
      </c>
      <c r="AQ59" s="270" t="str">
        <f>_xlfn.IFNA(VLOOKUP(CONCATENATE(AQ$4,$C59),'INSER DATA'!$A:$F,7,0),"")</f>
        <v/>
      </c>
      <c r="AR59" s="270" t="str">
        <f>_xlfn.IFNA(VLOOKUP(CONCATENATE(AR$4,$C59),'INSER DATA'!$A:$F,7,0),"")</f>
        <v/>
      </c>
      <c r="AS59" s="270" t="str">
        <f>_xlfn.IFNA(VLOOKUP(CONCATENATE(AS$4,$C59),'INSER DATA'!$A:$F,7,0),"")</f>
        <v/>
      </c>
      <c r="AT59" s="270" t="str">
        <f>_xlfn.IFNA(VLOOKUP(CONCATENATE(AT$4,$C59),'INSER DATA'!$A:$F,7,0),"")</f>
        <v/>
      </c>
      <c r="AU59" s="270" t="str">
        <f>_xlfn.IFNA(VLOOKUP(CONCATENATE(AU$4,$C59),'INSER DATA'!$A:$F,7,0),"")</f>
        <v/>
      </c>
      <c r="AV59" s="270" t="str">
        <f>_xlfn.IFNA(VLOOKUP(CONCATENATE(AV$4,$C59),'INSER DATA'!$A:$F,7,0),"")</f>
        <v/>
      </c>
      <c r="AW59" s="270" t="str">
        <f>_xlfn.IFNA(VLOOKUP(CONCATENATE(AW$4,$C59),'INSER DATA'!$A:$F,7,0),"")</f>
        <v/>
      </c>
      <c r="AX59" s="270" t="str">
        <f>_xlfn.IFNA(VLOOKUP(CONCATENATE(AX$4,$C59),'INSER DATA'!$A:$F,7,0),"")</f>
        <v/>
      </c>
      <c r="AY59" s="270" t="str">
        <f>_xlfn.IFNA(VLOOKUP(CONCATENATE(AY$4,$C59),'INSER DATA'!$A:$F,7,0),"")</f>
        <v/>
      </c>
      <c r="AZ59" s="270" t="str">
        <f>_xlfn.IFNA(VLOOKUP(CONCATENATE(AZ$4,$C59),'INSER DATA'!$A:$F,7,0),"")</f>
        <v/>
      </c>
      <c r="BA59" s="270" t="str">
        <f>_xlfn.IFNA(VLOOKUP(CONCATENATE(BA$4,$C59),'INSER DATA'!$A:$F,7,0),"")</f>
        <v/>
      </c>
      <c r="BB59" s="270" t="str">
        <f>_xlfn.IFNA(VLOOKUP(CONCATENATE(BB$4,$C59),'INSER DATA'!$A:$F,7,0),"")</f>
        <v/>
      </c>
      <c r="BC59" s="270" t="str">
        <f>_xlfn.IFNA(VLOOKUP(CONCATENATE(BC$4,$C59),'INSER DATA'!$A:$F,7,0),"")</f>
        <v/>
      </c>
      <c r="BD59" s="270" t="str">
        <f>_xlfn.IFNA(VLOOKUP(CONCATENATE(BD$4,$C59),'INSER DATA'!$A:$F,7,0),"")</f>
        <v/>
      </c>
      <c r="BE59" s="270" t="str">
        <f>_xlfn.IFNA(VLOOKUP(CONCATENATE(BE$4,$C59),'INSER DATA'!$A:$F,7,0),"")</f>
        <v/>
      </c>
      <c r="BF59" s="270" t="str">
        <f>_xlfn.IFNA(VLOOKUP(CONCATENATE(BF$4,$C59),'INSER DATA'!$A:$F,7,0),"")</f>
        <v/>
      </c>
      <c r="BG59" s="270" t="str">
        <f>_xlfn.IFNA(VLOOKUP(CONCATENATE(BG$4,$C59),'INSER DATA'!$A:$F,7,0),"")</f>
        <v/>
      </c>
      <c r="BH59" s="270" t="str">
        <f>_xlfn.IFNA(VLOOKUP(CONCATENATE(BH$4,$C59),'INSER DATA'!$A:$F,7,0),"")</f>
        <v/>
      </c>
      <c r="BI59" s="270" t="str">
        <f>_xlfn.IFNA(VLOOKUP(CONCATENATE(BI$4,$C59),'INSER DATA'!$A:$F,7,0),"")</f>
        <v/>
      </c>
      <c r="BJ59" s="270" t="str">
        <f>_xlfn.IFNA(VLOOKUP(CONCATENATE(BJ$4,$C59),'INSER DATA'!$A:$F,7,0),"")</f>
        <v/>
      </c>
      <c r="BK59" s="270" t="str">
        <f>_xlfn.IFNA(VLOOKUP(CONCATENATE(BK$4,$C59),'INSER DATA'!$A:$F,7,0),"")</f>
        <v/>
      </c>
      <c r="BL59" s="272"/>
      <c r="BM59" s="30"/>
      <c r="BN59" s="30"/>
      <c r="BO59" s="30"/>
      <c r="BP59" s="30"/>
      <c r="BQ59" s="30"/>
      <c r="BR59" s="30"/>
      <c r="BS59" s="30"/>
      <c r="BT59" s="30"/>
      <c r="BU59" s="30"/>
      <c r="BV59" s="30"/>
      <c r="BW59" s="30"/>
      <c r="BX59" s="30"/>
      <c r="BY59" s="30"/>
      <c r="BZ59" s="30"/>
      <c r="CA59" s="30"/>
      <c r="CB59" s="30"/>
      <c r="CC59" s="30"/>
      <c r="CD59" s="30"/>
      <c r="CE59" s="30"/>
      <c r="CF59" s="30"/>
      <c r="CG59" s="30"/>
      <c r="CH59" s="30"/>
      <c r="CI59" s="30"/>
      <c r="CJ59" s="30"/>
      <c r="CK59" s="30"/>
      <c r="CL59" s="30"/>
      <c r="CM59" s="30"/>
      <c r="CN59" s="30"/>
      <c r="CO59" s="30"/>
      <c r="CP59" s="30"/>
      <c r="CQ59" s="30"/>
      <c r="CR59" s="30"/>
      <c r="CS59" s="30"/>
      <c r="CT59" s="30"/>
      <c r="CU59" s="30"/>
      <c r="CV59" s="30"/>
      <c r="CW59" s="30"/>
      <c r="CX59" s="30"/>
      <c r="CY59" s="30"/>
      <c r="CZ59" s="30"/>
      <c r="DA59" s="30"/>
    </row>
    <row r="60" spans="1:105" ht="19.2" thickTop="1" thickBot="1" x14ac:dyDescent="0.4">
      <c r="A60" s="30"/>
      <c r="B60" s="30"/>
      <c r="C60" s="185" t="s">
        <v>671</v>
      </c>
      <c r="D60" s="46" t="s">
        <v>662</v>
      </c>
      <c r="E60" s="35" t="str">
        <f>_xlfn.XLOOKUP(Tabella4[[#This Row],[NOME]],'ROSE SQUADRE'!$N$3:$N$253,'ROSE SQUADRE'!$O$3:$O$253,"")</f>
        <v/>
      </c>
      <c r="F60" s="36" t="s">
        <v>162</v>
      </c>
      <c r="G60" s="43">
        <v>5</v>
      </c>
      <c r="H60" s="43">
        <v>5</v>
      </c>
      <c r="I60" s="44">
        <f t="shared" si="0"/>
        <v>0</v>
      </c>
      <c r="J60" s="37">
        <f t="shared" si="1"/>
        <v>1</v>
      </c>
      <c r="K60" s="38">
        <f t="shared" si="2"/>
        <v>6</v>
      </c>
      <c r="L60" s="38">
        <f t="shared" si="3"/>
        <v>6</v>
      </c>
      <c r="M60" s="39">
        <f t="shared" si="4"/>
        <v>6</v>
      </c>
      <c r="N60" s="45">
        <f t="shared" ca="1" si="6"/>
        <v>0</v>
      </c>
      <c r="O60" s="40">
        <f>SUMIF(Tabella1[Nome],Tabella4[[#This Row],[NOME]],Tabella1[Gf])</f>
        <v>0</v>
      </c>
      <c r="P60" s="40">
        <f>-(SUMIF(Tabella1[Nome],Tabella4[[#This Row],[NOME]],Tabella1[Gs]))</f>
        <v>0</v>
      </c>
      <c r="Q60" s="40">
        <f>SUMIF(Tabella1[Nome],Tabella4[[#This Row],[NOME]],Tabella1[Rp])</f>
        <v>0</v>
      </c>
      <c r="R60" s="40">
        <f>SUMIF(Tabella1[Nome],Tabella4[[#This Row],[NOME]],Tabella1[Rs])</f>
        <v>0</v>
      </c>
      <c r="S60" s="40">
        <f>SUMIF(Tabella1[Nome],Tabella4[[#This Row],[NOME]],Tabella1[Rf])</f>
        <v>0</v>
      </c>
      <c r="T60" s="40">
        <f>SUMIF(Tabella1[Nome],Tabella4[[#This Row],[NOME]],Tabella1[Au])</f>
        <v>0</v>
      </c>
      <c r="U60" s="41">
        <f>SUMIF(Tabella1[Nome],Tabella4[[#This Row],[NOME]],Tabella1[Amm])</f>
        <v>0</v>
      </c>
      <c r="V60" s="42">
        <f>SUMIF(Tabella1[Nome],Tabella4[[#This Row],[NOME]],Tabella1[Esp])</f>
        <v>0</v>
      </c>
      <c r="W60" s="40">
        <f>SUMIF(Tabella1[Nome],Tabella4[[#This Row],[NOME]],Tabella1[Ass])</f>
        <v>0</v>
      </c>
      <c r="X60" s="40">
        <f>SUMIF(Tabella1[Nome],Tabella4[[#This Row],[NOME]],Tabella1[Gdv])</f>
        <v>0</v>
      </c>
      <c r="Y60" s="40">
        <f>SUMIF(Tabella1[Nome],Tabella4[[#This Row],[NOME]],Tabella1[cl sh])</f>
        <v>0</v>
      </c>
      <c r="Z60" s="270">
        <f>_xlfn.IFNA(_xlfn.XLOOKUP(CONCATENATE(Z$4,$C60),Tabella1[CONC X VOTI IN TAB GIOC],Tabella1[Voto],""),"")</f>
        <v>6</v>
      </c>
      <c r="AA60" s="270" t="str">
        <f>_xlfn.IFNA(_xlfn.XLOOKUP(CONCATENATE(AA$4,$C60),Tabella1[CONC X VOTI IN TAB GIOC],Tabella1[Voto],""),"")</f>
        <v/>
      </c>
      <c r="AB60" s="270" t="str">
        <f>_xlfn.IFNA(_xlfn.XLOOKUP(CONCATENATE(AB$4,$C60),Tabella1[CONC X VOTI IN TAB GIOC],Tabella1[Voto]),"")</f>
        <v/>
      </c>
      <c r="AC60" s="270" t="str" cm="1">
        <f t="array" ref="AC60">_xlfn.IFNA(_xlfn.XLOOKUP(CONCATENATE(AC$4,$C60),INDEX(Tabella1[],0,MATCH("CONC X VOTI IN TAB GIOC",Tabella1[#Headers],0)),INDEX(Tabella1[],0,MATCH("Voto",Tabella1[#Headers],0))),"")</f>
        <v/>
      </c>
      <c r="AD60" s="270" t="str">
        <f>_xlfn.IFNA(_xlfn.XLOOKUP(CONCATENATE(AD$4,$C60),Tabella1[CONC X VOTI IN TAB GIOC],Tabella1[Voto]),"")</f>
        <v/>
      </c>
      <c r="AE60" s="270" t="str">
        <f>_xlfn.IFNA(VLOOKUP(CONCATENATE(AE$4,$C60),'INSER DATA'!$A:$F,6,0),"")</f>
        <v/>
      </c>
      <c r="AF60" s="270" t="str">
        <f>_xlfn.IFNA(VLOOKUP(CONCATENATE(AF$4,$C60),'INSER DATA'!$A:$F,6,0),"")</f>
        <v/>
      </c>
      <c r="AG60" s="270" t="str">
        <f>_xlfn.IFNA(VLOOKUP(CONCATENATE(AG$4,$C60),'INSER DATA'!$A:$F,6,0),"")</f>
        <v/>
      </c>
      <c r="AH60" s="270" t="str">
        <f>_xlfn.IFNA(VLOOKUP(CONCATENATE(AH$4,$C60),'INSER DATA'!$A:$F,7,0),"")</f>
        <v/>
      </c>
      <c r="AI60" s="270" t="str">
        <f>_xlfn.IFNA(VLOOKUP(CONCATENATE(AI$4,$C60),'INSER DATA'!$A:$F,7,0),"")</f>
        <v/>
      </c>
      <c r="AJ60" s="270" t="str">
        <f>_xlfn.IFNA(VLOOKUP(CONCATENATE(AJ$4,$C60),'INSER DATA'!$A:$F,7,0),"")</f>
        <v/>
      </c>
      <c r="AK60" s="270" t="str">
        <f>_xlfn.IFNA(VLOOKUP(CONCATENATE(AK$4,$C60),'INSER DATA'!$A:$F,7,0),"")</f>
        <v/>
      </c>
      <c r="AL60" s="270" t="str">
        <f>_xlfn.IFNA(VLOOKUP(CONCATENATE(AL$4,$C60),'INSER DATA'!$A:$F,7,0),"")</f>
        <v/>
      </c>
      <c r="AM60" s="270" t="str">
        <f>_xlfn.IFNA(VLOOKUP(CONCATENATE(AM$4,$C60),'INSER DATA'!$A:$F,7,0),"")</f>
        <v/>
      </c>
      <c r="AN60" s="270" t="str">
        <f>_xlfn.IFNA(VLOOKUP(CONCATENATE(AN$4,$C60),'INSER DATA'!$A:$F,7,0),"")</f>
        <v/>
      </c>
      <c r="AO60" s="270" t="str">
        <f>_xlfn.IFNA(VLOOKUP(CONCATENATE(AO$4,$C60),'INSER DATA'!$A:$F,7,0),"")</f>
        <v/>
      </c>
      <c r="AP60" s="270" t="str">
        <f>_xlfn.IFNA(VLOOKUP(CONCATENATE(AP$4,$C60),'INSER DATA'!$A:$F,7,0),"")</f>
        <v/>
      </c>
      <c r="AQ60" s="270" t="str">
        <f>_xlfn.IFNA(VLOOKUP(CONCATENATE(AQ$4,$C60),'INSER DATA'!$A:$F,7,0),"")</f>
        <v/>
      </c>
      <c r="AR60" s="270" t="str">
        <f>_xlfn.IFNA(VLOOKUP(CONCATENATE(AR$4,$C60),'INSER DATA'!$A:$F,7,0),"")</f>
        <v/>
      </c>
      <c r="AS60" s="270" t="str">
        <f>_xlfn.IFNA(VLOOKUP(CONCATENATE(AS$4,$C60),'INSER DATA'!$A:$F,7,0),"")</f>
        <v/>
      </c>
      <c r="AT60" s="270" t="str">
        <f>_xlfn.IFNA(VLOOKUP(CONCATENATE(AT$4,$C60),'INSER DATA'!$A:$F,7,0),"")</f>
        <v/>
      </c>
      <c r="AU60" s="270" t="str">
        <f>_xlfn.IFNA(VLOOKUP(CONCATENATE(AU$4,$C60),'INSER DATA'!$A:$F,7,0),"")</f>
        <v/>
      </c>
      <c r="AV60" s="270" t="str">
        <f>_xlfn.IFNA(VLOOKUP(CONCATENATE(AV$4,$C60),'INSER DATA'!$A:$F,7,0),"")</f>
        <v/>
      </c>
      <c r="AW60" s="270" t="str">
        <f>_xlfn.IFNA(VLOOKUP(CONCATENATE(AW$4,$C60),'INSER DATA'!$A:$F,7,0),"")</f>
        <v/>
      </c>
      <c r="AX60" s="270" t="str">
        <f>_xlfn.IFNA(VLOOKUP(CONCATENATE(AX$4,$C60),'INSER DATA'!$A:$F,7,0),"")</f>
        <v/>
      </c>
      <c r="AY60" s="270" t="str">
        <f>_xlfn.IFNA(VLOOKUP(CONCATENATE(AY$4,$C60),'INSER DATA'!$A:$F,7,0),"")</f>
        <v/>
      </c>
      <c r="AZ60" s="270" t="str">
        <f>_xlfn.IFNA(VLOOKUP(CONCATENATE(AZ$4,$C60),'INSER DATA'!$A:$F,7,0),"")</f>
        <v/>
      </c>
      <c r="BA60" s="270" t="str">
        <f>_xlfn.IFNA(VLOOKUP(CONCATENATE(BA$4,$C60),'INSER DATA'!$A:$F,7,0),"")</f>
        <v/>
      </c>
      <c r="BB60" s="270" t="str">
        <f>_xlfn.IFNA(VLOOKUP(CONCATENATE(BB$4,$C60),'INSER DATA'!$A:$F,7,0),"")</f>
        <v/>
      </c>
      <c r="BC60" s="270" t="str">
        <f>_xlfn.IFNA(VLOOKUP(CONCATENATE(BC$4,$C60),'INSER DATA'!$A:$F,7,0),"")</f>
        <v/>
      </c>
      <c r="BD60" s="270" t="str">
        <f>_xlfn.IFNA(VLOOKUP(CONCATENATE(BD$4,$C60),'INSER DATA'!$A:$F,7,0),"")</f>
        <v/>
      </c>
      <c r="BE60" s="270" t="str">
        <f>_xlfn.IFNA(VLOOKUP(CONCATENATE(BE$4,$C60),'INSER DATA'!$A:$F,7,0),"")</f>
        <v/>
      </c>
      <c r="BF60" s="270" t="str">
        <f>_xlfn.IFNA(VLOOKUP(CONCATENATE(BF$4,$C60),'INSER DATA'!$A:$F,7,0),"")</f>
        <v/>
      </c>
      <c r="BG60" s="270" t="str">
        <f>_xlfn.IFNA(VLOOKUP(CONCATENATE(BG$4,$C60),'INSER DATA'!$A:$F,7,0),"")</f>
        <v/>
      </c>
      <c r="BH60" s="270" t="str">
        <f>_xlfn.IFNA(VLOOKUP(CONCATENATE(BH$4,$C60),'INSER DATA'!$A:$F,7,0),"")</f>
        <v/>
      </c>
      <c r="BI60" s="270" t="str">
        <f>_xlfn.IFNA(VLOOKUP(CONCATENATE(BI$4,$C60),'INSER DATA'!$A:$F,7,0),"")</f>
        <v/>
      </c>
      <c r="BJ60" s="270" t="str">
        <f>_xlfn.IFNA(VLOOKUP(CONCATENATE(BJ$4,$C60),'INSER DATA'!$A:$F,7,0),"")</f>
        <v/>
      </c>
      <c r="BK60" s="270" t="str">
        <f>_xlfn.IFNA(VLOOKUP(CONCATENATE(BK$4,$C60),'INSER DATA'!$A:$F,7,0),"")</f>
        <v/>
      </c>
      <c r="BL60" s="272"/>
      <c r="BM60" s="30"/>
      <c r="BN60" s="30"/>
      <c r="BO60" s="30"/>
      <c r="BP60" s="30"/>
      <c r="BQ60" s="30"/>
      <c r="BR60" s="30"/>
      <c r="BS60" s="30"/>
      <c r="BT60" s="30"/>
      <c r="BU60" s="30"/>
      <c r="BV60" s="30"/>
      <c r="BW60" s="30"/>
      <c r="BX60" s="30"/>
      <c r="BY60" s="30"/>
      <c r="BZ60" s="30"/>
      <c r="CA60" s="30"/>
      <c r="CB60" s="30"/>
      <c r="CC60" s="30"/>
      <c r="CD60" s="30"/>
      <c r="CE60" s="30"/>
      <c r="CF60" s="30"/>
      <c r="CG60" s="30"/>
      <c r="CH60" s="30"/>
      <c r="CI60" s="30"/>
      <c r="CJ60" s="30"/>
      <c r="CK60" s="30"/>
      <c r="CL60" s="30"/>
      <c r="CM60" s="30"/>
      <c r="CN60" s="30"/>
      <c r="CO60" s="30"/>
      <c r="CP60" s="30"/>
      <c r="CQ60" s="30"/>
      <c r="CR60" s="30"/>
      <c r="CS60" s="30"/>
      <c r="CT60" s="30"/>
      <c r="CU60" s="30"/>
      <c r="CV60" s="30"/>
      <c r="CW60" s="30"/>
      <c r="CX60" s="30"/>
      <c r="CY60" s="30"/>
      <c r="CZ60" s="30"/>
      <c r="DA60" s="30"/>
    </row>
    <row r="61" spans="1:105" ht="19.2" thickTop="1" thickBot="1" x14ac:dyDescent="0.4">
      <c r="A61" s="30"/>
      <c r="B61" s="30"/>
      <c r="C61" s="185" t="s">
        <v>675</v>
      </c>
      <c r="D61" s="46" t="s">
        <v>662</v>
      </c>
      <c r="E61" s="35" t="str">
        <f>_xlfn.XLOOKUP(Tabella4[[#This Row],[NOME]],'ROSE SQUADRE'!$N$3:$N$253,'ROSE SQUADRE'!$O$3:$O$253,"")</f>
        <v/>
      </c>
      <c r="F61" s="36" t="s">
        <v>163</v>
      </c>
      <c r="G61" s="43">
        <v>4</v>
      </c>
      <c r="H61" s="43">
        <v>4</v>
      </c>
      <c r="I61" s="44">
        <f t="shared" si="0"/>
        <v>0</v>
      </c>
      <c r="J61" s="37">
        <f t="shared" si="1"/>
        <v>1</v>
      </c>
      <c r="K61" s="38">
        <f t="shared" si="2"/>
        <v>6</v>
      </c>
      <c r="L61" s="38">
        <f t="shared" si="3"/>
        <v>6</v>
      </c>
      <c r="M61" s="39">
        <f t="shared" si="4"/>
        <v>6</v>
      </c>
      <c r="N61" s="45">
        <f t="shared" ca="1" si="6"/>
        <v>0</v>
      </c>
      <c r="O61" s="40">
        <f>SUMIF(Tabella1[Nome],Tabella4[[#This Row],[NOME]],Tabella1[Gf])</f>
        <v>0</v>
      </c>
      <c r="P61" s="40">
        <f>-(SUMIF(Tabella1[Nome],Tabella4[[#This Row],[NOME]],Tabella1[Gs]))</f>
        <v>0</v>
      </c>
      <c r="Q61" s="40">
        <f>SUMIF(Tabella1[Nome],Tabella4[[#This Row],[NOME]],Tabella1[Rp])</f>
        <v>0</v>
      </c>
      <c r="R61" s="40">
        <f>SUMIF(Tabella1[Nome],Tabella4[[#This Row],[NOME]],Tabella1[Rs])</f>
        <v>0</v>
      </c>
      <c r="S61" s="40">
        <f>SUMIF(Tabella1[Nome],Tabella4[[#This Row],[NOME]],Tabella1[Rf])</f>
        <v>0</v>
      </c>
      <c r="T61" s="40">
        <f>SUMIF(Tabella1[Nome],Tabella4[[#This Row],[NOME]],Tabella1[Au])</f>
        <v>0</v>
      </c>
      <c r="U61" s="41">
        <f>SUMIF(Tabella1[Nome],Tabella4[[#This Row],[NOME]],Tabella1[Amm])</f>
        <v>0</v>
      </c>
      <c r="V61" s="42">
        <f>SUMIF(Tabella1[Nome],Tabella4[[#This Row],[NOME]],Tabella1[Esp])</f>
        <v>0</v>
      </c>
      <c r="W61" s="40">
        <f>SUMIF(Tabella1[Nome],Tabella4[[#This Row],[NOME]],Tabella1[Ass])</f>
        <v>0</v>
      </c>
      <c r="X61" s="40">
        <f>SUMIF(Tabella1[Nome],Tabella4[[#This Row],[NOME]],Tabella1[Gdv])</f>
        <v>0</v>
      </c>
      <c r="Y61" s="40">
        <f>SUMIF(Tabella1[Nome],Tabella4[[#This Row],[NOME]],Tabella1[cl sh])</f>
        <v>0</v>
      </c>
      <c r="Z61" s="270">
        <f>_xlfn.IFNA(_xlfn.XLOOKUP(CONCATENATE(Z$4,$C61),Tabella1[CONC X VOTI IN TAB GIOC],Tabella1[Voto],""),"")</f>
        <v>6</v>
      </c>
      <c r="AA61" s="270" t="str">
        <f>_xlfn.IFNA(_xlfn.XLOOKUP(CONCATENATE(AA$4,$C61),Tabella1[CONC X VOTI IN TAB GIOC],Tabella1[Voto],""),"")</f>
        <v/>
      </c>
      <c r="AB61" s="270" t="str">
        <f>_xlfn.IFNA(_xlfn.XLOOKUP(CONCATENATE(AB$4,$C61),Tabella1[CONC X VOTI IN TAB GIOC],Tabella1[Voto]),"")</f>
        <v/>
      </c>
      <c r="AC61" s="270" t="str" cm="1">
        <f t="array" ref="AC61">_xlfn.IFNA(_xlfn.XLOOKUP(CONCATENATE(AC$4,$C61),INDEX(Tabella1[],0,MATCH("CONC X VOTI IN TAB GIOC",Tabella1[#Headers],0)),INDEX(Tabella1[],0,MATCH("Voto",Tabella1[#Headers],0))),"")</f>
        <v/>
      </c>
      <c r="AD61" s="270" t="str">
        <f>_xlfn.IFNA(_xlfn.XLOOKUP(CONCATENATE(AD$4,$C61),Tabella1[CONC X VOTI IN TAB GIOC],Tabella1[Voto]),"")</f>
        <v/>
      </c>
      <c r="AE61" s="270" t="str">
        <f>_xlfn.IFNA(VLOOKUP(CONCATENATE(AE$4,$C61),'INSER DATA'!$A:$F,6,0),"")</f>
        <v/>
      </c>
      <c r="AF61" s="270" t="str">
        <f>_xlfn.IFNA(VLOOKUP(CONCATENATE(AF$4,$C61),'INSER DATA'!$A:$F,6,0),"")</f>
        <v/>
      </c>
      <c r="AG61" s="270" t="str">
        <f>_xlfn.IFNA(VLOOKUP(CONCATENATE(AG$4,$C61),'INSER DATA'!$A:$F,6,0),"")</f>
        <v/>
      </c>
      <c r="AH61" s="270" t="str">
        <f>_xlfn.IFNA(VLOOKUP(CONCATENATE(AH$4,$C61),'INSER DATA'!$A:$F,7,0),"")</f>
        <v/>
      </c>
      <c r="AI61" s="270" t="str">
        <f>_xlfn.IFNA(VLOOKUP(CONCATENATE(AI$4,$C61),'INSER DATA'!$A:$F,7,0),"")</f>
        <v/>
      </c>
      <c r="AJ61" s="270" t="str">
        <f>_xlfn.IFNA(VLOOKUP(CONCATENATE(AJ$4,$C61),'INSER DATA'!$A:$F,7,0),"")</f>
        <v/>
      </c>
      <c r="AK61" s="270" t="str">
        <f>_xlfn.IFNA(VLOOKUP(CONCATENATE(AK$4,$C61),'INSER DATA'!$A:$F,7,0),"")</f>
        <v/>
      </c>
      <c r="AL61" s="270" t="str">
        <f>_xlfn.IFNA(VLOOKUP(CONCATENATE(AL$4,$C61),'INSER DATA'!$A:$F,7,0),"")</f>
        <v/>
      </c>
      <c r="AM61" s="270" t="str">
        <f>_xlfn.IFNA(VLOOKUP(CONCATENATE(AM$4,$C61),'INSER DATA'!$A:$F,7,0),"")</f>
        <v/>
      </c>
      <c r="AN61" s="270" t="str">
        <f>_xlfn.IFNA(VLOOKUP(CONCATENATE(AN$4,$C61),'INSER DATA'!$A:$F,7,0),"")</f>
        <v/>
      </c>
      <c r="AO61" s="270" t="str">
        <f>_xlfn.IFNA(VLOOKUP(CONCATENATE(AO$4,$C61),'INSER DATA'!$A:$F,7,0),"")</f>
        <v/>
      </c>
      <c r="AP61" s="270" t="str">
        <f>_xlfn.IFNA(VLOOKUP(CONCATENATE(AP$4,$C61),'INSER DATA'!$A:$F,7,0),"")</f>
        <v/>
      </c>
      <c r="AQ61" s="270" t="str">
        <f>_xlfn.IFNA(VLOOKUP(CONCATENATE(AQ$4,$C61),'INSER DATA'!$A:$F,7,0),"")</f>
        <v/>
      </c>
      <c r="AR61" s="270" t="str">
        <f>_xlfn.IFNA(VLOOKUP(CONCATENATE(AR$4,$C61),'INSER DATA'!$A:$F,7,0),"")</f>
        <v/>
      </c>
      <c r="AS61" s="270" t="str">
        <f>_xlfn.IFNA(VLOOKUP(CONCATENATE(AS$4,$C61),'INSER DATA'!$A:$F,7,0),"")</f>
        <v/>
      </c>
      <c r="AT61" s="270" t="str">
        <f>_xlfn.IFNA(VLOOKUP(CONCATENATE(AT$4,$C61),'INSER DATA'!$A:$F,7,0),"")</f>
        <v/>
      </c>
      <c r="AU61" s="270" t="str">
        <f>_xlfn.IFNA(VLOOKUP(CONCATENATE(AU$4,$C61),'INSER DATA'!$A:$F,7,0),"")</f>
        <v/>
      </c>
      <c r="AV61" s="270" t="str">
        <f>_xlfn.IFNA(VLOOKUP(CONCATENATE(AV$4,$C61),'INSER DATA'!$A:$F,7,0),"")</f>
        <v/>
      </c>
      <c r="AW61" s="270" t="str">
        <f>_xlfn.IFNA(VLOOKUP(CONCATENATE(AW$4,$C61),'INSER DATA'!$A:$F,7,0),"")</f>
        <v/>
      </c>
      <c r="AX61" s="270" t="str">
        <f>_xlfn.IFNA(VLOOKUP(CONCATENATE(AX$4,$C61),'INSER DATA'!$A:$F,7,0),"")</f>
        <v/>
      </c>
      <c r="AY61" s="270" t="str">
        <f>_xlfn.IFNA(VLOOKUP(CONCATENATE(AY$4,$C61),'INSER DATA'!$A:$F,7,0),"")</f>
        <v/>
      </c>
      <c r="AZ61" s="270" t="str">
        <f>_xlfn.IFNA(VLOOKUP(CONCATENATE(AZ$4,$C61),'INSER DATA'!$A:$F,7,0),"")</f>
        <v/>
      </c>
      <c r="BA61" s="270" t="str">
        <f>_xlfn.IFNA(VLOOKUP(CONCATENATE(BA$4,$C61),'INSER DATA'!$A:$F,7,0),"")</f>
        <v/>
      </c>
      <c r="BB61" s="270" t="str">
        <f>_xlfn.IFNA(VLOOKUP(CONCATENATE(BB$4,$C61),'INSER DATA'!$A:$F,7,0),"")</f>
        <v/>
      </c>
      <c r="BC61" s="270" t="str">
        <f>_xlfn.IFNA(VLOOKUP(CONCATENATE(BC$4,$C61),'INSER DATA'!$A:$F,7,0),"")</f>
        <v/>
      </c>
      <c r="BD61" s="270" t="str">
        <f>_xlfn.IFNA(VLOOKUP(CONCATENATE(BD$4,$C61),'INSER DATA'!$A:$F,7,0),"")</f>
        <v/>
      </c>
      <c r="BE61" s="270" t="str">
        <f>_xlfn.IFNA(VLOOKUP(CONCATENATE(BE$4,$C61),'INSER DATA'!$A:$F,7,0),"")</f>
        <v/>
      </c>
      <c r="BF61" s="270" t="str">
        <f>_xlfn.IFNA(VLOOKUP(CONCATENATE(BF$4,$C61),'INSER DATA'!$A:$F,7,0),"")</f>
        <v/>
      </c>
      <c r="BG61" s="270" t="str">
        <f>_xlfn.IFNA(VLOOKUP(CONCATENATE(BG$4,$C61),'INSER DATA'!$A:$F,7,0),"")</f>
        <v/>
      </c>
      <c r="BH61" s="270" t="str">
        <f>_xlfn.IFNA(VLOOKUP(CONCATENATE(BH$4,$C61),'INSER DATA'!$A:$F,7,0),"")</f>
        <v/>
      </c>
      <c r="BI61" s="270" t="str">
        <f>_xlfn.IFNA(VLOOKUP(CONCATENATE(BI$4,$C61),'INSER DATA'!$A:$F,7,0),"")</f>
        <v/>
      </c>
      <c r="BJ61" s="270" t="str">
        <f>_xlfn.IFNA(VLOOKUP(CONCATENATE(BJ$4,$C61),'INSER DATA'!$A:$F,7,0),"")</f>
        <v/>
      </c>
      <c r="BK61" s="270" t="str">
        <f>_xlfn.IFNA(VLOOKUP(CONCATENATE(BK$4,$C61),'INSER DATA'!$A:$F,7,0),"")</f>
        <v/>
      </c>
      <c r="BL61" s="272"/>
      <c r="BM61" s="30"/>
      <c r="BN61" s="30"/>
      <c r="BO61" s="30"/>
      <c r="BP61" s="30"/>
      <c r="BQ61" s="30"/>
      <c r="BR61" s="30"/>
      <c r="BS61" s="30"/>
      <c r="BT61" s="30"/>
      <c r="BU61" s="30"/>
      <c r="BV61" s="30"/>
      <c r="BW61" s="30"/>
      <c r="BX61" s="30"/>
      <c r="BY61" s="30"/>
      <c r="BZ61" s="30"/>
      <c r="CA61" s="30"/>
      <c r="CB61" s="30"/>
      <c r="CC61" s="30"/>
      <c r="CD61" s="30"/>
      <c r="CE61" s="30"/>
      <c r="CF61" s="30"/>
      <c r="CG61" s="30"/>
      <c r="CH61" s="30"/>
      <c r="CI61" s="30"/>
      <c r="CJ61" s="30"/>
      <c r="CK61" s="30"/>
      <c r="CL61" s="30"/>
      <c r="CM61" s="30"/>
      <c r="CN61" s="30"/>
      <c r="CO61" s="30"/>
      <c r="CP61" s="30"/>
      <c r="CQ61" s="30"/>
      <c r="CR61" s="30"/>
      <c r="CS61" s="30"/>
      <c r="CT61" s="30"/>
      <c r="CU61" s="30"/>
      <c r="CV61" s="30"/>
      <c r="CW61" s="30"/>
      <c r="CX61" s="30"/>
      <c r="CY61" s="30"/>
      <c r="CZ61" s="30"/>
      <c r="DA61" s="30"/>
    </row>
    <row r="62" spans="1:105" ht="19.2" thickTop="1" thickBot="1" x14ac:dyDescent="0.4">
      <c r="A62" s="30"/>
      <c r="B62" s="30"/>
      <c r="C62" s="188" t="s">
        <v>695</v>
      </c>
      <c r="D62" s="46" t="s">
        <v>662</v>
      </c>
      <c r="E62" s="35" t="str">
        <f>_xlfn.XLOOKUP(Tabella4[[#This Row],[NOME]],'ROSE SQUADRE'!$N$3:$N$253,'ROSE SQUADRE'!$O$3:$O$253,"")</f>
        <v/>
      </c>
      <c r="F62" s="36" t="s">
        <v>162</v>
      </c>
      <c r="G62" s="43"/>
      <c r="H62" s="43"/>
      <c r="I62" s="44">
        <f t="shared" si="0"/>
        <v>0</v>
      </c>
      <c r="J62" s="37">
        <f t="shared" si="1"/>
        <v>3</v>
      </c>
      <c r="K62" s="38">
        <f t="shared" si="2"/>
        <v>6</v>
      </c>
      <c r="L62" s="38">
        <f t="shared" si="3"/>
        <v>6</v>
      </c>
      <c r="M62" s="39">
        <f t="shared" si="4"/>
        <v>18</v>
      </c>
      <c r="N62" s="45">
        <f t="shared" ca="1" si="6"/>
        <v>0</v>
      </c>
      <c r="O62" s="40">
        <f>SUMIF(Tabella1[Nome],Tabella4[[#This Row],[NOME]],Tabella1[Gf])</f>
        <v>0</v>
      </c>
      <c r="P62" s="40">
        <f>-(SUMIF(Tabella1[Nome],Tabella4[[#This Row],[NOME]],Tabella1[Gs]))</f>
        <v>0</v>
      </c>
      <c r="Q62" s="40">
        <f>SUMIF(Tabella1[Nome],Tabella4[[#This Row],[NOME]],Tabella1[Rp])</f>
        <v>0</v>
      </c>
      <c r="R62" s="40">
        <f>SUMIF(Tabella1[Nome],Tabella4[[#This Row],[NOME]],Tabella1[Rs])</f>
        <v>0</v>
      </c>
      <c r="S62" s="40">
        <f>SUMIF(Tabella1[Nome],Tabella4[[#This Row],[NOME]],Tabella1[Rf])</f>
        <v>0</v>
      </c>
      <c r="T62" s="40">
        <f>SUMIF(Tabella1[Nome],Tabella4[[#This Row],[NOME]],Tabella1[Au])</f>
        <v>0</v>
      </c>
      <c r="U62" s="41">
        <f>SUMIF(Tabella1[Nome],Tabella4[[#This Row],[NOME]],Tabella1[Amm])</f>
        <v>0</v>
      </c>
      <c r="V62" s="42">
        <f>SUMIF(Tabella1[Nome],Tabella4[[#This Row],[NOME]],Tabella1[Esp])</f>
        <v>0</v>
      </c>
      <c r="W62" s="40">
        <f>SUMIF(Tabella1[Nome],Tabella4[[#This Row],[NOME]],Tabella1[Ass])</f>
        <v>0</v>
      </c>
      <c r="X62" s="40">
        <f>SUMIF(Tabella1[Nome],Tabella4[[#This Row],[NOME]],Tabella1[Gdv])</f>
        <v>0</v>
      </c>
      <c r="Y62" s="40">
        <f>SUMIF(Tabella1[Nome],Tabella4[[#This Row],[NOME]],Tabella1[cl sh])</f>
        <v>0</v>
      </c>
      <c r="Z62" s="270" t="str">
        <f>_xlfn.IFNA(_xlfn.XLOOKUP(CONCATENATE(Z$4,$C62),Tabella1[CONC X VOTI IN TAB GIOC],Tabella1[Voto],""),"")</f>
        <v/>
      </c>
      <c r="AA62" s="270">
        <f>_xlfn.IFNA(_xlfn.XLOOKUP(CONCATENATE(AA$4,$C62),Tabella1[CONC X VOTI IN TAB GIOC],Tabella1[Voto],""),"")</f>
        <v>6</v>
      </c>
      <c r="AB62" s="270">
        <f>_xlfn.IFNA(_xlfn.XLOOKUP(CONCATENATE(AB$4,$C62),Tabella1[CONC X VOTI IN TAB GIOC],Tabella1[Voto]),"")</f>
        <v>6</v>
      </c>
      <c r="AC62" s="270" cm="1">
        <f t="array" ref="AC62">_xlfn.IFNA(_xlfn.XLOOKUP(CONCATENATE(AC$4,$C62),INDEX(Tabella1[],0,MATCH("CONC X VOTI IN TAB GIOC",Tabella1[#Headers],0)),INDEX(Tabella1[],0,MATCH("Voto",Tabella1[#Headers],0))),"")</f>
        <v>6</v>
      </c>
      <c r="AD62" s="270" t="str">
        <f>_xlfn.IFNA(_xlfn.XLOOKUP(CONCATENATE(AD$4,$C62),Tabella1[CONC X VOTI IN TAB GIOC],Tabella1[Voto]),"")</f>
        <v/>
      </c>
      <c r="AE62" s="270" t="str">
        <f>_xlfn.IFNA(VLOOKUP(CONCATENATE(AE$4,$C62),'INSER DATA'!$A:$F,6,0),"")</f>
        <v/>
      </c>
      <c r="AF62" s="270" t="str">
        <f>_xlfn.IFNA(VLOOKUP(CONCATENATE(AF$4,$C62),'INSER DATA'!$A:$F,6,0),"")</f>
        <v/>
      </c>
      <c r="AG62" s="270" t="str">
        <f>_xlfn.IFNA(VLOOKUP(CONCATENATE(AG$4,$C62),'INSER DATA'!$A:$F,6,0),"")</f>
        <v/>
      </c>
      <c r="AH62" s="270" t="str">
        <f>_xlfn.IFNA(VLOOKUP(CONCATENATE(AH$4,$C62),'INSER DATA'!$A:$F,7,0),"")</f>
        <v/>
      </c>
      <c r="AI62" s="270" t="str">
        <f>_xlfn.IFNA(VLOOKUP(CONCATENATE(AI$4,$C62),'INSER DATA'!$A:$F,7,0),"")</f>
        <v/>
      </c>
      <c r="AJ62" s="270" t="str">
        <f>_xlfn.IFNA(VLOOKUP(CONCATENATE(AJ$4,$C62),'INSER DATA'!$A:$F,7,0),"")</f>
        <v/>
      </c>
      <c r="AK62" s="270" t="str">
        <f>_xlfn.IFNA(VLOOKUP(CONCATENATE(AK$4,$C62),'INSER DATA'!$A:$F,7,0),"")</f>
        <v/>
      </c>
      <c r="AL62" s="270" t="str">
        <f>_xlfn.IFNA(VLOOKUP(CONCATENATE(AL$4,$C62),'INSER DATA'!$A:$F,7,0),"")</f>
        <v/>
      </c>
      <c r="AM62" s="270" t="str">
        <f>_xlfn.IFNA(VLOOKUP(CONCATENATE(AM$4,$C62),'INSER DATA'!$A:$F,7,0),"")</f>
        <v/>
      </c>
      <c r="AN62" s="270" t="str">
        <f>_xlfn.IFNA(VLOOKUP(CONCATENATE(AN$4,$C62),'INSER DATA'!$A:$F,7,0),"")</f>
        <v/>
      </c>
      <c r="AO62" s="270" t="str">
        <f>_xlfn.IFNA(VLOOKUP(CONCATENATE(AO$4,$C62),'INSER DATA'!$A:$F,7,0),"")</f>
        <v/>
      </c>
      <c r="AP62" s="270" t="str">
        <f>_xlfn.IFNA(VLOOKUP(CONCATENATE(AP$4,$C62),'INSER DATA'!$A:$F,7,0),"")</f>
        <v/>
      </c>
      <c r="AQ62" s="270" t="str">
        <f>_xlfn.IFNA(VLOOKUP(CONCATENATE(AQ$4,$C62),'INSER DATA'!$A:$F,7,0),"")</f>
        <v/>
      </c>
      <c r="AR62" s="270" t="str">
        <f>_xlfn.IFNA(VLOOKUP(CONCATENATE(AR$4,$C62),'INSER DATA'!$A:$F,7,0),"")</f>
        <v/>
      </c>
      <c r="AS62" s="270" t="str">
        <f>_xlfn.IFNA(VLOOKUP(CONCATENATE(AS$4,$C62),'INSER DATA'!$A:$F,7,0),"")</f>
        <v/>
      </c>
      <c r="AT62" s="270" t="str">
        <f>_xlfn.IFNA(VLOOKUP(CONCATENATE(AT$4,$C62),'INSER DATA'!$A:$F,7,0),"")</f>
        <v/>
      </c>
      <c r="AU62" s="270" t="str">
        <f>_xlfn.IFNA(VLOOKUP(CONCATENATE(AU$4,$C62),'INSER DATA'!$A:$F,7,0),"")</f>
        <v/>
      </c>
      <c r="AV62" s="270" t="str">
        <f>_xlfn.IFNA(VLOOKUP(CONCATENATE(AV$4,$C62),'INSER DATA'!$A:$F,7,0),"")</f>
        <v/>
      </c>
      <c r="AW62" s="270" t="str">
        <f>_xlfn.IFNA(VLOOKUP(CONCATENATE(AW$4,$C62),'INSER DATA'!$A:$F,7,0),"")</f>
        <v/>
      </c>
      <c r="AX62" s="270" t="str">
        <f>_xlfn.IFNA(VLOOKUP(CONCATENATE(AX$4,$C62),'INSER DATA'!$A:$F,7,0),"")</f>
        <v/>
      </c>
      <c r="AY62" s="270" t="str">
        <f>_xlfn.IFNA(VLOOKUP(CONCATENATE(AY$4,$C62),'INSER DATA'!$A:$F,7,0),"")</f>
        <v/>
      </c>
      <c r="AZ62" s="270" t="str">
        <f>_xlfn.IFNA(VLOOKUP(CONCATENATE(AZ$4,$C62),'INSER DATA'!$A:$F,7,0),"")</f>
        <v/>
      </c>
      <c r="BA62" s="270" t="str">
        <f>_xlfn.IFNA(VLOOKUP(CONCATENATE(BA$4,$C62),'INSER DATA'!$A:$F,7,0),"")</f>
        <v/>
      </c>
      <c r="BB62" s="270" t="str">
        <f>_xlfn.IFNA(VLOOKUP(CONCATENATE(BB$4,$C62),'INSER DATA'!$A:$F,7,0),"")</f>
        <v/>
      </c>
      <c r="BC62" s="270" t="str">
        <f>_xlfn.IFNA(VLOOKUP(CONCATENATE(BC$4,$C62),'INSER DATA'!$A:$F,7,0),"")</f>
        <v/>
      </c>
      <c r="BD62" s="270" t="str">
        <f>_xlfn.IFNA(VLOOKUP(CONCATENATE(BD$4,$C62),'INSER DATA'!$A:$F,7,0),"")</f>
        <v/>
      </c>
      <c r="BE62" s="270" t="str">
        <f>_xlfn.IFNA(VLOOKUP(CONCATENATE(BE$4,$C62),'INSER DATA'!$A:$F,7,0),"")</f>
        <v/>
      </c>
      <c r="BF62" s="270" t="str">
        <f>_xlfn.IFNA(VLOOKUP(CONCATENATE(BF$4,$C62),'INSER DATA'!$A:$F,7,0),"")</f>
        <v/>
      </c>
      <c r="BG62" s="270" t="str">
        <f>_xlfn.IFNA(VLOOKUP(CONCATENATE(BG$4,$C62),'INSER DATA'!$A:$F,7,0),"")</f>
        <v/>
      </c>
      <c r="BH62" s="270" t="str">
        <f>_xlfn.IFNA(VLOOKUP(CONCATENATE(BH$4,$C62),'INSER DATA'!$A:$F,7,0),"")</f>
        <v/>
      </c>
      <c r="BI62" s="270" t="str">
        <f>_xlfn.IFNA(VLOOKUP(CONCATENATE(BI$4,$C62),'INSER DATA'!$A:$F,7,0),"")</f>
        <v/>
      </c>
      <c r="BJ62" s="270" t="str">
        <f>_xlfn.IFNA(VLOOKUP(CONCATENATE(BJ$4,$C62),'INSER DATA'!$A:$F,7,0),"")</f>
        <v/>
      </c>
      <c r="BK62" s="270" t="str">
        <f>_xlfn.IFNA(VLOOKUP(CONCATENATE(BK$4,$C62),'INSER DATA'!$A:$F,7,0),"")</f>
        <v/>
      </c>
      <c r="BL62" s="272"/>
      <c r="BM62" s="30"/>
      <c r="BN62" s="30"/>
      <c r="BO62" s="30"/>
      <c r="BP62" s="30"/>
      <c r="BQ62" s="30"/>
      <c r="BR62" s="30"/>
      <c r="BS62" s="30"/>
      <c r="BT62" s="30"/>
      <c r="BU62" s="30"/>
      <c r="BV62" s="30"/>
      <c r="BW62" s="30"/>
      <c r="BX62" s="30"/>
      <c r="BY62" s="30"/>
      <c r="BZ62" s="30"/>
      <c r="CA62" s="30"/>
      <c r="CB62" s="30"/>
      <c r="CC62" s="30"/>
      <c r="CD62" s="30"/>
      <c r="CE62" s="30"/>
      <c r="CF62" s="30"/>
      <c r="CG62" s="30"/>
      <c r="CH62" s="30"/>
      <c r="CI62" s="30"/>
      <c r="CJ62" s="30"/>
      <c r="CK62" s="30"/>
      <c r="CL62" s="30"/>
      <c r="CM62" s="30"/>
      <c r="CN62" s="30"/>
      <c r="CO62" s="30"/>
      <c r="CP62" s="30"/>
      <c r="CQ62" s="30"/>
      <c r="CR62" s="30"/>
      <c r="CS62" s="30"/>
      <c r="CT62" s="30"/>
      <c r="CU62" s="30"/>
      <c r="CV62" s="30"/>
      <c r="CW62" s="30"/>
      <c r="CX62" s="30"/>
      <c r="CY62" s="30"/>
      <c r="CZ62" s="30"/>
      <c r="DA62" s="30"/>
    </row>
    <row r="63" spans="1:105" ht="19.2" thickTop="1" thickBot="1" x14ac:dyDescent="0.4">
      <c r="A63" s="30"/>
      <c r="B63" s="30"/>
      <c r="C63" s="188" t="s">
        <v>668</v>
      </c>
      <c r="D63" s="187" t="s">
        <v>662</v>
      </c>
      <c r="E63" s="35" t="str">
        <f>_xlfn.XLOOKUP(Tabella4[[#This Row],[NOME]],'ROSE SQUADRE'!$N$3:$N$253,'ROSE SQUADRE'!$O$3:$O$253,"")</f>
        <v/>
      </c>
      <c r="F63" s="36" t="s">
        <v>161</v>
      </c>
      <c r="G63" s="43">
        <v>7</v>
      </c>
      <c r="H63" s="43">
        <v>7</v>
      </c>
      <c r="I63" s="44">
        <f t="shared" si="0"/>
        <v>0</v>
      </c>
      <c r="J63" s="37">
        <f t="shared" si="1"/>
        <v>4</v>
      </c>
      <c r="K63" s="38">
        <f t="shared" si="2"/>
        <v>6</v>
      </c>
      <c r="L63" s="38">
        <f t="shared" si="3"/>
        <v>6</v>
      </c>
      <c r="M63" s="39">
        <f t="shared" si="4"/>
        <v>24</v>
      </c>
      <c r="N63" s="45">
        <f t="shared" ca="1" si="6"/>
        <v>0</v>
      </c>
      <c r="O63" s="40">
        <f>SUMIF(Tabella1[Nome],Tabella4[[#This Row],[NOME]],Tabella1[Gf])</f>
        <v>0</v>
      </c>
      <c r="P63" s="40">
        <f>-(SUMIF(Tabella1[Nome],Tabella4[[#This Row],[NOME]],Tabella1[Gs]))</f>
        <v>0</v>
      </c>
      <c r="Q63" s="40">
        <f>SUMIF(Tabella1[Nome],Tabella4[[#This Row],[NOME]],Tabella1[Rp])</f>
        <v>0</v>
      </c>
      <c r="R63" s="40">
        <f>SUMIF(Tabella1[Nome],Tabella4[[#This Row],[NOME]],Tabella1[Rs])</f>
        <v>0</v>
      </c>
      <c r="S63" s="40">
        <f>SUMIF(Tabella1[Nome],Tabella4[[#This Row],[NOME]],Tabella1[Rf])</f>
        <v>0</v>
      </c>
      <c r="T63" s="40">
        <f>SUMIF(Tabella1[Nome],Tabella4[[#This Row],[NOME]],Tabella1[Au])</f>
        <v>0</v>
      </c>
      <c r="U63" s="41">
        <f>SUMIF(Tabella1[Nome],Tabella4[[#This Row],[NOME]],Tabella1[Amm])</f>
        <v>0</v>
      </c>
      <c r="V63" s="42">
        <f>SUMIF(Tabella1[Nome],Tabella4[[#This Row],[NOME]],Tabella1[Esp])</f>
        <v>0</v>
      </c>
      <c r="W63" s="40">
        <f>SUMIF(Tabella1[Nome],Tabella4[[#This Row],[NOME]],Tabella1[Ass])</f>
        <v>0</v>
      </c>
      <c r="X63" s="40">
        <f>SUMIF(Tabella1[Nome],Tabella4[[#This Row],[NOME]],Tabella1[Gdv])</f>
        <v>0</v>
      </c>
      <c r="Y63" s="40">
        <f>SUMIF(Tabella1[Nome],Tabella4[[#This Row],[NOME]],Tabella1[cl sh])</f>
        <v>0</v>
      </c>
      <c r="Z63" s="270">
        <f>_xlfn.IFNA(_xlfn.XLOOKUP(CONCATENATE(Z$4,$C63),Tabella1[CONC X VOTI IN TAB GIOC],Tabella1[Voto],""),"")</f>
        <v>6</v>
      </c>
      <c r="AA63" s="270">
        <f>_xlfn.IFNA(_xlfn.XLOOKUP(CONCATENATE(AA$4,$C63),Tabella1[CONC X VOTI IN TAB GIOC],Tabella1[Voto],""),"")</f>
        <v>5.5</v>
      </c>
      <c r="AB63" s="270">
        <f>_xlfn.IFNA(_xlfn.XLOOKUP(CONCATENATE(AB$4,$C63),Tabella1[CONC X VOTI IN TAB GIOC],Tabella1[Voto]),"")</f>
        <v>6.5</v>
      </c>
      <c r="AC63" s="270" cm="1">
        <f t="array" ref="AC63">_xlfn.IFNA(_xlfn.XLOOKUP(CONCATENATE(AC$4,$C63),INDEX(Tabella1[],0,MATCH("CONC X VOTI IN TAB GIOC",Tabella1[#Headers],0)),INDEX(Tabella1[],0,MATCH("Voto",Tabella1[#Headers],0))),"")</f>
        <v>6</v>
      </c>
      <c r="AD63" s="270" t="str">
        <f>_xlfn.IFNA(_xlfn.XLOOKUP(CONCATENATE(AD$4,$C63),Tabella1[CONC X VOTI IN TAB GIOC],Tabella1[Voto]),"")</f>
        <v/>
      </c>
      <c r="AE63" s="270" t="str">
        <f>_xlfn.IFNA(VLOOKUP(CONCATENATE(AE$4,$C63),'INSER DATA'!$A:$F,6,0),"")</f>
        <v/>
      </c>
      <c r="AF63" s="270" t="str">
        <f>_xlfn.IFNA(VLOOKUP(CONCATENATE(AF$4,$C63),'INSER DATA'!$A:$F,6,0),"")</f>
        <v/>
      </c>
      <c r="AG63" s="270" t="str">
        <f>_xlfn.IFNA(VLOOKUP(CONCATENATE(AG$4,$C63),'INSER DATA'!$A:$F,6,0),"")</f>
        <v/>
      </c>
      <c r="AH63" s="270" t="str">
        <f>_xlfn.IFNA(VLOOKUP(CONCATENATE(AH$4,$C63),'INSER DATA'!$A:$F,7,0),"")</f>
        <v/>
      </c>
      <c r="AI63" s="270" t="str">
        <f>_xlfn.IFNA(VLOOKUP(CONCATENATE(AI$4,$C63),'INSER DATA'!$A:$F,7,0),"")</f>
        <v/>
      </c>
      <c r="AJ63" s="270" t="str">
        <f>_xlfn.IFNA(VLOOKUP(CONCATENATE(AJ$4,$C63),'INSER DATA'!$A:$F,7,0),"")</f>
        <v/>
      </c>
      <c r="AK63" s="270" t="str">
        <f>_xlfn.IFNA(VLOOKUP(CONCATENATE(AK$4,$C63),'INSER DATA'!$A:$F,7,0),"")</f>
        <v/>
      </c>
      <c r="AL63" s="270" t="str">
        <f>_xlfn.IFNA(VLOOKUP(CONCATENATE(AL$4,$C63),'INSER DATA'!$A:$F,7,0),"")</f>
        <v/>
      </c>
      <c r="AM63" s="270" t="str">
        <f>_xlfn.IFNA(VLOOKUP(CONCATENATE(AM$4,$C63),'INSER DATA'!$A:$F,7,0),"")</f>
        <v/>
      </c>
      <c r="AN63" s="270" t="str">
        <f>_xlfn.IFNA(VLOOKUP(CONCATENATE(AN$4,$C63),'INSER DATA'!$A:$F,7,0),"")</f>
        <v/>
      </c>
      <c r="AO63" s="270" t="str">
        <f>_xlfn.IFNA(VLOOKUP(CONCATENATE(AO$4,$C63),'INSER DATA'!$A:$F,7,0),"")</f>
        <v/>
      </c>
      <c r="AP63" s="270" t="str">
        <f>_xlfn.IFNA(VLOOKUP(CONCATENATE(AP$4,$C63),'INSER DATA'!$A:$F,7,0),"")</f>
        <v/>
      </c>
      <c r="AQ63" s="270" t="str">
        <f>_xlfn.IFNA(VLOOKUP(CONCATENATE(AQ$4,$C63),'INSER DATA'!$A:$F,7,0),"")</f>
        <v/>
      </c>
      <c r="AR63" s="270" t="str">
        <f>_xlfn.IFNA(VLOOKUP(CONCATENATE(AR$4,$C63),'INSER DATA'!$A:$F,7,0),"")</f>
        <v/>
      </c>
      <c r="AS63" s="270" t="str">
        <f>_xlfn.IFNA(VLOOKUP(CONCATENATE(AS$4,$C63),'INSER DATA'!$A:$F,7,0),"")</f>
        <v/>
      </c>
      <c r="AT63" s="270" t="str">
        <f>_xlfn.IFNA(VLOOKUP(CONCATENATE(AT$4,$C63),'INSER DATA'!$A:$F,7,0),"")</f>
        <v/>
      </c>
      <c r="AU63" s="270" t="str">
        <f>_xlfn.IFNA(VLOOKUP(CONCATENATE(AU$4,$C63),'INSER DATA'!$A:$F,7,0),"")</f>
        <v/>
      </c>
      <c r="AV63" s="270" t="str">
        <f>_xlfn.IFNA(VLOOKUP(CONCATENATE(AV$4,$C63),'INSER DATA'!$A:$F,7,0),"")</f>
        <v/>
      </c>
      <c r="AW63" s="270" t="str">
        <f>_xlfn.IFNA(VLOOKUP(CONCATENATE(AW$4,$C63),'INSER DATA'!$A:$F,7,0),"")</f>
        <v/>
      </c>
      <c r="AX63" s="270" t="str">
        <f>_xlfn.IFNA(VLOOKUP(CONCATENATE(AX$4,$C63),'INSER DATA'!$A:$F,7,0),"")</f>
        <v/>
      </c>
      <c r="AY63" s="270" t="str">
        <f>_xlfn.IFNA(VLOOKUP(CONCATENATE(AY$4,$C63),'INSER DATA'!$A:$F,7,0),"")</f>
        <v/>
      </c>
      <c r="AZ63" s="270" t="str">
        <f>_xlfn.IFNA(VLOOKUP(CONCATENATE(AZ$4,$C63),'INSER DATA'!$A:$F,7,0),"")</f>
        <v/>
      </c>
      <c r="BA63" s="270" t="str">
        <f>_xlfn.IFNA(VLOOKUP(CONCATENATE(BA$4,$C63),'INSER DATA'!$A:$F,7,0),"")</f>
        <v/>
      </c>
      <c r="BB63" s="270" t="str">
        <f>_xlfn.IFNA(VLOOKUP(CONCATENATE(BB$4,$C63),'INSER DATA'!$A:$F,7,0),"")</f>
        <v/>
      </c>
      <c r="BC63" s="270" t="str">
        <f>_xlfn.IFNA(VLOOKUP(CONCATENATE(BC$4,$C63),'INSER DATA'!$A:$F,7,0),"")</f>
        <v/>
      </c>
      <c r="BD63" s="270" t="str">
        <f>_xlfn.IFNA(VLOOKUP(CONCATENATE(BD$4,$C63),'INSER DATA'!$A:$F,7,0),"")</f>
        <v/>
      </c>
      <c r="BE63" s="270" t="str">
        <f>_xlfn.IFNA(VLOOKUP(CONCATENATE(BE$4,$C63),'INSER DATA'!$A:$F,7,0),"")</f>
        <v/>
      </c>
      <c r="BF63" s="270" t="str">
        <f>_xlfn.IFNA(VLOOKUP(CONCATENATE(BF$4,$C63),'INSER DATA'!$A:$F,7,0),"")</f>
        <v/>
      </c>
      <c r="BG63" s="270" t="str">
        <f>_xlfn.IFNA(VLOOKUP(CONCATENATE(BG$4,$C63),'INSER DATA'!$A:$F,7,0),"")</f>
        <v/>
      </c>
      <c r="BH63" s="270" t="str">
        <f>_xlfn.IFNA(VLOOKUP(CONCATENATE(BH$4,$C63),'INSER DATA'!$A:$F,7,0),"")</f>
        <v/>
      </c>
      <c r="BI63" s="270" t="str">
        <f>_xlfn.IFNA(VLOOKUP(CONCATENATE(BI$4,$C63),'INSER DATA'!$A:$F,7,0),"")</f>
        <v/>
      </c>
      <c r="BJ63" s="270" t="str">
        <f>_xlfn.IFNA(VLOOKUP(CONCATENATE(BJ$4,$C63),'INSER DATA'!$A:$F,7,0),"")</f>
        <v/>
      </c>
      <c r="BK63" s="270" t="str">
        <f>_xlfn.IFNA(VLOOKUP(CONCATENATE(BK$4,$C63),'INSER DATA'!$A:$F,7,0),"")</f>
        <v/>
      </c>
      <c r="BL63" s="272"/>
      <c r="BM63" s="30"/>
      <c r="BN63" s="30"/>
      <c r="BO63" s="30"/>
      <c r="BP63" s="30"/>
      <c r="BQ63" s="30"/>
      <c r="BR63" s="30"/>
      <c r="BS63" s="30"/>
      <c r="BT63" s="30"/>
      <c r="BU63" s="30"/>
      <c r="BV63" s="30"/>
      <c r="BW63" s="30"/>
      <c r="BX63" s="30"/>
      <c r="BY63" s="30"/>
      <c r="BZ63" s="30"/>
      <c r="CA63" s="30"/>
      <c r="CB63" s="30"/>
      <c r="CC63" s="30"/>
      <c r="CD63" s="30"/>
      <c r="CE63" s="30"/>
      <c r="CF63" s="30"/>
      <c r="CG63" s="30"/>
      <c r="CH63" s="30"/>
      <c r="CI63" s="30"/>
      <c r="CJ63" s="30"/>
      <c r="CK63" s="30"/>
      <c r="CL63" s="30"/>
      <c r="CM63" s="30"/>
      <c r="CN63" s="30"/>
      <c r="CO63" s="30"/>
      <c r="CP63" s="30"/>
      <c r="CQ63" s="30"/>
      <c r="CR63" s="30"/>
      <c r="CS63" s="30"/>
      <c r="CT63" s="30"/>
      <c r="CU63" s="30"/>
      <c r="CV63" s="30"/>
      <c r="CW63" s="30"/>
      <c r="CX63" s="30"/>
      <c r="CY63" s="30"/>
      <c r="CZ63" s="30"/>
      <c r="DA63" s="30"/>
    </row>
    <row r="64" spans="1:105" ht="19.2" thickTop="1" thickBot="1" x14ac:dyDescent="0.4">
      <c r="A64" s="30"/>
      <c r="B64" s="30"/>
      <c r="C64" s="354" t="s">
        <v>670</v>
      </c>
      <c r="D64" s="355" t="s">
        <v>662</v>
      </c>
      <c r="E64" s="35" t="str">
        <f>_xlfn.XLOOKUP(Tabella4[[#This Row],[NOME]],'ROSE SQUADRE'!$N$3:$N$253,'ROSE SQUADRE'!$O$3:$O$253,"")</f>
        <v>ATL. IMPROVVISATO</v>
      </c>
      <c r="F64" s="36" t="s">
        <v>161</v>
      </c>
      <c r="G64" s="43">
        <v>5</v>
      </c>
      <c r="H64" s="43">
        <v>5</v>
      </c>
      <c r="I64" s="44">
        <f t="shared" si="0"/>
        <v>0</v>
      </c>
      <c r="J64" s="37">
        <f t="shared" si="1"/>
        <v>4</v>
      </c>
      <c r="K64" s="38">
        <f t="shared" si="2"/>
        <v>6.25</v>
      </c>
      <c r="L64" s="38">
        <f t="shared" si="3"/>
        <v>6.125</v>
      </c>
      <c r="M64" s="39">
        <f t="shared" si="4"/>
        <v>24.5</v>
      </c>
      <c r="N64" s="45">
        <f t="shared" ca="1" si="6"/>
        <v>0</v>
      </c>
      <c r="O64" s="40">
        <f>SUMIF(Tabella1[Nome],Tabella4[[#This Row],[NOME]],Tabella1[Gf])</f>
        <v>0</v>
      </c>
      <c r="P64" s="40">
        <f>-(SUMIF(Tabella1[Nome],Tabella4[[#This Row],[NOME]],Tabella1[Gs]))</f>
        <v>0</v>
      </c>
      <c r="Q64" s="40">
        <f>SUMIF(Tabella1[Nome],Tabella4[[#This Row],[NOME]],Tabella1[Rp])</f>
        <v>0</v>
      </c>
      <c r="R64" s="40">
        <f>SUMIF(Tabella1[Nome],Tabella4[[#This Row],[NOME]],Tabella1[Rs])</f>
        <v>0</v>
      </c>
      <c r="S64" s="40">
        <f>SUMIF(Tabella1[Nome],Tabella4[[#This Row],[NOME]],Tabella1[Rf])</f>
        <v>0</v>
      </c>
      <c r="T64" s="40">
        <f>SUMIF(Tabella1[Nome],Tabella4[[#This Row],[NOME]],Tabella1[Au])</f>
        <v>0</v>
      </c>
      <c r="U64" s="41">
        <f>SUMIF(Tabella1[Nome],Tabella4[[#This Row],[NOME]],Tabella1[Amm])</f>
        <v>1</v>
      </c>
      <c r="V64" s="42">
        <f>SUMIF(Tabella1[Nome],Tabella4[[#This Row],[NOME]],Tabella1[Esp])</f>
        <v>0</v>
      </c>
      <c r="W64" s="40">
        <f>SUMIF(Tabella1[Nome],Tabella4[[#This Row],[NOME]],Tabella1[Ass])</f>
        <v>0</v>
      </c>
      <c r="X64" s="40">
        <f>SUMIF(Tabella1[Nome],Tabella4[[#This Row],[NOME]],Tabella1[Gdv])</f>
        <v>0</v>
      </c>
      <c r="Y64" s="40">
        <f>SUMIF(Tabella1[Nome],Tabella4[[#This Row],[NOME]],Tabella1[cl sh])</f>
        <v>0</v>
      </c>
      <c r="Z64" s="270">
        <f>_xlfn.IFNA(_xlfn.XLOOKUP(CONCATENATE(Z$4,$C64),Tabella1[CONC X VOTI IN TAB GIOC],Tabella1[Voto],""),"")</f>
        <v>5.5</v>
      </c>
      <c r="AA64" s="270">
        <f>_xlfn.IFNA(_xlfn.XLOOKUP(CONCATENATE(AA$4,$C64),Tabella1[CONC X VOTI IN TAB GIOC],Tabella1[Voto],""),"")</f>
        <v>6</v>
      </c>
      <c r="AB64" s="270">
        <f>_xlfn.IFNA(_xlfn.XLOOKUP(CONCATENATE(AB$4,$C64),Tabella1[CONC X VOTI IN TAB GIOC],Tabella1[Voto]),"")</f>
        <v>6.5</v>
      </c>
      <c r="AC64" s="270" cm="1">
        <f t="array" ref="AC64">_xlfn.IFNA(_xlfn.XLOOKUP(CONCATENATE(AC$4,$C64),INDEX(Tabella1[],0,MATCH("CONC X VOTI IN TAB GIOC",Tabella1[#Headers],0)),INDEX(Tabella1[],0,MATCH("Voto",Tabella1[#Headers],0))),"")</f>
        <v>7</v>
      </c>
      <c r="AD64" s="270" t="str">
        <f>_xlfn.IFNA(_xlfn.XLOOKUP(CONCATENATE(AD$4,$C64),Tabella1[CONC X VOTI IN TAB GIOC],Tabella1[Voto]),"")</f>
        <v/>
      </c>
      <c r="AE64" s="270" t="str">
        <f>_xlfn.IFNA(VLOOKUP(CONCATENATE(AE$4,$C64),'INSER DATA'!$A:$F,6,0),"")</f>
        <v/>
      </c>
      <c r="AF64" s="270" t="str">
        <f>_xlfn.IFNA(VLOOKUP(CONCATENATE(AF$4,$C64),'INSER DATA'!$A:$F,6,0),"")</f>
        <v/>
      </c>
      <c r="AG64" s="270" t="str">
        <f>_xlfn.IFNA(VLOOKUP(CONCATENATE(AG$4,$C64),'INSER DATA'!$A:$F,6,0),"")</f>
        <v/>
      </c>
      <c r="AH64" s="270" t="str">
        <f>_xlfn.IFNA(VLOOKUP(CONCATENATE(AH$4,$C64),'INSER DATA'!$A:$F,7,0),"")</f>
        <v/>
      </c>
      <c r="AI64" s="270" t="str">
        <f>_xlfn.IFNA(VLOOKUP(CONCATENATE(AI$4,$C64),'INSER DATA'!$A:$F,7,0),"")</f>
        <v/>
      </c>
      <c r="AJ64" s="270" t="str">
        <f>_xlfn.IFNA(VLOOKUP(CONCATENATE(AJ$4,$C64),'INSER DATA'!$A:$F,7,0),"")</f>
        <v/>
      </c>
      <c r="AK64" s="270" t="str">
        <f>_xlfn.IFNA(VLOOKUP(CONCATENATE(AK$4,$C64),'INSER DATA'!$A:$F,7,0),"")</f>
        <v/>
      </c>
      <c r="AL64" s="270" t="str">
        <f>_xlfn.IFNA(VLOOKUP(CONCATENATE(AL$4,$C64),'INSER DATA'!$A:$F,7,0),"")</f>
        <v/>
      </c>
      <c r="AM64" s="270" t="str">
        <f>_xlfn.IFNA(VLOOKUP(CONCATENATE(AM$4,$C64),'INSER DATA'!$A:$F,7,0),"")</f>
        <v/>
      </c>
      <c r="AN64" s="270" t="str">
        <f>_xlfn.IFNA(VLOOKUP(CONCATENATE(AN$4,$C64),'INSER DATA'!$A:$F,7,0),"")</f>
        <v/>
      </c>
      <c r="AO64" s="270" t="str">
        <f>_xlfn.IFNA(VLOOKUP(CONCATENATE(AO$4,$C64),'INSER DATA'!$A:$F,7,0),"")</f>
        <v/>
      </c>
      <c r="AP64" s="270" t="str">
        <f>_xlfn.IFNA(VLOOKUP(CONCATENATE(AP$4,$C64),'INSER DATA'!$A:$F,7,0),"")</f>
        <v/>
      </c>
      <c r="AQ64" s="270" t="str">
        <f>_xlfn.IFNA(VLOOKUP(CONCATENATE(AQ$4,$C64),'INSER DATA'!$A:$F,7,0),"")</f>
        <v/>
      </c>
      <c r="AR64" s="270" t="str">
        <f>_xlfn.IFNA(VLOOKUP(CONCATENATE(AR$4,$C64),'INSER DATA'!$A:$F,7,0),"")</f>
        <v/>
      </c>
      <c r="AS64" s="270" t="str">
        <f>_xlfn.IFNA(VLOOKUP(CONCATENATE(AS$4,$C64),'INSER DATA'!$A:$F,7,0),"")</f>
        <v/>
      </c>
      <c r="AT64" s="270" t="str">
        <f>_xlfn.IFNA(VLOOKUP(CONCATENATE(AT$4,$C64),'INSER DATA'!$A:$F,7,0),"")</f>
        <v/>
      </c>
      <c r="AU64" s="270" t="str">
        <f>_xlfn.IFNA(VLOOKUP(CONCATENATE(AU$4,$C64),'INSER DATA'!$A:$F,7,0),"")</f>
        <v/>
      </c>
      <c r="AV64" s="270" t="str">
        <f>_xlfn.IFNA(VLOOKUP(CONCATENATE(AV$4,$C64),'INSER DATA'!$A:$F,7,0),"")</f>
        <v/>
      </c>
      <c r="AW64" s="270" t="str">
        <f>_xlfn.IFNA(VLOOKUP(CONCATENATE(AW$4,$C64),'INSER DATA'!$A:$F,7,0),"")</f>
        <v/>
      </c>
      <c r="AX64" s="270" t="str">
        <f>_xlfn.IFNA(VLOOKUP(CONCATENATE(AX$4,$C64),'INSER DATA'!$A:$F,7,0),"")</f>
        <v/>
      </c>
      <c r="AY64" s="270" t="str">
        <f>_xlfn.IFNA(VLOOKUP(CONCATENATE(AY$4,$C64),'INSER DATA'!$A:$F,7,0),"")</f>
        <v/>
      </c>
      <c r="AZ64" s="270" t="str">
        <f>_xlfn.IFNA(VLOOKUP(CONCATENATE(AZ$4,$C64),'INSER DATA'!$A:$F,7,0),"")</f>
        <v/>
      </c>
      <c r="BA64" s="270" t="str">
        <f>_xlfn.IFNA(VLOOKUP(CONCATENATE(BA$4,$C64),'INSER DATA'!$A:$F,7,0),"")</f>
        <v/>
      </c>
      <c r="BB64" s="270" t="str">
        <f>_xlfn.IFNA(VLOOKUP(CONCATENATE(BB$4,$C64),'INSER DATA'!$A:$F,7,0),"")</f>
        <v/>
      </c>
      <c r="BC64" s="270" t="str">
        <f>_xlfn.IFNA(VLOOKUP(CONCATENATE(BC$4,$C64),'INSER DATA'!$A:$F,7,0),"")</f>
        <v/>
      </c>
      <c r="BD64" s="270" t="str">
        <f>_xlfn.IFNA(VLOOKUP(CONCATENATE(BD$4,$C64),'INSER DATA'!$A:$F,7,0),"")</f>
        <v/>
      </c>
      <c r="BE64" s="270" t="str">
        <f>_xlfn.IFNA(VLOOKUP(CONCATENATE(BE$4,$C64),'INSER DATA'!$A:$F,7,0),"")</f>
        <v/>
      </c>
      <c r="BF64" s="270" t="str">
        <f>_xlfn.IFNA(VLOOKUP(CONCATENATE(BF$4,$C64),'INSER DATA'!$A:$F,7,0),"")</f>
        <v/>
      </c>
      <c r="BG64" s="270" t="str">
        <f>_xlfn.IFNA(VLOOKUP(CONCATENATE(BG$4,$C64),'INSER DATA'!$A:$F,7,0),"")</f>
        <v/>
      </c>
      <c r="BH64" s="270" t="str">
        <f>_xlfn.IFNA(VLOOKUP(CONCATENATE(BH$4,$C64),'INSER DATA'!$A:$F,7,0),"")</f>
        <v/>
      </c>
      <c r="BI64" s="270" t="str">
        <f>_xlfn.IFNA(VLOOKUP(CONCATENATE(BI$4,$C64),'INSER DATA'!$A:$F,7,0),"")</f>
        <v/>
      </c>
      <c r="BJ64" s="270" t="str">
        <f>_xlfn.IFNA(VLOOKUP(CONCATENATE(BJ$4,$C64),'INSER DATA'!$A:$F,7,0),"")</f>
        <v/>
      </c>
      <c r="BK64" s="270" t="str">
        <f>_xlfn.IFNA(VLOOKUP(CONCATENATE(BK$4,$C64),'INSER DATA'!$A:$F,7,0),"")</f>
        <v/>
      </c>
      <c r="BL64" s="272"/>
      <c r="BM64" s="30"/>
      <c r="BN64" s="30"/>
      <c r="BO64" s="30"/>
      <c r="BP64" s="30"/>
      <c r="BQ64" s="30"/>
      <c r="BR64" s="30"/>
      <c r="BS64" s="30"/>
      <c r="BT64" s="30"/>
      <c r="BU64" s="30"/>
      <c r="BV64" s="30"/>
      <c r="BW64" s="30"/>
      <c r="BX64" s="30"/>
      <c r="BY64" s="30"/>
      <c r="BZ64" s="30"/>
      <c r="CA64" s="30"/>
      <c r="CB64" s="30"/>
      <c r="CC64" s="30"/>
      <c r="CD64" s="30"/>
      <c r="CE64" s="30"/>
      <c r="CF64" s="30"/>
      <c r="CG64" s="30"/>
      <c r="CH64" s="30"/>
      <c r="CI64" s="30"/>
      <c r="CJ64" s="30"/>
      <c r="CK64" s="30"/>
      <c r="CL64" s="30"/>
      <c r="CM64" s="30"/>
      <c r="CN64" s="30"/>
      <c r="CO64" s="30"/>
      <c r="CP64" s="30"/>
      <c r="CQ64" s="30"/>
      <c r="CR64" s="30"/>
      <c r="CS64" s="30"/>
      <c r="CT64" s="30"/>
      <c r="CU64" s="30"/>
      <c r="CV64" s="30"/>
      <c r="CW64" s="30"/>
      <c r="CX64" s="30"/>
      <c r="CY64" s="30"/>
      <c r="CZ64" s="30"/>
      <c r="DA64" s="30"/>
    </row>
    <row r="65" spans="1:105" ht="19.2" thickTop="1" thickBot="1" x14ac:dyDescent="0.4">
      <c r="A65" s="30"/>
      <c r="B65" s="30"/>
      <c r="C65" s="188" t="s">
        <v>433</v>
      </c>
      <c r="D65" s="187" t="s">
        <v>662</v>
      </c>
      <c r="E65" s="35" t="str">
        <f>_xlfn.XLOOKUP(Tabella4[[#This Row],[NOME]],'ROSE SQUADRE'!$N$3:$N$253,'ROSE SQUADRE'!$O$3:$O$253,"")</f>
        <v/>
      </c>
      <c r="F65" s="36" t="s">
        <v>162</v>
      </c>
      <c r="G65" s="43">
        <v>3</v>
      </c>
      <c r="H65" s="43">
        <v>4</v>
      </c>
      <c r="I65" s="44">
        <f t="shared" si="0"/>
        <v>1</v>
      </c>
      <c r="J65" s="37">
        <f t="shared" si="1"/>
        <v>4</v>
      </c>
      <c r="K65" s="38">
        <f t="shared" si="2"/>
        <v>6.25</v>
      </c>
      <c r="L65" s="38">
        <f t="shared" si="3"/>
        <v>6</v>
      </c>
      <c r="M65" s="39">
        <f t="shared" si="4"/>
        <v>24</v>
      </c>
      <c r="N65" s="45">
        <f t="shared" ca="1" si="6"/>
        <v>0</v>
      </c>
      <c r="O65" s="40">
        <f>SUMIF(Tabella1[Nome],Tabella4[[#This Row],[NOME]],Tabella1[Gf])</f>
        <v>0</v>
      </c>
      <c r="P65" s="40">
        <f>-(SUMIF(Tabella1[Nome],Tabella4[[#This Row],[NOME]],Tabella1[Gs]))</f>
        <v>0</v>
      </c>
      <c r="Q65" s="40">
        <f>SUMIF(Tabella1[Nome],Tabella4[[#This Row],[NOME]],Tabella1[Rp])</f>
        <v>0</v>
      </c>
      <c r="R65" s="40">
        <f>SUMIF(Tabella1[Nome],Tabella4[[#This Row],[NOME]],Tabella1[Rs])</f>
        <v>0</v>
      </c>
      <c r="S65" s="40">
        <f>SUMIF(Tabella1[Nome],Tabella4[[#This Row],[NOME]],Tabella1[Rf])</f>
        <v>0</v>
      </c>
      <c r="T65" s="40">
        <f>SUMIF(Tabella1[Nome],Tabella4[[#This Row],[NOME]],Tabella1[Au])</f>
        <v>0</v>
      </c>
      <c r="U65" s="41">
        <f>SUMIF(Tabella1[Nome],Tabella4[[#This Row],[NOME]],Tabella1[Amm])</f>
        <v>2</v>
      </c>
      <c r="V65" s="42">
        <f>SUMIF(Tabella1[Nome],Tabella4[[#This Row],[NOME]],Tabella1[Esp])</f>
        <v>0</v>
      </c>
      <c r="W65" s="40">
        <f>SUMIF(Tabella1[Nome],Tabella4[[#This Row],[NOME]],Tabella1[Ass])</f>
        <v>0</v>
      </c>
      <c r="X65" s="40">
        <f>SUMIF(Tabella1[Nome],Tabella4[[#This Row],[NOME]],Tabella1[Gdv])</f>
        <v>0</v>
      </c>
      <c r="Y65" s="40">
        <f>SUMIF(Tabella1[Nome],Tabella4[[#This Row],[NOME]],Tabella1[cl sh])</f>
        <v>0</v>
      </c>
      <c r="Z65" s="270">
        <f>_xlfn.IFNA(_xlfn.XLOOKUP(CONCATENATE(Z$4,$C65),Tabella1[CONC X VOTI IN TAB GIOC],Tabella1[Voto],""),"")</f>
        <v>6</v>
      </c>
      <c r="AA65" s="270">
        <f>_xlfn.IFNA(_xlfn.XLOOKUP(CONCATENATE(AA$4,$C65),Tabella1[CONC X VOTI IN TAB GIOC],Tabella1[Voto],""),"")</f>
        <v>5.5</v>
      </c>
      <c r="AB65" s="270">
        <f>_xlfn.IFNA(_xlfn.XLOOKUP(CONCATENATE(AB$4,$C65),Tabella1[CONC X VOTI IN TAB GIOC],Tabella1[Voto]),"")</f>
        <v>6.5</v>
      </c>
      <c r="AC65" s="270" cm="1">
        <f t="array" ref="AC65">_xlfn.IFNA(_xlfn.XLOOKUP(CONCATENATE(AC$4,$C65),INDEX(Tabella1[],0,MATCH("CONC X VOTI IN TAB GIOC",Tabella1[#Headers],0)),INDEX(Tabella1[],0,MATCH("Voto",Tabella1[#Headers],0))),"")</f>
        <v>7</v>
      </c>
      <c r="AD65" s="270" t="str">
        <f>_xlfn.IFNA(_xlfn.XLOOKUP(CONCATENATE(AD$4,$C65),Tabella1[CONC X VOTI IN TAB GIOC],Tabella1[Voto]),"")</f>
        <v/>
      </c>
      <c r="AE65" s="270" t="str">
        <f>_xlfn.IFNA(VLOOKUP(CONCATENATE(AE$4,$C65),'INSER DATA'!$A:$F,6,0),"")</f>
        <v/>
      </c>
      <c r="AF65" s="270" t="str">
        <f>_xlfn.IFNA(VLOOKUP(CONCATENATE(AF$4,$C65),'INSER DATA'!$A:$F,6,0),"")</f>
        <v/>
      </c>
      <c r="AG65" s="270" t="str">
        <f>_xlfn.IFNA(VLOOKUP(CONCATENATE(AG$4,$C65),'INSER DATA'!$A:$F,6,0),"")</f>
        <v/>
      </c>
      <c r="AH65" s="270" t="str">
        <f>_xlfn.IFNA(VLOOKUP(CONCATENATE(AH$4,$C65),'INSER DATA'!$A:$F,7,0),"")</f>
        <v/>
      </c>
      <c r="AI65" s="270" t="str">
        <f>_xlfn.IFNA(VLOOKUP(CONCATENATE(AI$4,$C65),'INSER DATA'!$A:$F,7,0),"")</f>
        <v/>
      </c>
      <c r="AJ65" s="270" t="str">
        <f>_xlfn.IFNA(VLOOKUP(CONCATENATE(AJ$4,$C65),'INSER DATA'!$A:$F,7,0),"")</f>
        <v/>
      </c>
      <c r="AK65" s="270" t="str">
        <f>_xlfn.IFNA(VLOOKUP(CONCATENATE(AK$4,$C65),'INSER DATA'!$A:$F,7,0),"")</f>
        <v/>
      </c>
      <c r="AL65" s="270" t="str">
        <f>_xlfn.IFNA(VLOOKUP(CONCATENATE(AL$4,$C65),'INSER DATA'!$A:$F,7,0),"")</f>
        <v/>
      </c>
      <c r="AM65" s="270" t="str">
        <f>_xlfn.IFNA(VLOOKUP(CONCATENATE(AM$4,$C65),'INSER DATA'!$A:$F,7,0),"")</f>
        <v/>
      </c>
      <c r="AN65" s="270" t="str">
        <f>_xlfn.IFNA(VLOOKUP(CONCATENATE(AN$4,$C65),'INSER DATA'!$A:$F,7,0),"")</f>
        <v/>
      </c>
      <c r="AO65" s="270" t="str">
        <f>_xlfn.IFNA(VLOOKUP(CONCATENATE(AO$4,$C65),'INSER DATA'!$A:$F,7,0),"")</f>
        <v/>
      </c>
      <c r="AP65" s="270" t="str">
        <f>_xlfn.IFNA(VLOOKUP(CONCATENATE(AP$4,$C65),'INSER DATA'!$A:$F,7,0),"")</f>
        <v/>
      </c>
      <c r="AQ65" s="270" t="str">
        <f>_xlfn.IFNA(VLOOKUP(CONCATENATE(AQ$4,$C65),'INSER DATA'!$A:$F,7,0),"")</f>
        <v/>
      </c>
      <c r="AR65" s="270" t="str">
        <f>_xlfn.IFNA(VLOOKUP(CONCATENATE(AR$4,$C65),'INSER DATA'!$A:$F,7,0),"")</f>
        <v/>
      </c>
      <c r="AS65" s="270" t="str">
        <f>_xlfn.IFNA(VLOOKUP(CONCATENATE(AS$4,$C65),'INSER DATA'!$A:$F,7,0),"")</f>
        <v/>
      </c>
      <c r="AT65" s="270" t="str">
        <f>_xlfn.IFNA(VLOOKUP(CONCATENATE(AT$4,$C65),'INSER DATA'!$A:$F,7,0),"")</f>
        <v/>
      </c>
      <c r="AU65" s="270" t="str">
        <f>_xlfn.IFNA(VLOOKUP(CONCATENATE(AU$4,$C65),'INSER DATA'!$A:$F,7,0),"")</f>
        <v/>
      </c>
      <c r="AV65" s="270" t="str">
        <f>_xlfn.IFNA(VLOOKUP(CONCATENATE(AV$4,$C65),'INSER DATA'!$A:$F,7,0),"")</f>
        <v/>
      </c>
      <c r="AW65" s="270" t="str">
        <f>_xlfn.IFNA(VLOOKUP(CONCATENATE(AW$4,$C65),'INSER DATA'!$A:$F,7,0),"")</f>
        <v/>
      </c>
      <c r="AX65" s="270" t="str">
        <f>_xlfn.IFNA(VLOOKUP(CONCATENATE(AX$4,$C65),'INSER DATA'!$A:$F,7,0),"")</f>
        <v/>
      </c>
      <c r="AY65" s="270" t="str">
        <f>_xlfn.IFNA(VLOOKUP(CONCATENATE(AY$4,$C65),'INSER DATA'!$A:$F,7,0),"")</f>
        <v/>
      </c>
      <c r="AZ65" s="270" t="str">
        <f>_xlfn.IFNA(VLOOKUP(CONCATENATE(AZ$4,$C65),'INSER DATA'!$A:$F,7,0),"")</f>
        <v/>
      </c>
      <c r="BA65" s="270" t="str">
        <f>_xlfn.IFNA(VLOOKUP(CONCATENATE(BA$4,$C65),'INSER DATA'!$A:$F,7,0),"")</f>
        <v/>
      </c>
      <c r="BB65" s="270" t="str">
        <f>_xlfn.IFNA(VLOOKUP(CONCATENATE(BB$4,$C65),'INSER DATA'!$A:$F,7,0),"")</f>
        <v/>
      </c>
      <c r="BC65" s="270" t="str">
        <f>_xlfn.IFNA(VLOOKUP(CONCATENATE(BC$4,$C65),'INSER DATA'!$A:$F,7,0),"")</f>
        <v/>
      </c>
      <c r="BD65" s="270" t="str">
        <f>_xlfn.IFNA(VLOOKUP(CONCATENATE(BD$4,$C65),'INSER DATA'!$A:$F,7,0),"")</f>
        <v/>
      </c>
      <c r="BE65" s="270" t="str">
        <f>_xlfn.IFNA(VLOOKUP(CONCATENATE(BE$4,$C65),'INSER DATA'!$A:$F,7,0),"")</f>
        <v/>
      </c>
      <c r="BF65" s="270" t="str">
        <f>_xlfn.IFNA(VLOOKUP(CONCATENATE(BF$4,$C65),'INSER DATA'!$A:$F,7,0),"")</f>
        <v/>
      </c>
      <c r="BG65" s="270" t="str">
        <f>_xlfn.IFNA(VLOOKUP(CONCATENATE(BG$4,$C65),'INSER DATA'!$A:$F,7,0),"")</f>
        <v/>
      </c>
      <c r="BH65" s="270" t="str">
        <f>_xlfn.IFNA(VLOOKUP(CONCATENATE(BH$4,$C65),'INSER DATA'!$A:$F,7,0),"")</f>
        <v/>
      </c>
      <c r="BI65" s="270" t="str">
        <f>_xlfn.IFNA(VLOOKUP(CONCATENATE(BI$4,$C65),'INSER DATA'!$A:$F,7,0),"")</f>
        <v/>
      </c>
      <c r="BJ65" s="270" t="str">
        <f>_xlfn.IFNA(VLOOKUP(CONCATENATE(BJ$4,$C65),'INSER DATA'!$A:$F,7,0),"")</f>
        <v/>
      </c>
      <c r="BK65" s="270" t="str">
        <f>_xlfn.IFNA(VLOOKUP(CONCATENATE(BK$4,$C65),'INSER DATA'!$A:$F,7,0),"")</f>
        <v/>
      </c>
      <c r="BL65" s="272"/>
      <c r="BM65" s="30"/>
      <c r="BN65" s="30"/>
      <c r="BO65" s="30"/>
      <c r="BP65" s="30"/>
      <c r="BQ65" s="30"/>
      <c r="BR65" s="30"/>
      <c r="BS65" s="30"/>
      <c r="BT65" s="30"/>
      <c r="BU65" s="30"/>
      <c r="BV65" s="30"/>
      <c r="BW65" s="30"/>
      <c r="BX65" s="30"/>
      <c r="BY65" s="30"/>
      <c r="BZ65" s="30"/>
      <c r="CA65" s="30"/>
      <c r="CB65" s="30"/>
      <c r="CC65" s="30"/>
      <c r="CD65" s="30"/>
      <c r="CE65" s="30"/>
      <c r="CF65" s="30"/>
      <c r="CG65" s="30"/>
      <c r="CH65" s="30"/>
      <c r="CI65" s="30"/>
      <c r="CJ65" s="30"/>
      <c r="CK65" s="30"/>
      <c r="CL65" s="30"/>
      <c r="CM65" s="30"/>
      <c r="CN65" s="30"/>
      <c r="CO65" s="30"/>
      <c r="CP65" s="30"/>
      <c r="CQ65" s="30"/>
      <c r="CR65" s="30"/>
      <c r="CS65" s="30"/>
      <c r="CT65" s="30"/>
      <c r="CU65" s="30"/>
      <c r="CV65" s="30"/>
      <c r="CW65" s="30"/>
      <c r="CX65" s="30"/>
      <c r="CY65" s="30"/>
      <c r="CZ65" s="30"/>
      <c r="DA65" s="30"/>
    </row>
    <row r="66" spans="1:105" ht="19.2" thickTop="1" thickBot="1" x14ac:dyDescent="0.4">
      <c r="A66" s="30"/>
      <c r="B66" s="30"/>
      <c r="C66" s="354" t="s">
        <v>355</v>
      </c>
      <c r="D66" s="357" t="s">
        <v>662</v>
      </c>
      <c r="E66" s="35" t="str">
        <f>_xlfn.XLOOKUP(Tabella4[[#This Row],[NOME]],'ROSE SQUADRE'!$N$3:$N$253,'ROSE SQUADRE'!$O$3:$O$253,"")</f>
        <v>ATL. IMPROVVISATO</v>
      </c>
      <c r="F66" s="36" t="s">
        <v>163</v>
      </c>
      <c r="G66" s="43">
        <v>5</v>
      </c>
      <c r="H66" s="43">
        <v>5</v>
      </c>
      <c r="I66" s="44">
        <f t="shared" si="0"/>
        <v>0</v>
      </c>
      <c r="J66" s="37">
        <f t="shared" si="1"/>
        <v>4</v>
      </c>
      <c r="K66" s="178">
        <f t="shared" si="2"/>
        <v>6.375</v>
      </c>
      <c r="L66" s="178">
        <f t="shared" si="3"/>
        <v>7.625</v>
      </c>
      <c r="M66" s="179">
        <f t="shared" si="4"/>
        <v>30.5</v>
      </c>
      <c r="N66" s="45">
        <f t="shared" ca="1" si="6"/>
        <v>0</v>
      </c>
      <c r="O66" s="40">
        <f>SUMIF(Tabella1[Nome],Tabella4[[#This Row],[NOME]],Tabella1[Gf])</f>
        <v>1</v>
      </c>
      <c r="P66" s="40">
        <f>-(SUMIF(Tabella1[Nome],Tabella4[[#This Row],[NOME]],Tabella1[Gs]))</f>
        <v>0</v>
      </c>
      <c r="Q66" s="40">
        <f>SUMIF(Tabella1[Nome],Tabella4[[#This Row],[NOME]],Tabella1[Rp])</f>
        <v>0</v>
      </c>
      <c r="R66" s="40">
        <f>SUMIF(Tabella1[Nome],Tabella4[[#This Row],[NOME]],Tabella1[Rs])</f>
        <v>0</v>
      </c>
      <c r="S66" s="40">
        <f>SUMIF(Tabella1[Nome],Tabella4[[#This Row],[NOME]],Tabella1[Rf])</f>
        <v>1</v>
      </c>
      <c r="T66" s="40">
        <f>SUMIF(Tabella1[Nome],Tabella4[[#This Row],[NOME]],Tabella1[Au])</f>
        <v>0</v>
      </c>
      <c r="U66" s="41">
        <f>SUMIF(Tabella1[Nome],Tabella4[[#This Row],[NOME]],Tabella1[Amm])</f>
        <v>0</v>
      </c>
      <c r="V66" s="42">
        <f>SUMIF(Tabella1[Nome],Tabella4[[#This Row],[NOME]],Tabella1[Esp])</f>
        <v>0</v>
      </c>
      <c r="W66" s="40">
        <f>SUMIF(Tabella1[Nome],Tabella4[[#This Row],[NOME]],Tabella1[Ass])</f>
        <v>0</v>
      </c>
      <c r="X66" s="40">
        <f>SUMIF(Tabella1[Nome],Tabella4[[#This Row],[NOME]],Tabella1[Gdv])</f>
        <v>2</v>
      </c>
      <c r="Y66" s="40">
        <f>SUMIF(Tabella1[Nome],Tabella4[[#This Row],[NOME]],Tabella1[cl sh])</f>
        <v>0</v>
      </c>
      <c r="Z66" s="270">
        <f>_xlfn.IFNA(_xlfn.XLOOKUP(CONCATENATE(Z$4,$C66),Tabella1[CONC X VOTI IN TAB GIOC],Tabella1[Voto],""),"")</f>
        <v>6</v>
      </c>
      <c r="AA66" s="270">
        <f>_xlfn.IFNA(_xlfn.XLOOKUP(CONCATENATE(AA$4,$C66),Tabella1[CONC X VOTI IN TAB GIOC],Tabella1[Voto],""),"")</f>
        <v>5.5</v>
      </c>
      <c r="AB66" s="270">
        <f>_xlfn.IFNA(_xlfn.XLOOKUP(CONCATENATE(AB$4,$C66),Tabella1[CONC X VOTI IN TAB GIOC],Tabella1[Voto]),"")</f>
        <v>7</v>
      </c>
      <c r="AC66" s="270" cm="1">
        <f t="array" ref="AC66">_xlfn.IFNA(_xlfn.XLOOKUP(CONCATENATE(AC$4,$C66),INDEX(Tabella1[],0,MATCH("CONC X VOTI IN TAB GIOC",Tabella1[#Headers],0)),INDEX(Tabella1[],0,MATCH("Voto",Tabella1[#Headers],0))),"")</f>
        <v>7</v>
      </c>
      <c r="AD66" s="270" t="str">
        <f>_xlfn.IFNA(_xlfn.XLOOKUP(CONCATENATE(AD$4,$C66),Tabella1[CONC X VOTI IN TAB GIOC],Tabella1[Voto]),"")</f>
        <v/>
      </c>
      <c r="AE66" s="270" t="str">
        <f>_xlfn.IFNA(VLOOKUP(CONCATENATE(AE$4,$C66),'INSER DATA'!$A:$F,6,0),"")</f>
        <v/>
      </c>
      <c r="AF66" s="270" t="str">
        <f>_xlfn.IFNA(VLOOKUP(CONCATENATE(AF$4,$C66),'INSER DATA'!$A:$F,6,0),"")</f>
        <v/>
      </c>
      <c r="AG66" s="270" t="str">
        <f>_xlfn.IFNA(VLOOKUP(CONCATENATE(AG$4,$C66),'INSER DATA'!$A:$F,6,0),"")</f>
        <v/>
      </c>
      <c r="AH66" s="270" t="str">
        <f>_xlfn.IFNA(VLOOKUP(CONCATENATE(AH$4,$C66),'INSER DATA'!$A:$F,7,0),"")</f>
        <v/>
      </c>
      <c r="AI66" s="270" t="str">
        <f>_xlfn.IFNA(VLOOKUP(CONCATENATE(AI$4,$C66),'INSER DATA'!$A:$F,7,0),"")</f>
        <v/>
      </c>
      <c r="AJ66" s="270" t="str">
        <f>_xlfn.IFNA(VLOOKUP(CONCATENATE(AJ$4,$C66),'INSER DATA'!$A:$F,7,0),"")</f>
        <v/>
      </c>
      <c r="AK66" s="270" t="str">
        <f>_xlfn.IFNA(VLOOKUP(CONCATENATE(AK$4,$C66),'INSER DATA'!$A:$F,7,0),"")</f>
        <v/>
      </c>
      <c r="AL66" s="270" t="str">
        <f>_xlfn.IFNA(VLOOKUP(CONCATENATE(AL$4,$C66),'INSER DATA'!$A:$F,7,0),"")</f>
        <v/>
      </c>
      <c r="AM66" s="270" t="str">
        <f>_xlfn.IFNA(VLOOKUP(CONCATENATE(AM$4,$C66),'INSER DATA'!$A:$F,7,0),"")</f>
        <v/>
      </c>
      <c r="AN66" s="270" t="str">
        <f>_xlfn.IFNA(VLOOKUP(CONCATENATE(AN$4,$C66),'INSER DATA'!$A:$F,7,0),"")</f>
        <v/>
      </c>
      <c r="AO66" s="270" t="str">
        <f>_xlfn.IFNA(VLOOKUP(CONCATENATE(AO$4,$C66),'INSER DATA'!$A:$F,7,0),"")</f>
        <v/>
      </c>
      <c r="AP66" s="270" t="str">
        <f>_xlfn.IFNA(VLOOKUP(CONCATENATE(AP$4,$C66),'INSER DATA'!$A:$F,7,0),"")</f>
        <v/>
      </c>
      <c r="AQ66" s="270" t="str">
        <f>_xlfn.IFNA(VLOOKUP(CONCATENATE(AQ$4,$C66),'INSER DATA'!$A:$F,7,0),"")</f>
        <v/>
      </c>
      <c r="AR66" s="270" t="str">
        <f>_xlfn.IFNA(VLOOKUP(CONCATENATE(AR$4,$C66),'INSER DATA'!$A:$F,7,0),"")</f>
        <v/>
      </c>
      <c r="AS66" s="270" t="str">
        <f>_xlfn.IFNA(VLOOKUP(CONCATENATE(AS$4,$C66),'INSER DATA'!$A:$F,7,0),"")</f>
        <v/>
      </c>
      <c r="AT66" s="270" t="str">
        <f>_xlfn.IFNA(VLOOKUP(CONCATENATE(AT$4,$C66),'INSER DATA'!$A:$F,7,0),"")</f>
        <v/>
      </c>
      <c r="AU66" s="270" t="str">
        <f>_xlfn.IFNA(VLOOKUP(CONCATENATE(AU$4,$C66),'INSER DATA'!$A:$F,7,0),"")</f>
        <v/>
      </c>
      <c r="AV66" s="270" t="str">
        <f>_xlfn.IFNA(VLOOKUP(CONCATENATE(AV$4,$C66),'INSER DATA'!$A:$F,7,0),"")</f>
        <v/>
      </c>
      <c r="AW66" s="270" t="str">
        <f>_xlfn.IFNA(VLOOKUP(CONCATENATE(AW$4,$C66),'INSER DATA'!$A:$F,7,0),"")</f>
        <v/>
      </c>
      <c r="AX66" s="270" t="str">
        <f>_xlfn.IFNA(VLOOKUP(CONCATENATE(AX$4,$C66),'INSER DATA'!$A:$F,7,0),"")</f>
        <v/>
      </c>
      <c r="AY66" s="270" t="str">
        <f>_xlfn.IFNA(VLOOKUP(CONCATENATE(AY$4,$C66),'INSER DATA'!$A:$F,7,0),"")</f>
        <v/>
      </c>
      <c r="AZ66" s="270" t="str">
        <f>_xlfn.IFNA(VLOOKUP(CONCATENATE(AZ$4,$C66),'INSER DATA'!$A:$F,7,0),"")</f>
        <v/>
      </c>
      <c r="BA66" s="270" t="str">
        <f>_xlfn.IFNA(VLOOKUP(CONCATENATE(BA$4,$C66),'INSER DATA'!$A:$F,7,0),"")</f>
        <v/>
      </c>
      <c r="BB66" s="270" t="str">
        <f>_xlfn.IFNA(VLOOKUP(CONCATENATE(BB$4,$C66),'INSER DATA'!$A:$F,7,0),"")</f>
        <v/>
      </c>
      <c r="BC66" s="270" t="str">
        <f>_xlfn.IFNA(VLOOKUP(CONCATENATE(BC$4,$C66),'INSER DATA'!$A:$F,7,0),"")</f>
        <v/>
      </c>
      <c r="BD66" s="270" t="str">
        <f>_xlfn.IFNA(VLOOKUP(CONCATENATE(BD$4,$C66),'INSER DATA'!$A:$F,7,0),"")</f>
        <v/>
      </c>
      <c r="BE66" s="270" t="str">
        <f>_xlfn.IFNA(VLOOKUP(CONCATENATE(BE$4,$C66),'INSER DATA'!$A:$F,7,0),"")</f>
        <v/>
      </c>
      <c r="BF66" s="270" t="str">
        <f>_xlfn.IFNA(VLOOKUP(CONCATENATE(BF$4,$C66),'INSER DATA'!$A:$F,7,0),"")</f>
        <v/>
      </c>
      <c r="BG66" s="270" t="str">
        <f>_xlfn.IFNA(VLOOKUP(CONCATENATE(BG$4,$C66),'INSER DATA'!$A:$F,7,0),"")</f>
        <v/>
      </c>
      <c r="BH66" s="270" t="str">
        <f>_xlfn.IFNA(VLOOKUP(CONCATENATE(BH$4,$C66),'INSER DATA'!$A:$F,7,0),"")</f>
        <v/>
      </c>
      <c r="BI66" s="270" t="str">
        <f>_xlfn.IFNA(VLOOKUP(CONCATENATE(BI$4,$C66),'INSER DATA'!$A:$F,7,0),"")</f>
        <v/>
      </c>
      <c r="BJ66" s="270" t="str">
        <f>_xlfn.IFNA(VLOOKUP(CONCATENATE(BJ$4,$C66),'INSER DATA'!$A:$F,7,0),"")</f>
        <v/>
      </c>
      <c r="BK66" s="270" t="str">
        <f>_xlfn.IFNA(VLOOKUP(CONCATENATE(BK$4,$C66),'INSER DATA'!$A:$F,7,0),"")</f>
        <v/>
      </c>
      <c r="BL66" s="272"/>
      <c r="BM66" s="30"/>
      <c r="BN66" s="30"/>
      <c r="BO66" s="30"/>
      <c r="BP66" s="30"/>
      <c r="BQ66" s="30"/>
      <c r="BR66" s="30"/>
      <c r="BS66" s="30"/>
      <c r="BT66" s="30"/>
      <c r="BU66" s="30"/>
      <c r="BV66" s="30"/>
      <c r="BW66" s="30"/>
      <c r="BX66" s="30"/>
      <c r="BY66" s="30"/>
      <c r="BZ66" s="30"/>
      <c r="CA66" s="30"/>
      <c r="CB66" s="30"/>
      <c r="CC66" s="30"/>
      <c r="CD66" s="30"/>
      <c r="CE66" s="30"/>
      <c r="CF66" s="30"/>
      <c r="CG66" s="30"/>
      <c r="CH66" s="30"/>
      <c r="CI66" s="30"/>
      <c r="CJ66" s="30"/>
      <c r="CK66" s="30"/>
      <c r="CL66" s="30"/>
      <c r="CM66" s="30"/>
      <c r="CN66" s="30"/>
      <c r="CO66" s="30"/>
      <c r="CP66" s="30"/>
      <c r="CQ66" s="30"/>
      <c r="CR66" s="30"/>
      <c r="CS66" s="30"/>
      <c r="CT66" s="30"/>
      <c r="CU66" s="30"/>
      <c r="CV66" s="30"/>
      <c r="CW66" s="30"/>
      <c r="CX66" s="30"/>
      <c r="CY66" s="30"/>
      <c r="CZ66" s="30"/>
      <c r="DA66" s="30"/>
    </row>
    <row r="67" spans="1:105" ht="19.2" thickTop="1" thickBot="1" x14ac:dyDescent="0.4">
      <c r="A67" s="30"/>
      <c r="B67" s="30"/>
      <c r="C67" s="188" t="s">
        <v>677</v>
      </c>
      <c r="D67" s="46" t="s">
        <v>662</v>
      </c>
      <c r="E67" s="35" t="str">
        <f>_xlfn.XLOOKUP(Tabella4[[#This Row],[NOME]],'ROSE SQUADRE'!$N$3:$N$253,'ROSE SQUADRE'!$O$3:$O$253,"")</f>
        <v/>
      </c>
      <c r="F67" s="36" t="s">
        <v>163</v>
      </c>
      <c r="G67" s="43">
        <v>4</v>
      </c>
      <c r="H67" s="43">
        <v>4</v>
      </c>
      <c r="I67" s="44">
        <f t="shared" si="0"/>
        <v>0</v>
      </c>
      <c r="J67" s="37">
        <f t="shared" si="1"/>
        <v>4</v>
      </c>
      <c r="K67" s="38">
        <f t="shared" si="2"/>
        <v>6.25</v>
      </c>
      <c r="L67" s="38">
        <f t="shared" si="3"/>
        <v>7</v>
      </c>
      <c r="M67" s="39">
        <f t="shared" si="4"/>
        <v>28</v>
      </c>
      <c r="N67" s="45">
        <f t="shared" ca="1" si="6"/>
        <v>0</v>
      </c>
      <c r="O67" s="40">
        <f>SUMIF(Tabella1[Nome],Tabella4[[#This Row],[NOME]],Tabella1[Gf])</f>
        <v>1</v>
      </c>
      <c r="P67" s="40">
        <f>-(SUMIF(Tabella1[Nome],Tabella4[[#This Row],[NOME]],Tabella1[Gs]))</f>
        <v>0</v>
      </c>
      <c r="Q67" s="40">
        <f>SUMIF(Tabella1[Nome],Tabella4[[#This Row],[NOME]],Tabella1[Rp])</f>
        <v>0</v>
      </c>
      <c r="R67" s="40">
        <f>SUMIF(Tabella1[Nome],Tabella4[[#This Row],[NOME]],Tabella1[Rs])</f>
        <v>0</v>
      </c>
      <c r="S67" s="40">
        <f>SUMIF(Tabella1[Nome],Tabella4[[#This Row],[NOME]],Tabella1[Rf])</f>
        <v>0</v>
      </c>
      <c r="T67" s="40">
        <f>SUMIF(Tabella1[Nome],Tabella4[[#This Row],[NOME]],Tabella1[Au])</f>
        <v>0</v>
      </c>
      <c r="U67" s="41">
        <f>SUMIF(Tabella1[Nome],Tabella4[[#This Row],[NOME]],Tabella1[Amm])</f>
        <v>0</v>
      </c>
      <c r="V67" s="42">
        <f>SUMIF(Tabella1[Nome],Tabella4[[#This Row],[NOME]],Tabella1[Esp])</f>
        <v>0</v>
      </c>
      <c r="W67" s="40">
        <f>SUMIF(Tabella1[Nome],Tabella4[[#This Row],[NOME]],Tabella1[Ass])</f>
        <v>0</v>
      </c>
      <c r="X67" s="40">
        <f>SUMIF(Tabella1[Nome],Tabella4[[#This Row],[NOME]],Tabella1[Gdv])</f>
        <v>0</v>
      </c>
      <c r="Y67" s="40">
        <f>SUMIF(Tabella1[Nome],Tabella4[[#This Row],[NOME]],Tabella1[cl sh])</f>
        <v>0</v>
      </c>
      <c r="Z67" s="270">
        <f>_xlfn.IFNA(_xlfn.XLOOKUP(CONCATENATE(Z$4,$C67),Tabella1[CONC X VOTI IN TAB GIOC],Tabella1[Voto],""),"")</f>
        <v>5.5</v>
      </c>
      <c r="AA67" s="270">
        <f>_xlfn.IFNA(_xlfn.XLOOKUP(CONCATENATE(AA$4,$C67),Tabella1[CONC X VOTI IN TAB GIOC],Tabella1[Voto],""),"")</f>
        <v>6</v>
      </c>
      <c r="AB67" s="270">
        <f>_xlfn.IFNA(_xlfn.XLOOKUP(CONCATENATE(AB$4,$C67),Tabella1[CONC X VOTI IN TAB GIOC],Tabella1[Voto]),"")</f>
        <v>6.5</v>
      </c>
      <c r="AC67" s="270" cm="1">
        <f t="array" ref="AC67">_xlfn.IFNA(_xlfn.XLOOKUP(CONCATENATE(AC$4,$C67),INDEX(Tabella1[],0,MATCH("CONC X VOTI IN TAB GIOC",Tabella1[#Headers],0)),INDEX(Tabella1[],0,MATCH("Voto",Tabella1[#Headers],0))),"")</f>
        <v>7</v>
      </c>
      <c r="AD67" s="270" t="str">
        <f>_xlfn.IFNA(_xlfn.XLOOKUP(CONCATENATE(AD$4,$C67),Tabella1[CONC X VOTI IN TAB GIOC],Tabella1[Voto]),"")</f>
        <v/>
      </c>
      <c r="AE67" s="270" t="str">
        <f>_xlfn.IFNA(VLOOKUP(CONCATENATE(AE$4,$C67),'INSER DATA'!$A:$F,6,0),"")</f>
        <v/>
      </c>
      <c r="AF67" s="270" t="str">
        <f>_xlfn.IFNA(VLOOKUP(CONCATENATE(AF$4,$C67),'INSER DATA'!$A:$F,6,0),"")</f>
        <v/>
      </c>
      <c r="AG67" s="270" t="str">
        <f>_xlfn.IFNA(VLOOKUP(CONCATENATE(AG$4,$C67),'INSER DATA'!$A:$F,6,0),"")</f>
        <v/>
      </c>
      <c r="AH67" s="270" t="str">
        <f>_xlfn.IFNA(VLOOKUP(CONCATENATE(AH$4,$C67),'INSER DATA'!$A:$F,7,0),"")</f>
        <v/>
      </c>
      <c r="AI67" s="270" t="str">
        <f>_xlfn.IFNA(VLOOKUP(CONCATENATE(AI$4,$C67),'INSER DATA'!$A:$F,7,0),"")</f>
        <v/>
      </c>
      <c r="AJ67" s="270" t="str">
        <f>_xlfn.IFNA(VLOOKUP(CONCATENATE(AJ$4,$C67),'INSER DATA'!$A:$F,7,0),"")</f>
        <v/>
      </c>
      <c r="AK67" s="270" t="str">
        <f>_xlfn.IFNA(VLOOKUP(CONCATENATE(AK$4,$C67),'INSER DATA'!$A:$F,7,0),"")</f>
        <v/>
      </c>
      <c r="AL67" s="270" t="str">
        <f>_xlfn.IFNA(VLOOKUP(CONCATENATE(AL$4,$C67),'INSER DATA'!$A:$F,7,0),"")</f>
        <v/>
      </c>
      <c r="AM67" s="270" t="str">
        <f>_xlfn.IFNA(VLOOKUP(CONCATENATE(AM$4,$C67),'INSER DATA'!$A:$F,7,0),"")</f>
        <v/>
      </c>
      <c r="AN67" s="270" t="str">
        <f>_xlfn.IFNA(VLOOKUP(CONCATENATE(AN$4,$C67),'INSER DATA'!$A:$F,7,0),"")</f>
        <v/>
      </c>
      <c r="AO67" s="270" t="str">
        <f>_xlfn.IFNA(VLOOKUP(CONCATENATE(AO$4,$C67),'INSER DATA'!$A:$F,7,0),"")</f>
        <v/>
      </c>
      <c r="AP67" s="270" t="str">
        <f>_xlfn.IFNA(VLOOKUP(CONCATENATE(AP$4,$C67),'INSER DATA'!$A:$F,7,0),"")</f>
        <v/>
      </c>
      <c r="AQ67" s="270" t="str">
        <f>_xlfn.IFNA(VLOOKUP(CONCATENATE(AQ$4,$C67),'INSER DATA'!$A:$F,7,0),"")</f>
        <v/>
      </c>
      <c r="AR67" s="270" t="str">
        <f>_xlfn.IFNA(VLOOKUP(CONCATENATE(AR$4,$C67),'INSER DATA'!$A:$F,7,0),"")</f>
        <v/>
      </c>
      <c r="AS67" s="270" t="str">
        <f>_xlfn.IFNA(VLOOKUP(CONCATENATE(AS$4,$C67),'INSER DATA'!$A:$F,7,0),"")</f>
        <v/>
      </c>
      <c r="AT67" s="270" t="str">
        <f>_xlfn.IFNA(VLOOKUP(CONCATENATE(AT$4,$C67),'INSER DATA'!$A:$F,7,0),"")</f>
        <v/>
      </c>
      <c r="AU67" s="270" t="str">
        <f>_xlfn.IFNA(VLOOKUP(CONCATENATE(AU$4,$C67),'INSER DATA'!$A:$F,7,0),"")</f>
        <v/>
      </c>
      <c r="AV67" s="270" t="str">
        <f>_xlfn.IFNA(VLOOKUP(CONCATENATE(AV$4,$C67),'INSER DATA'!$A:$F,7,0),"")</f>
        <v/>
      </c>
      <c r="AW67" s="270" t="str">
        <f>_xlfn.IFNA(VLOOKUP(CONCATENATE(AW$4,$C67),'INSER DATA'!$A:$F,7,0),"")</f>
        <v/>
      </c>
      <c r="AX67" s="270" t="str">
        <f>_xlfn.IFNA(VLOOKUP(CONCATENATE(AX$4,$C67),'INSER DATA'!$A:$F,7,0),"")</f>
        <v/>
      </c>
      <c r="AY67" s="270" t="str">
        <f>_xlfn.IFNA(VLOOKUP(CONCATENATE(AY$4,$C67),'INSER DATA'!$A:$F,7,0),"")</f>
        <v/>
      </c>
      <c r="AZ67" s="270" t="str">
        <f>_xlfn.IFNA(VLOOKUP(CONCATENATE(AZ$4,$C67),'INSER DATA'!$A:$F,7,0),"")</f>
        <v/>
      </c>
      <c r="BA67" s="270" t="str">
        <f>_xlfn.IFNA(VLOOKUP(CONCATENATE(BA$4,$C67),'INSER DATA'!$A:$F,7,0),"")</f>
        <v/>
      </c>
      <c r="BB67" s="270" t="str">
        <f>_xlfn.IFNA(VLOOKUP(CONCATENATE(BB$4,$C67),'INSER DATA'!$A:$F,7,0),"")</f>
        <v/>
      </c>
      <c r="BC67" s="270" t="str">
        <f>_xlfn.IFNA(VLOOKUP(CONCATENATE(BC$4,$C67),'INSER DATA'!$A:$F,7,0),"")</f>
        <v/>
      </c>
      <c r="BD67" s="270" t="str">
        <f>_xlfn.IFNA(VLOOKUP(CONCATENATE(BD$4,$C67),'INSER DATA'!$A:$F,7,0),"")</f>
        <v/>
      </c>
      <c r="BE67" s="270" t="str">
        <f>_xlfn.IFNA(VLOOKUP(CONCATENATE(BE$4,$C67),'INSER DATA'!$A:$F,7,0),"")</f>
        <v/>
      </c>
      <c r="BF67" s="270" t="str">
        <f>_xlfn.IFNA(VLOOKUP(CONCATENATE(BF$4,$C67),'INSER DATA'!$A:$F,7,0),"")</f>
        <v/>
      </c>
      <c r="BG67" s="270" t="str">
        <f>_xlfn.IFNA(VLOOKUP(CONCATENATE(BG$4,$C67),'INSER DATA'!$A:$F,7,0),"")</f>
        <v/>
      </c>
      <c r="BH67" s="270" t="str">
        <f>_xlfn.IFNA(VLOOKUP(CONCATENATE(BH$4,$C67),'INSER DATA'!$A:$F,7,0),"")</f>
        <v/>
      </c>
      <c r="BI67" s="270" t="str">
        <f>_xlfn.IFNA(VLOOKUP(CONCATENATE(BI$4,$C67),'INSER DATA'!$A:$F,7,0),"")</f>
        <v/>
      </c>
      <c r="BJ67" s="270" t="str">
        <f>_xlfn.IFNA(VLOOKUP(CONCATENATE(BJ$4,$C67),'INSER DATA'!$A:$F,7,0),"")</f>
        <v/>
      </c>
      <c r="BK67" s="270" t="str">
        <f>_xlfn.IFNA(VLOOKUP(CONCATENATE(BK$4,$C67),'INSER DATA'!$A:$F,7,0),"")</f>
        <v/>
      </c>
      <c r="BL67" s="272"/>
      <c r="BM67" s="30"/>
      <c r="BN67" s="30"/>
      <c r="BO67" s="30"/>
      <c r="BP67" s="30"/>
      <c r="BQ67" s="30"/>
      <c r="BR67" s="30"/>
      <c r="BS67" s="30"/>
      <c r="BT67" s="30"/>
      <c r="BU67" s="30"/>
      <c r="BV67" s="30"/>
      <c r="BW67" s="30"/>
      <c r="BX67" s="30"/>
      <c r="BY67" s="30"/>
      <c r="BZ67" s="30"/>
      <c r="CA67" s="30"/>
      <c r="CB67" s="30"/>
      <c r="CC67" s="30"/>
      <c r="CD67" s="30"/>
      <c r="CE67" s="30"/>
      <c r="CF67" s="30"/>
      <c r="CG67" s="30"/>
      <c r="CH67" s="30"/>
      <c r="CI67" s="30"/>
      <c r="CJ67" s="30"/>
      <c r="CK67" s="30"/>
      <c r="CL67" s="30"/>
      <c r="CM67" s="30"/>
      <c r="CN67" s="30"/>
      <c r="CO67" s="30"/>
      <c r="CP67" s="30"/>
      <c r="CQ67" s="30"/>
      <c r="CR67" s="30"/>
      <c r="CS67" s="30"/>
      <c r="CT67" s="30"/>
      <c r="CU67" s="30"/>
      <c r="CV67" s="30"/>
      <c r="CW67" s="30"/>
      <c r="CX67" s="30"/>
      <c r="CY67" s="30"/>
      <c r="CZ67" s="30"/>
      <c r="DA67" s="30"/>
    </row>
    <row r="68" spans="1:105" ht="19.2" thickTop="1" thickBot="1" x14ac:dyDescent="0.4">
      <c r="A68" s="30"/>
      <c r="B68" s="30"/>
      <c r="C68" s="356" t="s">
        <v>352</v>
      </c>
      <c r="D68" s="355" t="s">
        <v>662</v>
      </c>
      <c r="E68" s="35" t="str">
        <f>_xlfn.XLOOKUP(Tabella4[[#This Row],[NOME]],'ROSE SQUADRE'!$N$3:$N$253,'ROSE SQUADRE'!$O$3:$O$253,"")</f>
        <v>FC INTERNAZIOANALE</v>
      </c>
      <c r="F68" s="36" t="s">
        <v>162</v>
      </c>
      <c r="G68" s="43">
        <v>7</v>
      </c>
      <c r="H68" s="43">
        <v>7</v>
      </c>
      <c r="I68" s="44">
        <f t="shared" si="0"/>
        <v>0</v>
      </c>
      <c r="J68" s="37">
        <f t="shared" si="1"/>
        <v>4</v>
      </c>
      <c r="K68" s="178">
        <f t="shared" si="2"/>
        <v>5.875</v>
      </c>
      <c r="L68" s="178">
        <f t="shared" si="3"/>
        <v>6</v>
      </c>
      <c r="M68" s="179">
        <f t="shared" si="4"/>
        <v>24</v>
      </c>
      <c r="N68" s="45">
        <f t="shared" ca="1" si="6"/>
        <v>0</v>
      </c>
      <c r="O68" s="40">
        <f>SUMIF(Tabella1[Nome],Tabella4[[#This Row],[NOME]],Tabella1[Gf])</f>
        <v>0</v>
      </c>
      <c r="P68" s="40">
        <f>-(SUMIF(Tabella1[Nome],Tabella4[[#This Row],[NOME]],Tabella1[Gs]))</f>
        <v>0</v>
      </c>
      <c r="Q68" s="40">
        <f>SUMIF(Tabella1[Nome],Tabella4[[#This Row],[NOME]],Tabella1[Rp])</f>
        <v>0</v>
      </c>
      <c r="R68" s="40">
        <f>SUMIF(Tabella1[Nome],Tabella4[[#This Row],[NOME]],Tabella1[Rs])</f>
        <v>0</v>
      </c>
      <c r="S68" s="40">
        <f>SUMIF(Tabella1[Nome],Tabella4[[#This Row],[NOME]],Tabella1[Rf])</f>
        <v>0</v>
      </c>
      <c r="T68" s="40">
        <f>SUMIF(Tabella1[Nome],Tabella4[[#This Row],[NOME]],Tabella1[Au])</f>
        <v>0</v>
      </c>
      <c r="U68" s="41">
        <f>SUMIF(Tabella1[Nome],Tabella4[[#This Row],[NOME]],Tabella1[Amm])</f>
        <v>1</v>
      </c>
      <c r="V68" s="42">
        <f>SUMIF(Tabella1[Nome],Tabella4[[#This Row],[NOME]],Tabella1[Esp])</f>
        <v>0</v>
      </c>
      <c r="W68" s="40">
        <f>SUMIF(Tabella1[Nome],Tabella4[[#This Row],[NOME]],Tabella1[Ass])</f>
        <v>1</v>
      </c>
      <c r="X68" s="40">
        <f>SUMIF(Tabella1[Nome],Tabella4[[#This Row],[NOME]],Tabella1[Gdv])</f>
        <v>0</v>
      </c>
      <c r="Y68" s="40">
        <f>SUMIF(Tabella1[Nome],Tabella4[[#This Row],[NOME]],Tabella1[cl sh])</f>
        <v>0</v>
      </c>
      <c r="Z68" s="270">
        <f>_xlfn.IFNA(_xlfn.XLOOKUP(CONCATENATE(Z$4,$C68),Tabella1[CONC X VOTI IN TAB GIOC],Tabella1[Voto],""),"")</f>
        <v>5.5</v>
      </c>
      <c r="AA68" s="270">
        <f>_xlfn.IFNA(_xlfn.XLOOKUP(CONCATENATE(AA$4,$C68),Tabella1[CONC X VOTI IN TAB GIOC],Tabella1[Voto],""),"")</f>
        <v>5.5</v>
      </c>
      <c r="AB68" s="270">
        <f>_xlfn.IFNA(_xlfn.XLOOKUP(CONCATENATE(AB$4,$C68),Tabella1[CONC X VOTI IN TAB GIOC],Tabella1[Voto]),"")</f>
        <v>7</v>
      </c>
      <c r="AC68" s="270" cm="1">
        <f t="array" ref="AC68">_xlfn.IFNA(_xlfn.XLOOKUP(CONCATENATE(AC$4,$C68),INDEX(Tabella1[],0,MATCH("CONC X VOTI IN TAB GIOC",Tabella1[#Headers],0)),INDEX(Tabella1[],0,MATCH("Voto",Tabella1[#Headers],0))),"")</f>
        <v>5.5</v>
      </c>
      <c r="AD68" s="270" t="str">
        <f>_xlfn.IFNA(_xlfn.XLOOKUP(CONCATENATE(AD$4,$C68),Tabella1[CONC X VOTI IN TAB GIOC],Tabella1[Voto]),"")</f>
        <v/>
      </c>
      <c r="AE68" s="270" t="str">
        <f>_xlfn.IFNA(VLOOKUP(CONCATENATE(AE$4,$C68),'INSER DATA'!$A:$F,6,0),"")</f>
        <v/>
      </c>
      <c r="AF68" s="270" t="str">
        <f>_xlfn.IFNA(VLOOKUP(CONCATENATE(AF$4,$C68),'INSER DATA'!$A:$F,6,0),"")</f>
        <v/>
      </c>
      <c r="AG68" s="270" t="str">
        <f>_xlfn.IFNA(VLOOKUP(CONCATENATE(AG$4,$C68),'INSER DATA'!$A:$F,6,0),"")</f>
        <v/>
      </c>
      <c r="AH68" s="270" t="str">
        <f>_xlfn.IFNA(VLOOKUP(CONCATENATE(AH$4,$C68),'INSER DATA'!$A:$F,7,0),"")</f>
        <v/>
      </c>
      <c r="AI68" s="270" t="str">
        <f>_xlfn.IFNA(VLOOKUP(CONCATENATE(AI$4,$C68),'INSER DATA'!$A:$F,7,0),"")</f>
        <v/>
      </c>
      <c r="AJ68" s="270" t="str">
        <f>_xlfn.IFNA(VLOOKUP(CONCATENATE(AJ$4,$C68),'INSER DATA'!$A:$F,7,0),"")</f>
        <v/>
      </c>
      <c r="AK68" s="270" t="str">
        <f>_xlfn.IFNA(VLOOKUP(CONCATENATE(AK$4,$C68),'INSER DATA'!$A:$F,7,0),"")</f>
        <v/>
      </c>
      <c r="AL68" s="270" t="str">
        <f>_xlfn.IFNA(VLOOKUP(CONCATENATE(AL$4,$C68),'INSER DATA'!$A:$F,7,0),"")</f>
        <v/>
      </c>
      <c r="AM68" s="270" t="str">
        <f>_xlfn.IFNA(VLOOKUP(CONCATENATE(AM$4,$C68),'INSER DATA'!$A:$F,7,0),"")</f>
        <v/>
      </c>
      <c r="AN68" s="270" t="str">
        <f>_xlfn.IFNA(VLOOKUP(CONCATENATE(AN$4,$C68),'INSER DATA'!$A:$F,7,0),"")</f>
        <v/>
      </c>
      <c r="AO68" s="270" t="str">
        <f>_xlfn.IFNA(VLOOKUP(CONCATENATE(AO$4,$C68),'INSER DATA'!$A:$F,7,0),"")</f>
        <v/>
      </c>
      <c r="AP68" s="270" t="str">
        <f>_xlfn.IFNA(VLOOKUP(CONCATENATE(AP$4,$C68),'INSER DATA'!$A:$F,7,0),"")</f>
        <v/>
      </c>
      <c r="AQ68" s="270" t="str">
        <f>_xlfn.IFNA(VLOOKUP(CONCATENATE(AQ$4,$C68),'INSER DATA'!$A:$F,7,0),"")</f>
        <v/>
      </c>
      <c r="AR68" s="270" t="str">
        <f>_xlfn.IFNA(VLOOKUP(CONCATENATE(AR$4,$C68),'INSER DATA'!$A:$F,7,0),"")</f>
        <v/>
      </c>
      <c r="AS68" s="270" t="str">
        <f>_xlfn.IFNA(VLOOKUP(CONCATENATE(AS$4,$C68),'INSER DATA'!$A:$F,7,0),"")</f>
        <v/>
      </c>
      <c r="AT68" s="270" t="str">
        <f>_xlfn.IFNA(VLOOKUP(CONCATENATE(AT$4,$C68),'INSER DATA'!$A:$F,7,0),"")</f>
        <v/>
      </c>
      <c r="AU68" s="270" t="str">
        <f>_xlfn.IFNA(VLOOKUP(CONCATENATE(AU$4,$C68),'INSER DATA'!$A:$F,7,0),"")</f>
        <v/>
      </c>
      <c r="AV68" s="270" t="str">
        <f>_xlfn.IFNA(VLOOKUP(CONCATENATE(AV$4,$C68),'INSER DATA'!$A:$F,7,0),"")</f>
        <v/>
      </c>
      <c r="AW68" s="270" t="str">
        <f>_xlfn.IFNA(VLOOKUP(CONCATENATE(AW$4,$C68),'INSER DATA'!$A:$F,7,0),"")</f>
        <v/>
      </c>
      <c r="AX68" s="270" t="str">
        <f>_xlfn.IFNA(VLOOKUP(CONCATENATE(AX$4,$C68),'INSER DATA'!$A:$F,7,0),"")</f>
        <v/>
      </c>
      <c r="AY68" s="270" t="str">
        <f>_xlfn.IFNA(VLOOKUP(CONCATENATE(AY$4,$C68),'INSER DATA'!$A:$F,7,0),"")</f>
        <v/>
      </c>
      <c r="AZ68" s="270" t="str">
        <f>_xlfn.IFNA(VLOOKUP(CONCATENATE(AZ$4,$C68),'INSER DATA'!$A:$F,7,0),"")</f>
        <v/>
      </c>
      <c r="BA68" s="270" t="str">
        <f>_xlfn.IFNA(VLOOKUP(CONCATENATE(BA$4,$C68),'INSER DATA'!$A:$F,7,0),"")</f>
        <v/>
      </c>
      <c r="BB68" s="270" t="str">
        <f>_xlfn.IFNA(VLOOKUP(CONCATENATE(BB$4,$C68),'INSER DATA'!$A:$F,7,0),"")</f>
        <v/>
      </c>
      <c r="BC68" s="270" t="str">
        <f>_xlfn.IFNA(VLOOKUP(CONCATENATE(BC$4,$C68),'INSER DATA'!$A:$F,7,0),"")</f>
        <v/>
      </c>
      <c r="BD68" s="270" t="str">
        <f>_xlfn.IFNA(VLOOKUP(CONCATENATE(BD$4,$C68),'INSER DATA'!$A:$F,7,0),"")</f>
        <v/>
      </c>
      <c r="BE68" s="270" t="str">
        <f>_xlfn.IFNA(VLOOKUP(CONCATENATE(BE$4,$C68),'INSER DATA'!$A:$F,7,0),"")</f>
        <v/>
      </c>
      <c r="BF68" s="270" t="str">
        <f>_xlfn.IFNA(VLOOKUP(CONCATENATE(BF$4,$C68),'INSER DATA'!$A:$F,7,0),"")</f>
        <v/>
      </c>
      <c r="BG68" s="270" t="str">
        <f>_xlfn.IFNA(VLOOKUP(CONCATENATE(BG$4,$C68),'INSER DATA'!$A:$F,7,0),"")</f>
        <v/>
      </c>
      <c r="BH68" s="270" t="str">
        <f>_xlfn.IFNA(VLOOKUP(CONCATENATE(BH$4,$C68),'INSER DATA'!$A:$F,7,0),"")</f>
        <v/>
      </c>
      <c r="BI68" s="270" t="str">
        <f>_xlfn.IFNA(VLOOKUP(CONCATENATE(BI$4,$C68),'INSER DATA'!$A:$F,7,0),"")</f>
        <v/>
      </c>
      <c r="BJ68" s="270" t="str">
        <f>_xlfn.IFNA(VLOOKUP(CONCATENATE(BJ$4,$C68),'INSER DATA'!$A:$F,7,0),"")</f>
        <v/>
      </c>
      <c r="BK68" s="270" t="str">
        <f>_xlfn.IFNA(VLOOKUP(CONCATENATE(BK$4,$C68),'INSER DATA'!$A:$F,7,0),"")</f>
        <v/>
      </c>
      <c r="BL68" s="272"/>
      <c r="BM68" s="30"/>
      <c r="BN68" s="30"/>
      <c r="BO68" s="30"/>
      <c r="BP68" s="30"/>
      <c r="BQ68" s="30"/>
      <c r="BR68" s="30"/>
      <c r="BS68" s="30"/>
      <c r="BT68" s="30"/>
      <c r="BU68" s="30"/>
      <c r="BV68" s="30"/>
      <c r="BW68" s="30"/>
      <c r="BX68" s="30"/>
      <c r="BY68" s="30"/>
      <c r="BZ68" s="30"/>
      <c r="CA68" s="30"/>
      <c r="CB68" s="30"/>
      <c r="CC68" s="30"/>
      <c r="CD68" s="30"/>
      <c r="CE68" s="30"/>
      <c r="CF68" s="30"/>
      <c r="CG68" s="30"/>
      <c r="CH68" s="30"/>
      <c r="CI68" s="30"/>
      <c r="CJ68" s="30"/>
      <c r="CK68" s="30"/>
      <c r="CL68" s="30"/>
      <c r="CM68" s="30"/>
      <c r="CN68" s="30"/>
      <c r="CO68" s="30"/>
      <c r="CP68" s="30"/>
      <c r="CQ68" s="30"/>
      <c r="CR68" s="30"/>
      <c r="CS68" s="30"/>
      <c r="CT68" s="30"/>
      <c r="CU68" s="30"/>
      <c r="CV68" s="30"/>
      <c r="CW68" s="30"/>
      <c r="CX68" s="30"/>
      <c r="CY68" s="30"/>
      <c r="CZ68" s="30"/>
      <c r="DA68" s="30"/>
    </row>
    <row r="69" spans="1:105" ht="19.2" thickTop="1" thickBot="1" x14ac:dyDescent="0.4">
      <c r="A69" s="30"/>
      <c r="B69" s="30"/>
      <c r="C69" s="188" t="s">
        <v>674</v>
      </c>
      <c r="D69" s="46" t="s">
        <v>662</v>
      </c>
      <c r="E69" s="35" t="str">
        <f>_xlfn.XLOOKUP(Tabella4[[#This Row],[NOME]],'ROSE SQUADRE'!$N$3:$N$253,'ROSE SQUADRE'!$O$3:$O$253,"")</f>
        <v/>
      </c>
      <c r="F69" s="36" t="s">
        <v>162</v>
      </c>
      <c r="G69" s="43">
        <v>6</v>
      </c>
      <c r="H69" s="43">
        <v>6</v>
      </c>
      <c r="I69" s="44">
        <f t="shared" ref="I69:I132" si="7">SUM(H69-G69)</f>
        <v>0</v>
      </c>
      <c r="J69" s="37">
        <f t="shared" ref="J69:J132" si="8">COUNT(Z69:CJ69)</f>
        <v>4</v>
      </c>
      <c r="K69" s="38">
        <f t="shared" ref="K69:K132" si="9">IF(J69=0,0,AVERAGE(Z69:CJ69))</f>
        <v>6.125</v>
      </c>
      <c r="L69" s="38">
        <f t="shared" ref="L69:L132" si="10">IF(J69=0,0,M69/J69)</f>
        <v>6.125</v>
      </c>
      <c r="M69" s="39">
        <f t="shared" ref="M69:M132" si="11">SUM(Z69:CJ69)+(O69*3)+P69+(Q69*3)-(R69*3)-(T69*2)-(U69/2)-V69+W69+X69+Y69</f>
        <v>24.5</v>
      </c>
      <c r="N69" s="45">
        <f t="shared" ca="1" si="6"/>
        <v>0</v>
      </c>
      <c r="O69" s="40">
        <f>SUMIF(Tabella1[Nome],Tabella4[[#This Row],[NOME]],Tabella1[Gf])</f>
        <v>0</v>
      </c>
      <c r="P69" s="40">
        <f>-(SUMIF(Tabella1[Nome],Tabella4[[#This Row],[NOME]],Tabella1[Gs]))</f>
        <v>0</v>
      </c>
      <c r="Q69" s="40">
        <f>SUMIF(Tabella1[Nome],Tabella4[[#This Row],[NOME]],Tabella1[Rp])</f>
        <v>0</v>
      </c>
      <c r="R69" s="40">
        <f>SUMIF(Tabella1[Nome],Tabella4[[#This Row],[NOME]],Tabella1[Rs])</f>
        <v>0</v>
      </c>
      <c r="S69" s="40">
        <f>SUMIF(Tabella1[Nome],Tabella4[[#This Row],[NOME]],Tabella1[Rf])</f>
        <v>0</v>
      </c>
      <c r="T69" s="40">
        <f>SUMIF(Tabella1[Nome],Tabella4[[#This Row],[NOME]],Tabella1[Au])</f>
        <v>0</v>
      </c>
      <c r="U69" s="41">
        <f>SUMIF(Tabella1[Nome],Tabella4[[#This Row],[NOME]],Tabella1[Amm])</f>
        <v>0</v>
      </c>
      <c r="V69" s="42">
        <f>SUMIF(Tabella1[Nome],Tabella4[[#This Row],[NOME]],Tabella1[Esp])</f>
        <v>0</v>
      </c>
      <c r="W69" s="40">
        <f>SUMIF(Tabella1[Nome],Tabella4[[#This Row],[NOME]],Tabella1[Ass])</f>
        <v>0</v>
      </c>
      <c r="X69" s="40">
        <f>SUMIF(Tabella1[Nome],Tabella4[[#This Row],[NOME]],Tabella1[Gdv])</f>
        <v>0</v>
      </c>
      <c r="Y69" s="40">
        <f>SUMIF(Tabella1[Nome],Tabella4[[#This Row],[NOME]],Tabella1[cl sh])</f>
        <v>0</v>
      </c>
      <c r="Z69" s="270">
        <f>_xlfn.IFNA(_xlfn.XLOOKUP(CONCATENATE(Z$4,$C69),Tabella1[CONC X VOTI IN TAB GIOC],Tabella1[Voto],""),"")</f>
        <v>6</v>
      </c>
      <c r="AA69" s="270">
        <f>_xlfn.IFNA(_xlfn.XLOOKUP(CONCATENATE(AA$4,$C69),Tabella1[CONC X VOTI IN TAB GIOC],Tabella1[Voto],""),"")</f>
        <v>5</v>
      </c>
      <c r="AB69" s="270">
        <f>_xlfn.IFNA(_xlfn.XLOOKUP(CONCATENATE(AB$4,$C69),Tabella1[CONC X VOTI IN TAB GIOC],Tabella1[Voto]),"")</f>
        <v>6.5</v>
      </c>
      <c r="AC69" s="270" cm="1">
        <f t="array" ref="AC69">_xlfn.IFNA(_xlfn.XLOOKUP(CONCATENATE(AC$4,$C69),INDEX(Tabella1[],0,MATCH("CONC X VOTI IN TAB GIOC",Tabella1[#Headers],0)),INDEX(Tabella1[],0,MATCH("Voto",Tabella1[#Headers],0))),"")</f>
        <v>7</v>
      </c>
      <c r="AD69" s="270" t="str">
        <f>_xlfn.IFNA(_xlfn.XLOOKUP(CONCATENATE(AD$4,$C69),Tabella1[CONC X VOTI IN TAB GIOC],Tabella1[Voto]),"")</f>
        <v/>
      </c>
      <c r="AE69" s="270" t="str">
        <f>_xlfn.IFNA(VLOOKUP(CONCATENATE(AE$4,$C69),'INSER DATA'!$A:$F,6,0),"")</f>
        <v/>
      </c>
      <c r="AF69" s="270" t="str">
        <f>_xlfn.IFNA(VLOOKUP(CONCATENATE(AF$4,$C69),'INSER DATA'!$A:$F,6,0),"")</f>
        <v/>
      </c>
      <c r="AG69" s="270" t="str">
        <f>_xlfn.IFNA(VLOOKUP(CONCATENATE(AG$4,$C69),'INSER DATA'!$A:$F,6,0),"")</f>
        <v/>
      </c>
      <c r="AH69" s="270" t="str">
        <f>_xlfn.IFNA(VLOOKUP(CONCATENATE(AH$4,$C69),'INSER DATA'!$A:$F,7,0),"")</f>
        <v/>
      </c>
      <c r="AI69" s="270" t="str">
        <f>_xlfn.IFNA(VLOOKUP(CONCATENATE(AI$4,$C69),'INSER DATA'!$A:$F,7,0),"")</f>
        <v/>
      </c>
      <c r="AJ69" s="270" t="str">
        <f>_xlfn.IFNA(VLOOKUP(CONCATENATE(AJ$4,$C69),'INSER DATA'!$A:$F,7,0),"")</f>
        <v/>
      </c>
      <c r="AK69" s="270" t="str">
        <f>_xlfn.IFNA(VLOOKUP(CONCATENATE(AK$4,$C69),'INSER DATA'!$A:$F,7,0),"")</f>
        <v/>
      </c>
      <c r="AL69" s="270" t="str">
        <f>_xlfn.IFNA(VLOOKUP(CONCATENATE(AL$4,$C69),'INSER DATA'!$A:$F,7,0),"")</f>
        <v/>
      </c>
      <c r="AM69" s="270" t="str">
        <f>_xlfn.IFNA(VLOOKUP(CONCATENATE(AM$4,$C69),'INSER DATA'!$A:$F,7,0),"")</f>
        <v/>
      </c>
      <c r="AN69" s="270" t="str">
        <f>_xlfn.IFNA(VLOOKUP(CONCATENATE(AN$4,$C69),'INSER DATA'!$A:$F,7,0),"")</f>
        <v/>
      </c>
      <c r="AO69" s="270" t="str">
        <f>_xlfn.IFNA(VLOOKUP(CONCATENATE(AO$4,$C69),'INSER DATA'!$A:$F,7,0),"")</f>
        <v/>
      </c>
      <c r="AP69" s="270" t="str">
        <f>_xlfn.IFNA(VLOOKUP(CONCATENATE(AP$4,$C69),'INSER DATA'!$A:$F,7,0),"")</f>
        <v/>
      </c>
      <c r="AQ69" s="270" t="str">
        <f>_xlfn.IFNA(VLOOKUP(CONCATENATE(AQ$4,$C69),'INSER DATA'!$A:$F,7,0),"")</f>
        <v/>
      </c>
      <c r="AR69" s="270" t="str">
        <f>_xlfn.IFNA(VLOOKUP(CONCATENATE(AR$4,$C69),'INSER DATA'!$A:$F,7,0),"")</f>
        <v/>
      </c>
      <c r="AS69" s="270" t="str">
        <f>_xlfn.IFNA(VLOOKUP(CONCATENATE(AS$4,$C69),'INSER DATA'!$A:$F,7,0),"")</f>
        <v/>
      </c>
      <c r="AT69" s="270" t="str">
        <f>_xlfn.IFNA(VLOOKUP(CONCATENATE(AT$4,$C69),'INSER DATA'!$A:$F,7,0),"")</f>
        <v/>
      </c>
      <c r="AU69" s="270" t="str">
        <f>_xlfn.IFNA(VLOOKUP(CONCATENATE(AU$4,$C69),'INSER DATA'!$A:$F,7,0),"")</f>
        <v/>
      </c>
      <c r="AV69" s="270" t="str">
        <f>_xlfn.IFNA(VLOOKUP(CONCATENATE(AV$4,$C69),'INSER DATA'!$A:$F,7,0),"")</f>
        <v/>
      </c>
      <c r="AW69" s="270" t="str">
        <f>_xlfn.IFNA(VLOOKUP(CONCATENATE(AW$4,$C69),'INSER DATA'!$A:$F,7,0),"")</f>
        <v/>
      </c>
      <c r="AX69" s="270" t="str">
        <f>_xlfn.IFNA(VLOOKUP(CONCATENATE(AX$4,$C69),'INSER DATA'!$A:$F,7,0),"")</f>
        <v/>
      </c>
      <c r="AY69" s="270" t="str">
        <f>_xlfn.IFNA(VLOOKUP(CONCATENATE(AY$4,$C69),'INSER DATA'!$A:$F,7,0),"")</f>
        <v/>
      </c>
      <c r="AZ69" s="270" t="str">
        <f>_xlfn.IFNA(VLOOKUP(CONCATENATE(AZ$4,$C69),'INSER DATA'!$A:$F,7,0),"")</f>
        <v/>
      </c>
      <c r="BA69" s="270" t="str">
        <f>_xlfn.IFNA(VLOOKUP(CONCATENATE(BA$4,$C69),'INSER DATA'!$A:$F,7,0),"")</f>
        <v/>
      </c>
      <c r="BB69" s="270" t="str">
        <f>_xlfn.IFNA(VLOOKUP(CONCATENATE(BB$4,$C69),'INSER DATA'!$A:$F,7,0),"")</f>
        <v/>
      </c>
      <c r="BC69" s="270" t="str">
        <f>_xlfn.IFNA(VLOOKUP(CONCATENATE(BC$4,$C69),'INSER DATA'!$A:$F,7,0),"")</f>
        <v/>
      </c>
      <c r="BD69" s="270" t="str">
        <f>_xlfn.IFNA(VLOOKUP(CONCATENATE(BD$4,$C69),'INSER DATA'!$A:$F,7,0),"")</f>
        <v/>
      </c>
      <c r="BE69" s="270" t="str">
        <f>_xlfn.IFNA(VLOOKUP(CONCATENATE(BE$4,$C69),'INSER DATA'!$A:$F,7,0),"")</f>
        <v/>
      </c>
      <c r="BF69" s="270" t="str">
        <f>_xlfn.IFNA(VLOOKUP(CONCATENATE(BF$4,$C69),'INSER DATA'!$A:$F,7,0),"")</f>
        <v/>
      </c>
      <c r="BG69" s="270" t="str">
        <f>_xlfn.IFNA(VLOOKUP(CONCATENATE(BG$4,$C69),'INSER DATA'!$A:$F,7,0),"")</f>
        <v/>
      </c>
      <c r="BH69" s="270" t="str">
        <f>_xlfn.IFNA(VLOOKUP(CONCATENATE(BH$4,$C69),'INSER DATA'!$A:$F,7,0),"")</f>
        <v/>
      </c>
      <c r="BI69" s="270" t="str">
        <f>_xlfn.IFNA(VLOOKUP(CONCATENATE(BI$4,$C69),'INSER DATA'!$A:$F,7,0),"")</f>
        <v/>
      </c>
      <c r="BJ69" s="270" t="str">
        <f>_xlfn.IFNA(VLOOKUP(CONCATENATE(BJ$4,$C69),'INSER DATA'!$A:$F,7,0),"")</f>
        <v/>
      </c>
      <c r="BK69" s="270" t="str">
        <f>_xlfn.IFNA(VLOOKUP(CONCATENATE(BK$4,$C69),'INSER DATA'!$A:$F,7,0),"")</f>
        <v/>
      </c>
      <c r="BL69" s="272"/>
      <c r="BM69" s="30"/>
      <c r="BN69" s="30"/>
      <c r="BO69" s="30"/>
      <c r="BP69" s="30"/>
      <c r="BQ69" s="30"/>
      <c r="BR69" s="30"/>
      <c r="BS69" s="30"/>
      <c r="BT69" s="30"/>
      <c r="BU69" s="30"/>
      <c r="BV69" s="30"/>
      <c r="BW69" s="30"/>
      <c r="BX69" s="30"/>
      <c r="BY69" s="30"/>
      <c r="BZ69" s="30"/>
      <c r="CA69" s="30"/>
      <c r="CB69" s="30"/>
      <c r="CC69" s="30"/>
      <c r="CD69" s="30"/>
      <c r="CE69" s="30"/>
      <c r="CF69" s="30"/>
      <c r="CG69" s="30"/>
      <c r="CH69" s="30"/>
      <c r="CI69" s="30"/>
      <c r="CJ69" s="30"/>
      <c r="CK69" s="30"/>
      <c r="CL69" s="30"/>
      <c r="CM69" s="30"/>
      <c r="CN69" s="30"/>
      <c r="CO69" s="30"/>
      <c r="CP69" s="30"/>
      <c r="CQ69" s="30"/>
      <c r="CR69" s="30"/>
      <c r="CS69" s="30"/>
      <c r="CT69" s="30"/>
      <c r="CU69" s="30"/>
      <c r="CV69" s="30"/>
      <c r="CW69" s="30"/>
      <c r="CX69" s="30"/>
      <c r="CY69" s="30"/>
      <c r="CZ69" s="30"/>
      <c r="DA69" s="30"/>
    </row>
    <row r="70" spans="1:105" ht="19.2" thickTop="1" thickBot="1" x14ac:dyDescent="0.4">
      <c r="A70" s="30"/>
      <c r="B70" s="30"/>
      <c r="C70" s="185" t="s">
        <v>676</v>
      </c>
      <c r="D70" s="46" t="s">
        <v>662</v>
      </c>
      <c r="E70" s="35" t="str">
        <f>_xlfn.XLOOKUP(Tabella4[[#This Row],[NOME]],'ROSE SQUADRE'!$N$3:$N$253,'ROSE SQUADRE'!$O$3:$O$253,"")</f>
        <v/>
      </c>
      <c r="F70" s="36" t="s">
        <v>163</v>
      </c>
      <c r="G70" s="43">
        <v>13</v>
      </c>
      <c r="H70" s="43">
        <v>13</v>
      </c>
      <c r="I70" s="44">
        <f t="shared" si="7"/>
        <v>0</v>
      </c>
      <c r="J70" s="37">
        <f t="shared" si="8"/>
        <v>1</v>
      </c>
      <c r="K70" s="38">
        <f t="shared" si="9"/>
        <v>5.5</v>
      </c>
      <c r="L70" s="38">
        <f t="shared" si="10"/>
        <v>5</v>
      </c>
      <c r="M70" s="39">
        <f t="shared" si="11"/>
        <v>5</v>
      </c>
      <c r="N70" s="45">
        <f t="shared" ca="1" si="6"/>
        <v>0</v>
      </c>
      <c r="O70" s="40">
        <f>SUMIF(Tabella1[Nome],Tabella4[[#This Row],[NOME]],Tabella1[Gf])</f>
        <v>0</v>
      </c>
      <c r="P70" s="40">
        <f>-(SUMIF(Tabella1[Nome],Tabella4[[#This Row],[NOME]],Tabella1[Gs]))</f>
        <v>0</v>
      </c>
      <c r="Q70" s="40">
        <f>SUMIF(Tabella1[Nome],Tabella4[[#This Row],[NOME]],Tabella1[Rp])</f>
        <v>0</v>
      </c>
      <c r="R70" s="40">
        <f>SUMIF(Tabella1[Nome],Tabella4[[#This Row],[NOME]],Tabella1[Rs])</f>
        <v>0</v>
      </c>
      <c r="S70" s="40">
        <f>SUMIF(Tabella1[Nome],Tabella4[[#This Row],[NOME]],Tabella1[Rf])</f>
        <v>0</v>
      </c>
      <c r="T70" s="40">
        <f>SUMIF(Tabella1[Nome],Tabella4[[#This Row],[NOME]],Tabella1[Au])</f>
        <v>0</v>
      </c>
      <c r="U70" s="41">
        <f>SUMIF(Tabella1[Nome],Tabella4[[#This Row],[NOME]],Tabella1[Amm])</f>
        <v>1</v>
      </c>
      <c r="V70" s="42">
        <f>SUMIF(Tabella1[Nome],Tabella4[[#This Row],[NOME]],Tabella1[Esp])</f>
        <v>0</v>
      </c>
      <c r="W70" s="40">
        <f>SUMIF(Tabella1[Nome],Tabella4[[#This Row],[NOME]],Tabella1[Ass])</f>
        <v>0</v>
      </c>
      <c r="X70" s="40">
        <f>SUMIF(Tabella1[Nome],Tabella4[[#This Row],[NOME]],Tabella1[Gdv])</f>
        <v>0</v>
      </c>
      <c r="Y70" s="40">
        <f>SUMIF(Tabella1[Nome],Tabella4[[#This Row],[NOME]],Tabella1[cl sh])</f>
        <v>0</v>
      </c>
      <c r="Z70" s="270" t="str">
        <f>_xlfn.IFNA(_xlfn.XLOOKUP(CONCATENATE(Z$4,$C70),Tabella1[CONC X VOTI IN TAB GIOC],Tabella1[Voto],""),"")</f>
        <v/>
      </c>
      <c r="AA70" s="270">
        <f>_xlfn.IFNA(_xlfn.XLOOKUP(CONCATENATE(AA$4,$C70),Tabella1[CONC X VOTI IN TAB GIOC],Tabella1[Voto],""),"")</f>
        <v>5.5</v>
      </c>
      <c r="AB70" s="270" t="str">
        <f>_xlfn.IFNA(_xlfn.XLOOKUP(CONCATENATE(AB$4,$C70),Tabella1[CONC X VOTI IN TAB GIOC],Tabella1[Voto]),"")</f>
        <v/>
      </c>
      <c r="AC70" s="270" t="str" cm="1">
        <f t="array" ref="AC70">_xlfn.IFNA(_xlfn.XLOOKUP(CONCATENATE(AC$4,$C70),INDEX(Tabella1[],0,MATCH("CONC X VOTI IN TAB GIOC",Tabella1[#Headers],0)),INDEX(Tabella1[],0,MATCH("Voto",Tabella1[#Headers],0))),"")</f>
        <v/>
      </c>
      <c r="AD70" s="270" t="str">
        <f>_xlfn.IFNA(_xlfn.XLOOKUP(CONCATENATE(AD$4,$C70),Tabella1[CONC X VOTI IN TAB GIOC],Tabella1[Voto]),"")</f>
        <v/>
      </c>
      <c r="AE70" s="270" t="str">
        <f>_xlfn.IFNA(VLOOKUP(CONCATENATE(AE$4,$C70),'INSER DATA'!$A:$F,6,0),"")</f>
        <v/>
      </c>
      <c r="AF70" s="270" t="str">
        <f>_xlfn.IFNA(VLOOKUP(CONCATENATE(AF$4,$C70),'INSER DATA'!$A:$F,6,0),"")</f>
        <v/>
      </c>
      <c r="AG70" s="270" t="str">
        <f>_xlfn.IFNA(VLOOKUP(CONCATENATE(AG$4,$C70),'INSER DATA'!$A:$F,6,0),"")</f>
        <v/>
      </c>
      <c r="AH70" s="270" t="str">
        <f>_xlfn.IFNA(VLOOKUP(CONCATENATE(AH$4,$C70),'INSER DATA'!$A:$F,7,0),"")</f>
        <v/>
      </c>
      <c r="AI70" s="270" t="str">
        <f>_xlfn.IFNA(VLOOKUP(CONCATENATE(AI$4,$C70),'INSER DATA'!$A:$F,7,0),"")</f>
        <v/>
      </c>
      <c r="AJ70" s="270" t="str">
        <f>_xlfn.IFNA(VLOOKUP(CONCATENATE(AJ$4,$C70),'INSER DATA'!$A:$F,7,0),"")</f>
        <v/>
      </c>
      <c r="AK70" s="270" t="str">
        <f>_xlfn.IFNA(VLOOKUP(CONCATENATE(AK$4,$C70),'INSER DATA'!$A:$F,7,0),"")</f>
        <v/>
      </c>
      <c r="AL70" s="270" t="str">
        <f>_xlfn.IFNA(VLOOKUP(CONCATENATE(AL$4,$C70),'INSER DATA'!$A:$F,7,0),"")</f>
        <v/>
      </c>
      <c r="AM70" s="270" t="str">
        <f>_xlfn.IFNA(VLOOKUP(CONCATENATE(AM$4,$C70),'INSER DATA'!$A:$F,7,0),"")</f>
        <v/>
      </c>
      <c r="AN70" s="270" t="str">
        <f>_xlfn.IFNA(VLOOKUP(CONCATENATE(AN$4,$C70),'INSER DATA'!$A:$F,7,0),"")</f>
        <v/>
      </c>
      <c r="AO70" s="270" t="str">
        <f>_xlfn.IFNA(VLOOKUP(CONCATENATE(AO$4,$C70),'INSER DATA'!$A:$F,7,0),"")</f>
        <v/>
      </c>
      <c r="AP70" s="270" t="str">
        <f>_xlfn.IFNA(VLOOKUP(CONCATENATE(AP$4,$C70),'INSER DATA'!$A:$F,7,0),"")</f>
        <v/>
      </c>
      <c r="AQ70" s="270" t="str">
        <f>_xlfn.IFNA(VLOOKUP(CONCATENATE(AQ$4,$C70),'INSER DATA'!$A:$F,7,0),"")</f>
        <v/>
      </c>
      <c r="AR70" s="270" t="str">
        <f>_xlfn.IFNA(VLOOKUP(CONCATENATE(AR$4,$C70),'INSER DATA'!$A:$F,7,0),"")</f>
        <v/>
      </c>
      <c r="AS70" s="270" t="str">
        <f>_xlfn.IFNA(VLOOKUP(CONCATENATE(AS$4,$C70),'INSER DATA'!$A:$F,7,0),"")</f>
        <v/>
      </c>
      <c r="AT70" s="270" t="str">
        <f>_xlfn.IFNA(VLOOKUP(CONCATENATE(AT$4,$C70),'INSER DATA'!$A:$F,7,0),"")</f>
        <v/>
      </c>
      <c r="AU70" s="270" t="str">
        <f>_xlfn.IFNA(VLOOKUP(CONCATENATE(AU$4,$C70),'INSER DATA'!$A:$F,7,0),"")</f>
        <v/>
      </c>
      <c r="AV70" s="270" t="str">
        <f>_xlfn.IFNA(VLOOKUP(CONCATENATE(AV$4,$C70),'INSER DATA'!$A:$F,7,0),"")</f>
        <v/>
      </c>
      <c r="AW70" s="270" t="str">
        <f>_xlfn.IFNA(VLOOKUP(CONCATENATE(AW$4,$C70),'INSER DATA'!$A:$F,7,0),"")</f>
        <v/>
      </c>
      <c r="AX70" s="270" t="str">
        <f>_xlfn.IFNA(VLOOKUP(CONCATENATE(AX$4,$C70),'INSER DATA'!$A:$F,7,0),"")</f>
        <v/>
      </c>
      <c r="AY70" s="270" t="str">
        <f>_xlfn.IFNA(VLOOKUP(CONCATENATE(AY$4,$C70),'INSER DATA'!$A:$F,7,0),"")</f>
        <v/>
      </c>
      <c r="AZ70" s="270" t="str">
        <f>_xlfn.IFNA(VLOOKUP(CONCATENATE(AZ$4,$C70),'INSER DATA'!$A:$F,7,0),"")</f>
        <v/>
      </c>
      <c r="BA70" s="270" t="str">
        <f>_xlfn.IFNA(VLOOKUP(CONCATENATE(BA$4,$C70),'INSER DATA'!$A:$F,7,0),"")</f>
        <v/>
      </c>
      <c r="BB70" s="270" t="str">
        <f>_xlfn.IFNA(VLOOKUP(CONCATENATE(BB$4,$C70),'INSER DATA'!$A:$F,7,0),"")</f>
        <v/>
      </c>
      <c r="BC70" s="270" t="str">
        <f>_xlfn.IFNA(VLOOKUP(CONCATENATE(BC$4,$C70),'INSER DATA'!$A:$F,7,0),"")</f>
        <v/>
      </c>
      <c r="BD70" s="270" t="str">
        <f>_xlfn.IFNA(VLOOKUP(CONCATENATE(BD$4,$C70),'INSER DATA'!$A:$F,7,0),"")</f>
        <v/>
      </c>
      <c r="BE70" s="270" t="str">
        <f>_xlfn.IFNA(VLOOKUP(CONCATENATE(BE$4,$C70),'INSER DATA'!$A:$F,7,0),"")</f>
        <v/>
      </c>
      <c r="BF70" s="270" t="str">
        <f>_xlfn.IFNA(VLOOKUP(CONCATENATE(BF$4,$C70),'INSER DATA'!$A:$F,7,0),"")</f>
        <v/>
      </c>
      <c r="BG70" s="270" t="str">
        <f>_xlfn.IFNA(VLOOKUP(CONCATENATE(BG$4,$C70),'INSER DATA'!$A:$F,7,0),"")</f>
        <v/>
      </c>
      <c r="BH70" s="270" t="str">
        <f>_xlfn.IFNA(VLOOKUP(CONCATENATE(BH$4,$C70),'INSER DATA'!$A:$F,7,0),"")</f>
        <v/>
      </c>
      <c r="BI70" s="270" t="str">
        <f>_xlfn.IFNA(VLOOKUP(CONCATENATE(BI$4,$C70),'INSER DATA'!$A:$F,7,0),"")</f>
        <v/>
      </c>
      <c r="BJ70" s="270" t="str">
        <f>_xlfn.IFNA(VLOOKUP(CONCATENATE(BJ$4,$C70),'INSER DATA'!$A:$F,7,0),"")</f>
        <v/>
      </c>
      <c r="BK70" s="270" t="str">
        <f>_xlfn.IFNA(VLOOKUP(CONCATENATE(BK$4,$C70),'INSER DATA'!$A:$F,7,0),"")</f>
        <v/>
      </c>
      <c r="BL70" s="272"/>
      <c r="BM70" s="30"/>
      <c r="BN70" s="30"/>
      <c r="BO70" s="30"/>
      <c r="BP70" s="30"/>
      <c r="BQ70" s="30"/>
      <c r="BR70" s="30"/>
      <c r="BS70" s="30"/>
      <c r="BT70" s="30"/>
      <c r="BU70" s="30"/>
      <c r="BV70" s="30"/>
      <c r="BW70" s="30"/>
      <c r="BX70" s="30"/>
      <c r="BY70" s="30"/>
      <c r="BZ70" s="30"/>
      <c r="CA70" s="30"/>
      <c r="CB70" s="30"/>
      <c r="CC70" s="30"/>
      <c r="CD70" s="30"/>
      <c r="CE70" s="30"/>
      <c r="CF70" s="30"/>
      <c r="CG70" s="30"/>
      <c r="CH70" s="30"/>
      <c r="CI70" s="30"/>
      <c r="CJ70" s="30"/>
      <c r="CK70" s="30"/>
      <c r="CL70" s="30"/>
      <c r="CM70" s="30"/>
      <c r="CN70" s="30"/>
      <c r="CO70" s="30"/>
      <c r="CP70" s="30"/>
      <c r="CQ70" s="30"/>
      <c r="CR70" s="30"/>
      <c r="CS70" s="30"/>
      <c r="CT70" s="30"/>
      <c r="CU70" s="30"/>
      <c r="CV70" s="30"/>
      <c r="CW70" s="30"/>
      <c r="CX70" s="30"/>
      <c r="CY70" s="30"/>
      <c r="CZ70" s="30"/>
      <c r="DA70" s="30"/>
    </row>
    <row r="71" spans="1:105" ht="19.2" thickTop="1" thickBot="1" x14ac:dyDescent="0.4">
      <c r="A71" s="30"/>
      <c r="B71" s="30"/>
      <c r="C71" s="188" t="s">
        <v>663</v>
      </c>
      <c r="D71" s="187" t="s">
        <v>662</v>
      </c>
      <c r="E71" s="35" t="str">
        <f>_xlfn.XLOOKUP(Tabella4[[#This Row],[NOME]],'ROSE SQUADRE'!$N$3:$N$253,'ROSE SQUADRE'!$O$3:$O$253,"")</f>
        <v/>
      </c>
      <c r="F71" s="36" t="s">
        <v>5</v>
      </c>
      <c r="G71" s="43">
        <v>1</v>
      </c>
      <c r="H71" s="43">
        <v>1</v>
      </c>
      <c r="I71" s="44">
        <f t="shared" si="7"/>
        <v>0</v>
      </c>
      <c r="J71" s="37">
        <f t="shared" si="8"/>
        <v>0</v>
      </c>
      <c r="K71" s="178">
        <f t="shared" si="9"/>
        <v>0</v>
      </c>
      <c r="L71" s="178">
        <f t="shared" si="10"/>
        <v>0</v>
      </c>
      <c r="M71" s="179">
        <f t="shared" si="11"/>
        <v>0</v>
      </c>
      <c r="N71" s="45">
        <f t="shared" ca="1" si="6"/>
        <v>0</v>
      </c>
      <c r="O71" s="40">
        <f>SUMIF(Tabella1[Nome],Tabella4[[#This Row],[NOME]],Tabella1[Gf])</f>
        <v>0</v>
      </c>
      <c r="P71" s="40">
        <f>-(SUMIF(Tabella1[Nome],Tabella4[[#This Row],[NOME]],Tabella1[Gs]))</f>
        <v>0</v>
      </c>
      <c r="Q71" s="40">
        <f>SUMIF(Tabella1[Nome],Tabella4[[#This Row],[NOME]],Tabella1[Rp])</f>
        <v>0</v>
      </c>
      <c r="R71" s="40">
        <f>SUMIF(Tabella1[Nome],Tabella4[[#This Row],[NOME]],Tabella1[Rs])</f>
        <v>0</v>
      </c>
      <c r="S71" s="40">
        <f>SUMIF(Tabella1[Nome],Tabella4[[#This Row],[NOME]],Tabella1[Rf])</f>
        <v>0</v>
      </c>
      <c r="T71" s="40">
        <f>SUMIF(Tabella1[Nome],Tabella4[[#This Row],[NOME]],Tabella1[Au])</f>
        <v>0</v>
      </c>
      <c r="U71" s="41">
        <f>SUMIF(Tabella1[Nome],Tabella4[[#This Row],[NOME]],Tabella1[Amm])</f>
        <v>0</v>
      </c>
      <c r="V71" s="42">
        <f>SUMIF(Tabella1[Nome],Tabella4[[#This Row],[NOME]],Tabella1[Esp])</f>
        <v>0</v>
      </c>
      <c r="W71" s="40">
        <f>SUMIF(Tabella1[Nome],Tabella4[[#This Row],[NOME]],Tabella1[Ass])</f>
        <v>0</v>
      </c>
      <c r="X71" s="40">
        <f>SUMIF(Tabella1[Nome],Tabella4[[#This Row],[NOME]],Tabella1[Gdv])</f>
        <v>0</v>
      </c>
      <c r="Y71" s="40">
        <f>SUMIF(Tabella1[Nome],Tabella4[[#This Row],[NOME]],Tabella1[cl sh])</f>
        <v>0</v>
      </c>
      <c r="Z71" s="270" t="str">
        <f>_xlfn.IFNA(_xlfn.XLOOKUP(CONCATENATE(Z$4,$C71),Tabella1[CONC X VOTI IN TAB GIOC],Tabella1[Voto],""),"")</f>
        <v/>
      </c>
      <c r="AA71" s="270" t="str">
        <f>_xlfn.IFNA(_xlfn.XLOOKUP(CONCATENATE(AA$4,$C71),Tabella1[CONC X VOTI IN TAB GIOC],Tabella1[Voto],""),"")</f>
        <v/>
      </c>
      <c r="AB71" s="270" t="str">
        <f>_xlfn.IFNA(_xlfn.XLOOKUP(CONCATENATE(AB$4,$C71),Tabella1[CONC X VOTI IN TAB GIOC],Tabella1[Voto]),"")</f>
        <v/>
      </c>
      <c r="AC71" s="270" t="str" cm="1">
        <f t="array" ref="AC71">_xlfn.IFNA(_xlfn.XLOOKUP(CONCATENATE(AC$4,$C71),INDEX(Tabella1[],0,MATCH("CONC X VOTI IN TAB GIOC",Tabella1[#Headers],0)),INDEX(Tabella1[],0,MATCH("Voto",Tabella1[#Headers],0))),"")</f>
        <v/>
      </c>
      <c r="AD71" s="270" t="str">
        <f>_xlfn.IFNA(_xlfn.XLOOKUP(CONCATENATE(AD$4,$C71),Tabella1[CONC X VOTI IN TAB GIOC],Tabella1[Voto]),"")</f>
        <v/>
      </c>
      <c r="AE71" s="270" t="str">
        <f>_xlfn.IFNA(VLOOKUP(CONCATENATE(AE$4,$C71),'INSER DATA'!$A:$F,6,0),"")</f>
        <v/>
      </c>
      <c r="AF71" s="270" t="str">
        <f>_xlfn.IFNA(VLOOKUP(CONCATENATE(AF$4,$C71),'INSER DATA'!$A:$F,6,0),"")</f>
        <v/>
      </c>
      <c r="AG71" s="270" t="str">
        <f>_xlfn.IFNA(VLOOKUP(CONCATENATE(AG$4,$C71),'INSER DATA'!$A:$F,6,0),"")</f>
        <v/>
      </c>
      <c r="AH71" s="270" t="str">
        <f>_xlfn.IFNA(VLOOKUP(CONCATENATE(AH$4,$C71),'INSER DATA'!$A:$F,7,0),"")</f>
        <v/>
      </c>
      <c r="AI71" s="270" t="str">
        <f>_xlfn.IFNA(VLOOKUP(CONCATENATE(AI$4,$C71),'INSER DATA'!$A:$F,7,0),"")</f>
        <v/>
      </c>
      <c r="AJ71" s="270" t="str">
        <f>_xlfn.IFNA(VLOOKUP(CONCATENATE(AJ$4,$C71),'INSER DATA'!$A:$F,7,0),"")</f>
        <v/>
      </c>
      <c r="AK71" s="270" t="str">
        <f>_xlfn.IFNA(VLOOKUP(CONCATENATE(AK$4,$C71),'INSER DATA'!$A:$F,7,0),"")</f>
        <v/>
      </c>
      <c r="AL71" s="270" t="str">
        <f>_xlfn.IFNA(VLOOKUP(CONCATENATE(AL$4,$C71),'INSER DATA'!$A:$F,7,0),"")</f>
        <v/>
      </c>
      <c r="AM71" s="270" t="str">
        <f>_xlfn.IFNA(VLOOKUP(CONCATENATE(AM$4,$C71),'INSER DATA'!$A:$F,7,0),"")</f>
        <v/>
      </c>
      <c r="AN71" s="270" t="str">
        <f>_xlfn.IFNA(VLOOKUP(CONCATENATE(AN$4,$C71),'INSER DATA'!$A:$F,7,0),"")</f>
        <v/>
      </c>
      <c r="AO71" s="270" t="str">
        <f>_xlfn.IFNA(VLOOKUP(CONCATENATE(AO$4,$C71),'INSER DATA'!$A:$F,7,0),"")</f>
        <v/>
      </c>
      <c r="AP71" s="270" t="str">
        <f>_xlfn.IFNA(VLOOKUP(CONCATENATE(AP$4,$C71),'INSER DATA'!$A:$F,7,0),"")</f>
        <v/>
      </c>
      <c r="AQ71" s="270" t="str">
        <f>_xlfn.IFNA(VLOOKUP(CONCATENATE(AQ$4,$C71),'INSER DATA'!$A:$F,7,0),"")</f>
        <v/>
      </c>
      <c r="AR71" s="270" t="str">
        <f>_xlfn.IFNA(VLOOKUP(CONCATENATE(AR$4,$C71),'INSER DATA'!$A:$F,7,0),"")</f>
        <v/>
      </c>
      <c r="AS71" s="270" t="str">
        <f>_xlfn.IFNA(VLOOKUP(CONCATENATE(AS$4,$C71),'INSER DATA'!$A:$F,7,0),"")</f>
        <v/>
      </c>
      <c r="AT71" s="270" t="str">
        <f>_xlfn.IFNA(VLOOKUP(CONCATENATE(AT$4,$C71),'INSER DATA'!$A:$F,7,0),"")</f>
        <v/>
      </c>
      <c r="AU71" s="270" t="str">
        <f>_xlfn.IFNA(VLOOKUP(CONCATENATE(AU$4,$C71),'INSER DATA'!$A:$F,7,0),"")</f>
        <v/>
      </c>
      <c r="AV71" s="270" t="str">
        <f>_xlfn.IFNA(VLOOKUP(CONCATENATE(AV$4,$C71),'INSER DATA'!$A:$F,7,0),"")</f>
        <v/>
      </c>
      <c r="AW71" s="270" t="str">
        <f>_xlfn.IFNA(VLOOKUP(CONCATENATE(AW$4,$C71),'INSER DATA'!$A:$F,7,0),"")</f>
        <v/>
      </c>
      <c r="AX71" s="270" t="str">
        <f>_xlfn.IFNA(VLOOKUP(CONCATENATE(AX$4,$C71),'INSER DATA'!$A:$F,7,0),"")</f>
        <v/>
      </c>
      <c r="AY71" s="270" t="str">
        <f>_xlfn.IFNA(VLOOKUP(CONCATENATE(AY$4,$C71),'INSER DATA'!$A:$F,7,0),"")</f>
        <v/>
      </c>
      <c r="AZ71" s="270" t="str">
        <f>_xlfn.IFNA(VLOOKUP(CONCATENATE(AZ$4,$C71),'INSER DATA'!$A:$F,7,0),"")</f>
        <v/>
      </c>
      <c r="BA71" s="270" t="str">
        <f>_xlfn.IFNA(VLOOKUP(CONCATENATE(BA$4,$C71),'INSER DATA'!$A:$F,7,0),"")</f>
        <v/>
      </c>
      <c r="BB71" s="270" t="str">
        <f>_xlfn.IFNA(VLOOKUP(CONCATENATE(BB$4,$C71),'INSER DATA'!$A:$F,7,0),"")</f>
        <v/>
      </c>
      <c r="BC71" s="270" t="str">
        <f>_xlfn.IFNA(VLOOKUP(CONCATENATE(BC$4,$C71),'INSER DATA'!$A:$F,7,0),"")</f>
        <v/>
      </c>
      <c r="BD71" s="270" t="str">
        <f>_xlfn.IFNA(VLOOKUP(CONCATENATE(BD$4,$C71),'INSER DATA'!$A:$F,7,0),"")</f>
        <v/>
      </c>
      <c r="BE71" s="270" t="str">
        <f>_xlfn.IFNA(VLOOKUP(CONCATENATE(BE$4,$C71),'INSER DATA'!$A:$F,7,0),"")</f>
        <v/>
      </c>
      <c r="BF71" s="270" t="str">
        <f>_xlfn.IFNA(VLOOKUP(CONCATENATE(BF$4,$C71),'INSER DATA'!$A:$F,7,0),"")</f>
        <v/>
      </c>
      <c r="BG71" s="270" t="str">
        <f>_xlfn.IFNA(VLOOKUP(CONCATENATE(BG$4,$C71),'INSER DATA'!$A:$F,7,0),"")</f>
        <v/>
      </c>
      <c r="BH71" s="270" t="str">
        <f>_xlfn.IFNA(VLOOKUP(CONCATENATE(BH$4,$C71),'INSER DATA'!$A:$F,7,0),"")</f>
        <v/>
      </c>
      <c r="BI71" s="270" t="str">
        <f>_xlfn.IFNA(VLOOKUP(CONCATENATE(BI$4,$C71),'INSER DATA'!$A:$F,7,0),"")</f>
        <v/>
      </c>
      <c r="BJ71" s="270" t="str">
        <f>_xlfn.IFNA(VLOOKUP(CONCATENATE(BJ$4,$C71),'INSER DATA'!$A:$F,7,0),"")</f>
        <v/>
      </c>
      <c r="BK71" s="270" t="str">
        <f>_xlfn.IFNA(VLOOKUP(CONCATENATE(BK$4,$C71),'INSER DATA'!$A:$F,7,0),"")</f>
        <v/>
      </c>
      <c r="BL71" s="272"/>
      <c r="BM71" s="30"/>
      <c r="BN71" s="30"/>
      <c r="BO71" s="30"/>
      <c r="BP71" s="30"/>
      <c r="BQ71" s="30"/>
      <c r="BR71" s="30"/>
      <c r="BS71" s="30"/>
      <c r="BT71" s="30"/>
      <c r="BU71" s="30"/>
      <c r="BV71" s="30"/>
      <c r="BW71" s="30"/>
      <c r="BX71" s="30"/>
      <c r="BY71" s="30"/>
      <c r="BZ71" s="30"/>
      <c r="CA71" s="30"/>
      <c r="CB71" s="30"/>
      <c r="CC71" s="30"/>
      <c r="CD71" s="30"/>
      <c r="CE71" s="30"/>
      <c r="CF71" s="30"/>
      <c r="CG71" s="30"/>
      <c r="CH71" s="30"/>
      <c r="CI71" s="30"/>
      <c r="CJ71" s="30"/>
      <c r="CK71" s="30"/>
      <c r="CL71" s="30"/>
      <c r="CM71" s="30"/>
      <c r="CN71" s="30"/>
      <c r="CO71" s="30"/>
      <c r="CP71" s="30"/>
      <c r="CQ71" s="30"/>
      <c r="CR71" s="30"/>
      <c r="CS71" s="30"/>
      <c r="CT71" s="30"/>
      <c r="CU71" s="30"/>
      <c r="CV71" s="30"/>
      <c r="CW71" s="30"/>
      <c r="CX71" s="30"/>
      <c r="CY71" s="30"/>
      <c r="CZ71" s="30"/>
      <c r="DA71" s="30"/>
    </row>
    <row r="72" spans="1:105" ht="19.2" thickTop="1" thickBot="1" x14ac:dyDescent="0.4">
      <c r="A72" s="30"/>
      <c r="B72" s="30"/>
      <c r="C72" s="188" t="s">
        <v>664</v>
      </c>
      <c r="D72" s="187" t="s">
        <v>662</v>
      </c>
      <c r="E72" s="35" t="str">
        <f>_xlfn.XLOOKUP(Tabella4[[#This Row],[NOME]],'ROSE SQUADRE'!$N$3:$N$253,'ROSE SQUADRE'!$O$3:$O$253,"")</f>
        <v/>
      </c>
      <c r="F72" s="36" t="s">
        <v>5</v>
      </c>
      <c r="G72" s="43">
        <v>1</v>
      </c>
      <c r="H72" s="43">
        <v>1</v>
      </c>
      <c r="I72" s="44">
        <f t="shared" si="7"/>
        <v>0</v>
      </c>
      <c r="J72" s="37">
        <f t="shared" si="8"/>
        <v>0</v>
      </c>
      <c r="K72" s="178">
        <f t="shared" si="9"/>
        <v>0</v>
      </c>
      <c r="L72" s="178">
        <f t="shared" si="10"/>
        <v>0</v>
      </c>
      <c r="M72" s="179">
        <f t="shared" si="11"/>
        <v>0</v>
      </c>
      <c r="N72" s="45">
        <f t="shared" ca="1" si="6"/>
        <v>0</v>
      </c>
      <c r="O72" s="40">
        <f>SUMIF(Tabella1[Nome],Tabella4[[#This Row],[NOME]],Tabella1[Gf])</f>
        <v>0</v>
      </c>
      <c r="P72" s="40">
        <f>-(SUMIF(Tabella1[Nome],Tabella4[[#This Row],[NOME]],Tabella1[Gs]))</f>
        <v>0</v>
      </c>
      <c r="Q72" s="40">
        <f>SUMIF(Tabella1[Nome],Tabella4[[#This Row],[NOME]],Tabella1[Rp])</f>
        <v>0</v>
      </c>
      <c r="R72" s="40">
        <f>SUMIF(Tabella1[Nome],Tabella4[[#This Row],[NOME]],Tabella1[Rs])</f>
        <v>0</v>
      </c>
      <c r="S72" s="40">
        <f>SUMIF(Tabella1[Nome],Tabella4[[#This Row],[NOME]],Tabella1[Rf])</f>
        <v>0</v>
      </c>
      <c r="T72" s="40">
        <f>SUMIF(Tabella1[Nome],Tabella4[[#This Row],[NOME]],Tabella1[Au])</f>
        <v>0</v>
      </c>
      <c r="U72" s="41">
        <f>SUMIF(Tabella1[Nome],Tabella4[[#This Row],[NOME]],Tabella1[Amm])</f>
        <v>0</v>
      </c>
      <c r="V72" s="42">
        <f>SUMIF(Tabella1[Nome],Tabella4[[#This Row],[NOME]],Tabella1[Esp])</f>
        <v>0</v>
      </c>
      <c r="W72" s="40">
        <f>SUMIF(Tabella1[Nome],Tabella4[[#This Row],[NOME]],Tabella1[Ass])</f>
        <v>0</v>
      </c>
      <c r="X72" s="40">
        <f>SUMIF(Tabella1[Nome],Tabella4[[#This Row],[NOME]],Tabella1[Gdv])</f>
        <v>0</v>
      </c>
      <c r="Y72" s="40">
        <f>SUMIF(Tabella1[Nome],Tabella4[[#This Row],[NOME]],Tabella1[cl sh])</f>
        <v>0</v>
      </c>
      <c r="Z72" s="270" t="str">
        <f>_xlfn.IFNA(_xlfn.XLOOKUP(CONCATENATE(Z$4,$C72),Tabella1[CONC X VOTI IN TAB GIOC],Tabella1[Voto],""),"")</f>
        <v/>
      </c>
      <c r="AA72" s="270" t="str">
        <f>_xlfn.IFNA(_xlfn.XLOOKUP(CONCATENATE(AA$4,$C72),Tabella1[CONC X VOTI IN TAB GIOC],Tabella1[Voto],""),"")</f>
        <v/>
      </c>
      <c r="AB72" s="270" t="str">
        <f>_xlfn.IFNA(_xlfn.XLOOKUP(CONCATENATE(AB$4,$C72),Tabella1[CONC X VOTI IN TAB GIOC],Tabella1[Voto]),"")</f>
        <v/>
      </c>
      <c r="AC72" s="270" t="str" cm="1">
        <f t="array" ref="AC72">_xlfn.IFNA(_xlfn.XLOOKUP(CONCATENATE(AC$4,$C72),INDEX(Tabella1[],0,MATCH("CONC X VOTI IN TAB GIOC",Tabella1[#Headers],0)),INDEX(Tabella1[],0,MATCH("Voto",Tabella1[#Headers],0))),"")</f>
        <v/>
      </c>
      <c r="AD72" s="270" t="str">
        <f>_xlfn.IFNA(_xlfn.XLOOKUP(CONCATENATE(AD$4,$C72),Tabella1[CONC X VOTI IN TAB GIOC],Tabella1[Voto]),"")</f>
        <v/>
      </c>
      <c r="AE72" s="270" t="str">
        <f>_xlfn.IFNA(VLOOKUP(CONCATENATE(AE$4,$C72),'INSER DATA'!$A:$F,6,0),"")</f>
        <v/>
      </c>
      <c r="AF72" s="270" t="str">
        <f>_xlfn.IFNA(VLOOKUP(CONCATENATE(AF$4,$C72),'INSER DATA'!$A:$F,6,0),"")</f>
        <v/>
      </c>
      <c r="AG72" s="270" t="str">
        <f>_xlfn.IFNA(VLOOKUP(CONCATENATE(AG$4,$C72),'INSER DATA'!$A:$F,6,0),"")</f>
        <v/>
      </c>
      <c r="AH72" s="270" t="str">
        <f>_xlfn.IFNA(VLOOKUP(CONCATENATE(AH$4,$C72),'INSER DATA'!$A:$F,7,0),"")</f>
        <v/>
      </c>
      <c r="AI72" s="270" t="str">
        <f>_xlfn.IFNA(VLOOKUP(CONCATENATE(AI$4,$C72),'INSER DATA'!$A:$F,7,0),"")</f>
        <v/>
      </c>
      <c r="AJ72" s="270" t="str">
        <f>_xlfn.IFNA(VLOOKUP(CONCATENATE(AJ$4,$C72),'INSER DATA'!$A:$F,7,0),"")</f>
        <v/>
      </c>
      <c r="AK72" s="270" t="str">
        <f>_xlfn.IFNA(VLOOKUP(CONCATENATE(AK$4,$C72),'INSER DATA'!$A:$F,7,0),"")</f>
        <v/>
      </c>
      <c r="AL72" s="270" t="str">
        <f>_xlfn.IFNA(VLOOKUP(CONCATENATE(AL$4,$C72),'INSER DATA'!$A:$F,7,0),"")</f>
        <v/>
      </c>
      <c r="AM72" s="270" t="str">
        <f>_xlfn.IFNA(VLOOKUP(CONCATENATE(AM$4,$C72),'INSER DATA'!$A:$F,7,0),"")</f>
        <v/>
      </c>
      <c r="AN72" s="270" t="str">
        <f>_xlfn.IFNA(VLOOKUP(CONCATENATE(AN$4,$C72),'INSER DATA'!$A:$F,7,0),"")</f>
        <v/>
      </c>
      <c r="AO72" s="270" t="str">
        <f>_xlfn.IFNA(VLOOKUP(CONCATENATE(AO$4,$C72),'INSER DATA'!$A:$F,7,0),"")</f>
        <v/>
      </c>
      <c r="AP72" s="270" t="str">
        <f>_xlfn.IFNA(VLOOKUP(CONCATENATE(AP$4,$C72),'INSER DATA'!$A:$F,7,0),"")</f>
        <v/>
      </c>
      <c r="AQ72" s="270" t="str">
        <f>_xlfn.IFNA(VLOOKUP(CONCATENATE(AQ$4,$C72),'INSER DATA'!$A:$F,7,0),"")</f>
        <v/>
      </c>
      <c r="AR72" s="270" t="str">
        <f>_xlfn.IFNA(VLOOKUP(CONCATENATE(AR$4,$C72),'INSER DATA'!$A:$F,7,0),"")</f>
        <v/>
      </c>
      <c r="AS72" s="270" t="str">
        <f>_xlfn.IFNA(VLOOKUP(CONCATENATE(AS$4,$C72),'INSER DATA'!$A:$F,7,0),"")</f>
        <v/>
      </c>
      <c r="AT72" s="270" t="str">
        <f>_xlfn.IFNA(VLOOKUP(CONCATENATE(AT$4,$C72),'INSER DATA'!$A:$F,7,0),"")</f>
        <v/>
      </c>
      <c r="AU72" s="270" t="str">
        <f>_xlfn.IFNA(VLOOKUP(CONCATENATE(AU$4,$C72),'INSER DATA'!$A:$F,7,0),"")</f>
        <v/>
      </c>
      <c r="AV72" s="270" t="str">
        <f>_xlfn.IFNA(VLOOKUP(CONCATENATE(AV$4,$C72),'INSER DATA'!$A:$F,7,0),"")</f>
        <v/>
      </c>
      <c r="AW72" s="270" t="str">
        <f>_xlfn.IFNA(VLOOKUP(CONCATENATE(AW$4,$C72),'INSER DATA'!$A:$F,7,0),"")</f>
        <v/>
      </c>
      <c r="AX72" s="270" t="str">
        <f>_xlfn.IFNA(VLOOKUP(CONCATENATE(AX$4,$C72),'INSER DATA'!$A:$F,7,0),"")</f>
        <v/>
      </c>
      <c r="AY72" s="270" t="str">
        <f>_xlfn.IFNA(VLOOKUP(CONCATENATE(AY$4,$C72),'INSER DATA'!$A:$F,7,0),"")</f>
        <v/>
      </c>
      <c r="AZ72" s="270" t="str">
        <f>_xlfn.IFNA(VLOOKUP(CONCATENATE(AZ$4,$C72),'INSER DATA'!$A:$F,7,0),"")</f>
        <v/>
      </c>
      <c r="BA72" s="270" t="str">
        <f>_xlfn.IFNA(VLOOKUP(CONCATENATE(BA$4,$C72),'INSER DATA'!$A:$F,7,0),"")</f>
        <v/>
      </c>
      <c r="BB72" s="270" t="str">
        <f>_xlfn.IFNA(VLOOKUP(CONCATENATE(BB$4,$C72),'INSER DATA'!$A:$F,7,0),"")</f>
        <v/>
      </c>
      <c r="BC72" s="270" t="str">
        <f>_xlfn.IFNA(VLOOKUP(CONCATENATE(BC$4,$C72),'INSER DATA'!$A:$F,7,0),"")</f>
        <v/>
      </c>
      <c r="BD72" s="270" t="str">
        <f>_xlfn.IFNA(VLOOKUP(CONCATENATE(BD$4,$C72),'INSER DATA'!$A:$F,7,0),"")</f>
        <v/>
      </c>
      <c r="BE72" s="270" t="str">
        <f>_xlfn.IFNA(VLOOKUP(CONCATENATE(BE$4,$C72),'INSER DATA'!$A:$F,7,0),"")</f>
        <v/>
      </c>
      <c r="BF72" s="270" t="str">
        <f>_xlfn.IFNA(VLOOKUP(CONCATENATE(BF$4,$C72),'INSER DATA'!$A:$F,7,0),"")</f>
        <v/>
      </c>
      <c r="BG72" s="270" t="str">
        <f>_xlfn.IFNA(VLOOKUP(CONCATENATE(BG$4,$C72),'INSER DATA'!$A:$F,7,0),"")</f>
        <v/>
      </c>
      <c r="BH72" s="270" t="str">
        <f>_xlfn.IFNA(VLOOKUP(CONCATENATE(BH$4,$C72),'INSER DATA'!$A:$F,7,0),"")</f>
        <v/>
      </c>
      <c r="BI72" s="270" t="str">
        <f>_xlfn.IFNA(VLOOKUP(CONCATENATE(BI$4,$C72),'INSER DATA'!$A:$F,7,0),"")</f>
        <v/>
      </c>
      <c r="BJ72" s="270" t="str">
        <f>_xlfn.IFNA(VLOOKUP(CONCATENATE(BJ$4,$C72),'INSER DATA'!$A:$F,7,0),"")</f>
        <v/>
      </c>
      <c r="BK72" s="270" t="str">
        <f>_xlfn.IFNA(VLOOKUP(CONCATENATE(BK$4,$C72),'INSER DATA'!$A:$F,7,0),"")</f>
        <v/>
      </c>
      <c r="BL72" s="272"/>
      <c r="BM72" s="30"/>
      <c r="BN72" s="30"/>
      <c r="BO72" s="30"/>
      <c r="BP72" s="30"/>
      <c r="BQ72" s="30"/>
      <c r="BR72" s="30"/>
      <c r="BS72" s="30"/>
      <c r="BT72" s="30"/>
      <c r="BU72" s="30"/>
      <c r="BV72" s="30"/>
      <c r="BW72" s="30"/>
      <c r="BX72" s="30"/>
      <c r="BY72" s="30"/>
      <c r="BZ72" s="30"/>
      <c r="CA72" s="30"/>
      <c r="CB72" s="30"/>
      <c r="CC72" s="30"/>
      <c r="CD72" s="30"/>
      <c r="CE72" s="30"/>
      <c r="CF72" s="30"/>
      <c r="CG72" s="30"/>
      <c r="CH72" s="30"/>
      <c r="CI72" s="30"/>
      <c r="CJ72" s="30"/>
      <c r="CK72" s="30"/>
      <c r="CL72" s="30"/>
      <c r="CM72" s="30"/>
      <c r="CN72" s="30"/>
      <c r="CO72" s="30"/>
      <c r="CP72" s="30"/>
      <c r="CQ72" s="30"/>
      <c r="CR72" s="30"/>
      <c r="CS72" s="30"/>
      <c r="CT72" s="30"/>
      <c r="CU72" s="30"/>
      <c r="CV72" s="30"/>
      <c r="CW72" s="30"/>
      <c r="CX72" s="30"/>
      <c r="CY72" s="30"/>
      <c r="CZ72" s="30"/>
      <c r="DA72" s="30"/>
    </row>
    <row r="73" spans="1:105" ht="19.2" thickTop="1" thickBot="1" x14ac:dyDescent="0.4">
      <c r="A73" s="30"/>
      <c r="B73" s="30"/>
      <c r="C73" s="188" t="s">
        <v>665</v>
      </c>
      <c r="D73" s="187" t="s">
        <v>662</v>
      </c>
      <c r="E73" s="35" t="str">
        <f>_xlfn.XLOOKUP(Tabella4[[#This Row],[NOME]],'ROSE SQUADRE'!$N$3:$N$253,'ROSE SQUADRE'!$O$3:$O$253,"")</f>
        <v/>
      </c>
      <c r="F73" s="36" t="s">
        <v>161</v>
      </c>
      <c r="G73" s="43">
        <v>2</v>
      </c>
      <c r="H73" s="43">
        <v>2</v>
      </c>
      <c r="I73" s="44">
        <f t="shared" si="7"/>
        <v>0</v>
      </c>
      <c r="J73" s="37">
        <f t="shared" si="8"/>
        <v>0</v>
      </c>
      <c r="K73" s="178">
        <f t="shared" si="9"/>
        <v>0</v>
      </c>
      <c r="L73" s="178">
        <f t="shared" si="10"/>
        <v>0</v>
      </c>
      <c r="M73" s="179">
        <f t="shared" si="11"/>
        <v>0</v>
      </c>
      <c r="N73" s="45">
        <f t="shared" ca="1" si="6"/>
        <v>0</v>
      </c>
      <c r="O73" s="40">
        <f>SUMIF(Tabella1[Nome],Tabella4[[#This Row],[NOME]],Tabella1[Gf])</f>
        <v>0</v>
      </c>
      <c r="P73" s="40">
        <f>-(SUMIF(Tabella1[Nome],Tabella4[[#This Row],[NOME]],Tabella1[Gs]))</f>
        <v>0</v>
      </c>
      <c r="Q73" s="40">
        <f>SUMIF(Tabella1[Nome],Tabella4[[#This Row],[NOME]],Tabella1[Rp])</f>
        <v>0</v>
      </c>
      <c r="R73" s="40">
        <f>SUMIF(Tabella1[Nome],Tabella4[[#This Row],[NOME]],Tabella1[Rs])</f>
        <v>0</v>
      </c>
      <c r="S73" s="40">
        <f>SUMIF(Tabella1[Nome],Tabella4[[#This Row],[NOME]],Tabella1[Rf])</f>
        <v>0</v>
      </c>
      <c r="T73" s="40">
        <f>SUMIF(Tabella1[Nome],Tabella4[[#This Row],[NOME]],Tabella1[Au])</f>
        <v>0</v>
      </c>
      <c r="U73" s="41">
        <f>SUMIF(Tabella1[Nome],Tabella4[[#This Row],[NOME]],Tabella1[Amm])</f>
        <v>0</v>
      </c>
      <c r="V73" s="42">
        <f>SUMIF(Tabella1[Nome],Tabella4[[#This Row],[NOME]],Tabella1[Esp])</f>
        <v>0</v>
      </c>
      <c r="W73" s="40">
        <f>SUMIF(Tabella1[Nome],Tabella4[[#This Row],[NOME]],Tabella1[Ass])</f>
        <v>0</v>
      </c>
      <c r="X73" s="40">
        <f>SUMIF(Tabella1[Nome],Tabella4[[#This Row],[NOME]],Tabella1[Gdv])</f>
        <v>0</v>
      </c>
      <c r="Y73" s="40">
        <f>SUMIF(Tabella1[Nome],Tabella4[[#This Row],[NOME]],Tabella1[cl sh])</f>
        <v>0</v>
      </c>
      <c r="Z73" s="270" t="str">
        <f>_xlfn.IFNA(_xlfn.XLOOKUP(CONCATENATE(Z$4,$C73),Tabella1[CONC X VOTI IN TAB GIOC],Tabella1[Voto],""),"")</f>
        <v/>
      </c>
      <c r="AA73" s="270" t="str">
        <f>_xlfn.IFNA(_xlfn.XLOOKUP(CONCATENATE(AA$4,$C73),Tabella1[CONC X VOTI IN TAB GIOC],Tabella1[Voto],""),"")</f>
        <v/>
      </c>
      <c r="AB73" s="270" t="str">
        <f>_xlfn.IFNA(_xlfn.XLOOKUP(CONCATENATE(AB$4,$C73),Tabella1[CONC X VOTI IN TAB GIOC],Tabella1[Voto]),"")</f>
        <v/>
      </c>
      <c r="AC73" s="270" t="str" cm="1">
        <f t="array" ref="AC73">_xlfn.IFNA(_xlfn.XLOOKUP(CONCATENATE(AC$4,$C73),INDEX(Tabella1[],0,MATCH("CONC X VOTI IN TAB GIOC",Tabella1[#Headers],0)),INDEX(Tabella1[],0,MATCH("Voto",Tabella1[#Headers],0))),"")</f>
        <v/>
      </c>
      <c r="AD73" s="270" t="str">
        <f>_xlfn.IFNA(_xlfn.XLOOKUP(CONCATENATE(AD$4,$C73),Tabella1[CONC X VOTI IN TAB GIOC],Tabella1[Voto]),"")</f>
        <v/>
      </c>
      <c r="AE73" s="270" t="str">
        <f>_xlfn.IFNA(VLOOKUP(CONCATENATE(AE$4,$C73),'INSER DATA'!$A:$F,6,0),"")</f>
        <v/>
      </c>
      <c r="AF73" s="270" t="str">
        <f>_xlfn.IFNA(VLOOKUP(CONCATENATE(AF$4,$C73),'INSER DATA'!$A:$F,6,0),"")</f>
        <v/>
      </c>
      <c r="AG73" s="270" t="str">
        <f>_xlfn.IFNA(VLOOKUP(CONCATENATE(AG$4,$C73),'INSER DATA'!$A:$F,6,0),"")</f>
        <v/>
      </c>
      <c r="AH73" s="270" t="str">
        <f>_xlfn.IFNA(VLOOKUP(CONCATENATE(AH$4,$C73),'INSER DATA'!$A:$F,7,0),"")</f>
        <v/>
      </c>
      <c r="AI73" s="270" t="str">
        <f>_xlfn.IFNA(VLOOKUP(CONCATENATE(AI$4,$C73),'INSER DATA'!$A:$F,7,0),"")</f>
        <v/>
      </c>
      <c r="AJ73" s="270" t="str">
        <f>_xlfn.IFNA(VLOOKUP(CONCATENATE(AJ$4,$C73),'INSER DATA'!$A:$F,7,0),"")</f>
        <v/>
      </c>
      <c r="AK73" s="270" t="str">
        <f>_xlfn.IFNA(VLOOKUP(CONCATENATE(AK$4,$C73),'INSER DATA'!$A:$F,7,0),"")</f>
        <v/>
      </c>
      <c r="AL73" s="270" t="str">
        <f>_xlfn.IFNA(VLOOKUP(CONCATENATE(AL$4,$C73),'INSER DATA'!$A:$F,7,0),"")</f>
        <v/>
      </c>
      <c r="AM73" s="270" t="str">
        <f>_xlfn.IFNA(VLOOKUP(CONCATENATE(AM$4,$C73),'INSER DATA'!$A:$F,7,0),"")</f>
        <v/>
      </c>
      <c r="AN73" s="270" t="str">
        <f>_xlfn.IFNA(VLOOKUP(CONCATENATE(AN$4,$C73),'INSER DATA'!$A:$F,7,0),"")</f>
        <v/>
      </c>
      <c r="AO73" s="270" t="str">
        <f>_xlfn.IFNA(VLOOKUP(CONCATENATE(AO$4,$C73),'INSER DATA'!$A:$F,7,0),"")</f>
        <v/>
      </c>
      <c r="AP73" s="270" t="str">
        <f>_xlfn.IFNA(VLOOKUP(CONCATENATE(AP$4,$C73),'INSER DATA'!$A:$F,7,0),"")</f>
        <v/>
      </c>
      <c r="AQ73" s="270" t="str">
        <f>_xlfn.IFNA(VLOOKUP(CONCATENATE(AQ$4,$C73),'INSER DATA'!$A:$F,7,0),"")</f>
        <v/>
      </c>
      <c r="AR73" s="270" t="str">
        <f>_xlfn.IFNA(VLOOKUP(CONCATENATE(AR$4,$C73),'INSER DATA'!$A:$F,7,0),"")</f>
        <v/>
      </c>
      <c r="AS73" s="270" t="str">
        <f>_xlfn.IFNA(VLOOKUP(CONCATENATE(AS$4,$C73),'INSER DATA'!$A:$F,7,0),"")</f>
        <v/>
      </c>
      <c r="AT73" s="270" t="str">
        <f>_xlfn.IFNA(VLOOKUP(CONCATENATE(AT$4,$C73),'INSER DATA'!$A:$F,7,0),"")</f>
        <v/>
      </c>
      <c r="AU73" s="270" t="str">
        <f>_xlfn.IFNA(VLOOKUP(CONCATENATE(AU$4,$C73),'INSER DATA'!$A:$F,7,0),"")</f>
        <v/>
      </c>
      <c r="AV73" s="270" t="str">
        <f>_xlfn.IFNA(VLOOKUP(CONCATENATE(AV$4,$C73),'INSER DATA'!$A:$F,7,0),"")</f>
        <v/>
      </c>
      <c r="AW73" s="270" t="str">
        <f>_xlfn.IFNA(VLOOKUP(CONCATENATE(AW$4,$C73),'INSER DATA'!$A:$F,7,0),"")</f>
        <v/>
      </c>
      <c r="AX73" s="270" t="str">
        <f>_xlfn.IFNA(VLOOKUP(CONCATENATE(AX$4,$C73),'INSER DATA'!$A:$F,7,0),"")</f>
        <v/>
      </c>
      <c r="AY73" s="270" t="str">
        <f>_xlfn.IFNA(VLOOKUP(CONCATENATE(AY$4,$C73),'INSER DATA'!$A:$F,7,0),"")</f>
        <v/>
      </c>
      <c r="AZ73" s="270" t="str">
        <f>_xlfn.IFNA(VLOOKUP(CONCATENATE(AZ$4,$C73),'INSER DATA'!$A:$F,7,0),"")</f>
        <v/>
      </c>
      <c r="BA73" s="270" t="str">
        <f>_xlfn.IFNA(VLOOKUP(CONCATENATE(BA$4,$C73),'INSER DATA'!$A:$F,7,0),"")</f>
        <v/>
      </c>
      <c r="BB73" s="270" t="str">
        <f>_xlfn.IFNA(VLOOKUP(CONCATENATE(BB$4,$C73),'INSER DATA'!$A:$F,7,0),"")</f>
        <v/>
      </c>
      <c r="BC73" s="270" t="str">
        <f>_xlfn.IFNA(VLOOKUP(CONCATENATE(BC$4,$C73),'INSER DATA'!$A:$F,7,0),"")</f>
        <v/>
      </c>
      <c r="BD73" s="270" t="str">
        <f>_xlfn.IFNA(VLOOKUP(CONCATENATE(BD$4,$C73),'INSER DATA'!$A:$F,7,0),"")</f>
        <v/>
      </c>
      <c r="BE73" s="270" t="str">
        <f>_xlfn.IFNA(VLOOKUP(CONCATENATE(BE$4,$C73),'INSER DATA'!$A:$F,7,0),"")</f>
        <v/>
      </c>
      <c r="BF73" s="270" t="str">
        <f>_xlfn.IFNA(VLOOKUP(CONCATENATE(BF$4,$C73),'INSER DATA'!$A:$F,7,0),"")</f>
        <v/>
      </c>
      <c r="BG73" s="270" t="str">
        <f>_xlfn.IFNA(VLOOKUP(CONCATENATE(BG$4,$C73),'INSER DATA'!$A:$F,7,0),"")</f>
        <v/>
      </c>
      <c r="BH73" s="270" t="str">
        <f>_xlfn.IFNA(VLOOKUP(CONCATENATE(BH$4,$C73),'INSER DATA'!$A:$F,7,0),"")</f>
        <v/>
      </c>
      <c r="BI73" s="270" t="str">
        <f>_xlfn.IFNA(VLOOKUP(CONCATENATE(BI$4,$C73),'INSER DATA'!$A:$F,7,0),"")</f>
        <v/>
      </c>
      <c r="BJ73" s="270" t="str">
        <f>_xlfn.IFNA(VLOOKUP(CONCATENATE(BJ$4,$C73),'INSER DATA'!$A:$F,7,0),"")</f>
        <v/>
      </c>
      <c r="BK73" s="270" t="str">
        <f>_xlfn.IFNA(VLOOKUP(CONCATENATE(BK$4,$C73),'INSER DATA'!$A:$F,7,0),"")</f>
        <v/>
      </c>
      <c r="BL73" s="272"/>
      <c r="BM73" s="30"/>
      <c r="BN73" s="30"/>
      <c r="BO73" s="30"/>
      <c r="BP73" s="30"/>
      <c r="BQ73" s="30"/>
      <c r="BR73" s="30"/>
      <c r="BS73" s="30"/>
      <c r="BT73" s="30"/>
      <c r="BU73" s="30"/>
      <c r="BV73" s="30"/>
      <c r="BW73" s="30"/>
      <c r="BX73" s="30"/>
      <c r="BY73" s="30"/>
      <c r="BZ73" s="30"/>
      <c r="CA73" s="30"/>
      <c r="CB73" s="30"/>
      <c r="CC73" s="30"/>
      <c r="CD73" s="30"/>
      <c r="CE73" s="30"/>
      <c r="CF73" s="30"/>
      <c r="CG73" s="30"/>
      <c r="CH73" s="30"/>
      <c r="CI73" s="30"/>
      <c r="CJ73" s="30"/>
      <c r="CK73" s="30"/>
      <c r="CL73" s="30"/>
      <c r="CM73" s="30"/>
      <c r="CN73" s="30"/>
      <c r="CO73" s="30"/>
      <c r="CP73" s="30"/>
      <c r="CQ73" s="30"/>
      <c r="CR73" s="30"/>
      <c r="CS73" s="30"/>
      <c r="CT73" s="30"/>
      <c r="CU73" s="30"/>
      <c r="CV73" s="30"/>
      <c r="CW73" s="30"/>
      <c r="CX73" s="30"/>
      <c r="CY73" s="30"/>
      <c r="CZ73" s="30"/>
      <c r="DA73" s="30"/>
    </row>
    <row r="74" spans="1:105" ht="19.2" thickTop="1" thickBot="1" x14ac:dyDescent="0.4">
      <c r="A74" s="30"/>
      <c r="B74" s="30"/>
      <c r="C74" s="185" t="s">
        <v>666</v>
      </c>
      <c r="D74" s="187" t="s">
        <v>662</v>
      </c>
      <c r="E74" s="35" t="str">
        <f>_xlfn.XLOOKUP(Tabella4[[#This Row],[NOME]],'ROSE SQUADRE'!$N$3:$N$253,'ROSE SQUADRE'!$O$3:$O$253,"")</f>
        <v/>
      </c>
      <c r="F74" s="36" t="s">
        <v>161</v>
      </c>
      <c r="G74" s="43">
        <v>3</v>
      </c>
      <c r="H74" s="43">
        <v>3</v>
      </c>
      <c r="I74" s="44">
        <f t="shared" si="7"/>
        <v>0</v>
      </c>
      <c r="J74" s="37">
        <f t="shared" si="8"/>
        <v>0</v>
      </c>
      <c r="K74" s="38">
        <f t="shared" si="9"/>
        <v>0</v>
      </c>
      <c r="L74" s="38">
        <f t="shared" si="10"/>
        <v>0</v>
      </c>
      <c r="M74" s="39">
        <f t="shared" si="11"/>
        <v>0</v>
      </c>
      <c r="N74" s="45">
        <f ca="1">ContaCellePerColore(Z71:BK71,$C$3)</f>
        <v>0</v>
      </c>
      <c r="O74" s="40">
        <f>SUMIF(Tabella1[Nome],Tabella4[[#This Row],[NOME]],Tabella1[Gf])</f>
        <v>0</v>
      </c>
      <c r="P74" s="40">
        <f>-(SUMIF(Tabella1[Nome],Tabella4[[#This Row],[NOME]],Tabella1[Gs]))</f>
        <v>0</v>
      </c>
      <c r="Q74" s="40">
        <f>SUMIF(Tabella1[Nome],Tabella4[[#This Row],[NOME]],Tabella1[Rp])</f>
        <v>0</v>
      </c>
      <c r="R74" s="40">
        <f>SUMIF(Tabella1[Nome],Tabella4[[#This Row],[NOME]],Tabella1[Rs])</f>
        <v>0</v>
      </c>
      <c r="S74" s="40">
        <f>SUMIF(Tabella1[Nome],Tabella4[[#This Row],[NOME]],Tabella1[Rf])</f>
        <v>0</v>
      </c>
      <c r="T74" s="40">
        <f>SUMIF(Tabella1[Nome],Tabella4[[#This Row],[NOME]],Tabella1[Au])</f>
        <v>0</v>
      </c>
      <c r="U74" s="41">
        <f>SUMIF(Tabella1[Nome],Tabella4[[#This Row],[NOME]],Tabella1[Amm])</f>
        <v>0</v>
      </c>
      <c r="V74" s="42">
        <f>SUMIF(Tabella1[Nome],Tabella4[[#This Row],[NOME]],Tabella1[Esp])</f>
        <v>0</v>
      </c>
      <c r="W74" s="40">
        <f>SUMIF(Tabella1[Nome],Tabella4[[#This Row],[NOME]],Tabella1[Ass])</f>
        <v>0</v>
      </c>
      <c r="X74" s="40">
        <f>SUMIF(Tabella1[Nome],Tabella4[[#This Row],[NOME]],Tabella1[Gdv])</f>
        <v>0</v>
      </c>
      <c r="Y74" s="40">
        <f>SUMIF(Tabella1[Nome],Tabella4[[#This Row],[NOME]],Tabella1[cl sh])</f>
        <v>0</v>
      </c>
      <c r="Z74" s="270" t="str">
        <f>_xlfn.IFNA(_xlfn.XLOOKUP(CONCATENATE(Z$4,$C74),Tabella1[CONC X VOTI IN TAB GIOC],Tabella1[Voto],""),"")</f>
        <v/>
      </c>
      <c r="AA74" s="270" t="str">
        <f>_xlfn.IFNA(_xlfn.XLOOKUP(CONCATENATE(AA$4,$C74),Tabella1[CONC X VOTI IN TAB GIOC],Tabella1[Voto],""),"")</f>
        <v/>
      </c>
      <c r="AB74" s="270" t="str">
        <f>_xlfn.IFNA(_xlfn.XLOOKUP(CONCATENATE(AB$4,$C74),Tabella1[CONC X VOTI IN TAB GIOC],Tabella1[Voto]),"")</f>
        <v/>
      </c>
      <c r="AC74" s="270" t="str" cm="1">
        <f t="array" ref="AC74">_xlfn.IFNA(_xlfn.XLOOKUP(CONCATENATE(AC$4,$C74),INDEX(Tabella1[],0,MATCH("CONC X VOTI IN TAB GIOC",Tabella1[#Headers],0)),INDEX(Tabella1[],0,MATCH("Voto",Tabella1[#Headers],0))),"")</f>
        <v/>
      </c>
      <c r="AD74" s="270" t="str">
        <f>_xlfn.IFNA(_xlfn.XLOOKUP(CONCATENATE(AD$4,$C74),Tabella1[CONC X VOTI IN TAB GIOC],Tabella1[Voto]),"")</f>
        <v/>
      </c>
      <c r="AE74" s="270" t="str">
        <f>_xlfn.IFNA(VLOOKUP(CONCATENATE(AE$4,$C74),'INSER DATA'!$A:$F,6,0),"")</f>
        <v/>
      </c>
      <c r="AF74" s="270" t="str">
        <f>_xlfn.IFNA(VLOOKUP(CONCATENATE(AF$4,$C74),'INSER DATA'!$A:$F,6,0),"")</f>
        <v/>
      </c>
      <c r="AG74" s="270" t="str">
        <f>_xlfn.IFNA(VLOOKUP(CONCATENATE(AG$4,$C74),'INSER DATA'!$A:$F,6,0),"")</f>
        <v/>
      </c>
      <c r="AH74" s="270" t="str">
        <f>_xlfn.IFNA(VLOOKUP(CONCATENATE(AH$4,$C74),'INSER DATA'!$A:$F,7,0),"")</f>
        <v/>
      </c>
      <c r="AI74" s="270" t="str">
        <f>_xlfn.IFNA(VLOOKUP(CONCATENATE(AI$4,$C74),'INSER DATA'!$A:$F,7,0),"")</f>
        <v/>
      </c>
      <c r="AJ74" s="270" t="str">
        <f>_xlfn.IFNA(VLOOKUP(CONCATENATE(AJ$4,$C74),'INSER DATA'!$A:$F,7,0),"")</f>
        <v/>
      </c>
      <c r="AK74" s="270" t="str">
        <f>_xlfn.IFNA(VLOOKUP(CONCATENATE(AK$4,$C74),'INSER DATA'!$A:$F,7,0),"")</f>
        <v/>
      </c>
      <c r="AL74" s="270" t="str">
        <f>_xlfn.IFNA(VLOOKUP(CONCATENATE(AL$4,$C74),'INSER DATA'!$A:$F,7,0),"")</f>
        <v/>
      </c>
      <c r="AM74" s="270" t="str">
        <f>_xlfn.IFNA(VLOOKUP(CONCATENATE(AM$4,$C74),'INSER DATA'!$A:$F,7,0),"")</f>
        <v/>
      </c>
      <c r="AN74" s="270" t="str">
        <f>_xlfn.IFNA(VLOOKUP(CONCATENATE(AN$4,$C74),'INSER DATA'!$A:$F,7,0),"")</f>
        <v/>
      </c>
      <c r="AO74" s="270" t="str">
        <f>_xlfn.IFNA(VLOOKUP(CONCATENATE(AO$4,$C74),'INSER DATA'!$A:$F,7,0),"")</f>
        <v/>
      </c>
      <c r="AP74" s="270" t="str">
        <f>_xlfn.IFNA(VLOOKUP(CONCATENATE(AP$4,$C74),'INSER DATA'!$A:$F,7,0),"")</f>
        <v/>
      </c>
      <c r="AQ74" s="270" t="str">
        <f>_xlfn.IFNA(VLOOKUP(CONCATENATE(AQ$4,$C74),'INSER DATA'!$A:$F,7,0),"")</f>
        <v/>
      </c>
      <c r="AR74" s="270" t="str">
        <f>_xlfn.IFNA(VLOOKUP(CONCATENATE(AR$4,$C74),'INSER DATA'!$A:$F,7,0),"")</f>
        <v/>
      </c>
      <c r="AS74" s="270" t="str">
        <f>_xlfn.IFNA(VLOOKUP(CONCATENATE(AS$4,$C74),'INSER DATA'!$A:$F,7,0),"")</f>
        <v/>
      </c>
      <c r="AT74" s="270" t="str">
        <f>_xlfn.IFNA(VLOOKUP(CONCATENATE(AT$4,$C74),'INSER DATA'!$A:$F,7,0),"")</f>
        <v/>
      </c>
      <c r="AU74" s="270" t="str">
        <f>_xlfn.IFNA(VLOOKUP(CONCATENATE(AU$4,$C74),'INSER DATA'!$A:$F,7,0),"")</f>
        <v/>
      </c>
      <c r="AV74" s="270" t="str">
        <f>_xlfn.IFNA(VLOOKUP(CONCATENATE(AV$4,$C74),'INSER DATA'!$A:$F,7,0),"")</f>
        <v/>
      </c>
      <c r="AW74" s="270" t="str">
        <f>_xlfn.IFNA(VLOOKUP(CONCATENATE(AW$4,$C74),'INSER DATA'!$A:$F,7,0),"")</f>
        <v/>
      </c>
      <c r="AX74" s="270" t="str">
        <f>_xlfn.IFNA(VLOOKUP(CONCATENATE(AX$4,$C74),'INSER DATA'!$A:$F,7,0),"")</f>
        <v/>
      </c>
      <c r="AY74" s="270" t="str">
        <f>_xlfn.IFNA(VLOOKUP(CONCATENATE(AY$4,$C74),'INSER DATA'!$A:$F,7,0),"")</f>
        <v/>
      </c>
      <c r="AZ74" s="270" t="str">
        <f>_xlfn.IFNA(VLOOKUP(CONCATENATE(AZ$4,$C74),'INSER DATA'!$A:$F,7,0),"")</f>
        <v/>
      </c>
      <c r="BA74" s="270" t="str">
        <f>_xlfn.IFNA(VLOOKUP(CONCATENATE(BA$4,$C74),'INSER DATA'!$A:$F,7,0),"")</f>
        <v/>
      </c>
      <c r="BB74" s="270" t="str">
        <f>_xlfn.IFNA(VLOOKUP(CONCATENATE(BB$4,$C74),'INSER DATA'!$A:$F,7,0),"")</f>
        <v/>
      </c>
      <c r="BC74" s="270" t="str">
        <f>_xlfn.IFNA(VLOOKUP(CONCATENATE(BC$4,$C74),'INSER DATA'!$A:$F,7,0),"")</f>
        <v/>
      </c>
      <c r="BD74" s="270" t="str">
        <f>_xlfn.IFNA(VLOOKUP(CONCATENATE(BD$4,$C74),'INSER DATA'!$A:$F,7,0),"")</f>
        <v/>
      </c>
      <c r="BE74" s="270" t="str">
        <f>_xlfn.IFNA(VLOOKUP(CONCATENATE(BE$4,$C74),'INSER DATA'!$A:$F,7,0),"")</f>
        <v/>
      </c>
      <c r="BF74" s="270" t="str">
        <f>_xlfn.IFNA(VLOOKUP(CONCATENATE(BF$4,$C74),'INSER DATA'!$A:$F,7,0),"")</f>
        <v/>
      </c>
      <c r="BG74" s="270" t="str">
        <f>_xlfn.IFNA(VLOOKUP(CONCATENATE(BG$4,$C74),'INSER DATA'!$A:$F,7,0),"")</f>
        <v/>
      </c>
      <c r="BH74" s="270" t="str">
        <f>_xlfn.IFNA(VLOOKUP(CONCATENATE(BH$4,$C74),'INSER DATA'!$A:$F,7,0),"")</f>
        <v/>
      </c>
      <c r="BI74" s="270" t="str">
        <f>_xlfn.IFNA(VLOOKUP(CONCATENATE(BI$4,$C74),'INSER DATA'!$A:$F,7,0),"")</f>
        <v/>
      </c>
      <c r="BJ74" s="270" t="str">
        <f>_xlfn.IFNA(VLOOKUP(CONCATENATE(BJ$4,$C74),'INSER DATA'!$A:$F,7,0),"")</f>
        <v/>
      </c>
      <c r="BK74" s="270" t="str">
        <f>_xlfn.IFNA(VLOOKUP(CONCATENATE(BK$4,$C74),'INSER DATA'!$A:$F,7,0),"")</f>
        <v/>
      </c>
      <c r="BL74" s="272"/>
      <c r="BM74" s="30"/>
      <c r="BN74" s="30"/>
      <c r="BO74" s="30"/>
      <c r="BP74" s="30"/>
      <c r="BQ74" s="30"/>
      <c r="BR74" s="30"/>
      <c r="BS74" s="30"/>
      <c r="BT74" s="30"/>
      <c r="BU74" s="30"/>
      <c r="BV74" s="30"/>
      <c r="BW74" s="30"/>
      <c r="BX74" s="30"/>
      <c r="BY74" s="30"/>
      <c r="BZ74" s="30"/>
      <c r="CA74" s="30"/>
      <c r="CB74" s="30"/>
      <c r="CC74" s="30"/>
      <c r="CD74" s="30"/>
      <c r="CE74" s="30"/>
      <c r="CF74" s="30"/>
      <c r="CG74" s="30"/>
      <c r="CH74" s="30"/>
      <c r="CI74" s="30"/>
      <c r="CJ74" s="30"/>
      <c r="CK74" s="30"/>
      <c r="CL74" s="30"/>
      <c r="CM74" s="30"/>
      <c r="CN74" s="30"/>
      <c r="CO74" s="30"/>
      <c r="CP74" s="30"/>
      <c r="CQ74" s="30"/>
      <c r="CR74" s="30"/>
      <c r="CS74" s="30"/>
      <c r="CT74" s="30"/>
      <c r="CU74" s="30"/>
      <c r="CV74" s="30"/>
      <c r="CW74" s="30"/>
      <c r="CX74" s="30"/>
      <c r="CY74" s="30"/>
      <c r="CZ74" s="30"/>
      <c r="DA74" s="30"/>
    </row>
    <row r="75" spans="1:105" ht="19.2" thickTop="1" thickBot="1" x14ac:dyDescent="0.4">
      <c r="A75" s="30"/>
      <c r="B75" s="30"/>
      <c r="C75" s="356" t="s">
        <v>607</v>
      </c>
      <c r="D75" s="355" t="s">
        <v>662</v>
      </c>
      <c r="E75" s="35" t="str">
        <f>_xlfn.XLOOKUP(Tabella4[[#This Row],[NOME]],'ROSE SQUADRE'!$N$3:$N$253,'ROSE SQUADRE'!$O$3:$O$253,"")</f>
        <v>PESCICULINI</v>
      </c>
      <c r="F75" s="36" t="s">
        <v>161</v>
      </c>
      <c r="G75" s="43"/>
      <c r="H75" s="43"/>
      <c r="I75" s="44">
        <f t="shared" si="7"/>
        <v>0</v>
      </c>
      <c r="J75" s="37">
        <f t="shared" si="8"/>
        <v>0</v>
      </c>
      <c r="K75" s="178">
        <f t="shared" si="9"/>
        <v>0</v>
      </c>
      <c r="L75" s="178">
        <f t="shared" si="10"/>
        <v>0</v>
      </c>
      <c r="M75" s="179">
        <f t="shared" si="11"/>
        <v>0</v>
      </c>
      <c r="N75" s="45">
        <f t="shared" ref="N75:N138" ca="1" si="12">ContaCellePerColore(Z75:BK75,$C$3)</f>
        <v>0</v>
      </c>
      <c r="O75" s="40">
        <f>SUMIF(Tabella1[Nome],Tabella4[[#This Row],[NOME]],Tabella1[Gf])</f>
        <v>0</v>
      </c>
      <c r="P75" s="40">
        <f>-(SUMIF(Tabella1[Nome],Tabella4[[#This Row],[NOME]],Tabella1[Gs]))</f>
        <v>0</v>
      </c>
      <c r="Q75" s="40">
        <f>SUMIF(Tabella1[Nome],Tabella4[[#This Row],[NOME]],Tabella1[Rp])</f>
        <v>0</v>
      </c>
      <c r="R75" s="40">
        <f>SUMIF(Tabella1[Nome],Tabella4[[#This Row],[NOME]],Tabella1[Rs])</f>
        <v>0</v>
      </c>
      <c r="S75" s="40">
        <f>SUMIF(Tabella1[Nome],Tabella4[[#This Row],[NOME]],Tabella1[Rf])</f>
        <v>0</v>
      </c>
      <c r="T75" s="40">
        <f>SUMIF(Tabella1[Nome],Tabella4[[#This Row],[NOME]],Tabella1[Au])</f>
        <v>0</v>
      </c>
      <c r="U75" s="41">
        <f>SUMIF(Tabella1[Nome],Tabella4[[#This Row],[NOME]],Tabella1[Amm])</f>
        <v>0</v>
      </c>
      <c r="V75" s="42">
        <f>SUMIF(Tabella1[Nome],Tabella4[[#This Row],[NOME]],Tabella1[Esp])</f>
        <v>0</v>
      </c>
      <c r="W75" s="40">
        <f>SUMIF(Tabella1[Nome],Tabella4[[#This Row],[NOME]],Tabella1[Ass])</f>
        <v>0</v>
      </c>
      <c r="X75" s="40">
        <f>SUMIF(Tabella1[Nome],Tabella4[[#This Row],[NOME]],Tabella1[Gdv])</f>
        <v>0</v>
      </c>
      <c r="Y75" s="40">
        <f>SUMIF(Tabella1[Nome],Tabella4[[#This Row],[NOME]],Tabella1[cl sh])</f>
        <v>0</v>
      </c>
      <c r="Z75" s="270" t="str">
        <f>_xlfn.IFNA(_xlfn.XLOOKUP(CONCATENATE(Z$4,$C75),Tabella1[CONC X VOTI IN TAB GIOC],Tabella1[Voto],""),"")</f>
        <v/>
      </c>
      <c r="AA75" s="270" t="str">
        <f>_xlfn.IFNA(_xlfn.XLOOKUP(CONCATENATE(AA$4,$C75),Tabella1[CONC X VOTI IN TAB GIOC],Tabella1[Voto],""),"")</f>
        <v/>
      </c>
      <c r="AB75" s="270" t="str">
        <f>_xlfn.IFNA(_xlfn.XLOOKUP(CONCATENATE(AB$4,$C75),Tabella1[CONC X VOTI IN TAB GIOC],Tabella1[Voto]),"")</f>
        <v/>
      </c>
      <c r="AC75" s="270" t="str" cm="1">
        <f t="array" ref="AC75">_xlfn.IFNA(_xlfn.XLOOKUP(CONCATENATE(AC$4,$C75),INDEX(Tabella1[],0,MATCH("CONC X VOTI IN TAB GIOC",Tabella1[#Headers],0)),INDEX(Tabella1[],0,MATCH("Voto",Tabella1[#Headers],0))),"")</f>
        <v/>
      </c>
      <c r="AD75" s="270" t="str">
        <f>_xlfn.IFNA(_xlfn.XLOOKUP(CONCATENATE(AD$4,$C75),Tabella1[CONC X VOTI IN TAB GIOC],Tabella1[Voto]),"")</f>
        <v/>
      </c>
      <c r="AE75" s="270" t="str">
        <f>_xlfn.IFNA(VLOOKUP(CONCATENATE(AE$4,$C75),'INSER DATA'!$A:$F,6,0),"")</f>
        <v/>
      </c>
      <c r="AF75" s="270" t="str">
        <f>_xlfn.IFNA(VLOOKUP(CONCATENATE(AF$4,$C75),'INSER DATA'!$A:$F,6,0),"")</f>
        <v/>
      </c>
      <c r="AG75" s="270" t="str">
        <f>_xlfn.IFNA(VLOOKUP(CONCATENATE(AG$4,$C75),'INSER DATA'!$A:$F,6,0),"")</f>
        <v/>
      </c>
      <c r="AH75" s="270" t="str">
        <f>_xlfn.IFNA(VLOOKUP(CONCATENATE(AH$4,$C75),'INSER DATA'!$A:$F,7,0),"")</f>
        <v/>
      </c>
      <c r="AI75" s="270" t="str">
        <f>_xlfn.IFNA(VLOOKUP(CONCATENATE(AI$4,$C75),'INSER DATA'!$A:$F,7,0),"")</f>
        <v/>
      </c>
      <c r="AJ75" s="270" t="str">
        <f>_xlfn.IFNA(VLOOKUP(CONCATENATE(AJ$4,$C75),'INSER DATA'!$A:$F,7,0),"")</f>
        <v/>
      </c>
      <c r="AK75" s="270" t="str">
        <f>_xlfn.IFNA(VLOOKUP(CONCATENATE(AK$4,$C75),'INSER DATA'!$A:$F,7,0),"")</f>
        <v/>
      </c>
      <c r="AL75" s="270" t="str">
        <f>_xlfn.IFNA(VLOOKUP(CONCATENATE(AL$4,$C75),'INSER DATA'!$A:$F,7,0),"")</f>
        <v/>
      </c>
      <c r="AM75" s="270" t="str">
        <f>_xlfn.IFNA(VLOOKUP(CONCATENATE(AM$4,$C75),'INSER DATA'!$A:$F,7,0),"")</f>
        <v/>
      </c>
      <c r="AN75" s="270" t="str">
        <f>_xlfn.IFNA(VLOOKUP(CONCATENATE(AN$4,$C75),'INSER DATA'!$A:$F,7,0),"")</f>
        <v/>
      </c>
      <c r="AO75" s="270" t="str">
        <f>_xlfn.IFNA(VLOOKUP(CONCATENATE(AO$4,$C75),'INSER DATA'!$A:$F,7,0),"")</f>
        <v/>
      </c>
      <c r="AP75" s="270" t="str">
        <f>_xlfn.IFNA(VLOOKUP(CONCATENATE(AP$4,$C75),'INSER DATA'!$A:$F,7,0),"")</f>
        <v/>
      </c>
      <c r="AQ75" s="270" t="str">
        <f>_xlfn.IFNA(VLOOKUP(CONCATENATE(AQ$4,$C75),'INSER DATA'!$A:$F,7,0),"")</f>
        <v/>
      </c>
      <c r="AR75" s="270" t="str">
        <f>_xlfn.IFNA(VLOOKUP(CONCATENATE(AR$4,$C75),'INSER DATA'!$A:$F,7,0),"")</f>
        <v/>
      </c>
      <c r="AS75" s="270" t="str">
        <f>_xlfn.IFNA(VLOOKUP(CONCATENATE(AS$4,$C75),'INSER DATA'!$A:$F,7,0),"")</f>
        <v/>
      </c>
      <c r="AT75" s="270" t="str">
        <f>_xlfn.IFNA(VLOOKUP(CONCATENATE(AT$4,$C75),'INSER DATA'!$A:$F,7,0),"")</f>
        <v/>
      </c>
      <c r="AU75" s="270" t="str">
        <f>_xlfn.IFNA(VLOOKUP(CONCATENATE(AU$4,$C75),'INSER DATA'!$A:$F,7,0),"")</f>
        <v/>
      </c>
      <c r="AV75" s="270" t="str">
        <f>_xlfn.IFNA(VLOOKUP(CONCATENATE(AV$4,$C75),'INSER DATA'!$A:$F,7,0),"")</f>
        <v/>
      </c>
      <c r="AW75" s="270" t="str">
        <f>_xlfn.IFNA(VLOOKUP(CONCATENATE(AW$4,$C75),'INSER DATA'!$A:$F,7,0),"")</f>
        <v/>
      </c>
      <c r="AX75" s="270" t="str">
        <f>_xlfn.IFNA(VLOOKUP(CONCATENATE(AX$4,$C75),'INSER DATA'!$A:$F,7,0),"")</f>
        <v/>
      </c>
      <c r="AY75" s="270" t="str">
        <f>_xlfn.IFNA(VLOOKUP(CONCATENATE(AY$4,$C75),'INSER DATA'!$A:$F,7,0),"")</f>
        <v/>
      </c>
      <c r="AZ75" s="270" t="str">
        <f>_xlfn.IFNA(VLOOKUP(CONCATENATE(AZ$4,$C75),'INSER DATA'!$A:$F,7,0),"")</f>
        <v/>
      </c>
      <c r="BA75" s="270" t="str">
        <f>_xlfn.IFNA(VLOOKUP(CONCATENATE(BA$4,$C75),'INSER DATA'!$A:$F,7,0),"")</f>
        <v/>
      </c>
      <c r="BB75" s="270" t="str">
        <f>_xlfn.IFNA(VLOOKUP(CONCATENATE(BB$4,$C75),'INSER DATA'!$A:$F,7,0),"")</f>
        <v/>
      </c>
      <c r="BC75" s="270" t="str">
        <f>_xlfn.IFNA(VLOOKUP(CONCATENATE(BC$4,$C75),'INSER DATA'!$A:$F,7,0),"")</f>
        <v/>
      </c>
      <c r="BD75" s="270" t="str">
        <f>_xlfn.IFNA(VLOOKUP(CONCATENATE(BD$4,$C75),'INSER DATA'!$A:$F,7,0),"")</f>
        <v/>
      </c>
      <c r="BE75" s="270" t="str">
        <f>_xlfn.IFNA(VLOOKUP(CONCATENATE(BE$4,$C75),'INSER DATA'!$A:$F,7,0),"")</f>
        <v/>
      </c>
      <c r="BF75" s="270" t="str">
        <f>_xlfn.IFNA(VLOOKUP(CONCATENATE(BF$4,$C75),'INSER DATA'!$A:$F,7,0),"")</f>
        <v/>
      </c>
      <c r="BG75" s="270" t="str">
        <f>_xlfn.IFNA(VLOOKUP(CONCATENATE(BG$4,$C75),'INSER DATA'!$A:$F,7,0),"")</f>
        <v/>
      </c>
      <c r="BH75" s="270" t="str">
        <f>_xlfn.IFNA(VLOOKUP(CONCATENATE(BH$4,$C75),'INSER DATA'!$A:$F,7,0),"")</f>
        <v/>
      </c>
      <c r="BI75" s="270" t="str">
        <f>_xlfn.IFNA(VLOOKUP(CONCATENATE(BI$4,$C75),'INSER DATA'!$A:$F,7,0),"")</f>
        <v/>
      </c>
      <c r="BJ75" s="270" t="str">
        <f>_xlfn.IFNA(VLOOKUP(CONCATENATE(BJ$4,$C75),'INSER DATA'!$A:$F,7,0),"")</f>
        <v/>
      </c>
      <c r="BK75" s="270" t="str">
        <f>_xlfn.IFNA(VLOOKUP(CONCATENATE(BK$4,$C75),'INSER DATA'!$A:$F,7,0),"")</f>
        <v/>
      </c>
      <c r="BL75" s="272"/>
      <c r="BM75" s="30"/>
      <c r="BN75" s="30"/>
      <c r="BO75" s="30"/>
      <c r="BP75" s="30"/>
      <c r="BQ75" s="30"/>
      <c r="BR75" s="30"/>
      <c r="BS75" s="30"/>
      <c r="BT75" s="30"/>
      <c r="BU75" s="30"/>
      <c r="BV75" s="30"/>
      <c r="BW75" s="30"/>
      <c r="BX75" s="30"/>
      <c r="BY75" s="30"/>
      <c r="BZ75" s="30"/>
      <c r="CA75" s="30"/>
      <c r="CB75" s="30"/>
      <c r="CC75" s="30"/>
      <c r="CD75" s="30"/>
      <c r="CE75" s="30"/>
      <c r="CF75" s="30"/>
      <c r="CG75" s="30"/>
      <c r="CH75" s="30"/>
      <c r="CI75" s="30"/>
      <c r="CJ75" s="30"/>
      <c r="CK75" s="30"/>
      <c r="CL75" s="30"/>
      <c r="CM75" s="30"/>
      <c r="CN75" s="30"/>
      <c r="CO75" s="30"/>
      <c r="CP75" s="30"/>
      <c r="CQ75" s="30"/>
      <c r="CR75" s="30"/>
      <c r="CS75" s="30"/>
      <c r="CT75" s="30"/>
      <c r="CU75" s="30"/>
      <c r="CV75" s="30"/>
      <c r="CW75" s="30"/>
      <c r="CX75" s="30"/>
      <c r="CY75" s="30"/>
      <c r="CZ75" s="30"/>
      <c r="DA75" s="30"/>
    </row>
    <row r="76" spans="1:105" ht="19.2" thickTop="1" thickBot="1" x14ac:dyDescent="0.4">
      <c r="A76" s="30"/>
      <c r="B76" s="30"/>
      <c r="C76" s="188" t="s">
        <v>672</v>
      </c>
      <c r="D76" s="46" t="s">
        <v>662</v>
      </c>
      <c r="E76" s="35" t="str">
        <f>_xlfn.XLOOKUP(Tabella4[[#This Row],[NOME]],'ROSE SQUADRE'!$N$3:$N$253,'ROSE SQUADRE'!$O$3:$O$253,"")</f>
        <v/>
      </c>
      <c r="F76" s="36" t="s">
        <v>162</v>
      </c>
      <c r="G76" s="43">
        <v>1</v>
      </c>
      <c r="H76" s="197">
        <v>1</v>
      </c>
      <c r="I76" s="44">
        <f t="shared" si="7"/>
        <v>0</v>
      </c>
      <c r="J76" s="37">
        <f t="shared" si="8"/>
        <v>0</v>
      </c>
      <c r="K76" s="38">
        <f t="shared" si="9"/>
        <v>0</v>
      </c>
      <c r="L76" s="38">
        <f t="shared" si="10"/>
        <v>0</v>
      </c>
      <c r="M76" s="39">
        <f t="shared" si="11"/>
        <v>0</v>
      </c>
      <c r="N76" s="45">
        <f t="shared" ca="1" si="12"/>
        <v>0</v>
      </c>
      <c r="O76" s="40">
        <f>SUMIF(Tabella1[Nome],Tabella4[[#This Row],[NOME]],Tabella1[Gf])</f>
        <v>0</v>
      </c>
      <c r="P76" s="40">
        <f>-(SUMIF(Tabella1[Nome],Tabella4[[#This Row],[NOME]],Tabella1[Gs]))</f>
        <v>0</v>
      </c>
      <c r="Q76" s="40">
        <f>SUMIF(Tabella1[Nome],Tabella4[[#This Row],[NOME]],Tabella1[Rp])</f>
        <v>0</v>
      </c>
      <c r="R76" s="40">
        <f>SUMIF(Tabella1[Nome],Tabella4[[#This Row],[NOME]],Tabella1[Rs])</f>
        <v>0</v>
      </c>
      <c r="S76" s="40">
        <f>SUMIF(Tabella1[Nome],Tabella4[[#This Row],[NOME]],Tabella1[Rf])</f>
        <v>0</v>
      </c>
      <c r="T76" s="40">
        <f>SUMIF(Tabella1[Nome],Tabella4[[#This Row],[NOME]],Tabella1[Au])</f>
        <v>0</v>
      </c>
      <c r="U76" s="41">
        <f>SUMIF(Tabella1[Nome],Tabella4[[#This Row],[NOME]],Tabella1[Amm])</f>
        <v>0</v>
      </c>
      <c r="V76" s="42">
        <f>SUMIF(Tabella1[Nome],Tabella4[[#This Row],[NOME]],Tabella1[Esp])</f>
        <v>0</v>
      </c>
      <c r="W76" s="40">
        <f>SUMIF(Tabella1[Nome],Tabella4[[#This Row],[NOME]],Tabella1[Ass])</f>
        <v>0</v>
      </c>
      <c r="X76" s="40">
        <f>SUMIF(Tabella1[Nome],Tabella4[[#This Row],[NOME]],Tabella1[Gdv])</f>
        <v>0</v>
      </c>
      <c r="Y76" s="40">
        <f>SUMIF(Tabella1[Nome],Tabella4[[#This Row],[NOME]],Tabella1[cl sh])</f>
        <v>0</v>
      </c>
      <c r="Z76" s="270" t="str">
        <f>_xlfn.IFNA(_xlfn.XLOOKUP(CONCATENATE(Z$4,$C76),Tabella1[CONC X VOTI IN TAB GIOC],Tabella1[Voto],""),"")</f>
        <v/>
      </c>
      <c r="AA76" s="270" t="str">
        <f>_xlfn.IFNA(_xlfn.XLOOKUP(CONCATENATE(AA$4,$C76),Tabella1[CONC X VOTI IN TAB GIOC],Tabella1[Voto],""),"")</f>
        <v/>
      </c>
      <c r="AB76" s="270" t="str">
        <f>_xlfn.IFNA(_xlfn.XLOOKUP(CONCATENATE(AB$4,$C76),Tabella1[CONC X VOTI IN TAB GIOC],Tabella1[Voto]),"")</f>
        <v/>
      </c>
      <c r="AC76" s="270" t="str" cm="1">
        <f t="array" ref="AC76">_xlfn.IFNA(_xlfn.XLOOKUP(CONCATENATE(AC$4,$C76),INDEX(Tabella1[],0,MATCH("CONC X VOTI IN TAB GIOC",Tabella1[#Headers],0)),INDEX(Tabella1[],0,MATCH("Voto",Tabella1[#Headers],0))),"")</f>
        <v/>
      </c>
      <c r="AD76" s="270" t="str">
        <f>_xlfn.IFNA(_xlfn.XLOOKUP(CONCATENATE(AD$4,$C76),Tabella1[CONC X VOTI IN TAB GIOC],Tabella1[Voto]),"")</f>
        <v/>
      </c>
      <c r="AE76" s="270" t="str">
        <f>_xlfn.IFNA(VLOOKUP(CONCATENATE(AE$4,$C76),'INSER DATA'!$A:$F,6,0),"")</f>
        <v/>
      </c>
      <c r="AF76" s="270" t="str">
        <f>_xlfn.IFNA(VLOOKUP(CONCATENATE(AF$4,$C76),'INSER DATA'!$A:$F,6,0),"")</f>
        <v/>
      </c>
      <c r="AG76" s="270" t="str">
        <f>_xlfn.IFNA(VLOOKUP(CONCATENATE(AG$4,$C76),'INSER DATA'!$A:$F,6,0),"")</f>
        <v/>
      </c>
      <c r="AH76" s="270" t="str">
        <f>_xlfn.IFNA(VLOOKUP(CONCATENATE(AH$4,$C76),'INSER DATA'!$A:$F,7,0),"")</f>
        <v/>
      </c>
      <c r="AI76" s="270" t="str">
        <f>_xlfn.IFNA(VLOOKUP(CONCATENATE(AI$4,$C76),'INSER DATA'!$A:$F,7,0),"")</f>
        <v/>
      </c>
      <c r="AJ76" s="270" t="str">
        <f>_xlfn.IFNA(VLOOKUP(CONCATENATE(AJ$4,$C76),'INSER DATA'!$A:$F,7,0),"")</f>
        <v/>
      </c>
      <c r="AK76" s="270" t="str">
        <f>_xlfn.IFNA(VLOOKUP(CONCATENATE(AK$4,$C76),'INSER DATA'!$A:$F,7,0),"")</f>
        <v/>
      </c>
      <c r="AL76" s="270" t="str">
        <f>_xlfn.IFNA(VLOOKUP(CONCATENATE(AL$4,$C76),'INSER DATA'!$A:$F,7,0),"")</f>
        <v/>
      </c>
      <c r="AM76" s="270" t="str">
        <f>_xlfn.IFNA(VLOOKUP(CONCATENATE(AM$4,$C76),'INSER DATA'!$A:$F,7,0),"")</f>
        <v/>
      </c>
      <c r="AN76" s="270" t="str">
        <f>_xlfn.IFNA(VLOOKUP(CONCATENATE(AN$4,$C76),'INSER DATA'!$A:$F,7,0),"")</f>
        <v/>
      </c>
      <c r="AO76" s="270" t="str">
        <f>_xlfn.IFNA(VLOOKUP(CONCATENATE(AO$4,$C76),'INSER DATA'!$A:$F,7,0),"")</f>
        <v/>
      </c>
      <c r="AP76" s="270" t="str">
        <f>_xlfn.IFNA(VLOOKUP(CONCATENATE(AP$4,$C76),'INSER DATA'!$A:$F,7,0),"")</f>
        <v/>
      </c>
      <c r="AQ76" s="270" t="str">
        <f>_xlfn.IFNA(VLOOKUP(CONCATENATE(AQ$4,$C76),'INSER DATA'!$A:$F,7,0),"")</f>
        <v/>
      </c>
      <c r="AR76" s="270" t="str">
        <f>_xlfn.IFNA(VLOOKUP(CONCATENATE(AR$4,$C76),'INSER DATA'!$A:$F,7,0),"")</f>
        <v/>
      </c>
      <c r="AS76" s="270" t="str">
        <f>_xlfn.IFNA(VLOOKUP(CONCATENATE(AS$4,$C76),'INSER DATA'!$A:$F,7,0),"")</f>
        <v/>
      </c>
      <c r="AT76" s="270" t="str">
        <f>_xlfn.IFNA(VLOOKUP(CONCATENATE(AT$4,$C76),'INSER DATA'!$A:$F,7,0),"")</f>
        <v/>
      </c>
      <c r="AU76" s="270" t="str">
        <f>_xlfn.IFNA(VLOOKUP(CONCATENATE(AU$4,$C76),'INSER DATA'!$A:$F,7,0),"")</f>
        <v/>
      </c>
      <c r="AV76" s="270" t="str">
        <f>_xlfn.IFNA(VLOOKUP(CONCATENATE(AV$4,$C76),'INSER DATA'!$A:$F,7,0),"")</f>
        <v/>
      </c>
      <c r="AW76" s="270" t="str">
        <f>_xlfn.IFNA(VLOOKUP(CONCATENATE(AW$4,$C76),'INSER DATA'!$A:$F,7,0),"")</f>
        <v/>
      </c>
      <c r="AX76" s="270" t="str">
        <f>_xlfn.IFNA(VLOOKUP(CONCATENATE(AX$4,$C76),'INSER DATA'!$A:$F,7,0),"")</f>
        <v/>
      </c>
      <c r="AY76" s="270" t="str">
        <f>_xlfn.IFNA(VLOOKUP(CONCATENATE(AY$4,$C76),'INSER DATA'!$A:$F,7,0),"")</f>
        <v/>
      </c>
      <c r="AZ76" s="270" t="str">
        <f>_xlfn.IFNA(VLOOKUP(CONCATENATE(AZ$4,$C76),'INSER DATA'!$A:$F,7,0),"")</f>
        <v/>
      </c>
      <c r="BA76" s="270" t="str">
        <f>_xlfn.IFNA(VLOOKUP(CONCATENATE(BA$4,$C76),'INSER DATA'!$A:$F,7,0),"")</f>
        <v/>
      </c>
      <c r="BB76" s="270" t="str">
        <f>_xlfn.IFNA(VLOOKUP(CONCATENATE(BB$4,$C76),'INSER DATA'!$A:$F,7,0),"")</f>
        <v/>
      </c>
      <c r="BC76" s="270" t="str">
        <f>_xlfn.IFNA(VLOOKUP(CONCATENATE(BC$4,$C76),'INSER DATA'!$A:$F,7,0),"")</f>
        <v/>
      </c>
      <c r="BD76" s="270" t="str">
        <f>_xlfn.IFNA(VLOOKUP(CONCATENATE(BD$4,$C76),'INSER DATA'!$A:$F,7,0),"")</f>
        <v/>
      </c>
      <c r="BE76" s="270" t="str">
        <f>_xlfn.IFNA(VLOOKUP(CONCATENATE(BE$4,$C76),'INSER DATA'!$A:$F,7,0),"")</f>
        <v/>
      </c>
      <c r="BF76" s="270" t="str">
        <f>_xlfn.IFNA(VLOOKUP(CONCATENATE(BF$4,$C76),'INSER DATA'!$A:$F,7,0),"")</f>
        <v/>
      </c>
      <c r="BG76" s="270" t="str">
        <f>_xlfn.IFNA(VLOOKUP(CONCATENATE(BG$4,$C76),'INSER DATA'!$A:$F,7,0),"")</f>
        <v/>
      </c>
      <c r="BH76" s="270" t="str">
        <f>_xlfn.IFNA(VLOOKUP(CONCATENATE(BH$4,$C76),'INSER DATA'!$A:$F,7,0),"")</f>
        <v/>
      </c>
      <c r="BI76" s="270" t="str">
        <f>_xlfn.IFNA(VLOOKUP(CONCATENATE(BI$4,$C76),'INSER DATA'!$A:$F,7,0),"")</f>
        <v/>
      </c>
      <c r="BJ76" s="270" t="str">
        <f>_xlfn.IFNA(VLOOKUP(CONCATENATE(BJ$4,$C76),'INSER DATA'!$A:$F,7,0),"")</f>
        <v/>
      </c>
      <c r="BK76" s="270" t="str">
        <f>_xlfn.IFNA(VLOOKUP(CONCATENATE(BK$4,$C76),'INSER DATA'!$A:$F,7,0),"")</f>
        <v/>
      </c>
      <c r="BL76" s="272"/>
      <c r="BM76" s="30"/>
      <c r="BN76" s="30"/>
      <c r="BO76" s="30"/>
      <c r="BP76" s="30"/>
      <c r="BQ76" s="30"/>
      <c r="BR76" s="30"/>
      <c r="BS76" s="30"/>
      <c r="BT76" s="30"/>
      <c r="BU76" s="30"/>
      <c r="BV76" s="30"/>
      <c r="BW76" s="30"/>
      <c r="BX76" s="30"/>
      <c r="BY76" s="30"/>
      <c r="BZ76" s="30"/>
      <c r="CA76" s="30"/>
      <c r="CB76" s="30"/>
      <c r="CC76" s="30"/>
      <c r="CD76" s="30"/>
      <c r="CE76" s="30"/>
      <c r="CF76" s="30"/>
      <c r="CG76" s="30"/>
      <c r="CH76" s="30"/>
      <c r="CI76" s="30"/>
      <c r="CJ76" s="30"/>
      <c r="CK76" s="30"/>
      <c r="CL76" s="30"/>
      <c r="CM76" s="30"/>
      <c r="CN76" s="30"/>
      <c r="CO76" s="30"/>
      <c r="CP76" s="30"/>
      <c r="CQ76" s="30"/>
      <c r="CR76" s="30"/>
      <c r="CS76" s="30"/>
      <c r="CT76" s="30"/>
      <c r="CU76" s="30"/>
      <c r="CV76" s="30"/>
      <c r="CW76" s="30"/>
      <c r="CX76" s="30"/>
      <c r="CY76" s="30"/>
      <c r="CZ76" s="30"/>
      <c r="DA76" s="30"/>
    </row>
    <row r="77" spans="1:105" ht="19.2" thickTop="1" thickBot="1" x14ac:dyDescent="0.4">
      <c r="A77" s="30"/>
      <c r="B77" s="30"/>
      <c r="C77" s="356" t="s">
        <v>525</v>
      </c>
      <c r="D77" s="357" t="s">
        <v>662</v>
      </c>
      <c r="E77" s="35" t="str">
        <f>_xlfn.XLOOKUP(Tabella4[[#This Row],[NOME]],'ROSE SQUADRE'!$N$3:$N$253,'ROSE SQUADRE'!$O$3:$O$253,"")</f>
        <v>SHARK</v>
      </c>
      <c r="F77" s="36" t="s">
        <v>163</v>
      </c>
      <c r="G77" s="43">
        <v>13</v>
      </c>
      <c r="H77" s="43">
        <v>13</v>
      </c>
      <c r="I77" s="44">
        <f t="shared" si="7"/>
        <v>0</v>
      </c>
      <c r="J77" s="37">
        <f t="shared" si="8"/>
        <v>1</v>
      </c>
      <c r="K77" s="178">
        <f t="shared" si="9"/>
        <v>7.5</v>
      </c>
      <c r="L77" s="178">
        <f t="shared" si="10"/>
        <v>10.5</v>
      </c>
      <c r="M77" s="179">
        <f t="shared" si="11"/>
        <v>10.5</v>
      </c>
      <c r="N77" s="45">
        <f t="shared" ca="1" si="12"/>
        <v>0</v>
      </c>
      <c r="O77" s="40">
        <f>SUMIF(Tabella1[Nome],Tabella4[[#This Row],[NOME]],Tabella1[Gf])</f>
        <v>1</v>
      </c>
      <c r="P77" s="40">
        <f>-(SUMIF(Tabella1[Nome],Tabella4[[#This Row],[NOME]],Tabella1[Gs]))</f>
        <v>0</v>
      </c>
      <c r="Q77" s="40">
        <f>SUMIF(Tabella1[Nome],Tabella4[[#This Row],[NOME]],Tabella1[Rp])</f>
        <v>0</v>
      </c>
      <c r="R77" s="40">
        <f>SUMIF(Tabella1[Nome],Tabella4[[#This Row],[NOME]],Tabella1[Rs])</f>
        <v>0</v>
      </c>
      <c r="S77" s="40">
        <f>SUMIF(Tabella1[Nome],Tabella4[[#This Row],[NOME]],Tabella1[Rf])</f>
        <v>0</v>
      </c>
      <c r="T77" s="40">
        <f>SUMIF(Tabella1[Nome],Tabella4[[#This Row],[NOME]],Tabella1[Au])</f>
        <v>0</v>
      </c>
      <c r="U77" s="41">
        <f>SUMIF(Tabella1[Nome],Tabella4[[#This Row],[NOME]],Tabella1[Amm])</f>
        <v>0</v>
      </c>
      <c r="V77" s="42">
        <f>SUMIF(Tabella1[Nome],Tabella4[[#This Row],[NOME]],Tabella1[Esp])</f>
        <v>0</v>
      </c>
      <c r="W77" s="40">
        <f>SUMIF(Tabella1[Nome],Tabella4[[#This Row],[NOME]],Tabella1[Ass])</f>
        <v>0</v>
      </c>
      <c r="X77" s="40">
        <f>SUMIF(Tabella1[Nome],Tabella4[[#This Row],[NOME]],Tabella1[Gdv])</f>
        <v>0</v>
      </c>
      <c r="Y77" s="40">
        <f>SUMIF(Tabella1[Nome],Tabella4[[#This Row],[NOME]],Tabella1[cl sh])</f>
        <v>0</v>
      </c>
      <c r="Z77" s="270" t="str">
        <f>_xlfn.IFNA(_xlfn.XLOOKUP(CONCATENATE(Z$4,$C77),Tabella1[CONC X VOTI IN TAB GIOC],Tabella1[Voto],""),"")</f>
        <v/>
      </c>
      <c r="AA77" s="270" t="str">
        <f>_xlfn.IFNA(_xlfn.XLOOKUP(CONCATENATE(AA$4,$C77),Tabella1[CONC X VOTI IN TAB GIOC],Tabella1[Voto],""),"")</f>
        <v/>
      </c>
      <c r="AB77" s="270" t="str">
        <f>_xlfn.IFNA(_xlfn.XLOOKUP(CONCATENATE(AB$4,$C77),Tabella1[CONC X VOTI IN TAB GIOC],Tabella1[Voto]),"")</f>
        <v/>
      </c>
      <c r="AC77" s="270" cm="1">
        <f t="array" ref="AC77">_xlfn.IFNA(_xlfn.XLOOKUP(CONCATENATE(AC$4,$C77),INDEX(Tabella1[],0,MATCH("CONC X VOTI IN TAB GIOC",Tabella1[#Headers],0)),INDEX(Tabella1[],0,MATCH("Voto",Tabella1[#Headers],0))),"")</f>
        <v>7.5</v>
      </c>
      <c r="AD77" s="270" t="str">
        <f>_xlfn.IFNA(_xlfn.XLOOKUP(CONCATENATE(AD$4,$C77),Tabella1[CONC X VOTI IN TAB GIOC],Tabella1[Voto]),"")</f>
        <v/>
      </c>
      <c r="AE77" s="270" t="str">
        <f>_xlfn.IFNA(VLOOKUP(CONCATENATE(AE$4,$C77),'INSER DATA'!$A:$F,6,0),"")</f>
        <v/>
      </c>
      <c r="AF77" s="270" t="str">
        <f>_xlfn.IFNA(VLOOKUP(CONCATENATE(AF$4,$C77),'INSER DATA'!$A:$F,6,0),"")</f>
        <v/>
      </c>
      <c r="AG77" s="270" t="str">
        <f>_xlfn.IFNA(VLOOKUP(CONCATENATE(AG$4,$C77),'INSER DATA'!$A:$F,6,0),"")</f>
        <v/>
      </c>
      <c r="AH77" s="270" t="str">
        <f>_xlfn.IFNA(VLOOKUP(CONCATENATE(AH$4,$C77),'INSER DATA'!$A:$F,7,0),"")</f>
        <v/>
      </c>
      <c r="AI77" s="270" t="str">
        <f>_xlfn.IFNA(VLOOKUP(CONCATENATE(AI$4,$C77),'INSER DATA'!$A:$F,7,0),"")</f>
        <v/>
      </c>
      <c r="AJ77" s="270" t="str">
        <f>_xlfn.IFNA(VLOOKUP(CONCATENATE(AJ$4,$C77),'INSER DATA'!$A:$F,7,0),"")</f>
        <v/>
      </c>
      <c r="AK77" s="270" t="str">
        <f>_xlfn.IFNA(VLOOKUP(CONCATENATE(AK$4,$C77),'INSER DATA'!$A:$F,7,0),"")</f>
        <v/>
      </c>
      <c r="AL77" s="270" t="str">
        <f>_xlfn.IFNA(VLOOKUP(CONCATENATE(AL$4,$C77),'INSER DATA'!$A:$F,7,0),"")</f>
        <v/>
      </c>
      <c r="AM77" s="270" t="str">
        <f>_xlfn.IFNA(VLOOKUP(CONCATENATE(AM$4,$C77),'INSER DATA'!$A:$F,7,0),"")</f>
        <v/>
      </c>
      <c r="AN77" s="270" t="str">
        <f>_xlfn.IFNA(VLOOKUP(CONCATENATE(AN$4,$C77),'INSER DATA'!$A:$F,7,0),"")</f>
        <v/>
      </c>
      <c r="AO77" s="270" t="str">
        <f>_xlfn.IFNA(VLOOKUP(CONCATENATE(AO$4,$C77),'INSER DATA'!$A:$F,7,0),"")</f>
        <v/>
      </c>
      <c r="AP77" s="270" t="str">
        <f>_xlfn.IFNA(VLOOKUP(CONCATENATE(AP$4,$C77),'INSER DATA'!$A:$F,7,0),"")</f>
        <v/>
      </c>
      <c r="AQ77" s="270" t="str">
        <f>_xlfn.IFNA(VLOOKUP(CONCATENATE(AQ$4,$C77),'INSER DATA'!$A:$F,7,0),"")</f>
        <v/>
      </c>
      <c r="AR77" s="270" t="str">
        <f>_xlfn.IFNA(VLOOKUP(CONCATENATE(AR$4,$C77),'INSER DATA'!$A:$F,7,0),"")</f>
        <v/>
      </c>
      <c r="AS77" s="270" t="str">
        <f>_xlfn.IFNA(VLOOKUP(CONCATENATE(AS$4,$C77),'INSER DATA'!$A:$F,7,0),"")</f>
        <v/>
      </c>
      <c r="AT77" s="270" t="str">
        <f>_xlfn.IFNA(VLOOKUP(CONCATENATE(AT$4,$C77),'INSER DATA'!$A:$F,7,0),"")</f>
        <v/>
      </c>
      <c r="AU77" s="270" t="str">
        <f>_xlfn.IFNA(VLOOKUP(CONCATENATE(AU$4,$C77),'INSER DATA'!$A:$F,7,0),"")</f>
        <v/>
      </c>
      <c r="AV77" s="270" t="str">
        <f>_xlfn.IFNA(VLOOKUP(CONCATENATE(AV$4,$C77),'INSER DATA'!$A:$F,7,0),"")</f>
        <v/>
      </c>
      <c r="AW77" s="270" t="str">
        <f>_xlfn.IFNA(VLOOKUP(CONCATENATE(AW$4,$C77),'INSER DATA'!$A:$F,7,0),"")</f>
        <v/>
      </c>
      <c r="AX77" s="270" t="str">
        <f>_xlfn.IFNA(VLOOKUP(CONCATENATE(AX$4,$C77),'INSER DATA'!$A:$F,7,0),"")</f>
        <v/>
      </c>
      <c r="AY77" s="270" t="str">
        <f>_xlfn.IFNA(VLOOKUP(CONCATENATE(AY$4,$C77),'INSER DATA'!$A:$F,7,0),"")</f>
        <v/>
      </c>
      <c r="AZ77" s="270" t="str">
        <f>_xlfn.IFNA(VLOOKUP(CONCATENATE(AZ$4,$C77),'INSER DATA'!$A:$F,7,0),"")</f>
        <v/>
      </c>
      <c r="BA77" s="270" t="str">
        <f>_xlfn.IFNA(VLOOKUP(CONCATENATE(BA$4,$C77),'INSER DATA'!$A:$F,7,0),"")</f>
        <v/>
      </c>
      <c r="BB77" s="270" t="str">
        <f>_xlfn.IFNA(VLOOKUP(CONCATENATE(BB$4,$C77),'INSER DATA'!$A:$F,7,0),"")</f>
        <v/>
      </c>
      <c r="BC77" s="270" t="str">
        <f>_xlfn.IFNA(VLOOKUP(CONCATENATE(BC$4,$C77),'INSER DATA'!$A:$F,7,0),"")</f>
        <v/>
      </c>
      <c r="BD77" s="270" t="str">
        <f>_xlfn.IFNA(VLOOKUP(CONCATENATE(BD$4,$C77),'INSER DATA'!$A:$F,7,0),"")</f>
        <v/>
      </c>
      <c r="BE77" s="270" t="str">
        <f>_xlfn.IFNA(VLOOKUP(CONCATENATE(BE$4,$C77),'INSER DATA'!$A:$F,7,0),"")</f>
        <v/>
      </c>
      <c r="BF77" s="270" t="str">
        <f>_xlfn.IFNA(VLOOKUP(CONCATENATE(BF$4,$C77),'INSER DATA'!$A:$F,7,0),"")</f>
        <v/>
      </c>
      <c r="BG77" s="270" t="str">
        <f>_xlfn.IFNA(VLOOKUP(CONCATENATE(BG$4,$C77),'INSER DATA'!$A:$F,7,0),"")</f>
        <v/>
      </c>
      <c r="BH77" s="270" t="str">
        <f>_xlfn.IFNA(VLOOKUP(CONCATENATE(BH$4,$C77),'INSER DATA'!$A:$F,7,0),"")</f>
        <v/>
      </c>
      <c r="BI77" s="270" t="str">
        <f>_xlfn.IFNA(VLOOKUP(CONCATENATE(BI$4,$C77),'INSER DATA'!$A:$F,7,0),"")</f>
        <v/>
      </c>
      <c r="BJ77" s="270" t="str">
        <f>_xlfn.IFNA(VLOOKUP(CONCATENATE(BJ$4,$C77),'INSER DATA'!$A:$F,7,0),"")</f>
        <v/>
      </c>
      <c r="BK77" s="270" t="str">
        <f>_xlfn.IFNA(VLOOKUP(CONCATENATE(BK$4,$C77),'INSER DATA'!$A:$F,7,0),"")</f>
        <v/>
      </c>
      <c r="BL77" s="272"/>
      <c r="BM77" s="30"/>
      <c r="BN77" s="30"/>
      <c r="BO77" s="30"/>
      <c r="BP77" s="30"/>
      <c r="BQ77" s="30"/>
      <c r="BR77" s="30"/>
      <c r="BS77" s="30"/>
      <c r="BT77" s="30"/>
      <c r="BU77" s="30"/>
      <c r="BV77" s="30"/>
      <c r="BW77" s="30"/>
      <c r="BX77" s="30"/>
      <c r="BY77" s="30"/>
      <c r="BZ77" s="30"/>
      <c r="CA77" s="30"/>
      <c r="CB77" s="30"/>
      <c r="CC77" s="30"/>
      <c r="CD77" s="30"/>
      <c r="CE77" s="30"/>
      <c r="CF77" s="30"/>
      <c r="CG77" s="30"/>
      <c r="CH77" s="30"/>
      <c r="CI77" s="30"/>
      <c r="CJ77" s="30"/>
      <c r="CK77" s="30"/>
      <c r="CL77" s="30"/>
      <c r="CM77" s="30"/>
      <c r="CN77" s="30"/>
      <c r="CO77" s="30"/>
      <c r="CP77" s="30"/>
      <c r="CQ77" s="30"/>
      <c r="CR77" s="30"/>
      <c r="CS77" s="30"/>
      <c r="CT77" s="30"/>
      <c r="CU77" s="30"/>
      <c r="CV77" s="30"/>
      <c r="CW77" s="30"/>
      <c r="CX77" s="30"/>
      <c r="CY77" s="30"/>
      <c r="CZ77" s="30"/>
      <c r="DA77" s="30"/>
    </row>
    <row r="78" spans="1:105" s="184" customFormat="1" ht="19.2" thickTop="1" thickBot="1" x14ac:dyDescent="0.4">
      <c r="C78" s="185" t="s">
        <v>678</v>
      </c>
      <c r="D78" s="46" t="s">
        <v>662</v>
      </c>
      <c r="E78" s="35" t="str">
        <f>_xlfn.XLOOKUP(Tabella4[[#This Row],[NOME]],'ROSE SQUADRE'!$N$3:$N$253,'ROSE SQUADRE'!$O$3:$O$253,"")</f>
        <v/>
      </c>
      <c r="F78" s="36" t="s">
        <v>163</v>
      </c>
      <c r="G78" s="43">
        <v>6</v>
      </c>
      <c r="H78" s="43">
        <v>6</v>
      </c>
      <c r="I78" s="44">
        <f t="shared" si="7"/>
        <v>0</v>
      </c>
      <c r="J78" s="37">
        <f t="shared" si="8"/>
        <v>0</v>
      </c>
      <c r="K78" s="38">
        <f t="shared" si="9"/>
        <v>0</v>
      </c>
      <c r="L78" s="38">
        <f t="shared" si="10"/>
        <v>0</v>
      </c>
      <c r="M78" s="39">
        <f t="shared" si="11"/>
        <v>0</v>
      </c>
      <c r="N78" s="45">
        <f t="shared" ca="1" si="12"/>
        <v>0</v>
      </c>
      <c r="O78" s="40">
        <f>SUMIF(Tabella1[Nome],Tabella4[[#This Row],[NOME]],Tabella1[Gf])</f>
        <v>0</v>
      </c>
      <c r="P78" s="40">
        <f>-(SUMIF(Tabella1[Nome],Tabella4[[#This Row],[NOME]],Tabella1[Gs]))</f>
        <v>0</v>
      </c>
      <c r="Q78" s="40">
        <f>SUMIF(Tabella1[Nome],Tabella4[[#This Row],[NOME]],Tabella1[Rp])</f>
        <v>0</v>
      </c>
      <c r="R78" s="40">
        <f>SUMIF(Tabella1[Nome],Tabella4[[#This Row],[NOME]],Tabella1[Rs])</f>
        <v>0</v>
      </c>
      <c r="S78" s="40">
        <f>SUMIF(Tabella1[Nome],Tabella4[[#This Row],[NOME]],Tabella1[Rf])</f>
        <v>0</v>
      </c>
      <c r="T78" s="40">
        <f>SUMIF(Tabella1[Nome],Tabella4[[#This Row],[NOME]],Tabella1[Au])</f>
        <v>0</v>
      </c>
      <c r="U78" s="41">
        <f>SUMIF(Tabella1[Nome],Tabella4[[#This Row],[NOME]],Tabella1[Amm])</f>
        <v>0</v>
      </c>
      <c r="V78" s="42">
        <f>SUMIF(Tabella1[Nome],Tabella4[[#This Row],[NOME]],Tabella1[Esp])</f>
        <v>0</v>
      </c>
      <c r="W78" s="40">
        <f>SUMIF(Tabella1[Nome],Tabella4[[#This Row],[NOME]],Tabella1[Ass])</f>
        <v>0</v>
      </c>
      <c r="X78" s="40">
        <f>SUMIF(Tabella1[Nome],Tabella4[[#This Row],[NOME]],Tabella1[Gdv])</f>
        <v>0</v>
      </c>
      <c r="Y78" s="40">
        <f>SUMIF(Tabella1[Nome],Tabella4[[#This Row],[NOME]],Tabella1[cl sh])</f>
        <v>0</v>
      </c>
      <c r="Z78" s="270" t="str">
        <f>_xlfn.IFNA(_xlfn.XLOOKUP(CONCATENATE(Z$4,$C78),Tabella1[CONC X VOTI IN TAB GIOC],Tabella1[Voto],""),"")</f>
        <v/>
      </c>
      <c r="AA78" s="270" t="str">
        <f>_xlfn.IFNA(_xlfn.XLOOKUP(CONCATENATE(AA$4,$C78),Tabella1[CONC X VOTI IN TAB GIOC],Tabella1[Voto],""),"")</f>
        <v/>
      </c>
      <c r="AB78" s="270" t="str">
        <f>_xlfn.IFNA(_xlfn.XLOOKUP(CONCATENATE(AB$4,$C78),Tabella1[CONC X VOTI IN TAB GIOC],Tabella1[Voto]),"")</f>
        <v/>
      </c>
      <c r="AC78" s="270" t="str" cm="1">
        <f t="array" ref="AC78">_xlfn.IFNA(_xlfn.XLOOKUP(CONCATENATE(AC$4,$C78),INDEX(Tabella1[],0,MATCH("CONC X VOTI IN TAB GIOC",Tabella1[#Headers],0)),INDEX(Tabella1[],0,MATCH("Voto",Tabella1[#Headers],0))),"")</f>
        <v/>
      </c>
      <c r="AD78" s="270" t="str">
        <f>_xlfn.IFNA(_xlfn.XLOOKUP(CONCATENATE(AD$4,$C78),Tabella1[CONC X VOTI IN TAB GIOC],Tabella1[Voto]),"")</f>
        <v/>
      </c>
      <c r="AE78" s="270" t="str">
        <f>_xlfn.IFNA(VLOOKUP(CONCATENATE(AE$4,$C78),'INSER DATA'!$A:$F,6,0),"")</f>
        <v/>
      </c>
      <c r="AF78" s="270" t="str">
        <f>_xlfn.IFNA(VLOOKUP(CONCATENATE(AF$4,$C78),'INSER DATA'!$A:$F,6,0),"")</f>
        <v/>
      </c>
      <c r="AG78" s="270" t="str">
        <f>_xlfn.IFNA(VLOOKUP(CONCATENATE(AG$4,$C78),'INSER DATA'!$A:$F,6,0),"")</f>
        <v/>
      </c>
      <c r="AH78" s="270" t="str">
        <f>_xlfn.IFNA(VLOOKUP(CONCATENATE(AH$4,$C78),'INSER DATA'!$A:$F,7,0),"")</f>
        <v/>
      </c>
      <c r="AI78" s="270" t="str">
        <f>_xlfn.IFNA(VLOOKUP(CONCATENATE(AI$4,$C78),'INSER DATA'!$A:$F,7,0),"")</f>
        <v/>
      </c>
      <c r="AJ78" s="270" t="str">
        <f>_xlfn.IFNA(VLOOKUP(CONCATENATE(AJ$4,$C78),'INSER DATA'!$A:$F,7,0),"")</f>
        <v/>
      </c>
      <c r="AK78" s="270" t="str">
        <f>_xlfn.IFNA(VLOOKUP(CONCATENATE(AK$4,$C78),'INSER DATA'!$A:$F,7,0),"")</f>
        <v/>
      </c>
      <c r="AL78" s="270" t="str">
        <f>_xlfn.IFNA(VLOOKUP(CONCATENATE(AL$4,$C78),'INSER DATA'!$A:$F,7,0),"")</f>
        <v/>
      </c>
      <c r="AM78" s="270" t="str">
        <f>_xlfn.IFNA(VLOOKUP(CONCATENATE(AM$4,$C78),'INSER DATA'!$A:$F,7,0),"")</f>
        <v/>
      </c>
      <c r="AN78" s="270" t="str">
        <f>_xlfn.IFNA(VLOOKUP(CONCATENATE(AN$4,$C78),'INSER DATA'!$A:$F,7,0),"")</f>
        <v/>
      </c>
      <c r="AO78" s="270" t="str">
        <f>_xlfn.IFNA(VLOOKUP(CONCATENATE(AO$4,$C78),'INSER DATA'!$A:$F,7,0),"")</f>
        <v/>
      </c>
      <c r="AP78" s="270" t="str">
        <f>_xlfn.IFNA(VLOOKUP(CONCATENATE(AP$4,$C78),'INSER DATA'!$A:$F,7,0),"")</f>
        <v/>
      </c>
      <c r="AQ78" s="270" t="str">
        <f>_xlfn.IFNA(VLOOKUP(CONCATENATE(AQ$4,$C78),'INSER DATA'!$A:$F,7,0),"")</f>
        <v/>
      </c>
      <c r="AR78" s="270" t="str">
        <f>_xlfn.IFNA(VLOOKUP(CONCATENATE(AR$4,$C78),'INSER DATA'!$A:$F,7,0),"")</f>
        <v/>
      </c>
      <c r="AS78" s="270" t="str">
        <f>_xlfn.IFNA(VLOOKUP(CONCATENATE(AS$4,$C78),'INSER DATA'!$A:$F,7,0),"")</f>
        <v/>
      </c>
      <c r="AT78" s="270" t="str">
        <f>_xlfn.IFNA(VLOOKUP(CONCATENATE(AT$4,$C78),'INSER DATA'!$A:$F,7,0),"")</f>
        <v/>
      </c>
      <c r="AU78" s="270" t="str">
        <f>_xlfn.IFNA(VLOOKUP(CONCATENATE(AU$4,$C78),'INSER DATA'!$A:$F,7,0),"")</f>
        <v/>
      </c>
      <c r="AV78" s="270" t="str">
        <f>_xlfn.IFNA(VLOOKUP(CONCATENATE(AV$4,$C78),'INSER DATA'!$A:$F,7,0),"")</f>
        <v/>
      </c>
      <c r="AW78" s="270" t="str">
        <f>_xlfn.IFNA(VLOOKUP(CONCATENATE(AW$4,$C78),'INSER DATA'!$A:$F,7,0),"")</f>
        <v/>
      </c>
      <c r="AX78" s="270" t="str">
        <f>_xlfn.IFNA(VLOOKUP(CONCATENATE(AX$4,$C78),'INSER DATA'!$A:$F,7,0),"")</f>
        <v/>
      </c>
      <c r="AY78" s="270" t="str">
        <f>_xlfn.IFNA(VLOOKUP(CONCATENATE(AY$4,$C78),'INSER DATA'!$A:$F,7,0),"")</f>
        <v/>
      </c>
      <c r="AZ78" s="270" t="str">
        <f>_xlfn.IFNA(VLOOKUP(CONCATENATE(AZ$4,$C78),'INSER DATA'!$A:$F,7,0),"")</f>
        <v/>
      </c>
      <c r="BA78" s="270" t="str">
        <f>_xlfn.IFNA(VLOOKUP(CONCATENATE(BA$4,$C78),'INSER DATA'!$A:$F,7,0),"")</f>
        <v/>
      </c>
      <c r="BB78" s="270" t="str">
        <f>_xlfn.IFNA(VLOOKUP(CONCATENATE(BB$4,$C78),'INSER DATA'!$A:$F,7,0),"")</f>
        <v/>
      </c>
      <c r="BC78" s="270" t="str">
        <f>_xlfn.IFNA(VLOOKUP(CONCATENATE(BC$4,$C78),'INSER DATA'!$A:$F,7,0),"")</f>
        <v/>
      </c>
      <c r="BD78" s="270" t="str">
        <f>_xlfn.IFNA(VLOOKUP(CONCATENATE(BD$4,$C78),'INSER DATA'!$A:$F,7,0),"")</f>
        <v/>
      </c>
      <c r="BE78" s="270" t="str">
        <f>_xlfn.IFNA(VLOOKUP(CONCATENATE(BE$4,$C78),'INSER DATA'!$A:$F,7,0),"")</f>
        <v/>
      </c>
      <c r="BF78" s="270" t="str">
        <f>_xlfn.IFNA(VLOOKUP(CONCATENATE(BF$4,$C78),'INSER DATA'!$A:$F,7,0),"")</f>
        <v/>
      </c>
      <c r="BG78" s="270" t="str">
        <f>_xlfn.IFNA(VLOOKUP(CONCATENATE(BG$4,$C78),'INSER DATA'!$A:$F,7,0),"")</f>
        <v/>
      </c>
      <c r="BH78" s="270" t="str">
        <f>_xlfn.IFNA(VLOOKUP(CONCATENATE(BH$4,$C78),'INSER DATA'!$A:$F,7,0),"")</f>
        <v/>
      </c>
      <c r="BI78" s="270" t="str">
        <f>_xlfn.IFNA(VLOOKUP(CONCATENATE(BI$4,$C78),'INSER DATA'!$A:$F,7,0),"")</f>
        <v/>
      </c>
      <c r="BJ78" s="270" t="str">
        <f>_xlfn.IFNA(VLOOKUP(CONCATENATE(BJ$4,$C78),'INSER DATA'!$A:$F,7,0),"")</f>
        <v/>
      </c>
      <c r="BK78" s="270" t="str">
        <f>_xlfn.IFNA(VLOOKUP(CONCATENATE(BK$4,$C78),'INSER DATA'!$A:$F,7,0),"")</f>
        <v/>
      </c>
      <c r="BL78" s="272"/>
    </row>
    <row r="79" spans="1:105" s="184" customFormat="1" ht="19.2" thickTop="1" thickBot="1" x14ac:dyDescent="0.4">
      <c r="C79" s="188" t="s">
        <v>679</v>
      </c>
      <c r="D79" s="46" t="s">
        <v>662</v>
      </c>
      <c r="E79" s="35" t="str">
        <f>_xlfn.XLOOKUP(Tabella4[[#This Row],[NOME]],'ROSE SQUADRE'!$N$3:$N$253,'ROSE SQUADRE'!$O$3:$O$253,"")</f>
        <v/>
      </c>
      <c r="F79" s="36" t="s">
        <v>163</v>
      </c>
      <c r="G79" s="43">
        <v>1</v>
      </c>
      <c r="H79" s="43">
        <v>1</v>
      </c>
      <c r="I79" s="44">
        <f t="shared" si="7"/>
        <v>0</v>
      </c>
      <c r="J79" s="37">
        <f t="shared" si="8"/>
        <v>0</v>
      </c>
      <c r="K79" s="178">
        <f t="shared" si="9"/>
        <v>0</v>
      </c>
      <c r="L79" s="178">
        <f t="shared" si="10"/>
        <v>0</v>
      </c>
      <c r="M79" s="179">
        <f t="shared" si="11"/>
        <v>0</v>
      </c>
      <c r="N79" s="45">
        <f t="shared" ca="1" si="12"/>
        <v>0</v>
      </c>
      <c r="O79" s="40">
        <f>SUMIF(Tabella1[Nome],Tabella4[[#This Row],[NOME]],Tabella1[Gf])</f>
        <v>0</v>
      </c>
      <c r="P79" s="40">
        <f>-(SUMIF(Tabella1[Nome],Tabella4[[#This Row],[NOME]],Tabella1[Gs]))</f>
        <v>0</v>
      </c>
      <c r="Q79" s="40">
        <f>SUMIF(Tabella1[Nome],Tabella4[[#This Row],[NOME]],Tabella1[Rp])</f>
        <v>0</v>
      </c>
      <c r="R79" s="40">
        <f>SUMIF(Tabella1[Nome],Tabella4[[#This Row],[NOME]],Tabella1[Rs])</f>
        <v>0</v>
      </c>
      <c r="S79" s="40">
        <f>SUMIF(Tabella1[Nome],Tabella4[[#This Row],[NOME]],Tabella1[Rf])</f>
        <v>0</v>
      </c>
      <c r="T79" s="40">
        <f>SUMIF(Tabella1[Nome],Tabella4[[#This Row],[NOME]],Tabella1[Au])</f>
        <v>0</v>
      </c>
      <c r="U79" s="41">
        <f>SUMIF(Tabella1[Nome],Tabella4[[#This Row],[NOME]],Tabella1[Amm])</f>
        <v>0</v>
      </c>
      <c r="V79" s="42">
        <f>SUMIF(Tabella1[Nome],Tabella4[[#This Row],[NOME]],Tabella1[Esp])</f>
        <v>0</v>
      </c>
      <c r="W79" s="40">
        <f>SUMIF(Tabella1[Nome],Tabella4[[#This Row],[NOME]],Tabella1[Ass])</f>
        <v>0</v>
      </c>
      <c r="X79" s="40">
        <f>SUMIF(Tabella1[Nome],Tabella4[[#This Row],[NOME]],Tabella1[Gdv])</f>
        <v>0</v>
      </c>
      <c r="Y79" s="40">
        <f>SUMIF(Tabella1[Nome],Tabella4[[#This Row],[NOME]],Tabella1[cl sh])</f>
        <v>0</v>
      </c>
      <c r="Z79" s="270" t="str">
        <f>_xlfn.IFNA(_xlfn.XLOOKUP(CONCATENATE(Z$4,$C79),Tabella1[CONC X VOTI IN TAB GIOC],Tabella1[Voto],""),"")</f>
        <v/>
      </c>
      <c r="AA79" s="270" t="str">
        <f>_xlfn.IFNA(_xlfn.XLOOKUP(CONCATENATE(AA$4,$C79),Tabella1[CONC X VOTI IN TAB GIOC],Tabella1[Voto],""),"")</f>
        <v/>
      </c>
      <c r="AB79" s="270" t="str">
        <f>_xlfn.IFNA(_xlfn.XLOOKUP(CONCATENATE(AB$4,$C79),Tabella1[CONC X VOTI IN TAB GIOC],Tabella1[Voto]),"")</f>
        <v/>
      </c>
      <c r="AC79" s="270" t="str" cm="1">
        <f t="array" ref="AC79">_xlfn.IFNA(_xlfn.XLOOKUP(CONCATENATE(AC$4,$C79),INDEX(Tabella1[],0,MATCH("CONC X VOTI IN TAB GIOC",Tabella1[#Headers],0)),INDEX(Tabella1[],0,MATCH("Voto",Tabella1[#Headers],0))),"")</f>
        <v/>
      </c>
      <c r="AD79" s="270" t="str">
        <f>_xlfn.IFNA(_xlfn.XLOOKUP(CONCATENATE(AD$4,$C79),Tabella1[CONC X VOTI IN TAB GIOC],Tabella1[Voto]),"")</f>
        <v/>
      </c>
      <c r="AE79" s="270" t="str">
        <f>_xlfn.IFNA(VLOOKUP(CONCATENATE(AE$4,$C79),'INSER DATA'!$A:$F,6,0),"")</f>
        <v/>
      </c>
      <c r="AF79" s="270" t="str">
        <f>_xlfn.IFNA(VLOOKUP(CONCATENATE(AF$4,$C79),'INSER DATA'!$A:$F,6,0),"")</f>
        <v/>
      </c>
      <c r="AG79" s="270" t="str">
        <f>_xlfn.IFNA(VLOOKUP(CONCATENATE(AG$4,$C79),'INSER DATA'!$A:$F,6,0),"")</f>
        <v/>
      </c>
      <c r="AH79" s="270" t="str">
        <f>_xlfn.IFNA(VLOOKUP(CONCATENATE(AH$4,$C79),'INSER DATA'!$A:$F,7,0),"")</f>
        <v/>
      </c>
      <c r="AI79" s="270" t="str">
        <f>_xlfn.IFNA(VLOOKUP(CONCATENATE(AI$4,$C79),'INSER DATA'!$A:$F,7,0),"")</f>
        <v/>
      </c>
      <c r="AJ79" s="270" t="str">
        <f>_xlfn.IFNA(VLOOKUP(CONCATENATE(AJ$4,$C79),'INSER DATA'!$A:$F,7,0),"")</f>
        <v/>
      </c>
      <c r="AK79" s="270" t="str">
        <f>_xlfn.IFNA(VLOOKUP(CONCATENATE(AK$4,$C79),'INSER DATA'!$A:$F,7,0),"")</f>
        <v/>
      </c>
      <c r="AL79" s="270" t="str">
        <f>_xlfn.IFNA(VLOOKUP(CONCATENATE(AL$4,$C79),'INSER DATA'!$A:$F,7,0),"")</f>
        <v/>
      </c>
      <c r="AM79" s="270" t="str">
        <f>_xlfn.IFNA(VLOOKUP(CONCATENATE(AM$4,$C79),'INSER DATA'!$A:$F,7,0),"")</f>
        <v/>
      </c>
      <c r="AN79" s="270" t="str">
        <f>_xlfn.IFNA(VLOOKUP(CONCATENATE(AN$4,$C79),'INSER DATA'!$A:$F,7,0),"")</f>
        <v/>
      </c>
      <c r="AO79" s="270" t="str">
        <f>_xlfn.IFNA(VLOOKUP(CONCATENATE(AO$4,$C79),'INSER DATA'!$A:$F,7,0),"")</f>
        <v/>
      </c>
      <c r="AP79" s="270" t="str">
        <f>_xlfn.IFNA(VLOOKUP(CONCATENATE(AP$4,$C79),'INSER DATA'!$A:$F,7,0),"")</f>
        <v/>
      </c>
      <c r="AQ79" s="270" t="str">
        <f>_xlfn.IFNA(VLOOKUP(CONCATENATE(AQ$4,$C79),'INSER DATA'!$A:$F,7,0),"")</f>
        <v/>
      </c>
      <c r="AR79" s="270" t="str">
        <f>_xlfn.IFNA(VLOOKUP(CONCATENATE(AR$4,$C79),'INSER DATA'!$A:$F,7,0),"")</f>
        <v/>
      </c>
      <c r="AS79" s="270" t="str">
        <f>_xlfn.IFNA(VLOOKUP(CONCATENATE(AS$4,$C79),'INSER DATA'!$A:$F,7,0),"")</f>
        <v/>
      </c>
      <c r="AT79" s="270" t="str">
        <f>_xlfn.IFNA(VLOOKUP(CONCATENATE(AT$4,$C79),'INSER DATA'!$A:$F,7,0),"")</f>
        <v/>
      </c>
      <c r="AU79" s="270" t="str">
        <f>_xlfn.IFNA(VLOOKUP(CONCATENATE(AU$4,$C79),'INSER DATA'!$A:$F,7,0),"")</f>
        <v/>
      </c>
      <c r="AV79" s="270" t="str">
        <f>_xlfn.IFNA(VLOOKUP(CONCATENATE(AV$4,$C79),'INSER DATA'!$A:$F,7,0),"")</f>
        <v/>
      </c>
      <c r="AW79" s="270" t="str">
        <f>_xlfn.IFNA(VLOOKUP(CONCATENATE(AW$4,$C79),'INSER DATA'!$A:$F,7,0),"")</f>
        <v/>
      </c>
      <c r="AX79" s="270" t="str">
        <f>_xlfn.IFNA(VLOOKUP(CONCATENATE(AX$4,$C79),'INSER DATA'!$A:$F,7,0),"")</f>
        <v/>
      </c>
      <c r="AY79" s="270" t="str">
        <f>_xlfn.IFNA(VLOOKUP(CONCATENATE(AY$4,$C79),'INSER DATA'!$A:$F,7,0),"")</f>
        <v/>
      </c>
      <c r="AZ79" s="270" t="str">
        <f>_xlfn.IFNA(VLOOKUP(CONCATENATE(AZ$4,$C79),'INSER DATA'!$A:$F,7,0),"")</f>
        <v/>
      </c>
      <c r="BA79" s="270" t="str">
        <f>_xlfn.IFNA(VLOOKUP(CONCATENATE(BA$4,$C79),'INSER DATA'!$A:$F,7,0),"")</f>
        <v/>
      </c>
      <c r="BB79" s="270" t="str">
        <f>_xlfn.IFNA(VLOOKUP(CONCATENATE(BB$4,$C79),'INSER DATA'!$A:$F,7,0),"")</f>
        <v/>
      </c>
      <c r="BC79" s="270" t="str">
        <f>_xlfn.IFNA(VLOOKUP(CONCATENATE(BC$4,$C79),'INSER DATA'!$A:$F,7,0),"")</f>
        <v/>
      </c>
      <c r="BD79" s="270" t="str">
        <f>_xlfn.IFNA(VLOOKUP(CONCATENATE(BD$4,$C79),'INSER DATA'!$A:$F,7,0),"")</f>
        <v/>
      </c>
      <c r="BE79" s="270" t="str">
        <f>_xlfn.IFNA(VLOOKUP(CONCATENATE(BE$4,$C79),'INSER DATA'!$A:$F,7,0),"")</f>
        <v/>
      </c>
      <c r="BF79" s="270" t="str">
        <f>_xlfn.IFNA(VLOOKUP(CONCATENATE(BF$4,$C79),'INSER DATA'!$A:$F,7,0),"")</f>
        <v/>
      </c>
      <c r="BG79" s="270" t="str">
        <f>_xlfn.IFNA(VLOOKUP(CONCATENATE(BG$4,$C79),'INSER DATA'!$A:$F,7,0),"")</f>
        <v/>
      </c>
      <c r="BH79" s="270" t="str">
        <f>_xlfn.IFNA(VLOOKUP(CONCATENATE(BH$4,$C79),'INSER DATA'!$A:$F,7,0),"")</f>
        <v/>
      </c>
      <c r="BI79" s="270" t="str">
        <f>_xlfn.IFNA(VLOOKUP(CONCATENATE(BI$4,$C79),'INSER DATA'!$A:$F,7,0),"")</f>
        <v/>
      </c>
      <c r="BJ79" s="270" t="str">
        <f>_xlfn.IFNA(VLOOKUP(CONCATENATE(BJ$4,$C79),'INSER DATA'!$A:$F,7,0),"")</f>
        <v/>
      </c>
      <c r="BK79" s="270" t="str">
        <f>_xlfn.IFNA(VLOOKUP(CONCATENATE(BK$4,$C79),'INSER DATA'!$A:$F,7,0),"")</f>
        <v/>
      </c>
      <c r="BL79" s="272"/>
    </row>
    <row r="80" spans="1:105" ht="19.2" thickTop="1" thickBot="1" x14ac:dyDescent="0.4">
      <c r="A80" s="30"/>
      <c r="B80" s="30"/>
      <c r="C80" s="188" t="s">
        <v>309</v>
      </c>
      <c r="D80" s="187" t="s">
        <v>662</v>
      </c>
      <c r="E80" s="35" t="str">
        <f>_xlfn.XLOOKUP(Tabella4[[#This Row],[NOME]],'ROSE SQUADRE'!$N$3:$N$253,'ROSE SQUADRE'!$O$3:$O$253,"")</f>
        <v/>
      </c>
      <c r="F80" s="36" t="s">
        <v>162</v>
      </c>
      <c r="G80" s="43"/>
      <c r="H80" s="43"/>
      <c r="I80" s="44">
        <f t="shared" si="7"/>
        <v>0</v>
      </c>
      <c r="J80" s="37">
        <f t="shared" si="8"/>
        <v>1</v>
      </c>
      <c r="K80" s="38">
        <f t="shared" si="9"/>
        <v>5.5</v>
      </c>
      <c r="L80" s="38">
        <f t="shared" si="10"/>
        <v>5.5</v>
      </c>
      <c r="M80" s="39">
        <f t="shared" si="11"/>
        <v>5.5</v>
      </c>
      <c r="N80" s="45">
        <f t="shared" ca="1" si="12"/>
        <v>0</v>
      </c>
      <c r="O80" s="40">
        <f>SUMIF(Tabella1[Nome],Tabella4[[#This Row],[NOME]],Tabella1[Gf])</f>
        <v>0</v>
      </c>
      <c r="P80" s="40">
        <f>-(SUMIF(Tabella1[Nome],Tabella4[[#This Row],[NOME]],Tabella1[Gs]))</f>
        <v>0</v>
      </c>
      <c r="Q80" s="40">
        <f>SUMIF(Tabella1[Nome],Tabella4[[#This Row],[NOME]],Tabella1[Rp])</f>
        <v>0</v>
      </c>
      <c r="R80" s="40">
        <f>SUMIF(Tabella1[Nome],Tabella4[[#This Row],[NOME]],Tabella1[Rs])</f>
        <v>0</v>
      </c>
      <c r="S80" s="40">
        <f>SUMIF(Tabella1[Nome],Tabella4[[#This Row],[NOME]],Tabella1[Rf])</f>
        <v>0</v>
      </c>
      <c r="T80" s="40">
        <f>SUMIF(Tabella1[Nome],Tabella4[[#This Row],[NOME]],Tabella1[Au])</f>
        <v>0</v>
      </c>
      <c r="U80" s="41">
        <f>SUMIF(Tabella1[Nome],Tabella4[[#This Row],[NOME]],Tabella1[Amm])</f>
        <v>0</v>
      </c>
      <c r="V80" s="42">
        <f>SUMIF(Tabella1[Nome],Tabella4[[#This Row],[NOME]],Tabella1[Esp])</f>
        <v>0</v>
      </c>
      <c r="W80" s="40">
        <f>SUMIF(Tabella1[Nome],Tabella4[[#This Row],[NOME]],Tabella1[Ass])</f>
        <v>0</v>
      </c>
      <c r="X80" s="40">
        <f>SUMIF(Tabella1[Nome],Tabella4[[#This Row],[NOME]],Tabella1[Gdv])</f>
        <v>0</v>
      </c>
      <c r="Y80" s="40">
        <f>SUMIF(Tabella1[Nome],Tabella4[[#This Row],[NOME]],Tabella1[cl sh])</f>
        <v>0</v>
      </c>
      <c r="Z80" s="270" t="str">
        <f>_xlfn.IFNA(_xlfn.XLOOKUP(CONCATENATE(Z$4,$C80),Tabella1[CONC X VOTI IN TAB GIOC],Tabella1[Voto],""),"")</f>
        <v/>
      </c>
      <c r="AA80" s="270" t="str">
        <f>_xlfn.IFNA(_xlfn.XLOOKUP(CONCATENATE(AA$4,$C80),Tabella1[CONC X VOTI IN TAB GIOC],Tabella1[Voto],""),"")</f>
        <v/>
      </c>
      <c r="AB80" s="270">
        <f>_xlfn.IFNA(_xlfn.XLOOKUP(CONCATENATE(AB$4,$C80),Tabella1[CONC X VOTI IN TAB GIOC],Tabella1[Voto]),"")</f>
        <v>5.5</v>
      </c>
      <c r="AC80" s="270" t="str" cm="1">
        <f t="array" ref="AC80">_xlfn.IFNA(_xlfn.XLOOKUP(CONCATENATE(AC$4,$C80),INDEX(Tabella1[],0,MATCH("CONC X VOTI IN TAB GIOC",Tabella1[#Headers],0)),INDEX(Tabella1[],0,MATCH("Voto",Tabella1[#Headers],0))),"")</f>
        <v/>
      </c>
      <c r="AD80" s="270" t="str">
        <f>_xlfn.IFNA(_xlfn.XLOOKUP(CONCATENATE(AD$4,$C80),Tabella1[CONC X VOTI IN TAB GIOC],Tabella1[Voto]),"")</f>
        <v/>
      </c>
      <c r="AE80" s="270" t="str">
        <f>_xlfn.IFNA(VLOOKUP(CONCATENATE(AE$4,$C80),'INSER DATA'!$A:$F,6,0),"")</f>
        <v/>
      </c>
      <c r="AF80" s="270" t="str">
        <f>_xlfn.IFNA(VLOOKUP(CONCATENATE(AF$4,$C80),'INSER DATA'!$A:$F,6,0),"")</f>
        <v/>
      </c>
      <c r="AG80" s="270" t="str">
        <f>_xlfn.IFNA(VLOOKUP(CONCATENATE(AG$4,$C80),'INSER DATA'!$A:$F,6,0),"")</f>
        <v/>
      </c>
      <c r="AH80" s="270" t="str">
        <f>_xlfn.IFNA(VLOOKUP(CONCATENATE(AH$4,$C80),'INSER DATA'!$A:$F,7,0),"")</f>
        <v/>
      </c>
      <c r="AI80" s="270" t="str">
        <f>_xlfn.IFNA(VLOOKUP(CONCATENATE(AI$4,$C80),'INSER DATA'!$A:$F,7,0),"")</f>
        <v/>
      </c>
      <c r="AJ80" s="270" t="str">
        <f>_xlfn.IFNA(VLOOKUP(CONCATENATE(AJ$4,$C80),'INSER DATA'!$A:$F,7,0),"")</f>
        <v/>
      </c>
      <c r="AK80" s="270" t="str">
        <f>_xlfn.IFNA(VLOOKUP(CONCATENATE(AK$4,$C80),'INSER DATA'!$A:$F,7,0),"")</f>
        <v/>
      </c>
      <c r="AL80" s="270" t="str">
        <f>_xlfn.IFNA(VLOOKUP(CONCATENATE(AL$4,$C80),'INSER DATA'!$A:$F,7,0),"")</f>
        <v/>
      </c>
      <c r="AM80" s="270" t="str">
        <f>_xlfn.IFNA(VLOOKUP(CONCATENATE(AM$4,$C80),'INSER DATA'!$A:$F,7,0),"")</f>
        <v/>
      </c>
      <c r="AN80" s="270" t="str">
        <f>_xlfn.IFNA(VLOOKUP(CONCATENATE(AN$4,$C80),'INSER DATA'!$A:$F,7,0),"")</f>
        <v/>
      </c>
      <c r="AO80" s="270" t="str">
        <f>_xlfn.IFNA(VLOOKUP(CONCATENATE(AO$4,$C80),'INSER DATA'!$A:$F,7,0),"")</f>
        <v/>
      </c>
      <c r="AP80" s="270" t="str">
        <f>_xlfn.IFNA(VLOOKUP(CONCATENATE(AP$4,$C80),'INSER DATA'!$A:$F,7,0),"")</f>
        <v/>
      </c>
      <c r="AQ80" s="270" t="str">
        <f>_xlfn.IFNA(VLOOKUP(CONCATENATE(AQ$4,$C80),'INSER DATA'!$A:$F,7,0),"")</f>
        <v/>
      </c>
      <c r="AR80" s="270" t="str">
        <f>_xlfn.IFNA(VLOOKUP(CONCATENATE(AR$4,$C80),'INSER DATA'!$A:$F,7,0),"")</f>
        <v/>
      </c>
      <c r="AS80" s="270" t="str">
        <f>_xlfn.IFNA(VLOOKUP(CONCATENATE(AS$4,$C80),'INSER DATA'!$A:$F,7,0),"")</f>
        <v/>
      </c>
      <c r="AT80" s="270" t="str">
        <f>_xlfn.IFNA(VLOOKUP(CONCATENATE(AT$4,$C80),'INSER DATA'!$A:$F,7,0),"")</f>
        <v/>
      </c>
      <c r="AU80" s="270" t="str">
        <f>_xlfn.IFNA(VLOOKUP(CONCATENATE(AU$4,$C80),'INSER DATA'!$A:$F,7,0),"")</f>
        <v/>
      </c>
      <c r="AV80" s="270" t="str">
        <f>_xlfn.IFNA(VLOOKUP(CONCATENATE(AV$4,$C80),'INSER DATA'!$A:$F,7,0),"")</f>
        <v/>
      </c>
      <c r="AW80" s="270" t="str">
        <f>_xlfn.IFNA(VLOOKUP(CONCATENATE(AW$4,$C80),'INSER DATA'!$A:$F,7,0),"")</f>
        <v/>
      </c>
      <c r="AX80" s="270" t="str">
        <f>_xlfn.IFNA(VLOOKUP(CONCATENATE(AX$4,$C80),'INSER DATA'!$A:$F,7,0),"")</f>
        <v/>
      </c>
      <c r="AY80" s="270" t="str">
        <f>_xlfn.IFNA(VLOOKUP(CONCATENATE(AY$4,$C80),'INSER DATA'!$A:$F,7,0),"")</f>
        <v/>
      </c>
      <c r="AZ80" s="270" t="str">
        <f>_xlfn.IFNA(VLOOKUP(CONCATENATE(AZ$4,$C80),'INSER DATA'!$A:$F,7,0),"")</f>
        <v/>
      </c>
      <c r="BA80" s="270" t="str">
        <f>_xlfn.IFNA(VLOOKUP(CONCATENATE(BA$4,$C80),'INSER DATA'!$A:$F,7,0),"")</f>
        <v/>
      </c>
      <c r="BB80" s="270" t="str">
        <f>_xlfn.IFNA(VLOOKUP(CONCATENATE(BB$4,$C80),'INSER DATA'!$A:$F,7,0),"")</f>
        <v/>
      </c>
      <c r="BC80" s="270" t="str">
        <f>_xlfn.IFNA(VLOOKUP(CONCATENATE(BC$4,$C80),'INSER DATA'!$A:$F,7,0),"")</f>
        <v/>
      </c>
      <c r="BD80" s="270" t="str">
        <f>_xlfn.IFNA(VLOOKUP(CONCATENATE(BD$4,$C80),'INSER DATA'!$A:$F,7,0),"")</f>
        <v/>
      </c>
      <c r="BE80" s="270" t="str">
        <f>_xlfn.IFNA(VLOOKUP(CONCATENATE(BE$4,$C80),'INSER DATA'!$A:$F,7,0),"")</f>
        <v/>
      </c>
      <c r="BF80" s="270" t="str">
        <f>_xlfn.IFNA(VLOOKUP(CONCATENATE(BF$4,$C80),'INSER DATA'!$A:$F,7,0),"")</f>
        <v/>
      </c>
      <c r="BG80" s="270" t="str">
        <f>_xlfn.IFNA(VLOOKUP(CONCATENATE(BG$4,$C80),'INSER DATA'!$A:$F,7,0),"")</f>
        <v/>
      </c>
      <c r="BH80" s="270" t="str">
        <f>_xlfn.IFNA(VLOOKUP(CONCATENATE(BH$4,$C80),'INSER DATA'!$A:$F,7,0),"")</f>
        <v/>
      </c>
      <c r="BI80" s="270" t="str">
        <f>_xlfn.IFNA(VLOOKUP(CONCATENATE(BI$4,$C80),'INSER DATA'!$A:$F,7,0),"")</f>
        <v/>
      </c>
      <c r="BJ80" s="270" t="str">
        <f>_xlfn.IFNA(VLOOKUP(CONCATENATE(BJ$4,$C80),'INSER DATA'!$A:$F,7,0),"")</f>
        <v/>
      </c>
      <c r="BK80" s="270" t="str">
        <f>_xlfn.IFNA(VLOOKUP(CONCATENATE(BK$4,$C80),'INSER DATA'!$A:$F,7,0),"")</f>
        <v/>
      </c>
      <c r="BL80" s="272"/>
      <c r="BM80" s="30"/>
      <c r="BN80" s="30"/>
      <c r="BO80" s="30"/>
      <c r="BP80" s="30"/>
      <c r="BQ80" s="30"/>
      <c r="BR80" s="30"/>
      <c r="BS80" s="30"/>
      <c r="BT80" s="30"/>
      <c r="BU80" s="30"/>
      <c r="BV80" s="30"/>
      <c r="BW80" s="30"/>
      <c r="BX80" s="30"/>
      <c r="BY80" s="30"/>
      <c r="BZ80" s="30"/>
      <c r="CA80" s="30"/>
      <c r="CB80" s="30"/>
      <c r="CC80" s="30"/>
      <c r="CD80" s="30"/>
      <c r="CE80" s="30"/>
      <c r="CF80" s="30"/>
      <c r="CG80" s="30"/>
      <c r="CH80" s="30"/>
      <c r="CI80" s="30"/>
      <c r="CJ80" s="30"/>
      <c r="CK80" s="30"/>
      <c r="CL80" s="30"/>
      <c r="CM80" s="30"/>
      <c r="CN80" s="30"/>
      <c r="CO80" s="30"/>
      <c r="CP80" s="30"/>
      <c r="CQ80" s="30"/>
      <c r="CR80" s="30"/>
      <c r="CS80" s="30"/>
      <c r="CT80" s="30"/>
      <c r="CU80" s="30"/>
      <c r="CV80" s="30"/>
      <c r="CW80" s="30"/>
      <c r="CX80" s="30"/>
      <c r="CY80" s="30"/>
      <c r="CZ80" s="30"/>
      <c r="DA80" s="30"/>
    </row>
    <row r="81" spans="1:105" ht="19.2" thickTop="1" thickBot="1" x14ac:dyDescent="0.4">
      <c r="A81" s="30"/>
      <c r="B81" s="30"/>
      <c r="C81" s="358" t="s">
        <v>698</v>
      </c>
      <c r="D81" s="359" t="s">
        <v>681</v>
      </c>
      <c r="E81" s="35" t="str">
        <f>_xlfn.XLOOKUP(Tabella4[[#This Row],[NOME]],'ROSE SQUADRE'!$N$3:$N$253,'ROSE SQUADRE'!$O$3:$O$253,"")</f>
        <v>TRICCHETRACHT</v>
      </c>
      <c r="F81" s="36" t="s">
        <v>162</v>
      </c>
      <c r="G81" s="43">
        <v>5</v>
      </c>
      <c r="H81" s="43">
        <v>6</v>
      </c>
      <c r="I81" s="44">
        <f t="shared" si="7"/>
        <v>1</v>
      </c>
      <c r="J81" s="37">
        <f t="shared" si="8"/>
        <v>3</v>
      </c>
      <c r="K81" s="38">
        <f t="shared" si="9"/>
        <v>6.5</v>
      </c>
      <c r="L81" s="38">
        <f t="shared" si="10"/>
        <v>6.5</v>
      </c>
      <c r="M81" s="39">
        <f t="shared" si="11"/>
        <v>19.5</v>
      </c>
      <c r="N81" s="45">
        <f t="shared" ca="1" si="12"/>
        <v>1</v>
      </c>
      <c r="O81" s="40">
        <f>SUMIF(Tabella1[Nome],Tabella4[[#This Row],[NOME]],Tabella1[Gf])</f>
        <v>0</v>
      </c>
      <c r="P81" s="40">
        <f>-(SUMIF(Tabella1[Nome],Tabella4[[#This Row],[NOME]],Tabella1[Gs]))</f>
        <v>0</v>
      </c>
      <c r="Q81" s="40">
        <f>SUMIF(Tabella1[Nome],Tabella4[[#This Row],[NOME]],Tabella1[Rp])</f>
        <v>0</v>
      </c>
      <c r="R81" s="40">
        <f>SUMIF(Tabella1[Nome],Tabella4[[#This Row],[NOME]],Tabella1[Rs])</f>
        <v>0</v>
      </c>
      <c r="S81" s="40">
        <f>SUMIF(Tabella1[Nome],Tabella4[[#This Row],[NOME]],Tabella1[Rf])</f>
        <v>0</v>
      </c>
      <c r="T81" s="40">
        <f>SUMIF(Tabella1[Nome],Tabella4[[#This Row],[NOME]],Tabella1[Au])</f>
        <v>0</v>
      </c>
      <c r="U81" s="41">
        <f>SUMIF(Tabella1[Nome],Tabella4[[#This Row],[NOME]],Tabella1[Amm])</f>
        <v>0</v>
      </c>
      <c r="V81" s="42">
        <f>SUMIF(Tabella1[Nome],Tabella4[[#This Row],[NOME]],Tabella1[Esp])</f>
        <v>0</v>
      </c>
      <c r="W81" s="40">
        <f>SUMIF(Tabella1[Nome],Tabella4[[#This Row],[NOME]],Tabella1[Ass])</f>
        <v>0</v>
      </c>
      <c r="X81" s="40">
        <f>SUMIF(Tabella1[Nome],Tabella4[[#This Row],[NOME]],Tabella1[Gdv])</f>
        <v>0</v>
      </c>
      <c r="Y81" s="40">
        <f>SUMIF(Tabella1[Nome],Tabella4[[#This Row],[NOME]],Tabella1[cl sh])</f>
        <v>0</v>
      </c>
      <c r="Z81" s="270">
        <f>_xlfn.IFNA(_xlfn.XLOOKUP(CONCATENATE(Z$4,$C81),Tabella1[CONC X VOTI IN TAB GIOC],Tabella1[Voto],""),"")</f>
        <v>6.5</v>
      </c>
      <c r="AA81" s="270">
        <f>_xlfn.IFNA(_xlfn.XLOOKUP(CONCATENATE(AA$4,$C81),Tabella1[CONC X VOTI IN TAB GIOC],Tabella1[Voto],""),"")</f>
        <v>7</v>
      </c>
      <c r="AB81" s="400">
        <f>_xlfn.IFNA(_xlfn.XLOOKUP(CONCATENATE(AB$4,$C81),Tabella1[CONC X VOTI IN TAB GIOC],Tabella1[Voto]),"")</f>
        <v>6</v>
      </c>
      <c r="AC81" s="270" t="str" cm="1">
        <f t="array" ref="AC81">_xlfn.IFNA(_xlfn.XLOOKUP(CONCATENATE(AC$4,$C81),INDEX(Tabella1[],0,MATCH("CONC X VOTI IN TAB GIOC",Tabella1[#Headers],0)),INDEX(Tabella1[],0,MATCH("Voto",Tabella1[#Headers],0))),"")</f>
        <v/>
      </c>
      <c r="AD81" s="270" t="str">
        <f>_xlfn.IFNA(_xlfn.XLOOKUP(CONCATENATE(AD$4,$C81),Tabella1[CONC X VOTI IN TAB GIOC],Tabella1[Voto]),"")</f>
        <v/>
      </c>
      <c r="AE81" s="270" t="str">
        <f>_xlfn.IFNA(VLOOKUP(CONCATENATE(AE$4,$C81),'INSER DATA'!$A:$F,6,0),"")</f>
        <v/>
      </c>
      <c r="AF81" s="270" t="str">
        <f>_xlfn.IFNA(VLOOKUP(CONCATENATE(AF$4,$C81),'INSER DATA'!$A:$F,6,0),"")</f>
        <v/>
      </c>
      <c r="AG81" s="270" t="str">
        <f>_xlfn.IFNA(VLOOKUP(CONCATENATE(AG$4,$C81),'INSER DATA'!$A:$F,6,0),"")</f>
        <v/>
      </c>
      <c r="AH81" s="270" t="str">
        <f>_xlfn.IFNA(VLOOKUP(CONCATENATE(AH$4,$C81),'INSER DATA'!$A:$F,7,0),"")</f>
        <v/>
      </c>
      <c r="AI81" s="270" t="str">
        <f>_xlfn.IFNA(VLOOKUP(CONCATENATE(AI$4,$C81),'INSER DATA'!$A:$F,7,0),"")</f>
        <v/>
      </c>
      <c r="AJ81" s="270" t="str">
        <f>_xlfn.IFNA(VLOOKUP(CONCATENATE(AJ$4,$C81),'INSER DATA'!$A:$F,7,0),"")</f>
        <v/>
      </c>
      <c r="AK81" s="270" t="str">
        <f>_xlfn.IFNA(VLOOKUP(CONCATENATE(AK$4,$C81),'INSER DATA'!$A:$F,7,0),"")</f>
        <v/>
      </c>
      <c r="AL81" s="270" t="str">
        <f>_xlfn.IFNA(VLOOKUP(CONCATENATE(AL$4,$C81),'INSER DATA'!$A:$F,7,0),"")</f>
        <v/>
      </c>
      <c r="AM81" s="270" t="str">
        <f>_xlfn.IFNA(VLOOKUP(CONCATENATE(AM$4,$C81),'INSER DATA'!$A:$F,7,0),"")</f>
        <v/>
      </c>
      <c r="AN81" s="270" t="str">
        <f>_xlfn.IFNA(VLOOKUP(CONCATENATE(AN$4,$C81),'INSER DATA'!$A:$F,7,0),"")</f>
        <v/>
      </c>
      <c r="AO81" s="270" t="str">
        <f>_xlfn.IFNA(VLOOKUP(CONCATENATE(AO$4,$C81),'INSER DATA'!$A:$F,7,0),"")</f>
        <v/>
      </c>
      <c r="AP81" s="270" t="str">
        <f>_xlfn.IFNA(VLOOKUP(CONCATENATE(AP$4,$C81),'INSER DATA'!$A:$F,7,0),"")</f>
        <v/>
      </c>
      <c r="AQ81" s="270" t="str">
        <f>_xlfn.IFNA(VLOOKUP(CONCATENATE(AQ$4,$C81),'INSER DATA'!$A:$F,7,0),"")</f>
        <v/>
      </c>
      <c r="AR81" s="270" t="str">
        <f>_xlfn.IFNA(VLOOKUP(CONCATENATE(AR$4,$C81),'INSER DATA'!$A:$F,7,0),"")</f>
        <v/>
      </c>
      <c r="AS81" s="270" t="str">
        <f>_xlfn.IFNA(VLOOKUP(CONCATENATE(AS$4,$C81),'INSER DATA'!$A:$F,7,0),"")</f>
        <v/>
      </c>
      <c r="AT81" s="270" t="str">
        <f>_xlfn.IFNA(VLOOKUP(CONCATENATE(AT$4,$C81),'INSER DATA'!$A:$F,7,0),"")</f>
        <v/>
      </c>
      <c r="AU81" s="270" t="str">
        <f>_xlfn.IFNA(VLOOKUP(CONCATENATE(AU$4,$C81),'INSER DATA'!$A:$F,7,0),"")</f>
        <v/>
      </c>
      <c r="AV81" s="270" t="str">
        <f>_xlfn.IFNA(VLOOKUP(CONCATENATE(AV$4,$C81),'INSER DATA'!$A:$F,7,0),"")</f>
        <v/>
      </c>
      <c r="AW81" s="270" t="str">
        <f>_xlfn.IFNA(VLOOKUP(CONCATENATE(AW$4,$C81),'INSER DATA'!$A:$F,7,0),"")</f>
        <v/>
      </c>
      <c r="AX81" s="270" t="str">
        <f>_xlfn.IFNA(VLOOKUP(CONCATENATE(AX$4,$C81),'INSER DATA'!$A:$F,7,0),"")</f>
        <v/>
      </c>
      <c r="AY81" s="270" t="str">
        <f>_xlfn.IFNA(VLOOKUP(CONCATENATE(AY$4,$C81),'INSER DATA'!$A:$F,7,0),"")</f>
        <v/>
      </c>
      <c r="AZ81" s="270" t="str">
        <f>_xlfn.IFNA(VLOOKUP(CONCATENATE(AZ$4,$C81),'INSER DATA'!$A:$F,7,0),"")</f>
        <v/>
      </c>
      <c r="BA81" s="270" t="str">
        <f>_xlfn.IFNA(VLOOKUP(CONCATENATE(BA$4,$C81),'INSER DATA'!$A:$F,7,0),"")</f>
        <v/>
      </c>
      <c r="BB81" s="270" t="str">
        <f>_xlfn.IFNA(VLOOKUP(CONCATENATE(BB$4,$C81),'INSER DATA'!$A:$F,7,0),"")</f>
        <v/>
      </c>
      <c r="BC81" s="270" t="str">
        <f>_xlfn.IFNA(VLOOKUP(CONCATENATE(BC$4,$C81),'INSER DATA'!$A:$F,7,0),"")</f>
        <v/>
      </c>
      <c r="BD81" s="270" t="str">
        <f>_xlfn.IFNA(VLOOKUP(CONCATENATE(BD$4,$C81),'INSER DATA'!$A:$F,7,0),"")</f>
        <v/>
      </c>
      <c r="BE81" s="270" t="str">
        <f>_xlfn.IFNA(VLOOKUP(CONCATENATE(BE$4,$C81),'INSER DATA'!$A:$F,7,0),"")</f>
        <v/>
      </c>
      <c r="BF81" s="270" t="str">
        <f>_xlfn.IFNA(VLOOKUP(CONCATENATE(BF$4,$C81),'INSER DATA'!$A:$F,7,0),"")</f>
        <v/>
      </c>
      <c r="BG81" s="270" t="str">
        <f>_xlfn.IFNA(VLOOKUP(CONCATENATE(BG$4,$C81),'INSER DATA'!$A:$F,7,0),"")</f>
        <v/>
      </c>
      <c r="BH81" s="270" t="str">
        <f>_xlfn.IFNA(VLOOKUP(CONCATENATE(BH$4,$C81),'INSER DATA'!$A:$F,7,0),"")</f>
        <v/>
      </c>
      <c r="BI81" s="270" t="str">
        <f>_xlfn.IFNA(VLOOKUP(CONCATENATE(BI$4,$C81),'INSER DATA'!$A:$F,7,0),"")</f>
        <v/>
      </c>
      <c r="BJ81" s="270" t="str">
        <f>_xlfn.IFNA(VLOOKUP(CONCATENATE(BJ$4,$C81),'INSER DATA'!$A:$F,7,0),"")</f>
        <v/>
      </c>
      <c r="BK81" s="270" t="str">
        <f>_xlfn.IFNA(VLOOKUP(CONCATENATE(BK$4,$C81),'INSER DATA'!$A:$F,7,0),"")</f>
        <v/>
      </c>
      <c r="BL81" s="272"/>
      <c r="BM81" s="30"/>
      <c r="BN81" s="30"/>
      <c r="BO81" s="30"/>
      <c r="BP81" s="30"/>
      <c r="BQ81" s="30"/>
      <c r="BR81" s="30"/>
      <c r="BS81" s="30"/>
      <c r="BT81" s="30"/>
      <c r="BU81" s="30"/>
      <c r="BV81" s="30"/>
      <c r="BW81" s="30"/>
      <c r="BX81" s="30"/>
      <c r="BY81" s="30"/>
      <c r="BZ81" s="30"/>
      <c r="CA81" s="30"/>
      <c r="CB81" s="30"/>
      <c r="CC81" s="30"/>
      <c r="CD81" s="30"/>
      <c r="CE81" s="30"/>
      <c r="CF81" s="30"/>
      <c r="CG81" s="30"/>
      <c r="CH81" s="30"/>
      <c r="CI81" s="30"/>
      <c r="CJ81" s="30"/>
      <c r="CK81" s="30"/>
      <c r="CL81" s="30"/>
      <c r="CM81" s="30"/>
      <c r="CN81" s="30"/>
      <c r="CO81" s="30"/>
      <c r="CP81" s="30"/>
      <c r="CQ81" s="30"/>
      <c r="CR81" s="30"/>
      <c r="CS81" s="30"/>
      <c r="CT81" s="30"/>
      <c r="CU81" s="30"/>
      <c r="CV81" s="30"/>
      <c r="CW81" s="30"/>
      <c r="CX81" s="30"/>
      <c r="CY81" s="30"/>
      <c r="CZ81" s="30"/>
      <c r="DA81" s="30"/>
    </row>
    <row r="82" spans="1:105" ht="19.2" thickTop="1" thickBot="1" x14ac:dyDescent="0.4">
      <c r="A82" s="30"/>
      <c r="B82" s="30"/>
      <c r="C82" s="356" t="s">
        <v>702</v>
      </c>
      <c r="D82" s="357" t="s">
        <v>681</v>
      </c>
      <c r="E82" s="35" t="str">
        <f>_xlfn.XLOOKUP(Tabella4[[#This Row],[NOME]],'ROSE SQUADRE'!$N$3:$N$253,'ROSE SQUADRE'!$O$3:$O$253,"")</f>
        <v>SESTO ASENSIO</v>
      </c>
      <c r="F82" s="36" t="s">
        <v>163</v>
      </c>
      <c r="G82" s="43">
        <v>20</v>
      </c>
      <c r="H82" s="43">
        <v>21</v>
      </c>
      <c r="I82" s="44">
        <f t="shared" si="7"/>
        <v>1</v>
      </c>
      <c r="J82" s="37">
        <f t="shared" si="8"/>
        <v>4</v>
      </c>
      <c r="K82" s="38">
        <f t="shared" si="9"/>
        <v>6.25</v>
      </c>
      <c r="L82" s="38">
        <f t="shared" si="10"/>
        <v>7.75</v>
      </c>
      <c r="M82" s="39">
        <f t="shared" si="11"/>
        <v>31</v>
      </c>
      <c r="N82" s="45">
        <f t="shared" ca="1" si="12"/>
        <v>0</v>
      </c>
      <c r="O82" s="40">
        <f>SUMIF(Tabella1[Nome],Tabella4[[#This Row],[NOME]],Tabella1[Gf])</f>
        <v>2</v>
      </c>
      <c r="P82" s="40">
        <f>-(SUMIF(Tabella1[Nome],Tabella4[[#This Row],[NOME]],Tabella1[Gs]))</f>
        <v>0</v>
      </c>
      <c r="Q82" s="40">
        <f>SUMIF(Tabella1[Nome],Tabella4[[#This Row],[NOME]],Tabella1[Rp])</f>
        <v>0</v>
      </c>
      <c r="R82" s="40">
        <f>SUMIF(Tabella1[Nome],Tabella4[[#This Row],[NOME]],Tabella1[Rs])</f>
        <v>0</v>
      </c>
      <c r="S82" s="40">
        <f>SUMIF(Tabella1[Nome],Tabella4[[#This Row],[NOME]],Tabella1[Rf])</f>
        <v>0</v>
      </c>
      <c r="T82" s="40">
        <f>SUMIF(Tabella1[Nome],Tabella4[[#This Row],[NOME]],Tabella1[Au])</f>
        <v>0</v>
      </c>
      <c r="U82" s="41">
        <f>SUMIF(Tabella1[Nome],Tabella4[[#This Row],[NOME]],Tabella1[Amm])</f>
        <v>0</v>
      </c>
      <c r="V82" s="42">
        <f>SUMIF(Tabella1[Nome],Tabella4[[#This Row],[NOME]],Tabella1[Esp])</f>
        <v>0</v>
      </c>
      <c r="W82" s="40">
        <f>SUMIF(Tabella1[Nome],Tabella4[[#This Row],[NOME]],Tabella1[Ass])</f>
        <v>0</v>
      </c>
      <c r="X82" s="40">
        <f>SUMIF(Tabella1[Nome],Tabella4[[#This Row],[NOME]],Tabella1[Gdv])</f>
        <v>0</v>
      </c>
      <c r="Y82" s="40">
        <f>SUMIF(Tabella1[Nome],Tabella4[[#This Row],[NOME]],Tabella1[cl sh])</f>
        <v>0</v>
      </c>
      <c r="Z82" s="270">
        <f>_xlfn.IFNA(_xlfn.XLOOKUP(CONCATENATE(Z$4,$C82),Tabella1[CONC X VOTI IN TAB GIOC],Tabella1[Voto],""),"")</f>
        <v>6.5</v>
      </c>
      <c r="AA82" s="270">
        <f>_xlfn.IFNA(_xlfn.XLOOKUP(CONCATENATE(AA$4,$C82),Tabella1[CONC X VOTI IN TAB GIOC],Tabella1[Voto],""),"")</f>
        <v>7</v>
      </c>
      <c r="AB82" s="270">
        <f>_xlfn.IFNA(_xlfn.XLOOKUP(CONCATENATE(AB$4,$C82),Tabella1[CONC X VOTI IN TAB GIOC],Tabella1[Voto]),"")</f>
        <v>5.5</v>
      </c>
      <c r="AC82" s="270" cm="1">
        <f t="array" ref="AC82">_xlfn.IFNA(_xlfn.XLOOKUP(CONCATENATE(AC$4,$C82),INDEX(Tabella1[],0,MATCH("CONC X VOTI IN TAB GIOC",Tabella1[#Headers],0)),INDEX(Tabella1[],0,MATCH("Voto",Tabella1[#Headers],0))),"")</f>
        <v>6</v>
      </c>
      <c r="AD82" s="270" t="str">
        <f>_xlfn.IFNA(_xlfn.XLOOKUP(CONCATENATE(AD$4,$C82),Tabella1[CONC X VOTI IN TAB GIOC],Tabella1[Voto]),"")</f>
        <v/>
      </c>
      <c r="AE82" s="270" t="str">
        <f>_xlfn.IFNA(VLOOKUP(CONCATENATE(AE$4,$C82),'INSER DATA'!$A:$F,6,0),"")</f>
        <v/>
      </c>
      <c r="AF82" s="270" t="str">
        <f>_xlfn.IFNA(VLOOKUP(CONCATENATE(AF$4,$C82),'INSER DATA'!$A:$F,6,0),"")</f>
        <v/>
      </c>
      <c r="AG82" s="270" t="str">
        <f>_xlfn.IFNA(VLOOKUP(CONCATENATE(AG$4,$C82),'INSER DATA'!$A:$F,6,0),"")</f>
        <v/>
      </c>
      <c r="AH82" s="270" t="str">
        <f>_xlfn.IFNA(VLOOKUP(CONCATENATE(AH$4,$C82),'INSER DATA'!$A:$F,7,0),"")</f>
        <v/>
      </c>
      <c r="AI82" s="270" t="str">
        <f>_xlfn.IFNA(VLOOKUP(CONCATENATE(AI$4,$C82),'INSER DATA'!$A:$F,7,0),"")</f>
        <v/>
      </c>
      <c r="AJ82" s="270" t="str">
        <f>_xlfn.IFNA(VLOOKUP(CONCATENATE(AJ$4,$C82),'INSER DATA'!$A:$F,7,0),"")</f>
        <v/>
      </c>
      <c r="AK82" s="270" t="str">
        <f>_xlfn.IFNA(VLOOKUP(CONCATENATE(AK$4,$C82),'INSER DATA'!$A:$F,7,0),"")</f>
        <v/>
      </c>
      <c r="AL82" s="270" t="str">
        <f>_xlfn.IFNA(VLOOKUP(CONCATENATE(AL$4,$C82),'INSER DATA'!$A:$F,7,0),"")</f>
        <v/>
      </c>
      <c r="AM82" s="270" t="str">
        <f>_xlfn.IFNA(VLOOKUP(CONCATENATE(AM$4,$C82),'INSER DATA'!$A:$F,7,0),"")</f>
        <v/>
      </c>
      <c r="AN82" s="270" t="str">
        <f>_xlfn.IFNA(VLOOKUP(CONCATENATE(AN$4,$C82),'INSER DATA'!$A:$F,7,0),"")</f>
        <v/>
      </c>
      <c r="AO82" s="270" t="str">
        <f>_xlfn.IFNA(VLOOKUP(CONCATENATE(AO$4,$C82),'INSER DATA'!$A:$F,7,0),"")</f>
        <v/>
      </c>
      <c r="AP82" s="270" t="str">
        <f>_xlfn.IFNA(VLOOKUP(CONCATENATE(AP$4,$C82),'INSER DATA'!$A:$F,7,0),"")</f>
        <v/>
      </c>
      <c r="AQ82" s="270" t="str">
        <f>_xlfn.IFNA(VLOOKUP(CONCATENATE(AQ$4,$C82),'INSER DATA'!$A:$F,7,0),"")</f>
        <v/>
      </c>
      <c r="AR82" s="270" t="str">
        <f>_xlfn.IFNA(VLOOKUP(CONCATENATE(AR$4,$C82),'INSER DATA'!$A:$F,7,0),"")</f>
        <v/>
      </c>
      <c r="AS82" s="270" t="str">
        <f>_xlfn.IFNA(VLOOKUP(CONCATENATE(AS$4,$C82),'INSER DATA'!$A:$F,7,0),"")</f>
        <v/>
      </c>
      <c r="AT82" s="270" t="str">
        <f>_xlfn.IFNA(VLOOKUP(CONCATENATE(AT$4,$C82),'INSER DATA'!$A:$F,7,0),"")</f>
        <v/>
      </c>
      <c r="AU82" s="270" t="str">
        <f>_xlfn.IFNA(VLOOKUP(CONCATENATE(AU$4,$C82),'INSER DATA'!$A:$F,7,0),"")</f>
        <v/>
      </c>
      <c r="AV82" s="270" t="str">
        <f>_xlfn.IFNA(VLOOKUP(CONCATENATE(AV$4,$C82),'INSER DATA'!$A:$F,7,0),"")</f>
        <v/>
      </c>
      <c r="AW82" s="270" t="str">
        <f>_xlfn.IFNA(VLOOKUP(CONCATENATE(AW$4,$C82),'INSER DATA'!$A:$F,7,0),"")</f>
        <v/>
      </c>
      <c r="AX82" s="270" t="str">
        <f>_xlfn.IFNA(VLOOKUP(CONCATENATE(AX$4,$C82),'INSER DATA'!$A:$F,7,0),"")</f>
        <v/>
      </c>
      <c r="AY82" s="270" t="str">
        <f>_xlfn.IFNA(VLOOKUP(CONCATENATE(AY$4,$C82),'INSER DATA'!$A:$F,7,0),"")</f>
        <v/>
      </c>
      <c r="AZ82" s="270" t="str">
        <f>_xlfn.IFNA(VLOOKUP(CONCATENATE(AZ$4,$C82),'INSER DATA'!$A:$F,7,0),"")</f>
        <v/>
      </c>
      <c r="BA82" s="270" t="str">
        <f>_xlfn.IFNA(VLOOKUP(CONCATENATE(BA$4,$C82),'INSER DATA'!$A:$F,7,0),"")</f>
        <v/>
      </c>
      <c r="BB82" s="270" t="str">
        <f>_xlfn.IFNA(VLOOKUP(CONCATENATE(BB$4,$C82),'INSER DATA'!$A:$F,7,0),"")</f>
        <v/>
      </c>
      <c r="BC82" s="270" t="str">
        <f>_xlfn.IFNA(VLOOKUP(CONCATENATE(BC$4,$C82),'INSER DATA'!$A:$F,7,0),"")</f>
        <v/>
      </c>
      <c r="BD82" s="270" t="str">
        <f>_xlfn.IFNA(VLOOKUP(CONCATENATE(BD$4,$C82),'INSER DATA'!$A:$F,7,0),"")</f>
        <v/>
      </c>
      <c r="BE82" s="270" t="str">
        <f>_xlfn.IFNA(VLOOKUP(CONCATENATE(BE$4,$C82),'INSER DATA'!$A:$F,7,0),"")</f>
        <v/>
      </c>
      <c r="BF82" s="270" t="str">
        <f>_xlfn.IFNA(VLOOKUP(CONCATENATE(BF$4,$C82),'INSER DATA'!$A:$F,7,0),"")</f>
        <v/>
      </c>
      <c r="BG82" s="270" t="str">
        <f>_xlfn.IFNA(VLOOKUP(CONCATENATE(BG$4,$C82),'INSER DATA'!$A:$F,7,0),"")</f>
        <v/>
      </c>
      <c r="BH82" s="270" t="str">
        <f>_xlfn.IFNA(VLOOKUP(CONCATENATE(BH$4,$C82),'INSER DATA'!$A:$F,7,0),"")</f>
        <v/>
      </c>
      <c r="BI82" s="270" t="str">
        <f>_xlfn.IFNA(VLOOKUP(CONCATENATE(BI$4,$C82),'INSER DATA'!$A:$F,7,0),"")</f>
        <v/>
      </c>
      <c r="BJ82" s="270" t="str">
        <f>_xlfn.IFNA(VLOOKUP(CONCATENATE(BJ$4,$C82),'INSER DATA'!$A:$F,7,0),"")</f>
        <v/>
      </c>
      <c r="BK82" s="270" t="str">
        <f>_xlfn.IFNA(VLOOKUP(CONCATENATE(BK$4,$C82),'INSER DATA'!$A:$F,7,0),"")</f>
        <v/>
      </c>
      <c r="BL82" s="272"/>
      <c r="BM82" s="30"/>
      <c r="BN82" s="30"/>
      <c r="BO82" s="30"/>
      <c r="BP82" s="30"/>
      <c r="BQ82" s="30"/>
      <c r="BR82" s="30"/>
      <c r="BS82" s="30"/>
      <c r="BT82" s="30"/>
      <c r="BU82" s="30"/>
      <c r="BV82" s="30"/>
      <c r="BW82" s="30"/>
      <c r="BX82" s="30"/>
      <c r="BY82" s="30"/>
      <c r="BZ82" s="30"/>
      <c r="CA82" s="30"/>
      <c r="CB82" s="30"/>
      <c r="CC82" s="30"/>
      <c r="CD82" s="30"/>
      <c r="CE82" s="30"/>
      <c r="CF82" s="30"/>
      <c r="CG82" s="30"/>
      <c r="CH82" s="30"/>
      <c r="CI82" s="30"/>
      <c r="CJ82" s="30"/>
      <c r="CK82" s="30"/>
      <c r="CL82" s="30"/>
      <c r="CM82" s="30"/>
      <c r="CN82" s="30"/>
      <c r="CO82" s="30"/>
      <c r="CP82" s="30"/>
      <c r="CQ82" s="30"/>
      <c r="CR82" s="30"/>
      <c r="CS82" s="30"/>
      <c r="CT82" s="30"/>
      <c r="CU82" s="30"/>
      <c r="CV82" s="30"/>
      <c r="CW82" s="30"/>
      <c r="CX82" s="30"/>
      <c r="CY82" s="30"/>
      <c r="CZ82" s="30"/>
      <c r="DA82" s="30"/>
    </row>
    <row r="83" spans="1:105" ht="19.2" thickTop="1" thickBot="1" x14ac:dyDescent="0.4">
      <c r="A83" s="30"/>
      <c r="B83" s="30"/>
      <c r="C83" s="354" t="s">
        <v>684</v>
      </c>
      <c r="D83" s="357" t="s">
        <v>681</v>
      </c>
      <c r="E83" s="35" t="str">
        <f>_xlfn.XLOOKUP(Tabella4[[#This Row],[NOME]],'ROSE SQUADRE'!$N$3:$N$253,'ROSE SQUADRE'!$O$3:$O$253,"")</f>
        <v>SHARK</v>
      </c>
      <c r="F83" s="36" t="s">
        <v>161</v>
      </c>
      <c r="G83" s="43">
        <v>9</v>
      </c>
      <c r="H83" s="43">
        <v>9</v>
      </c>
      <c r="I83" s="44">
        <f t="shared" si="7"/>
        <v>0</v>
      </c>
      <c r="J83" s="37">
        <f t="shared" si="8"/>
        <v>3</v>
      </c>
      <c r="K83" s="38">
        <f t="shared" si="9"/>
        <v>6.333333333333333</v>
      </c>
      <c r="L83" s="38">
        <f t="shared" si="10"/>
        <v>6.333333333333333</v>
      </c>
      <c r="M83" s="39">
        <f t="shared" si="11"/>
        <v>19</v>
      </c>
      <c r="N83" s="45">
        <f t="shared" ca="1" si="12"/>
        <v>0</v>
      </c>
      <c r="O83" s="40">
        <f>SUMIF(Tabella1[Nome],Tabella4[[#This Row],[NOME]],Tabella1[Gf])</f>
        <v>0</v>
      </c>
      <c r="P83" s="40">
        <f>-(SUMIF(Tabella1[Nome],Tabella4[[#This Row],[NOME]],Tabella1[Gs]))</f>
        <v>0</v>
      </c>
      <c r="Q83" s="40">
        <f>SUMIF(Tabella1[Nome],Tabella4[[#This Row],[NOME]],Tabella1[Rp])</f>
        <v>0</v>
      </c>
      <c r="R83" s="40">
        <f>SUMIF(Tabella1[Nome],Tabella4[[#This Row],[NOME]],Tabella1[Rs])</f>
        <v>0</v>
      </c>
      <c r="S83" s="40">
        <f>SUMIF(Tabella1[Nome],Tabella4[[#This Row],[NOME]],Tabella1[Rf])</f>
        <v>0</v>
      </c>
      <c r="T83" s="40">
        <f>SUMIF(Tabella1[Nome],Tabella4[[#This Row],[NOME]],Tabella1[Au])</f>
        <v>0</v>
      </c>
      <c r="U83" s="41">
        <f>SUMIF(Tabella1[Nome],Tabella4[[#This Row],[NOME]],Tabella1[Amm])</f>
        <v>0</v>
      </c>
      <c r="V83" s="42">
        <f>SUMIF(Tabella1[Nome],Tabella4[[#This Row],[NOME]],Tabella1[Esp])</f>
        <v>0</v>
      </c>
      <c r="W83" s="40">
        <f>SUMIF(Tabella1[Nome],Tabella4[[#This Row],[NOME]],Tabella1[Ass])</f>
        <v>0</v>
      </c>
      <c r="X83" s="40">
        <f>SUMIF(Tabella1[Nome],Tabella4[[#This Row],[NOME]],Tabella1[Gdv])</f>
        <v>0</v>
      </c>
      <c r="Y83" s="40">
        <f>SUMIF(Tabella1[Nome],Tabella4[[#This Row],[NOME]],Tabella1[cl sh])</f>
        <v>0</v>
      </c>
      <c r="Z83" s="270">
        <f>_xlfn.IFNA(_xlfn.XLOOKUP(CONCATENATE(Z$4,$C83),Tabella1[CONC X VOTI IN TAB GIOC],Tabella1[Voto],""),"")</f>
        <v>6.5</v>
      </c>
      <c r="AA83" s="270">
        <f>_xlfn.IFNA(_xlfn.XLOOKUP(CONCATENATE(AA$4,$C83),Tabella1[CONC X VOTI IN TAB GIOC],Tabella1[Voto],""),"")</f>
        <v>6.5</v>
      </c>
      <c r="AB83" s="270">
        <f>_xlfn.IFNA(_xlfn.XLOOKUP(CONCATENATE(AB$4,$C83),Tabella1[CONC X VOTI IN TAB GIOC],Tabella1[Voto]),"")</f>
        <v>6</v>
      </c>
      <c r="AC83" s="270" t="str" cm="1">
        <f t="array" ref="AC83">_xlfn.IFNA(_xlfn.XLOOKUP(CONCATENATE(AC$4,$C83),INDEX(Tabella1[],0,MATCH("CONC X VOTI IN TAB GIOC",Tabella1[#Headers],0)),INDEX(Tabella1[],0,MATCH("Voto",Tabella1[#Headers],0))),"")</f>
        <v/>
      </c>
      <c r="AD83" s="270" t="str">
        <f>_xlfn.IFNA(_xlfn.XLOOKUP(CONCATENATE(AD$4,$C83),Tabella1[CONC X VOTI IN TAB GIOC],Tabella1[Voto]),"")</f>
        <v/>
      </c>
      <c r="AE83" s="270" t="str">
        <f>_xlfn.IFNA(VLOOKUP(CONCATENATE(AE$4,$C83),'INSER DATA'!$A:$F,6,0),"")</f>
        <v/>
      </c>
      <c r="AF83" s="270" t="str">
        <f>_xlfn.IFNA(VLOOKUP(CONCATENATE(AF$4,$C83),'INSER DATA'!$A:$F,6,0),"")</f>
        <v/>
      </c>
      <c r="AG83" s="270" t="str">
        <f>_xlfn.IFNA(VLOOKUP(CONCATENATE(AG$4,$C83),'INSER DATA'!$A:$F,6,0),"")</f>
        <v/>
      </c>
      <c r="AH83" s="270" t="str">
        <f>_xlfn.IFNA(VLOOKUP(CONCATENATE(AH$4,$C83),'INSER DATA'!$A:$F,7,0),"")</f>
        <v/>
      </c>
      <c r="AI83" s="270" t="str">
        <f>_xlfn.IFNA(VLOOKUP(CONCATENATE(AI$4,$C83),'INSER DATA'!$A:$F,7,0),"")</f>
        <v/>
      </c>
      <c r="AJ83" s="270" t="str">
        <f>_xlfn.IFNA(VLOOKUP(CONCATENATE(AJ$4,$C83),'INSER DATA'!$A:$F,7,0),"")</f>
        <v/>
      </c>
      <c r="AK83" s="270" t="str">
        <f>_xlfn.IFNA(VLOOKUP(CONCATENATE(AK$4,$C83),'INSER DATA'!$A:$F,7,0),"")</f>
        <v/>
      </c>
      <c r="AL83" s="270" t="str">
        <f>_xlfn.IFNA(VLOOKUP(CONCATENATE(AL$4,$C83),'INSER DATA'!$A:$F,7,0),"")</f>
        <v/>
      </c>
      <c r="AM83" s="270" t="str">
        <f>_xlfn.IFNA(VLOOKUP(CONCATENATE(AM$4,$C83),'INSER DATA'!$A:$F,7,0),"")</f>
        <v/>
      </c>
      <c r="AN83" s="270" t="str">
        <f>_xlfn.IFNA(VLOOKUP(CONCATENATE(AN$4,$C83),'INSER DATA'!$A:$F,7,0),"")</f>
        <v/>
      </c>
      <c r="AO83" s="270" t="str">
        <f>_xlfn.IFNA(VLOOKUP(CONCATENATE(AO$4,$C83),'INSER DATA'!$A:$F,7,0),"")</f>
        <v/>
      </c>
      <c r="AP83" s="270" t="str">
        <f>_xlfn.IFNA(VLOOKUP(CONCATENATE(AP$4,$C83),'INSER DATA'!$A:$F,7,0),"")</f>
        <v/>
      </c>
      <c r="AQ83" s="270" t="str">
        <f>_xlfn.IFNA(VLOOKUP(CONCATENATE(AQ$4,$C83),'INSER DATA'!$A:$F,7,0),"")</f>
        <v/>
      </c>
      <c r="AR83" s="270" t="str">
        <f>_xlfn.IFNA(VLOOKUP(CONCATENATE(AR$4,$C83),'INSER DATA'!$A:$F,7,0),"")</f>
        <v/>
      </c>
      <c r="AS83" s="270" t="str">
        <f>_xlfn.IFNA(VLOOKUP(CONCATENATE(AS$4,$C83),'INSER DATA'!$A:$F,7,0),"")</f>
        <v/>
      </c>
      <c r="AT83" s="270" t="str">
        <f>_xlfn.IFNA(VLOOKUP(CONCATENATE(AT$4,$C83),'INSER DATA'!$A:$F,7,0),"")</f>
        <v/>
      </c>
      <c r="AU83" s="270" t="str">
        <f>_xlfn.IFNA(VLOOKUP(CONCATENATE(AU$4,$C83),'INSER DATA'!$A:$F,7,0),"")</f>
        <v/>
      </c>
      <c r="AV83" s="270" t="str">
        <f>_xlfn.IFNA(VLOOKUP(CONCATENATE(AV$4,$C83),'INSER DATA'!$A:$F,7,0),"")</f>
        <v/>
      </c>
      <c r="AW83" s="270" t="str">
        <f>_xlfn.IFNA(VLOOKUP(CONCATENATE(AW$4,$C83),'INSER DATA'!$A:$F,7,0),"")</f>
        <v/>
      </c>
      <c r="AX83" s="270" t="str">
        <f>_xlfn.IFNA(VLOOKUP(CONCATENATE(AX$4,$C83),'INSER DATA'!$A:$F,7,0),"")</f>
        <v/>
      </c>
      <c r="AY83" s="270" t="str">
        <f>_xlfn.IFNA(VLOOKUP(CONCATENATE(AY$4,$C83),'INSER DATA'!$A:$F,7,0),"")</f>
        <v/>
      </c>
      <c r="AZ83" s="270" t="str">
        <f>_xlfn.IFNA(VLOOKUP(CONCATENATE(AZ$4,$C83),'INSER DATA'!$A:$F,7,0),"")</f>
        <v/>
      </c>
      <c r="BA83" s="270" t="str">
        <f>_xlfn.IFNA(VLOOKUP(CONCATENATE(BA$4,$C83),'INSER DATA'!$A:$F,7,0),"")</f>
        <v/>
      </c>
      <c r="BB83" s="270" t="str">
        <f>_xlfn.IFNA(VLOOKUP(CONCATENATE(BB$4,$C83),'INSER DATA'!$A:$F,7,0),"")</f>
        <v/>
      </c>
      <c r="BC83" s="270" t="str">
        <f>_xlfn.IFNA(VLOOKUP(CONCATENATE(BC$4,$C83),'INSER DATA'!$A:$F,7,0),"")</f>
        <v/>
      </c>
      <c r="BD83" s="270" t="str">
        <f>_xlfn.IFNA(VLOOKUP(CONCATENATE(BD$4,$C83),'INSER DATA'!$A:$F,7,0),"")</f>
        <v/>
      </c>
      <c r="BE83" s="270" t="str">
        <f>_xlfn.IFNA(VLOOKUP(CONCATENATE(BE$4,$C83),'INSER DATA'!$A:$F,7,0),"")</f>
        <v/>
      </c>
      <c r="BF83" s="270" t="str">
        <f>_xlfn.IFNA(VLOOKUP(CONCATENATE(BF$4,$C83),'INSER DATA'!$A:$F,7,0),"")</f>
        <v/>
      </c>
      <c r="BG83" s="270" t="str">
        <f>_xlfn.IFNA(VLOOKUP(CONCATENATE(BG$4,$C83),'INSER DATA'!$A:$F,7,0),"")</f>
        <v/>
      </c>
      <c r="BH83" s="270" t="str">
        <f>_xlfn.IFNA(VLOOKUP(CONCATENATE(BH$4,$C83),'INSER DATA'!$A:$F,7,0),"")</f>
        <v/>
      </c>
      <c r="BI83" s="270" t="str">
        <f>_xlfn.IFNA(VLOOKUP(CONCATENATE(BI$4,$C83),'INSER DATA'!$A:$F,7,0),"")</f>
        <v/>
      </c>
      <c r="BJ83" s="270" t="str">
        <f>_xlfn.IFNA(VLOOKUP(CONCATENATE(BJ$4,$C83),'INSER DATA'!$A:$F,7,0),"")</f>
        <v/>
      </c>
      <c r="BK83" s="270" t="str">
        <f>_xlfn.IFNA(VLOOKUP(CONCATENATE(BK$4,$C83),'INSER DATA'!$A:$F,7,0),"")</f>
        <v/>
      </c>
      <c r="BL83" s="272"/>
      <c r="BM83" s="30"/>
      <c r="BN83" s="30"/>
      <c r="BO83" s="30"/>
      <c r="BP83" s="30"/>
      <c r="BQ83" s="30"/>
      <c r="BR83" s="30"/>
      <c r="BS83" s="30"/>
      <c r="BT83" s="30"/>
      <c r="BU83" s="30"/>
      <c r="BV83" s="30"/>
      <c r="BW83" s="30"/>
      <c r="BX83" s="30"/>
      <c r="BY83" s="30"/>
      <c r="BZ83" s="30"/>
      <c r="CA83" s="30"/>
      <c r="CB83" s="30"/>
      <c r="CC83" s="30"/>
      <c r="CD83" s="30"/>
      <c r="CE83" s="30"/>
      <c r="CF83" s="30"/>
      <c r="CG83" s="30"/>
      <c r="CH83" s="30"/>
      <c r="CI83" s="30"/>
      <c r="CJ83" s="30"/>
      <c r="CK83" s="30"/>
      <c r="CL83" s="30"/>
      <c r="CM83" s="30"/>
      <c r="CN83" s="30"/>
      <c r="CO83" s="30"/>
      <c r="CP83" s="30"/>
      <c r="CQ83" s="30"/>
      <c r="CR83" s="30"/>
      <c r="CS83" s="30"/>
      <c r="CT83" s="30"/>
      <c r="CU83" s="30"/>
      <c r="CV83" s="30"/>
      <c r="CW83" s="30"/>
      <c r="CX83" s="30"/>
      <c r="CY83" s="30"/>
      <c r="CZ83" s="30"/>
      <c r="DA83" s="30"/>
    </row>
    <row r="84" spans="1:105" ht="19.2" thickTop="1" thickBot="1" x14ac:dyDescent="0.4">
      <c r="A84" s="30"/>
      <c r="B84" s="30"/>
      <c r="C84" s="185" t="s">
        <v>687</v>
      </c>
      <c r="D84" s="46" t="s">
        <v>681</v>
      </c>
      <c r="E84" s="35" t="str">
        <f>_xlfn.XLOOKUP(Tabella4[[#This Row],[NOME]],'ROSE SQUADRE'!$N$3:$N$253,'ROSE SQUADRE'!$O$3:$O$253,"")</f>
        <v/>
      </c>
      <c r="F84" s="36" t="s">
        <v>161</v>
      </c>
      <c r="G84" s="43">
        <v>5</v>
      </c>
      <c r="H84" s="43">
        <v>5</v>
      </c>
      <c r="I84" s="44">
        <f t="shared" si="7"/>
        <v>0</v>
      </c>
      <c r="J84" s="37">
        <f t="shared" si="8"/>
        <v>2</v>
      </c>
      <c r="K84" s="178">
        <f t="shared" si="9"/>
        <v>6.25</v>
      </c>
      <c r="L84" s="178">
        <f t="shared" si="10"/>
        <v>6.25</v>
      </c>
      <c r="M84" s="179">
        <f t="shared" si="11"/>
        <v>12.5</v>
      </c>
      <c r="N84" s="45">
        <f t="shared" ca="1" si="12"/>
        <v>0</v>
      </c>
      <c r="O84" s="40">
        <f>SUMIF(Tabella1[Nome],Tabella4[[#This Row],[NOME]],Tabella1[Gf])</f>
        <v>0</v>
      </c>
      <c r="P84" s="40">
        <f>-(SUMIF(Tabella1[Nome],Tabella4[[#This Row],[NOME]],Tabella1[Gs]))</f>
        <v>0</v>
      </c>
      <c r="Q84" s="40">
        <f>SUMIF(Tabella1[Nome],Tabella4[[#This Row],[NOME]],Tabella1[Rp])</f>
        <v>0</v>
      </c>
      <c r="R84" s="40">
        <f>SUMIF(Tabella1[Nome],Tabella4[[#This Row],[NOME]],Tabella1[Rs])</f>
        <v>0</v>
      </c>
      <c r="S84" s="40">
        <f>SUMIF(Tabella1[Nome],Tabella4[[#This Row],[NOME]],Tabella1[Rf])</f>
        <v>0</v>
      </c>
      <c r="T84" s="40">
        <f>SUMIF(Tabella1[Nome],Tabella4[[#This Row],[NOME]],Tabella1[Au])</f>
        <v>0</v>
      </c>
      <c r="U84" s="41">
        <f>SUMIF(Tabella1[Nome],Tabella4[[#This Row],[NOME]],Tabella1[Amm])</f>
        <v>0</v>
      </c>
      <c r="V84" s="42">
        <f>SUMIF(Tabella1[Nome],Tabella4[[#This Row],[NOME]],Tabella1[Esp])</f>
        <v>0</v>
      </c>
      <c r="W84" s="40">
        <f>SUMIF(Tabella1[Nome],Tabella4[[#This Row],[NOME]],Tabella1[Ass])</f>
        <v>0</v>
      </c>
      <c r="X84" s="40">
        <f>SUMIF(Tabella1[Nome],Tabella4[[#This Row],[NOME]],Tabella1[Gdv])</f>
        <v>0</v>
      </c>
      <c r="Y84" s="40">
        <f>SUMIF(Tabella1[Nome],Tabella4[[#This Row],[NOME]],Tabella1[cl sh])</f>
        <v>0</v>
      </c>
      <c r="Z84" s="270" t="str">
        <f>_xlfn.IFNA(_xlfn.XLOOKUP(CONCATENATE(Z$4,$C84),Tabella1[CONC X VOTI IN TAB GIOC],Tabella1[Voto],""),"")</f>
        <v/>
      </c>
      <c r="AA84" s="270">
        <f>_xlfn.IFNA(_xlfn.XLOOKUP(CONCATENATE(AA$4,$C84),Tabella1[CONC X VOTI IN TAB GIOC],Tabella1[Voto],""),"")</f>
        <v>6.5</v>
      </c>
      <c r="AB84" s="270" t="str">
        <f>_xlfn.IFNA(_xlfn.XLOOKUP(CONCATENATE(AB$4,$C84),Tabella1[CONC X VOTI IN TAB GIOC],Tabella1[Voto]),"")</f>
        <v/>
      </c>
      <c r="AC84" s="270" cm="1">
        <f t="array" ref="AC84">_xlfn.IFNA(_xlfn.XLOOKUP(CONCATENATE(AC$4,$C84),INDEX(Tabella1[],0,MATCH("CONC X VOTI IN TAB GIOC",Tabella1[#Headers],0)),INDEX(Tabella1[],0,MATCH("Voto",Tabella1[#Headers],0))),"")</f>
        <v>6</v>
      </c>
      <c r="AD84" s="270" t="str">
        <f>_xlfn.IFNA(_xlfn.XLOOKUP(CONCATENATE(AD$4,$C84),Tabella1[CONC X VOTI IN TAB GIOC],Tabella1[Voto]),"")</f>
        <v/>
      </c>
      <c r="AE84" s="270" t="str">
        <f>_xlfn.IFNA(VLOOKUP(CONCATENATE(AE$4,$C84),'INSER DATA'!$A:$F,6,0),"")</f>
        <v/>
      </c>
      <c r="AF84" s="270" t="str">
        <f>_xlfn.IFNA(VLOOKUP(CONCATENATE(AF$4,$C84),'INSER DATA'!$A:$F,6,0),"")</f>
        <v/>
      </c>
      <c r="AG84" s="270" t="str">
        <f>_xlfn.IFNA(VLOOKUP(CONCATENATE(AG$4,$C84),'INSER DATA'!$A:$F,6,0),"")</f>
        <v/>
      </c>
      <c r="AH84" s="270" t="str">
        <f>_xlfn.IFNA(VLOOKUP(CONCATENATE(AH$4,$C84),'INSER DATA'!$A:$F,7,0),"")</f>
        <v/>
      </c>
      <c r="AI84" s="270" t="str">
        <f>_xlfn.IFNA(VLOOKUP(CONCATENATE(AI$4,$C84),'INSER DATA'!$A:$F,7,0),"")</f>
        <v/>
      </c>
      <c r="AJ84" s="270" t="str">
        <f>_xlfn.IFNA(VLOOKUP(CONCATENATE(AJ$4,$C84),'INSER DATA'!$A:$F,7,0),"")</f>
        <v/>
      </c>
      <c r="AK84" s="270" t="str">
        <f>_xlfn.IFNA(VLOOKUP(CONCATENATE(AK$4,$C84),'INSER DATA'!$A:$F,7,0),"")</f>
        <v/>
      </c>
      <c r="AL84" s="270" t="str">
        <f>_xlfn.IFNA(VLOOKUP(CONCATENATE(AL$4,$C84),'INSER DATA'!$A:$F,7,0),"")</f>
        <v/>
      </c>
      <c r="AM84" s="270" t="str">
        <f>_xlfn.IFNA(VLOOKUP(CONCATENATE(AM$4,$C84),'INSER DATA'!$A:$F,7,0),"")</f>
        <v/>
      </c>
      <c r="AN84" s="270" t="str">
        <f>_xlfn.IFNA(VLOOKUP(CONCATENATE(AN$4,$C84),'INSER DATA'!$A:$F,7,0),"")</f>
        <v/>
      </c>
      <c r="AO84" s="270" t="str">
        <f>_xlfn.IFNA(VLOOKUP(CONCATENATE(AO$4,$C84),'INSER DATA'!$A:$F,7,0),"")</f>
        <v/>
      </c>
      <c r="AP84" s="270" t="str">
        <f>_xlfn.IFNA(VLOOKUP(CONCATENATE(AP$4,$C84),'INSER DATA'!$A:$F,7,0),"")</f>
        <v/>
      </c>
      <c r="AQ84" s="270" t="str">
        <f>_xlfn.IFNA(VLOOKUP(CONCATENATE(AQ$4,$C84),'INSER DATA'!$A:$F,7,0),"")</f>
        <v/>
      </c>
      <c r="AR84" s="270" t="str">
        <f>_xlfn.IFNA(VLOOKUP(CONCATENATE(AR$4,$C84),'INSER DATA'!$A:$F,7,0),"")</f>
        <v/>
      </c>
      <c r="AS84" s="270" t="str">
        <f>_xlfn.IFNA(VLOOKUP(CONCATENATE(AS$4,$C84),'INSER DATA'!$A:$F,7,0),"")</f>
        <v/>
      </c>
      <c r="AT84" s="270" t="str">
        <f>_xlfn.IFNA(VLOOKUP(CONCATENATE(AT$4,$C84),'INSER DATA'!$A:$F,7,0),"")</f>
        <v/>
      </c>
      <c r="AU84" s="270" t="str">
        <f>_xlfn.IFNA(VLOOKUP(CONCATENATE(AU$4,$C84),'INSER DATA'!$A:$F,7,0),"")</f>
        <v/>
      </c>
      <c r="AV84" s="270" t="str">
        <f>_xlfn.IFNA(VLOOKUP(CONCATENATE(AV$4,$C84),'INSER DATA'!$A:$F,7,0),"")</f>
        <v/>
      </c>
      <c r="AW84" s="270" t="str">
        <f>_xlfn.IFNA(VLOOKUP(CONCATENATE(AW$4,$C84),'INSER DATA'!$A:$F,7,0),"")</f>
        <v/>
      </c>
      <c r="AX84" s="270" t="str">
        <f>_xlfn.IFNA(VLOOKUP(CONCATENATE(AX$4,$C84),'INSER DATA'!$A:$F,7,0),"")</f>
        <v/>
      </c>
      <c r="AY84" s="270" t="str">
        <f>_xlfn.IFNA(VLOOKUP(CONCATENATE(AY$4,$C84),'INSER DATA'!$A:$F,7,0),"")</f>
        <v/>
      </c>
      <c r="AZ84" s="270" t="str">
        <f>_xlfn.IFNA(VLOOKUP(CONCATENATE(AZ$4,$C84),'INSER DATA'!$A:$F,7,0),"")</f>
        <v/>
      </c>
      <c r="BA84" s="270" t="str">
        <f>_xlfn.IFNA(VLOOKUP(CONCATENATE(BA$4,$C84),'INSER DATA'!$A:$F,7,0),"")</f>
        <v/>
      </c>
      <c r="BB84" s="270" t="str">
        <f>_xlfn.IFNA(VLOOKUP(CONCATENATE(BB$4,$C84),'INSER DATA'!$A:$F,7,0),"")</f>
        <v/>
      </c>
      <c r="BC84" s="270" t="str">
        <f>_xlfn.IFNA(VLOOKUP(CONCATENATE(BC$4,$C84),'INSER DATA'!$A:$F,7,0),"")</f>
        <v/>
      </c>
      <c r="BD84" s="270" t="str">
        <f>_xlfn.IFNA(VLOOKUP(CONCATENATE(BD$4,$C84),'INSER DATA'!$A:$F,7,0),"")</f>
        <v/>
      </c>
      <c r="BE84" s="270" t="str">
        <f>_xlfn.IFNA(VLOOKUP(CONCATENATE(BE$4,$C84),'INSER DATA'!$A:$F,7,0),"")</f>
        <v/>
      </c>
      <c r="BF84" s="270" t="str">
        <f>_xlfn.IFNA(VLOOKUP(CONCATENATE(BF$4,$C84),'INSER DATA'!$A:$F,7,0),"")</f>
        <v/>
      </c>
      <c r="BG84" s="270" t="str">
        <f>_xlfn.IFNA(VLOOKUP(CONCATENATE(BG$4,$C84),'INSER DATA'!$A:$F,7,0),"")</f>
        <v/>
      </c>
      <c r="BH84" s="270" t="str">
        <f>_xlfn.IFNA(VLOOKUP(CONCATENATE(BH$4,$C84),'INSER DATA'!$A:$F,7,0),"")</f>
        <v/>
      </c>
      <c r="BI84" s="270" t="str">
        <f>_xlfn.IFNA(VLOOKUP(CONCATENATE(BI$4,$C84),'INSER DATA'!$A:$F,7,0),"")</f>
        <v/>
      </c>
      <c r="BJ84" s="270" t="str">
        <f>_xlfn.IFNA(VLOOKUP(CONCATENATE(BJ$4,$C84),'INSER DATA'!$A:$F,7,0),"")</f>
        <v/>
      </c>
      <c r="BK84" s="270" t="str">
        <f>_xlfn.IFNA(VLOOKUP(CONCATENATE(BK$4,$C84),'INSER DATA'!$A:$F,7,0),"")</f>
        <v/>
      </c>
      <c r="BL84" s="272"/>
      <c r="BM84" s="30"/>
      <c r="BN84" s="30"/>
      <c r="BO84" s="30"/>
      <c r="BP84" s="30"/>
      <c r="BQ84" s="30"/>
      <c r="BR84" s="30"/>
      <c r="BS84" s="30"/>
      <c r="BT84" s="30"/>
      <c r="BU84" s="30"/>
      <c r="BV84" s="30"/>
      <c r="BW84" s="30"/>
      <c r="BX84" s="30"/>
      <c r="BY84" s="30"/>
      <c r="BZ84" s="30"/>
      <c r="CA84" s="30"/>
      <c r="CB84" s="30"/>
      <c r="CC84" s="30"/>
      <c r="CD84" s="30"/>
      <c r="CE84" s="30"/>
      <c r="CF84" s="30"/>
      <c r="CG84" s="30"/>
      <c r="CH84" s="30"/>
      <c r="CI84" s="30"/>
      <c r="CJ84" s="30"/>
      <c r="CK84" s="30"/>
      <c r="CL84" s="30"/>
      <c r="CM84" s="30"/>
      <c r="CN84" s="30"/>
      <c r="CO84" s="30"/>
      <c r="CP84" s="30"/>
      <c r="CQ84" s="30"/>
      <c r="CR84" s="30"/>
      <c r="CS84" s="30"/>
      <c r="CT84" s="30"/>
      <c r="CU84" s="30"/>
      <c r="CV84" s="30"/>
      <c r="CW84" s="30"/>
      <c r="CX84" s="30"/>
      <c r="CY84" s="30"/>
      <c r="CZ84" s="30"/>
      <c r="DA84" s="30"/>
    </row>
    <row r="85" spans="1:105" ht="19.2" thickTop="1" thickBot="1" x14ac:dyDescent="0.4">
      <c r="A85" s="30"/>
      <c r="B85" s="30"/>
      <c r="C85" s="356" t="s">
        <v>693</v>
      </c>
      <c r="D85" s="357" t="s">
        <v>681</v>
      </c>
      <c r="E85" s="35" t="str">
        <f>_xlfn.XLOOKUP(Tabella4[[#This Row],[NOME]],'ROSE SQUADRE'!$N$3:$N$253,'ROSE SQUADRE'!$O$3:$O$253,"")</f>
        <v>SESTO ASENSIO</v>
      </c>
      <c r="F85" s="36" t="s">
        <v>162</v>
      </c>
      <c r="G85" s="43">
        <v>19</v>
      </c>
      <c r="H85" s="43">
        <v>19</v>
      </c>
      <c r="I85" s="44">
        <f t="shared" si="7"/>
        <v>0</v>
      </c>
      <c r="J85" s="37">
        <f t="shared" si="8"/>
        <v>4</v>
      </c>
      <c r="K85" s="178">
        <f t="shared" si="9"/>
        <v>6.5</v>
      </c>
      <c r="L85" s="178">
        <f t="shared" si="10"/>
        <v>7.875</v>
      </c>
      <c r="M85" s="179">
        <f t="shared" si="11"/>
        <v>31.5</v>
      </c>
      <c r="N85" s="45">
        <f t="shared" ca="1" si="12"/>
        <v>0</v>
      </c>
      <c r="O85" s="40">
        <f>SUMIF(Tabella1[Nome],Tabella4[[#This Row],[NOME]],Tabella1[Gf])</f>
        <v>2</v>
      </c>
      <c r="P85" s="40">
        <f>-(SUMIF(Tabella1[Nome],Tabella4[[#This Row],[NOME]],Tabella1[Gs]))</f>
        <v>0</v>
      </c>
      <c r="Q85" s="40">
        <f>SUMIF(Tabella1[Nome],Tabella4[[#This Row],[NOME]],Tabella1[Rp])</f>
        <v>0</v>
      </c>
      <c r="R85" s="40">
        <f>SUMIF(Tabella1[Nome],Tabella4[[#This Row],[NOME]],Tabella1[Rs])</f>
        <v>0</v>
      </c>
      <c r="S85" s="40">
        <f>SUMIF(Tabella1[Nome],Tabella4[[#This Row],[NOME]],Tabella1[Rf])</f>
        <v>0</v>
      </c>
      <c r="T85" s="40">
        <f>SUMIF(Tabella1[Nome],Tabella4[[#This Row],[NOME]],Tabella1[Au])</f>
        <v>0</v>
      </c>
      <c r="U85" s="41">
        <f>SUMIF(Tabella1[Nome],Tabella4[[#This Row],[NOME]],Tabella1[Amm])</f>
        <v>1</v>
      </c>
      <c r="V85" s="42">
        <f>SUMIF(Tabella1[Nome],Tabella4[[#This Row],[NOME]],Tabella1[Esp])</f>
        <v>0</v>
      </c>
      <c r="W85" s="40">
        <f>SUMIF(Tabella1[Nome],Tabella4[[#This Row],[NOME]],Tabella1[Ass])</f>
        <v>0</v>
      </c>
      <c r="X85" s="40">
        <f>SUMIF(Tabella1[Nome],Tabella4[[#This Row],[NOME]],Tabella1[Gdv])</f>
        <v>0</v>
      </c>
      <c r="Y85" s="40">
        <f>SUMIF(Tabella1[Nome],Tabella4[[#This Row],[NOME]],Tabella1[cl sh])</f>
        <v>0</v>
      </c>
      <c r="Z85" s="270">
        <f>_xlfn.IFNA(_xlfn.XLOOKUP(CONCATENATE(Z$4,$C85),Tabella1[CONC X VOTI IN TAB GIOC],Tabella1[Voto],""),"")</f>
        <v>5.5</v>
      </c>
      <c r="AA85" s="270">
        <f>_xlfn.IFNA(_xlfn.XLOOKUP(CONCATENATE(AA$4,$C85),Tabella1[CONC X VOTI IN TAB GIOC],Tabella1[Voto],""),"")</f>
        <v>7.5</v>
      </c>
      <c r="AB85" s="270">
        <f>_xlfn.IFNA(_xlfn.XLOOKUP(CONCATENATE(AB$4,$C85),Tabella1[CONC X VOTI IN TAB GIOC],Tabella1[Voto]),"")</f>
        <v>7</v>
      </c>
      <c r="AC85" s="270" cm="1">
        <f t="array" ref="AC85">_xlfn.IFNA(_xlfn.XLOOKUP(CONCATENATE(AC$4,$C85),INDEX(Tabella1[],0,MATCH("CONC X VOTI IN TAB GIOC",Tabella1[#Headers],0)),INDEX(Tabella1[],0,MATCH("Voto",Tabella1[#Headers],0))),"")</f>
        <v>6</v>
      </c>
      <c r="AD85" s="270" t="str">
        <f>_xlfn.IFNA(_xlfn.XLOOKUP(CONCATENATE(AD$4,$C85),Tabella1[CONC X VOTI IN TAB GIOC],Tabella1[Voto]),"")</f>
        <v/>
      </c>
      <c r="AE85" s="270" t="str">
        <f>_xlfn.IFNA(VLOOKUP(CONCATENATE(AE$4,$C85),'INSER DATA'!$A:$F,6,0),"")</f>
        <v/>
      </c>
      <c r="AF85" s="270" t="str">
        <f>_xlfn.IFNA(VLOOKUP(CONCATENATE(AF$4,$C85),'INSER DATA'!$A:$F,6,0),"")</f>
        <v/>
      </c>
      <c r="AG85" s="270" t="str">
        <f>_xlfn.IFNA(VLOOKUP(CONCATENATE(AG$4,$C85),'INSER DATA'!$A:$F,6,0),"")</f>
        <v/>
      </c>
      <c r="AH85" s="270" t="str">
        <f>_xlfn.IFNA(VLOOKUP(CONCATENATE(AH$4,$C85),'INSER DATA'!$A:$F,7,0),"")</f>
        <v/>
      </c>
      <c r="AI85" s="270" t="str">
        <f>_xlfn.IFNA(VLOOKUP(CONCATENATE(AI$4,$C85),'INSER DATA'!$A:$F,7,0),"")</f>
        <v/>
      </c>
      <c r="AJ85" s="270" t="str">
        <f>_xlfn.IFNA(VLOOKUP(CONCATENATE(AJ$4,$C85),'INSER DATA'!$A:$F,7,0),"")</f>
        <v/>
      </c>
      <c r="AK85" s="270" t="str">
        <f>_xlfn.IFNA(VLOOKUP(CONCATENATE(AK$4,$C85),'INSER DATA'!$A:$F,7,0),"")</f>
        <v/>
      </c>
      <c r="AL85" s="270" t="str">
        <f>_xlfn.IFNA(VLOOKUP(CONCATENATE(AL$4,$C85),'INSER DATA'!$A:$F,7,0),"")</f>
        <v/>
      </c>
      <c r="AM85" s="270" t="str">
        <f>_xlfn.IFNA(VLOOKUP(CONCATENATE(AM$4,$C85),'INSER DATA'!$A:$F,7,0),"")</f>
        <v/>
      </c>
      <c r="AN85" s="270" t="str">
        <f>_xlfn.IFNA(VLOOKUP(CONCATENATE(AN$4,$C85),'INSER DATA'!$A:$F,7,0),"")</f>
        <v/>
      </c>
      <c r="AO85" s="270" t="str">
        <f>_xlfn.IFNA(VLOOKUP(CONCATENATE(AO$4,$C85),'INSER DATA'!$A:$F,7,0),"")</f>
        <v/>
      </c>
      <c r="AP85" s="270" t="str">
        <f>_xlfn.IFNA(VLOOKUP(CONCATENATE(AP$4,$C85),'INSER DATA'!$A:$F,7,0),"")</f>
        <v/>
      </c>
      <c r="AQ85" s="270" t="str">
        <f>_xlfn.IFNA(VLOOKUP(CONCATENATE(AQ$4,$C85),'INSER DATA'!$A:$F,7,0),"")</f>
        <v/>
      </c>
      <c r="AR85" s="270" t="str">
        <f>_xlfn.IFNA(VLOOKUP(CONCATENATE(AR$4,$C85),'INSER DATA'!$A:$F,7,0),"")</f>
        <v/>
      </c>
      <c r="AS85" s="270" t="str">
        <f>_xlfn.IFNA(VLOOKUP(CONCATENATE(AS$4,$C85),'INSER DATA'!$A:$F,7,0),"")</f>
        <v/>
      </c>
      <c r="AT85" s="270" t="str">
        <f>_xlfn.IFNA(VLOOKUP(CONCATENATE(AT$4,$C85),'INSER DATA'!$A:$F,7,0),"")</f>
        <v/>
      </c>
      <c r="AU85" s="270" t="str">
        <f>_xlfn.IFNA(VLOOKUP(CONCATENATE(AU$4,$C85),'INSER DATA'!$A:$F,7,0),"")</f>
        <v/>
      </c>
      <c r="AV85" s="270" t="str">
        <f>_xlfn.IFNA(VLOOKUP(CONCATENATE(AV$4,$C85),'INSER DATA'!$A:$F,7,0),"")</f>
        <v/>
      </c>
      <c r="AW85" s="270" t="str">
        <f>_xlfn.IFNA(VLOOKUP(CONCATENATE(AW$4,$C85),'INSER DATA'!$A:$F,7,0),"")</f>
        <v/>
      </c>
      <c r="AX85" s="270" t="str">
        <f>_xlfn.IFNA(VLOOKUP(CONCATENATE(AX$4,$C85),'INSER DATA'!$A:$F,7,0),"")</f>
        <v/>
      </c>
      <c r="AY85" s="270" t="str">
        <f>_xlfn.IFNA(VLOOKUP(CONCATENATE(AY$4,$C85),'INSER DATA'!$A:$F,7,0),"")</f>
        <v/>
      </c>
      <c r="AZ85" s="270" t="str">
        <f>_xlfn.IFNA(VLOOKUP(CONCATENATE(AZ$4,$C85),'INSER DATA'!$A:$F,7,0),"")</f>
        <v/>
      </c>
      <c r="BA85" s="270" t="str">
        <f>_xlfn.IFNA(VLOOKUP(CONCATENATE(BA$4,$C85),'INSER DATA'!$A:$F,7,0),"")</f>
        <v/>
      </c>
      <c r="BB85" s="270" t="str">
        <f>_xlfn.IFNA(VLOOKUP(CONCATENATE(BB$4,$C85),'INSER DATA'!$A:$F,7,0),"")</f>
        <v/>
      </c>
      <c r="BC85" s="270" t="str">
        <f>_xlfn.IFNA(VLOOKUP(CONCATENATE(BC$4,$C85),'INSER DATA'!$A:$F,7,0),"")</f>
        <v/>
      </c>
      <c r="BD85" s="270" t="str">
        <f>_xlfn.IFNA(VLOOKUP(CONCATENATE(BD$4,$C85),'INSER DATA'!$A:$F,7,0),"")</f>
        <v/>
      </c>
      <c r="BE85" s="270" t="str">
        <f>_xlfn.IFNA(VLOOKUP(CONCATENATE(BE$4,$C85),'INSER DATA'!$A:$F,7,0),"")</f>
        <v/>
      </c>
      <c r="BF85" s="270" t="str">
        <f>_xlfn.IFNA(VLOOKUP(CONCATENATE(BF$4,$C85),'INSER DATA'!$A:$F,7,0),"")</f>
        <v/>
      </c>
      <c r="BG85" s="270" t="str">
        <f>_xlfn.IFNA(VLOOKUP(CONCATENATE(BG$4,$C85),'INSER DATA'!$A:$F,7,0),"")</f>
        <v/>
      </c>
      <c r="BH85" s="270" t="str">
        <f>_xlfn.IFNA(VLOOKUP(CONCATENATE(BH$4,$C85),'INSER DATA'!$A:$F,7,0),"")</f>
        <v/>
      </c>
      <c r="BI85" s="270" t="str">
        <f>_xlfn.IFNA(VLOOKUP(CONCATENATE(BI$4,$C85),'INSER DATA'!$A:$F,7,0),"")</f>
        <v/>
      </c>
      <c r="BJ85" s="270" t="str">
        <f>_xlfn.IFNA(VLOOKUP(CONCATENATE(BJ$4,$C85),'INSER DATA'!$A:$F,7,0),"")</f>
        <v/>
      </c>
      <c r="BK85" s="270" t="str">
        <f>_xlfn.IFNA(VLOOKUP(CONCATENATE(BK$4,$C85),'INSER DATA'!$A:$F,7,0),"")</f>
        <v/>
      </c>
      <c r="BL85" s="272"/>
      <c r="BM85" s="30"/>
      <c r="BN85" s="30"/>
      <c r="BO85" s="30"/>
      <c r="BP85" s="30"/>
      <c r="BQ85" s="30"/>
      <c r="BR85" s="30"/>
      <c r="BS85" s="30"/>
      <c r="BT85" s="30"/>
      <c r="BU85" s="30"/>
      <c r="BV85" s="30"/>
      <c r="BW85" s="30"/>
      <c r="BX85" s="30"/>
      <c r="BY85" s="30"/>
      <c r="BZ85" s="30"/>
      <c r="CA85" s="30"/>
      <c r="CB85" s="30"/>
      <c r="CC85" s="30"/>
      <c r="CD85" s="30"/>
      <c r="CE85" s="30"/>
      <c r="CF85" s="30"/>
      <c r="CG85" s="30"/>
      <c r="CH85" s="30"/>
      <c r="CI85" s="30"/>
      <c r="CJ85" s="30"/>
      <c r="CK85" s="30"/>
      <c r="CL85" s="30"/>
      <c r="CM85" s="30"/>
      <c r="CN85" s="30"/>
      <c r="CO85" s="30"/>
      <c r="CP85" s="30"/>
      <c r="CQ85" s="30"/>
      <c r="CR85" s="30"/>
      <c r="CS85" s="30"/>
      <c r="CT85" s="30"/>
      <c r="CU85" s="30"/>
      <c r="CV85" s="30"/>
      <c r="CW85" s="30"/>
      <c r="CX85" s="30"/>
      <c r="CY85" s="30"/>
      <c r="CZ85" s="30"/>
      <c r="DA85" s="30"/>
    </row>
    <row r="86" spans="1:105" ht="19.2" thickTop="1" thickBot="1" x14ac:dyDescent="0.4">
      <c r="A86" s="30"/>
      <c r="B86" s="30"/>
      <c r="C86" s="354" t="s">
        <v>517</v>
      </c>
      <c r="D86" s="357" t="s">
        <v>681</v>
      </c>
      <c r="E86" s="35" t="str">
        <f>_xlfn.XLOOKUP(Tabella4[[#This Row],[NOME]],'ROSE SQUADRE'!$N$3:$N$253,'ROSE SQUADRE'!$O$3:$O$253,"")</f>
        <v>PARTIZAN DEGRADO</v>
      </c>
      <c r="F86" s="36" t="s">
        <v>162</v>
      </c>
      <c r="G86" s="43">
        <v>18</v>
      </c>
      <c r="H86" s="43">
        <v>18</v>
      </c>
      <c r="I86" s="44">
        <f t="shared" si="7"/>
        <v>0</v>
      </c>
      <c r="J86" s="37">
        <f t="shared" si="8"/>
        <v>4</v>
      </c>
      <c r="K86" s="178">
        <f t="shared" si="9"/>
        <v>6.375</v>
      </c>
      <c r="L86" s="178">
        <f t="shared" si="10"/>
        <v>6.375</v>
      </c>
      <c r="M86" s="179">
        <f t="shared" si="11"/>
        <v>25.5</v>
      </c>
      <c r="N86" s="45">
        <f t="shared" ca="1" si="12"/>
        <v>0</v>
      </c>
      <c r="O86" s="40">
        <f>SUMIF(Tabella1[Nome],Tabella4[[#This Row],[NOME]],Tabella1[Gf])</f>
        <v>0</v>
      </c>
      <c r="P86" s="40">
        <f>-(SUMIF(Tabella1[Nome],Tabella4[[#This Row],[NOME]],Tabella1[Gs]))</f>
        <v>0</v>
      </c>
      <c r="Q86" s="40">
        <f>SUMIF(Tabella1[Nome],Tabella4[[#This Row],[NOME]],Tabella1[Rp])</f>
        <v>0</v>
      </c>
      <c r="R86" s="40">
        <f>SUMIF(Tabella1[Nome],Tabella4[[#This Row],[NOME]],Tabella1[Rs])</f>
        <v>0</v>
      </c>
      <c r="S86" s="40">
        <f>SUMIF(Tabella1[Nome],Tabella4[[#This Row],[NOME]],Tabella1[Rf])</f>
        <v>0</v>
      </c>
      <c r="T86" s="40">
        <f>SUMIF(Tabella1[Nome],Tabella4[[#This Row],[NOME]],Tabella1[Au])</f>
        <v>0</v>
      </c>
      <c r="U86" s="41">
        <f>SUMIF(Tabella1[Nome],Tabella4[[#This Row],[NOME]],Tabella1[Amm])</f>
        <v>0</v>
      </c>
      <c r="V86" s="42">
        <f>SUMIF(Tabella1[Nome],Tabella4[[#This Row],[NOME]],Tabella1[Esp])</f>
        <v>0</v>
      </c>
      <c r="W86" s="40">
        <f>SUMIF(Tabella1[Nome],Tabella4[[#This Row],[NOME]],Tabella1[Ass])</f>
        <v>0</v>
      </c>
      <c r="X86" s="40">
        <f>SUMIF(Tabella1[Nome],Tabella4[[#This Row],[NOME]],Tabella1[Gdv])</f>
        <v>0</v>
      </c>
      <c r="Y86" s="40">
        <f>SUMIF(Tabella1[Nome],Tabella4[[#This Row],[NOME]],Tabella1[cl sh])</f>
        <v>0</v>
      </c>
      <c r="Z86" s="270">
        <f>_xlfn.IFNA(_xlfn.XLOOKUP(CONCATENATE(Z$4,$C86),Tabella1[CONC X VOTI IN TAB GIOC],Tabella1[Voto],""),"")</f>
        <v>6</v>
      </c>
      <c r="AA86" s="270">
        <f>_xlfn.IFNA(_xlfn.XLOOKUP(CONCATENATE(AA$4,$C86),Tabella1[CONC X VOTI IN TAB GIOC],Tabella1[Voto],""),"")</f>
        <v>6.5</v>
      </c>
      <c r="AB86" s="270">
        <f>_xlfn.IFNA(_xlfn.XLOOKUP(CONCATENATE(AB$4,$C86),Tabella1[CONC X VOTI IN TAB GIOC],Tabella1[Voto]),"")</f>
        <v>6.5</v>
      </c>
      <c r="AC86" s="270" cm="1">
        <f t="array" ref="AC86">_xlfn.IFNA(_xlfn.XLOOKUP(CONCATENATE(AC$4,$C86),INDEX(Tabella1[],0,MATCH("CONC X VOTI IN TAB GIOC",Tabella1[#Headers],0)),INDEX(Tabella1[],0,MATCH("Voto",Tabella1[#Headers],0))),"")</f>
        <v>6.5</v>
      </c>
      <c r="AD86" s="270" t="str">
        <f>_xlfn.IFNA(_xlfn.XLOOKUP(CONCATENATE(AD$4,$C86),Tabella1[CONC X VOTI IN TAB GIOC],Tabella1[Voto]),"")</f>
        <v/>
      </c>
      <c r="AE86" s="270" t="str">
        <f>_xlfn.IFNA(VLOOKUP(CONCATENATE(AE$4,$C86),'INSER DATA'!$A:$F,6,0),"")</f>
        <v/>
      </c>
      <c r="AF86" s="270" t="str">
        <f>_xlfn.IFNA(VLOOKUP(CONCATENATE(AF$4,$C86),'INSER DATA'!$A:$F,6,0),"")</f>
        <v/>
      </c>
      <c r="AG86" s="270" t="str">
        <f>_xlfn.IFNA(VLOOKUP(CONCATENATE(AG$4,$C86),'INSER DATA'!$A:$F,6,0),"")</f>
        <v/>
      </c>
      <c r="AH86" s="270" t="str">
        <f>_xlfn.IFNA(VLOOKUP(CONCATENATE(AH$4,$C86),'INSER DATA'!$A:$F,7,0),"")</f>
        <v/>
      </c>
      <c r="AI86" s="270" t="str">
        <f>_xlfn.IFNA(VLOOKUP(CONCATENATE(AI$4,$C86),'INSER DATA'!$A:$F,7,0),"")</f>
        <v/>
      </c>
      <c r="AJ86" s="270" t="str">
        <f>_xlfn.IFNA(VLOOKUP(CONCATENATE(AJ$4,$C86),'INSER DATA'!$A:$F,7,0),"")</f>
        <v/>
      </c>
      <c r="AK86" s="270" t="str">
        <f>_xlfn.IFNA(VLOOKUP(CONCATENATE(AK$4,$C86),'INSER DATA'!$A:$F,7,0),"")</f>
        <v/>
      </c>
      <c r="AL86" s="270" t="str">
        <f>_xlfn.IFNA(VLOOKUP(CONCATENATE(AL$4,$C86),'INSER DATA'!$A:$F,7,0),"")</f>
        <v/>
      </c>
      <c r="AM86" s="270" t="str">
        <f>_xlfn.IFNA(VLOOKUP(CONCATENATE(AM$4,$C86),'INSER DATA'!$A:$F,7,0),"")</f>
        <v/>
      </c>
      <c r="AN86" s="270" t="str">
        <f>_xlfn.IFNA(VLOOKUP(CONCATENATE(AN$4,$C86),'INSER DATA'!$A:$F,7,0),"")</f>
        <v/>
      </c>
      <c r="AO86" s="270" t="str">
        <f>_xlfn.IFNA(VLOOKUP(CONCATENATE(AO$4,$C86),'INSER DATA'!$A:$F,7,0),"")</f>
        <v/>
      </c>
      <c r="AP86" s="270" t="str">
        <f>_xlfn.IFNA(VLOOKUP(CONCATENATE(AP$4,$C86),'INSER DATA'!$A:$F,7,0),"")</f>
        <v/>
      </c>
      <c r="AQ86" s="270" t="str">
        <f>_xlfn.IFNA(VLOOKUP(CONCATENATE(AQ$4,$C86),'INSER DATA'!$A:$F,7,0),"")</f>
        <v/>
      </c>
      <c r="AR86" s="270" t="str">
        <f>_xlfn.IFNA(VLOOKUP(CONCATENATE(AR$4,$C86),'INSER DATA'!$A:$F,7,0),"")</f>
        <v/>
      </c>
      <c r="AS86" s="270" t="str">
        <f>_xlfn.IFNA(VLOOKUP(CONCATENATE(AS$4,$C86),'INSER DATA'!$A:$F,7,0),"")</f>
        <v/>
      </c>
      <c r="AT86" s="270" t="str">
        <f>_xlfn.IFNA(VLOOKUP(CONCATENATE(AT$4,$C86),'INSER DATA'!$A:$F,7,0),"")</f>
        <v/>
      </c>
      <c r="AU86" s="270" t="str">
        <f>_xlfn.IFNA(VLOOKUP(CONCATENATE(AU$4,$C86),'INSER DATA'!$A:$F,7,0),"")</f>
        <v/>
      </c>
      <c r="AV86" s="270" t="str">
        <f>_xlfn.IFNA(VLOOKUP(CONCATENATE(AV$4,$C86),'INSER DATA'!$A:$F,7,0),"")</f>
        <v/>
      </c>
      <c r="AW86" s="270" t="str">
        <f>_xlfn.IFNA(VLOOKUP(CONCATENATE(AW$4,$C86),'INSER DATA'!$A:$F,7,0),"")</f>
        <v/>
      </c>
      <c r="AX86" s="270" t="str">
        <f>_xlfn.IFNA(VLOOKUP(CONCATENATE(AX$4,$C86),'INSER DATA'!$A:$F,7,0),"")</f>
        <v/>
      </c>
      <c r="AY86" s="270" t="str">
        <f>_xlfn.IFNA(VLOOKUP(CONCATENATE(AY$4,$C86),'INSER DATA'!$A:$F,7,0),"")</f>
        <v/>
      </c>
      <c r="AZ86" s="270" t="str">
        <f>_xlfn.IFNA(VLOOKUP(CONCATENATE(AZ$4,$C86),'INSER DATA'!$A:$F,7,0),"")</f>
        <v/>
      </c>
      <c r="BA86" s="270" t="str">
        <f>_xlfn.IFNA(VLOOKUP(CONCATENATE(BA$4,$C86),'INSER DATA'!$A:$F,7,0),"")</f>
        <v/>
      </c>
      <c r="BB86" s="270" t="str">
        <f>_xlfn.IFNA(VLOOKUP(CONCATENATE(BB$4,$C86),'INSER DATA'!$A:$F,7,0),"")</f>
        <v/>
      </c>
      <c r="BC86" s="270" t="str">
        <f>_xlfn.IFNA(VLOOKUP(CONCATENATE(BC$4,$C86),'INSER DATA'!$A:$F,7,0),"")</f>
        <v/>
      </c>
      <c r="BD86" s="270" t="str">
        <f>_xlfn.IFNA(VLOOKUP(CONCATENATE(BD$4,$C86),'INSER DATA'!$A:$F,7,0),"")</f>
        <v/>
      </c>
      <c r="BE86" s="270" t="str">
        <f>_xlfn.IFNA(VLOOKUP(CONCATENATE(BE$4,$C86),'INSER DATA'!$A:$F,7,0),"")</f>
        <v/>
      </c>
      <c r="BF86" s="270" t="str">
        <f>_xlfn.IFNA(VLOOKUP(CONCATENATE(BF$4,$C86),'INSER DATA'!$A:$F,7,0),"")</f>
        <v/>
      </c>
      <c r="BG86" s="270" t="str">
        <f>_xlfn.IFNA(VLOOKUP(CONCATENATE(BG$4,$C86),'INSER DATA'!$A:$F,7,0),"")</f>
        <v/>
      </c>
      <c r="BH86" s="270" t="str">
        <f>_xlfn.IFNA(VLOOKUP(CONCATENATE(BH$4,$C86),'INSER DATA'!$A:$F,7,0),"")</f>
        <v/>
      </c>
      <c r="BI86" s="270" t="str">
        <f>_xlfn.IFNA(VLOOKUP(CONCATENATE(BI$4,$C86),'INSER DATA'!$A:$F,7,0),"")</f>
        <v/>
      </c>
      <c r="BJ86" s="270" t="str">
        <f>_xlfn.IFNA(VLOOKUP(CONCATENATE(BJ$4,$C86),'INSER DATA'!$A:$F,7,0),"")</f>
        <v/>
      </c>
      <c r="BK86" s="270" t="str">
        <f>_xlfn.IFNA(VLOOKUP(CONCATENATE(BK$4,$C86),'INSER DATA'!$A:$F,7,0),"")</f>
        <v/>
      </c>
      <c r="BL86" s="272"/>
      <c r="BM86" s="30"/>
      <c r="BN86" s="30"/>
      <c r="BO86" s="30"/>
      <c r="BP86" s="30"/>
      <c r="BQ86" s="30"/>
      <c r="BR86" s="30"/>
      <c r="BS86" s="30"/>
      <c r="BT86" s="30"/>
      <c r="BU86" s="30"/>
      <c r="BV86" s="30"/>
      <c r="BW86" s="30"/>
      <c r="BX86" s="30"/>
      <c r="BY86" s="30"/>
      <c r="BZ86" s="30"/>
      <c r="CA86" s="30"/>
      <c r="CB86" s="30"/>
      <c r="CC86" s="30"/>
      <c r="CD86" s="30"/>
      <c r="CE86" s="30"/>
      <c r="CF86" s="30"/>
      <c r="CG86" s="30"/>
      <c r="CH86" s="30"/>
      <c r="CI86" s="30"/>
      <c r="CJ86" s="30"/>
      <c r="CK86" s="30"/>
      <c r="CL86" s="30"/>
      <c r="CM86" s="30"/>
      <c r="CN86" s="30"/>
      <c r="CO86" s="30"/>
      <c r="CP86" s="30"/>
      <c r="CQ86" s="30"/>
      <c r="CR86" s="30"/>
      <c r="CS86" s="30"/>
      <c r="CT86" s="30"/>
      <c r="CU86" s="30"/>
      <c r="CV86" s="30"/>
      <c r="CW86" s="30"/>
      <c r="CX86" s="30"/>
      <c r="CY86" s="30"/>
      <c r="CZ86" s="30"/>
      <c r="DA86" s="30"/>
    </row>
    <row r="87" spans="1:105" ht="19.2" thickTop="1" thickBot="1" x14ac:dyDescent="0.4">
      <c r="A87" s="30"/>
      <c r="B87" s="30"/>
      <c r="C87" s="354" t="s">
        <v>701</v>
      </c>
      <c r="D87" s="357" t="s">
        <v>681</v>
      </c>
      <c r="E87" s="35" t="str">
        <f>_xlfn.XLOOKUP(Tabella4[[#This Row],[NOME]],'ROSE SQUADRE'!$N$3:$N$253,'ROSE SQUADRE'!$O$3:$O$253,"")</f>
        <v>PESCICULINI</v>
      </c>
      <c r="F87" s="36" t="s">
        <v>163</v>
      </c>
      <c r="G87" s="43">
        <v>11</v>
      </c>
      <c r="H87" s="43">
        <v>11</v>
      </c>
      <c r="I87" s="44">
        <f t="shared" si="7"/>
        <v>0</v>
      </c>
      <c r="J87" s="37">
        <f t="shared" si="8"/>
        <v>4</v>
      </c>
      <c r="K87" s="178">
        <f t="shared" si="9"/>
        <v>6.625</v>
      </c>
      <c r="L87" s="178">
        <f t="shared" si="10"/>
        <v>8.625</v>
      </c>
      <c r="M87" s="179">
        <f t="shared" si="11"/>
        <v>34.5</v>
      </c>
      <c r="N87" s="45">
        <f t="shared" ca="1" si="12"/>
        <v>0</v>
      </c>
      <c r="O87" s="40">
        <f>SUMIF(Tabella1[Nome],Tabella4[[#This Row],[NOME]],Tabella1[Gf])</f>
        <v>2</v>
      </c>
      <c r="P87" s="40">
        <f>-(SUMIF(Tabella1[Nome],Tabella4[[#This Row],[NOME]],Tabella1[Gs]))</f>
        <v>0</v>
      </c>
      <c r="Q87" s="40">
        <f>SUMIF(Tabella1[Nome],Tabella4[[#This Row],[NOME]],Tabella1[Rp])</f>
        <v>0</v>
      </c>
      <c r="R87" s="40">
        <f>SUMIF(Tabella1[Nome],Tabella4[[#This Row],[NOME]],Tabella1[Rs])</f>
        <v>0</v>
      </c>
      <c r="S87" s="40">
        <f>SUMIF(Tabella1[Nome],Tabella4[[#This Row],[NOME]],Tabella1[Rf])</f>
        <v>0</v>
      </c>
      <c r="T87" s="40">
        <f>SUMIF(Tabella1[Nome],Tabella4[[#This Row],[NOME]],Tabella1[Au])</f>
        <v>0</v>
      </c>
      <c r="U87" s="41">
        <f>SUMIF(Tabella1[Nome],Tabella4[[#This Row],[NOME]],Tabella1[Amm])</f>
        <v>0</v>
      </c>
      <c r="V87" s="42">
        <f>SUMIF(Tabella1[Nome],Tabella4[[#This Row],[NOME]],Tabella1[Esp])</f>
        <v>0</v>
      </c>
      <c r="W87" s="40">
        <f>SUMIF(Tabella1[Nome],Tabella4[[#This Row],[NOME]],Tabella1[Ass])</f>
        <v>1</v>
      </c>
      <c r="X87" s="40">
        <f>SUMIF(Tabella1[Nome],Tabella4[[#This Row],[NOME]],Tabella1[Gdv])</f>
        <v>1</v>
      </c>
      <c r="Y87" s="40">
        <f>SUMIF(Tabella1[Nome],Tabella4[[#This Row],[NOME]],Tabella1[cl sh])</f>
        <v>0</v>
      </c>
      <c r="Z87" s="270">
        <f>_xlfn.IFNA(_xlfn.XLOOKUP(CONCATENATE(Z$4,$C87),Tabella1[CONC X VOTI IN TAB GIOC],Tabella1[Voto],""),"")</f>
        <v>6</v>
      </c>
      <c r="AA87" s="270">
        <f>_xlfn.IFNA(_xlfn.XLOOKUP(CONCATENATE(AA$4,$C87),Tabella1[CONC X VOTI IN TAB GIOC],Tabella1[Voto],""),"")</f>
        <v>6.5</v>
      </c>
      <c r="AB87" s="270">
        <f>_xlfn.IFNA(_xlfn.XLOOKUP(CONCATENATE(AB$4,$C87),Tabella1[CONC X VOTI IN TAB GIOC],Tabella1[Voto]),"")</f>
        <v>7.5</v>
      </c>
      <c r="AC87" s="270" cm="1">
        <f t="array" ref="AC87">_xlfn.IFNA(_xlfn.XLOOKUP(CONCATENATE(AC$4,$C87),INDEX(Tabella1[],0,MATCH("CONC X VOTI IN TAB GIOC",Tabella1[#Headers],0)),INDEX(Tabella1[],0,MATCH("Voto",Tabella1[#Headers],0))),"")</f>
        <v>6.5</v>
      </c>
      <c r="AD87" s="270" t="str">
        <f>_xlfn.IFNA(_xlfn.XLOOKUP(CONCATENATE(AD$4,$C87),Tabella1[CONC X VOTI IN TAB GIOC],Tabella1[Voto]),"")</f>
        <v/>
      </c>
      <c r="AE87" s="270" t="str">
        <f>_xlfn.IFNA(VLOOKUP(CONCATENATE(AE$4,$C87),'INSER DATA'!$A:$F,6,0),"")</f>
        <v/>
      </c>
      <c r="AF87" s="270" t="str">
        <f>_xlfn.IFNA(VLOOKUP(CONCATENATE(AF$4,$C87),'INSER DATA'!$A:$F,6,0),"")</f>
        <v/>
      </c>
      <c r="AG87" s="270" t="str">
        <f>_xlfn.IFNA(VLOOKUP(CONCATENATE(AG$4,$C87),'INSER DATA'!$A:$F,6,0),"")</f>
        <v/>
      </c>
      <c r="AH87" s="270" t="str">
        <f>_xlfn.IFNA(VLOOKUP(CONCATENATE(AH$4,$C87),'INSER DATA'!$A:$F,7,0),"")</f>
        <v/>
      </c>
      <c r="AI87" s="270" t="str">
        <f>_xlfn.IFNA(VLOOKUP(CONCATENATE(AI$4,$C87),'INSER DATA'!$A:$F,7,0),"")</f>
        <v/>
      </c>
      <c r="AJ87" s="270" t="str">
        <f>_xlfn.IFNA(VLOOKUP(CONCATENATE(AJ$4,$C87),'INSER DATA'!$A:$F,7,0),"")</f>
        <v/>
      </c>
      <c r="AK87" s="270" t="str">
        <f>_xlfn.IFNA(VLOOKUP(CONCATENATE(AK$4,$C87),'INSER DATA'!$A:$F,7,0),"")</f>
        <v/>
      </c>
      <c r="AL87" s="270" t="str">
        <f>_xlfn.IFNA(VLOOKUP(CONCATENATE(AL$4,$C87),'INSER DATA'!$A:$F,7,0),"")</f>
        <v/>
      </c>
      <c r="AM87" s="270" t="str">
        <f>_xlfn.IFNA(VLOOKUP(CONCATENATE(AM$4,$C87),'INSER DATA'!$A:$F,7,0),"")</f>
        <v/>
      </c>
      <c r="AN87" s="270" t="str">
        <f>_xlfn.IFNA(VLOOKUP(CONCATENATE(AN$4,$C87),'INSER DATA'!$A:$F,7,0),"")</f>
        <v/>
      </c>
      <c r="AO87" s="270" t="str">
        <f>_xlfn.IFNA(VLOOKUP(CONCATENATE(AO$4,$C87),'INSER DATA'!$A:$F,7,0),"")</f>
        <v/>
      </c>
      <c r="AP87" s="270" t="str">
        <f>_xlfn.IFNA(VLOOKUP(CONCATENATE(AP$4,$C87),'INSER DATA'!$A:$F,7,0),"")</f>
        <v/>
      </c>
      <c r="AQ87" s="270" t="str">
        <f>_xlfn.IFNA(VLOOKUP(CONCATENATE(AQ$4,$C87),'INSER DATA'!$A:$F,7,0),"")</f>
        <v/>
      </c>
      <c r="AR87" s="270" t="str">
        <f>_xlfn.IFNA(VLOOKUP(CONCATENATE(AR$4,$C87),'INSER DATA'!$A:$F,7,0),"")</f>
        <v/>
      </c>
      <c r="AS87" s="270" t="str">
        <f>_xlfn.IFNA(VLOOKUP(CONCATENATE(AS$4,$C87),'INSER DATA'!$A:$F,7,0),"")</f>
        <v/>
      </c>
      <c r="AT87" s="270" t="str">
        <f>_xlfn.IFNA(VLOOKUP(CONCATENATE(AT$4,$C87),'INSER DATA'!$A:$F,7,0),"")</f>
        <v/>
      </c>
      <c r="AU87" s="270" t="str">
        <f>_xlfn.IFNA(VLOOKUP(CONCATENATE(AU$4,$C87),'INSER DATA'!$A:$F,7,0),"")</f>
        <v/>
      </c>
      <c r="AV87" s="270" t="str">
        <f>_xlfn.IFNA(VLOOKUP(CONCATENATE(AV$4,$C87),'INSER DATA'!$A:$F,7,0),"")</f>
        <v/>
      </c>
      <c r="AW87" s="270" t="str">
        <f>_xlfn.IFNA(VLOOKUP(CONCATENATE(AW$4,$C87),'INSER DATA'!$A:$F,7,0),"")</f>
        <v/>
      </c>
      <c r="AX87" s="270" t="str">
        <f>_xlfn.IFNA(VLOOKUP(CONCATENATE(AX$4,$C87),'INSER DATA'!$A:$F,7,0),"")</f>
        <v/>
      </c>
      <c r="AY87" s="270" t="str">
        <f>_xlfn.IFNA(VLOOKUP(CONCATENATE(AY$4,$C87),'INSER DATA'!$A:$F,7,0),"")</f>
        <v/>
      </c>
      <c r="AZ87" s="270" t="str">
        <f>_xlfn.IFNA(VLOOKUP(CONCATENATE(AZ$4,$C87),'INSER DATA'!$A:$F,7,0),"")</f>
        <v/>
      </c>
      <c r="BA87" s="270" t="str">
        <f>_xlfn.IFNA(VLOOKUP(CONCATENATE(BA$4,$C87),'INSER DATA'!$A:$F,7,0),"")</f>
        <v/>
      </c>
      <c r="BB87" s="270" t="str">
        <f>_xlfn.IFNA(VLOOKUP(CONCATENATE(BB$4,$C87),'INSER DATA'!$A:$F,7,0),"")</f>
        <v/>
      </c>
      <c r="BC87" s="270" t="str">
        <f>_xlfn.IFNA(VLOOKUP(CONCATENATE(BC$4,$C87),'INSER DATA'!$A:$F,7,0),"")</f>
        <v/>
      </c>
      <c r="BD87" s="270" t="str">
        <f>_xlfn.IFNA(VLOOKUP(CONCATENATE(BD$4,$C87),'INSER DATA'!$A:$F,7,0),"")</f>
        <v/>
      </c>
      <c r="BE87" s="270" t="str">
        <f>_xlfn.IFNA(VLOOKUP(CONCATENATE(BE$4,$C87),'INSER DATA'!$A:$F,7,0),"")</f>
        <v/>
      </c>
      <c r="BF87" s="270" t="str">
        <f>_xlfn.IFNA(VLOOKUP(CONCATENATE(BF$4,$C87),'INSER DATA'!$A:$F,7,0),"")</f>
        <v/>
      </c>
      <c r="BG87" s="270" t="str">
        <f>_xlfn.IFNA(VLOOKUP(CONCATENATE(BG$4,$C87),'INSER DATA'!$A:$F,7,0),"")</f>
        <v/>
      </c>
      <c r="BH87" s="270" t="str">
        <f>_xlfn.IFNA(VLOOKUP(CONCATENATE(BH$4,$C87),'INSER DATA'!$A:$F,7,0),"")</f>
        <v/>
      </c>
      <c r="BI87" s="270" t="str">
        <f>_xlfn.IFNA(VLOOKUP(CONCATENATE(BI$4,$C87),'INSER DATA'!$A:$F,7,0),"")</f>
        <v/>
      </c>
      <c r="BJ87" s="270" t="str">
        <f>_xlfn.IFNA(VLOOKUP(CONCATENATE(BJ$4,$C87),'INSER DATA'!$A:$F,7,0),"")</f>
        <v/>
      </c>
      <c r="BK87" s="270" t="str">
        <f>_xlfn.IFNA(VLOOKUP(CONCATENATE(BK$4,$C87),'INSER DATA'!$A:$F,7,0),"")</f>
        <v/>
      </c>
      <c r="BL87" s="272"/>
      <c r="BM87" s="30"/>
      <c r="BN87" s="30"/>
      <c r="BO87" s="30"/>
      <c r="BP87" s="30"/>
      <c r="BQ87" s="30"/>
      <c r="BR87" s="30"/>
      <c r="BS87" s="30"/>
      <c r="BT87" s="30"/>
      <c r="BU87" s="30"/>
      <c r="BV87" s="30"/>
      <c r="BW87" s="30"/>
      <c r="BX87" s="30"/>
      <c r="BY87" s="30"/>
      <c r="BZ87" s="30"/>
      <c r="CA87" s="30"/>
      <c r="CB87" s="30"/>
      <c r="CC87" s="30"/>
      <c r="CD87" s="30"/>
      <c r="CE87" s="30"/>
      <c r="CF87" s="30"/>
      <c r="CG87" s="30"/>
      <c r="CH87" s="30"/>
      <c r="CI87" s="30"/>
      <c r="CJ87" s="30"/>
      <c r="CK87" s="30"/>
      <c r="CL87" s="30"/>
      <c r="CM87" s="30"/>
      <c r="CN87" s="30"/>
      <c r="CO87" s="30"/>
      <c r="CP87" s="30"/>
      <c r="CQ87" s="30"/>
      <c r="CR87" s="30"/>
      <c r="CS87" s="30"/>
      <c r="CT87" s="30"/>
      <c r="CU87" s="30"/>
      <c r="CV87" s="30"/>
      <c r="CW87" s="30"/>
      <c r="CX87" s="30"/>
      <c r="CY87" s="30"/>
      <c r="CZ87" s="30"/>
      <c r="DA87" s="30"/>
    </row>
    <row r="88" spans="1:105" ht="19.2" thickTop="1" thickBot="1" x14ac:dyDescent="0.4">
      <c r="A88" s="30"/>
      <c r="B88" s="30"/>
      <c r="C88" s="356" t="s">
        <v>688</v>
      </c>
      <c r="D88" s="357" t="s">
        <v>681</v>
      </c>
      <c r="E88" s="35" t="str">
        <f>_xlfn.XLOOKUP(Tabella4[[#This Row],[NOME]],'ROSE SQUADRE'!$N$3:$N$253,'ROSE SQUADRE'!$O$3:$O$253,"")</f>
        <v>PARTIZAN DEGRADO</v>
      </c>
      <c r="F88" s="36" t="s">
        <v>161</v>
      </c>
      <c r="G88" s="43">
        <v>10</v>
      </c>
      <c r="H88" s="43">
        <v>10</v>
      </c>
      <c r="I88" s="44">
        <f t="shared" si="7"/>
        <v>0</v>
      </c>
      <c r="J88" s="37">
        <f t="shared" si="8"/>
        <v>4</v>
      </c>
      <c r="K88" s="38">
        <f t="shared" si="9"/>
        <v>6.25</v>
      </c>
      <c r="L88" s="38">
        <f t="shared" si="10"/>
        <v>7</v>
      </c>
      <c r="M88" s="39">
        <f t="shared" si="11"/>
        <v>28</v>
      </c>
      <c r="N88" s="45">
        <f t="shared" ca="1" si="12"/>
        <v>0</v>
      </c>
      <c r="O88" s="40">
        <f>SUMIF(Tabella1[Nome],Tabella4[[#This Row],[NOME]],Tabella1[Gf])</f>
        <v>1</v>
      </c>
      <c r="P88" s="40">
        <f>-(SUMIF(Tabella1[Nome],Tabella4[[#This Row],[NOME]],Tabella1[Gs]))</f>
        <v>0</v>
      </c>
      <c r="Q88" s="40">
        <f>SUMIF(Tabella1[Nome],Tabella4[[#This Row],[NOME]],Tabella1[Rp])</f>
        <v>0</v>
      </c>
      <c r="R88" s="40">
        <f>SUMIF(Tabella1[Nome],Tabella4[[#This Row],[NOME]],Tabella1[Rs])</f>
        <v>0</v>
      </c>
      <c r="S88" s="40">
        <f>SUMIF(Tabella1[Nome],Tabella4[[#This Row],[NOME]],Tabella1[Rf])</f>
        <v>0</v>
      </c>
      <c r="T88" s="40">
        <f>SUMIF(Tabella1[Nome],Tabella4[[#This Row],[NOME]],Tabella1[Au])</f>
        <v>0</v>
      </c>
      <c r="U88" s="41">
        <f>SUMIF(Tabella1[Nome],Tabella4[[#This Row],[NOME]],Tabella1[Amm])</f>
        <v>0</v>
      </c>
      <c r="V88" s="42">
        <f>SUMIF(Tabella1[Nome],Tabella4[[#This Row],[NOME]],Tabella1[Esp])</f>
        <v>0</v>
      </c>
      <c r="W88" s="40">
        <f>SUMIF(Tabella1[Nome],Tabella4[[#This Row],[NOME]],Tabella1[Ass])</f>
        <v>0</v>
      </c>
      <c r="X88" s="40">
        <f>SUMIF(Tabella1[Nome],Tabella4[[#This Row],[NOME]],Tabella1[Gdv])</f>
        <v>0</v>
      </c>
      <c r="Y88" s="40">
        <f>SUMIF(Tabella1[Nome],Tabella4[[#This Row],[NOME]],Tabella1[cl sh])</f>
        <v>0</v>
      </c>
      <c r="Z88" s="270">
        <f>_xlfn.IFNA(_xlfn.XLOOKUP(CONCATENATE(Z$4,$C88),Tabella1[CONC X VOTI IN TAB GIOC],Tabella1[Voto],""),"")</f>
        <v>6</v>
      </c>
      <c r="AA88" s="270">
        <f>_xlfn.IFNA(_xlfn.XLOOKUP(CONCATENATE(AA$4,$C88),Tabella1[CONC X VOTI IN TAB GIOC],Tabella1[Voto],""),"")</f>
        <v>6</v>
      </c>
      <c r="AB88" s="270">
        <f>_xlfn.IFNA(_xlfn.XLOOKUP(CONCATENATE(AB$4,$C88),Tabella1[CONC X VOTI IN TAB GIOC],Tabella1[Voto]),"")</f>
        <v>6</v>
      </c>
      <c r="AC88" s="270" cm="1">
        <f t="array" ref="AC88">_xlfn.IFNA(_xlfn.XLOOKUP(CONCATENATE(AC$4,$C88),INDEX(Tabella1[],0,MATCH("CONC X VOTI IN TAB GIOC",Tabella1[#Headers],0)),INDEX(Tabella1[],0,MATCH("Voto",Tabella1[#Headers],0))),"")</f>
        <v>7</v>
      </c>
      <c r="AD88" s="270" t="str">
        <f>_xlfn.IFNA(_xlfn.XLOOKUP(CONCATENATE(AD$4,$C88),Tabella1[CONC X VOTI IN TAB GIOC],Tabella1[Voto]),"")</f>
        <v/>
      </c>
      <c r="AE88" s="270" t="str">
        <f>_xlfn.IFNA(VLOOKUP(CONCATENATE(AE$4,$C88),'INSER DATA'!$A:$F,6,0),"")</f>
        <v/>
      </c>
      <c r="AF88" s="270" t="str">
        <f>_xlfn.IFNA(VLOOKUP(CONCATENATE(AF$4,$C88),'INSER DATA'!$A:$F,6,0),"")</f>
        <v/>
      </c>
      <c r="AG88" s="270" t="str">
        <f>_xlfn.IFNA(VLOOKUP(CONCATENATE(AG$4,$C88),'INSER DATA'!$A:$F,6,0),"")</f>
        <v/>
      </c>
      <c r="AH88" s="270" t="str">
        <f>_xlfn.IFNA(VLOOKUP(CONCATENATE(AH$4,$C88),'INSER DATA'!$A:$F,7,0),"")</f>
        <v/>
      </c>
      <c r="AI88" s="270" t="str">
        <f>_xlfn.IFNA(VLOOKUP(CONCATENATE(AI$4,$C88),'INSER DATA'!$A:$F,7,0),"")</f>
        <v/>
      </c>
      <c r="AJ88" s="270" t="str">
        <f>_xlfn.IFNA(VLOOKUP(CONCATENATE(AJ$4,$C88),'INSER DATA'!$A:$F,7,0),"")</f>
        <v/>
      </c>
      <c r="AK88" s="270" t="str">
        <f>_xlfn.IFNA(VLOOKUP(CONCATENATE(AK$4,$C88),'INSER DATA'!$A:$F,7,0),"")</f>
        <v/>
      </c>
      <c r="AL88" s="270" t="str">
        <f>_xlfn.IFNA(VLOOKUP(CONCATENATE(AL$4,$C88),'INSER DATA'!$A:$F,7,0),"")</f>
        <v/>
      </c>
      <c r="AM88" s="270" t="str">
        <f>_xlfn.IFNA(VLOOKUP(CONCATENATE(AM$4,$C88),'INSER DATA'!$A:$F,7,0),"")</f>
        <v/>
      </c>
      <c r="AN88" s="270" t="str">
        <f>_xlfn.IFNA(VLOOKUP(CONCATENATE(AN$4,$C88),'INSER DATA'!$A:$F,7,0),"")</f>
        <v/>
      </c>
      <c r="AO88" s="270" t="str">
        <f>_xlfn.IFNA(VLOOKUP(CONCATENATE(AO$4,$C88),'INSER DATA'!$A:$F,7,0),"")</f>
        <v/>
      </c>
      <c r="AP88" s="270" t="str">
        <f>_xlfn.IFNA(VLOOKUP(CONCATENATE(AP$4,$C88),'INSER DATA'!$A:$F,7,0),"")</f>
        <v/>
      </c>
      <c r="AQ88" s="270" t="str">
        <f>_xlfn.IFNA(VLOOKUP(CONCATENATE(AQ$4,$C88),'INSER DATA'!$A:$F,7,0),"")</f>
        <v/>
      </c>
      <c r="AR88" s="270" t="str">
        <f>_xlfn.IFNA(VLOOKUP(CONCATENATE(AR$4,$C88),'INSER DATA'!$A:$F,7,0),"")</f>
        <v/>
      </c>
      <c r="AS88" s="270" t="str">
        <f>_xlfn.IFNA(VLOOKUP(CONCATENATE(AS$4,$C88),'INSER DATA'!$A:$F,7,0),"")</f>
        <v/>
      </c>
      <c r="AT88" s="270" t="str">
        <f>_xlfn.IFNA(VLOOKUP(CONCATENATE(AT$4,$C88),'INSER DATA'!$A:$F,7,0),"")</f>
        <v/>
      </c>
      <c r="AU88" s="270" t="str">
        <f>_xlfn.IFNA(VLOOKUP(CONCATENATE(AU$4,$C88),'INSER DATA'!$A:$F,7,0),"")</f>
        <v/>
      </c>
      <c r="AV88" s="270" t="str">
        <f>_xlfn.IFNA(VLOOKUP(CONCATENATE(AV$4,$C88),'INSER DATA'!$A:$F,7,0),"")</f>
        <v/>
      </c>
      <c r="AW88" s="270" t="str">
        <f>_xlfn.IFNA(VLOOKUP(CONCATENATE(AW$4,$C88),'INSER DATA'!$A:$F,7,0),"")</f>
        <v/>
      </c>
      <c r="AX88" s="270" t="str">
        <f>_xlfn.IFNA(VLOOKUP(CONCATENATE(AX$4,$C88),'INSER DATA'!$A:$F,7,0),"")</f>
        <v/>
      </c>
      <c r="AY88" s="270" t="str">
        <f>_xlfn.IFNA(VLOOKUP(CONCATENATE(AY$4,$C88),'INSER DATA'!$A:$F,7,0),"")</f>
        <v/>
      </c>
      <c r="AZ88" s="270" t="str">
        <f>_xlfn.IFNA(VLOOKUP(CONCATENATE(AZ$4,$C88),'INSER DATA'!$A:$F,7,0),"")</f>
        <v/>
      </c>
      <c r="BA88" s="270" t="str">
        <f>_xlfn.IFNA(VLOOKUP(CONCATENATE(BA$4,$C88),'INSER DATA'!$A:$F,7,0),"")</f>
        <v/>
      </c>
      <c r="BB88" s="270" t="str">
        <f>_xlfn.IFNA(VLOOKUP(CONCATENATE(BB$4,$C88),'INSER DATA'!$A:$F,7,0),"")</f>
        <v/>
      </c>
      <c r="BC88" s="270" t="str">
        <f>_xlfn.IFNA(VLOOKUP(CONCATENATE(BC$4,$C88),'INSER DATA'!$A:$F,7,0),"")</f>
        <v/>
      </c>
      <c r="BD88" s="270" t="str">
        <f>_xlfn.IFNA(VLOOKUP(CONCATENATE(BD$4,$C88),'INSER DATA'!$A:$F,7,0),"")</f>
        <v/>
      </c>
      <c r="BE88" s="270" t="str">
        <f>_xlfn.IFNA(VLOOKUP(CONCATENATE(BE$4,$C88),'INSER DATA'!$A:$F,7,0),"")</f>
        <v/>
      </c>
      <c r="BF88" s="270" t="str">
        <f>_xlfn.IFNA(VLOOKUP(CONCATENATE(BF$4,$C88),'INSER DATA'!$A:$F,7,0),"")</f>
        <v/>
      </c>
      <c r="BG88" s="270" t="str">
        <f>_xlfn.IFNA(VLOOKUP(CONCATENATE(BG$4,$C88),'INSER DATA'!$A:$F,7,0),"")</f>
        <v/>
      </c>
      <c r="BH88" s="270" t="str">
        <f>_xlfn.IFNA(VLOOKUP(CONCATENATE(BH$4,$C88),'INSER DATA'!$A:$F,7,0),"")</f>
        <v/>
      </c>
      <c r="BI88" s="270" t="str">
        <f>_xlfn.IFNA(VLOOKUP(CONCATENATE(BI$4,$C88),'INSER DATA'!$A:$F,7,0),"")</f>
        <v/>
      </c>
      <c r="BJ88" s="270" t="str">
        <f>_xlfn.IFNA(VLOOKUP(CONCATENATE(BJ$4,$C88),'INSER DATA'!$A:$F,7,0),"")</f>
        <v/>
      </c>
      <c r="BK88" s="270" t="str">
        <f>_xlfn.IFNA(VLOOKUP(CONCATENATE(BK$4,$C88),'INSER DATA'!$A:$F,7,0),"")</f>
        <v/>
      </c>
      <c r="BL88" s="272"/>
      <c r="BM88" s="30"/>
      <c r="BN88" s="30"/>
      <c r="BO88" s="30"/>
      <c r="BP88" s="30"/>
      <c r="BQ88" s="30"/>
      <c r="BR88" s="30"/>
      <c r="BS88" s="30"/>
      <c r="BT88" s="30"/>
      <c r="BU88" s="30"/>
      <c r="BV88" s="30"/>
      <c r="BW88" s="30"/>
      <c r="BX88" s="30"/>
      <c r="BY88" s="30"/>
      <c r="BZ88" s="30"/>
      <c r="CA88" s="30"/>
      <c r="CB88" s="30"/>
      <c r="CC88" s="30"/>
      <c r="CD88" s="30"/>
      <c r="CE88" s="30"/>
      <c r="CF88" s="30"/>
      <c r="CG88" s="30"/>
      <c r="CH88" s="30"/>
      <c r="CI88" s="30"/>
      <c r="CJ88" s="30"/>
      <c r="CK88" s="30"/>
      <c r="CL88" s="30"/>
      <c r="CM88" s="30"/>
      <c r="CN88" s="30"/>
      <c r="CO88" s="30"/>
      <c r="CP88" s="30"/>
      <c r="CQ88" s="30"/>
      <c r="CR88" s="30"/>
      <c r="CS88" s="30"/>
      <c r="CT88" s="30"/>
      <c r="CU88" s="30"/>
      <c r="CV88" s="30"/>
      <c r="CW88" s="30"/>
      <c r="CX88" s="30"/>
      <c r="CY88" s="30"/>
      <c r="CZ88" s="30"/>
      <c r="DA88" s="30"/>
    </row>
    <row r="89" spans="1:105" ht="19.2" thickTop="1" thickBot="1" x14ac:dyDescent="0.4">
      <c r="A89" s="30"/>
      <c r="B89" s="30"/>
      <c r="C89" s="356" t="s">
        <v>690</v>
      </c>
      <c r="D89" s="357" t="s">
        <v>681</v>
      </c>
      <c r="E89" s="35" t="str">
        <f>_xlfn.XLOOKUP(Tabella4[[#This Row],[NOME]],'ROSE SQUADRE'!$N$3:$N$253,'ROSE SQUADRE'!$O$3:$O$253,"")</f>
        <v>AC ASPARAGHESE</v>
      </c>
      <c r="F89" s="36" t="s">
        <v>161</v>
      </c>
      <c r="G89" s="43">
        <v>6</v>
      </c>
      <c r="H89" s="43">
        <v>6</v>
      </c>
      <c r="I89" s="44">
        <f t="shared" si="7"/>
        <v>0</v>
      </c>
      <c r="J89" s="37">
        <f t="shared" si="8"/>
        <v>3</v>
      </c>
      <c r="K89" s="38">
        <f t="shared" si="9"/>
        <v>6.333333333333333</v>
      </c>
      <c r="L89" s="38">
        <f t="shared" si="10"/>
        <v>6.666666666666667</v>
      </c>
      <c r="M89" s="39">
        <f t="shared" si="11"/>
        <v>20</v>
      </c>
      <c r="N89" s="45">
        <f t="shared" ca="1" si="12"/>
        <v>0</v>
      </c>
      <c r="O89" s="40">
        <f>SUMIF(Tabella1[Nome],Tabella4[[#This Row],[NOME]],Tabella1[Gf])</f>
        <v>0</v>
      </c>
      <c r="P89" s="40">
        <f>-(SUMIF(Tabella1[Nome],Tabella4[[#This Row],[NOME]],Tabella1[Gs]))</f>
        <v>0</v>
      </c>
      <c r="Q89" s="40">
        <f>SUMIF(Tabella1[Nome],Tabella4[[#This Row],[NOME]],Tabella1[Rp])</f>
        <v>0</v>
      </c>
      <c r="R89" s="40">
        <f>SUMIF(Tabella1[Nome],Tabella4[[#This Row],[NOME]],Tabella1[Rs])</f>
        <v>0</v>
      </c>
      <c r="S89" s="40">
        <f>SUMIF(Tabella1[Nome],Tabella4[[#This Row],[NOME]],Tabella1[Rf])</f>
        <v>0</v>
      </c>
      <c r="T89" s="40">
        <f>SUMIF(Tabella1[Nome],Tabella4[[#This Row],[NOME]],Tabella1[Au])</f>
        <v>0</v>
      </c>
      <c r="U89" s="41">
        <f>SUMIF(Tabella1[Nome],Tabella4[[#This Row],[NOME]],Tabella1[Amm])</f>
        <v>0</v>
      </c>
      <c r="V89" s="42">
        <f>SUMIF(Tabella1[Nome],Tabella4[[#This Row],[NOME]],Tabella1[Esp])</f>
        <v>0</v>
      </c>
      <c r="W89" s="40">
        <f>SUMIF(Tabella1[Nome],Tabella4[[#This Row],[NOME]],Tabella1[Ass])</f>
        <v>1</v>
      </c>
      <c r="X89" s="40">
        <f>SUMIF(Tabella1[Nome],Tabella4[[#This Row],[NOME]],Tabella1[Gdv])</f>
        <v>0</v>
      </c>
      <c r="Y89" s="40">
        <f>SUMIF(Tabella1[Nome],Tabella4[[#This Row],[NOME]],Tabella1[cl sh])</f>
        <v>0</v>
      </c>
      <c r="Z89" s="270">
        <f>_xlfn.IFNA(_xlfn.XLOOKUP(CONCATENATE(Z$4,$C89),Tabella1[CONC X VOTI IN TAB GIOC],Tabella1[Voto],""),"")</f>
        <v>5.5</v>
      </c>
      <c r="AA89" s="270">
        <f>_xlfn.IFNA(_xlfn.XLOOKUP(CONCATENATE(AA$4,$C89),Tabella1[CONC X VOTI IN TAB GIOC],Tabella1[Voto],""),"")</f>
        <v>6.5</v>
      </c>
      <c r="AB89" s="270">
        <f>_xlfn.IFNA(_xlfn.XLOOKUP(CONCATENATE(AB$4,$C89),Tabella1[CONC X VOTI IN TAB GIOC],Tabella1[Voto]),"")</f>
        <v>7</v>
      </c>
      <c r="AC89" s="270" t="str" cm="1">
        <f t="array" ref="AC89">_xlfn.IFNA(_xlfn.XLOOKUP(CONCATENATE(AC$4,$C89),INDEX(Tabella1[],0,MATCH("CONC X VOTI IN TAB GIOC",Tabella1[#Headers],0)),INDEX(Tabella1[],0,MATCH("Voto",Tabella1[#Headers],0))),"")</f>
        <v/>
      </c>
      <c r="AD89" s="270" t="str">
        <f>_xlfn.IFNA(_xlfn.XLOOKUP(CONCATENATE(AD$4,$C89),Tabella1[CONC X VOTI IN TAB GIOC],Tabella1[Voto]),"")</f>
        <v/>
      </c>
      <c r="AE89" s="270" t="str">
        <f>_xlfn.IFNA(VLOOKUP(CONCATENATE(AE$4,$C89),'INSER DATA'!$A:$F,6,0),"")</f>
        <v/>
      </c>
      <c r="AF89" s="270" t="str">
        <f>_xlfn.IFNA(VLOOKUP(CONCATENATE(AF$4,$C89),'INSER DATA'!$A:$F,6,0),"")</f>
        <v/>
      </c>
      <c r="AG89" s="270" t="str">
        <f>_xlfn.IFNA(VLOOKUP(CONCATENATE(AG$4,$C89),'INSER DATA'!$A:$F,6,0),"")</f>
        <v/>
      </c>
      <c r="AH89" s="270" t="str">
        <f>_xlfn.IFNA(VLOOKUP(CONCATENATE(AH$4,$C89),'INSER DATA'!$A:$F,7,0),"")</f>
        <v/>
      </c>
      <c r="AI89" s="270" t="str">
        <f>_xlfn.IFNA(VLOOKUP(CONCATENATE(AI$4,$C89),'INSER DATA'!$A:$F,7,0),"")</f>
        <v/>
      </c>
      <c r="AJ89" s="270" t="str">
        <f>_xlfn.IFNA(VLOOKUP(CONCATENATE(AJ$4,$C89),'INSER DATA'!$A:$F,7,0),"")</f>
        <v/>
      </c>
      <c r="AK89" s="270" t="str">
        <f>_xlfn.IFNA(VLOOKUP(CONCATENATE(AK$4,$C89),'INSER DATA'!$A:$F,7,0),"")</f>
        <v/>
      </c>
      <c r="AL89" s="270" t="str">
        <f>_xlfn.IFNA(VLOOKUP(CONCATENATE(AL$4,$C89),'INSER DATA'!$A:$F,7,0),"")</f>
        <v/>
      </c>
      <c r="AM89" s="270" t="str">
        <f>_xlfn.IFNA(VLOOKUP(CONCATENATE(AM$4,$C89),'INSER DATA'!$A:$F,7,0),"")</f>
        <v/>
      </c>
      <c r="AN89" s="270" t="str">
        <f>_xlfn.IFNA(VLOOKUP(CONCATENATE(AN$4,$C89),'INSER DATA'!$A:$F,7,0),"")</f>
        <v/>
      </c>
      <c r="AO89" s="270" t="str">
        <f>_xlfn.IFNA(VLOOKUP(CONCATENATE(AO$4,$C89),'INSER DATA'!$A:$F,7,0),"")</f>
        <v/>
      </c>
      <c r="AP89" s="270" t="str">
        <f>_xlfn.IFNA(VLOOKUP(CONCATENATE(AP$4,$C89),'INSER DATA'!$A:$F,7,0),"")</f>
        <v/>
      </c>
      <c r="AQ89" s="270" t="str">
        <f>_xlfn.IFNA(VLOOKUP(CONCATENATE(AQ$4,$C89),'INSER DATA'!$A:$F,7,0),"")</f>
        <v/>
      </c>
      <c r="AR89" s="270" t="str">
        <f>_xlfn.IFNA(VLOOKUP(CONCATENATE(AR$4,$C89),'INSER DATA'!$A:$F,7,0),"")</f>
        <v/>
      </c>
      <c r="AS89" s="270" t="str">
        <f>_xlfn.IFNA(VLOOKUP(CONCATENATE(AS$4,$C89),'INSER DATA'!$A:$F,7,0),"")</f>
        <v/>
      </c>
      <c r="AT89" s="270" t="str">
        <f>_xlfn.IFNA(VLOOKUP(CONCATENATE(AT$4,$C89),'INSER DATA'!$A:$F,7,0),"")</f>
        <v/>
      </c>
      <c r="AU89" s="270" t="str">
        <f>_xlfn.IFNA(VLOOKUP(CONCATENATE(AU$4,$C89),'INSER DATA'!$A:$F,7,0),"")</f>
        <v/>
      </c>
      <c r="AV89" s="270" t="str">
        <f>_xlfn.IFNA(VLOOKUP(CONCATENATE(AV$4,$C89),'INSER DATA'!$A:$F,7,0),"")</f>
        <v/>
      </c>
      <c r="AW89" s="270" t="str">
        <f>_xlfn.IFNA(VLOOKUP(CONCATENATE(AW$4,$C89),'INSER DATA'!$A:$F,7,0),"")</f>
        <v/>
      </c>
      <c r="AX89" s="270" t="str">
        <f>_xlfn.IFNA(VLOOKUP(CONCATENATE(AX$4,$C89),'INSER DATA'!$A:$F,7,0),"")</f>
        <v/>
      </c>
      <c r="AY89" s="270" t="str">
        <f>_xlfn.IFNA(VLOOKUP(CONCATENATE(AY$4,$C89),'INSER DATA'!$A:$F,7,0),"")</f>
        <v/>
      </c>
      <c r="AZ89" s="270" t="str">
        <f>_xlfn.IFNA(VLOOKUP(CONCATENATE(AZ$4,$C89),'INSER DATA'!$A:$F,7,0),"")</f>
        <v/>
      </c>
      <c r="BA89" s="270" t="str">
        <f>_xlfn.IFNA(VLOOKUP(CONCATENATE(BA$4,$C89),'INSER DATA'!$A:$F,7,0),"")</f>
        <v/>
      </c>
      <c r="BB89" s="270" t="str">
        <f>_xlfn.IFNA(VLOOKUP(CONCATENATE(BB$4,$C89),'INSER DATA'!$A:$F,7,0),"")</f>
        <v/>
      </c>
      <c r="BC89" s="270" t="str">
        <f>_xlfn.IFNA(VLOOKUP(CONCATENATE(BC$4,$C89),'INSER DATA'!$A:$F,7,0),"")</f>
        <v/>
      </c>
      <c r="BD89" s="270" t="str">
        <f>_xlfn.IFNA(VLOOKUP(CONCATENATE(BD$4,$C89),'INSER DATA'!$A:$F,7,0),"")</f>
        <v/>
      </c>
      <c r="BE89" s="270" t="str">
        <f>_xlfn.IFNA(VLOOKUP(CONCATENATE(BE$4,$C89),'INSER DATA'!$A:$F,7,0),"")</f>
        <v/>
      </c>
      <c r="BF89" s="270" t="str">
        <f>_xlfn.IFNA(VLOOKUP(CONCATENATE(BF$4,$C89),'INSER DATA'!$A:$F,7,0),"")</f>
        <v/>
      </c>
      <c r="BG89" s="270" t="str">
        <f>_xlfn.IFNA(VLOOKUP(CONCATENATE(BG$4,$C89),'INSER DATA'!$A:$F,7,0),"")</f>
        <v/>
      </c>
      <c r="BH89" s="270" t="str">
        <f>_xlfn.IFNA(VLOOKUP(CONCATENATE(BH$4,$C89),'INSER DATA'!$A:$F,7,0),"")</f>
        <v/>
      </c>
      <c r="BI89" s="270" t="str">
        <f>_xlfn.IFNA(VLOOKUP(CONCATENATE(BI$4,$C89),'INSER DATA'!$A:$F,7,0),"")</f>
        <v/>
      </c>
      <c r="BJ89" s="270" t="str">
        <f>_xlfn.IFNA(VLOOKUP(CONCATENATE(BJ$4,$C89),'INSER DATA'!$A:$F,7,0),"")</f>
        <v/>
      </c>
      <c r="BK89" s="270" t="str">
        <f>_xlfn.IFNA(VLOOKUP(CONCATENATE(BK$4,$C89),'INSER DATA'!$A:$F,7,0),"")</f>
        <v/>
      </c>
      <c r="BL89" s="272"/>
      <c r="BM89" s="30"/>
      <c r="BN89" s="30"/>
      <c r="BO89" s="30"/>
      <c r="BP89" s="30"/>
      <c r="BQ89" s="30"/>
      <c r="BR89" s="30"/>
      <c r="BS89" s="30"/>
      <c r="BT89" s="30"/>
      <c r="BU89" s="30"/>
      <c r="BV89" s="30"/>
      <c r="BW89" s="30"/>
      <c r="BX89" s="30"/>
      <c r="BY89" s="30"/>
      <c r="BZ89" s="30"/>
      <c r="CA89" s="30"/>
      <c r="CB89" s="30"/>
      <c r="CC89" s="30"/>
      <c r="CD89" s="30"/>
      <c r="CE89" s="30"/>
      <c r="CF89" s="30"/>
      <c r="CG89" s="30"/>
      <c r="CH89" s="30"/>
      <c r="CI89" s="30"/>
      <c r="CJ89" s="30"/>
      <c r="CK89" s="30"/>
      <c r="CL89" s="30"/>
      <c r="CM89" s="30"/>
      <c r="CN89" s="30"/>
      <c r="CO89" s="30"/>
      <c r="CP89" s="30"/>
      <c r="CQ89" s="30"/>
      <c r="CR89" s="30"/>
      <c r="CS89" s="30"/>
      <c r="CT89" s="30"/>
      <c r="CU89" s="30"/>
      <c r="CV89" s="30"/>
      <c r="CW89" s="30"/>
      <c r="CX89" s="30"/>
      <c r="CY89" s="30"/>
      <c r="CZ89" s="30"/>
      <c r="DA89" s="30"/>
    </row>
    <row r="90" spans="1:105" ht="19.2" thickTop="1" thickBot="1" x14ac:dyDescent="0.4">
      <c r="A90" s="30"/>
      <c r="B90" s="30"/>
      <c r="C90" s="188" t="s">
        <v>694</v>
      </c>
      <c r="D90" s="46" t="s">
        <v>681</v>
      </c>
      <c r="E90" s="35" t="str">
        <f>_xlfn.XLOOKUP(Tabella4[[#This Row],[NOME]],'ROSE SQUADRE'!$N$3:$N$253,'ROSE SQUADRE'!$O$3:$O$253,"")</f>
        <v/>
      </c>
      <c r="F90" s="36" t="s">
        <v>162</v>
      </c>
      <c r="G90" s="43">
        <v>6</v>
      </c>
      <c r="H90" s="43">
        <v>6</v>
      </c>
      <c r="I90" s="44">
        <f t="shared" si="7"/>
        <v>0</v>
      </c>
      <c r="J90" s="37">
        <f t="shared" si="8"/>
        <v>3</v>
      </c>
      <c r="K90" s="178">
        <f t="shared" si="9"/>
        <v>6.166666666666667</v>
      </c>
      <c r="L90" s="178">
        <f t="shared" si="10"/>
        <v>6</v>
      </c>
      <c r="M90" s="179">
        <f t="shared" si="11"/>
        <v>18</v>
      </c>
      <c r="N90" s="45">
        <f t="shared" ca="1" si="12"/>
        <v>0</v>
      </c>
      <c r="O90" s="40">
        <f>SUMIF(Tabella1[Nome],Tabella4[[#This Row],[NOME]],Tabella1[Gf])</f>
        <v>0</v>
      </c>
      <c r="P90" s="40">
        <f>-(SUMIF(Tabella1[Nome],Tabella4[[#This Row],[NOME]],Tabella1[Gs]))</f>
        <v>0</v>
      </c>
      <c r="Q90" s="40">
        <f>SUMIF(Tabella1[Nome],Tabella4[[#This Row],[NOME]],Tabella1[Rp])</f>
        <v>0</v>
      </c>
      <c r="R90" s="40">
        <f>SUMIF(Tabella1[Nome],Tabella4[[#This Row],[NOME]],Tabella1[Rs])</f>
        <v>0</v>
      </c>
      <c r="S90" s="40">
        <f>SUMIF(Tabella1[Nome],Tabella4[[#This Row],[NOME]],Tabella1[Rf])</f>
        <v>0</v>
      </c>
      <c r="T90" s="40">
        <f>SUMIF(Tabella1[Nome],Tabella4[[#This Row],[NOME]],Tabella1[Au])</f>
        <v>0</v>
      </c>
      <c r="U90" s="41">
        <f>SUMIF(Tabella1[Nome],Tabella4[[#This Row],[NOME]],Tabella1[Amm])</f>
        <v>1</v>
      </c>
      <c r="V90" s="42">
        <f>SUMIF(Tabella1[Nome],Tabella4[[#This Row],[NOME]],Tabella1[Esp])</f>
        <v>0</v>
      </c>
      <c r="W90" s="40">
        <f>SUMIF(Tabella1[Nome],Tabella4[[#This Row],[NOME]],Tabella1[Ass])</f>
        <v>0</v>
      </c>
      <c r="X90" s="40">
        <f>SUMIF(Tabella1[Nome],Tabella4[[#This Row],[NOME]],Tabella1[Gdv])</f>
        <v>0</v>
      </c>
      <c r="Y90" s="40">
        <f>SUMIF(Tabella1[Nome],Tabella4[[#This Row],[NOME]],Tabella1[cl sh])</f>
        <v>0</v>
      </c>
      <c r="Z90" s="270" t="str">
        <f>_xlfn.IFNA(_xlfn.XLOOKUP(CONCATENATE(Z$4,$C90),Tabella1[CONC X VOTI IN TAB GIOC],Tabella1[Voto],""),"")</f>
        <v/>
      </c>
      <c r="AA90" s="270">
        <f>_xlfn.IFNA(_xlfn.XLOOKUP(CONCATENATE(AA$4,$C90),Tabella1[CONC X VOTI IN TAB GIOC],Tabella1[Voto],""),"")</f>
        <v>6</v>
      </c>
      <c r="AB90" s="270">
        <f>_xlfn.IFNA(_xlfn.XLOOKUP(CONCATENATE(AB$4,$C90),Tabella1[CONC X VOTI IN TAB GIOC],Tabella1[Voto]),"")</f>
        <v>6.5</v>
      </c>
      <c r="AC90" s="270" cm="1">
        <f t="array" ref="AC90">_xlfn.IFNA(_xlfn.XLOOKUP(CONCATENATE(AC$4,$C90),INDEX(Tabella1[],0,MATCH("CONC X VOTI IN TAB GIOC",Tabella1[#Headers],0)),INDEX(Tabella1[],0,MATCH("Voto",Tabella1[#Headers],0))),"")</f>
        <v>6</v>
      </c>
      <c r="AD90" s="270" t="str">
        <f>_xlfn.IFNA(_xlfn.XLOOKUP(CONCATENATE(AD$4,$C90),Tabella1[CONC X VOTI IN TAB GIOC],Tabella1[Voto]),"")</f>
        <v/>
      </c>
      <c r="AE90" s="270" t="str">
        <f>_xlfn.IFNA(VLOOKUP(CONCATENATE(AE$4,$C90),'INSER DATA'!$A:$F,6,0),"")</f>
        <v/>
      </c>
      <c r="AF90" s="270" t="str">
        <f>_xlfn.IFNA(VLOOKUP(CONCATENATE(AF$4,$C90),'INSER DATA'!$A:$F,6,0),"")</f>
        <v/>
      </c>
      <c r="AG90" s="270" t="str">
        <f>_xlfn.IFNA(VLOOKUP(CONCATENATE(AG$4,$C90),'INSER DATA'!$A:$F,6,0),"")</f>
        <v/>
      </c>
      <c r="AH90" s="270" t="str">
        <f>_xlfn.IFNA(VLOOKUP(CONCATENATE(AH$4,$C90),'INSER DATA'!$A:$F,7,0),"")</f>
        <v/>
      </c>
      <c r="AI90" s="270" t="str">
        <f>_xlfn.IFNA(VLOOKUP(CONCATENATE(AI$4,$C90),'INSER DATA'!$A:$F,7,0),"")</f>
        <v/>
      </c>
      <c r="AJ90" s="270" t="str">
        <f>_xlfn.IFNA(VLOOKUP(CONCATENATE(AJ$4,$C90),'INSER DATA'!$A:$F,7,0),"")</f>
        <v/>
      </c>
      <c r="AK90" s="270" t="str">
        <f>_xlfn.IFNA(VLOOKUP(CONCATENATE(AK$4,$C90),'INSER DATA'!$A:$F,7,0),"")</f>
        <v/>
      </c>
      <c r="AL90" s="270" t="str">
        <f>_xlfn.IFNA(VLOOKUP(CONCATENATE(AL$4,$C90),'INSER DATA'!$A:$F,7,0),"")</f>
        <v/>
      </c>
      <c r="AM90" s="270" t="str">
        <f>_xlfn.IFNA(VLOOKUP(CONCATENATE(AM$4,$C90),'INSER DATA'!$A:$F,7,0),"")</f>
        <v/>
      </c>
      <c r="AN90" s="270" t="str">
        <f>_xlfn.IFNA(VLOOKUP(CONCATENATE(AN$4,$C90),'INSER DATA'!$A:$F,7,0),"")</f>
        <v/>
      </c>
      <c r="AO90" s="270" t="str">
        <f>_xlfn.IFNA(VLOOKUP(CONCATENATE(AO$4,$C90),'INSER DATA'!$A:$F,7,0),"")</f>
        <v/>
      </c>
      <c r="AP90" s="270" t="str">
        <f>_xlfn.IFNA(VLOOKUP(CONCATENATE(AP$4,$C90),'INSER DATA'!$A:$F,7,0),"")</f>
        <v/>
      </c>
      <c r="AQ90" s="270" t="str">
        <f>_xlfn.IFNA(VLOOKUP(CONCATENATE(AQ$4,$C90),'INSER DATA'!$A:$F,7,0),"")</f>
        <v/>
      </c>
      <c r="AR90" s="270" t="str">
        <f>_xlfn.IFNA(VLOOKUP(CONCATENATE(AR$4,$C90),'INSER DATA'!$A:$F,7,0),"")</f>
        <v/>
      </c>
      <c r="AS90" s="270" t="str">
        <f>_xlfn.IFNA(VLOOKUP(CONCATENATE(AS$4,$C90),'INSER DATA'!$A:$F,7,0),"")</f>
        <v/>
      </c>
      <c r="AT90" s="270" t="str">
        <f>_xlfn.IFNA(VLOOKUP(CONCATENATE(AT$4,$C90),'INSER DATA'!$A:$F,7,0),"")</f>
        <v/>
      </c>
      <c r="AU90" s="270" t="str">
        <f>_xlfn.IFNA(VLOOKUP(CONCATENATE(AU$4,$C90),'INSER DATA'!$A:$F,7,0),"")</f>
        <v/>
      </c>
      <c r="AV90" s="270" t="str">
        <f>_xlfn.IFNA(VLOOKUP(CONCATENATE(AV$4,$C90),'INSER DATA'!$A:$F,7,0),"")</f>
        <v/>
      </c>
      <c r="AW90" s="270" t="str">
        <f>_xlfn.IFNA(VLOOKUP(CONCATENATE(AW$4,$C90),'INSER DATA'!$A:$F,7,0),"")</f>
        <v/>
      </c>
      <c r="AX90" s="270" t="str">
        <f>_xlfn.IFNA(VLOOKUP(CONCATENATE(AX$4,$C90),'INSER DATA'!$A:$F,7,0),"")</f>
        <v/>
      </c>
      <c r="AY90" s="270" t="str">
        <f>_xlfn.IFNA(VLOOKUP(CONCATENATE(AY$4,$C90),'INSER DATA'!$A:$F,7,0),"")</f>
        <v/>
      </c>
      <c r="AZ90" s="270" t="str">
        <f>_xlfn.IFNA(VLOOKUP(CONCATENATE(AZ$4,$C90),'INSER DATA'!$A:$F,7,0),"")</f>
        <v/>
      </c>
      <c r="BA90" s="270" t="str">
        <f>_xlfn.IFNA(VLOOKUP(CONCATENATE(BA$4,$C90),'INSER DATA'!$A:$F,7,0),"")</f>
        <v/>
      </c>
      <c r="BB90" s="270" t="str">
        <f>_xlfn.IFNA(VLOOKUP(CONCATENATE(BB$4,$C90),'INSER DATA'!$A:$F,7,0),"")</f>
        <v/>
      </c>
      <c r="BC90" s="270" t="str">
        <f>_xlfn.IFNA(VLOOKUP(CONCATENATE(BC$4,$C90),'INSER DATA'!$A:$F,7,0),"")</f>
        <v/>
      </c>
      <c r="BD90" s="270" t="str">
        <f>_xlfn.IFNA(VLOOKUP(CONCATENATE(BD$4,$C90),'INSER DATA'!$A:$F,7,0),"")</f>
        <v/>
      </c>
      <c r="BE90" s="270" t="str">
        <f>_xlfn.IFNA(VLOOKUP(CONCATENATE(BE$4,$C90),'INSER DATA'!$A:$F,7,0),"")</f>
        <v/>
      </c>
      <c r="BF90" s="270" t="str">
        <f>_xlfn.IFNA(VLOOKUP(CONCATENATE(BF$4,$C90),'INSER DATA'!$A:$F,7,0),"")</f>
        <v/>
      </c>
      <c r="BG90" s="270" t="str">
        <f>_xlfn.IFNA(VLOOKUP(CONCATENATE(BG$4,$C90),'INSER DATA'!$A:$F,7,0),"")</f>
        <v/>
      </c>
      <c r="BH90" s="270" t="str">
        <f>_xlfn.IFNA(VLOOKUP(CONCATENATE(BH$4,$C90),'INSER DATA'!$A:$F,7,0),"")</f>
        <v/>
      </c>
      <c r="BI90" s="270" t="str">
        <f>_xlfn.IFNA(VLOOKUP(CONCATENATE(BI$4,$C90),'INSER DATA'!$A:$F,7,0),"")</f>
        <v/>
      </c>
      <c r="BJ90" s="270" t="str">
        <f>_xlfn.IFNA(VLOOKUP(CONCATENATE(BJ$4,$C90),'INSER DATA'!$A:$F,7,0),"")</f>
        <v/>
      </c>
      <c r="BK90" s="270" t="str">
        <f>_xlfn.IFNA(VLOOKUP(CONCATENATE(BK$4,$C90),'INSER DATA'!$A:$F,7,0),"")</f>
        <v/>
      </c>
      <c r="BL90" s="272"/>
      <c r="BM90" s="30"/>
      <c r="BN90" s="30"/>
      <c r="BO90" s="30"/>
      <c r="BP90" s="30"/>
      <c r="BQ90" s="30"/>
      <c r="BR90" s="30"/>
      <c r="BS90" s="30"/>
      <c r="BT90" s="30"/>
      <c r="BU90" s="30"/>
      <c r="BV90" s="30"/>
      <c r="BW90" s="30"/>
      <c r="BX90" s="30"/>
      <c r="BY90" s="30"/>
      <c r="BZ90" s="30"/>
      <c r="CA90" s="30"/>
      <c r="CB90" s="30"/>
      <c r="CC90" s="30"/>
      <c r="CD90" s="30"/>
      <c r="CE90" s="30"/>
      <c r="CF90" s="30"/>
      <c r="CG90" s="30"/>
      <c r="CH90" s="30"/>
      <c r="CI90" s="30"/>
      <c r="CJ90" s="30"/>
      <c r="CK90" s="30"/>
      <c r="CL90" s="30"/>
      <c r="CM90" s="30"/>
      <c r="CN90" s="30"/>
      <c r="CO90" s="30"/>
      <c r="CP90" s="30"/>
      <c r="CQ90" s="30"/>
      <c r="CR90" s="30"/>
      <c r="CS90" s="30"/>
      <c r="CT90" s="30"/>
      <c r="CU90" s="30"/>
      <c r="CV90" s="30"/>
      <c r="CW90" s="30"/>
      <c r="CX90" s="30"/>
      <c r="CY90" s="30"/>
      <c r="CZ90" s="30"/>
      <c r="DA90" s="30"/>
    </row>
    <row r="91" spans="1:105" ht="19.2" thickTop="1" thickBot="1" x14ac:dyDescent="0.4">
      <c r="A91" s="30"/>
      <c r="B91" s="30"/>
      <c r="C91" s="185" t="s">
        <v>697</v>
      </c>
      <c r="D91" s="46" t="s">
        <v>681</v>
      </c>
      <c r="E91" s="35" t="str">
        <f>_xlfn.XLOOKUP(Tabella4[[#This Row],[NOME]],'ROSE SQUADRE'!$N$3:$N$253,'ROSE SQUADRE'!$O$3:$O$253,"")</f>
        <v/>
      </c>
      <c r="F91" s="36" t="s">
        <v>162</v>
      </c>
      <c r="G91" s="43">
        <v>6</v>
      </c>
      <c r="H91" s="43">
        <v>6</v>
      </c>
      <c r="I91" s="44">
        <f t="shared" si="7"/>
        <v>0</v>
      </c>
      <c r="J91" s="37">
        <f t="shared" si="8"/>
        <v>1</v>
      </c>
      <c r="K91" s="38">
        <f t="shared" si="9"/>
        <v>6</v>
      </c>
      <c r="L91" s="38">
        <f t="shared" si="10"/>
        <v>6</v>
      </c>
      <c r="M91" s="39">
        <f t="shared" si="11"/>
        <v>6</v>
      </c>
      <c r="N91" s="45">
        <f t="shared" ca="1" si="12"/>
        <v>0</v>
      </c>
      <c r="O91" s="40">
        <f>SUMIF(Tabella1[Nome],Tabella4[[#This Row],[NOME]],Tabella1[Gf])</f>
        <v>0</v>
      </c>
      <c r="P91" s="40">
        <f>-(SUMIF(Tabella1[Nome],Tabella4[[#This Row],[NOME]],Tabella1[Gs]))</f>
        <v>0</v>
      </c>
      <c r="Q91" s="40">
        <f>SUMIF(Tabella1[Nome],Tabella4[[#This Row],[NOME]],Tabella1[Rp])</f>
        <v>0</v>
      </c>
      <c r="R91" s="40">
        <f>SUMIF(Tabella1[Nome],Tabella4[[#This Row],[NOME]],Tabella1[Rs])</f>
        <v>0</v>
      </c>
      <c r="S91" s="40">
        <f>SUMIF(Tabella1[Nome],Tabella4[[#This Row],[NOME]],Tabella1[Rf])</f>
        <v>0</v>
      </c>
      <c r="T91" s="40">
        <f>SUMIF(Tabella1[Nome],Tabella4[[#This Row],[NOME]],Tabella1[Au])</f>
        <v>0</v>
      </c>
      <c r="U91" s="41">
        <f>SUMIF(Tabella1[Nome],Tabella4[[#This Row],[NOME]],Tabella1[Amm])</f>
        <v>0</v>
      </c>
      <c r="V91" s="42">
        <f>SUMIF(Tabella1[Nome],Tabella4[[#This Row],[NOME]],Tabella1[Esp])</f>
        <v>0</v>
      </c>
      <c r="W91" s="40">
        <f>SUMIF(Tabella1[Nome],Tabella4[[#This Row],[NOME]],Tabella1[Ass])</f>
        <v>0</v>
      </c>
      <c r="X91" s="40">
        <f>SUMIF(Tabella1[Nome],Tabella4[[#This Row],[NOME]],Tabella1[Gdv])</f>
        <v>0</v>
      </c>
      <c r="Y91" s="40">
        <f>SUMIF(Tabella1[Nome],Tabella4[[#This Row],[NOME]],Tabella1[cl sh])</f>
        <v>0</v>
      </c>
      <c r="Z91" s="270">
        <f>_xlfn.IFNA(_xlfn.XLOOKUP(CONCATENATE(Z$4,$C91),Tabella1[CONC X VOTI IN TAB GIOC],Tabella1[Voto],""),"")</f>
        <v>6</v>
      </c>
      <c r="AA91" s="270" t="str">
        <f>_xlfn.IFNA(_xlfn.XLOOKUP(CONCATENATE(AA$4,$C91),Tabella1[CONC X VOTI IN TAB GIOC],Tabella1[Voto],""),"")</f>
        <v/>
      </c>
      <c r="AB91" s="270" t="str">
        <f>_xlfn.IFNA(_xlfn.XLOOKUP(CONCATENATE(AB$4,$C91),Tabella1[CONC X VOTI IN TAB GIOC],Tabella1[Voto]),"")</f>
        <v>6*</v>
      </c>
      <c r="AC91" s="270" t="str" cm="1">
        <f t="array" ref="AC91">_xlfn.IFNA(_xlfn.XLOOKUP(CONCATENATE(AC$4,$C91),INDEX(Tabella1[],0,MATCH("CONC X VOTI IN TAB GIOC",Tabella1[#Headers],0)),INDEX(Tabella1[],0,MATCH("Voto",Tabella1[#Headers],0))),"")</f>
        <v/>
      </c>
      <c r="AD91" s="270" t="str">
        <f>_xlfn.IFNA(_xlfn.XLOOKUP(CONCATENATE(AD$4,$C91),Tabella1[CONC X VOTI IN TAB GIOC],Tabella1[Voto]),"")</f>
        <v/>
      </c>
      <c r="AE91" s="270" t="str">
        <f>_xlfn.IFNA(VLOOKUP(CONCATENATE(AE$4,$C91),'INSER DATA'!$A:$F,6,0),"")</f>
        <v/>
      </c>
      <c r="AF91" s="270" t="str">
        <f>_xlfn.IFNA(VLOOKUP(CONCATENATE(AF$4,$C91),'INSER DATA'!$A:$F,6,0),"")</f>
        <v/>
      </c>
      <c r="AG91" s="270" t="str">
        <f>_xlfn.IFNA(VLOOKUP(CONCATENATE(AG$4,$C91),'INSER DATA'!$A:$F,6,0),"")</f>
        <v/>
      </c>
      <c r="AH91" s="270" t="str">
        <f>_xlfn.IFNA(VLOOKUP(CONCATENATE(AH$4,$C91),'INSER DATA'!$A:$F,7,0),"")</f>
        <v/>
      </c>
      <c r="AI91" s="270" t="str">
        <f>_xlfn.IFNA(VLOOKUP(CONCATENATE(AI$4,$C91),'INSER DATA'!$A:$F,7,0),"")</f>
        <v/>
      </c>
      <c r="AJ91" s="270" t="str">
        <f>_xlfn.IFNA(VLOOKUP(CONCATENATE(AJ$4,$C91),'INSER DATA'!$A:$F,7,0),"")</f>
        <v/>
      </c>
      <c r="AK91" s="270" t="str">
        <f>_xlfn.IFNA(VLOOKUP(CONCATENATE(AK$4,$C91),'INSER DATA'!$A:$F,7,0),"")</f>
        <v/>
      </c>
      <c r="AL91" s="270" t="str">
        <f>_xlfn.IFNA(VLOOKUP(CONCATENATE(AL$4,$C91),'INSER DATA'!$A:$F,7,0),"")</f>
        <v/>
      </c>
      <c r="AM91" s="270" t="str">
        <f>_xlfn.IFNA(VLOOKUP(CONCATENATE(AM$4,$C91),'INSER DATA'!$A:$F,7,0),"")</f>
        <v/>
      </c>
      <c r="AN91" s="270" t="str">
        <f>_xlfn.IFNA(VLOOKUP(CONCATENATE(AN$4,$C91),'INSER DATA'!$A:$F,7,0),"")</f>
        <v/>
      </c>
      <c r="AO91" s="270" t="str">
        <f>_xlfn.IFNA(VLOOKUP(CONCATENATE(AO$4,$C91),'INSER DATA'!$A:$F,7,0),"")</f>
        <v/>
      </c>
      <c r="AP91" s="270" t="str">
        <f>_xlfn.IFNA(VLOOKUP(CONCATENATE(AP$4,$C91),'INSER DATA'!$A:$F,7,0),"")</f>
        <v/>
      </c>
      <c r="AQ91" s="270" t="str">
        <f>_xlfn.IFNA(VLOOKUP(CONCATENATE(AQ$4,$C91),'INSER DATA'!$A:$F,7,0),"")</f>
        <v/>
      </c>
      <c r="AR91" s="270" t="str">
        <f>_xlfn.IFNA(VLOOKUP(CONCATENATE(AR$4,$C91),'INSER DATA'!$A:$F,7,0),"")</f>
        <v/>
      </c>
      <c r="AS91" s="270" t="str">
        <f>_xlfn.IFNA(VLOOKUP(CONCATENATE(AS$4,$C91),'INSER DATA'!$A:$F,7,0),"")</f>
        <v/>
      </c>
      <c r="AT91" s="270" t="str">
        <f>_xlfn.IFNA(VLOOKUP(CONCATENATE(AT$4,$C91),'INSER DATA'!$A:$F,7,0),"")</f>
        <v/>
      </c>
      <c r="AU91" s="270" t="str">
        <f>_xlfn.IFNA(VLOOKUP(CONCATENATE(AU$4,$C91),'INSER DATA'!$A:$F,7,0),"")</f>
        <v/>
      </c>
      <c r="AV91" s="270" t="str">
        <f>_xlfn.IFNA(VLOOKUP(CONCATENATE(AV$4,$C91),'INSER DATA'!$A:$F,7,0),"")</f>
        <v/>
      </c>
      <c r="AW91" s="270" t="str">
        <f>_xlfn.IFNA(VLOOKUP(CONCATENATE(AW$4,$C91),'INSER DATA'!$A:$F,7,0),"")</f>
        <v/>
      </c>
      <c r="AX91" s="270" t="str">
        <f>_xlfn.IFNA(VLOOKUP(CONCATENATE(AX$4,$C91),'INSER DATA'!$A:$F,7,0),"")</f>
        <v/>
      </c>
      <c r="AY91" s="270" t="str">
        <f>_xlfn.IFNA(VLOOKUP(CONCATENATE(AY$4,$C91),'INSER DATA'!$A:$F,7,0),"")</f>
        <v/>
      </c>
      <c r="AZ91" s="270" t="str">
        <f>_xlfn.IFNA(VLOOKUP(CONCATENATE(AZ$4,$C91),'INSER DATA'!$A:$F,7,0),"")</f>
        <v/>
      </c>
      <c r="BA91" s="270" t="str">
        <f>_xlfn.IFNA(VLOOKUP(CONCATENATE(BA$4,$C91),'INSER DATA'!$A:$F,7,0),"")</f>
        <v/>
      </c>
      <c r="BB91" s="270" t="str">
        <f>_xlfn.IFNA(VLOOKUP(CONCATENATE(BB$4,$C91),'INSER DATA'!$A:$F,7,0),"")</f>
        <v/>
      </c>
      <c r="BC91" s="270" t="str">
        <f>_xlfn.IFNA(VLOOKUP(CONCATENATE(BC$4,$C91),'INSER DATA'!$A:$F,7,0),"")</f>
        <v/>
      </c>
      <c r="BD91" s="270" t="str">
        <f>_xlfn.IFNA(VLOOKUP(CONCATENATE(BD$4,$C91),'INSER DATA'!$A:$F,7,0),"")</f>
        <v/>
      </c>
      <c r="BE91" s="270" t="str">
        <f>_xlfn.IFNA(VLOOKUP(CONCATENATE(BE$4,$C91),'INSER DATA'!$A:$F,7,0),"")</f>
        <v/>
      </c>
      <c r="BF91" s="270" t="str">
        <f>_xlfn.IFNA(VLOOKUP(CONCATENATE(BF$4,$C91),'INSER DATA'!$A:$F,7,0),"")</f>
        <v/>
      </c>
      <c r="BG91" s="270" t="str">
        <f>_xlfn.IFNA(VLOOKUP(CONCATENATE(BG$4,$C91),'INSER DATA'!$A:$F,7,0),"")</f>
        <v/>
      </c>
      <c r="BH91" s="270" t="str">
        <f>_xlfn.IFNA(VLOOKUP(CONCATENATE(BH$4,$C91),'INSER DATA'!$A:$F,7,0),"")</f>
        <v/>
      </c>
      <c r="BI91" s="270" t="str">
        <f>_xlfn.IFNA(VLOOKUP(CONCATENATE(BI$4,$C91),'INSER DATA'!$A:$F,7,0),"")</f>
        <v/>
      </c>
      <c r="BJ91" s="270" t="str">
        <f>_xlfn.IFNA(VLOOKUP(CONCATENATE(BJ$4,$C91),'INSER DATA'!$A:$F,7,0),"")</f>
        <v/>
      </c>
      <c r="BK91" s="270" t="str">
        <f>_xlfn.IFNA(VLOOKUP(CONCATENATE(BK$4,$C91),'INSER DATA'!$A:$F,7,0),"")</f>
        <v/>
      </c>
      <c r="BL91" s="272"/>
      <c r="BM91" s="30"/>
      <c r="BN91" s="30"/>
      <c r="BO91" s="30"/>
      <c r="BP91" s="30"/>
      <c r="BQ91" s="30"/>
      <c r="BR91" s="30"/>
      <c r="BS91" s="30"/>
      <c r="BT91" s="30"/>
      <c r="BU91" s="30"/>
      <c r="BV91" s="30"/>
      <c r="BW91" s="30"/>
      <c r="BX91" s="30"/>
      <c r="BY91" s="30"/>
      <c r="BZ91" s="30"/>
      <c r="CA91" s="30"/>
      <c r="CB91" s="30"/>
      <c r="CC91" s="30"/>
      <c r="CD91" s="30"/>
      <c r="CE91" s="30"/>
      <c r="CF91" s="30"/>
      <c r="CG91" s="30"/>
      <c r="CH91" s="30"/>
      <c r="CI91" s="30"/>
      <c r="CJ91" s="30"/>
      <c r="CK91" s="30"/>
      <c r="CL91" s="30"/>
      <c r="CM91" s="30"/>
      <c r="CN91" s="30"/>
      <c r="CO91" s="30"/>
      <c r="CP91" s="30"/>
      <c r="CQ91" s="30"/>
      <c r="CR91" s="30"/>
      <c r="CS91" s="30"/>
      <c r="CT91" s="30"/>
      <c r="CU91" s="30"/>
      <c r="CV91" s="30"/>
      <c r="CW91" s="30"/>
      <c r="CX91" s="30"/>
      <c r="CY91" s="30"/>
      <c r="CZ91" s="30"/>
      <c r="DA91" s="30"/>
    </row>
    <row r="92" spans="1:105" ht="19.2" thickTop="1" thickBot="1" x14ac:dyDescent="0.4">
      <c r="A92" s="30"/>
      <c r="B92" s="30"/>
      <c r="C92" s="356" t="s">
        <v>608</v>
      </c>
      <c r="D92" s="357" t="s">
        <v>681</v>
      </c>
      <c r="E92" s="35" t="str">
        <f>_xlfn.XLOOKUP(Tabella4[[#This Row],[NOME]],'ROSE SQUADRE'!$N$3:$N$253,'ROSE SQUADRE'!$O$3:$O$253,"")</f>
        <v>SAN GRIA</v>
      </c>
      <c r="F92" s="36" t="s">
        <v>162</v>
      </c>
      <c r="G92" s="43">
        <v>10</v>
      </c>
      <c r="H92" s="43">
        <v>10</v>
      </c>
      <c r="I92" s="44">
        <f t="shared" si="7"/>
        <v>0</v>
      </c>
      <c r="J92" s="37">
        <f t="shared" si="8"/>
        <v>4</v>
      </c>
      <c r="K92" s="38">
        <f t="shared" si="9"/>
        <v>6.25</v>
      </c>
      <c r="L92" s="38">
        <f t="shared" si="10"/>
        <v>6.25</v>
      </c>
      <c r="M92" s="39">
        <f t="shared" si="11"/>
        <v>25</v>
      </c>
      <c r="N92" s="45">
        <f t="shared" ca="1" si="12"/>
        <v>0</v>
      </c>
      <c r="O92" s="40">
        <f>SUMIF(Tabella1[Nome],Tabella4[[#This Row],[NOME]],Tabella1[Gf])</f>
        <v>0</v>
      </c>
      <c r="P92" s="40">
        <f>-(SUMIF(Tabella1[Nome],Tabella4[[#This Row],[NOME]],Tabella1[Gs]))</f>
        <v>0</v>
      </c>
      <c r="Q92" s="40">
        <f>SUMIF(Tabella1[Nome],Tabella4[[#This Row],[NOME]],Tabella1[Rp])</f>
        <v>0</v>
      </c>
      <c r="R92" s="40">
        <f>SUMIF(Tabella1[Nome],Tabella4[[#This Row],[NOME]],Tabella1[Rs])</f>
        <v>0</v>
      </c>
      <c r="S92" s="40">
        <f>SUMIF(Tabella1[Nome],Tabella4[[#This Row],[NOME]],Tabella1[Rf])</f>
        <v>0</v>
      </c>
      <c r="T92" s="40">
        <f>SUMIF(Tabella1[Nome],Tabella4[[#This Row],[NOME]],Tabella1[Au])</f>
        <v>0</v>
      </c>
      <c r="U92" s="41">
        <f>SUMIF(Tabella1[Nome],Tabella4[[#This Row],[NOME]],Tabella1[Amm])</f>
        <v>0</v>
      </c>
      <c r="V92" s="42">
        <f>SUMIF(Tabella1[Nome],Tabella4[[#This Row],[NOME]],Tabella1[Esp])</f>
        <v>0</v>
      </c>
      <c r="W92" s="40">
        <f>SUMIF(Tabella1[Nome],Tabella4[[#This Row],[NOME]],Tabella1[Ass])</f>
        <v>0</v>
      </c>
      <c r="X92" s="40">
        <f>SUMIF(Tabella1[Nome],Tabella4[[#This Row],[NOME]],Tabella1[Gdv])</f>
        <v>0</v>
      </c>
      <c r="Y92" s="40">
        <f>SUMIF(Tabella1[Nome],Tabella4[[#This Row],[NOME]],Tabella1[cl sh])</f>
        <v>0</v>
      </c>
      <c r="Z92" s="270">
        <f>_xlfn.IFNA(_xlfn.XLOOKUP(CONCATENATE(Z$4,$C92),Tabella1[CONC X VOTI IN TAB GIOC],Tabella1[Voto],""),"")</f>
        <v>6</v>
      </c>
      <c r="AA92" s="270">
        <f>_xlfn.IFNA(_xlfn.XLOOKUP(CONCATENATE(AA$4,$C92),Tabella1[CONC X VOTI IN TAB GIOC],Tabella1[Voto],""),"")</f>
        <v>6</v>
      </c>
      <c r="AB92" s="270">
        <f>_xlfn.IFNA(_xlfn.XLOOKUP(CONCATENATE(AB$4,$C92),Tabella1[CONC X VOTI IN TAB GIOC],Tabella1[Voto]),"")</f>
        <v>6.5</v>
      </c>
      <c r="AC92" s="270" cm="1">
        <f t="array" ref="AC92">_xlfn.IFNA(_xlfn.XLOOKUP(CONCATENATE(AC$4,$C92),INDEX(Tabella1[],0,MATCH("CONC X VOTI IN TAB GIOC",Tabella1[#Headers],0)),INDEX(Tabella1[],0,MATCH("Voto",Tabella1[#Headers],0))),"")</f>
        <v>6.5</v>
      </c>
      <c r="AD92" s="270" t="str">
        <f>_xlfn.IFNA(_xlfn.XLOOKUP(CONCATENATE(AD$4,$C92),Tabella1[CONC X VOTI IN TAB GIOC],Tabella1[Voto]),"")</f>
        <v/>
      </c>
      <c r="AE92" s="270" t="str">
        <f>_xlfn.IFNA(VLOOKUP(CONCATENATE(AE$4,$C92),'INSER DATA'!$A:$F,6,0),"")</f>
        <v/>
      </c>
      <c r="AF92" s="270" t="str">
        <f>_xlfn.IFNA(VLOOKUP(CONCATENATE(AF$4,$C92),'INSER DATA'!$A:$F,6,0),"")</f>
        <v/>
      </c>
      <c r="AG92" s="270" t="str">
        <f>_xlfn.IFNA(VLOOKUP(CONCATENATE(AG$4,$C92),'INSER DATA'!$A:$F,6,0),"")</f>
        <v/>
      </c>
      <c r="AH92" s="270" t="str">
        <f>_xlfn.IFNA(VLOOKUP(CONCATENATE(AH$4,$C92),'INSER DATA'!$A:$F,7,0),"")</f>
        <v/>
      </c>
      <c r="AI92" s="270" t="str">
        <f>_xlfn.IFNA(VLOOKUP(CONCATENATE(AI$4,$C92),'INSER DATA'!$A:$F,7,0),"")</f>
        <v/>
      </c>
      <c r="AJ92" s="270" t="str">
        <f>_xlfn.IFNA(VLOOKUP(CONCATENATE(AJ$4,$C92),'INSER DATA'!$A:$F,7,0),"")</f>
        <v/>
      </c>
      <c r="AK92" s="270" t="str">
        <f>_xlfn.IFNA(VLOOKUP(CONCATENATE(AK$4,$C92),'INSER DATA'!$A:$F,7,0),"")</f>
        <v/>
      </c>
      <c r="AL92" s="270" t="str">
        <f>_xlfn.IFNA(VLOOKUP(CONCATENATE(AL$4,$C92),'INSER DATA'!$A:$F,7,0),"")</f>
        <v/>
      </c>
      <c r="AM92" s="270" t="str">
        <f>_xlfn.IFNA(VLOOKUP(CONCATENATE(AM$4,$C92),'INSER DATA'!$A:$F,7,0),"")</f>
        <v/>
      </c>
      <c r="AN92" s="270" t="str">
        <f>_xlfn.IFNA(VLOOKUP(CONCATENATE(AN$4,$C92),'INSER DATA'!$A:$F,7,0),"")</f>
        <v/>
      </c>
      <c r="AO92" s="270" t="str">
        <f>_xlfn.IFNA(VLOOKUP(CONCATENATE(AO$4,$C92),'INSER DATA'!$A:$F,7,0),"")</f>
        <v/>
      </c>
      <c r="AP92" s="270" t="str">
        <f>_xlfn.IFNA(VLOOKUP(CONCATENATE(AP$4,$C92),'INSER DATA'!$A:$F,7,0),"")</f>
        <v/>
      </c>
      <c r="AQ92" s="270" t="str">
        <f>_xlfn.IFNA(VLOOKUP(CONCATENATE(AQ$4,$C92),'INSER DATA'!$A:$F,7,0),"")</f>
        <v/>
      </c>
      <c r="AR92" s="270" t="str">
        <f>_xlfn.IFNA(VLOOKUP(CONCATENATE(AR$4,$C92),'INSER DATA'!$A:$F,7,0),"")</f>
        <v/>
      </c>
      <c r="AS92" s="270" t="str">
        <f>_xlfn.IFNA(VLOOKUP(CONCATENATE(AS$4,$C92),'INSER DATA'!$A:$F,7,0),"")</f>
        <v/>
      </c>
      <c r="AT92" s="270" t="str">
        <f>_xlfn.IFNA(VLOOKUP(CONCATENATE(AT$4,$C92),'INSER DATA'!$A:$F,7,0),"")</f>
        <v/>
      </c>
      <c r="AU92" s="270" t="str">
        <f>_xlfn.IFNA(VLOOKUP(CONCATENATE(AU$4,$C92),'INSER DATA'!$A:$F,7,0),"")</f>
        <v/>
      </c>
      <c r="AV92" s="270" t="str">
        <f>_xlfn.IFNA(VLOOKUP(CONCATENATE(AV$4,$C92),'INSER DATA'!$A:$F,7,0),"")</f>
        <v/>
      </c>
      <c r="AW92" s="270" t="str">
        <f>_xlfn.IFNA(VLOOKUP(CONCATENATE(AW$4,$C92),'INSER DATA'!$A:$F,7,0),"")</f>
        <v/>
      </c>
      <c r="AX92" s="270" t="str">
        <f>_xlfn.IFNA(VLOOKUP(CONCATENATE(AX$4,$C92),'INSER DATA'!$A:$F,7,0),"")</f>
        <v/>
      </c>
      <c r="AY92" s="270" t="str">
        <f>_xlfn.IFNA(VLOOKUP(CONCATENATE(AY$4,$C92),'INSER DATA'!$A:$F,7,0),"")</f>
        <v/>
      </c>
      <c r="AZ92" s="270" t="str">
        <f>_xlfn.IFNA(VLOOKUP(CONCATENATE(AZ$4,$C92),'INSER DATA'!$A:$F,7,0),"")</f>
        <v/>
      </c>
      <c r="BA92" s="270" t="str">
        <f>_xlfn.IFNA(VLOOKUP(CONCATENATE(BA$4,$C92),'INSER DATA'!$A:$F,7,0),"")</f>
        <v/>
      </c>
      <c r="BB92" s="270" t="str">
        <f>_xlfn.IFNA(VLOOKUP(CONCATENATE(BB$4,$C92),'INSER DATA'!$A:$F,7,0),"")</f>
        <v/>
      </c>
      <c r="BC92" s="270" t="str">
        <f>_xlfn.IFNA(VLOOKUP(CONCATENATE(BC$4,$C92),'INSER DATA'!$A:$F,7,0),"")</f>
        <v/>
      </c>
      <c r="BD92" s="270" t="str">
        <f>_xlfn.IFNA(VLOOKUP(CONCATENATE(BD$4,$C92),'INSER DATA'!$A:$F,7,0),"")</f>
        <v/>
      </c>
      <c r="BE92" s="270" t="str">
        <f>_xlfn.IFNA(VLOOKUP(CONCATENATE(BE$4,$C92),'INSER DATA'!$A:$F,7,0),"")</f>
        <v/>
      </c>
      <c r="BF92" s="270" t="str">
        <f>_xlfn.IFNA(VLOOKUP(CONCATENATE(BF$4,$C92),'INSER DATA'!$A:$F,7,0),"")</f>
        <v/>
      </c>
      <c r="BG92" s="270" t="str">
        <f>_xlfn.IFNA(VLOOKUP(CONCATENATE(BG$4,$C92),'INSER DATA'!$A:$F,7,0),"")</f>
        <v/>
      </c>
      <c r="BH92" s="270" t="str">
        <f>_xlfn.IFNA(VLOOKUP(CONCATENATE(BH$4,$C92),'INSER DATA'!$A:$F,7,0),"")</f>
        <v/>
      </c>
      <c r="BI92" s="270" t="str">
        <f>_xlfn.IFNA(VLOOKUP(CONCATENATE(BI$4,$C92),'INSER DATA'!$A:$F,7,0),"")</f>
        <v/>
      </c>
      <c r="BJ92" s="270" t="str">
        <f>_xlfn.IFNA(VLOOKUP(CONCATENATE(BJ$4,$C92),'INSER DATA'!$A:$F,7,0),"")</f>
        <v/>
      </c>
      <c r="BK92" s="270" t="str">
        <f>_xlfn.IFNA(VLOOKUP(CONCATENATE(BK$4,$C92),'INSER DATA'!$A:$F,7,0),"")</f>
        <v/>
      </c>
      <c r="BL92" s="272"/>
      <c r="BM92" s="30"/>
      <c r="BN92" s="30"/>
      <c r="BO92" s="30"/>
      <c r="BP92" s="30"/>
      <c r="BQ92" s="30"/>
      <c r="BR92" s="30"/>
      <c r="BS92" s="30"/>
      <c r="BT92" s="30"/>
      <c r="BU92" s="30"/>
      <c r="BV92" s="30"/>
      <c r="BW92" s="30"/>
      <c r="BX92" s="30"/>
      <c r="BY92" s="30"/>
      <c r="BZ92" s="30"/>
      <c r="CA92" s="30"/>
      <c r="CB92" s="30"/>
      <c r="CC92" s="30"/>
      <c r="CD92" s="30"/>
      <c r="CE92" s="30"/>
      <c r="CF92" s="30"/>
      <c r="CG92" s="30"/>
      <c r="CH92" s="30"/>
      <c r="CI92" s="30"/>
      <c r="CJ92" s="30"/>
      <c r="CK92" s="30"/>
      <c r="CL92" s="30"/>
      <c r="CM92" s="30"/>
      <c r="CN92" s="30"/>
      <c r="CO92" s="30"/>
      <c r="CP92" s="30"/>
      <c r="CQ92" s="30"/>
      <c r="CR92" s="30"/>
      <c r="CS92" s="30"/>
      <c r="CT92" s="30"/>
      <c r="CU92" s="30"/>
      <c r="CV92" s="30"/>
      <c r="CW92" s="30"/>
      <c r="CX92" s="30"/>
      <c r="CY92" s="30"/>
      <c r="CZ92" s="30"/>
      <c r="DA92" s="30"/>
    </row>
    <row r="93" spans="1:105" ht="19.2" thickTop="1" thickBot="1" x14ac:dyDescent="0.4">
      <c r="A93" s="30"/>
      <c r="B93" s="30"/>
      <c r="C93" s="354" t="s">
        <v>680</v>
      </c>
      <c r="D93" s="357" t="s">
        <v>681</v>
      </c>
      <c r="E93" s="35" t="str">
        <f>_xlfn.XLOOKUP(Tabella4[[#This Row],[NOME]],'ROSE SQUADRE'!$N$3:$N$253,'ROSE SQUADRE'!$O$3:$O$253,"")</f>
        <v>SESTO ASENSIO</v>
      </c>
      <c r="F93" s="36" t="s">
        <v>5</v>
      </c>
      <c r="G93" s="43">
        <v>16</v>
      </c>
      <c r="H93" s="43">
        <v>16</v>
      </c>
      <c r="I93" s="44">
        <f t="shared" si="7"/>
        <v>0</v>
      </c>
      <c r="J93" s="37">
        <f t="shared" si="8"/>
        <v>3</v>
      </c>
      <c r="K93" s="38">
        <f t="shared" si="9"/>
        <v>5.833333333333333</v>
      </c>
      <c r="L93" s="38">
        <f t="shared" si="10"/>
        <v>4.833333333333333</v>
      </c>
      <c r="M93" s="39">
        <f t="shared" si="11"/>
        <v>14.5</v>
      </c>
      <c r="N93" s="45">
        <f t="shared" ca="1" si="12"/>
        <v>0</v>
      </c>
      <c r="O93" s="40">
        <f>SUMIF(Tabella1[Nome],Tabella4[[#This Row],[NOME]],Tabella1[Gf])</f>
        <v>0</v>
      </c>
      <c r="P93" s="40">
        <f>-(SUMIF(Tabella1[Nome],Tabella4[[#This Row],[NOME]],Tabella1[Gs]))</f>
        <v>-3</v>
      </c>
      <c r="Q93" s="40">
        <f>SUMIF(Tabella1[Nome],Tabella4[[#This Row],[NOME]],Tabella1[Rp])</f>
        <v>0</v>
      </c>
      <c r="R93" s="40">
        <f>SUMIF(Tabella1[Nome],Tabella4[[#This Row],[NOME]],Tabella1[Rs])</f>
        <v>0</v>
      </c>
      <c r="S93" s="40">
        <f>SUMIF(Tabella1[Nome],Tabella4[[#This Row],[NOME]],Tabella1[Rf])</f>
        <v>0</v>
      </c>
      <c r="T93" s="40">
        <f>SUMIF(Tabella1[Nome],Tabella4[[#This Row],[NOME]],Tabella1[Au])</f>
        <v>0</v>
      </c>
      <c r="U93" s="41">
        <f>SUMIF(Tabella1[Nome],Tabella4[[#This Row],[NOME]],Tabella1[Amm])</f>
        <v>0</v>
      </c>
      <c r="V93" s="42">
        <f>SUMIF(Tabella1[Nome],Tabella4[[#This Row],[NOME]],Tabella1[Esp])</f>
        <v>0</v>
      </c>
      <c r="W93" s="40">
        <f>SUMIF(Tabella1[Nome],Tabella4[[#This Row],[NOME]],Tabella1[Ass])</f>
        <v>0</v>
      </c>
      <c r="X93" s="40">
        <f>SUMIF(Tabella1[Nome],Tabella4[[#This Row],[NOME]],Tabella1[Gdv])</f>
        <v>0</v>
      </c>
      <c r="Y93" s="40">
        <f>SUMIF(Tabella1[Nome],Tabella4[[#This Row],[NOME]],Tabella1[cl sh])</f>
        <v>0</v>
      </c>
      <c r="Z93" s="270">
        <f>_xlfn.IFNA(_xlfn.XLOOKUP(CONCATENATE(Z$4,$C93),Tabella1[CONC X VOTI IN TAB GIOC],Tabella1[Voto],""),"")</f>
        <v>6</v>
      </c>
      <c r="AA93" s="270">
        <f>_xlfn.IFNA(_xlfn.XLOOKUP(CONCATENATE(AA$4,$C93),Tabella1[CONC X VOTI IN TAB GIOC],Tabella1[Voto],""),"")</f>
        <v>5.5</v>
      </c>
      <c r="AB93" s="270">
        <f>_xlfn.IFNA(_xlfn.XLOOKUP(CONCATENATE(AB$4,$C93),Tabella1[CONC X VOTI IN TAB GIOC],Tabella1[Voto]),"")</f>
        <v>6</v>
      </c>
      <c r="AC93" s="270" t="str" cm="1">
        <f t="array" ref="AC93">_xlfn.IFNA(_xlfn.XLOOKUP(CONCATENATE(AC$4,$C93),INDEX(Tabella1[],0,MATCH("CONC X VOTI IN TAB GIOC",Tabella1[#Headers],0)),INDEX(Tabella1[],0,MATCH("Voto",Tabella1[#Headers],0))),"")</f>
        <v/>
      </c>
      <c r="AD93" s="270" t="str">
        <f>_xlfn.IFNA(_xlfn.XLOOKUP(CONCATENATE(AD$4,$C93),Tabella1[CONC X VOTI IN TAB GIOC],Tabella1[Voto]),"")</f>
        <v/>
      </c>
      <c r="AE93" s="270" t="str">
        <f>_xlfn.IFNA(VLOOKUP(CONCATENATE(AE$4,$C93),'INSER DATA'!$A:$F,6,0),"")</f>
        <v/>
      </c>
      <c r="AF93" s="270" t="str">
        <f>_xlfn.IFNA(VLOOKUP(CONCATENATE(AF$4,$C93),'INSER DATA'!$A:$F,6,0),"")</f>
        <v/>
      </c>
      <c r="AG93" s="270" t="str">
        <f>_xlfn.IFNA(VLOOKUP(CONCATENATE(AG$4,$C93),'INSER DATA'!$A:$F,6,0),"")</f>
        <v/>
      </c>
      <c r="AH93" s="270" t="str">
        <f>_xlfn.IFNA(VLOOKUP(CONCATENATE(AH$4,$C93),'INSER DATA'!$A:$F,7,0),"")</f>
        <v/>
      </c>
      <c r="AI93" s="270" t="str">
        <f>_xlfn.IFNA(VLOOKUP(CONCATENATE(AI$4,$C93),'INSER DATA'!$A:$F,7,0),"")</f>
        <v/>
      </c>
      <c r="AJ93" s="270" t="str">
        <f>_xlfn.IFNA(VLOOKUP(CONCATENATE(AJ$4,$C93),'INSER DATA'!$A:$F,7,0),"")</f>
        <v/>
      </c>
      <c r="AK93" s="270" t="str">
        <f>_xlfn.IFNA(VLOOKUP(CONCATENATE(AK$4,$C93),'INSER DATA'!$A:$F,7,0),"")</f>
        <v/>
      </c>
      <c r="AL93" s="270" t="str">
        <f>_xlfn.IFNA(VLOOKUP(CONCATENATE(AL$4,$C93),'INSER DATA'!$A:$F,7,0),"")</f>
        <v/>
      </c>
      <c r="AM93" s="270" t="str">
        <f>_xlfn.IFNA(VLOOKUP(CONCATENATE(AM$4,$C93),'INSER DATA'!$A:$F,7,0),"")</f>
        <v/>
      </c>
      <c r="AN93" s="270" t="str">
        <f>_xlfn.IFNA(VLOOKUP(CONCATENATE(AN$4,$C93),'INSER DATA'!$A:$F,7,0),"")</f>
        <v/>
      </c>
      <c r="AO93" s="270" t="str">
        <f>_xlfn.IFNA(VLOOKUP(CONCATENATE(AO$4,$C93),'INSER DATA'!$A:$F,7,0),"")</f>
        <v/>
      </c>
      <c r="AP93" s="270" t="str">
        <f>_xlfn.IFNA(VLOOKUP(CONCATENATE(AP$4,$C93),'INSER DATA'!$A:$F,7,0),"")</f>
        <v/>
      </c>
      <c r="AQ93" s="270" t="str">
        <f>_xlfn.IFNA(VLOOKUP(CONCATENATE(AQ$4,$C93),'INSER DATA'!$A:$F,7,0),"")</f>
        <v/>
      </c>
      <c r="AR93" s="270" t="str">
        <f>_xlfn.IFNA(VLOOKUP(CONCATENATE(AR$4,$C93),'INSER DATA'!$A:$F,7,0),"")</f>
        <v/>
      </c>
      <c r="AS93" s="270" t="str">
        <f>_xlfn.IFNA(VLOOKUP(CONCATENATE(AS$4,$C93),'INSER DATA'!$A:$F,7,0),"")</f>
        <v/>
      </c>
      <c r="AT93" s="270" t="str">
        <f>_xlfn.IFNA(VLOOKUP(CONCATENATE(AT$4,$C93),'INSER DATA'!$A:$F,7,0),"")</f>
        <v/>
      </c>
      <c r="AU93" s="270" t="str">
        <f>_xlfn.IFNA(VLOOKUP(CONCATENATE(AU$4,$C93),'INSER DATA'!$A:$F,7,0),"")</f>
        <v/>
      </c>
      <c r="AV93" s="270" t="str">
        <f>_xlfn.IFNA(VLOOKUP(CONCATENATE(AV$4,$C93),'INSER DATA'!$A:$F,7,0),"")</f>
        <v/>
      </c>
      <c r="AW93" s="270" t="str">
        <f>_xlfn.IFNA(VLOOKUP(CONCATENATE(AW$4,$C93),'INSER DATA'!$A:$F,7,0),"")</f>
        <v/>
      </c>
      <c r="AX93" s="270" t="str">
        <f>_xlfn.IFNA(VLOOKUP(CONCATENATE(AX$4,$C93),'INSER DATA'!$A:$F,7,0),"")</f>
        <v/>
      </c>
      <c r="AY93" s="270" t="str">
        <f>_xlfn.IFNA(VLOOKUP(CONCATENATE(AY$4,$C93),'INSER DATA'!$A:$F,7,0),"")</f>
        <v/>
      </c>
      <c r="AZ93" s="270" t="str">
        <f>_xlfn.IFNA(VLOOKUP(CONCATENATE(AZ$4,$C93),'INSER DATA'!$A:$F,7,0),"")</f>
        <v/>
      </c>
      <c r="BA93" s="270" t="str">
        <f>_xlfn.IFNA(VLOOKUP(CONCATENATE(BA$4,$C93),'INSER DATA'!$A:$F,7,0),"")</f>
        <v/>
      </c>
      <c r="BB93" s="270" t="str">
        <f>_xlfn.IFNA(VLOOKUP(CONCATENATE(BB$4,$C93),'INSER DATA'!$A:$F,7,0),"")</f>
        <v/>
      </c>
      <c r="BC93" s="270" t="str">
        <f>_xlfn.IFNA(VLOOKUP(CONCATENATE(BC$4,$C93),'INSER DATA'!$A:$F,7,0),"")</f>
        <v/>
      </c>
      <c r="BD93" s="270" t="str">
        <f>_xlfn.IFNA(VLOOKUP(CONCATENATE(BD$4,$C93),'INSER DATA'!$A:$F,7,0),"")</f>
        <v/>
      </c>
      <c r="BE93" s="270" t="str">
        <f>_xlfn.IFNA(VLOOKUP(CONCATENATE(BE$4,$C93),'INSER DATA'!$A:$F,7,0),"")</f>
        <v/>
      </c>
      <c r="BF93" s="270" t="str">
        <f>_xlfn.IFNA(VLOOKUP(CONCATENATE(BF$4,$C93),'INSER DATA'!$A:$F,7,0),"")</f>
        <v/>
      </c>
      <c r="BG93" s="270" t="str">
        <f>_xlfn.IFNA(VLOOKUP(CONCATENATE(BG$4,$C93),'INSER DATA'!$A:$F,7,0),"")</f>
        <v/>
      </c>
      <c r="BH93" s="270" t="str">
        <f>_xlfn.IFNA(VLOOKUP(CONCATENATE(BH$4,$C93),'INSER DATA'!$A:$F,7,0),"")</f>
        <v/>
      </c>
      <c r="BI93" s="270" t="str">
        <f>_xlfn.IFNA(VLOOKUP(CONCATENATE(BI$4,$C93),'INSER DATA'!$A:$F,7,0),"")</f>
        <v/>
      </c>
      <c r="BJ93" s="270" t="str">
        <f>_xlfn.IFNA(VLOOKUP(CONCATENATE(BJ$4,$C93),'INSER DATA'!$A:$F,7,0),"")</f>
        <v/>
      </c>
      <c r="BK93" s="270" t="str">
        <f>_xlfn.IFNA(VLOOKUP(CONCATENATE(BK$4,$C93),'INSER DATA'!$A:$F,7,0),"")</f>
        <v/>
      </c>
      <c r="BL93" s="272"/>
      <c r="BM93" s="30"/>
      <c r="BN93" s="30"/>
      <c r="BO93" s="30"/>
      <c r="BP93" s="30"/>
      <c r="BQ93" s="30"/>
      <c r="BR93" s="30"/>
      <c r="BS93" s="30"/>
      <c r="BT93" s="30"/>
      <c r="BU93" s="30"/>
      <c r="BV93" s="30"/>
      <c r="BW93" s="30"/>
      <c r="BX93" s="30"/>
      <c r="BY93" s="30"/>
      <c r="BZ93" s="30"/>
      <c r="CA93" s="30"/>
      <c r="CB93" s="30"/>
      <c r="CC93" s="30"/>
      <c r="CD93" s="30"/>
      <c r="CE93" s="30"/>
      <c r="CF93" s="30"/>
      <c r="CG93" s="30"/>
      <c r="CH93" s="30"/>
      <c r="CI93" s="30"/>
      <c r="CJ93" s="30"/>
      <c r="CK93" s="30"/>
      <c r="CL93" s="30"/>
      <c r="CM93" s="30"/>
      <c r="CN93" s="30"/>
      <c r="CO93" s="30"/>
      <c r="CP93" s="30"/>
      <c r="CQ93" s="30"/>
      <c r="CR93" s="30"/>
      <c r="CS93" s="30"/>
      <c r="CT93" s="30"/>
      <c r="CU93" s="30"/>
      <c r="CV93" s="30"/>
      <c r="CW93" s="30"/>
      <c r="CX93" s="30"/>
      <c r="CY93" s="30"/>
      <c r="CZ93" s="30"/>
      <c r="DA93" s="30"/>
    </row>
    <row r="94" spans="1:105" ht="19.2" thickTop="1" thickBot="1" x14ac:dyDescent="0.4">
      <c r="A94" s="30"/>
      <c r="B94" s="30"/>
      <c r="C94" s="356" t="s">
        <v>609</v>
      </c>
      <c r="D94" s="357" t="s">
        <v>681</v>
      </c>
      <c r="E94" s="35" t="str">
        <f>_xlfn.XLOOKUP(Tabella4[[#This Row],[NOME]],'ROSE SQUADRE'!$N$3:$N$253,'ROSE SQUADRE'!$O$3:$O$253,"")</f>
        <v>AS PIPPERIA</v>
      </c>
      <c r="F94" s="36" t="s">
        <v>162</v>
      </c>
      <c r="G94" s="43">
        <v>30</v>
      </c>
      <c r="H94" s="43">
        <v>29</v>
      </c>
      <c r="I94" s="44">
        <f t="shared" si="7"/>
        <v>-1</v>
      </c>
      <c r="J94" s="37">
        <f t="shared" si="8"/>
        <v>4</v>
      </c>
      <c r="K94" s="38">
        <f t="shared" si="9"/>
        <v>6.25</v>
      </c>
      <c r="L94" s="38">
        <f t="shared" si="10"/>
        <v>7.25</v>
      </c>
      <c r="M94" s="39">
        <f t="shared" si="11"/>
        <v>29</v>
      </c>
      <c r="N94" s="45">
        <f t="shared" ca="1" si="12"/>
        <v>0</v>
      </c>
      <c r="O94" s="40">
        <f>SUMIF(Tabella1[Nome],Tabella4[[#This Row],[NOME]],Tabella1[Gf])</f>
        <v>1</v>
      </c>
      <c r="P94" s="40">
        <f>-(SUMIF(Tabella1[Nome],Tabella4[[#This Row],[NOME]],Tabella1[Gs]))</f>
        <v>0</v>
      </c>
      <c r="Q94" s="40">
        <f>SUMIF(Tabella1[Nome],Tabella4[[#This Row],[NOME]],Tabella1[Rp])</f>
        <v>0</v>
      </c>
      <c r="R94" s="40">
        <f>SUMIF(Tabella1[Nome],Tabella4[[#This Row],[NOME]],Tabella1[Rs])</f>
        <v>0</v>
      </c>
      <c r="S94" s="40">
        <f>SUMIF(Tabella1[Nome],Tabella4[[#This Row],[NOME]],Tabella1[Rf])</f>
        <v>0</v>
      </c>
      <c r="T94" s="40">
        <f>SUMIF(Tabella1[Nome],Tabella4[[#This Row],[NOME]],Tabella1[Au])</f>
        <v>0</v>
      </c>
      <c r="U94" s="41">
        <f>SUMIF(Tabella1[Nome],Tabella4[[#This Row],[NOME]],Tabella1[Amm])</f>
        <v>0</v>
      </c>
      <c r="V94" s="42">
        <f>SUMIF(Tabella1[Nome],Tabella4[[#This Row],[NOME]],Tabella1[Esp])</f>
        <v>0</v>
      </c>
      <c r="W94" s="40">
        <f>SUMIF(Tabella1[Nome],Tabella4[[#This Row],[NOME]],Tabella1[Ass])</f>
        <v>1</v>
      </c>
      <c r="X94" s="40">
        <f>SUMIF(Tabella1[Nome],Tabella4[[#This Row],[NOME]],Tabella1[Gdv])</f>
        <v>0</v>
      </c>
      <c r="Y94" s="40">
        <f>SUMIF(Tabella1[Nome],Tabella4[[#This Row],[NOME]],Tabella1[cl sh])</f>
        <v>0</v>
      </c>
      <c r="Z94" s="270">
        <f>_xlfn.IFNA(_xlfn.XLOOKUP(CONCATENATE(Z$4,$C94),Tabella1[CONC X VOTI IN TAB GIOC],Tabella1[Voto],""),"")</f>
        <v>5.5</v>
      </c>
      <c r="AA94" s="270">
        <f>_xlfn.IFNA(_xlfn.XLOOKUP(CONCATENATE(AA$4,$C94),Tabella1[CONC X VOTI IN TAB GIOC],Tabella1[Voto],""),"")</f>
        <v>6</v>
      </c>
      <c r="AB94" s="270">
        <f>_xlfn.IFNA(_xlfn.XLOOKUP(CONCATENATE(AB$4,$C94),Tabella1[CONC X VOTI IN TAB GIOC],Tabella1[Voto]),"")</f>
        <v>7</v>
      </c>
      <c r="AC94" s="270" cm="1">
        <f t="array" ref="AC94">_xlfn.IFNA(_xlfn.XLOOKUP(CONCATENATE(AC$4,$C94),INDEX(Tabella1[],0,MATCH("CONC X VOTI IN TAB GIOC",Tabella1[#Headers],0)),INDEX(Tabella1[],0,MATCH("Voto",Tabella1[#Headers],0))),"")</f>
        <v>6.5</v>
      </c>
      <c r="AD94" s="270" t="str">
        <f>_xlfn.IFNA(_xlfn.XLOOKUP(CONCATENATE(AD$4,$C94),Tabella1[CONC X VOTI IN TAB GIOC],Tabella1[Voto]),"")</f>
        <v/>
      </c>
      <c r="AE94" s="270" t="str">
        <f>_xlfn.IFNA(VLOOKUP(CONCATENATE(AE$4,$C94),'INSER DATA'!$A:$F,6,0),"")</f>
        <v/>
      </c>
      <c r="AF94" s="270" t="str">
        <f>_xlfn.IFNA(VLOOKUP(CONCATENATE(AF$4,$C94),'INSER DATA'!$A:$F,6,0),"")</f>
        <v/>
      </c>
      <c r="AG94" s="270" t="str">
        <f>_xlfn.IFNA(VLOOKUP(CONCATENATE(AG$4,$C94),'INSER DATA'!$A:$F,6,0),"")</f>
        <v/>
      </c>
      <c r="AH94" s="270" t="str">
        <f>_xlfn.IFNA(VLOOKUP(CONCATENATE(AH$4,$C94),'INSER DATA'!$A:$F,7,0),"")</f>
        <v/>
      </c>
      <c r="AI94" s="270" t="str">
        <f>_xlfn.IFNA(VLOOKUP(CONCATENATE(AI$4,$C94),'INSER DATA'!$A:$F,7,0),"")</f>
        <v/>
      </c>
      <c r="AJ94" s="270" t="str">
        <f>_xlfn.IFNA(VLOOKUP(CONCATENATE(AJ$4,$C94),'INSER DATA'!$A:$F,7,0),"")</f>
        <v/>
      </c>
      <c r="AK94" s="270" t="str">
        <f>_xlfn.IFNA(VLOOKUP(CONCATENATE(AK$4,$C94),'INSER DATA'!$A:$F,7,0),"")</f>
        <v/>
      </c>
      <c r="AL94" s="270" t="str">
        <f>_xlfn.IFNA(VLOOKUP(CONCATENATE(AL$4,$C94),'INSER DATA'!$A:$F,7,0),"")</f>
        <v/>
      </c>
      <c r="AM94" s="270" t="str">
        <f>_xlfn.IFNA(VLOOKUP(CONCATENATE(AM$4,$C94),'INSER DATA'!$A:$F,7,0),"")</f>
        <v/>
      </c>
      <c r="AN94" s="270" t="str">
        <f>_xlfn.IFNA(VLOOKUP(CONCATENATE(AN$4,$C94),'INSER DATA'!$A:$F,7,0),"")</f>
        <v/>
      </c>
      <c r="AO94" s="270" t="str">
        <f>_xlfn.IFNA(VLOOKUP(CONCATENATE(AO$4,$C94),'INSER DATA'!$A:$F,7,0),"")</f>
        <v/>
      </c>
      <c r="AP94" s="270" t="str">
        <f>_xlfn.IFNA(VLOOKUP(CONCATENATE(AP$4,$C94),'INSER DATA'!$A:$F,7,0),"")</f>
        <v/>
      </c>
      <c r="AQ94" s="270" t="str">
        <f>_xlfn.IFNA(VLOOKUP(CONCATENATE(AQ$4,$C94),'INSER DATA'!$A:$F,7,0),"")</f>
        <v/>
      </c>
      <c r="AR94" s="270" t="str">
        <f>_xlfn.IFNA(VLOOKUP(CONCATENATE(AR$4,$C94),'INSER DATA'!$A:$F,7,0),"")</f>
        <v/>
      </c>
      <c r="AS94" s="270" t="str">
        <f>_xlfn.IFNA(VLOOKUP(CONCATENATE(AS$4,$C94),'INSER DATA'!$A:$F,7,0),"")</f>
        <v/>
      </c>
      <c r="AT94" s="270" t="str">
        <f>_xlfn.IFNA(VLOOKUP(CONCATENATE(AT$4,$C94),'INSER DATA'!$A:$F,7,0),"")</f>
        <v/>
      </c>
      <c r="AU94" s="270" t="str">
        <f>_xlfn.IFNA(VLOOKUP(CONCATENATE(AU$4,$C94),'INSER DATA'!$A:$F,7,0),"")</f>
        <v/>
      </c>
      <c r="AV94" s="270" t="str">
        <f>_xlfn.IFNA(VLOOKUP(CONCATENATE(AV$4,$C94),'INSER DATA'!$A:$F,7,0),"")</f>
        <v/>
      </c>
      <c r="AW94" s="270" t="str">
        <f>_xlfn.IFNA(VLOOKUP(CONCATENATE(AW$4,$C94),'INSER DATA'!$A:$F,7,0),"")</f>
        <v/>
      </c>
      <c r="AX94" s="270" t="str">
        <f>_xlfn.IFNA(VLOOKUP(CONCATENATE(AX$4,$C94),'INSER DATA'!$A:$F,7,0),"")</f>
        <v/>
      </c>
      <c r="AY94" s="270" t="str">
        <f>_xlfn.IFNA(VLOOKUP(CONCATENATE(AY$4,$C94),'INSER DATA'!$A:$F,7,0),"")</f>
        <v/>
      </c>
      <c r="AZ94" s="270" t="str">
        <f>_xlfn.IFNA(VLOOKUP(CONCATENATE(AZ$4,$C94),'INSER DATA'!$A:$F,7,0),"")</f>
        <v/>
      </c>
      <c r="BA94" s="270" t="str">
        <f>_xlfn.IFNA(VLOOKUP(CONCATENATE(BA$4,$C94),'INSER DATA'!$A:$F,7,0),"")</f>
        <v/>
      </c>
      <c r="BB94" s="270" t="str">
        <f>_xlfn.IFNA(VLOOKUP(CONCATENATE(BB$4,$C94),'INSER DATA'!$A:$F,7,0),"")</f>
        <v/>
      </c>
      <c r="BC94" s="270" t="str">
        <f>_xlfn.IFNA(VLOOKUP(CONCATENATE(BC$4,$C94),'INSER DATA'!$A:$F,7,0),"")</f>
        <v/>
      </c>
      <c r="BD94" s="270" t="str">
        <f>_xlfn.IFNA(VLOOKUP(CONCATENATE(BD$4,$C94),'INSER DATA'!$A:$F,7,0),"")</f>
        <v/>
      </c>
      <c r="BE94" s="270" t="str">
        <f>_xlfn.IFNA(VLOOKUP(CONCATENATE(BE$4,$C94),'INSER DATA'!$A:$F,7,0),"")</f>
        <v/>
      </c>
      <c r="BF94" s="270" t="str">
        <f>_xlfn.IFNA(VLOOKUP(CONCATENATE(BF$4,$C94),'INSER DATA'!$A:$F,7,0),"")</f>
        <v/>
      </c>
      <c r="BG94" s="270" t="str">
        <f>_xlfn.IFNA(VLOOKUP(CONCATENATE(BG$4,$C94),'INSER DATA'!$A:$F,7,0),"")</f>
        <v/>
      </c>
      <c r="BH94" s="270" t="str">
        <f>_xlfn.IFNA(VLOOKUP(CONCATENATE(BH$4,$C94),'INSER DATA'!$A:$F,7,0),"")</f>
        <v/>
      </c>
      <c r="BI94" s="270" t="str">
        <f>_xlfn.IFNA(VLOOKUP(CONCATENATE(BI$4,$C94),'INSER DATA'!$A:$F,7,0),"")</f>
        <v/>
      </c>
      <c r="BJ94" s="270" t="str">
        <f>_xlfn.IFNA(VLOOKUP(CONCATENATE(BJ$4,$C94),'INSER DATA'!$A:$F,7,0),"")</f>
        <v/>
      </c>
      <c r="BK94" s="270" t="str">
        <f>_xlfn.IFNA(VLOOKUP(CONCATENATE(BK$4,$C94),'INSER DATA'!$A:$F,7,0),"")</f>
        <v/>
      </c>
      <c r="BL94" s="272"/>
      <c r="BM94" s="30"/>
      <c r="BN94" s="30"/>
      <c r="BO94" s="30"/>
      <c r="BP94" s="30"/>
      <c r="BQ94" s="30"/>
      <c r="BR94" s="30"/>
      <c r="BS94" s="30"/>
      <c r="BT94" s="30"/>
      <c r="BU94" s="30"/>
      <c r="BV94" s="30"/>
      <c r="BW94" s="30"/>
      <c r="BX94" s="30"/>
      <c r="BY94" s="30"/>
      <c r="BZ94" s="30"/>
      <c r="CA94" s="30"/>
      <c r="CB94" s="30"/>
      <c r="CC94" s="30"/>
      <c r="CD94" s="30"/>
      <c r="CE94" s="30"/>
      <c r="CF94" s="30"/>
      <c r="CG94" s="30"/>
      <c r="CH94" s="30"/>
      <c r="CI94" s="30"/>
      <c r="CJ94" s="30"/>
      <c r="CK94" s="30"/>
      <c r="CL94" s="30"/>
      <c r="CM94" s="30"/>
      <c r="CN94" s="30"/>
      <c r="CO94" s="30"/>
      <c r="CP94" s="30"/>
      <c r="CQ94" s="30"/>
      <c r="CR94" s="30"/>
      <c r="CS94" s="30"/>
      <c r="CT94" s="30"/>
      <c r="CU94" s="30"/>
      <c r="CV94" s="30"/>
      <c r="CW94" s="30"/>
      <c r="CX94" s="30"/>
      <c r="CY94" s="30"/>
      <c r="CZ94" s="30"/>
      <c r="DA94" s="30"/>
    </row>
    <row r="95" spans="1:105" ht="19.2" thickTop="1" thickBot="1" x14ac:dyDescent="0.4">
      <c r="A95" s="30"/>
      <c r="B95" s="30"/>
      <c r="C95" s="356" t="s">
        <v>685</v>
      </c>
      <c r="D95" s="357" t="s">
        <v>681</v>
      </c>
      <c r="E95" s="35" t="str">
        <f>_xlfn.XLOOKUP(Tabella4[[#This Row],[NOME]],'ROSE SQUADRE'!$N$3:$N$253,'ROSE SQUADRE'!$O$3:$O$253,"")</f>
        <v>AS PIPPERIA</v>
      </c>
      <c r="F95" s="36" t="s">
        <v>161</v>
      </c>
      <c r="G95" s="43">
        <v>8</v>
      </c>
      <c r="H95" s="43">
        <v>8</v>
      </c>
      <c r="I95" s="44">
        <f t="shared" si="7"/>
        <v>0</v>
      </c>
      <c r="J95" s="37">
        <f t="shared" si="8"/>
        <v>4</v>
      </c>
      <c r="K95" s="178">
        <f t="shared" si="9"/>
        <v>6</v>
      </c>
      <c r="L95" s="178">
        <f t="shared" si="10"/>
        <v>6.25</v>
      </c>
      <c r="M95" s="179">
        <f t="shared" si="11"/>
        <v>25</v>
      </c>
      <c r="N95" s="45">
        <f t="shared" ca="1" si="12"/>
        <v>0</v>
      </c>
      <c r="O95" s="40">
        <f>SUMIF(Tabella1[Nome],Tabella4[[#This Row],[NOME]],Tabella1[Gf])</f>
        <v>0</v>
      </c>
      <c r="P95" s="40">
        <f>-(SUMIF(Tabella1[Nome],Tabella4[[#This Row],[NOME]],Tabella1[Gs]))</f>
        <v>0</v>
      </c>
      <c r="Q95" s="40">
        <f>SUMIF(Tabella1[Nome],Tabella4[[#This Row],[NOME]],Tabella1[Rp])</f>
        <v>0</v>
      </c>
      <c r="R95" s="40">
        <f>SUMIF(Tabella1[Nome],Tabella4[[#This Row],[NOME]],Tabella1[Rs])</f>
        <v>0</v>
      </c>
      <c r="S95" s="40">
        <f>SUMIF(Tabella1[Nome],Tabella4[[#This Row],[NOME]],Tabella1[Rf])</f>
        <v>0</v>
      </c>
      <c r="T95" s="40">
        <f>SUMIF(Tabella1[Nome],Tabella4[[#This Row],[NOME]],Tabella1[Au])</f>
        <v>0</v>
      </c>
      <c r="U95" s="41">
        <f>SUMIF(Tabella1[Nome],Tabella4[[#This Row],[NOME]],Tabella1[Amm])</f>
        <v>0</v>
      </c>
      <c r="V95" s="42">
        <f>SUMIF(Tabella1[Nome],Tabella4[[#This Row],[NOME]],Tabella1[Esp])</f>
        <v>0</v>
      </c>
      <c r="W95" s="40">
        <f>SUMIF(Tabella1[Nome],Tabella4[[#This Row],[NOME]],Tabella1[Ass])</f>
        <v>1</v>
      </c>
      <c r="X95" s="40">
        <f>SUMIF(Tabella1[Nome],Tabella4[[#This Row],[NOME]],Tabella1[Gdv])</f>
        <v>0</v>
      </c>
      <c r="Y95" s="40">
        <f>SUMIF(Tabella1[Nome],Tabella4[[#This Row],[NOME]],Tabella1[cl sh])</f>
        <v>0</v>
      </c>
      <c r="Z95" s="270">
        <f>_xlfn.IFNA(_xlfn.XLOOKUP(CONCATENATE(Z$4,$C95),Tabella1[CONC X VOTI IN TAB GIOC],Tabella1[Voto],""),"")</f>
        <v>5</v>
      </c>
      <c r="AA95" s="270">
        <f>_xlfn.IFNA(_xlfn.XLOOKUP(CONCATENATE(AA$4,$C95),Tabella1[CONC X VOTI IN TAB GIOC],Tabella1[Voto],""),"")</f>
        <v>6</v>
      </c>
      <c r="AB95" s="270">
        <f>_xlfn.IFNA(_xlfn.XLOOKUP(CONCATENATE(AB$4,$C95),Tabella1[CONC X VOTI IN TAB GIOC],Tabella1[Voto]),"")</f>
        <v>7</v>
      </c>
      <c r="AC95" s="270" cm="1">
        <f t="array" ref="AC95">_xlfn.IFNA(_xlfn.XLOOKUP(CONCATENATE(AC$4,$C95),INDEX(Tabella1[],0,MATCH("CONC X VOTI IN TAB GIOC",Tabella1[#Headers],0)),INDEX(Tabella1[],0,MATCH("Voto",Tabella1[#Headers],0))),"")</f>
        <v>6</v>
      </c>
      <c r="AD95" s="270" t="str">
        <f>_xlfn.IFNA(_xlfn.XLOOKUP(CONCATENATE(AD$4,$C95),Tabella1[CONC X VOTI IN TAB GIOC],Tabella1[Voto]),"")</f>
        <v/>
      </c>
      <c r="AE95" s="270" t="str">
        <f>_xlfn.IFNA(VLOOKUP(CONCATENATE(AE$4,$C95),'INSER DATA'!$A:$F,6,0),"")</f>
        <v/>
      </c>
      <c r="AF95" s="270" t="str">
        <f>_xlfn.IFNA(VLOOKUP(CONCATENATE(AF$4,$C95),'INSER DATA'!$A:$F,6,0),"")</f>
        <v/>
      </c>
      <c r="AG95" s="270" t="str">
        <f>_xlfn.IFNA(VLOOKUP(CONCATENATE(AG$4,$C95),'INSER DATA'!$A:$F,6,0),"")</f>
        <v/>
      </c>
      <c r="AH95" s="270" t="str">
        <f>_xlfn.IFNA(VLOOKUP(CONCATENATE(AH$4,$C95),'INSER DATA'!$A:$F,7,0),"")</f>
        <v/>
      </c>
      <c r="AI95" s="270" t="str">
        <f>_xlfn.IFNA(VLOOKUP(CONCATENATE(AI$4,$C95),'INSER DATA'!$A:$F,7,0),"")</f>
        <v/>
      </c>
      <c r="AJ95" s="270" t="str">
        <f>_xlfn.IFNA(VLOOKUP(CONCATENATE(AJ$4,$C95),'INSER DATA'!$A:$F,7,0),"")</f>
        <v/>
      </c>
      <c r="AK95" s="270" t="str">
        <f>_xlfn.IFNA(VLOOKUP(CONCATENATE(AK$4,$C95),'INSER DATA'!$A:$F,7,0),"")</f>
        <v/>
      </c>
      <c r="AL95" s="270" t="str">
        <f>_xlfn.IFNA(VLOOKUP(CONCATENATE(AL$4,$C95),'INSER DATA'!$A:$F,7,0),"")</f>
        <v/>
      </c>
      <c r="AM95" s="270" t="str">
        <f>_xlfn.IFNA(VLOOKUP(CONCATENATE(AM$4,$C95),'INSER DATA'!$A:$F,7,0),"")</f>
        <v/>
      </c>
      <c r="AN95" s="270" t="str">
        <f>_xlfn.IFNA(VLOOKUP(CONCATENATE(AN$4,$C95),'INSER DATA'!$A:$F,7,0),"")</f>
        <v/>
      </c>
      <c r="AO95" s="270" t="str">
        <f>_xlfn.IFNA(VLOOKUP(CONCATENATE(AO$4,$C95),'INSER DATA'!$A:$F,7,0),"")</f>
        <v/>
      </c>
      <c r="AP95" s="270" t="str">
        <f>_xlfn.IFNA(VLOOKUP(CONCATENATE(AP$4,$C95),'INSER DATA'!$A:$F,7,0),"")</f>
        <v/>
      </c>
      <c r="AQ95" s="270" t="str">
        <f>_xlfn.IFNA(VLOOKUP(CONCATENATE(AQ$4,$C95),'INSER DATA'!$A:$F,7,0),"")</f>
        <v/>
      </c>
      <c r="AR95" s="270" t="str">
        <f>_xlfn.IFNA(VLOOKUP(CONCATENATE(AR$4,$C95),'INSER DATA'!$A:$F,7,0),"")</f>
        <v/>
      </c>
      <c r="AS95" s="270" t="str">
        <f>_xlfn.IFNA(VLOOKUP(CONCATENATE(AS$4,$C95),'INSER DATA'!$A:$F,7,0),"")</f>
        <v/>
      </c>
      <c r="AT95" s="270" t="str">
        <f>_xlfn.IFNA(VLOOKUP(CONCATENATE(AT$4,$C95),'INSER DATA'!$A:$F,7,0),"")</f>
        <v/>
      </c>
      <c r="AU95" s="270" t="str">
        <f>_xlfn.IFNA(VLOOKUP(CONCATENATE(AU$4,$C95),'INSER DATA'!$A:$F,7,0),"")</f>
        <v/>
      </c>
      <c r="AV95" s="270" t="str">
        <f>_xlfn.IFNA(VLOOKUP(CONCATENATE(AV$4,$C95),'INSER DATA'!$A:$F,7,0),"")</f>
        <v/>
      </c>
      <c r="AW95" s="270" t="str">
        <f>_xlfn.IFNA(VLOOKUP(CONCATENATE(AW$4,$C95),'INSER DATA'!$A:$F,7,0),"")</f>
        <v/>
      </c>
      <c r="AX95" s="270" t="str">
        <f>_xlfn.IFNA(VLOOKUP(CONCATENATE(AX$4,$C95),'INSER DATA'!$A:$F,7,0),"")</f>
        <v/>
      </c>
      <c r="AY95" s="270" t="str">
        <f>_xlfn.IFNA(VLOOKUP(CONCATENATE(AY$4,$C95),'INSER DATA'!$A:$F,7,0),"")</f>
        <v/>
      </c>
      <c r="AZ95" s="270" t="str">
        <f>_xlfn.IFNA(VLOOKUP(CONCATENATE(AZ$4,$C95),'INSER DATA'!$A:$F,7,0),"")</f>
        <v/>
      </c>
      <c r="BA95" s="270" t="str">
        <f>_xlfn.IFNA(VLOOKUP(CONCATENATE(BA$4,$C95),'INSER DATA'!$A:$F,7,0),"")</f>
        <v/>
      </c>
      <c r="BB95" s="270" t="str">
        <f>_xlfn.IFNA(VLOOKUP(CONCATENATE(BB$4,$C95),'INSER DATA'!$A:$F,7,0),"")</f>
        <v/>
      </c>
      <c r="BC95" s="270" t="str">
        <f>_xlfn.IFNA(VLOOKUP(CONCATENATE(BC$4,$C95),'INSER DATA'!$A:$F,7,0),"")</f>
        <v/>
      </c>
      <c r="BD95" s="270" t="str">
        <f>_xlfn.IFNA(VLOOKUP(CONCATENATE(BD$4,$C95),'INSER DATA'!$A:$F,7,0),"")</f>
        <v/>
      </c>
      <c r="BE95" s="270" t="str">
        <f>_xlfn.IFNA(VLOOKUP(CONCATENATE(BE$4,$C95),'INSER DATA'!$A:$F,7,0),"")</f>
        <v/>
      </c>
      <c r="BF95" s="270" t="str">
        <f>_xlfn.IFNA(VLOOKUP(CONCATENATE(BF$4,$C95),'INSER DATA'!$A:$F,7,0),"")</f>
        <v/>
      </c>
      <c r="BG95" s="270" t="str">
        <f>_xlfn.IFNA(VLOOKUP(CONCATENATE(BG$4,$C95),'INSER DATA'!$A:$F,7,0),"")</f>
        <v/>
      </c>
      <c r="BH95" s="270" t="str">
        <f>_xlfn.IFNA(VLOOKUP(CONCATENATE(BH$4,$C95),'INSER DATA'!$A:$F,7,0),"")</f>
        <v/>
      </c>
      <c r="BI95" s="270" t="str">
        <f>_xlfn.IFNA(VLOOKUP(CONCATENATE(BI$4,$C95),'INSER DATA'!$A:$F,7,0),"")</f>
        <v/>
      </c>
      <c r="BJ95" s="270" t="str">
        <f>_xlfn.IFNA(VLOOKUP(CONCATENATE(BJ$4,$C95),'INSER DATA'!$A:$F,7,0),"")</f>
        <v/>
      </c>
      <c r="BK95" s="270" t="str">
        <f>_xlfn.IFNA(VLOOKUP(CONCATENATE(BK$4,$C95),'INSER DATA'!$A:$F,7,0),"")</f>
        <v/>
      </c>
      <c r="BL95" s="272"/>
      <c r="BM95" s="30"/>
      <c r="BN95" s="30"/>
      <c r="BO95" s="30"/>
      <c r="BP95" s="30"/>
      <c r="BQ95" s="30"/>
      <c r="BR95" s="30"/>
      <c r="BS95" s="30"/>
      <c r="BT95" s="30"/>
      <c r="BU95" s="30"/>
      <c r="BV95" s="30"/>
      <c r="BW95" s="30"/>
      <c r="BX95" s="30"/>
      <c r="BY95" s="30"/>
      <c r="BZ95" s="30"/>
      <c r="CA95" s="30"/>
      <c r="CB95" s="30"/>
      <c r="CC95" s="30"/>
      <c r="CD95" s="30"/>
      <c r="CE95" s="30"/>
      <c r="CF95" s="30"/>
      <c r="CG95" s="30"/>
      <c r="CH95" s="30"/>
      <c r="CI95" s="30"/>
      <c r="CJ95" s="30"/>
      <c r="CK95" s="30"/>
      <c r="CL95" s="30"/>
      <c r="CM95" s="30"/>
      <c r="CN95" s="30"/>
      <c r="CO95" s="30"/>
      <c r="CP95" s="30"/>
      <c r="CQ95" s="30"/>
      <c r="CR95" s="30"/>
      <c r="CS95" s="30"/>
      <c r="CT95" s="30"/>
      <c r="CU95" s="30"/>
      <c r="CV95" s="30"/>
      <c r="CW95" s="30"/>
      <c r="CX95" s="30"/>
      <c r="CY95" s="30"/>
      <c r="CZ95" s="30"/>
      <c r="DA95" s="30"/>
    </row>
    <row r="96" spans="1:105" ht="19.2" thickTop="1" thickBot="1" x14ac:dyDescent="0.4">
      <c r="A96" s="30"/>
      <c r="B96" s="30"/>
      <c r="C96" s="185" t="s">
        <v>689</v>
      </c>
      <c r="D96" s="46" t="s">
        <v>681</v>
      </c>
      <c r="E96" s="35" t="str">
        <f>_xlfn.XLOOKUP(Tabella4[[#This Row],[NOME]],'ROSE SQUADRE'!$N$3:$N$253,'ROSE SQUADRE'!$O$3:$O$253,"")</f>
        <v/>
      </c>
      <c r="F96" s="36" t="s">
        <v>161</v>
      </c>
      <c r="G96" s="43">
        <v>4</v>
      </c>
      <c r="H96" s="43">
        <v>4</v>
      </c>
      <c r="I96" s="44">
        <f t="shared" si="7"/>
        <v>0</v>
      </c>
      <c r="J96" s="37">
        <f t="shared" si="8"/>
        <v>1</v>
      </c>
      <c r="K96" s="178">
        <f t="shared" si="9"/>
        <v>5.5</v>
      </c>
      <c r="L96" s="178">
        <f t="shared" si="10"/>
        <v>5.5</v>
      </c>
      <c r="M96" s="179">
        <f t="shared" si="11"/>
        <v>5.5</v>
      </c>
      <c r="N96" s="45">
        <f t="shared" ca="1" si="12"/>
        <v>0</v>
      </c>
      <c r="O96" s="40">
        <f>SUMIF(Tabella1[Nome],Tabella4[[#This Row],[NOME]],Tabella1[Gf])</f>
        <v>0</v>
      </c>
      <c r="P96" s="40">
        <f>-(SUMIF(Tabella1[Nome],Tabella4[[#This Row],[NOME]],Tabella1[Gs]))</f>
        <v>0</v>
      </c>
      <c r="Q96" s="40">
        <f>SUMIF(Tabella1[Nome],Tabella4[[#This Row],[NOME]],Tabella1[Rp])</f>
        <v>0</v>
      </c>
      <c r="R96" s="40">
        <f>SUMIF(Tabella1[Nome],Tabella4[[#This Row],[NOME]],Tabella1[Rs])</f>
        <v>0</v>
      </c>
      <c r="S96" s="40">
        <f>SUMIF(Tabella1[Nome],Tabella4[[#This Row],[NOME]],Tabella1[Rf])</f>
        <v>0</v>
      </c>
      <c r="T96" s="40">
        <f>SUMIF(Tabella1[Nome],Tabella4[[#This Row],[NOME]],Tabella1[Au])</f>
        <v>0</v>
      </c>
      <c r="U96" s="41">
        <f>SUMIF(Tabella1[Nome],Tabella4[[#This Row],[NOME]],Tabella1[Amm])</f>
        <v>0</v>
      </c>
      <c r="V96" s="42">
        <f>SUMIF(Tabella1[Nome],Tabella4[[#This Row],[NOME]],Tabella1[Esp])</f>
        <v>0</v>
      </c>
      <c r="W96" s="40">
        <f>SUMIF(Tabella1[Nome],Tabella4[[#This Row],[NOME]],Tabella1[Ass])</f>
        <v>0</v>
      </c>
      <c r="X96" s="40">
        <f>SUMIF(Tabella1[Nome],Tabella4[[#This Row],[NOME]],Tabella1[Gdv])</f>
        <v>0</v>
      </c>
      <c r="Y96" s="40">
        <f>SUMIF(Tabella1[Nome],Tabella4[[#This Row],[NOME]],Tabella1[cl sh])</f>
        <v>0</v>
      </c>
      <c r="Z96" s="270" t="str">
        <f>_xlfn.IFNA(_xlfn.XLOOKUP(CONCATENATE(Z$4,$C96),Tabella1[CONC X VOTI IN TAB GIOC],Tabella1[Voto],""),"")</f>
        <v/>
      </c>
      <c r="AA96" s="270">
        <f>_xlfn.IFNA(_xlfn.XLOOKUP(CONCATENATE(AA$4,$C96),Tabella1[CONC X VOTI IN TAB GIOC],Tabella1[Voto],""),"")</f>
        <v>5.5</v>
      </c>
      <c r="AB96" s="270" t="str">
        <f>_xlfn.IFNA(_xlfn.XLOOKUP(CONCATENATE(AB$4,$C96),Tabella1[CONC X VOTI IN TAB GIOC],Tabella1[Voto]),"")</f>
        <v/>
      </c>
      <c r="AC96" s="270" t="str" cm="1">
        <f t="array" ref="AC96">_xlfn.IFNA(_xlfn.XLOOKUP(CONCATENATE(AC$4,$C96),INDEX(Tabella1[],0,MATCH("CONC X VOTI IN TAB GIOC",Tabella1[#Headers],0)),INDEX(Tabella1[],0,MATCH("Voto",Tabella1[#Headers],0))),"")</f>
        <v/>
      </c>
      <c r="AD96" s="270" t="str">
        <f>_xlfn.IFNA(_xlfn.XLOOKUP(CONCATENATE(AD$4,$C96),Tabella1[CONC X VOTI IN TAB GIOC],Tabella1[Voto]),"")</f>
        <v/>
      </c>
      <c r="AE96" s="270" t="str">
        <f>_xlfn.IFNA(VLOOKUP(CONCATENATE(AE$4,$C96),'INSER DATA'!$A:$F,6,0),"")</f>
        <v/>
      </c>
      <c r="AF96" s="270" t="str">
        <f>_xlfn.IFNA(VLOOKUP(CONCATENATE(AF$4,$C96),'INSER DATA'!$A:$F,6,0),"")</f>
        <v/>
      </c>
      <c r="AG96" s="270" t="str">
        <f>_xlfn.IFNA(VLOOKUP(CONCATENATE(AG$4,$C96),'INSER DATA'!$A:$F,6,0),"")</f>
        <v/>
      </c>
      <c r="AH96" s="270" t="str">
        <f>_xlfn.IFNA(VLOOKUP(CONCATENATE(AH$4,$C96),'INSER DATA'!$A:$F,7,0),"")</f>
        <v/>
      </c>
      <c r="AI96" s="270" t="str">
        <f>_xlfn.IFNA(VLOOKUP(CONCATENATE(AI$4,$C96),'INSER DATA'!$A:$F,7,0),"")</f>
        <v/>
      </c>
      <c r="AJ96" s="270" t="str">
        <f>_xlfn.IFNA(VLOOKUP(CONCATENATE(AJ$4,$C96),'INSER DATA'!$A:$F,7,0),"")</f>
        <v/>
      </c>
      <c r="AK96" s="270" t="str">
        <f>_xlfn.IFNA(VLOOKUP(CONCATENATE(AK$4,$C96),'INSER DATA'!$A:$F,7,0),"")</f>
        <v/>
      </c>
      <c r="AL96" s="270" t="str">
        <f>_xlfn.IFNA(VLOOKUP(CONCATENATE(AL$4,$C96),'INSER DATA'!$A:$F,7,0),"")</f>
        <v/>
      </c>
      <c r="AM96" s="270" t="str">
        <f>_xlfn.IFNA(VLOOKUP(CONCATENATE(AM$4,$C96),'INSER DATA'!$A:$F,7,0),"")</f>
        <v/>
      </c>
      <c r="AN96" s="270" t="str">
        <f>_xlfn.IFNA(VLOOKUP(CONCATENATE(AN$4,$C96),'INSER DATA'!$A:$F,7,0),"")</f>
        <v/>
      </c>
      <c r="AO96" s="270" t="str">
        <f>_xlfn.IFNA(VLOOKUP(CONCATENATE(AO$4,$C96),'INSER DATA'!$A:$F,7,0),"")</f>
        <v/>
      </c>
      <c r="AP96" s="270" t="str">
        <f>_xlfn.IFNA(VLOOKUP(CONCATENATE(AP$4,$C96),'INSER DATA'!$A:$F,7,0),"")</f>
        <v/>
      </c>
      <c r="AQ96" s="270" t="str">
        <f>_xlfn.IFNA(VLOOKUP(CONCATENATE(AQ$4,$C96),'INSER DATA'!$A:$F,7,0),"")</f>
        <v/>
      </c>
      <c r="AR96" s="270" t="str">
        <f>_xlfn.IFNA(VLOOKUP(CONCATENATE(AR$4,$C96),'INSER DATA'!$A:$F,7,0),"")</f>
        <v/>
      </c>
      <c r="AS96" s="270" t="str">
        <f>_xlfn.IFNA(VLOOKUP(CONCATENATE(AS$4,$C96),'INSER DATA'!$A:$F,7,0),"")</f>
        <v/>
      </c>
      <c r="AT96" s="270" t="str">
        <f>_xlfn.IFNA(VLOOKUP(CONCATENATE(AT$4,$C96),'INSER DATA'!$A:$F,7,0),"")</f>
        <v/>
      </c>
      <c r="AU96" s="270" t="str">
        <f>_xlfn.IFNA(VLOOKUP(CONCATENATE(AU$4,$C96),'INSER DATA'!$A:$F,7,0),"")</f>
        <v/>
      </c>
      <c r="AV96" s="270" t="str">
        <f>_xlfn.IFNA(VLOOKUP(CONCATENATE(AV$4,$C96),'INSER DATA'!$A:$F,7,0),"")</f>
        <v/>
      </c>
      <c r="AW96" s="270" t="str">
        <f>_xlfn.IFNA(VLOOKUP(CONCATENATE(AW$4,$C96),'INSER DATA'!$A:$F,7,0),"")</f>
        <v/>
      </c>
      <c r="AX96" s="270" t="str">
        <f>_xlfn.IFNA(VLOOKUP(CONCATENATE(AX$4,$C96),'INSER DATA'!$A:$F,7,0),"")</f>
        <v/>
      </c>
      <c r="AY96" s="270" t="str">
        <f>_xlfn.IFNA(VLOOKUP(CONCATENATE(AY$4,$C96),'INSER DATA'!$A:$F,7,0),"")</f>
        <v/>
      </c>
      <c r="AZ96" s="270" t="str">
        <f>_xlfn.IFNA(VLOOKUP(CONCATENATE(AZ$4,$C96),'INSER DATA'!$A:$F,7,0),"")</f>
        <v/>
      </c>
      <c r="BA96" s="270" t="str">
        <f>_xlfn.IFNA(VLOOKUP(CONCATENATE(BA$4,$C96),'INSER DATA'!$A:$F,7,0),"")</f>
        <v/>
      </c>
      <c r="BB96" s="270" t="str">
        <f>_xlfn.IFNA(VLOOKUP(CONCATENATE(BB$4,$C96),'INSER DATA'!$A:$F,7,0),"")</f>
        <v/>
      </c>
      <c r="BC96" s="270" t="str">
        <f>_xlfn.IFNA(VLOOKUP(CONCATENATE(BC$4,$C96),'INSER DATA'!$A:$F,7,0),"")</f>
        <v/>
      </c>
      <c r="BD96" s="270" t="str">
        <f>_xlfn.IFNA(VLOOKUP(CONCATENATE(BD$4,$C96),'INSER DATA'!$A:$F,7,0),"")</f>
        <v/>
      </c>
      <c r="BE96" s="270" t="str">
        <f>_xlfn.IFNA(VLOOKUP(CONCATENATE(BE$4,$C96),'INSER DATA'!$A:$F,7,0),"")</f>
        <v/>
      </c>
      <c r="BF96" s="270" t="str">
        <f>_xlfn.IFNA(VLOOKUP(CONCATENATE(BF$4,$C96),'INSER DATA'!$A:$F,7,0),"")</f>
        <v/>
      </c>
      <c r="BG96" s="270" t="str">
        <f>_xlfn.IFNA(VLOOKUP(CONCATENATE(BG$4,$C96),'INSER DATA'!$A:$F,7,0),"")</f>
        <v/>
      </c>
      <c r="BH96" s="270" t="str">
        <f>_xlfn.IFNA(VLOOKUP(CONCATENATE(BH$4,$C96),'INSER DATA'!$A:$F,7,0),"")</f>
        <v/>
      </c>
      <c r="BI96" s="270" t="str">
        <f>_xlfn.IFNA(VLOOKUP(CONCATENATE(BI$4,$C96),'INSER DATA'!$A:$F,7,0),"")</f>
        <v/>
      </c>
      <c r="BJ96" s="270" t="str">
        <f>_xlfn.IFNA(VLOOKUP(CONCATENATE(BJ$4,$C96),'INSER DATA'!$A:$F,7,0),"")</f>
        <v/>
      </c>
      <c r="BK96" s="270" t="str">
        <f>_xlfn.IFNA(VLOOKUP(CONCATENATE(BK$4,$C96),'INSER DATA'!$A:$F,7,0),"")</f>
        <v/>
      </c>
      <c r="BL96" s="272"/>
      <c r="BM96" s="30"/>
      <c r="BN96" s="30"/>
      <c r="BO96" s="30"/>
      <c r="BP96" s="30"/>
      <c r="BQ96" s="30"/>
      <c r="BR96" s="30"/>
      <c r="BS96" s="30"/>
      <c r="BT96" s="30"/>
      <c r="BU96" s="30"/>
      <c r="BV96" s="30"/>
      <c r="BW96" s="30"/>
      <c r="BX96" s="30"/>
      <c r="BY96" s="30"/>
      <c r="BZ96" s="30"/>
      <c r="CA96" s="30"/>
      <c r="CB96" s="30"/>
      <c r="CC96" s="30"/>
      <c r="CD96" s="30"/>
      <c r="CE96" s="30"/>
      <c r="CF96" s="30"/>
      <c r="CG96" s="30"/>
      <c r="CH96" s="30"/>
      <c r="CI96" s="30"/>
      <c r="CJ96" s="30"/>
      <c r="CK96" s="30"/>
      <c r="CL96" s="30"/>
      <c r="CM96" s="30"/>
      <c r="CN96" s="30"/>
      <c r="CO96" s="30"/>
      <c r="CP96" s="30"/>
      <c r="CQ96" s="30"/>
      <c r="CR96" s="30"/>
      <c r="CS96" s="30"/>
      <c r="CT96" s="30"/>
      <c r="CU96" s="30"/>
      <c r="CV96" s="30"/>
      <c r="CW96" s="30"/>
      <c r="CX96" s="30"/>
      <c r="CY96" s="30"/>
      <c r="CZ96" s="30"/>
      <c r="DA96" s="30"/>
    </row>
    <row r="97" spans="1:105" ht="19.2" thickTop="1" thickBot="1" x14ac:dyDescent="0.4">
      <c r="A97" s="30"/>
      <c r="B97" s="30"/>
      <c r="C97" s="185" t="s">
        <v>699</v>
      </c>
      <c r="D97" s="46" t="s">
        <v>681</v>
      </c>
      <c r="E97" s="35" t="str">
        <f>_xlfn.XLOOKUP(Tabella4[[#This Row],[NOME]],'ROSE SQUADRE'!$N$3:$N$253,'ROSE SQUADRE'!$O$3:$O$253,"")</f>
        <v/>
      </c>
      <c r="F97" s="36" t="s">
        <v>162</v>
      </c>
      <c r="G97" s="43">
        <v>12</v>
      </c>
      <c r="H97" s="43">
        <v>12</v>
      </c>
      <c r="I97" s="44">
        <f t="shared" si="7"/>
        <v>0</v>
      </c>
      <c r="J97" s="37">
        <f t="shared" si="8"/>
        <v>2</v>
      </c>
      <c r="K97" s="38">
        <f t="shared" si="9"/>
        <v>5.75</v>
      </c>
      <c r="L97" s="38">
        <f t="shared" si="10"/>
        <v>5.75</v>
      </c>
      <c r="M97" s="39">
        <f t="shared" si="11"/>
        <v>11.5</v>
      </c>
      <c r="N97" s="45">
        <f t="shared" ca="1" si="12"/>
        <v>0</v>
      </c>
      <c r="O97" s="40">
        <f>SUMIF(Tabella1[Nome],Tabella4[[#This Row],[NOME]],Tabella1[Gf])</f>
        <v>0</v>
      </c>
      <c r="P97" s="40">
        <f>-(SUMIF(Tabella1[Nome],Tabella4[[#This Row],[NOME]],Tabella1[Gs]))</f>
        <v>0</v>
      </c>
      <c r="Q97" s="40">
        <f>SUMIF(Tabella1[Nome],Tabella4[[#This Row],[NOME]],Tabella1[Rp])</f>
        <v>0</v>
      </c>
      <c r="R97" s="40">
        <f>SUMIF(Tabella1[Nome],Tabella4[[#This Row],[NOME]],Tabella1[Rs])</f>
        <v>0</v>
      </c>
      <c r="S97" s="40">
        <f>SUMIF(Tabella1[Nome],Tabella4[[#This Row],[NOME]],Tabella1[Rf])</f>
        <v>0</v>
      </c>
      <c r="T97" s="40">
        <f>SUMIF(Tabella1[Nome],Tabella4[[#This Row],[NOME]],Tabella1[Au])</f>
        <v>0</v>
      </c>
      <c r="U97" s="41">
        <f>SUMIF(Tabella1[Nome],Tabella4[[#This Row],[NOME]],Tabella1[Amm])</f>
        <v>0</v>
      </c>
      <c r="V97" s="42">
        <f>SUMIF(Tabella1[Nome],Tabella4[[#This Row],[NOME]],Tabella1[Esp])</f>
        <v>0</v>
      </c>
      <c r="W97" s="40">
        <f>SUMIF(Tabella1[Nome],Tabella4[[#This Row],[NOME]],Tabella1[Ass])</f>
        <v>0</v>
      </c>
      <c r="X97" s="40">
        <f>SUMIF(Tabella1[Nome],Tabella4[[#This Row],[NOME]],Tabella1[Gdv])</f>
        <v>0</v>
      </c>
      <c r="Y97" s="40">
        <f>SUMIF(Tabella1[Nome],Tabella4[[#This Row],[NOME]],Tabella1[cl sh])</f>
        <v>0</v>
      </c>
      <c r="Z97" s="270">
        <f>_xlfn.IFNA(_xlfn.XLOOKUP(CONCATENATE(Z$4,$C97),Tabella1[CONC X VOTI IN TAB GIOC],Tabella1[Voto],""),"")</f>
        <v>5.5</v>
      </c>
      <c r="AA97" s="270" t="str">
        <f>_xlfn.IFNA(_xlfn.XLOOKUP(CONCATENATE(AA$4,$C97),Tabella1[CONC X VOTI IN TAB GIOC],Tabella1[Voto],""),"")</f>
        <v/>
      </c>
      <c r="AB97" s="270" t="str">
        <f>_xlfn.IFNA(_xlfn.XLOOKUP(CONCATENATE(AB$4,$C97),Tabella1[CONC X VOTI IN TAB GIOC],Tabella1[Voto]),"")</f>
        <v/>
      </c>
      <c r="AC97" s="270" cm="1">
        <f t="array" ref="AC97">_xlfn.IFNA(_xlfn.XLOOKUP(CONCATENATE(AC$4,$C97),INDEX(Tabella1[],0,MATCH("CONC X VOTI IN TAB GIOC",Tabella1[#Headers],0)),INDEX(Tabella1[],0,MATCH("Voto",Tabella1[#Headers],0))),"")</f>
        <v>6</v>
      </c>
      <c r="AD97" s="270" t="str">
        <f>_xlfn.IFNA(_xlfn.XLOOKUP(CONCATENATE(AD$4,$C97),Tabella1[CONC X VOTI IN TAB GIOC],Tabella1[Voto]),"")</f>
        <v/>
      </c>
      <c r="AE97" s="270" t="str">
        <f>_xlfn.IFNA(VLOOKUP(CONCATENATE(AE$4,$C97),'INSER DATA'!$A:$F,6,0),"")</f>
        <v/>
      </c>
      <c r="AF97" s="270" t="str">
        <f>_xlfn.IFNA(VLOOKUP(CONCATENATE(AF$4,$C97),'INSER DATA'!$A:$F,6,0),"")</f>
        <v/>
      </c>
      <c r="AG97" s="270" t="str">
        <f>_xlfn.IFNA(VLOOKUP(CONCATENATE(AG$4,$C97),'INSER DATA'!$A:$F,6,0),"")</f>
        <v/>
      </c>
      <c r="AH97" s="270" t="str">
        <f>_xlfn.IFNA(VLOOKUP(CONCATENATE(AH$4,$C97),'INSER DATA'!$A:$F,7,0),"")</f>
        <v/>
      </c>
      <c r="AI97" s="270" t="str">
        <f>_xlfn.IFNA(VLOOKUP(CONCATENATE(AI$4,$C97),'INSER DATA'!$A:$F,7,0),"")</f>
        <v/>
      </c>
      <c r="AJ97" s="270" t="str">
        <f>_xlfn.IFNA(VLOOKUP(CONCATENATE(AJ$4,$C97),'INSER DATA'!$A:$F,7,0),"")</f>
        <v/>
      </c>
      <c r="AK97" s="270" t="str">
        <f>_xlfn.IFNA(VLOOKUP(CONCATENATE(AK$4,$C97),'INSER DATA'!$A:$F,7,0),"")</f>
        <v/>
      </c>
      <c r="AL97" s="270" t="str">
        <f>_xlfn.IFNA(VLOOKUP(CONCATENATE(AL$4,$C97),'INSER DATA'!$A:$F,7,0),"")</f>
        <v/>
      </c>
      <c r="AM97" s="270" t="str">
        <f>_xlfn.IFNA(VLOOKUP(CONCATENATE(AM$4,$C97),'INSER DATA'!$A:$F,7,0),"")</f>
        <v/>
      </c>
      <c r="AN97" s="270" t="str">
        <f>_xlfn.IFNA(VLOOKUP(CONCATENATE(AN$4,$C97),'INSER DATA'!$A:$F,7,0),"")</f>
        <v/>
      </c>
      <c r="AO97" s="270" t="str">
        <f>_xlfn.IFNA(VLOOKUP(CONCATENATE(AO$4,$C97),'INSER DATA'!$A:$F,7,0),"")</f>
        <v/>
      </c>
      <c r="AP97" s="270" t="str">
        <f>_xlfn.IFNA(VLOOKUP(CONCATENATE(AP$4,$C97),'INSER DATA'!$A:$F,7,0),"")</f>
        <v/>
      </c>
      <c r="AQ97" s="270" t="str">
        <f>_xlfn.IFNA(VLOOKUP(CONCATENATE(AQ$4,$C97),'INSER DATA'!$A:$F,7,0),"")</f>
        <v/>
      </c>
      <c r="AR97" s="270" t="str">
        <f>_xlfn.IFNA(VLOOKUP(CONCATENATE(AR$4,$C97),'INSER DATA'!$A:$F,7,0),"")</f>
        <v/>
      </c>
      <c r="AS97" s="270" t="str">
        <f>_xlfn.IFNA(VLOOKUP(CONCATENATE(AS$4,$C97),'INSER DATA'!$A:$F,7,0),"")</f>
        <v/>
      </c>
      <c r="AT97" s="270" t="str">
        <f>_xlfn.IFNA(VLOOKUP(CONCATENATE(AT$4,$C97),'INSER DATA'!$A:$F,7,0),"")</f>
        <v/>
      </c>
      <c r="AU97" s="270" t="str">
        <f>_xlfn.IFNA(VLOOKUP(CONCATENATE(AU$4,$C97),'INSER DATA'!$A:$F,7,0),"")</f>
        <v/>
      </c>
      <c r="AV97" s="270" t="str">
        <f>_xlfn.IFNA(VLOOKUP(CONCATENATE(AV$4,$C97),'INSER DATA'!$A:$F,7,0),"")</f>
        <v/>
      </c>
      <c r="AW97" s="270" t="str">
        <f>_xlfn.IFNA(VLOOKUP(CONCATENATE(AW$4,$C97),'INSER DATA'!$A:$F,7,0),"")</f>
        <v/>
      </c>
      <c r="AX97" s="270" t="str">
        <f>_xlfn.IFNA(VLOOKUP(CONCATENATE(AX$4,$C97),'INSER DATA'!$A:$F,7,0),"")</f>
        <v/>
      </c>
      <c r="AY97" s="270" t="str">
        <f>_xlfn.IFNA(VLOOKUP(CONCATENATE(AY$4,$C97),'INSER DATA'!$A:$F,7,0),"")</f>
        <v/>
      </c>
      <c r="AZ97" s="270" t="str">
        <f>_xlfn.IFNA(VLOOKUP(CONCATENATE(AZ$4,$C97),'INSER DATA'!$A:$F,7,0),"")</f>
        <v/>
      </c>
      <c r="BA97" s="270" t="str">
        <f>_xlfn.IFNA(VLOOKUP(CONCATENATE(BA$4,$C97),'INSER DATA'!$A:$F,7,0),"")</f>
        <v/>
      </c>
      <c r="BB97" s="270" t="str">
        <f>_xlfn.IFNA(VLOOKUP(CONCATENATE(BB$4,$C97),'INSER DATA'!$A:$F,7,0),"")</f>
        <v/>
      </c>
      <c r="BC97" s="270" t="str">
        <f>_xlfn.IFNA(VLOOKUP(CONCATENATE(BC$4,$C97),'INSER DATA'!$A:$F,7,0),"")</f>
        <v/>
      </c>
      <c r="BD97" s="270" t="str">
        <f>_xlfn.IFNA(VLOOKUP(CONCATENATE(BD$4,$C97),'INSER DATA'!$A:$F,7,0),"")</f>
        <v/>
      </c>
      <c r="BE97" s="270" t="str">
        <f>_xlfn.IFNA(VLOOKUP(CONCATENATE(BE$4,$C97),'INSER DATA'!$A:$F,7,0),"")</f>
        <v/>
      </c>
      <c r="BF97" s="270" t="str">
        <f>_xlfn.IFNA(VLOOKUP(CONCATENATE(BF$4,$C97),'INSER DATA'!$A:$F,7,0),"")</f>
        <v/>
      </c>
      <c r="BG97" s="270" t="str">
        <f>_xlfn.IFNA(VLOOKUP(CONCATENATE(BG$4,$C97),'INSER DATA'!$A:$F,7,0),"")</f>
        <v/>
      </c>
      <c r="BH97" s="270" t="str">
        <f>_xlfn.IFNA(VLOOKUP(CONCATENATE(BH$4,$C97),'INSER DATA'!$A:$F,7,0),"")</f>
        <v/>
      </c>
      <c r="BI97" s="270" t="str">
        <f>_xlfn.IFNA(VLOOKUP(CONCATENATE(BI$4,$C97),'INSER DATA'!$A:$F,7,0),"")</f>
        <v/>
      </c>
      <c r="BJ97" s="270" t="str">
        <f>_xlfn.IFNA(VLOOKUP(CONCATENATE(BJ$4,$C97),'INSER DATA'!$A:$F,7,0),"")</f>
        <v/>
      </c>
      <c r="BK97" s="270" t="str">
        <f>_xlfn.IFNA(VLOOKUP(CONCATENATE(BK$4,$C97),'INSER DATA'!$A:$F,7,0),"")</f>
        <v/>
      </c>
      <c r="BL97" s="272"/>
      <c r="BM97" s="30"/>
      <c r="BN97" s="30"/>
      <c r="BO97" s="30"/>
      <c r="BP97" s="30"/>
      <c r="BQ97" s="30"/>
      <c r="BR97" s="30"/>
      <c r="BS97" s="30"/>
      <c r="BT97" s="30"/>
      <c r="BU97" s="30"/>
      <c r="BV97" s="30"/>
      <c r="BW97" s="30"/>
      <c r="BX97" s="30"/>
      <c r="BY97" s="30"/>
      <c r="BZ97" s="30"/>
      <c r="CA97" s="30"/>
      <c r="CB97" s="30"/>
      <c r="CC97" s="30"/>
      <c r="CD97" s="30"/>
      <c r="CE97" s="30"/>
      <c r="CF97" s="30"/>
      <c r="CG97" s="30"/>
      <c r="CH97" s="30"/>
      <c r="CI97" s="30"/>
      <c r="CJ97" s="30"/>
      <c r="CK97" s="30"/>
      <c r="CL97" s="30"/>
      <c r="CM97" s="30"/>
      <c r="CN97" s="30"/>
      <c r="CO97" s="30"/>
      <c r="CP97" s="30"/>
      <c r="CQ97" s="30"/>
      <c r="CR97" s="30"/>
      <c r="CS97" s="30"/>
      <c r="CT97" s="30"/>
      <c r="CU97" s="30"/>
      <c r="CV97" s="30"/>
      <c r="CW97" s="30"/>
      <c r="CX97" s="30"/>
      <c r="CY97" s="30"/>
      <c r="CZ97" s="30"/>
      <c r="DA97" s="30"/>
    </row>
    <row r="98" spans="1:105" ht="19.2" thickTop="1" thickBot="1" x14ac:dyDescent="0.4">
      <c r="A98" s="30"/>
      <c r="B98" s="30"/>
      <c r="C98" s="185" t="s">
        <v>682</v>
      </c>
      <c r="D98" s="46" t="s">
        <v>681</v>
      </c>
      <c r="E98" s="35" t="str">
        <f>_xlfn.XLOOKUP(Tabella4[[#This Row],[NOME]],'ROSE SQUADRE'!$N$3:$N$253,'ROSE SQUADRE'!$O$3:$O$253,"")</f>
        <v/>
      </c>
      <c r="F98" s="36" t="s">
        <v>5</v>
      </c>
      <c r="G98" s="43">
        <v>1</v>
      </c>
      <c r="H98" s="43">
        <v>1</v>
      </c>
      <c r="I98" s="44">
        <f t="shared" si="7"/>
        <v>0</v>
      </c>
      <c r="J98" s="37">
        <f t="shared" si="8"/>
        <v>0</v>
      </c>
      <c r="K98" s="178">
        <f t="shared" si="9"/>
        <v>0</v>
      </c>
      <c r="L98" s="178">
        <f t="shared" si="10"/>
        <v>0</v>
      </c>
      <c r="M98" s="179">
        <f t="shared" si="11"/>
        <v>0</v>
      </c>
      <c r="N98" s="45">
        <f t="shared" ca="1" si="12"/>
        <v>0</v>
      </c>
      <c r="O98" s="40">
        <f>SUMIF(Tabella1[Nome],Tabella4[[#This Row],[NOME]],Tabella1[Gf])</f>
        <v>0</v>
      </c>
      <c r="P98" s="40">
        <f>-(SUMIF(Tabella1[Nome],Tabella4[[#This Row],[NOME]],Tabella1[Gs]))</f>
        <v>0</v>
      </c>
      <c r="Q98" s="40">
        <f>SUMIF(Tabella1[Nome],Tabella4[[#This Row],[NOME]],Tabella1[Rp])</f>
        <v>0</v>
      </c>
      <c r="R98" s="40">
        <f>SUMIF(Tabella1[Nome],Tabella4[[#This Row],[NOME]],Tabella1[Rs])</f>
        <v>0</v>
      </c>
      <c r="S98" s="40">
        <f>SUMIF(Tabella1[Nome],Tabella4[[#This Row],[NOME]],Tabella1[Rf])</f>
        <v>0</v>
      </c>
      <c r="T98" s="40">
        <f>SUMIF(Tabella1[Nome],Tabella4[[#This Row],[NOME]],Tabella1[Au])</f>
        <v>0</v>
      </c>
      <c r="U98" s="41">
        <f>SUMIF(Tabella1[Nome],Tabella4[[#This Row],[NOME]],Tabella1[Amm])</f>
        <v>0</v>
      </c>
      <c r="V98" s="42">
        <f>SUMIF(Tabella1[Nome],Tabella4[[#This Row],[NOME]],Tabella1[Esp])</f>
        <v>0</v>
      </c>
      <c r="W98" s="40">
        <f>SUMIF(Tabella1[Nome],Tabella4[[#This Row],[NOME]],Tabella1[Ass])</f>
        <v>0</v>
      </c>
      <c r="X98" s="40">
        <f>SUMIF(Tabella1[Nome],Tabella4[[#This Row],[NOME]],Tabella1[Gdv])</f>
        <v>0</v>
      </c>
      <c r="Y98" s="40">
        <f>SUMIF(Tabella1[Nome],Tabella4[[#This Row],[NOME]],Tabella1[cl sh])</f>
        <v>0</v>
      </c>
      <c r="Z98" s="270" t="str">
        <f>_xlfn.IFNA(_xlfn.XLOOKUP(CONCATENATE(Z$4,$C98),Tabella1[CONC X VOTI IN TAB GIOC],Tabella1[Voto],""),"")</f>
        <v/>
      </c>
      <c r="AA98" s="270" t="str">
        <f>_xlfn.IFNA(_xlfn.XLOOKUP(CONCATENATE(AA$4,$C98),Tabella1[CONC X VOTI IN TAB GIOC],Tabella1[Voto],""),"")</f>
        <v/>
      </c>
      <c r="AB98" s="270" t="str">
        <f>_xlfn.IFNA(_xlfn.XLOOKUP(CONCATENATE(AB$4,$C98),Tabella1[CONC X VOTI IN TAB GIOC],Tabella1[Voto]),"")</f>
        <v/>
      </c>
      <c r="AC98" s="270" t="str" cm="1">
        <f t="array" ref="AC98">_xlfn.IFNA(_xlfn.XLOOKUP(CONCATENATE(AC$4,$C98),INDEX(Tabella1[],0,MATCH("CONC X VOTI IN TAB GIOC",Tabella1[#Headers],0)),INDEX(Tabella1[],0,MATCH("Voto",Tabella1[#Headers],0))),"")</f>
        <v/>
      </c>
      <c r="AD98" s="270" t="str">
        <f>_xlfn.IFNA(_xlfn.XLOOKUP(CONCATENATE(AD$4,$C98),Tabella1[CONC X VOTI IN TAB GIOC],Tabella1[Voto]),"")</f>
        <v/>
      </c>
      <c r="AE98" s="270" t="str">
        <f>_xlfn.IFNA(VLOOKUP(CONCATENATE(AE$4,$C98),'INSER DATA'!$A:$F,6,0),"")</f>
        <v/>
      </c>
      <c r="AF98" s="270" t="str">
        <f>_xlfn.IFNA(VLOOKUP(CONCATENATE(AF$4,$C98),'INSER DATA'!$A:$F,6,0),"")</f>
        <v/>
      </c>
      <c r="AG98" s="270" t="str">
        <f>_xlfn.IFNA(VLOOKUP(CONCATENATE(AG$4,$C98),'INSER DATA'!$A:$F,6,0),"")</f>
        <v/>
      </c>
      <c r="AH98" s="270" t="str">
        <f>_xlfn.IFNA(VLOOKUP(CONCATENATE(AH$4,$C98),'INSER DATA'!$A:$F,7,0),"")</f>
        <v/>
      </c>
      <c r="AI98" s="270" t="str">
        <f>_xlfn.IFNA(VLOOKUP(CONCATENATE(AI$4,$C98),'INSER DATA'!$A:$F,7,0),"")</f>
        <v/>
      </c>
      <c r="AJ98" s="270" t="str">
        <f>_xlfn.IFNA(VLOOKUP(CONCATENATE(AJ$4,$C98),'INSER DATA'!$A:$F,7,0),"")</f>
        <v/>
      </c>
      <c r="AK98" s="270" t="str">
        <f>_xlfn.IFNA(VLOOKUP(CONCATENATE(AK$4,$C98),'INSER DATA'!$A:$F,7,0),"")</f>
        <v/>
      </c>
      <c r="AL98" s="270" t="str">
        <f>_xlfn.IFNA(VLOOKUP(CONCATENATE(AL$4,$C98),'INSER DATA'!$A:$F,7,0),"")</f>
        <v/>
      </c>
      <c r="AM98" s="270" t="str">
        <f>_xlfn.IFNA(VLOOKUP(CONCATENATE(AM$4,$C98),'INSER DATA'!$A:$F,7,0),"")</f>
        <v/>
      </c>
      <c r="AN98" s="270" t="str">
        <f>_xlfn.IFNA(VLOOKUP(CONCATENATE(AN$4,$C98),'INSER DATA'!$A:$F,7,0),"")</f>
        <v/>
      </c>
      <c r="AO98" s="270" t="str">
        <f>_xlfn.IFNA(VLOOKUP(CONCATENATE(AO$4,$C98),'INSER DATA'!$A:$F,7,0),"")</f>
        <v/>
      </c>
      <c r="AP98" s="270" t="str">
        <f>_xlfn.IFNA(VLOOKUP(CONCATENATE(AP$4,$C98),'INSER DATA'!$A:$F,7,0),"")</f>
        <v/>
      </c>
      <c r="AQ98" s="270" t="str">
        <f>_xlfn.IFNA(VLOOKUP(CONCATENATE(AQ$4,$C98),'INSER DATA'!$A:$F,7,0),"")</f>
        <v/>
      </c>
      <c r="AR98" s="270" t="str">
        <f>_xlfn.IFNA(VLOOKUP(CONCATENATE(AR$4,$C98),'INSER DATA'!$A:$F,7,0),"")</f>
        <v/>
      </c>
      <c r="AS98" s="270" t="str">
        <f>_xlfn.IFNA(VLOOKUP(CONCATENATE(AS$4,$C98),'INSER DATA'!$A:$F,7,0),"")</f>
        <v/>
      </c>
      <c r="AT98" s="270" t="str">
        <f>_xlfn.IFNA(VLOOKUP(CONCATENATE(AT$4,$C98),'INSER DATA'!$A:$F,7,0),"")</f>
        <v/>
      </c>
      <c r="AU98" s="270" t="str">
        <f>_xlfn.IFNA(VLOOKUP(CONCATENATE(AU$4,$C98),'INSER DATA'!$A:$F,7,0),"")</f>
        <v/>
      </c>
      <c r="AV98" s="270" t="str">
        <f>_xlfn.IFNA(VLOOKUP(CONCATENATE(AV$4,$C98),'INSER DATA'!$A:$F,7,0),"")</f>
        <v/>
      </c>
      <c r="AW98" s="270" t="str">
        <f>_xlfn.IFNA(VLOOKUP(CONCATENATE(AW$4,$C98),'INSER DATA'!$A:$F,7,0),"")</f>
        <v/>
      </c>
      <c r="AX98" s="270" t="str">
        <f>_xlfn.IFNA(VLOOKUP(CONCATENATE(AX$4,$C98),'INSER DATA'!$A:$F,7,0),"")</f>
        <v/>
      </c>
      <c r="AY98" s="270" t="str">
        <f>_xlfn.IFNA(VLOOKUP(CONCATENATE(AY$4,$C98),'INSER DATA'!$A:$F,7,0),"")</f>
        <v/>
      </c>
      <c r="AZ98" s="270" t="str">
        <f>_xlfn.IFNA(VLOOKUP(CONCATENATE(AZ$4,$C98),'INSER DATA'!$A:$F,7,0),"")</f>
        <v/>
      </c>
      <c r="BA98" s="270" t="str">
        <f>_xlfn.IFNA(VLOOKUP(CONCATENATE(BA$4,$C98),'INSER DATA'!$A:$F,7,0),"")</f>
        <v/>
      </c>
      <c r="BB98" s="270" t="str">
        <f>_xlfn.IFNA(VLOOKUP(CONCATENATE(BB$4,$C98),'INSER DATA'!$A:$F,7,0),"")</f>
        <v/>
      </c>
      <c r="BC98" s="270" t="str">
        <f>_xlfn.IFNA(VLOOKUP(CONCATENATE(BC$4,$C98),'INSER DATA'!$A:$F,7,0),"")</f>
        <v/>
      </c>
      <c r="BD98" s="270" t="str">
        <f>_xlfn.IFNA(VLOOKUP(CONCATENATE(BD$4,$C98),'INSER DATA'!$A:$F,7,0),"")</f>
        <v/>
      </c>
      <c r="BE98" s="270" t="str">
        <f>_xlfn.IFNA(VLOOKUP(CONCATENATE(BE$4,$C98),'INSER DATA'!$A:$F,7,0),"")</f>
        <v/>
      </c>
      <c r="BF98" s="270" t="str">
        <f>_xlfn.IFNA(VLOOKUP(CONCATENATE(BF$4,$C98),'INSER DATA'!$A:$F,7,0),"")</f>
        <v/>
      </c>
      <c r="BG98" s="270" t="str">
        <f>_xlfn.IFNA(VLOOKUP(CONCATENATE(BG$4,$C98),'INSER DATA'!$A:$F,7,0),"")</f>
        <v/>
      </c>
      <c r="BH98" s="270" t="str">
        <f>_xlfn.IFNA(VLOOKUP(CONCATENATE(BH$4,$C98),'INSER DATA'!$A:$F,7,0),"")</f>
        <v/>
      </c>
      <c r="BI98" s="270" t="str">
        <f>_xlfn.IFNA(VLOOKUP(CONCATENATE(BI$4,$C98),'INSER DATA'!$A:$F,7,0),"")</f>
        <v/>
      </c>
      <c r="BJ98" s="270" t="str">
        <f>_xlfn.IFNA(VLOOKUP(CONCATENATE(BJ$4,$C98),'INSER DATA'!$A:$F,7,0),"")</f>
        <v/>
      </c>
      <c r="BK98" s="270" t="str">
        <f>_xlfn.IFNA(VLOOKUP(CONCATENATE(BK$4,$C98),'INSER DATA'!$A:$F,7,0),"")</f>
        <v/>
      </c>
      <c r="BL98" s="272"/>
      <c r="BM98" s="30"/>
      <c r="BN98" s="30"/>
      <c r="BO98" s="30"/>
      <c r="BP98" s="30"/>
      <c r="BQ98" s="30"/>
      <c r="BR98" s="30"/>
      <c r="BS98" s="30"/>
      <c r="BT98" s="30"/>
      <c r="BU98" s="30"/>
      <c r="BV98" s="30"/>
      <c r="BW98" s="30"/>
      <c r="BX98" s="30"/>
      <c r="BY98" s="30"/>
      <c r="BZ98" s="30"/>
      <c r="CA98" s="30"/>
      <c r="CB98" s="30"/>
      <c r="CC98" s="30"/>
      <c r="CD98" s="30"/>
      <c r="CE98" s="30"/>
      <c r="CF98" s="30"/>
      <c r="CG98" s="30"/>
      <c r="CH98" s="30"/>
      <c r="CI98" s="30"/>
      <c r="CJ98" s="30"/>
      <c r="CK98" s="30"/>
      <c r="CL98" s="30"/>
      <c r="CM98" s="30"/>
      <c r="CN98" s="30"/>
      <c r="CO98" s="30"/>
      <c r="CP98" s="30"/>
      <c r="CQ98" s="30"/>
      <c r="CR98" s="30"/>
      <c r="CS98" s="30"/>
      <c r="CT98" s="30"/>
      <c r="CU98" s="30"/>
      <c r="CV98" s="30"/>
      <c r="CW98" s="30"/>
      <c r="CX98" s="30"/>
      <c r="CY98" s="30"/>
      <c r="CZ98" s="30"/>
      <c r="DA98" s="30"/>
    </row>
    <row r="99" spans="1:105" ht="19.2" thickTop="1" thickBot="1" x14ac:dyDescent="0.4">
      <c r="A99" s="30"/>
      <c r="B99" s="30"/>
      <c r="C99" s="185" t="s">
        <v>683</v>
      </c>
      <c r="D99" s="46" t="s">
        <v>681</v>
      </c>
      <c r="E99" s="35" t="str">
        <f>_xlfn.XLOOKUP(Tabella4[[#This Row],[NOME]],'ROSE SQUADRE'!$N$3:$N$253,'ROSE SQUADRE'!$O$3:$O$253,"")</f>
        <v/>
      </c>
      <c r="F99" s="36" t="s">
        <v>5</v>
      </c>
      <c r="G99" s="43">
        <v>1</v>
      </c>
      <c r="H99" s="43">
        <v>1</v>
      </c>
      <c r="I99" s="44">
        <f t="shared" si="7"/>
        <v>0</v>
      </c>
      <c r="J99" s="37">
        <f t="shared" si="8"/>
        <v>0</v>
      </c>
      <c r="K99" s="38">
        <f t="shared" si="9"/>
        <v>0</v>
      </c>
      <c r="L99" s="38">
        <f t="shared" si="10"/>
        <v>0</v>
      </c>
      <c r="M99" s="39">
        <f t="shared" si="11"/>
        <v>0</v>
      </c>
      <c r="N99" s="45">
        <f t="shared" ca="1" si="12"/>
        <v>0</v>
      </c>
      <c r="O99" s="40">
        <f>SUMIF(Tabella1[Nome],Tabella4[[#This Row],[NOME]],Tabella1[Gf])</f>
        <v>0</v>
      </c>
      <c r="P99" s="40">
        <f>-(SUMIF(Tabella1[Nome],Tabella4[[#This Row],[NOME]],Tabella1[Gs]))</f>
        <v>0</v>
      </c>
      <c r="Q99" s="40">
        <f>SUMIF(Tabella1[Nome],Tabella4[[#This Row],[NOME]],Tabella1[Rp])</f>
        <v>0</v>
      </c>
      <c r="R99" s="40">
        <f>SUMIF(Tabella1[Nome],Tabella4[[#This Row],[NOME]],Tabella1[Rs])</f>
        <v>0</v>
      </c>
      <c r="S99" s="40">
        <f>SUMIF(Tabella1[Nome],Tabella4[[#This Row],[NOME]],Tabella1[Rf])</f>
        <v>0</v>
      </c>
      <c r="T99" s="40">
        <f>SUMIF(Tabella1[Nome],Tabella4[[#This Row],[NOME]],Tabella1[Au])</f>
        <v>0</v>
      </c>
      <c r="U99" s="41">
        <f>SUMIF(Tabella1[Nome],Tabella4[[#This Row],[NOME]],Tabella1[Amm])</f>
        <v>0</v>
      </c>
      <c r="V99" s="42">
        <f>SUMIF(Tabella1[Nome],Tabella4[[#This Row],[NOME]],Tabella1[Esp])</f>
        <v>0</v>
      </c>
      <c r="W99" s="40">
        <f>SUMIF(Tabella1[Nome],Tabella4[[#This Row],[NOME]],Tabella1[Ass])</f>
        <v>0</v>
      </c>
      <c r="X99" s="40">
        <f>SUMIF(Tabella1[Nome],Tabella4[[#This Row],[NOME]],Tabella1[Gdv])</f>
        <v>0</v>
      </c>
      <c r="Y99" s="40">
        <f>SUMIF(Tabella1[Nome],Tabella4[[#This Row],[NOME]],Tabella1[cl sh])</f>
        <v>0</v>
      </c>
      <c r="Z99" s="270" t="str">
        <f>_xlfn.IFNA(_xlfn.XLOOKUP(CONCATENATE(Z$4,$C99),Tabella1[CONC X VOTI IN TAB GIOC],Tabella1[Voto],""),"")</f>
        <v/>
      </c>
      <c r="AA99" s="270" t="str">
        <f>_xlfn.IFNA(_xlfn.XLOOKUP(CONCATENATE(AA$4,$C99),Tabella1[CONC X VOTI IN TAB GIOC],Tabella1[Voto],""),"")</f>
        <v/>
      </c>
      <c r="AB99" s="270" t="str">
        <f>_xlfn.IFNA(_xlfn.XLOOKUP(CONCATENATE(AB$4,$C99),Tabella1[CONC X VOTI IN TAB GIOC],Tabella1[Voto]),"")</f>
        <v/>
      </c>
      <c r="AC99" s="270" t="str" cm="1">
        <f t="array" ref="AC99">_xlfn.IFNA(_xlfn.XLOOKUP(CONCATENATE(AC$4,$C99),INDEX(Tabella1[],0,MATCH("CONC X VOTI IN TAB GIOC",Tabella1[#Headers],0)),INDEX(Tabella1[],0,MATCH("Voto",Tabella1[#Headers],0))),"")</f>
        <v/>
      </c>
      <c r="AD99" s="270" t="str">
        <f>_xlfn.IFNA(_xlfn.XLOOKUP(CONCATENATE(AD$4,$C99),Tabella1[CONC X VOTI IN TAB GIOC],Tabella1[Voto]),"")</f>
        <v/>
      </c>
      <c r="AE99" s="270" t="str">
        <f>_xlfn.IFNA(VLOOKUP(CONCATENATE(AE$4,$C99),'INSER DATA'!$A:$F,6,0),"")</f>
        <v/>
      </c>
      <c r="AF99" s="270" t="str">
        <f>_xlfn.IFNA(VLOOKUP(CONCATENATE(AF$4,$C99),'INSER DATA'!$A:$F,6,0),"")</f>
        <v/>
      </c>
      <c r="AG99" s="270" t="str">
        <f>_xlfn.IFNA(VLOOKUP(CONCATENATE(AG$4,$C99),'INSER DATA'!$A:$F,6,0),"")</f>
        <v/>
      </c>
      <c r="AH99" s="270" t="str">
        <f>_xlfn.IFNA(VLOOKUP(CONCATENATE(AH$4,$C99),'INSER DATA'!$A:$F,7,0),"")</f>
        <v/>
      </c>
      <c r="AI99" s="270" t="str">
        <f>_xlfn.IFNA(VLOOKUP(CONCATENATE(AI$4,$C99),'INSER DATA'!$A:$F,7,0),"")</f>
        <v/>
      </c>
      <c r="AJ99" s="270" t="str">
        <f>_xlfn.IFNA(VLOOKUP(CONCATENATE(AJ$4,$C99),'INSER DATA'!$A:$F,7,0),"")</f>
        <v/>
      </c>
      <c r="AK99" s="270" t="str">
        <f>_xlfn.IFNA(VLOOKUP(CONCATENATE(AK$4,$C99),'INSER DATA'!$A:$F,7,0),"")</f>
        <v/>
      </c>
      <c r="AL99" s="270" t="str">
        <f>_xlfn.IFNA(VLOOKUP(CONCATENATE(AL$4,$C99),'INSER DATA'!$A:$F,7,0),"")</f>
        <v/>
      </c>
      <c r="AM99" s="270" t="str">
        <f>_xlfn.IFNA(VLOOKUP(CONCATENATE(AM$4,$C99),'INSER DATA'!$A:$F,7,0),"")</f>
        <v/>
      </c>
      <c r="AN99" s="270" t="str">
        <f>_xlfn.IFNA(VLOOKUP(CONCATENATE(AN$4,$C99),'INSER DATA'!$A:$F,7,0),"")</f>
        <v/>
      </c>
      <c r="AO99" s="270" t="str">
        <f>_xlfn.IFNA(VLOOKUP(CONCATENATE(AO$4,$C99),'INSER DATA'!$A:$F,7,0),"")</f>
        <v/>
      </c>
      <c r="AP99" s="270" t="str">
        <f>_xlfn.IFNA(VLOOKUP(CONCATENATE(AP$4,$C99),'INSER DATA'!$A:$F,7,0),"")</f>
        <v/>
      </c>
      <c r="AQ99" s="270" t="str">
        <f>_xlfn.IFNA(VLOOKUP(CONCATENATE(AQ$4,$C99),'INSER DATA'!$A:$F,7,0),"")</f>
        <v/>
      </c>
      <c r="AR99" s="270" t="str">
        <f>_xlfn.IFNA(VLOOKUP(CONCATENATE(AR$4,$C99),'INSER DATA'!$A:$F,7,0),"")</f>
        <v/>
      </c>
      <c r="AS99" s="270" t="str">
        <f>_xlfn.IFNA(VLOOKUP(CONCATENATE(AS$4,$C99),'INSER DATA'!$A:$F,7,0),"")</f>
        <v/>
      </c>
      <c r="AT99" s="270" t="str">
        <f>_xlfn.IFNA(VLOOKUP(CONCATENATE(AT$4,$C99),'INSER DATA'!$A:$F,7,0),"")</f>
        <v/>
      </c>
      <c r="AU99" s="270" t="str">
        <f>_xlfn.IFNA(VLOOKUP(CONCATENATE(AU$4,$C99),'INSER DATA'!$A:$F,7,0),"")</f>
        <v/>
      </c>
      <c r="AV99" s="270" t="str">
        <f>_xlfn.IFNA(VLOOKUP(CONCATENATE(AV$4,$C99),'INSER DATA'!$A:$F,7,0),"")</f>
        <v/>
      </c>
      <c r="AW99" s="270" t="str">
        <f>_xlfn.IFNA(VLOOKUP(CONCATENATE(AW$4,$C99),'INSER DATA'!$A:$F,7,0),"")</f>
        <v/>
      </c>
      <c r="AX99" s="270" t="str">
        <f>_xlfn.IFNA(VLOOKUP(CONCATENATE(AX$4,$C99),'INSER DATA'!$A:$F,7,0),"")</f>
        <v/>
      </c>
      <c r="AY99" s="270" t="str">
        <f>_xlfn.IFNA(VLOOKUP(CONCATENATE(AY$4,$C99),'INSER DATA'!$A:$F,7,0),"")</f>
        <v/>
      </c>
      <c r="AZ99" s="270" t="str">
        <f>_xlfn.IFNA(VLOOKUP(CONCATENATE(AZ$4,$C99),'INSER DATA'!$A:$F,7,0),"")</f>
        <v/>
      </c>
      <c r="BA99" s="270" t="str">
        <f>_xlfn.IFNA(VLOOKUP(CONCATENATE(BA$4,$C99),'INSER DATA'!$A:$F,7,0),"")</f>
        <v/>
      </c>
      <c r="BB99" s="270" t="str">
        <f>_xlfn.IFNA(VLOOKUP(CONCATENATE(BB$4,$C99),'INSER DATA'!$A:$F,7,0),"")</f>
        <v/>
      </c>
      <c r="BC99" s="270" t="str">
        <f>_xlfn.IFNA(VLOOKUP(CONCATENATE(BC$4,$C99),'INSER DATA'!$A:$F,7,0),"")</f>
        <v/>
      </c>
      <c r="BD99" s="270" t="str">
        <f>_xlfn.IFNA(VLOOKUP(CONCATENATE(BD$4,$C99),'INSER DATA'!$A:$F,7,0),"")</f>
        <v/>
      </c>
      <c r="BE99" s="270" t="str">
        <f>_xlfn.IFNA(VLOOKUP(CONCATENATE(BE$4,$C99),'INSER DATA'!$A:$F,7,0),"")</f>
        <v/>
      </c>
      <c r="BF99" s="270" t="str">
        <f>_xlfn.IFNA(VLOOKUP(CONCATENATE(BF$4,$C99),'INSER DATA'!$A:$F,7,0),"")</f>
        <v/>
      </c>
      <c r="BG99" s="270" t="str">
        <f>_xlfn.IFNA(VLOOKUP(CONCATENATE(BG$4,$C99),'INSER DATA'!$A:$F,7,0),"")</f>
        <v/>
      </c>
      <c r="BH99" s="270" t="str">
        <f>_xlfn.IFNA(VLOOKUP(CONCATENATE(BH$4,$C99),'INSER DATA'!$A:$F,7,0),"")</f>
        <v/>
      </c>
      <c r="BI99" s="270" t="str">
        <f>_xlfn.IFNA(VLOOKUP(CONCATENATE(BI$4,$C99),'INSER DATA'!$A:$F,7,0),"")</f>
        <v/>
      </c>
      <c r="BJ99" s="270" t="str">
        <f>_xlfn.IFNA(VLOOKUP(CONCATENATE(BJ$4,$C99),'INSER DATA'!$A:$F,7,0),"")</f>
        <v/>
      </c>
      <c r="BK99" s="270" t="str">
        <f>_xlfn.IFNA(VLOOKUP(CONCATENATE(BK$4,$C99),'INSER DATA'!$A:$F,7,0),"")</f>
        <v/>
      </c>
      <c r="BL99" s="272"/>
      <c r="BM99" s="30"/>
      <c r="BN99" s="30"/>
      <c r="BO99" s="30"/>
      <c r="BP99" s="30"/>
      <c r="BQ99" s="30"/>
      <c r="BR99" s="30"/>
      <c r="BS99" s="30"/>
      <c r="BT99" s="30"/>
      <c r="BU99" s="30"/>
      <c r="BV99" s="30"/>
      <c r="BW99" s="30"/>
      <c r="BX99" s="30"/>
      <c r="BY99" s="30"/>
      <c r="BZ99" s="30"/>
      <c r="CA99" s="30"/>
      <c r="CB99" s="30"/>
      <c r="CC99" s="30"/>
      <c r="CD99" s="30"/>
      <c r="CE99" s="30"/>
      <c r="CF99" s="30"/>
      <c r="CG99" s="30"/>
      <c r="CH99" s="30"/>
      <c r="CI99" s="30"/>
      <c r="CJ99" s="30"/>
      <c r="CK99" s="30"/>
      <c r="CL99" s="30"/>
      <c r="CM99" s="30"/>
      <c r="CN99" s="30"/>
      <c r="CO99" s="30"/>
      <c r="CP99" s="30"/>
      <c r="CQ99" s="30"/>
      <c r="CR99" s="30"/>
      <c r="CS99" s="30"/>
      <c r="CT99" s="30"/>
      <c r="CU99" s="30"/>
      <c r="CV99" s="30"/>
      <c r="CW99" s="30"/>
      <c r="CX99" s="30"/>
      <c r="CY99" s="30"/>
      <c r="CZ99" s="30"/>
      <c r="DA99" s="30"/>
    </row>
    <row r="100" spans="1:105" ht="19.2" thickTop="1" thickBot="1" x14ac:dyDescent="0.4">
      <c r="A100" s="30"/>
      <c r="B100" s="30"/>
      <c r="C100" s="188" t="s">
        <v>431</v>
      </c>
      <c r="D100" s="46" t="s">
        <v>681</v>
      </c>
      <c r="E100" s="35" t="str">
        <f>_xlfn.XLOOKUP(Tabella4[[#This Row],[NOME]],'ROSE SQUADRE'!$N$3:$N$253,'ROSE SQUADRE'!$O$3:$O$253,"")</f>
        <v/>
      </c>
      <c r="F100" s="36" t="s">
        <v>161</v>
      </c>
      <c r="G100" s="43">
        <v>1</v>
      </c>
      <c r="H100" s="43">
        <v>1</v>
      </c>
      <c r="I100" s="44">
        <f t="shared" si="7"/>
        <v>0</v>
      </c>
      <c r="J100" s="37">
        <f t="shared" si="8"/>
        <v>0</v>
      </c>
      <c r="K100" s="178">
        <f t="shared" si="9"/>
        <v>0</v>
      </c>
      <c r="L100" s="178">
        <f t="shared" si="10"/>
        <v>0</v>
      </c>
      <c r="M100" s="179">
        <f t="shared" si="11"/>
        <v>0</v>
      </c>
      <c r="N100" s="45">
        <f t="shared" ca="1" si="12"/>
        <v>0</v>
      </c>
      <c r="O100" s="40">
        <f>SUMIF(Tabella1[Nome],Tabella4[[#This Row],[NOME]],Tabella1[Gf])</f>
        <v>0</v>
      </c>
      <c r="P100" s="40">
        <f>-(SUMIF(Tabella1[Nome],Tabella4[[#This Row],[NOME]],Tabella1[Gs]))</f>
        <v>0</v>
      </c>
      <c r="Q100" s="40">
        <f>SUMIF(Tabella1[Nome],Tabella4[[#This Row],[NOME]],Tabella1[Rp])</f>
        <v>0</v>
      </c>
      <c r="R100" s="40">
        <f>SUMIF(Tabella1[Nome],Tabella4[[#This Row],[NOME]],Tabella1[Rs])</f>
        <v>0</v>
      </c>
      <c r="S100" s="40">
        <f>SUMIF(Tabella1[Nome],Tabella4[[#This Row],[NOME]],Tabella1[Rf])</f>
        <v>0</v>
      </c>
      <c r="T100" s="40">
        <f>SUMIF(Tabella1[Nome],Tabella4[[#This Row],[NOME]],Tabella1[Au])</f>
        <v>0</v>
      </c>
      <c r="U100" s="41">
        <f>SUMIF(Tabella1[Nome],Tabella4[[#This Row],[NOME]],Tabella1[Amm])</f>
        <v>0</v>
      </c>
      <c r="V100" s="42">
        <f>SUMIF(Tabella1[Nome],Tabella4[[#This Row],[NOME]],Tabella1[Esp])</f>
        <v>0</v>
      </c>
      <c r="W100" s="40">
        <f>SUMIF(Tabella1[Nome],Tabella4[[#This Row],[NOME]],Tabella1[Ass])</f>
        <v>0</v>
      </c>
      <c r="X100" s="40">
        <f>SUMIF(Tabella1[Nome],Tabella4[[#This Row],[NOME]],Tabella1[Gdv])</f>
        <v>0</v>
      </c>
      <c r="Y100" s="40">
        <f>SUMIF(Tabella1[Nome],Tabella4[[#This Row],[NOME]],Tabella1[cl sh])</f>
        <v>0</v>
      </c>
      <c r="Z100" s="270" t="str">
        <f>_xlfn.IFNA(_xlfn.XLOOKUP(CONCATENATE(Z$4,$C100),Tabella1[CONC X VOTI IN TAB GIOC],Tabella1[Voto],""),"")</f>
        <v/>
      </c>
      <c r="AA100" s="270" t="str">
        <f>_xlfn.IFNA(_xlfn.XLOOKUP(CONCATENATE(AA$4,$C100),Tabella1[CONC X VOTI IN TAB GIOC],Tabella1[Voto],""),"")</f>
        <v/>
      </c>
      <c r="AB100" s="270" t="str">
        <f>_xlfn.IFNA(_xlfn.XLOOKUP(CONCATENATE(AB$4,$C100),Tabella1[CONC X VOTI IN TAB GIOC],Tabella1[Voto]),"")</f>
        <v/>
      </c>
      <c r="AC100" s="270" t="str" cm="1">
        <f t="array" ref="AC100">_xlfn.IFNA(_xlfn.XLOOKUP(CONCATENATE(AC$4,$C100),INDEX(Tabella1[],0,MATCH("CONC X VOTI IN TAB GIOC",Tabella1[#Headers],0)),INDEX(Tabella1[],0,MATCH("Voto",Tabella1[#Headers],0))),"")</f>
        <v/>
      </c>
      <c r="AD100" s="270" t="str">
        <f>_xlfn.IFNA(_xlfn.XLOOKUP(CONCATENATE(AD$4,$C100),Tabella1[CONC X VOTI IN TAB GIOC],Tabella1[Voto]),"")</f>
        <v/>
      </c>
      <c r="AE100" s="270" t="str">
        <f>_xlfn.IFNA(VLOOKUP(CONCATENATE(AE$4,$C100),'INSER DATA'!$A:$F,6,0),"")</f>
        <v/>
      </c>
      <c r="AF100" s="270" t="str">
        <f>_xlfn.IFNA(VLOOKUP(CONCATENATE(AF$4,$C100),'INSER DATA'!$A:$F,6,0),"")</f>
        <v/>
      </c>
      <c r="AG100" s="270" t="str">
        <f>_xlfn.IFNA(VLOOKUP(CONCATENATE(AG$4,$C100),'INSER DATA'!$A:$F,6,0),"")</f>
        <v/>
      </c>
      <c r="AH100" s="270" t="str">
        <f>_xlfn.IFNA(VLOOKUP(CONCATENATE(AH$4,$C100),'INSER DATA'!$A:$F,7,0),"")</f>
        <v/>
      </c>
      <c r="AI100" s="270" t="str">
        <f>_xlfn.IFNA(VLOOKUP(CONCATENATE(AI$4,$C100),'INSER DATA'!$A:$F,7,0),"")</f>
        <v/>
      </c>
      <c r="AJ100" s="270" t="str">
        <f>_xlfn.IFNA(VLOOKUP(CONCATENATE(AJ$4,$C100),'INSER DATA'!$A:$F,7,0),"")</f>
        <v/>
      </c>
      <c r="AK100" s="270" t="str">
        <f>_xlfn.IFNA(VLOOKUP(CONCATENATE(AK$4,$C100),'INSER DATA'!$A:$F,7,0),"")</f>
        <v/>
      </c>
      <c r="AL100" s="270" t="str">
        <f>_xlfn.IFNA(VLOOKUP(CONCATENATE(AL$4,$C100),'INSER DATA'!$A:$F,7,0),"")</f>
        <v/>
      </c>
      <c r="AM100" s="270" t="str">
        <f>_xlfn.IFNA(VLOOKUP(CONCATENATE(AM$4,$C100),'INSER DATA'!$A:$F,7,0),"")</f>
        <v/>
      </c>
      <c r="AN100" s="270" t="str">
        <f>_xlfn.IFNA(VLOOKUP(CONCATENATE(AN$4,$C100),'INSER DATA'!$A:$F,7,0),"")</f>
        <v/>
      </c>
      <c r="AO100" s="270" t="str">
        <f>_xlfn.IFNA(VLOOKUP(CONCATENATE(AO$4,$C100),'INSER DATA'!$A:$F,7,0),"")</f>
        <v/>
      </c>
      <c r="AP100" s="270" t="str">
        <f>_xlfn.IFNA(VLOOKUP(CONCATENATE(AP$4,$C100),'INSER DATA'!$A:$F,7,0),"")</f>
        <v/>
      </c>
      <c r="AQ100" s="270" t="str">
        <f>_xlfn.IFNA(VLOOKUP(CONCATENATE(AQ$4,$C100),'INSER DATA'!$A:$F,7,0),"")</f>
        <v/>
      </c>
      <c r="AR100" s="270" t="str">
        <f>_xlfn.IFNA(VLOOKUP(CONCATENATE(AR$4,$C100),'INSER DATA'!$A:$F,7,0),"")</f>
        <v/>
      </c>
      <c r="AS100" s="270" t="str">
        <f>_xlfn.IFNA(VLOOKUP(CONCATENATE(AS$4,$C100),'INSER DATA'!$A:$F,7,0),"")</f>
        <v/>
      </c>
      <c r="AT100" s="270" t="str">
        <f>_xlfn.IFNA(VLOOKUP(CONCATENATE(AT$4,$C100),'INSER DATA'!$A:$F,7,0),"")</f>
        <v/>
      </c>
      <c r="AU100" s="270" t="str">
        <f>_xlfn.IFNA(VLOOKUP(CONCATENATE(AU$4,$C100),'INSER DATA'!$A:$F,7,0),"")</f>
        <v/>
      </c>
      <c r="AV100" s="270" t="str">
        <f>_xlfn.IFNA(VLOOKUP(CONCATENATE(AV$4,$C100),'INSER DATA'!$A:$F,7,0),"")</f>
        <v/>
      </c>
      <c r="AW100" s="270" t="str">
        <f>_xlfn.IFNA(VLOOKUP(CONCATENATE(AW$4,$C100),'INSER DATA'!$A:$F,7,0),"")</f>
        <v/>
      </c>
      <c r="AX100" s="270" t="str">
        <f>_xlfn.IFNA(VLOOKUP(CONCATENATE(AX$4,$C100),'INSER DATA'!$A:$F,7,0),"")</f>
        <v/>
      </c>
      <c r="AY100" s="270" t="str">
        <f>_xlfn.IFNA(VLOOKUP(CONCATENATE(AY$4,$C100),'INSER DATA'!$A:$F,7,0),"")</f>
        <v/>
      </c>
      <c r="AZ100" s="270" t="str">
        <f>_xlfn.IFNA(VLOOKUP(CONCATENATE(AZ$4,$C100),'INSER DATA'!$A:$F,7,0),"")</f>
        <v/>
      </c>
      <c r="BA100" s="270" t="str">
        <f>_xlfn.IFNA(VLOOKUP(CONCATENATE(BA$4,$C100),'INSER DATA'!$A:$F,7,0),"")</f>
        <v/>
      </c>
      <c r="BB100" s="270" t="str">
        <f>_xlfn.IFNA(VLOOKUP(CONCATENATE(BB$4,$C100),'INSER DATA'!$A:$F,7,0),"")</f>
        <v/>
      </c>
      <c r="BC100" s="270" t="str">
        <f>_xlfn.IFNA(VLOOKUP(CONCATENATE(BC$4,$C100),'INSER DATA'!$A:$F,7,0),"")</f>
        <v/>
      </c>
      <c r="BD100" s="270" t="str">
        <f>_xlfn.IFNA(VLOOKUP(CONCATENATE(BD$4,$C100),'INSER DATA'!$A:$F,7,0),"")</f>
        <v/>
      </c>
      <c r="BE100" s="270" t="str">
        <f>_xlfn.IFNA(VLOOKUP(CONCATENATE(BE$4,$C100),'INSER DATA'!$A:$F,7,0),"")</f>
        <v/>
      </c>
      <c r="BF100" s="270" t="str">
        <f>_xlfn.IFNA(VLOOKUP(CONCATENATE(BF$4,$C100),'INSER DATA'!$A:$F,7,0),"")</f>
        <v/>
      </c>
      <c r="BG100" s="270" t="str">
        <f>_xlfn.IFNA(VLOOKUP(CONCATENATE(BG$4,$C100),'INSER DATA'!$A:$F,7,0),"")</f>
        <v/>
      </c>
      <c r="BH100" s="270" t="str">
        <f>_xlfn.IFNA(VLOOKUP(CONCATENATE(BH$4,$C100),'INSER DATA'!$A:$F,7,0),"")</f>
        <v/>
      </c>
      <c r="BI100" s="270" t="str">
        <f>_xlfn.IFNA(VLOOKUP(CONCATENATE(BI$4,$C100),'INSER DATA'!$A:$F,7,0),"")</f>
        <v/>
      </c>
      <c r="BJ100" s="270" t="str">
        <f>_xlfn.IFNA(VLOOKUP(CONCATENATE(BJ$4,$C100),'INSER DATA'!$A:$F,7,0),"")</f>
        <v/>
      </c>
      <c r="BK100" s="270" t="str">
        <f>_xlfn.IFNA(VLOOKUP(CONCATENATE(BK$4,$C100),'INSER DATA'!$A:$F,7,0),"")</f>
        <v/>
      </c>
      <c r="BL100" s="272"/>
      <c r="BM100" s="30"/>
      <c r="BN100" s="30"/>
      <c r="BO100" s="30"/>
      <c r="BP100" s="30"/>
      <c r="BQ100" s="30"/>
      <c r="BR100" s="30"/>
      <c r="BS100" s="30"/>
      <c r="BT100" s="30"/>
      <c r="BU100" s="30"/>
      <c r="BV100" s="30"/>
      <c r="BW100" s="30"/>
      <c r="BX100" s="30"/>
      <c r="BY100" s="30"/>
      <c r="BZ100" s="30"/>
      <c r="CA100" s="30"/>
      <c r="CB100" s="30"/>
      <c r="CC100" s="30"/>
      <c r="CD100" s="30"/>
      <c r="CE100" s="30"/>
      <c r="CF100" s="30"/>
      <c r="CG100" s="30"/>
      <c r="CH100" s="30"/>
      <c r="CI100" s="30"/>
      <c r="CJ100" s="30"/>
      <c r="CK100" s="30"/>
      <c r="CL100" s="30"/>
      <c r="CM100" s="30"/>
      <c r="CN100" s="30"/>
      <c r="CO100" s="30"/>
      <c r="CP100" s="30"/>
      <c r="CQ100" s="30"/>
      <c r="CR100" s="30"/>
      <c r="CS100" s="30"/>
      <c r="CT100" s="30"/>
      <c r="CU100" s="30"/>
      <c r="CV100" s="30"/>
      <c r="CW100" s="30"/>
      <c r="CX100" s="30"/>
      <c r="CY100" s="30"/>
      <c r="CZ100" s="30"/>
      <c r="DA100" s="30"/>
    </row>
    <row r="101" spans="1:105" ht="19.2" thickTop="1" thickBot="1" x14ac:dyDescent="0.4">
      <c r="A101" s="30"/>
      <c r="B101" s="30"/>
      <c r="C101" s="358" t="s">
        <v>686</v>
      </c>
      <c r="D101" s="359" t="s">
        <v>681</v>
      </c>
      <c r="E101" s="35" t="str">
        <f>_xlfn.XLOOKUP(Tabella4[[#This Row],[NOME]],'ROSE SQUADRE'!$N$3:$N$253,'ROSE SQUADRE'!$O$3:$O$253,"")</f>
        <v>TRICCHETRACHT</v>
      </c>
      <c r="F101" s="36" t="s">
        <v>161</v>
      </c>
      <c r="G101" s="43">
        <v>7</v>
      </c>
      <c r="H101" s="43">
        <v>7</v>
      </c>
      <c r="I101" s="44">
        <f t="shared" si="7"/>
        <v>0</v>
      </c>
      <c r="J101" s="37">
        <f t="shared" si="8"/>
        <v>1</v>
      </c>
      <c r="K101" s="38">
        <f t="shared" si="9"/>
        <v>6.5</v>
      </c>
      <c r="L101" s="38">
        <f t="shared" si="10"/>
        <v>10.5</v>
      </c>
      <c r="M101" s="39">
        <f t="shared" si="11"/>
        <v>10.5</v>
      </c>
      <c r="N101" s="45">
        <f t="shared" ca="1" si="12"/>
        <v>0</v>
      </c>
      <c r="O101" s="40">
        <f>SUMIF(Tabella1[Nome],Tabella4[[#This Row],[NOME]],Tabella1[Gf])</f>
        <v>1</v>
      </c>
      <c r="P101" s="40">
        <f>-(SUMIF(Tabella1[Nome],Tabella4[[#This Row],[NOME]],Tabella1[Gs]))</f>
        <v>0</v>
      </c>
      <c r="Q101" s="40">
        <f>SUMIF(Tabella1[Nome],Tabella4[[#This Row],[NOME]],Tabella1[Rp])</f>
        <v>0</v>
      </c>
      <c r="R101" s="40">
        <f>SUMIF(Tabella1[Nome],Tabella4[[#This Row],[NOME]],Tabella1[Rs])</f>
        <v>0</v>
      </c>
      <c r="S101" s="40">
        <f>SUMIF(Tabella1[Nome],Tabella4[[#This Row],[NOME]],Tabella1[Rf])</f>
        <v>0</v>
      </c>
      <c r="T101" s="40">
        <f>SUMIF(Tabella1[Nome],Tabella4[[#This Row],[NOME]],Tabella1[Au])</f>
        <v>0</v>
      </c>
      <c r="U101" s="41">
        <f>SUMIF(Tabella1[Nome],Tabella4[[#This Row],[NOME]],Tabella1[Amm])</f>
        <v>0</v>
      </c>
      <c r="V101" s="42">
        <f>SUMIF(Tabella1[Nome],Tabella4[[#This Row],[NOME]],Tabella1[Esp])</f>
        <v>0</v>
      </c>
      <c r="W101" s="40">
        <f>SUMIF(Tabella1[Nome],Tabella4[[#This Row],[NOME]],Tabella1[Ass])</f>
        <v>0</v>
      </c>
      <c r="X101" s="40">
        <f>SUMIF(Tabella1[Nome],Tabella4[[#This Row],[NOME]],Tabella1[Gdv])</f>
        <v>1</v>
      </c>
      <c r="Y101" s="40">
        <f>SUMIF(Tabella1[Nome],Tabella4[[#This Row],[NOME]],Tabella1[cl sh])</f>
        <v>0</v>
      </c>
      <c r="Z101" s="270" t="str">
        <f>_xlfn.IFNA(_xlfn.XLOOKUP(CONCATENATE(Z$4,$C101),Tabella1[CONC X VOTI IN TAB GIOC],Tabella1[Voto],""),"")</f>
        <v/>
      </c>
      <c r="AA101" s="270" t="str">
        <f>_xlfn.IFNA(_xlfn.XLOOKUP(CONCATENATE(AA$4,$C101),Tabella1[CONC X VOTI IN TAB GIOC],Tabella1[Voto],""),"")</f>
        <v/>
      </c>
      <c r="AB101" s="270" t="str">
        <f>_xlfn.IFNA(_xlfn.XLOOKUP(CONCATENATE(AB$4,$C101),Tabella1[CONC X VOTI IN TAB GIOC],Tabella1[Voto]),"")</f>
        <v/>
      </c>
      <c r="AC101" s="270" cm="1">
        <f t="array" ref="AC101">_xlfn.IFNA(_xlfn.XLOOKUP(CONCATENATE(AC$4,$C101),INDEX(Tabella1[],0,MATCH("CONC X VOTI IN TAB GIOC",Tabella1[#Headers],0)),INDEX(Tabella1[],0,MATCH("Voto",Tabella1[#Headers],0))),"")</f>
        <v>6.5</v>
      </c>
      <c r="AD101" s="270" t="str">
        <f>_xlfn.IFNA(_xlfn.XLOOKUP(CONCATENATE(AD$4,$C101),Tabella1[CONC X VOTI IN TAB GIOC],Tabella1[Voto]),"")</f>
        <v/>
      </c>
      <c r="AE101" s="270" t="str">
        <f>_xlfn.IFNA(VLOOKUP(CONCATENATE(AE$4,$C101),'INSER DATA'!$A:$F,6,0),"")</f>
        <v/>
      </c>
      <c r="AF101" s="270" t="str">
        <f>_xlfn.IFNA(VLOOKUP(CONCATENATE(AF$4,$C101),'INSER DATA'!$A:$F,6,0),"")</f>
        <v/>
      </c>
      <c r="AG101" s="270" t="str">
        <f>_xlfn.IFNA(VLOOKUP(CONCATENATE(AG$4,$C101),'INSER DATA'!$A:$F,6,0),"")</f>
        <v/>
      </c>
      <c r="AH101" s="270" t="str">
        <f>_xlfn.IFNA(VLOOKUP(CONCATENATE(AH$4,$C101),'INSER DATA'!$A:$F,7,0),"")</f>
        <v/>
      </c>
      <c r="AI101" s="270" t="str">
        <f>_xlfn.IFNA(VLOOKUP(CONCATENATE(AI$4,$C101),'INSER DATA'!$A:$F,7,0),"")</f>
        <v/>
      </c>
      <c r="AJ101" s="270" t="str">
        <f>_xlfn.IFNA(VLOOKUP(CONCATENATE(AJ$4,$C101),'INSER DATA'!$A:$F,7,0),"")</f>
        <v/>
      </c>
      <c r="AK101" s="270" t="str">
        <f>_xlfn.IFNA(VLOOKUP(CONCATENATE(AK$4,$C101),'INSER DATA'!$A:$F,7,0),"")</f>
        <v/>
      </c>
      <c r="AL101" s="270" t="str">
        <f>_xlfn.IFNA(VLOOKUP(CONCATENATE(AL$4,$C101),'INSER DATA'!$A:$F,7,0),"")</f>
        <v/>
      </c>
      <c r="AM101" s="270" t="str">
        <f>_xlfn.IFNA(VLOOKUP(CONCATENATE(AM$4,$C101),'INSER DATA'!$A:$F,7,0),"")</f>
        <v/>
      </c>
      <c r="AN101" s="270" t="str">
        <f>_xlfn.IFNA(VLOOKUP(CONCATENATE(AN$4,$C101),'INSER DATA'!$A:$F,7,0),"")</f>
        <v/>
      </c>
      <c r="AO101" s="270" t="str">
        <f>_xlfn.IFNA(VLOOKUP(CONCATENATE(AO$4,$C101),'INSER DATA'!$A:$F,7,0),"")</f>
        <v/>
      </c>
      <c r="AP101" s="270" t="str">
        <f>_xlfn.IFNA(VLOOKUP(CONCATENATE(AP$4,$C101),'INSER DATA'!$A:$F,7,0),"")</f>
        <v/>
      </c>
      <c r="AQ101" s="270" t="str">
        <f>_xlfn.IFNA(VLOOKUP(CONCATENATE(AQ$4,$C101),'INSER DATA'!$A:$F,7,0),"")</f>
        <v/>
      </c>
      <c r="AR101" s="270" t="str">
        <f>_xlfn.IFNA(VLOOKUP(CONCATENATE(AR$4,$C101),'INSER DATA'!$A:$F,7,0),"")</f>
        <v/>
      </c>
      <c r="AS101" s="270" t="str">
        <f>_xlfn.IFNA(VLOOKUP(CONCATENATE(AS$4,$C101),'INSER DATA'!$A:$F,7,0),"")</f>
        <v/>
      </c>
      <c r="AT101" s="270" t="str">
        <f>_xlfn.IFNA(VLOOKUP(CONCATENATE(AT$4,$C101),'INSER DATA'!$A:$F,7,0),"")</f>
        <v/>
      </c>
      <c r="AU101" s="270" t="str">
        <f>_xlfn.IFNA(VLOOKUP(CONCATENATE(AU$4,$C101),'INSER DATA'!$A:$F,7,0),"")</f>
        <v/>
      </c>
      <c r="AV101" s="270" t="str">
        <f>_xlfn.IFNA(VLOOKUP(CONCATENATE(AV$4,$C101),'INSER DATA'!$A:$F,7,0),"")</f>
        <v/>
      </c>
      <c r="AW101" s="270" t="str">
        <f>_xlfn.IFNA(VLOOKUP(CONCATENATE(AW$4,$C101),'INSER DATA'!$A:$F,7,0),"")</f>
        <v/>
      </c>
      <c r="AX101" s="270" t="str">
        <f>_xlfn.IFNA(VLOOKUP(CONCATENATE(AX$4,$C101),'INSER DATA'!$A:$F,7,0),"")</f>
        <v/>
      </c>
      <c r="AY101" s="270" t="str">
        <f>_xlfn.IFNA(VLOOKUP(CONCATENATE(AY$4,$C101),'INSER DATA'!$A:$F,7,0),"")</f>
        <v/>
      </c>
      <c r="AZ101" s="270" t="str">
        <f>_xlfn.IFNA(VLOOKUP(CONCATENATE(AZ$4,$C101),'INSER DATA'!$A:$F,7,0),"")</f>
        <v/>
      </c>
      <c r="BA101" s="270" t="str">
        <f>_xlfn.IFNA(VLOOKUP(CONCATENATE(BA$4,$C101),'INSER DATA'!$A:$F,7,0),"")</f>
        <v/>
      </c>
      <c r="BB101" s="270" t="str">
        <f>_xlfn.IFNA(VLOOKUP(CONCATENATE(BB$4,$C101),'INSER DATA'!$A:$F,7,0),"")</f>
        <v/>
      </c>
      <c r="BC101" s="270" t="str">
        <f>_xlfn.IFNA(VLOOKUP(CONCATENATE(BC$4,$C101),'INSER DATA'!$A:$F,7,0),"")</f>
        <v/>
      </c>
      <c r="BD101" s="270" t="str">
        <f>_xlfn.IFNA(VLOOKUP(CONCATENATE(BD$4,$C101),'INSER DATA'!$A:$F,7,0),"")</f>
        <v/>
      </c>
      <c r="BE101" s="270" t="str">
        <f>_xlfn.IFNA(VLOOKUP(CONCATENATE(BE$4,$C101),'INSER DATA'!$A:$F,7,0),"")</f>
        <v/>
      </c>
      <c r="BF101" s="270" t="str">
        <f>_xlfn.IFNA(VLOOKUP(CONCATENATE(BF$4,$C101),'INSER DATA'!$A:$F,7,0),"")</f>
        <v/>
      </c>
      <c r="BG101" s="270" t="str">
        <f>_xlfn.IFNA(VLOOKUP(CONCATENATE(BG$4,$C101),'INSER DATA'!$A:$F,7,0),"")</f>
        <v/>
      </c>
      <c r="BH101" s="270" t="str">
        <f>_xlfn.IFNA(VLOOKUP(CONCATENATE(BH$4,$C101),'INSER DATA'!$A:$F,7,0),"")</f>
        <v/>
      </c>
      <c r="BI101" s="270" t="str">
        <f>_xlfn.IFNA(VLOOKUP(CONCATENATE(BI$4,$C101),'INSER DATA'!$A:$F,7,0),"")</f>
        <v/>
      </c>
      <c r="BJ101" s="270" t="str">
        <f>_xlfn.IFNA(VLOOKUP(CONCATENATE(BJ$4,$C101),'INSER DATA'!$A:$F,7,0),"")</f>
        <v/>
      </c>
      <c r="BK101" s="270" t="str">
        <f>_xlfn.IFNA(VLOOKUP(CONCATENATE(BK$4,$C101),'INSER DATA'!$A:$F,7,0),"")</f>
        <v/>
      </c>
      <c r="BL101" s="272"/>
      <c r="BM101" s="30"/>
      <c r="BN101" s="30"/>
      <c r="BO101" s="30"/>
      <c r="BP101" s="30"/>
      <c r="BQ101" s="30"/>
      <c r="BR101" s="30"/>
      <c r="BS101" s="30"/>
      <c r="BT101" s="30"/>
      <c r="BU101" s="30"/>
      <c r="BV101" s="30"/>
      <c r="BW101" s="30"/>
      <c r="BX101" s="30"/>
      <c r="BY101" s="30"/>
      <c r="BZ101" s="30"/>
      <c r="CA101" s="30"/>
      <c r="CB101" s="30"/>
      <c r="CC101" s="30"/>
      <c r="CD101" s="30"/>
      <c r="CE101" s="30"/>
      <c r="CF101" s="30"/>
      <c r="CG101" s="30"/>
      <c r="CH101" s="30"/>
      <c r="CI101" s="30"/>
      <c r="CJ101" s="30"/>
      <c r="CK101" s="30"/>
      <c r="CL101" s="30"/>
      <c r="CM101" s="30"/>
      <c r="CN101" s="30"/>
      <c r="CO101" s="30"/>
      <c r="CP101" s="30"/>
      <c r="CQ101" s="30"/>
      <c r="CR101" s="30"/>
      <c r="CS101" s="30"/>
      <c r="CT101" s="30"/>
      <c r="CU101" s="30"/>
      <c r="CV101" s="30"/>
      <c r="CW101" s="30"/>
      <c r="CX101" s="30"/>
      <c r="CY101" s="30"/>
      <c r="CZ101" s="30"/>
      <c r="DA101" s="30"/>
    </row>
    <row r="102" spans="1:105" ht="19.2" thickTop="1" thickBot="1" x14ac:dyDescent="0.4">
      <c r="A102" s="30"/>
      <c r="B102" s="30"/>
      <c r="C102" s="188" t="s">
        <v>691</v>
      </c>
      <c r="D102" s="46" t="s">
        <v>681</v>
      </c>
      <c r="E102" s="35" t="str">
        <f>_xlfn.XLOOKUP(Tabella4[[#This Row],[NOME]],'ROSE SQUADRE'!$N$3:$N$253,'ROSE SQUADRE'!$O$3:$O$253,"")</f>
        <v/>
      </c>
      <c r="F102" s="36" t="s">
        <v>161</v>
      </c>
      <c r="G102" s="43">
        <v>2</v>
      </c>
      <c r="H102" s="43">
        <v>2</v>
      </c>
      <c r="I102" s="44">
        <f t="shared" si="7"/>
        <v>0</v>
      </c>
      <c r="J102" s="37">
        <f t="shared" si="8"/>
        <v>0</v>
      </c>
      <c r="K102" s="38">
        <f t="shared" si="9"/>
        <v>0</v>
      </c>
      <c r="L102" s="38">
        <f t="shared" si="10"/>
        <v>0</v>
      </c>
      <c r="M102" s="39">
        <f t="shared" si="11"/>
        <v>0</v>
      </c>
      <c r="N102" s="45">
        <f t="shared" ca="1" si="12"/>
        <v>0</v>
      </c>
      <c r="O102" s="40">
        <f>SUMIF(Tabella1[Nome],Tabella4[[#This Row],[NOME]],Tabella1[Gf])</f>
        <v>0</v>
      </c>
      <c r="P102" s="40">
        <f>-(SUMIF(Tabella1[Nome],Tabella4[[#This Row],[NOME]],Tabella1[Gs]))</f>
        <v>0</v>
      </c>
      <c r="Q102" s="40">
        <f>SUMIF(Tabella1[Nome],Tabella4[[#This Row],[NOME]],Tabella1[Rp])</f>
        <v>0</v>
      </c>
      <c r="R102" s="40">
        <f>SUMIF(Tabella1[Nome],Tabella4[[#This Row],[NOME]],Tabella1[Rs])</f>
        <v>0</v>
      </c>
      <c r="S102" s="40">
        <f>SUMIF(Tabella1[Nome],Tabella4[[#This Row],[NOME]],Tabella1[Rf])</f>
        <v>0</v>
      </c>
      <c r="T102" s="40">
        <f>SUMIF(Tabella1[Nome],Tabella4[[#This Row],[NOME]],Tabella1[Au])</f>
        <v>0</v>
      </c>
      <c r="U102" s="41">
        <f>SUMIF(Tabella1[Nome],Tabella4[[#This Row],[NOME]],Tabella1[Amm])</f>
        <v>0</v>
      </c>
      <c r="V102" s="42">
        <f>SUMIF(Tabella1[Nome],Tabella4[[#This Row],[NOME]],Tabella1[Esp])</f>
        <v>0</v>
      </c>
      <c r="W102" s="40">
        <f>SUMIF(Tabella1[Nome],Tabella4[[#This Row],[NOME]],Tabella1[Ass])</f>
        <v>0</v>
      </c>
      <c r="X102" s="40">
        <f>SUMIF(Tabella1[Nome],Tabella4[[#This Row],[NOME]],Tabella1[Gdv])</f>
        <v>0</v>
      </c>
      <c r="Y102" s="40">
        <f>SUMIF(Tabella1[Nome],Tabella4[[#This Row],[NOME]],Tabella1[cl sh])</f>
        <v>0</v>
      </c>
      <c r="Z102" s="270" t="str">
        <f>_xlfn.IFNA(_xlfn.XLOOKUP(CONCATENATE(Z$4,$C102),Tabella1[CONC X VOTI IN TAB GIOC],Tabella1[Voto],""),"")</f>
        <v/>
      </c>
      <c r="AA102" s="270" t="str">
        <f>_xlfn.IFNA(_xlfn.XLOOKUP(CONCATENATE(AA$4,$C102),Tabella1[CONC X VOTI IN TAB GIOC],Tabella1[Voto],""),"")</f>
        <v/>
      </c>
      <c r="AB102" s="270" t="str">
        <f>_xlfn.IFNA(_xlfn.XLOOKUP(CONCATENATE(AB$4,$C102),Tabella1[CONC X VOTI IN TAB GIOC],Tabella1[Voto]),"")</f>
        <v/>
      </c>
      <c r="AC102" s="270" t="str" cm="1">
        <f t="array" ref="AC102">_xlfn.IFNA(_xlfn.XLOOKUP(CONCATENATE(AC$4,$C102),INDEX(Tabella1[],0,MATCH("CONC X VOTI IN TAB GIOC",Tabella1[#Headers],0)),INDEX(Tabella1[],0,MATCH("Voto",Tabella1[#Headers],0))),"")</f>
        <v/>
      </c>
      <c r="AD102" s="270" t="str">
        <f>_xlfn.IFNA(_xlfn.XLOOKUP(CONCATENATE(AD$4,$C102),Tabella1[CONC X VOTI IN TAB GIOC],Tabella1[Voto]),"")</f>
        <v/>
      </c>
      <c r="AE102" s="270" t="str">
        <f>_xlfn.IFNA(VLOOKUP(CONCATENATE(AE$4,$C102),'INSER DATA'!$A:$F,6,0),"")</f>
        <v/>
      </c>
      <c r="AF102" s="270" t="str">
        <f>_xlfn.IFNA(VLOOKUP(CONCATENATE(AF$4,$C102),'INSER DATA'!$A:$F,6,0),"")</f>
        <v/>
      </c>
      <c r="AG102" s="270" t="str">
        <f>_xlfn.IFNA(VLOOKUP(CONCATENATE(AG$4,$C102),'INSER DATA'!$A:$F,6,0),"")</f>
        <v/>
      </c>
      <c r="AH102" s="270" t="str">
        <f>_xlfn.IFNA(VLOOKUP(CONCATENATE(AH$4,$C102),'INSER DATA'!$A:$F,7,0),"")</f>
        <v/>
      </c>
      <c r="AI102" s="270" t="str">
        <f>_xlfn.IFNA(VLOOKUP(CONCATENATE(AI$4,$C102),'INSER DATA'!$A:$F,7,0),"")</f>
        <v/>
      </c>
      <c r="AJ102" s="270" t="str">
        <f>_xlfn.IFNA(VLOOKUP(CONCATENATE(AJ$4,$C102),'INSER DATA'!$A:$F,7,0),"")</f>
        <v/>
      </c>
      <c r="AK102" s="270" t="str">
        <f>_xlfn.IFNA(VLOOKUP(CONCATENATE(AK$4,$C102),'INSER DATA'!$A:$F,7,0),"")</f>
        <v/>
      </c>
      <c r="AL102" s="270" t="str">
        <f>_xlfn.IFNA(VLOOKUP(CONCATENATE(AL$4,$C102),'INSER DATA'!$A:$F,7,0),"")</f>
        <v/>
      </c>
      <c r="AM102" s="270" t="str">
        <f>_xlfn.IFNA(VLOOKUP(CONCATENATE(AM$4,$C102),'INSER DATA'!$A:$F,7,0),"")</f>
        <v/>
      </c>
      <c r="AN102" s="270" t="str">
        <f>_xlfn.IFNA(VLOOKUP(CONCATENATE(AN$4,$C102),'INSER DATA'!$A:$F,7,0),"")</f>
        <v/>
      </c>
      <c r="AO102" s="270" t="str">
        <f>_xlfn.IFNA(VLOOKUP(CONCATENATE(AO$4,$C102),'INSER DATA'!$A:$F,7,0),"")</f>
        <v/>
      </c>
      <c r="AP102" s="270" t="str">
        <f>_xlfn.IFNA(VLOOKUP(CONCATENATE(AP$4,$C102),'INSER DATA'!$A:$F,7,0),"")</f>
        <v/>
      </c>
      <c r="AQ102" s="270" t="str">
        <f>_xlfn.IFNA(VLOOKUP(CONCATENATE(AQ$4,$C102),'INSER DATA'!$A:$F,7,0),"")</f>
        <v/>
      </c>
      <c r="AR102" s="270" t="str">
        <f>_xlfn.IFNA(VLOOKUP(CONCATENATE(AR$4,$C102),'INSER DATA'!$A:$F,7,0),"")</f>
        <v/>
      </c>
      <c r="AS102" s="270" t="str">
        <f>_xlfn.IFNA(VLOOKUP(CONCATENATE(AS$4,$C102),'INSER DATA'!$A:$F,7,0),"")</f>
        <v/>
      </c>
      <c r="AT102" s="270" t="str">
        <f>_xlfn.IFNA(VLOOKUP(CONCATENATE(AT$4,$C102),'INSER DATA'!$A:$F,7,0),"")</f>
        <v/>
      </c>
      <c r="AU102" s="270" t="str">
        <f>_xlfn.IFNA(VLOOKUP(CONCATENATE(AU$4,$C102),'INSER DATA'!$A:$F,7,0),"")</f>
        <v/>
      </c>
      <c r="AV102" s="270" t="str">
        <f>_xlfn.IFNA(VLOOKUP(CONCATENATE(AV$4,$C102),'INSER DATA'!$A:$F,7,0),"")</f>
        <v/>
      </c>
      <c r="AW102" s="270" t="str">
        <f>_xlfn.IFNA(VLOOKUP(CONCATENATE(AW$4,$C102),'INSER DATA'!$A:$F,7,0),"")</f>
        <v/>
      </c>
      <c r="AX102" s="270" t="str">
        <f>_xlfn.IFNA(VLOOKUP(CONCATENATE(AX$4,$C102),'INSER DATA'!$A:$F,7,0),"")</f>
        <v/>
      </c>
      <c r="AY102" s="270" t="str">
        <f>_xlfn.IFNA(VLOOKUP(CONCATENATE(AY$4,$C102),'INSER DATA'!$A:$F,7,0),"")</f>
        <v/>
      </c>
      <c r="AZ102" s="270" t="str">
        <f>_xlfn.IFNA(VLOOKUP(CONCATENATE(AZ$4,$C102),'INSER DATA'!$A:$F,7,0),"")</f>
        <v/>
      </c>
      <c r="BA102" s="270" t="str">
        <f>_xlfn.IFNA(VLOOKUP(CONCATENATE(BA$4,$C102),'INSER DATA'!$A:$F,7,0),"")</f>
        <v/>
      </c>
      <c r="BB102" s="270" t="str">
        <f>_xlfn.IFNA(VLOOKUP(CONCATENATE(BB$4,$C102),'INSER DATA'!$A:$F,7,0),"")</f>
        <v/>
      </c>
      <c r="BC102" s="270" t="str">
        <f>_xlfn.IFNA(VLOOKUP(CONCATENATE(BC$4,$C102),'INSER DATA'!$A:$F,7,0),"")</f>
        <v/>
      </c>
      <c r="BD102" s="270" t="str">
        <f>_xlfn.IFNA(VLOOKUP(CONCATENATE(BD$4,$C102),'INSER DATA'!$A:$F,7,0),"")</f>
        <v/>
      </c>
      <c r="BE102" s="270" t="str">
        <f>_xlfn.IFNA(VLOOKUP(CONCATENATE(BE$4,$C102),'INSER DATA'!$A:$F,7,0),"")</f>
        <v/>
      </c>
      <c r="BF102" s="270" t="str">
        <f>_xlfn.IFNA(VLOOKUP(CONCATENATE(BF$4,$C102),'INSER DATA'!$A:$F,7,0),"")</f>
        <v/>
      </c>
      <c r="BG102" s="270" t="str">
        <f>_xlfn.IFNA(VLOOKUP(CONCATENATE(BG$4,$C102),'INSER DATA'!$A:$F,7,0),"")</f>
        <v/>
      </c>
      <c r="BH102" s="270" t="str">
        <f>_xlfn.IFNA(VLOOKUP(CONCATENATE(BH$4,$C102),'INSER DATA'!$A:$F,7,0),"")</f>
        <v/>
      </c>
      <c r="BI102" s="270" t="str">
        <f>_xlfn.IFNA(VLOOKUP(CONCATENATE(BI$4,$C102),'INSER DATA'!$A:$F,7,0),"")</f>
        <v/>
      </c>
      <c r="BJ102" s="270" t="str">
        <f>_xlfn.IFNA(VLOOKUP(CONCATENATE(BJ$4,$C102),'INSER DATA'!$A:$F,7,0),"")</f>
        <v/>
      </c>
      <c r="BK102" s="270" t="str">
        <f>_xlfn.IFNA(VLOOKUP(CONCATENATE(BK$4,$C102),'INSER DATA'!$A:$F,7,0),"")</f>
        <v/>
      </c>
      <c r="BL102" s="272"/>
      <c r="BM102" s="30"/>
      <c r="BN102" s="30"/>
      <c r="BO102" s="30"/>
      <c r="BP102" s="30"/>
      <c r="BQ102" s="30"/>
      <c r="BR102" s="30"/>
      <c r="BS102" s="30"/>
      <c r="BT102" s="30"/>
      <c r="BU102" s="30"/>
      <c r="BV102" s="30"/>
      <c r="BW102" s="30"/>
      <c r="BX102" s="30"/>
      <c r="BY102" s="30"/>
      <c r="BZ102" s="30"/>
      <c r="CA102" s="30"/>
      <c r="CB102" s="30"/>
      <c r="CC102" s="30"/>
      <c r="CD102" s="30"/>
      <c r="CE102" s="30"/>
      <c r="CF102" s="30"/>
      <c r="CG102" s="30"/>
      <c r="CH102" s="30"/>
      <c r="CI102" s="30"/>
      <c r="CJ102" s="30"/>
      <c r="CK102" s="30"/>
      <c r="CL102" s="30"/>
      <c r="CM102" s="30"/>
      <c r="CN102" s="30"/>
      <c r="CO102" s="30"/>
      <c r="CP102" s="30"/>
      <c r="CQ102" s="30"/>
      <c r="CR102" s="30"/>
      <c r="CS102" s="30"/>
      <c r="CT102" s="30"/>
      <c r="CU102" s="30"/>
      <c r="CV102" s="30"/>
      <c r="CW102" s="30"/>
      <c r="CX102" s="30"/>
      <c r="CY102" s="30"/>
      <c r="CZ102" s="30"/>
      <c r="DA102" s="30"/>
    </row>
    <row r="103" spans="1:105" ht="19.2" thickTop="1" thickBot="1" x14ac:dyDescent="0.4">
      <c r="A103" s="30"/>
      <c r="B103" s="30"/>
      <c r="C103" s="188" t="s">
        <v>692</v>
      </c>
      <c r="D103" s="46" t="s">
        <v>681</v>
      </c>
      <c r="E103" s="35" t="str">
        <f>_xlfn.XLOOKUP(Tabella4[[#This Row],[NOME]],'ROSE SQUADRE'!$N$3:$N$253,'ROSE SQUADRE'!$O$3:$O$253,"")</f>
        <v/>
      </c>
      <c r="F103" s="36" t="s">
        <v>162</v>
      </c>
      <c r="G103" s="43"/>
      <c r="H103" s="43"/>
      <c r="I103" s="44">
        <f t="shared" si="7"/>
        <v>0</v>
      </c>
      <c r="J103" s="37">
        <f t="shared" si="8"/>
        <v>0</v>
      </c>
      <c r="K103" s="38">
        <f t="shared" si="9"/>
        <v>0</v>
      </c>
      <c r="L103" s="38">
        <f t="shared" si="10"/>
        <v>0</v>
      </c>
      <c r="M103" s="39">
        <f t="shared" si="11"/>
        <v>0</v>
      </c>
      <c r="N103" s="45">
        <f t="shared" ca="1" si="12"/>
        <v>0</v>
      </c>
      <c r="O103" s="40">
        <f>SUMIF(Tabella1[Nome],Tabella4[[#This Row],[NOME]],Tabella1[Gf])</f>
        <v>0</v>
      </c>
      <c r="P103" s="40">
        <f>-(SUMIF(Tabella1[Nome],Tabella4[[#This Row],[NOME]],Tabella1[Gs]))</f>
        <v>0</v>
      </c>
      <c r="Q103" s="40">
        <f>SUMIF(Tabella1[Nome],Tabella4[[#This Row],[NOME]],Tabella1[Rp])</f>
        <v>0</v>
      </c>
      <c r="R103" s="40">
        <f>SUMIF(Tabella1[Nome],Tabella4[[#This Row],[NOME]],Tabella1[Rs])</f>
        <v>0</v>
      </c>
      <c r="S103" s="40">
        <f>SUMIF(Tabella1[Nome],Tabella4[[#This Row],[NOME]],Tabella1[Rf])</f>
        <v>0</v>
      </c>
      <c r="T103" s="40">
        <f>SUMIF(Tabella1[Nome],Tabella4[[#This Row],[NOME]],Tabella1[Au])</f>
        <v>0</v>
      </c>
      <c r="U103" s="41">
        <f>SUMIF(Tabella1[Nome],Tabella4[[#This Row],[NOME]],Tabella1[Amm])</f>
        <v>0</v>
      </c>
      <c r="V103" s="42">
        <f>SUMIF(Tabella1[Nome],Tabella4[[#This Row],[NOME]],Tabella1[Esp])</f>
        <v>0</v>
      </c>
      <c r="W103" s="40">
        <f>SUMIF(Tabella1[Nome],Tabella4[[#This Row],[NOME]],Tabella1[Ass])</f>
        <v>0</v>
      </c>
      <c r="X103" s="40">
        <f>SUMIF(Tabella1[Nome],Tabella4[[#This Row],[NOME]],Tabella1[Gdv])</f>
        <v>0</v>
      </c>
      <c r="Y103" s="40">
        <f>SUMIF(Tabella1[Nome],Tabella4[[#This Row],[NOME]],Tabella1[cl sh])</f>
        <v>0</v>
      </c>
      <c r="Z103" s="270" t="str">
        <f>_xlfn.IFNA(_xlfn.XLOOKUP(CONCATENATE(Z$4,$C103),Tabella1[CONC X VOTI IN TAB GIOC],Tabella1[Voto],""),"")</f>
        <v/>
      </c>
      <c r="AA103" s="270" t="str">
        <f>_xlfn.IFNA(_xlfn.XLOOKUP(CONCATENATE(AA$4,$C103),Tabella1[CONC X VOTI IN TAB GIOC],Tabella1[Voto],""),"")</f>
        <v/>
      </c>
      <c r="AB103" s="270" t="str">
        <f>_xlfn.IFNA(_xlfn.XLOOKUP(CONCATENATE(AB$4,$C103),Tabella1[CONC X VOTI IN TAB GIOC],Tabella1[Voto]),"")</f>
        <v/>
      </c>
      <c r="AC103" s="270" t="str" cm="1">
        <f t="array" ref="AC103">_xlfn.IFNA(_xlfn.XLOOKUP(CONCATENATE(AC$4,$C103),INDEX(Tabella1[],0,MATCH("CONC X VOTI IN TAB GIOC",Tabella1[#Headers],0)),INDEX(Tabella1[],0,MATCH("Voto",Tabella1[#Headers],0))),"")</f>
        <v/>
      </c>
      <c r="AD103" s="270" t="str">
        <f>_xlfn.IFNA(_xlfn.XLOOKUP(CONCATENATE(AD$4,$C103),Tabella1[CONC X VOTI IN TAB GIOC],Tabella1[Voto]),"")</f>
        <v/>
      </c>
      <c r="AE103" s="270" t="str">
        <f>_xlfn.IFNA(VLOOKUP(CONCATENATE(AE$4,$C103),'INSER DATA'!$A:$F,6,0),"")</f>
        <v/>
      </c>
      <c r="AF103" s="270" t="str">
        <f>_xlfn.IFNA(VLOOKUP(CONCATENATE(AF$4,$C103),'INSER DATA'!$A:$F,6,0),"")</f>
        <v/>
      </c>
      <c r="AG103" s="270" t="str">
        <f>_xlfn.IFNA(VLOOKUP(CONCATENATE(AG$4,$C103),'INSER DATA'!$A:$F,6,0),"")</f>
        <v/>
      </c>
      <c r="AH103" s="270" t="str">
        <f>_xlfn.IFNA(VLOOKUP(CONCATENATE(AH$4,$C103),'INSER DATA'!$A:$F,7,0),"")</f>
        <v/>
      </c>
      <c r="AI103" s="270" t="str">
        <f>_xlfn.IFNA(VLOOKUP(CONCATENATE(AI$4,$C103),'INSER DATA'!$A:$F,7,0),"")</f>
        <v/>
      </c>
      <c r="AJ103" s="270" t="str">
        <f>_xlfn.IFNA(VLOOKUP(CONCATENATE(AJ$4,$C103),'INSER DATA'!$A:$F,7,0),"")</f>
        <v/>
      </c>
      <c r="AK103" s="270" t="str">
        <f>_xlfn.IFNA(VLOOKUP(CONCATENATE(AK$4,$C103),'INSER DATA'!$A:$F,7,0),"")</f>
        <v/>
      </c>
      <c r="AL103" s="270" t="str">
        <f>_xlfn.IFNA(VLOOKUP(CONCATENATE(AL$4,$C103),'INSER DATA'!$A:$F,7,0),"")</f>
        <v/>
      </c>
      <c r="AM103" s="270" t="str">
        <f>_xlfn.IFNA(VLOOKUP(CONCATENATE(AM$4,$C103),'INSER DATA'!$A:$F,7,0),"")</f>
        <v/>
      </c>
      <c r="AN103" s="270" t="str">
        <f>_xlfn.IFNA(VLOOKUP(CONCATENATE(AN$4,$C103),'INSER DATA'!$A:$F,7,0),"")</f>
        <v/>
      </c>
      <c r="AO103" s="270" t="str">
        <f>_xlfn.IFNA(VLOOKUP(CONCATENATE(AO$4,$C103),'INSER DATA'!$A:$F,7,0),"")</f>
        <v/>
      </c>
      <c r="AP103" s="270" t="str">
        <f>_xlfn.IFNA(VLOOKUP(CONCATENATE(AP$4,$C103),'INSER DATA'!$A:$F,7,0),"")</f>
        <v/>
      </c>
      <c r="AQ103" s="270" t="str">
        <f>_xlfn.IFNA(VLOOKUP(CONCATENATE(AQ$4,$C103),'INSER DATA'!$A:$F,7,0),"")</f>
        <v/>
      </c>
      <c r="AR103" s="270" t="str">
        <f>_xlfn.IFNA(VLOOKUP(CONCATENATE(AR$4,$C103),'INSER DATA'!$A:$F,7,0),"")</f>
        <v/>
      </c>
      <c r="AS103" s="270" t="str">
        <f>_xlfn.IFNA(VLOOKUP(CONCATENATE(AS$4,$C103),'INSER DATA'!$A:$F,7,0),"")</f>
        <v/>
      </c>
      <c r="AT103" s="270" t="str">
        <f>_xlfn.IFNA(VLOOKUP(CONCATENATE(AT$4,$C103),'INSER DATA'!$A:$F,7,0),"")</f>
        <v/>
      </c>
      <c r="AU103" s="270" t="str">
        <f>_xlfn.IFNA(VLOOKUP(CONCATENATE(AU$4,$C103),'INSER DATA'!$A:$F,7,0),"")</f>
        <v/>
      </c>
      <c r="AV103" s="270" t="str">
        <f>_xlfn.IFNA(VLOOKUP(CONCATENATE(AV$4,$C103),'INSER DATA'!$A:$F,7,0),"")</f>
        <v/>
      </c>
      <c r="AW103" s="270" t="str">
        <f>_xlfn.IFNA(VLOOKUP(CONCATENATE(AW$4,$C103),'INSER DATA'!$A:$F,7,0),"")</f>
        <v/>
      </c>
      <c r="AX103" s="270" t="str">
        <f>_xlfn.IFNA(VLOOKUP(CONCATENATE(AX$4,$C103),'INSER DATA'!$A:$F,7,0),"")</f>
        <v/>
      </c>
      <c r="AY103" s="270" t="str">
        <f>_xlfn.IFNA(VLOOKUP(CONCATENATE(AY$4,$C103),'INSER DATA'!$A:$F,7,0),"")</f>
        <v/>
      </c>
      <c r="AZ103" s="270" t="str">
        <f>_xlfn.IFNA(VLOOKUP(CONCATENATE(AZ$4,$C103),'INSER DATA'!$A:$F,7,0),"")</f>
        <v/>
      </c>
      <c r="BA103" s="270" t="str">
        <f>_xlfn.IFNA(VLOOKUP(CONCATENATE(BA$4,$C103),'INSER DATA'!$A:$F,7,0),"")</f>
        <v/>
      </c>
      <c r="BB103" s="270" t="str">
        <f>_xlfn.IFNA(VLOOKUP(CONCATENATE(BB$4,$C103),'INSER DATA'!$A:$F,7,0),"")</f>
        <v/>
      </c>
      <c r="BC103" s="270" t="str">
        <f>_xlfn.IFNA(VLOOKUP(CONCATENATE(BC$4,$C103),'INSER DATA'!$A:$F,7,0),"")</f>
        <v/>
      </c>
      <c r="BD103" s="270" t="str">
        <f>_xlfn.IFNA(VLOOKUP(CONCATENATE(BD$4,$C103),'INSER DATA'!$A:$F,7,0),"")</f>
        <v/>
      </c>
      <c r="BE103" s="270" t="str">
        <f>_xlfn.IFNA(VLOOKUP(CONCATENATE(BE$4,$C103),'INSER DATA'!$A:$F,7,0),"")</f>
        <v/>
      </c>
      <c r="BF103" s="270" t="str">
        <f>_xlfn.IFNA(VLOOKUP(CONCATENATE(BF$4,$C103),'INSER DATA'!$A:$F,7,0),"")</f>
        <v/>
      </c>
      <c r="BG103" s="270" t="str">
        <f>_xlfn.IFNA(VLOOKUP(CONCATENATE(BG$4,$C103),'INSER DATA'!$A:$F,7,0),"")</f>
        <v/>
      </c>
      <c r="BH103" s="270" t="str">
        <f>_xlfn.IFNA(VLOOKUP(CONCATENATE(BH$4,$C103),'INSER DATA'!$A:$F,7,0),"")</f>
        <v/>
      </c>
      <c r="BI103" s="270" t="str">
        <f>_xlfn.IFNA(VLOOKUP(CONCATENATE(BI$4,$C103),'INSER DATA'!$A:$F,7,0),"")</f>
        <v/>
      </c>
      <c r="BJ103" s="270" t="str">
        <f>_xlfn.IFNA(VLOOKUP(CONCATENATE(BJ$4,$C103),'INSER DATA'!$A:$F,7,0),"")</f>
        <v/>
      </c>
      <c r="BK103" s="270" t="str">
        <f>_xlfn.IFNA(VLOOKUP(CONCATENATE(BK$4,$C103),'INSER DATA'!$A:$F,7,0),"")</f>
        <v/>
      </c>
      <c r="BL103" s="272"/>
      <c r="BM103" s="30"/>
      <c r="BN103" s="30"/>
      <c r="BO103" s="30"/>
      <c r="BP103" s="30"/>
      <c r="BQ103" s="30"/>
      <c r="BR103" s="30"/>
      <c r="BS103" s="30"/>
      <c r="BT103" s="30"/>
      <c r="BU103" s="30"/>
      <c r="BV103" s="30"/>
      <c r="BW103" s="30"/>
      <c r="BX103" s="30"/>
      <c r="BY103" s="30"/>
      <c r="BZ103" s="30"/>
      <c r="CA103" s="30"/>
      <c r="CB103" s="30"/>
      <c r="CC103" s="30"/>
      <c r="CD103" s="30"/>
      <c r="CE103" s="30"/>
      <c r="CF103" s="30"/>
      <c r="CG103" s="30"/>
      <c r="CH103" s="30"/>
      <c r="CI103" s="30"/>
      <c r="CJ103" s="30"/>
      <c r="CK103" s="30"/>
      <c r="CL103" s="30"/>
      <c r="CM103" s="30"/>
      <c r="CN103" s="30"/>
      <c r="CO103" s="30"/>
      <c r="CP103" s="30"/>
      <c r="CQ103" s="30"/>
      <c r="CR103" s="30"/>
      <c r="CS103" s="30"/>
      <c r="CT103" s="30"/>
      <c r="CU103" s="30"/>
      <c r="CV103" s="30"/>
      <c r="CW103" s="30"/>
      <c r="CX103" s="30"/>
      <c r="CY103" s="30"/>
      <c r="CZ103" s="30"/>
      <c r="DA103" s="30"/>
    </row>
    <row r="104" spans="1:105" ht="19.2" thickTop="1" thickBot="1" x14ac:dyDescent="0.4">
      <c r="A104" s="30"/>
      <c r="B104" s="30"/>
      <c r="C104" s="188" t="s">
        <v>696</v>
      </c>
      <c r="D104" s="46" t="s">
        <v>681</v>
      </c>
      <c r="E104" s="35" t="str">
        <f>_xlfn.XLOOKUP(Tabella4[[#This Row],[NOME]],'ROSE SQUADRE'!$N$3:$N$253,'ROSE SQUADRE'!$O$3:$O$253,"")</f>
        <v/>
      </c>
      <c r="F104" s="36" t="s">
        <v>162</v>
      </c>
      <c r="G104" s="43">
        <v>1</v>
      </c>
      <c r="H104" s="43">
        <v>1</v>
      </c>
      <c r="I104" s="44">
        <f t="shared" si="7"/>
        <v>0</v>
      </c>
      <c r="J104" s="37">
        <f t="shared" si="8"/>
        <v>0</v>
      </c>
      <c r="K104" s="178">
        <f t="shared" si="9"/>
        <v>0</v>
      </c>
      <c r="L104" s="178">
        <f t="shared" si="10"/>
        <v>0</v>
      </c>
      <c r="M104" s="179">
        <f t="shared" si="11"/>
        <v>0</v>
      </c>
      <c r="N104" s="45">
        <f t="shared" ca="1" si="12"/>
        <v>0</v>
      </c>
      <c r="O104" s="40">
        <f>SUMIF(Tabella1[Nome],Tabella4[[#This Row],[NOME]],Tabella1[Gf])</f>
        <v>0</v>
      </c>
      <c r="P104" s="40">
        <f>-(SUMIF(Tabella1[Nome],Tabella4[[#This Row],[NOME]],Tabella1[Gs]))</f>
        <v>0</v>
      </c>
      <c r="Q104" s="40">
        <f>SUMIF(Tabella1[Nome],Tabella4[[#This Row],[NOME]],Tabella1[Rp])</f>
        <v>0</v>
      </c>
      <c r="R104" s="40">
        <f>SUMIF(Tabella1[Nome],Tabella4[[#This Row],[NOME]],Tabella1[Rs])</f>
        <v>0</v>
      </c>
      <c r="S104" s="40">
        <f>SUMIF(Tabella1[Nome],Tabella4[[#This Row],[NOME]],Tabella1[Rf])</f>
        <v>0</v>
      </c>
      <c r="T104" s="40">
        <f>SUMIF(Tabella1[Nome],Tabella4[[#This Row],[NOME]],Tabella1[Au])</f>
        <v>0</v>
      </c>
      <c r="U104" s="41">
        <f>SUMIF(Tabella1[Nome],Tabella4[[#This Row],[NOME]],Tabella1[Amm])</f>
        <v>0</v>
      </c>
      <c r="V104" s="42">
        <f>SUMIF(Tabella1[Nome],Tabella4[[#This Row],[NOME]],Tabella1[Esp])</f>
        <v>0</v>
      </c>
      <c r="W104" s="40">
        <f>SUMIF(Tabella1[Nome],Tabella4[[#This Row],[NOME]],Tabella1[Ass])</f>
        <v>0</v>
      </c>
      <c r="X104" s="40">
        <f>SUMIF(Tabella1[Nome],Tabella4[[#This Row],[NOME]],Tabella1[Gdv])</f>
        <v>0</v>
      </c>
      <c r="Y104" s="40">
        <f>SUMIF(Tabella1[Nome],Tabella4[[#This Row],[NOME]],Tabella1[cl sh])</f>
        <v>0</v>
      </c>
      <c r="Z104" s="270" t="str">
        <f>_xlfn.IFNA(_xlfn.XLOOKUP(CONCATENATE(Z$4,$C104),Tabella1[CONC X VOTI IN TAB GIOC],Tabella1[Voto],""),"")</f>
        <v/>
      </c>
      <c r="AA104" s="270" t="str">
        <f>_xlfn.IFNA(_xlfn.XLOOKUP(CONCATENATE(AA$4,$C104),Tabella1[CONC X VOTI IN TAB GIOC],Tabella1[Voto],""),"")</f>
        <v/>
      </c>
      <c r="AB104" s="270" t="str">
        <f>_xlfn.IFNA(_xlfn.XLOOKUP(CONCATENATE(AB$4,$C104),Tabella1[CONC X VOTI IN TAB GIOC],Tabella1[Voto]),"")</f>
        <v/>
      </c>
      <c r="AC104" s="270" t="str" cm="1">
        <f t="array" ref="AC104">_xlfn.IFNA(_xlfn.XLOOKUP(CONCATENATE(AC$4,$C104),INDEX(Tabella1[],0,MATCH("CONC X VOTI IN TAB GIOC",Tabella1[#Headers],0)),INDEX(Tabella1[],0,MATCH("Voto",Tabella1[#Headers],0))),"")</f>
        <v/>
      </c>
      <c r="AD104" s="270" t="str">
        <f>_xlfn.IFNA(_xlfn.XLOOKUP(CONCATENATE(AD$4,$C104),Tabella1[CONC X VOTI IN TAB GIOC],Tabella1[Voto]),"")</f>
        <v/>
      </c>
      <c r="AE104" s="270" t="str">
        <f>_xlfn.IFNA(VLOOKUP(CONCATENATE(AE$4,$C104),'INSER DATA'!$A:$F,6,0),"")</f>
        <v/>
      </c>
      <c r="AF104" s="270" t="str">
        <f>_xlfn.IFNA(VLOOKUP(CONCATENATE(AF$4,$C104),'INSER DATA'!$A:$F,6,0),"")</f>
        <v/>
      </c>
      <c r="AG104" s="270" t="str">
        <f>_xlfn.IFNA(VLOOKUP(CONCATENATE(AG$4,$C104),'INSER DATA'!$A:$F,6,0),"")</f>
        <v/>
      </c>
      <c r="AH104" s="270" t="str">
        <f>_xlfn.IFNA(VLOOKUP(CONCATENATE(AH$4,$C104),'INSER DATA'!$A:$F,7,0),"")</f>
        <v/>
      </c>
      <c r="AI104" s="270" t="str">
        <f>_xlfn.IFNA(VLOOKUP(CONCATENATE(AI$4,$C104),'INSER DATA'!$A:$F,7,0),"")</f>
        <v/>
      </c>
      <c r="AJ104" s="270" t="str">
        <f>_xlfn.IFNA(VLOOKUP(CONCATENATE(AJ$4,$C104),'INSER DATA'!$A:$F,7,0),"")</f>
        <v/>
      </c>
      <c r="AK104" s="270" t="str">
        <f>_xlfn.IFNA(VLOOKUP(CONCATENATE(AK$4,$C104),'INSER DATA'!$A:$F,7,0),"")</f>
        <v/>
      </c>
      <c r="AL104" s="270" t="str">
        <f>_xlfn.IFNA(VLOOKUP(CONCATENATE(AL$4,$C104),'INSER DATA'!$A:$F,7,0),"")</f>
        <v/>
      </c>
      <c r="AM104" s="270" t="str">
        <f>_xlfn.IFNA(VLOOKUP(CONCATENATE(AM$4,$C104),'INSER DATA'!$A:$F,7,0),"")</f>
        <v/>
      </c>
      <c r="AN104" s="270" t="str">
        <f>_xlfn.IFNA(VLOOKUP(CONCATENATE(AN$4,$C104),'INSER DATA'!$A:$F,7,0),"")</f>
        <v/>
      </c>
      <c r="AO104" s="270" t="str">
        <f>_xlfn.IFNA(VLOOKUP(CONCATENATE(AO$4,$C104),'INSER DATA'!$A:$F,7,0),"")</f>
        <v/>
      </c>
      <c r="AP104" s="270" t="str">
        <f>_xlfn.IFNA(VLOOKUP(CONCATENATE(AP$4,$C104),'INSER DATA'!$A:$F,7,0),"")</f>
        <v/>
      </c>
      <c r="AQ104" s="270" t="str">
        <f>_xlfn.IFNA(VLOOKUP(CONCATENATE(AQ$4,$C104),'INSER DATA'!$A:$F,7,0),"")</f>
        <v/>
      </c>
      <c r="AR104" s="270" t="str">
        <f>_xlfn.IFNA(VLOOKUP(CONCATENATE(AR$4,$C104),'INSER DATA'!$A:$F,7,0),"")</f>
        <v/>
      </c>
      <c r="AS104" s="270" t="str">
        <f>_xlfn.IFNA(VLOOKUP(CONCATENATE(AS$4,$C104),'INSER DATA'!$A:$F,7,0),"")</f>
        <v/>
      </c>
      <c r="AT104" s="270" t="str">
        <f>_xlfn.IFNA(VLOOKUP(CONCATENATE(AT$4,$C104),'INSER DATA'!$A:$F,7,0),"")</f>
        <v/>
      </c>
      <c r="AU104" s="270" t="str">
        <f>_xlfn.IFNA(VLOOKUP(CONCATENATE(AU$4,$C104),'INSER DATA'!$A:$F,7,0),"")</f>
        <v/>
      </c>
      <c r="AV104" s="270" t="str">
        <f>_xlfn.IFNA(VLOOKUP(CONCATENATE(AV$4,$C104),'INSER DATA'!$A:$F,7,0),"")</f>
        <v/>
      </c>
      <c r="AW104" s="270" t="str">
        <f>_xlfn.IFNA(VLOOKUP(CONCATENATE(AW$4,$C104),'INSER DATA'!$A:$F,7,0),"")</f>
        <v/>
      </c>
      <c r="AX104" s="270" t="str">
        <f>_xlfn.IFNA(VLOOKUP(CONCATENATE(AX$4,$C104),'INSER DATA'!$A:$F,7,0),"")</f>
        <v/>
      </c>
      <c r="AY104" s="270" t="str">
        <f>_xlfn.IFNA(VLOOKUP(CONCATENATE(AY$4,$C104),'INSER DATA'!$A:$F,7,0),"")</f>
        <v/>
      </c>
      <c r="AZ104" s="270" t="str">
        <f>_xlfn.IFNA(VLOOKUP(CONCATENATE(AZ$4,$C104),'INSER DATA'!$A:$F,7,0),"")</f>
        <v/>
      </c>
      <c r="BA104" s="270" t="str">
        <f>_xlfn.IFNA(VLOOKUP(CONCATENATE(BA$4,$C104),'INSER DATA'!$A:$F,7,0),"")</f>
        <v/>
      </c>
      <c r="BB104" s="270" t="str">
        <f>_xlfn.IFNA(VLOOKUP(CONCATENATE(BB$4,$C104),'INSER DATA'!$A:$F,7,0),"")</f>
        <v/>
      </c>
      <c r="BC104" s="270" t="str">
        <f>_xlfn.IFNA(VLOOKUP(CONCATENATE(BC$4,$C104),'INSER DATA'!$A:$F,7,0),"")</f>
        <v/>
      </c>
      <c r="BD104" s="270" t="str">
        <f>_xlfn.IFNA(VLOOKUP(CONCATENATE(BD$4,$C104),'INSER DATA'!$A:$F,7,0),"")</f>
        <v/>
      </c>
      <c r="BE104" s="270" t="str">
        <f>_xlfn.IFNA(VLOOKUP(CONCATENATE(BE$4,$C104),'INSER DATA'!$A:$F,7,0),"")</f>
        <v/>
      </c>
      <c r="BF104" s="270" t="str">
        <f>_xlfn.IFNA(VLOOKUP(CONCATENATE(BF$4,$C104),'INSER DATA'!$A:$F,7,0),"")</f>
        <v/>
      </c>
      <c r="BG104" s="270" t="str">
        <f>_xlfn.IFNA(VLOOKUP(CONCATENATE(BG$4,$C104),'INSER DATA'!$A:$F,7,0),"")</f>
        <v/>
      </c>
      <c r="BH104" s="270" t="str">
        <f>_xlfn.IFNA(VLOOKUP(CONCATENATE(BH$4,$C104),'INSER DATA'!$A:$F,7,0),"")</f>
        <v/>
      </c>
      <c r="BI104" s="270" t="str">
        <f>_xlfn.IFNA(VLOOKUP(CONCATENATE(BI$4,$C104),'INSER DATA'!$A:$F,7,0),"")</f>
        <v/>
      </c>
      <c r="BJ104" s="270" t="str">
        <f>_xlfn.IFNA(VLOOKUP(CONCATENATE(BJ$4,$C104),'INSER DATA'!$A:$F,7,0),"")</f>
        <v/>
      </c>
      <c r="BK104" s="270" t="str">
        <f>_xlfn.IFNA(VLOOKUP(CONCATENATE(BK$4,$C104),'INSER DATA'!$A:$F,7,0),"")</f>
        <v/>
      </c>
      <c r="BL104" s="272"/>
      <c r="BM104" s="30"/>
      <c r="BN104" s="30"/>
      <c r="BO104" s="30"/>
      <c r="BP104" s="30"/>
      <c r="BQ104" s="30"/>
      <c r="BR104" s="30"/>
      <c r="BS104" s="30"/>
      <c r="BT104" s="30"/>
      <c r="BU104" s="30"/>
      <c r="BV104" s="30"/>
      <c r="BW104" s="30"/>
      <c r="BX104" s="30"/>
      <c r="BY104" s="30"/>
      <c r="BZ104" s="30"/>
      <c r="CA104" s="30"/>
      <c r="CB104" s="30"/>
      <c r="CC104" s="30"/>
      <c r="CD104" s="30"/>
      <c r="CE104" s="30"/>
      <c r="CF104" s="30"/>
      <c r="CG104" s="30"/>
      <c r="CH104" s="30"/>
      <c r="CI104" s="30"/>
      <c r="CJ104" s="30"/>
      <c r="CK104" s="30"/>
      <c r="CL104" s="30"/>
      <c r="CM104" s="30"/>
      <c r="CN104" s="30"/>
      <c r="CO104" s="30"/>
      <c r="CP104" s="30"/>
      <c r="CQ104" s="30"/>
      <c r="CR104" s="30"/>
      <c r="CS104" s="30"/>
      <c r="CT104" s="30"/>
      <c r="CU104" s="30"/>
      <c r="CV104" s="30"/>
      <c r="CW104" s="30"/>
      <c r="CX104" s="30"/>
      <c r="CY104" s="30"/>
      <c r="CZ104" s="30"/>
      <c r="DA104" s="30"/>
    </row>
    <row r="105" spans="1:105" ht="19.2" thickTop="1" thickBot="1" x14ac:dyDescent="0.4">
      <c r="A105" s="30"/>
      <c r="B105" s="30"/>
      <c r="C105" s="185" t="s">
        <v>700</v>
      </c>
      <c r="D105" s="46" t="s">
        <v>681</v>
      </c>
      <c r="E105" s="35" t="str">
        <f>_xlfn.XLOOKUP(Tabella4[[#This Row],[NOME]],'ROSE SQUADRE'!$N$3:$N$253,'ROSE SQUADRE'!$O$3:$O$253,"")</f>
        <v/>
      </c>
      <c r="F105" s="36" t="s">
        <v>163</v>
      </c>
      <c r="G105" s="43">
        <v>1</v>
      </c>
      <c r="H105" s="43">
        <v>1</v>
      </c>
      <c r="I105" s="44">
        <f t="shared" si="7"/>
        <v>0</v>
      </c>
      <c r="J105" s="37">
        <f t="shared" si="8"/>
        <v>0</v>
      </c>
      <c r="K105" s="178">
        <f t="shared" si="9"/>
        <v>0</v>
      </c>
      <c r="L105" s="178">
        <f t="shared" si="10"/>
        <v>0</v>
      </c>
      <c r="M105" s="179">
        <f t="shared" si="11"/>
        <v>0</v>
      </c>
      <c r="N105" s="45">
        <f t="shared" ca="1" si="12"/>
        <v>0</v>
      </c>
      <c r="O105" s="40">
        <f>SUMIF(Tabella1[Nome],Tabella4[[#This Row],[NOME]],Tabella1[Gf])</f>
        <v>0</v>
      </c>
      <c r="P105" s="40">
        <f>-(SUMIF(Tabella1[Nome],Tabella4[[#This Row],[NOME]],Tabella1[Gs]))</f>
        <v>0</v>
      </c>
      <c r="Q105" s="40">
        <f>SUMIF(Tabella1[Nome],Tabella4[[#This Row],[NOME]],Tabella1[Rp])</f>
        <v>0</v>
      </c>
      <c r="R105" s="40">
        <f>SUMIF(Tabella1[Nome],Tabella4[[#This Row],[NOME]],Tabella1[Rs])</f>
        <v>0</v>
      </c>
      <c r="S105" s="40">
        <f>SUMIF(Tabella1[Nome],Tabella4[[#This Row],[NOME]],Tabella1[Rf])</f>
        <v>0</v>
      </c>
      <c r="T105" s="40">
        <f>SUMIF(Tabella1[Nome],Tabella4[[#This Row],[NOME]],Tabella1[Au])</f>
        <v>0</v>
      </c>
      <c r="U105" s="41">
        <f>SUMIF(Tabella1[Nome],Tabella4[[#This Row],[NOME]],Tabella1[Amm])</f>
        <v>0</v>
      </c>
      <c r="V105" s="42">
        <f>SUMIF(Tabella1[Nome],Tabella4[[#This Row],[NOME]],Tabella1[Esp])</f>
        <v>0</v>
      </c>
      <c r="W105" s="40">
        <f>SUMIF(Tabella1[Nome],Tabella4[[#This Row],[NOME]],Tabella1[Ass])</f>
        <v>0</v>
      </c>
      <c r="X105" s="40">
        <f>SUMIF(Tabella1[Nome],Tabella4[[#This Row],[NOME]],Tabella1[Gdv])</f>
        <v>0</v>
      </c>
      <c r="Y105" s="40">
        <f>SUMIF(Tabella1[Nome],Tabella4[[#This Row],[NOME]],Tabella1[cl sh])</f>
        <v>0</v>
      </c>
      <c r="Z105" s="270" t="str">
        <f>_xlfn.IFNA(_xlfn.XLOOKUP(CONCATENATE(Z$4,$C105),Tabella1[CONC X VOTI IN TAB GIOC],Tabella1[Voto],""),"")</f>
        <v/>
      </c>
      <c r="AA105" s="270" t="str">
        <f>_xlfn.IFNA(_xlfn.XLOOKUP(CONCATENATE(AA$4,$C105),Tabella1[CONC X VOTI IN TAB GIOC],Tabella1[Voto],""),"")</f>
        <v/>
      </c>
      <c r="AB105" s="270" t="str">
        <f>_xlfn.IFNA(_xlfn.XLOOKUP(CONCATENATE(AB$4,$C105),Tabella1[CONC X VOTI IN TAB GIOC],Tabella1[Voto]),"")</f>
        <v/>
      </c>
      <c r="AC105" s="270" t="str" cm="1">
        <f t="array" ref="AC105">_xlfn.IFNA(_xlfn.XLOOKUP(CONCATENATE(AC$4,$C105),INDEX(Tabella1[],0,MATCH("CONC X VOTI IN TAB GIOC",Tabella1[#Headers],0)),INDEX(Tabella1[],0,MATCH("Voto",Tabella1[#Headers],0))),"")</f>
        <v/>
      </c>
      <c r="AD105" s="270" t="str">
        <f>_xlfn.IFNA(_xlfn.XLOOKUP(CONCATENATE(AD$4,$C105),Tabella1[CONC X VOTI IN TAB GIOC],Tabella1[Voto]),"")</f>
        <v/>
      </c>
      <c r="AE105" s="270" t="str">
        <f>_xlfn.IFNA(VLOOKUP(CONCATENATE(AE$4,$C105),'INSER DATA'!$A:$F,6,0),"")</f>
        <v/>
      </c>
      <c r="AF105" s="270" t="str">
        <f>_xlfn.IFNA(VLOOKUP(CONCATENATE(AF$4,$C105),'INSER DATA'!$A:$F,6,0),"")</f>
        <v/>
      </c>
      <c r="AG105" s="270" t="str">
        <f>_xlfn.IFNA(VLOOKUP(CONCATENATE(AG$4,$C105),'INSER DATA'!$A:$F,6,0),"")</f>
        <v/>
      </c>
      <c r="AH105" s="270" t="str">
        <f>_xlfn.IFNA(VLOOKUP(CONCATENATE(AH$4,$C105),'INSER DATA'!$A:$F,7,0),"")</f>
        <v/>
      </c>
      <c r="AI105" s="270" t="str">
        <f>_xlfn.IFNA(VLOOKUP(CONCATENATE(AI$4,$C105),'INSER DATA'!$A:$F,7,0),"")</f>
        <v/>
      </c>
      <c r="AJ105" s="270" t="str">
        <f>_xlfn.IFNA(VLOOKUP(CONCATENATE(AJ$4,$C105),'INSER DATA'!$A:$F,7,0),"")</f>
        <v/>
      </c>
      <c r="AK105" s="270" t="str">
        <f>_xlfn.IFNA(VLOOKUP(CONCATENATE(AK$4,$C105),'INSER DATA'!$A:$F,7,0),"")</f>
        <v/>
      </c>
      <c r="AL105" s="270" t="str">
        <f>_xlfn.IFNA(VLOOKUP(CONCATENATE(AL$4,$C105),'INSER DATA'!$A:$F,7,0),"")</f>
        <v/>
      </c>
      <c r="AM105" s="270" t="str">
        <f>_xlfn.IFNA(VLOOKUP(CONCATENATE(AM$4,$C105),'INSER DATA'!$A:$F,7,0),"")</f>
        <v/>
      </c>
      <c r="AN105" s="270" t="str">
        <f>_xlfn.IFNA(VLOOKUP(CONCATENATE(AN$4,$C105),'INSER DATA'!$A:$F,7,0),"")</f>
        <v/>
      </c>
      <c r="AO105" s="270" t="str">
        <f>_xlfn.IFNA(VLOOKUP(CONCATENATE(AO$4,$C105),'INSER DATA'!$A:$F,7,0),"")</f>
        <v/>
      </c>
      <c r="AP105" s="270" t="str">
        <f>_xlfn.IFNA(VLOOKUP(CONCATENATE(AP$4,$C105),'INSER DATA'!$A:$F,7,0),"")</f>
        <v/>
      </c>
      <c r="AQ105" s="270" t="str">
        <f>_xlfn.IFNA(VLOOKUP(CONCATENATE(AQ$4,$C105),'INSER DATA'!$A:$F,7,0),"")</f>
        <v/>
      </c>
      <c r="AR105" s="270" t="str">
        <f>_xlfn.IFNA(VLOOKUP(CONCATENATE(AR$4,$C105),'INSER DATA'!$A:$F,7,0),"")</f>
        <v/>
      </c>
      <c r="AS105" s="270" t="str">
        <f>_xlfn.IFNA(VLOOKUP(CONCATENATE(AS$4,$C105),'INSER DATA'!$A:$F,7,0),"")</f>
        <v/>
      </c>
      <c r="AT105" s="270" t="str">
        <f>_xlfn.IFNA(VLOOKUP(CONCATENATE(AT$4,$C105),'INSER DATA'!$A:$F,7,0),"")</f>
        <v/>
      </c>
      <c r="AU105" s="270" t="str">
        <f>_xlfn.IFNA(VLOOKUP(CONCATENATE(AU$4,$C105),'INSER DATA'!$A:$F,7,0),"")</f>
        <v/>
      </c>
      <c r="AV105" s="270" t="str">
        <f>_xlfn.IFNA(VLOOKUP(CONCATENATE(AV$4,$C105),'INSER DATA'!$A:$F,7,0),"")</f>
        <v/>
      </c>
      <c r="AW105" s="270" t="str">
        <f>_xlfn.IFNA(VLOOKUP(CONCATENATE(AW$4,$C105),'INSER DATA'!$A:$F,7,0),"")</f>
        <v/>
      </c>
      <c r="AX105" s="270" t="str">
        <f>_xlfn.IFNA(VLOOKUP(CONCATENATE(AX$4,$C105),'INSER DATA'!$A:$F,7,0),"")</f>
        <v/>
      </c>
      <c r="AY105" s="270" t="str">
        <f>_xlfn.IFNA(VLOOKUP(CONCATENATE(AY$4,$C105),'INSER DATA'!$A:$F,7,0),"")</f>
        <v/>
      </c>
      <c r="AZ105" s="270" t="str">
        <f>_xlfn.IFNA(VLOOKUP(CONCATENATE(AZ$4,$C105),'INSER DATA'!$A:$F,7,0),"")</f>
        <v/>
      </c>
      <c r="BA105" s="270" t="str">
        <f>_xlfn.IFNA(VLOOKUP(CONCATENATE(BA$4,$C105),'INSER DATA'!$A:$F,7,0),"")</f>
        <v/>
      </c>
      <c r="BB105" s="270" t="str">
        <f>_xlfn.IFNA(VLOOKUP(CONCATENATE(BB$4,$C105),'INSER DATA'!$A:$F,7,0),"")</f>
        <v/>
      </c>
      <c r="BC105" s="270" t="str">
        <f>_xlfn.IFNA(VLOOKUP(CONCATENATE(BC$4,$C105),'INSER DATA'!$A:$F,7,0),"")</f>
        <v/>
      </c>
      <c r="BD105" s="270" t="str">
        <f>_xlfn.IFNA(VLOOKUP(CONCATENATE(BD$4,$C105),'INSER DATA'!$A:$F,7,0),"")</f>
        <v/>
      </c>
      <c r="BE105" s="270" t="str">
        <f>_xlfn.IFNA(VLOOKUP(CONCATENATE(BE$4,$C105),'INSER DATA'!$A:$F,7,0),"")</f>
        <v/>
      </c>
      <c r="BF105" s="270" t="str">
        <f>_xlfn.IFNA(VLOOKUP(CONCATENATE(BF$4,$C105),'INSER DATA'!$A:$F,7,0),"")</f>
        <v/>
      </c>
      <c r="BG105" s="270" t="str">
        <f>_xlfn.IFNA(VLOOKUP(CONCATENATE(BG$4,$C105),'INSER DATA'!$A:$F,7,0),"")</f>
        <v/>
      </c>
      <c r="BH105" s="270" t="str">
        <f>_xlfn.IFNA(VLOOKUP(CONCATENATE(BH$4,$C105),'INSER DATA'!$A:$F,7,0),"")</f>
        <v/>
      </c>
      <c r="BI105" s="270" t="str">
        <f>_xlfn.IFNA(VLOOKUP(CONCATENATE(BI$4,$C105),'INSER DATA'!$A:$F,7,0),"")</f>
        <v/>
      </c>
      <c r="BJ105" s="270" t="str">
        <f>_xlfn.IFNA(VLOOKUP(CONCATENATE(BJ$4,$C105),'INSER DATA'!$A:$F,7,0),"")</f>
        <v/>
      </c>
      <c r="BK105" s="270" t="str">
        <f>_xlfn.IFNA(VLOOKUP(CONCATENATE(BK$4,$C105),'INSER DATA'!$A:$F,7,0),"")</f>
        <v/>
      </c>
      <c r="BL105" s="272"/>
      <c r="BM105" s="30"/>
      <c r="BN105" s="30"/>
      <c r="BO105" s="30"/>
      <c r="BP105" s="30"/>
      <c r="BQ105" s="30"/>
      <c r="BR105" s="30"/>
      <c r="BS105" s="30"/>
      <c r="BT105" s="30"/>
      <c r="BU105" s="30"/>
      <c r="BV105" s="30"/>
      <c r="BW105" s="30"/>
      <c r="BX105" s="30"/>
      <c r="BY105" s="30"/>
      <c r="BZ105" s="30"/>
      <c r="CA105" s="30"/>
      <c r="CB105" s="30"/>
      <c r="CC105" s="30"/>
      <c r="CD105" s="30"/>
      <c r="CE105" s="30"/>
      <c r="CF105" s="30"/>
      <c r="CG105" s="30"/>
      <c r="CH105" s="30"/>
      <c r="CI105" s="30"/>
      <c r="CJ105" s="30"/>
      <c r="CK105" s="30"/>
      <c r="CL105" s="30"/>
      <c r="CM105" s="30"/>
      <c r="CN105" s="30"/>
      <c r="CO105" s="30"/>
      <c r="CP105" s="30"/>
      <c r="CQ105" s="30"/>
      <c r="CR105" s="30"/>
      <c r="CS105" s="30"/>
      <c r="CT105" s="30"/>
      <c r="CU105" s="30"/>
      <c r="CV105" s="30"/>
      <c r="CW105" s="30"/>
      <c r="CX105" s="30"/>
      <c r="CY105" s="30"/>
      <c r="CZ105" s="30"/>
      <c r="DA105" s="30"/>
    </row>
    <row r="106" spans="1:105" ht="19.2" thickTop="1" thickBot="1" x14ac:dyDescent="0.4">
      <c r="A106" s="30"/>
      <c r="B106" s="30"/>
      <c r="C106" s="188" t="s">
        <v>703</v>
      </c>
      <c r="D106" s="46" t="s">
        <v>681</v>
      </c>
      <c r="E106" s="35" t="str">
        <f>_xlfn.XLOOKUP(Tabella4[[#This Row],[NOME]],'ROSE SQUADRE'!$N$3:$N$253,'ROSE SQUADRE'!$O$3:$O$253,"")</f>
        <v/>
      </c>
      <c r="F106" s="36" t="s">
        <v>163</v>
      </c>
      <c r="G106" s="43">
        <v>3</v>
      </c>
      <c r="H106" s="43">
        <v>3</v>
      </c>
      <c r="I106" s="44">
        <f t="shared" si="7"/>
        <v>0</v>
      </c>
      <c r="J106" s="37">
        <f t="shared" si="8"/>
        <v>0</v>
      </c>
      <c r="K106" s="38">
        <f t="shared" si="9"/>
        <v>0</v>
      </c>
      <c r="L106" s="38">
        <f t="shared" si="10"/>
        <v>0</v>
      </c>
      <c r="M106" s="39">
        <f t="shared" si="11"/>
        <v>0</v>
      </c>
      <c r="N106" s="45">
        <f t="shared" ca="1" si="12"/>
        <v>0</v>
      </c>
      <c r="O106" s="40">
        <f>SUMIF(Tabella1[Nome],Tabella4[[#This Row],[NOME]],Tabella1[Gf])</f>
        <v>0</v>
      </c>
      <c r="P106" s="40">
        <f>-(SUMIF(Tabella1[Nome],Tabella4[[#This Row],[NOME]],Tabella1[Gs]))</f>
        <v>0</v>
      </c>
      <c r="Q106" s="40">
        <f>SUMIF(Tabella1[Nome],Tabella4[[#This Row],[NOME]],Tabella1[Rp])</f>
        <v>0</v>
      </c>
      <c r="R106" s="40">
        <f>SUMIF(Tabella1[Nome],Tabella4[[#This Row],[NOME]],Tabella1[Rs])</f>
        <v>0</v>
      </c>
      <c r="S106" s="40">
        <f>SUMIF(Tabella1[Nome],Tabella4[[#This Row],[NOME]],Tabella1[Rf])</f>
        <v>0</v>
      </c>
      <c r="T106" s="40">
        <f>SUMIF(Tabella1[Nome],Tabella4[[#This Row],[NOME]],Tabella1[Au])</f>
        <v>0</v>
      </c>
      <c r="U106" s="41">
        <f>SUMIF(Tabella1[Nome],Tabella4[[#This Row],[NOME]],Tabella1[Amm])</f>
        <v>0</v>
      </c>
      <c r="V106" s="42">
        <f>SUMIF(Tabella1[Nome],Tabella4[[#This Row],[NOME]],Tabella1[Esp])</f>
        <v>0</v>
      </c>
      <c r="W106" s="40">
        <f>SUMIF(Tabella1[Nome],Tabella4[[#This Row],[NOME]],Tabella1[Ass])</f>
        <v>0</v>
      </c>
      <c r="X106" s="40">
        <f>SUMIF(Tabella1[Nome],Tabella4[[#This Row],[NOME]],Tabella1[Gdv])</f>
        <v>0</v>
      </c>
      <c r="Y106" s="40">
        <f>SUMIF(Tabella1[Nome],Tabella4[[#This Row],[NOME]],Tabella1[cl sh])</f>
        <v>0</v>
      </c>
      <c r="Z106" s="270" t="str">
        <f>_xlfn.IFNA(_xlfn.XLOOKUP(CONCATENATE(Z$4,$C106),Tabella1[CONC X VOTI IN TAB GIOC],Tabella1[Voto],""),"")</f>
        <v/>
      </c>
      <c r="AA106" s="270" t="str">
        <f>_xlfn.IFNA(_xlfn.XLOOKUP(CONCATENATE(AA$4,$C106),Tabella1[CONC X VOTI IN TAB GIOC],Tabella1[Voto],""),"")</f>
        <v/>
      </c>
      <c r="AB106" s="270" t="str">
        <f>_xlfn.IFNA(_xlfn.XLOOKUP(CONCATENATE(AB$4,$C106),Tabella1[CONC X VOTI IN TAB GIOC],Tabella1[Voto]),"")</f>
        <v/>
      </c>
      <c r="AC106" s="270" t="str" cm="1">
        <f t="array" ref="AC106">_xlfn.IFNA(_xlfn.XLOOKUP(CONCATENATE(AC$4,$C106),INDEX(Tabella1[],0,MATCH("CONC X VOTI IN TAB GIOC",Tabella1[#Headers],0)),INDEX(Tabella1[],0,MATCH("Voto",Tabella1[#Headers],0))),"")</f>
        <v/>
      </c>
      <c r="AD106" s="270" t="str">
        <f>_xlfn.IFNA(_xlfn.XLOOKUP(CONCATENATE(AD$4,$C106),Tabella1[CONC X VOTI IN TAB GIOC],Tabella1[Voto]),"")</f>
        <v/>
      </c>
      <c r="AE106" s="270" t="str">
        <f>_xlfn.IFNA(VLOOKUP(CONCATENATE(AE$4,$C106),'INSER DATA'!$A:$F,6,0),"")</f>
        <v/>
      </c>
      <c r="AF106" s="270" t="str">
        <f>_xlfn.IFNA(VLOOKUP(CONCATENATE(AF$4,$C106),'INSER DATA'!$A:$F,6,0),"")</f>
        <v/>
      </c>
      <c r="AG106" s="270" t="str">
        <f>_xlfn.IFNA(VLOOKUP(CONCATENATE(AG$4,$C106),'INSER DATA'!$A:$F,6,0),"")</f>
        <v/>
      </c>
      <c r="AH106" s="270" t="str">
        <f>_xlfn.IFNA(VLOOKUP(CONCATENATE(AH$4,$C106),'INSER DATA'!$A:$F,7,0),"")</f>
        <v/>
      </c>
      <c r="AI106" s="270" t="str">
        <f>_xlfn.IFNA(VLOOKUP(CONCATENATE(AI$4,$C106),'INSER DATA'!$A:$F,7,0),"")</f>
        <v/>
      </c>
      <c r="AJ106" s="270" t="str">
        <f>_xlfn.IFNA(VLOOKUP(CONCATENATE(AJ$4,$C106),'INSER DATA'!$A:$F,7,0),"")</f>
        <v/>
      </c>
      <c r="AK106" s="270" t="str">
        <f>_xlfn.IFNA(VLOOKUP(CONCATENATE(AK$4,$C106),'INSER DATA'!$A:$F,7,0),"")</f>
        <v/>
      </c>
      <c r="AL106" s="270" t="str">
        <f>_xlfn.IFNA(VLOOKUP(CONCATENATE(AL$4,$C106),'INSER DATA'!$A:$F,7,0),"")</f>
        <v/>
      </c>
      <c r="AM106" s="270" t="str">
        <f>_xlfn.IFNA(VLOOKUP(CONCATENATE(AM$4,$C106),'INSER DATA'!$A:$F,7,0),"")</f>
        <v/>
      </c>
      <c r="AN106" s="270" t="str">
        <f>_xlfn.IFNA(VLOOKUP(CONCATENATE(AN$4,$C106),'INSER DATA'!$A:$F,7,0),"")</f>
        <v/>
      </c>
      <c r="AO106" s="270" t="str">
        <f>_xlfn.IFNA(VLOOKUP(CONCATENATE(AO$4,$C106),'INSER DATA'!$A:$F,7,0),"")</f>
        <v/>
      </c>
      <c r="AP106" s="270" t="str">
        <f>_xlfn.IFNA(VLOOKUP(CONCATENATE(AP$4,$C106),'INSER DATA'!$A:$F,7,0),"")</f>
        <v/>
      </c>
      <c r="AQ106" s="270" t="str">
        <f>_xlfn.IFNA(VLOOKUP(CONCATENATE(AQ$4,$C106),'INSER DATA'!$A:$F,7,0),"")</f>
        <v/>
      </c>
      <c r="AR106" s="270" t="str">
        <f>_xlfn.IFNA(VLOOKUP(CONCATENATE(AR$4,$C106),'INSER DATA'!$A:$F,7,0),"")</f>
        <v/>
      </c>
      <c r="AS106" s="270" t="str">
        <f>_xlfn.IFNA(VLOOKUP(CONCATENATE(AS$4,$C106),'INSER DATA'!$A:$F,7,0),"")</f>
        <v/>
      </c>
      <c r="AT106" s="270" t="str">
        <f>_xlfn.IFNA(VLOOKUP(CONCATENATE(AT$4,$C106),'INSER DATA'!$A:$F,7,0),"")</f>
        <v/>
      </c>
      <c r="AU106" s="270" t="str">
        <f>_xlfn.IFNA(VLOOKUP(CONCATENATE(AU$4,$C106),'INSER DATA'!$A:$F,7,0),"")</f>
        <v/>
      </c>
      <c r="AV106" s="270" t="str">
        <f>_xlfn.IFNA(VLOOKUP(CONCATENATE(AV$4,$C106),'INSER DATA'!$A:$F,7,0),"")</f>
        <v/>
      </c>
      <c r="AW106" s="270" t="str">
        <f>_xlfn.IFNA(VLOOKUP(CONCATENATE(AW$4,$C106),'INSER DATA'!$A:$F,7,0),"")</f>
        <v/>
      </c>
      <c r="AX106" s="270" t="str">
        <f>_xlfn.IFNA(VLOOKUP(CONCATENATE(AX$4,$C106),'INSER DATA'!$A:$F,7,0),"")</f>
        <v/>
      </c>
      <c r="AY106" s="270" t="str">
        <f>_xlfn.IFNA(VLOOKUP(CONCATENATE(AY$4,$C106),'INSER DATA'!$A:$F,7,0),"")</f>
        <v/>
      </c>
      <c r="AZ106" s="270" t="str">
        <f>_xlfn.IFNA(VLOOKUP(CONCATENATE(AZ$4,$C106),'INSER DATA'!$A:$F,7,0),"")</f>
        <v/>
      </c>
      <c r="BA106" s="270" t="str">
        <f>_xlfn.IFNA(VLOOKUP(CONCATENATE(BA$4,$C106),'INSER DATA'!$A:$F,7,0),"")</f>
        <v/>
      </c>
      <c r="BB106" s="270" t="str">
        <f>_xlfn.IFNA(VLOOKUP(CONCATENATE(BB$4,$C106),'INSER DATA'!$A:$F,7,0),"")</f>
        <v/>
      </c>
      <c r="BC106" s="270" t="str">
        <f>_xlfn.IFNA(VLOOKUP(CONCATENATE(BC$4,$C106),'INSER DATA'!$A:$F,7,0),"")</f>
        <v/>
      </c>
      <c r="BD106" s="270" t="str">
        <f>_xlfn.IFNA(VLOOKUP(CONCATENATE(BD$4,$C106),'INSER DATA'!$A:$F,7,0),"")</f>
        <v/>
      </c>
      <c r="BE106" s="270" t="str">
        <f>_xlfn.IFNA(VLOOKUP(CONCATENATE(BE$4,$C106),'INSER DATA'!$A:$F,7,0),"")</f>
        <v/>
      </c>
      <c r="BF106" s="270" t="str">
        <f>_xlfn.IFNA(VLOOKUP(CONCATENATE(BF$4,$C106),'INSER DATA'!$A:$F,7,0),"")</f>
        <v/>
      </c>
      <c r="BG106" s="270" t="str">
        <f>_xlfn.IFNA(VLOOKUP(CONCATENATE(BG$4,$C106),'INSER DATA'!$A:$F,7,0),"")</f>
        <v/>
      </c>
      <c r="BH106" s="270" t="str">
        <f>_xlfn.IFNA(VLOOKUP(CONCATENATE(BH$4,$C106),'INSER DATA'!$A:$F,7,0),"")</f>
        <v/>
      </c>
      <c r="BI106" s="270" t="str">
        <f>_xlfn.IFNA(VLOOKUP(CONCATENATE(BI$4,$C106),'INSER DATA'!$A:$F,7,0),"")</f>
        <v/>
      </c>
      <c r="BJ106" s="270" t="str">
        <f>_xlfn.IFNA(VLOOKUP(CONCATENATE(BJ$4,$C106),'INSER DATA'!$A:$F,7,0),"")</f>
        <v/>
      </c>
      <c r="BK106" s="270" t="str">
        <f>_xlfn.IFNA(VLOOKUP(CONCATENATE(BK$4,$C106),'INSER DATA'!$A:$F,7,0),"")</f>
        <v/>
      </c>
      <c r="BL106" s="272"/>
      <c r="BM106" s="30"/>
      <c r="BN106" s="30"/>
      <c r="BO106" s="30"/>
      <c r="BP106" s="30"/>
      <c r="BQ106" s="30"/>
      <c r="BR106" s="30"/>
      <c r="BS106" s="30"/>
      <c r="BT106" s="30"/>
      <c r="BU106" s="30"/>
      <c r="BV106" s="30"/>
      <c r="BW106" s="30"/>
      <c r="BX106" s="30"/>
      <c r="BY106" s="30"/>
      <c r="BZ106" s="30"/>
      <c r="CA106" s="30"/>
      <c r="CB106" s="30"/>
      <c r="CC106" s="30"/>
      <c r="CD106" s="30"/>
      <c r="CE106" s="30"/>
      <c r="CF106" s="30"/>
      <c r="CG106" s="30"/>
      <c r="CH106" s="30"/>
      <c r="CI106" s="30"/>
      <c r="CJ106" s="30"/>
      <c r="CK106" s="30"/>
      <c r="CL106" s="30"/>
      <c r="CM106" s="30"/>
      <c r="CN106" s="30"/>
      <c r="CO106" s="30"/>
      <c r="CP106" s="30"/>
      <c r="CQ106" s="30"/>
      <c r="CR106" s="30"/>
      <c r="CS106" s="30"/>
      <c r="CT106" s="30"/>
      <c r="CU106" s="30"/>
      <c r="CV106" s="30"/>
      <c r="CW106" s="30"/>
      <c r="CX106" s="30"/>
      <c r="CY106" s="30"/>
      <c r="CZ106" s="30"/>
      <c r="DA106" s="30"/>
    </row>
    <row r="107" spans="1:105" ht="19.2" thickTop="1" thickBot="1" x14ac:dyDescent="0.4">
      <c r="A107" s="30"/>
      <c r="B107" s="30"/>
      <c r="C107" s="188" t="s">
        <v>547</v>
      </c>
      <c r="D107" s="46" t="s">
        <v>681</v>
      </c>
      <c r="E107" s="35" t="str">
        <f>_xlfn.XLOOKUP(Tabella4[[#This Row],[NOME]],'ROSE SQUADRE'!$N$3:$N$253,'ROSE SQUADRE'!$O$3:$O$253,"")</f>
        <v/>
      </c>
      <c r="F107" s="36" t="s">
        <v>163</v>
      </c>
      <c r="G107" s="43">
        <v>4</v>
      </c>
      <c r="H107" s="43">
        <v>4</v>
      </c>
      <c r="I107" s="44">
        <f t="shared" si="7"/>
        <v>0</v>
      </c>
      <c r="J107" s="37">
        <f t="shared" si="8"/>
        <v>0</v>
      </c>
      <c r="K107" s="38">
        <f t="shared" si="9"/>
        <v>0</v>
      </c>
      <c r="L107" s="38">
        <f t="shared" si="10"/>
        <v>0</v>
      </c>
      <c r="M107" s="39">
        <f t="shared" si="11"/>
        <v>0</v>
      </c>
      <c r="N107" s="45">
        <f t="shared" ca="1" si="12"/>
        <v>0</v>
      </c>
      <c r="O107" s="40">
        <f>SUMIF(Tabella1[Nome],Tabella4[[#This Row],[NOME]],Tabella1[Gf])</f>
        <v>0</v>
      </c>
      <c r="P107" s="40">
        <f>-(SUMIF(Tabella1[Nome],Tabella4[[#This Row],[NOME]],Tabella1[Gs]))</f>
        <v>0</v>
      </c>
      <c r="Q107" s="40">
        <f>SUMIF(Tabella1[Nome],Tabella4[[#This Row],[NOME]],Tabella1[Rp])</f>
        <v>0</v>
      </c>
      <c r="R107" s="40">
        <f>SUMIF(Tabella1[Nome],Tabella4[[#This Row],[NOME]],Tabella1[Rs])</f>
        <v>0</v>
      </c>
      <c r="S107" s="40">
        <f>SUMIF(Tabella1[Nome],Tabella4[[#This Row],[NOME]],Tabella1[Rf])</f>
        <v>0</v>
      </c>
      <c r="T107" s="40">
        <f>SUMIF(Tabella1[Nome],Tabella4[[#This Row],[NOME]],Tabella1[Au])</f>
        <v>0</v>
      </c>
      <c r="U107" s="41">
        <f>SUMIF(Tabella1[Nome],Tabella4[[#This Row],[NOME]],Tabella1[Amm])</f>
        <v>0</v>
      </c>
      <c r="V107" s="42">
        <f>SUMIF(Tabella1[Nome],Tabella4[[#This Row],[NOME]],Tabella1[Esp])</f>
        <v>0</v>
      </c>
      <c r="W107" s="40">
        <f>SUMIF(Tabella1[Nome],Tabella4[[#This Row],[NOME]],Tabella1[Ass])</f>
        <v>0</v>
      </c>
      <c r="X107" s="40">
        <f>SUMIF(Tabella1[Nome],Tabella4[[#This Row],[NOME]],Tabella1[Gdv])</f>
        <v>0</v>
      </c>
      <c r="Y107" s="40">
        <f>SUMIF(Tabella1[Nome],Tabella4[[#This Row],[NOME]],Tabella1[cl sh])</f>
        <v>0</v>
      </c>
      <c r="Z107" s="270" t="str">
        <f>_xlfn.IFNA(_xlfn.XLOOKUP(CONCATENATE(Z$4,$C107),Tabella1[CONC X VOTI IN TAB GIOC],Tabella1[Voto],""),"")</f>
        <v/>
      </c>
      <c r="AA107" s="270" t="str">
        <f>_xlfn.IFNA(_xlfn.XLOOKUP(CONCATENATE(AA$4,$C107),Tabella1[CONC X VOTI IN TAB GIOC],Tabella1[Voto],""),"")</f>
        <v/>
      </c>
      <c r="AB107" s="270" t="str">
        <f>_xlfn.IFNA(_xlfn.XLOOKUP(CONCATENATE(AB$4,$C107),Tabella1[CONC X VOTI IN TAB GIOC],Tabella1[Voto]),"")</f>
        <v/>
      </c>
      <c r="AC107" s="270" t="str" cm="1">
        <f t="array" ref="AC107">_xlfn.IFNA(_xlfn.XLOOKUP(CONCATENATE(AC$4,$C107),INDEX(Tabella1[],0,MATCH("CONC X VOTI IN TAB GIOC",Tabella1[#Headers],0)),INDEX(Tabella1[],0,MATCH("Voto",Tabella1[#Headers],0))),"")</f>
        <v/>
      </c>
      <c r="AD107" s="270" t="str">
        <f>_xlfn.IFNA(_xlfn.XLOOKUP(CONCATENATE(AD$4,$C107),Tabella1[CONC X VOTI IN TAB GIOC],Tabella1[Voto]),"")</f>
        <v/>
      </c>
      <c r="AE107" s="270" t="str">
        <f>_xlfn.IFNA(VLOOKUP(CONCATENATE(AE$4,$C107),'INSER DATA'!$A:$F,6,0),"")</f>
        <v/>
      </c>
      <c r="AF107" s="270" t="str">
        <f>_xlfn.IFNA(VLOOKUP(CONCATENATE(AF$4,$C107),'INSER DATA'!$A:$F,6,0),"")</f>
        <v/>
      </c>
      <c r="AG107" s="270" t="str">
        <f>_xlfn.IFNA(VLOOKUP(CONCATENATE(AG$4,$C107),'INSER DATA'!$A:$F,6,0),"")</f>
        <v/>
      </c>
      <c r="AH107" s="270" t="str">
        <f>_xlfn.IFNA(VLOOKUP(CONCATENATE(AH$4,$C107),'INSER DATA'!$A:$F,7,0),"")</f>
        <v/>
      </c>
      <c r="AI107" s="270" t="str">
        <f>_xlfn.IFNA(VLOOKUP(CONCATENATE(AI$4,$C107),'INSER DATA'!$A:$F,7,0),"")</f>
        <v/>
      </c>
      <c r="AJ107" s="270" t="str">
        <f>_xlfn.IFNA(VLOOKUP(CONCATENATE(AJ$4,$C107),'INSER DATA'!$A:$F,7,0),"")</f>
        <v/>
      </c>
      <c r="AK107" s="270" t="str">
        <f>_xlfn.IFNA(VLOOKUP(CONCATENATE(AK$4,$C107),'INSER DATA'!$A:$F,7,0),"")</f>
        <v/>
      </c>
      <c r="AL107" s="270" t="str">
        <f>_xlfn.IFNA(VLOOKUP(CONCATENATE(AL$4,$C107),'INSER DATA'!$A:$F,7,0),"")</f>
        <v/>
      </c>
      <c r="AM107" s="270" t="str">
        <f>_xlfn.IFNA(VLOOKUP(CONCATENATE(AM$4,$C107),'INSER DATA'!$A:$F,7,0),"")</f>
        <v/>
      </c>
      <c r="AN107" s="270" t="str">
        <f>_xlfn.IFNA(VLOOKUP(CONCATENATE(AN$4,$C107),'INSER DATA'!$A:$F,7,0),"")</f>
        <v/>
      </c>
      <c r="AO107" s="270" t="str">
        <f>_xlfn.IFNA(VLOOKUP(CONCATENATE(AO$4,$C107),'INSER DATA'!$A:$F,7,0),"")</f>
        <v/>
      </c>
      <c r="AP107" s="270" t="str">
        <f>_xlfn.IFNA(VLOOKUP(CONCATENATE(AP$4,$C107),'INSER DATA'!$A:$F,7,0),"")</f>
        <v/>
      </c>
      <c r="AQ107" s="270" t="str">
        <f>_xlfn.IFNA(VLOOKUP(CONCATENATE(AQ$4,$C107),'INSER DATA'!$A:$F,7,0),"")</f>
        <v/>
      </c>
      <c r="AR107" s="270" t="str">
        <f>_xlfn.IFNA(VLOOKUP(CONCATENATE(AR$4,$C107),'INSER DATA'!$A:$F,7,0),"")</f>
        <v/>
      </c>
      <c r="AS107" s="270" t="str">
        <f>_xlfn.IFNA(VLOOKUP(CONCATENATE(AS$4,$C107),'INSER DATA'!$A:$F,7,0),"")</f>
        <v/>
      </c>
      <c r="AT107" s="270" t="str">
        <f>_xlfn.IFNA(VLOOKUP(CONCATENATE(AT$4,$C107),'INSER DATA'!$A:$F,7,0),"")</f>
        <v/>
      </c>
      <c r="AU107" s="270" t="str">
        <f>_xlfn.IFNA(VLOOKUP(CONCATENATE(AU$4,$C107),'INSER DATA'!$A:$F,7,0),"")</f>
        <v/>
      </c>
      <c r="AV107" s="270" t="str">
        <f>_xlfn.IFNA(VLOOKUP(CONCATENATE(AV$4,$C107),'INSER DATA'!$A:$F,7,0),"")</f>
        <v/>
      </c>
      <c r="AW107" s="270" t="str">
        <f>_xlfn.IFNA(VLOOKUP(CONCATENATE(AW$4,$C107),'INSER DATA'!$A:$F,7,0),"")</f>
        <v/>
      </c>
      <c r="AX107" s="270" t="str">
        <f>_xlfn.IFNA(VLOOKUP(CONCATENATE(AX$4,$C107),'INSER DATA'!$A:$F,7,0),"")</f>
        <v/>
      </c>
      <c r="AY107" s="270" t="str">
        <f>_xlfn.IFNA(VLOOKUP(CONCATENATE(AY$4,$C107),'INSER DATA'!$A:$F,7,0),"")</f>
        <v/>
      </c>
      <c r="AZ107" s="270" t="str">
        <f>_xlfn.IFNA(VLOOKUP(CONCATENATE(AZ$4,$C107),'INSER DATA'!$A:$F,7,0),"")</f>
        <v/>
      </c>
      <c r="BA107" s="270" t="str">
        <f>_xlfn.IFNA(VLOOKUP(CONCATENATE(BA$4,$C107),'INSER DATA'!$A:$F,7,0),"")</f>
        <v/>
      </c>
      <c r="BB107" s="270" t="str">
        <f>_xlfn.IFNA(VLOOKUP(CONCATENATE(BB$4,$C107),'INSER DATA'!$A:$F,7,0),"")</f>
        <v/>
      </c>
      <c r="BC107" s="270" t="str">
        <f>_xlfn.IFNA(VLOOKUP(CONCATENATE(BC$4,$C107),'INSER DATA'!$A:$F,7,0),"")</f>
        <v/>
      </c>
      <c r="BD107" s="270" t="str">
        <f>_xlfn.IFNA(VLOOKUP(CONCATENATE(BD$4,$C107),'INSER DATA'!$A:$F,7,0),"")</f>
        <v/>
      </c>
      <c r="BE107" s="270" t="str">
        <f>_xlfn.IFNA(VLOOKUP(CONCATENATE(BE$4,$C107),'INSER DATA'!$A:$F,7,0),"")</f>
        <v/>
      </c>
      <c r="BF107" s="270" t="str">
        <f>_xlfn.IFNA(VLOOKUP(CONCATENATE(BF$4,$C107),'INSER DATA'!$A:$F,7,0),"")</f>
        <v/>
      </c>
      <c r="BG107" s="270" t="str">
        <f>_xlfn.IFNA(VLOOKUP(CONCATENATE(BG$4,$C107),'INSER DATA'!$A:$F,7,0),"")</f>
        <v/>
      </c>
      <c r="BH107" s="270" t="str">
        <f>_xlfn.IFNA(VLOOKUP(CONCATENATE(BH$4,$C107),'INSER DATA'!$A:$F,7,0),"")</f>
        <v/>
      </c>
      <c r="BI107" s="270" t="str">
        <f>_xlfn.IFNA(VLOOKUP(CONCATENATE(BI$4,$C107),'INSER DATA'!$A:$F,7,0),"")</f>
        <v/>
      </c>
      <c r="BJ107" s="270" t="str">
        <f>_xlfn.IFNA(VLOOKUP(CONCATENATE(BJ$4,$C107),'INSER DATA'!$A:$F,7,0),"")</f>
        <v/>
      </c>
      <c r="BK107" s="270" t="str">
        <f>_xlfn.IFNA(VLOOKUP(CONCATENATE(BK$4,$C107),'INSER DATA'!$A:$F,7,0),"")</f>
        <v/>
      </c>
      <c r="BL107" s="272"/>
      <c r="BM107" s="30"/>
      <c r="BN107" s="30"/>
      <c r="BO107" s="30"/>
      <c r="BP107" s="30"/>
      <c r="BQ107" s="30"/>
      <c r="BR107" s="30"/>
      <c r="BS107" s="30"/>
      <c r="BT107" s="30"/>
      <c r="BU107" s="30"/>
      <c r="BV107" s="30"/>
      <c r="BW107" s="30"/>
      <c r="BX107" s="30"/>
      <c r="BY107" s="30"/>
      <c r="BZ107" s="30"/>
      <c r="CA107" s="30"/>
      <c r="CB107" s="30"/>
      <c r="CC107" s="30"/>
      <c r="CD107" s="30"/>
      <c r="CE107" s="30"/>
      <c r="CF107" s="30"/>
      <c r="CG107" s="30"/>
      <c r="CH107" s="30"/>
      <c r="CI107" s="30"/>
      <c r="CJ107" s="30"/>
      <c r="CK107" s="30"/>
      <c r="CL107" s="30"/>
      <c r="CM107" s="30"/>
      <c r="CN107" s="30"/>
      <c r="CO107" s="30"/>
      <c r="CP107" s="30"/>
      <c r="CQ107" s="30"/>
      <c r="CR107" s="30"/>
      <c r="CS107" s="30"/>
      <c r="CT107" s="30"/>
      <c r="CU107" s="30"/>
      <c r="CV107" s="30"/>
      <c r="CW107" s="30"/>
      <c r="CX107" s="30"/>
      <c r="CY107" s="30"/>
      <c r="CZ107" s="30"/>
      <c r="DA107" s="30"/>
    </row>
    <row r="108" spans="1:105" ht="19.2" thickTop="1" thickBot="1" x14ac:dyDescent="0.4">
      <c r="A108" s="30"/>
      <c r="B108" s="30"/>
      <c r="C108" s="356" t="s">
        <v>305</v>
      </c>
      <c r="D108" s="355" t="s">
        <v>681</v>
      </c>
      <c r="E108" s="35" t="str">
        <f>_xlfn.XLOOKUP(Tabella4[[#This Row],[NOME]],'ROSE SQUADRE'!$N$3:$N$253,'ROSE SQUADRE'!$O$3:$O$253,"")</f>
        <v>PESCICULINI</v>
      </c>
      <c r="F108" s="36" t="s">
        <v>163</v>
      </c>
      <c r="G108" s="43">
        <v>25</v>
      </c>
      <c r="H108" s="43">
        <v>25</v>
      </c>
      <c r="I108" s="44">
        <f t="shared" si="7"/>
        <v>0</v>
      </c>
      <c r="J108" s="37">
        <f t="shared" si="8"/>
        <v>3</v>
      </c>
      <c r="K108" s="38">
        <f t="shared" si="9"/>
        <v>6</v>
      </c>
      <c r="L108" s="38">
        <f t="shared" si="10"/>
        <v>6.333333333333333</v>
      </c>
      <c r="M108" s="39">
        <f t="shared" si="11"/>
        <v>19</v>
      </c>
      <c r="N108" s="45">
        <f t="shared" ca="1" si="12"/>
        <v>0</v>
      </c>
      <c r="O108" s="40">
        <f>SUMIF(Tabella1[Nome],Tabella4[[#This Row],[NOME]],Tabella1[Gf])</f>
        <v>0</v>
      </c>
      <c r="P108" s="40">
        <f>-(SUMIF(Tabella1[Nome],Tabella4[[#This Row],[NOME]],Tabella1[Gs]))</f>
        <v>0</v>
      </c>
      <c r="Q108" s="40">
        <f>SUMIF(Tabella1[Nome],Tabella4[[#This Row],[NOME]],Tabella1[Rp])</f>
        <v>0</v>
      </c>
      <c r="R108" s="40">
        <f>SUMIF(Tabella1[Nome],Tabella4[[#This Row],[NOME]],Tabella1[Rs])</f>
        <v>0</v>
      </c>
      <c r="S108" s="40">
        <f>SUMIF(Tabella1[Nome],Tabella4[[#This Row],[NOME]],Tabella1[Rf])</f>
        <v>0</v>
      </c>
      <c r="T108" s="40">
        <f>SUMIF(Tabella1[Nome],Tabella4[[#This Row],[NOME]],Tabella1[Au])</f>
        <v>0</v>
      </c>
      <c r="U108" s="41">
        <f>SUMIF(Tabella1[Nome],Tabella4[[#This Row],[NOME]],Tabella1[Amm])</f>
        <v>0</v>
      </c>
      <c r="V108" s="42">
        <f>SUMIF(Tabella1[Nome],Tabella4[[#This Row],[NOME]],Tabella1[Esp])</f>
        <v>0</v>
      </c>
      <c r="W108" s="40">
        <f>SUMIF(Tabella1[Nome],Tabella4[[#This Row],[NOME]],Tabella1[Ass])</f>
        <v>1</v>
      </c>
      <c r="X108" s="40">
        <f>SUMIF(Tabella1[Nome],Tabella4[[#This Row],[NOME]],Tabella1[Gdv])</f>
        <v>0</v>
      </c>
      <c r="Y108" s="40">
        <f>SUMIF(Tabella1[Nome],Tabella4[[#This Row],[NOME]],Tabella1[cl sh])</f>
        <v>0</v>
      </c>
      <c r="Z108" s="270">
        <f>_xlfn.IFNA(_xlfn.XLOOKUP(CONCATENATE(Z$4,$C108),Tabella1[CONC X VOTI IN TAB GIOC],Tabella1[Voto],""),"")</f>
        <v>6</v>
      </c>
      <c r="AA108" s="270" t="str">
        <f>_xlfn.IFNA(_xlfn.XLOOKUP(CONCATENATE(AA$4,$C108),Tabella1[CONC X VOTI IN TAB GIOC],Tabella1[Voto],""),"")</f>
        <v/>
      </c>
      <c r="AB108" s="270">
        <f>_xlfn.IFNA(_xlfn.XLOOKUP(CONCATENATE(AB$4,$C108),Tabella1[CONC X VOTI IN TAB GIOC],Tabella1[Voto]),"")</f>
        <v>6.5</v>
      </c>
      <c r="AC108" s="270" cm="1">
        <f t="array" ref="AC108">_xlfn.IFNA(_xlfn.XLOOKUP(CONCATENATE(AC$4,$C108),INDEX(Tabella1[],0,MATCH("CONC X VOTI IN TAB GIOC",Tabella1[#Headers],0)),INDEX(Tabella1[],0,MATCH("Voto",Tabella1[#Headers],0))),"")</f>
        <v>5.5</v>
      </c>
      <c r="AD108" s="270" t="str">
        <f>_xlfn.IFNA(_xlfn.XLOOKUP(CONCATENATE(AD$4,$C108),Tabella1[CONC X VOTI IN TAB GIOC],Tabella1[Voto]),"")</f>
        <v/>
      </c>
      <c r="AE108" s="270" t="str">
        <f>_xlfn.IFNA(VLOOKUP(CONCATENATE(AE$4,$C108),'INSER DATA'!$A:$F,6,0),"")</f>
        <v/>
      </c>
      <c r="AF108" s="270" t="str">
        <f>_xlfn.IFNA(VLOOKUP(CONCATENATE(AF$4,$C108),'INSER DATA'!$A:$F,6,0),"")</f>
        <v/>
      </c>
      <c r="AG108" s="270" t="str">
        <f>_xlfn.IFNA(VLOOKUP(CONCATENATE(AG$4,$C108),'INSER DATA'!$A:$F,6,0),"")</f>
        <v/>
      </c>
      <c r="AH108" s="270" t="str">
        <f>_xlfn.IFNA(VLOOKUP(CONCATENATE(AH$4,$C108),'INSER DATA'!$A:$F,7,0),"")</f>
        <v/>
      </c>
      <c r="AI108" s="270" t="str">
        <f>_xlfn.IFNA(VLOOKUP(CONCATENATE(AI$4,$C108),'INSER DATA'!$A:$F,7,0),"")</f>
        <v/>
      </c>
      <c r="AJ108" s="270" t="str">
        <f>_xlfn.IFNA(VLOOKUP(CONCATENATE(AJ$4,$C108),'INSER DATA'!$A:$F,7,0),"")</f>
        <v/>
      </c>
      <c r="AK108" s="270" t="str">
        <f>_xlfn.IFNA(VLOOKUP(CONCATENATE(AK$4,$C108),'INSER DATA'!$A:$F,7,0),"")</f>
        <v/>
      </c>
      <c r="AL108" s="270" t="str">
        <f>_xlfn.IFNA(VLOOKUP(CONCATENATE(AL$4,$C108),'INSER DATA'!$A:$F,7,0),"")</f>
        <v/>
      </c>
      <c r="AM108" s="270" t="str">
        <f>_xlfn.IFNA(VLOOKUP(CONCATENATE(AM$4,$C108),'INSER DATA'!$A:$F,7,0),"")</f>
        <v/>
      </c>
      <c r="AN108" s="270" t="str">
        <f>_xlfn.IFNA(VLOOKUP(CONCATENATE(AN$4,$C108),'INSER DATA'!$A:$F,7,0),"")</f>
        <v/>
      </c>
      <c r="AO108" s="270" t="str">
        <f>_xlfn.IFNA(VLOOKUP(CONCATENATE(AO$4,$C108),'INSER DATA'!$A:$F,7,0),"")</f>
        <v/>
      </c>
      <c r="AP108" s="270" t="str">
        <f>_xlfn.IFNA(VLOOKUP(CONCATENATE(AP$4,$C108),'INSER DATA'!$A:$F,7,0),"")</f>
        <v/>
      </c>
      <c r="AQ108" s="270" t="str">
        <f>_xlfn.IFNA(VLOOKUP(CONCATENATE(AQ$4,$C108),'INSER DATA'!$A:$F,7,0),"")</f>
        <v/>
      </c>
      <c r="AR108" s="270" t="str">
        <f>_xlfn.IFNA(VLOOKUP(CONCATENATE(AR$4,$C108),'INSER DATA'!$A:$F,7,0),"")</f>
        <v/>
      </c>
      <c r="AS108" s="270" t="str">
        <f>_xlfn.IFNA(VLOOKUP(CONCATENATE(AS$4,$C108),'INSER DATA'!$A:$F,7,0),"")</f>
        <v/>
      </c>
      <c r="AT108" s="270" t="str">
        <f>_xlfn.IFNA(VLOOKUP(CONCATENATE(AT$4,$C108),'INSER DATA'!$A:$F,7,0),"")</f>
        <v/>
      </c>
      <c r="AU108" s="270" t="str">
        <f>_xlfn.IFNA(VLOOKUP(CONCATENATE(AU$4,$C108),'INSER DATA'!$A:$F,7,0),"")</f>
        <v/>
      </c>
      <c r="AV108" s="270" t="str">
        <f>_xlfn.IFNA(VLOOKUP(CONCATENATE(AV$4,$C108),'INSER DATA'!$A:$F,7,0),"")</f>
        <v/>
      </c>
      <c r="AW108" s="270" t="str">
        <f>_xlfn.IFNA(VLOOKUP(CONCATENATE(AW$4,$C108),'INSER DATA'!$A:$F,7,0),"")</f>
        <v/>
      </c>
      <c r="AX108" s="270" t="str">
        <f>_xlfn.IFNA(VLOOKUP(CONCATENATE(AX$4,$C108),'INSER DATA'!$A:$F,7,0),"")</f>
        <v/>
      </c>
      <c r="AY108" s="270" t="str">
        <f>_xlfn.IFNA(VLOOKUP(CONCATENATE(AY$4,$C108),'INSER DATA'!$A:$F,7,0),"")</f>
        <v/>
      </c>
      <c r="AZ108" s="270" t="str">
        <f>_xlfn.IFNA(VLOOKUP(CONCATENATE(AZ$4,$C108),'INSER DATA'!$A:$F,7,0),"")</f>
        <v/>
      </c>
      <c r="BA108" s="270" t="str">
        <f>_xlfn.IFNA(VLOOKUP(CONCATENATE(BA$4,$C108),'INSER DATA'!$A:$F,7,0),"")</f>
        <v/>
      </c>
      <c r="BB108" s="270" t="str">
        <f>_xlfn.IFNA(VLOOKUP(CONCATENATE(BB$4,$C108),'INSER DATA'!$A:$F,7,0),"")</f>
        <v/>
      </c>
      <c r="BC108" s="270" t="str">
        <f>_xlfn.IFNA(VLOOKUP(CONCATENATE(BC$4,$C108),'INSER DATA'!$A:$F,7,0),"")</f>
        <v/>
      </c>
      <c r="BD108" s="270" t="str">
        <f>_xlfn.IFNA(VLOOKUP(CONCATENATE(BD$4,$C108),'INSER DATA'!$A:$F,7,0),"")</f>
        <v/>
      </c>
      <c r="BE108" s="270" t="str">
        <f>_xlfn.IFNA(VLOOKUP(CONCATENATE(BE$4,$C108),'INSER DATA'!$A:$F,7,0),"")</f>
        <v/>
      </c>
      <c r="BF108" s="270" t="str">
        <f>_xlfn.IFNA(VLOOKUP(CONCATENATE(BF$4,$C108),'INSER DATA'!$A:$F,7,0),"")</f>
        <v/>
      </c>
      <c r="BG108" s="270" t="str">
        <f>_xlfn.IFNA(VLOOKUP(CONCATENATE(BG$4,$C108),'INSER DATA'!$A:$F,7,0),"")</f>
        <v/>
      </c>
      <c r="BH108" s="270" t="str">
        <f>_xlfn.IFNA(VLOOKUP(CONCATENATE(BH$4,$C108),'INSER DATA'!$A:$F,7,0),"")</f>
        <v/>
      </c>
      <c r="BI108" s="270" t="str">
        <f>_xlfn.IFNA(VLOOKUP(CONCATENATE(BI$4,$C108),'INSER DATA'!$A:$F,7,0),"")</f>
        <v/>
      </c>
      <c r="BJ108" s="270" t="str">
        <f>_xlfn.IFNA(VLOOKUP(CONCATENATE(BJ$4,$C108),'INSER DATA'!$A:$F,7,0),"")</f>
        <v/>
      </c>
      <c r="BK108" s="270" t="str">
        <f>_xlfn.IFNA(VLOOKUP(CONCATENATE(BK$4,$C108),'INSER DATA'!$A:$F,7,0),"")</f>
        <v/>
      </c>
      <c r="BL108" s="272"/>
      <c r="BM108" s="30"/>
      <c r="BN108" s="30"/>
      <c r="BO108" s="30"/>
      <c r="BP108" s="30"/>
      <c r="BQ108" s="30"/>
      <c r="BR108" s="30"/>
      <c r="BS108" s="30"/>
      <c r="BT108" s="30"/>
      <c r="BU108" s="30"/>
      <c r="BV108" s="30"/>
      <c r="BW108" s="30"/>
      <c r="BX108" s="30"/>
      <c r="BY108" s="30"/>
      <c r="BZ108" s="30"/>
      <c r="CA108" s="30"/>
      <c r="CB108" s="30"/>
      <c r="CC108" s="30"/>
      <c r="CD108" s="30"/>
      <c r="CE108" s="30"/>
      <c r="CF108" s="30"/>
      <c r="CG108" s="30"/>
      <c r="CH108" s="30"/>
      <c r="CI108" s="30"/>
      <c r="CJ108" s="30"/>
      <c r="CK108" s="30"/>
      <c r="CL108" s="30"/>
      <c r="CM108" s="30"/>
      <c r="CN108" s="30"/>
      <c r="CO108" s="30"/>
      <c r="CP108" s="30"/>
      <c r="CQ108" s="30"/>
      <c r="CR108" s="30"/>
      <c r="CS108" s="30"/>
      <c r="CT108" s="30"/>
      <c r="CU108" s="30"/>
      <c r="CV108" s="30"/>
      <c r="CW108" s="30"/>
      <c r="CX108" s="30"/>
      <c r="CY108" s="30"/>
      <c r="CZ108" s="30"/>
      <c r="DA108" s="30"/>
    </row>
    <row r="109" spans="1:105" ht="19.2" thickTop="1" thickBot="1" x14ac:dyDescent="0.4">
      <c r="A109" s="30"/>
      <c r="B109" s="30"/>
      <c r="C109" s="354" t="s">
        <v>713</v>
      </c>
      <c r="D109" s="355" t="s">
        <v>705</v>
      </c>
      <c r="E109" s="35" t="str">
        <f>_xlfn.XLOOKUP(Tabella4[[#This Row],[NOME]],'ROSE SQUADRE'!$N$3:$N$253,'ROSE SQUADRE'!$O$3:$O$253,"")</f>
        <v>SAN GRIA</v>
      </c>
      <c r="F109" s="36" t="s">
        <v>161</v>
      </c>
      <c r="G109" s="43">
        <v>6</v>
      </c>
      <c r="H109" s="43">
        <v>6</v>
      </c>
      <c r="I109" s="44">
        <f t="shared" si="7"/>
        <v>0</v>
      </c>
      <c r="J109" s="37">
        <f t="shared" si="8"/>
        <v>3</v>
      </c>
      <c r="K109" s="38">
        <f t="shared" si="9"/>
        <v>5.666666666666667</v>
      </c>
      <c r="L109" s="38">
        <f t="shared" si="10"/>
        <v>5.666666666666667</v>
      </c>
      <c r="M109" s="39">
        <f t="shared" si="11"/>
        <v>17</v>
      </c>
      <c r="N109" s="45">
        <f t="shared" ca="1" si="12"/>
        <v>0</v>
      </c>
      <c r="O109" s="40">
        <f>SUMIF(Tabella1[Nome],Tabella4[[#This Row],[NOME]],Tabella1[Gf])</f>
        <v>0</v>
      </c>
      <c r="P109" s="40">
        <f>-(SUMIF(Tabella1[Nome],Tabella4[[#This Row],[NOME]],Tabella1[Gs]))</f>
        <v>0</v>
      </c>
      <c r="Q109" s="40">
        <f>SUMIF(Tabella1[Nome],Tabella4[[#This Row],[NOME]],Tabella1[Rp])</f>
        <v>0</v>
      </c>
      <c r="R109" s="40">
        <f>SUMIF(Tabella1[Nome],Tabella4[[#This Row],[NOME]],Tabella1[Rs])</f>
        <v>0</v>
      </c>
      <c r="S109" s="40">
        <f>SUMIF(Tabella1[Nome],Tabella4[[#This Row],[NOME]],Tabella1[Rf])</f>
        <v>0</v>
      </c>
      <c r="T109" s="40">
        <f>SUMIF(Tabella1[Nome],Tabella4[[#This Row],[NOME]],Tabella1[Au])</f>
        <v>0</v>
      </c>
      <c r="U109" s="41">
        <f>SUMIF(Tabella1[Nome],Tabella4[[#This Row],[NOME]],Tabella1[Amm])</f>
        <v>0</v>
      </c>
      <c r="V109" s="42">
        <f>SUMIF(Tabella1[Nome],Tabella4[[#This Row],[NOME]],Tabella1[Esp])</f>
        <v>0</v>
      </c>
      <c r="W109" s="40">
        <f>SUMIF(Tabella1[Nome],Tabella4[[#This Row],[NOME]],Tabella1[Ass])</f>
        <v>0</v>
      </c>
      <c r="X109" s="40">
        <f>SUMIF(Tabella1[Nome],Tabella4[[#This Row],[NOME]],Tabella1[Gdv])</f>
        <v>0</v>
      </c>
      <c r="Y109" s="40">
        <f>SUMIF(Tabella1[Nome],Tabella4[[#This Row],[NOME]],Tabella1[cl sh])</f>
        <v>0</v>
      </c>
      <c r="Z109" s="270" t="str">
        <f>_xlfn.IFNA(_xlfn.XLOOKUP(CONCATENATE(Z$4,$C109),Tabella1[CONC X VOTI IN TAB GIOC],Tabella1[Voto],""),"")</f>
        <v/>
      </c>
      <c r="AA109" s="270">
        <f>_xlfn.IFNA(_xlfn.XLOOKUP(CONCATENATE(AA$4,$C109),Tabella1[CONC X VOTI IN TAB GIOC],Tabella1[Voto],""),"")</f>
        <v>5.5</v>
      </c>
      <c r="AB109" s="270">
        <f>_xlfn.IFNA(_xlfn.XLOOKUP(CONCATENATE(AB$4,$C109),Tabella1[CONC X VOTI IN TAB GIOC],Tabella1[Voto]),"")</f>
        <v>5.5</v>
      </c>
      <c r="AC109" s="270" cm="1">
        <f t="array" ref="AC109">_xlfn.IFNA(_xlfn.XLOOKUP(CONCATENATE(AC$4,$C109),INDEX(Tabella1[],0,MATCH("CONC X VOTI IN TAB GIOC",Tabella1[#Headers],0)),INDEX(Tabella1[],0,MATCH("Voto",Tabella1[#Headers],0))),"")</f>
        <v>6</v>
      </c>
      <c r="AD109" s="270" t="str">
        <f>_xlfn.IFNA(_xlfn.XLOOKUP(CONCATENATE(AD$4,$C109),Tabella1[CONC X VOTI IN TAB GIOC],Tabella1[Voto]),"")</f>
        <v/>
      </c>
      <c r="AE109" s="270" t="str">
        <f>_xlfn.IFNA(VLOOKUP(CONCATENATE(AE$4,$C109),'INSER DATA'!$A:$F,6,0),"")</f>
        <v/>
      </c>
      <c r="AF109" s="270" t="str">
        <f>_xlfn.IFNA(VLOOKUP(CONCATENATE(AF$4,$C109),'INSER DATA'!$A:$F,6,0),"")</f>
        <v/>
      </c>
      <c r="AG109" s="270" t="str">
        <f>_xlfn.IFNA(VLOOKUP(CONCATENATE(AG$4,$C109),'INSER DATA'!$A:$F,6,0),"")</f>
        <v/>
      </c>
      <c r="AH109" s="270" t="str">
        <f>_xlfn.IFNA(VLOOKUP(CONCATENATE(AH$4,$C109),'INSER DATA'!$A:$F,7,0),"")</f>
        <v/>
      </c>
      <c r="AI109" s="270" t="str">
        <f>_xlfn.IFNA(VLOOKUP(CONCATENATE(AI$4,$C109),'INSER DATA'!$A:$F,7,0),"")</f>
        <v/>
      </c>
      <c r="AJ109" s="270" t="str">
        <f>_xlfn.IFNA(VLOOKUP(CONCATENATE(AJ$4,$C109),'INSER DATA'!$A:$F,7,0),"")</f>
        <v/>
      </c>
      <c r="AK109" s="270" t="str">
        <f>_xlfn.IFNA(VLOOKUP(CONCATENATE(AK$4,$C109),'INSER DATA'!$A:$F,7,0),"")</f>
        <v/>
      </c>
      <c r="AL109" s="270" t="str">
        <f>_xlfn.IFNA(VLOOKUP(CONCATENATE(AL$4,$C109),'INSER DATA'!$A:$F,7,0),"")</f>
        <v/>
      </c>
      <c r="AM109" s="270" t="str">
        <f>_xlfn.IFNA(VLOOKUP(CONCATENATE(AM$4,$C109),'INSER DATA'!$A:$F,7,0),"")</f>
        <v/>
      </c>
      <c r="AN109" s="270" t="str">
        <f>_xlfn.IFNA(VLOOKUP(CONCATENATE(AN$4,$C109),'INSER DATA'!$A:$F,7,0),"")</f>
        <v/>
      </c>
      <c r="AO109" s="270" t="str">
        <f>_xlfn.IFNA(VLOOKUP(CONCATENATE(AO$4,$C109),'INSER DATA'!$A:$F,7,0),"")</f>
        <v/>
      </c>
      <c r="AP109" s="270" t="str">
        <f>_xlfn.IFNA(VLOOKUP(CONCATENATE(AP$4,$C109),'INSER DATA'!$A:$F,7,0),"")</f>
        <v/>
      </c>
      <c r="AQ109" s="270" t="str">
        <f>_xlfn.IFNA(VLOOKUP(CONCATENATE(AQ$4,$C109),'INSER DATA'!$A:$F,7,0),"")</f>
        <v/>
      </c>
      <c r="AR109" s="270" t="str">
        <f>_xlfn.IFNA(VLOOKUP(CONCATENATE(AR$4,$C109),'INSER DATA'!$A:$F,7,0),"")</f>
        <v/>
      </c>
      <c r="AS109" s="270" t="str">
        <f>_xlfn.IFNA(VLOOKUP(CONCATENATE(AS$4,$C109),'INSER DATA'!$A:$F,7,0),"")</f>
        <v/>
      </c>
      <c r="AT109" s="270" t="str">
        <f>_xlfn.IFNA(VLOOKUP(CONCATENATE(AT$4,$C109),'INSER DATA'!$A:$F,7,0),"")</f>
        <v/>
      </c>
      <c r="AU109" s="270" t="str">
        <f>_xlfn.IFNA(VLOOKUP(CONCATENATE(AU$4,$C109),'INSER DATA'!$A:$F,7,0),"")</f>
        <v/>
      </c>
      <c r="AV109" s="270" t="str">
        <f>_xlfn.IFNA(VLOOKUP(CONCATENATE(AV$4,$C109),'INSER DATA'!$A:$F,7,0),"")</f>
        <v/>
      </c>
      <c r="AW109" s="270" t="str">
        <f>_xlfn.IFNA(VLOOKUP(CONCATENATE(AW$4,$C109),'INSER DATA'!$A:$F,7,0),"")</f>
        <v/>
      </c>
      <c r="AX109" s="270" t="str">
        <f>_xlfn.IFNA(VLOOKUP(CONCATENATE(AX$4,$C109),'INSER DATA'!$A:$F,7,0),"")</f>
        <v/>
      </c>
      <c r="AY109" s="270" t="str">
        <f>_xlfn.IFNA(VLOOKUP(CONCATENATE(AY$4,$C109),'INSER DATA'!$A:$F,7,0),"")</f>
        <v/>
      </c>
      <c r="AZ109" s="270" t="str">
        <f>_xlfn.IFNA(VLOOKUP(CONCATENATE(AZ$4,$C109),'INSER DATA'!$A:$F,7,0),"")</f>
        <v/>
      </c>
      <c r="BA109" s="270" t="str">
        <f>_xlfn.IFNA(VLOOKUP(CONCATENATE(BA$4,$C109),'INSER DATA'!$A:$F,7,0),"")</f>
        <v/>
      </c>
      <c r="BB109" s="270" t="str">
        <f>_xlfn.IFNA(VLOOKUP(CONCATENATE(BB$4,$C109),'INSER DATA'!$A:$F,7,0),"")</f>
        <v/>
      </c>
      <c r="BC109" s="270" t="str">
        <f>_xlfn.IFNA(VLOOKUP(CONCATENATE(BC$4,$C109),'INSER DATA'!$A:$F,7,0),"")</f>
        <v/>
      </c>
      <c r="BD109" s="270" t="str">
        <f>_xlfn.IFNA(VLOOKUP(CONCATENATE(BD$4,$C109),'INSER DATA'!$A:$F,7,0),"")</f>
        <v/>
      </c>
      <c r="BE109" s="270" t="str">
        <f>_xlfn.IFNA(VLOOKUP(CONCATENATE(BE$4,$C109),'INSER DATA'!$A:$F,7,0),"")</f>
        <v/>
      </c>
      <c r="BF109" s="270" t="str">
        <f>_xlfn.IFNA(VLOOKUP(CONCATENATE(BF$4,$C109),'INSER DATA'!$A:$F,7,0),"")</f>
        <v/>
      </c>
      <c r="BG109" s="270" t="str">
        <f>_xlfn.IFNA(VLOOKUP(CONCATENATE(BG$4,$C109),'INSER DATA'!$A:$F,7,0),"")</f>
        <v/>
      </c>
      <c r="BH109" s="270" t="str">
        <f>_xlfn.IFNA(VLOOKUP(CONCATENATE(BH$4,$C109),'INSER DATA'!$A:$F,7,0),"")</f>
        <v/>
      </c>
      <c r="BI109" s="270" t="str">
        <f>_xlfn.IFNA(VLOOKUP(CONCATENATE(BI$4,$C109),'INSER DATA'!$A:$F,7,0),"")</f>
        <v/>
      </c>
      <c r="BJ109" s="270" t="str">
        <f>_xlfn.IFNA(VLOOKUP(CONCATENATE(BJ$4,$C109),'INSER DATA'!$A:$F,7,0),"")</f>
        <v/>
      </c>
      <c r="BK109" s="270" t="str">
        <f>_xlfn.IFNA(VLOOKUP(CONCATENATE(BK$4,$C109),'INSER DATA'!$A:$F,7,0),"")</f>
        <v/>
      </c>
      <c r="BL109" s="272"/>
      <c r="BM109" s="30"/>
      <c r="BN109" s="30"/>
      <c r="BO109" s="30"/>
      <c r="BP109" s="30"/>
      <c r="BQ109" s="30"/>
      <c r="BR109" s="30"/>
      <c r="BS109" s="30"/>
      <c r="BT109" s="30"/>
      <c r="BU109" s="30"/>
      <c r="BV109" s="30"/>
      <c r="BW109" s="30"/>
      <c r="BX109" s="30"/>
      <c r="BY109" s="30"/>
      <c r="BZ109" s="30"/>
      <c r="CA109" s="30"/>
      <c r="CB109" s="30"/>
      <c r="CC109" s="30"/>
      <c r="CD109" s="30"/>
      <c r="CE109" s="30"/>
      <c r="CF109" s="30"/>
      <c r="CG109" s="30"/>
      <c r="CH109" s="30"/>
      <c r="CI109" s="30"/>
      <c r="CJ109" s="30"/>
      <c r="CK109" s="30"/>
      <c r="CL109" s="30"/>
      <c r="CM109" s="30"/>
      <c r="CN109" s="30"/>
      <c r="CO109" s="30"/>
      <c r="CP109" s="30"/>
      <c r="CQ109" s="30"/>
      <c r="CR109" s="30"/>
      <c r="CS109" s="30"/>
      <c r="CT109" s="30"/>
      <c r="CU109" s="30"/>
      <c r="CV109" s="30"/>
      <c r="CW109" s="30"/>
      <c r="CX109" s="30"/>
      <c r="CY109" s="30"/>
      <c r="CZ109" s="30"/>
      <c r="DA109" s="30"/>
    </row>
    <row r="110" spans="1:105" ht="19.2" thickTop="1" thickBot="1" x14ac:dyDescent="0.4">
      <c r="A110" s="30"/>
      <c r="B110" s="30"/>
      <c r="C110" s="185" t="s">
        <v>441</v>
      </c>
      <c r="D110" s="187" t="s">
        <v>705</v>
      </c>
      <c r="E110" s="35" t="str">
        <f>_xlfn.XLOOKUP(Tabella4[[#This Row],[NOME]],'ROSE SQUADRE'!$N$3:$N$253,'ROSE SQUADRE'!$O$3:$O$253,"")</f>
        <v/>
      </c>
      <c r="F110" s="36" t="s">
        <v>162</v>
      </c>
      <c r="G110" s="43">
        <v>3</v>
      </c>
      <c r="H110" s="43">
        <v>3</v>
      </c>
      <c r="I110" s="44">
        <f t="shared" si="7"/>
        <v>0</v>
      </c>
      <c r="J110" s="37">
        <f t="shared" si="8"/>
        <v>3</v>
      </c>
      <c r="K110" s="38">
        <f t="shared" si="9"/>
        <v>5.666666666666667</v>
      </c>
      <c r="L110" s="38">
        <f t="shared" si="10"/>
        <v>5.666666666666667</v>
      </c>
      <c r="M110" s="39">
        <f t="shared" si="11"/>
        <v>17</v>
      </c>
      <c r="N110" s="45">
        <f t="shared" ca="1" si="12"/>
        <v>0</v>
      </c>
      <c r="O110" s="40">
        <f>SUMIF(Tabella1[Nome],Tabella4[[#This Row],[NOME]],Tabella1[Gf])</f>
        <v>0</v>
      </c>
      <c r="P110" s="40">
        <f>-(SUMIF(Tabella1[Nome],Tabella4[[#This Row],[NOME]],Tabella1[Gs]))</f>
        <v>0</v>
      </c>
      <c r="Q110" s="40">
        <f>SUMIF(Tabella1[Nome],Tabella4[[#This Row],[NOME]],Tabella1[Rp])</f>
        <v>0</v>
      </c>
      <c r="R110" s="40">
        <f>SUMIF(Tabella1[Nome],Tabella4[[#This Row],[NOME]],Tabella1[Rs])</f>
        <v>0</v>
      </c>
      <c r="S110" s="40">
        <f>SUMIF(Tabella1[Nome],Tabella4[[#This Row],[NOME]],Tabella1[Rf])</f>
        <v>0</v>
      </c>
      <c r="T110" s="40">
        <f>SUMIF(Tabella1[Nome],Tabella4[[#This Row],[NOME]],Tabella1[Au])</f>
        <v>0</v>
      </c>
      <c r="U110" s="41">
        <f>SUMIF(Tabella1[Nome],Tabella4[[#This Row],[NOME]],Tabella1[Amm])</f>
        <v>0</v>
      </c>
      <c r="V110" s="42">
        <f>SUMIF(Tabella1[Nome],Tabella4[[#This Row],[NOME]],Tabella1[Esp])</f>
        <v>0</v>
      </c>
      <c r="W110" s="40">
        <f>SUMIF(Tabella1[Nome],Tabella4[[#This Row],[NOME]],Tabella1[Ass])</f>
        <v>0</v>
      </c>
      <c r="X110" s="40">
        <f>SUMIF(Tabella1[Nome],Tabella4[[#This Row],[NOME]],Tabella1[Gdv])</f>
        <v>0</v>
      </c>
      <c r="Y110" s="40">
        <f>SUMIF(Tabella1[Nome],Tabella4[[#This Row],[NOME]],Tabella1[cl sh])</f>
        <v>0</v>
      </c>
      <c r="Z110" s="270">
        <f>_xlfn.IFNA(_xlfn.XLOOKUP(CONCATENATE(Z$4,$C110),Tabella1[CONC X VOTI IN TAB GIOC],Tabella1[Voto],""),"")</f>
        <v>5.5</v>
      </c>
      <c r="AA110" s="270">
        <f>_xlfn.IFNA(_xlfn.XLOOKUP(CONCATENATE(AA$4,$C110),Tabella1[CONC X VOTI IN TAB GIOC],Tabella1[Voto],""),"")</f>
        <v>5.5</v>
      </c>
      <c r="AB110" s="270">
        <f>_xlfn.IFNA(_xlfn.XLOOKUP(CONCATENATE(AB$4,$C110),Tabella1[CONC X VOTI IN TAB GIOC],Tabella1[Voto]),"")</f>
        <v>6</v>
      </c>
      <c r="AC110" s="270" t="str" cm="1">
        <f t="array" ref="AC110">_xlfn.IFNA(_xlfn.XLOOKUP(CONCATENATE(AC$4,$C110),INDEX(Tabella1[],0,MATCH("CONC X VOTI IN TAB GIOC",Tabella1[#Headers],0)),INDEX(Tabella1[],0,MATCH("Voto",Tabella1[#Headers],0))),"")</f>
        <v/>
      </c>
      <c r="AD110" s="270" t="str">
        <f>_xlfn.IFNA(_xlfn.XLOOKUP(CONCATENATE(AD$4,$C110),Tabella1[CONC X VOTI IN TAB GIOC],Tabella1[Voto]),"")</f>
        <v/>
      </c>
      <c r="AE110" s="270" t="str">
        <f>_xlfn.IFNA(VLOOKUP(CONCATENATE(AE$4,$C110),'INSER DATA'!$A:$F,6,0),"")</f>
        <v/>
      </c>
      <c r="AF110" s="270" t="str">
        <f>_xlfn.IFNA(VLOOKUP(CONCATENATE(AF$4,$C110),'INSER DATA'!$A:$F,6,0),"")</f>
        <v/>
      </c>
      <c r="AG110" s="270" t="str">
        <f>_xlfn.IFNA(VLOOKUP(CONCATENATE(AG$4,$C110),'INSER DATA'!$A:$F,6,0),"")</f>
        <v/>
      </c>
      <c r="AH110" s="270" t="str">
        <f>_xlfn.IFNA(VLOOKUP(CONCATENATE(AH$4,$C110),'INSER DATA'!$A:$F,7,0),"")</f>
        <v/>
      </c>
      <c r="AI110" s="270" t="str">
        <f>_xlfn.IFNA(VLOOKUP(CONCATENATE(AI$4,$C110),'INSER DATA'!$A:$F,7,0),"")</f>
        <v/>
      </c>
      <c r="AJ110" s="270" t="str">
        <f>_xlfn.IFNA(VLOOKUP(CONCATENATE(AJ$4,$C110),'INSER DATA'!$A:$F,7,0),"")</f>
        <v/>
      </c>
      <c r="AK110" s="270" t="str">
        <f>_xlfn.IFNA(VLOOKUP(CONCATENATE(AK$4,$C110),'INSER DATA'!$A:$F,7,0),"")</f>
        <v/>
      </c>
      <c r="AL110" s="270" t="str">
        <f>_xlfn.IFNA(VLOOKUP(CONCATENATE(AL$4,$C110),'INSER DATA'!$A:$F,7,0),"")</f>
        <v/>
      </c>
      <c r="AM110" s="270" t="str">
        <f>_xlfn.IFNA(VLOOKUP(CONCATENATE(AM$4,$C110),'INSER DATA'!$A:$F,7,0),"")</f>
        <v/>
      </c>
      <c r="AN110" s="270" t="str">
        <f>_xlfn.IFNA(VLOOKUP(CONCATENATE(AN$4,$C110),'INSER DATA'!$A:$F,7,0),"")</f>
        <v/>
      </c>
      <c r="AO110" s="270" t="str">
        <f>_xlfn.IFNA(VLOOKUP(CONCATENATE(AO$4,$C110),'INSER DATA'!$A:$F,7,0),"")</f>
        <v/>
      </c>
      <c r="AP110" s="270" t="str">
        <f>_xlfn.IFNA(VLOOKUP(CONCATENATE(AP$4,$C110),'INSER DATA'!$A:$F,7,0),"")</f>
        <v/>
      </c>
      <c r="AQ110" s="270" t="str">
        <f>_xlfn.IFNA(VLOOKUP(CONCATENATE(AQ$4,$C110),'INSER DATA'!$A:$F,7,0),"")</f>
        <v/>
      </c>
      <c r="AR110" s="270" t="str">
        <f>_xlfn.IFNA(VLOOKUP(CONCATENATE(AR$4,$C110),'INSER DATA'!$A:$F,7,0),"")</f>
        <v/>
      </c>
      <c r="AS110" s="270" t="str">
        <f>_xlfn.IFNA(VLOOKUP(CONCATENATE(AS$4,$C110),'INSER DATA'!$A:$F,7,0),"")</f>
        <v/>
      </c>
      <c r="AT110" s="270" t="str">
        <f>_xlfn.IFNA(VLOOKUP(CONCATENATE(AT$4,$C110),'INSER DATA'!$A:$F,7,0),"")</f>
        <v/>
      </c>
      <c r="AU110" s="270" t="str">
        <f>_xlfn.IFNA(VLOOKUP(CONCATENATE(AU$4,$C110),'INSER DATA'!$A:$F,7,0),"")</f>
        <v/>
      </c>
      <c r="AV110" s="270" t="str">
        <f>_xlfn.IFNA(VLOOKUP(CONCATENATE(AV$4,$C110),'INSER DATA'!$A:$F,7,0),"")</f>
        <v/>
      </c>
      <c r="AW110" s="270" t="str">
        <f>_xlfn.IFNA(VLOOKUP(CONCATENATE(AW$4,$C110),'INSER DATA'!$A:$F,7,0),"")</f>
        <v/>
      </c>
      <c r="AX110" s="270" t="str">
        <f>_xlfn.IFNA(VLOOKUP(CONCATENATE(AX$4,$C110),'INSER DATA'!$A:$F,7,0),"")</f>
        <v/>
      </c>
      <c r="AY110" s="270" t="str">
        <f>_xlfn.IFNA(VLOOKUP(CONCATENATE(AY$4,$C110),'INSER DATA'!$A:$F,7,0),"")</f>
        <v/>
      </c>
      <c r="AZ110" s="270" t="str">
        <f>_xlfn.IFNA(VLOOKUP(CONCATENATE(AZ$4,$C110),'INSER DATA'!$A:$F,7,0),"")</f>
        <v/>
      </c>
      <c r="BA110" s="270" t="str">
        <f>_xlfn.IFNA(VLOOKUP(CONCATENATE(BA$4,$C110),'INSER DATA'!$A:$F,7,0),"")</f>
        <v/>
      </c>
      <c r="BB110" s="270" t="str">
        <f>_xlfn.IFNA(VLOOKUP(CONCATENATE(BB$4,$C110),'INSER DATA'!$A:$F,7,0),"")</f>
        <v/>
      </c>
      <c r="BC110" s="270" t="str">
        <f>_xlfn.IFNA(VLOOKUP(CONCATENATE(BC$4,$C110),'INSER DATA'!$A:$F,7,0),"")</f>
        <v/>
      </c>
      <c r="BD110" s="270" t="str">
        <f>_xlfn.IFNA(VLOOKUP(CONCATENATE(BD$4,$C110),'INSER DATA'!$A:$F,7,0),"")</f>
        <v/>
      </c>
      <c r="BE110" s="270" t="str">
        <f>_xlfn.IFNA(VLOOKUP(CONCATENATE(BE$4,$C110),'INSER DATA'!$A:$F,7,0),"")</f>
        <v/>
      </c>
      <c r="BF110" s="270" t="str">
        <f>_xlfn.IFNA(VLOOKUP(CONCATENATE(BF$4,$C110),'INSER DATA'!$A:$F,7,0),"")</f>
        <v/>
      </c>
      <c r="BG110" s="270" t="str">
        <f>_xlfn.IFNA(VLOOKUP(CONCATENATE(BG$4,$C110),'INSER DATA'!$A:$F,7,0),"")</f>
        <v/>
      </c>
      <c r="BH110" s="270" t="str">
        <f>_xlfn.IFNA(VLOOKUP(CONCATENATE(BH$4,$C110),'INSER DATA'!$A:$F,7,0),"")</f>
        <v/>
      </c>
      <c r="BI110" s="270" t="str">
        <f>_xlfn.IFNA(VLOOKUP(CONCATENATE(BI$4,$C110),'INSER DATA'!$A:$F,7,0),"")</f>
        <v/>
      </c>
      <c r="BJ110" s="270" t="str">
        <f>_xlfn.IFNA(VLOOKUP(CONCATENATE(BJ$4,$C110),'INSER DATA'!$A:$F,7,0),"")</f>
        <v/>
      </c>
      <c r="BK110" s="270" t="str">
        <f>_xlfn.IFNA(VLOOKUP(CONCATENATE(BK$4,$C110),'INSER DATA'!$A:$F,7,0),"")</f>
        <v/>
      </c>
      <c r="BL110" s="272"/>
      <c r="BM110" s="30"/>
      <c r="BN110" s="30"/>
      <c r="BO110" s="30"/>
      <c r="BP110" s="30"/>
      <c r="BQ110" s="30"/>
      <c r="BR110" s="30"/>
      <c r="BS110" s="30"/>
      <c r="BT110" s="30"/>
      <c r="BU110" s="30"/>
      <c r="BV110" s="30"/>
      <c r="BW110" s="30"/>
      <c r="BX110" s="30"/>
      <c r="BY110" s="30"/>
      <c r="BZ110" s="30"/>
      <c r="CA110" s="30"/>
      <c r="CB110" s="30"/>
      <c r="CC110" s="30"/>
      <c r="CD110" s="30"/>
      <c r="CE110" s="30"/>
      <c r="CF110" s="30"/>
      <c r="CG110" s="30"/>
      <c r="CH110" s="30"/>
      <c r="CI110" s="30"/>
      <c r="CJ110" s="30"/>
      <c r="CK110" s="30"/>
      <c r="CL110" s="30"/>
      <c r="CM110" s="30"/>
      <c r="CN110" s="30"/>
      <c r="CO110" s="30"/>
      <c r="CP110" s="30"/>
      <c r="CQ110" s="30"/>
      <c r="CR110" s="30"/>
      <c r="CS110" s="30"/>
      <c r="CT110" s="30"/>
      <c r="CU110" s="30"/>
      <c r="CV110" s="30"/>
      <c r="CW110" s="30"/>
      <c r="CX110" s="30"/>
      <c r="CY110" s="30"/>
      <c r="CZ110" s="30"/>
      <c r="DA110" s="30"/>
    </row>
    <row r="111" spans="1:105" ht="19.2" thickTop="1" thickBot="1" x14ac:dyDescent="0.4">
      <c r="A111" s="30"/>
      <c r="B111" s="30"/>
      <c r="C111" s="185" t="s">
        <v>342</v>
      </c>
      <c r="D111" s="187" t="s">
        <v>705</v>
      </c>
      <c r="E111" s="35" t="str">
        <f>_xlfn.XLOOKUP(Tabella4[[#This Row],[NOME]],'ROSE SQUADRE'!$N$3:$N$253,'ROSE SQUADRE'!$O$3:$O$253,"")</f>
        <v/>
      </c>
      <c r="F111" s="36" t="s">
        <v>162</v>
      </c>
      <c r="G111" s="43">
        <v>8</v>
      </c>
      <c r="H111" s="43">
        <v>8</v>
      </c>
      <c r="I111" s="44">
        <f t="shared" si="7"/>
        <v>0</v>
      </c>
      <c r="J111" s="37">
        <f t="shared" si="8"/>
        <v>4</v>
      </c>
      <c r="K111" s="38">
        <f t="shared" si="9"/>
        <v>5.875</v>
      </c>
      <c r="L111" s="38">
        <f t="shared" si="10"/>
        <v>6</v>
      </c>
      <c r="M111" s="39">
        <f t="shared" si="11"/>
        <v>24</v>
      </c>
      <c r="N111" s="45">
        <f t="shared" ca="1" si="12"/>
        <v>0</v>
      </c>
      <c r="O111" s="40">
        <f>SUMIF(Tabella1[Nome],Tabella4[[#This Row],[NOME]],Tabella1[Gf])</f>
        <v>0</v>
      </c>
      <c r="P111" s="40">
        <f>-(SUMIF(Tabella1[Nome],Tabella4[[#This Row],[NOME]],Tabella1[Gs]))</f>
        <v>0</v>
      </c>
      <c r="Q111" s="40">
        <f>SUMIF(Tabella1[Nome],Tabella4[[#This Row],[NOME]],Tabella1[Rp])</f>
        <v>0</v>
      </c>
      <c r="R111" s="40">
        <f>SUMIF(Tabella1[Nome],Tabella4[[#This Row],[NOME]],Tabella1[Rs])</f>
        <v>0</v>
      </c>
      <c r="S111" s="40">
        <f>SUMIF(Tabella1[Nome],Tabella4[[#This Row],[NOME]],Tabella1[Rf])</f>
        <v>0</v>
      </c>
      <c r="T111" s="40">
        <f>SUMIF(Tabella1[Nome],Tabella4[[#This Row],[NOME]],Tabella1[Au])</f>
        <v>0</v>
      </c>
      <c r="U111" s="41">
        <f>SUMIF(Tabella1[Nome],Tabella4[[#This Row],[NOME]],Tabella1[Amm])</f>
        <v>1</v>
      </c>
      <c r="V111" s="42">
        <f>SUMIF(Tabella1[Nome],Tabella4[[#This Row],[NOME]],Tabella1[Esp])</f>
        <v>0</v>
      </c>
      <c r="W111" s="40">
        <f>SUMIF(Tabella1[Nome],Tabella4[[#This Row],[NOME]],Tabella1[Ass])</f>
        <v>1</v>
      </c>
      <c r="X111" s="40">
        <f>SUMIF(Tabella1[Nome],Tabella4[[#This Row],[NOME]],Tabella1[Gdv])</f>
        <v>0</v>
      </c>
      <c r="Y111" s="40">
        <f>SUMIF(Tabella1[Nome],Tabella4[[#This Row],[NOME]],Tabella1[cl sh])</f>
        <v>0</v>
      </c>
      <c r="Z111" s="270">
        <f>_xlfn.IFNA(_xlfn.XLOOKUP(CONCATENATE(Z$4,$C111),Tabella1[CONC X VOTI IN TAB GIOC],Tabella1[Voto],""),"")</f>
        <v>5.5</v>
      </c>
      <c r="AA111" s="270">
        <f>_xlfn.IFNA(_xlfn.XLOOKUP(CONCATENATE(AA$4,$C111),Tabella1[CONC X VOTI IN TAB GIOC],Tabella1[Voto],""),"")</f>
        <v>5.5</v>
      </c>
      <c r="AB111" s="270">
        <f>_xlfn.IFNA(_xlfn.XLOOKUP(CONCATENATE(AB$4,$C111),Tabella1[CONC X VOTI IN TAB GIOC],Tabella1[Voto]),"")</f>
        <v>5.5</v>
      </c>
      <c r="AC111" s="270" cm="1">
        <f t="array" ref="AC111">_xlfn.IFNA(_xlfn.XLOOKUP(CONCATENATE(AC$4,$C111),INDEX(Tabella1[],0,MATCH("CONC X VOTI IN TAB GIOC",Tabella1[#Headers],0)),INDEX(Tabella1[],0,MATCH("Voto",Tabella1[#Headers],0))),"")</f>
        <v>7</v>
      </c>
      <c r="AD111" s="270" t="str">
        <f>_xlfn.IFNA(_xlfn.XLOOKUP(CONCATENATE(AD$4,$C111),Tabella1[CONC X VOTI IN TAB GIOC],Tabella1[Voto]),"")</f>
        <v/>
      </c>
      <c r="AE111" s="270" t="str">
        <f>_xlfn.IFNA(VLOOKUP(CONCATENATE(AE$4,$C111),'INSER DATA'!$A:$F,6,0),"")</f>
        <v/>
      </c>
      <c r="AF111" s="270" t="str">
        <f>_xlfn.IFNA(VLOOKUP(CONCATENATE(AF$4,$C111),'INSER DATA'!$A:$F,6,0),"")</f>
        <v/>
      </c>
      <c r="AG111" s="270" t="str">
        <f>_xlfn.IFNA(VLOOKUP(CONCATENATE(AG$4,$C111),'INSER DATA'!$A:$F,6,0),"")</f>
        <v/>
      </c>
      <c r="AH111" s="270" t="str">
        <f>_xlfn.IFNA(VLOOKUP(CONCATENATE(AH$4,$C111),'INSER DATA'!$A:$F,7,0),"")</f>
        <v/>
      </c>
      <c r="AI111" s="270" t="str">
        <f>_xlfn.IFNA(VLOOKUP(CONCATENATE(AI$4,$C111),'INSER DATA'!$A:$F,7,0),"")</f>
        <v/>
      </c>
      <c r="AJ111" s="270" t="str">
        <f>_xlfn.IFNA(VLOOKUP(CONCATENATE(AJ$4,$C111),'INSER DATA'!$A:$F,7,0),"")</f>
        <v/>
      </c>
      <c r="AK111" s="270" t="str">
        <f>_xlfn.IFNA(VLOOKUP(CONCATENATE(AK$4,$C111),'INSER DATA'!$A:$F,7,0),"")</f>
        <v/>
      </c>
      <c r="AL111" s="270" t="str">
        <f>_xlfn.IFNA(VLOOKUP(CONCATENATE(AL$4,$C111),'INSER DATA'!$A:$F,7,0),"")</f>
        <v/>
      </c>
      <c r="AM111" s="270" t="str">
        <f>_xlfn.IFNA(VLOOKUP(CONCATENATE(AM$4,$C111),'INSER DATA'!$A:$F,7,0),"")</f>
        <v/>
      </c>
      <c r="AN111" s="270" t="str">
        <f>_xlfn.IFNA(VLOOKUP(CONCATENATE(AN$4,$C111),'INSER DATA'!$A:$F,7,0),"")</f>
        <v/>
      </c>
      <c r="AO111" s="270" t="str">
        <f>_xlfn.IFNA(VLOOKUP(CONCATENATE(AO$4,$C111),'INSER DATA'!$A:$F,7,0),"")</f>
        <v/>
      </c>
      <c r="AP111" s="270" t="str">
        <f>_xlfn.IFNA(VLOOKUP(CONCATENATE(AP$4,$C111),'INSER DATA'!$A:$F,7,0),"")</f>
        <v/>
      </c>
      <c r="AQ111" s="270" t="str">
        <f>_xlfn.IFNA(VLOOKUP(CONCATENATE(AQ$4,$C111),'INSER DATA'!$A:$F,7,0),"")</f>
        <v/>
      </c>
      <c r="AR111" s="270" t="str">
        <f>_xlfn.IFNA(VLOOKUP(CONCATENATE(AR$4,$C111),'INSER DATA'!$A:$F,7,0),"")</f>
        <v/>
      </c>
      <c r="AS111" s="270" t="str">
        <f>_xlfn.IFNA(VLOOKUP(CONCATENATE(AS$4,$C111),'INSER DATA'!$A:$F,7,0),"")</f>
        <v/>
      </c>
      <c r="AT111" s="270" t="str">
        <f>_xlfn.IFNA(VLOOKUP(CONCATENATE(AT$4,$C111),'INSER DATA'!$A:$F,7,0),"")</f>
        <v/>
      </c>
      <c r="AU111" s="270" t="str">
        <f>_xlfn.IFNA(VLOOKUP(CONCATENATE(AU$4,$C111),'INSER DATA'!$A:$F,7,0),"")</f>
        <v/>
      </c>
      <c r="AV111" s="270" t="str">
        <f>_xlfn.IFNA(VLOOKUP(CONCATENATE(AV$4,$C111),'INSER DATA'!$A:$F,7,0),"")</f>
        <v/>
      </c>
      <c r="AW111" s="270" t="str">
        <f>_xlfn.IFNA(VLOOKUP(CONCATENATE(AW$4,$C111),'INSER DATA'!$A:$F,7,0),"")</f>
        <v/>
      </c>
      <c r="AX111" s="270" t="str">
        <f>_xlfn.IFNA(VLOOKUP(CONCATENATE(AX$4,$C111),'INSER DATA'!$A:$F,7,0),"")</f>
        <v/>
      </c>
      <c r="AY111" s="270" t="str">
        <f>_xlfn.IFNA(VLOOKUP(CONCATENATE(AY$4,$C111),'INSER DATA'!$A:$F,7,0),"")</f>
        <v/>
      </c>
      <c r="AZ111" s="270" t="str">
        <f>_xlfn.IFNA(VLOOKUP(CONCATENATE(AZ$4,$C111),'INSER DATA'!$A:$F,7,0),"")</f>
        <v/>
      </c>
      <c r="BA111" s="270" t="str">
        <f>_xlfn.IFNA(VLOOKUP(CONCATENATE(BA$4,$C111),'INSER DATA'!$A:$F,7,0),"")</f>
        <v/>
      </c>
      <c r="BB111" s="270" t="str">
        <f>_xlfn.IFNA(VLOOKUP(CONCATENATE(BB$4,$C111),'INSER DATA'!$A:$F,7,0),"")</f>
        <v/>
      </c>
      <c r="BC111" s="270" t="str">
        <f>_xlfn.IFNA(VLOOKUP(CONCATENATE(BC$4,$C111),'INSER DATA'!$A:$F,7,0),"")</f>
        <v/>
      </c>
      <c r="BD111" s="270" t="str">
        <f>_xlfn.IFNA(VLOOKUP(CONCATENATE(BD$4,$C111),'INSER DATA'!$A:$F,7,0),"")</f>
        <v/>
      </c>
      <c r="BE111" s="270" t="str">
        <f>_xlfn.IFNA(VLOOKUP(CONCATENATE(BE$4,$C111),'INSER DATA'!$A:$F,7,0),"")</f>
        <v/>
      </c>
      <c r="BF111" s="270" t="str">
        <f>_xlfn.IFNA(VLOOKUP(CONCATENATE(BF$4,$C111),'INSER DATA'!$A:$F,7,0),"")</f>
        <v/>
      </c>
      <c r="BG111" s="270" t="str">
        <f>_xlfn.IFNA(VLOOKUP(CONCATENATE(BG$4,$C111),'INSER DATA'!$A:$F,7,0),"")</f>
        <v/>
      </c>
      <c r="BH111" s="270" t="str">
        <f>_xlfn.IFNA(VLOOKUP(CONCATENATE(BH$4,$C111),'INSER DATA'!$A:$F,7,0),"")</f>
        <v/>
      </c>
      <c r="BI111" s="270" t="str">
        <f>_xlfn.IFNA(VLOOKUP(CONCATENATE(BI$4,$C111),'INSER DATA'!$A:$F,7,0),"")</f>
        <v/>
      </c>
      <c r="BJ111" s="270" t="str">
        <f>_xlfn.IFNA(VLOOKUP(CONCATENATE(BJ$4,$C111),'INSER DATA'!$A:$F,7,0),"")</f>
        <v/>
      </c>
      <c r="BK111" s="270" t="str">
        <f>_xlfn.IFNA(VLOOKUP(CONCATENATE(BK$4,$C111),'INSER DATA'!$A:$F,7,0),"")</f>
        <v/>
      </c>
      <c r="BL111" s="272"/>
      <c r="BM111" s="30"/>
      <c r="BN111" s="30"/>
      <c r="BO111" s="30"/>
      <c r="BP111" s="30"/>
      <c r="BQ111" s="30"/>
      <c r="BR111" s="30"/>
      <c r="BS111" s="30"/>
      <c r="BT111" s="30"/>
      <c r="BU111" s="30"/>
      <c r="BV111" s="30"/>
      <c r="BW111" s="30"/>
      <c r="BX111" s="30"/>
      <c r="BY111" s="30"/>
      <c r="BZ111" s="30"/>
      <c r="CA111" s="30"/>
      <c r="CB111" s="30"/>
      <c r="CC111" s="30"/>
      <c r="CD111" s="30"/>
      <c r="CE111" s="30"/>
      <c r="CF111" s="30"/>
      <c r="CG111" s="30"/>
      <c r="CH111" s="30"/>
      <c r="CI111" s="30"/>
      <c r="CJ111" s="30"/>
      <c r="CK111" s="30"/>
      <c r="CL111" s="30"/>
      <c r="CM111" s="30"/>
      <c r="CN111" s="30"/>
      <c r="CO111" s="30"/>
      <c r="CP111" s="30"/>
      <c r="CQ111" s="30"/>
      <c r="CR111" s="30"/>
      <c r="CS111" s="30"/>
      <c r="CT111" s="30"/>
      <c r="CU111" s="30"/>
      <c r="CV111" s="30"/>
      <c r="CW111" s="30"/>
      <c r="CX111" s="30"/>
      <c r="CY111" s="30"/>
      <c r="CZ111" s="30"/>
      <c r="DA111" s="30"/>
    </row>
    <row r="112" spans="1:105" ht="19.2" thickTop="1" thickBot="1" x14ac:dyDescent="0.4">
      <c r="A112" s="30"/>
      <c r="B112" s="30"/>
      <c r="C112" s="185" t="s">
        <v>718</v>
      </c>
      <c r="D112" s="187" t="s">
        <v>705</v>
      </c>
      <c r="E112" s="35" t="str">
        <f>_xlfn.XLOOKUP(Tabella4[[#This Row],[NOME]],'ROSE SQUADRE'!$N$3:$N$253,'ROSE SQUADRE'!$O$3:$O$253,"")</f>
        <v/>
      </c>
      <c r="F112" s="36" t="s">
        <v>162</v>
      </c>
      <c r="G112" s="43">
        <v>6</v>
      </c>
      <c r="H112" s="43">
        <v>6</v>
      </c>
      <c r="I112" s="44">
        <f t="shared" si="7"/>
        <v>0</v>
      </c>
      <c r="J112" s="37">
        <f t="shared" si="8"/>
        <v>3</v>
      </c>
      <c r="K112" s="178">
        <f t="shared" si="9"/>
        <v>5.666666666666667</v>
      </c>
      <c r="L112" s="178">
        <f t="shared" si="10"/>
        <v>5.666666666666667</v>
      </c>
      <c r="M112" s="179">
        <f t="shared" si="11"/>
        <v>17</v>
      </c>
      <c r="N112" s="45">
        <f t="shared" ca="1" si="12"/>
        <v>0</v>
      </c>
      <c r="O112" s="40">
        <f>SUMIF(Tabella1[Nome],Tabella4[[#This Row],[NOME]],Tabella1[Gf])</f>
        <v>0</v>
      </c>
      <c r="P112" s="40">
        <f>-(SUMIF(Tabella1[Nome],Tabella4[[#This Row],[NOME]],Tabella1[Gs]))</f>
        <v>0</v>
      </c>
      <c r="Q112" s="40">
        <f>SUMIF(Tabella1[Nome],Tabella4[[#This Row],[NOME]],Tabella1[Rp])</f>
        <v>0</v>
      </c>
      <c r="R112" s="40">
        <f>SUMIF(Tabella1[Nome],Tabella4[[#This Row],[NOME]],Tabella1[Rs])</f>
        <v>0</v>
      </c>
      <c r="S112" s="40">
        <f>SUMIF(Tabella1[Nome],Tabella4[[#This Row],[NOME]],Tabella1[Rf])</f>
        <v>0</v>
      </c>
      <c r="T112" s="40">
        <f>SUMIF(Tabella1[Nome],Tabella4[[#This Row],[NOME]],Tabella1[Au])</f>
        <v>0</v>
      </c>
      <c r="U112" s="41">
        <f>SUMIF(Tabella1[Nome],Tabella4[[#This Row],[NOME]],Tabella1[Amm])</f>
        <v>0</v>
      </c>
      <c r="V112" s="42">
        <f>SUMIF(Tabella1[Nome],Tabella4[[#This Row],[NOME]],Tabella1[Esp])</f>
        <v>0</v>
      </c>
      <c r="W112" s="40">
        <f>SUMIF(Tabella1[Nome],Tabella4[[#This Row],[NOME]],Tabella1[Ass])</f>
        <v>0</v>
      </c>
      <c r="X112" s="40">
        <f>SUMIF(Tabella1[Nome],Tabella4[[#This Row],[NOME]],Tabella1[Gdv])</f>
        <v>0</v>
      </c>
      <c r="Y112" s="40">
        <f>SUMIF(Tabella1[Nome],Tabella4[[#This Row],[NOME]],Tabella1[cl sh])</f>
        <v>0</v>
      </c>
      <c r="Z112" s="270">
        <f>_xlfn.IFNA(_xlfn.XLOOKUP(CONCATENATE(Z$4,$C112),Tabella1[CONC X VOTI IN TAB GIOC],Tabella1[Voto],""),"")</f>
        <v>6</v>
      </c>
      <c r="AA112" s="270">
        <f>_xlfn.IFNA(_xlfn.XLOOKUP(CONCATENATE(AA$4,$C112),Tabella1[CONC X VOTI IN TAB GIOC],Tabella1[Voto],""),"")</f>
        <v>5</v>
      </c>
      <c r="AB112" s="270">
        <f>_xlfn.IFNA(_xlfn.XLOOKUP(CONCATENATE(AB$4,$C112),Tabella1[CONC X VOTI IN TAB GIOC],Tabella1[Voto]),"")</f>
        <v>6</v>
      </c>
      <c r="AC112" s="270" t="str" cm="1">
        <f t="array" ref="AC112">_xlfn.IFNA(_xlfn.XLOOKUP(CONCATENATE(AC$4,$C112),INDEX(Tabella1[],0,MATCH("CONC X VOTI IN TAB GIOC",Tabella1[#Headers],0)),INDEX(Tabella1[],0,MATCH("Voto",Tabella1[#Headers],0))),"")</f>
        <v/>
      </c>
      <c r="AD112" s="270" t="str">
        <f>_xlfn.IFNA(_xlfn.XLOOKUP(CONCATENATE(AD$4,$C112),Tabella1[CONC X VOTI IN TAB GIOC],Tabella1[Voto]),"")</f>
        <v/>
      </c>
      <c r="AE112" s="270" t="str">
        <f>_xlfn.IFNA(VLOOKUP(CONCATENATE(AE$4,$C112),'INSER DATA'!$A:$F,6,0),"")</f>
        <v/>
      </c>
      <c r="AF112" s="270" t="str">
        <f>_xlfn.IFNA(VLOOKUP(CONCATENATE(AF$4,$C112),'INSER DATA'!$A:$F,6,0),"")</f>
        <v/>
      </c>
      <c r="AG112" s="270" t="str">
        <f>_xlfn.IFNA(VLOOKUP(CONCATENATE(AG$4,$C112),'INSER DATA'!$A:$F,6,0),"")</f>
        <v/>
      </c>
      <c r="AH112" s="270" t="str">
        <f>_xlfn.IFNA(VLOOKUP(CONCATENATE(AH$4,$C112),'INSER DATA'!$A:$F,7,0),"")</f>
        <v/>
      </c>
      <c r="AI112" s="270" t="str">
        <f>_xlfn.IFNA(VLOOKUP(CONCATENATE(AI$4,$C112),'INSER DATA'!$A:$F,7,0),"")</f>
        <v/>
      </c>
      <c r="AJ112" s="270" t="str">
        <f>_xlfn.IFNA(VLOOKUP(CONCATENATE(AJ$4,$C112),'INSER DATA'!$A:$F,7,0),"")</f>
        <v/>
      </c>
      <c r="AK112" s="270" t="str">
        <f>_xlfn.IFNA(VLOOKUP(CONCATENATE(AK$4,$C112),'INSER DATA'!$A:$F,7,0),"")</f>
        <v/>
      </c>
      <c r="AL112" s="270" t="str">
        <f>_xlfn.IFNA(VLOOKUP(CONCATENATE(AL$4,$C112),'INSER DATA'!$A:$F,7,0),"")</f>
        <v/>
      </c>
      <c r="AM112" s="270" t="str">
        <f>_xlfn.IFNA(VLOOKUP(CONCATENATE(AM$4,$C112),'INSER DATA'!$A:$F,7,0),"")</f>
        <v/>
      </c>
      <c r="AN112" s="270" t="str">
        <f>_xlfn.IFNA(VLOOKUP(CONCATENATE(AN$4,$C112),'INSER DATA'!$A:$F,7,0),"")</f>
        <v/>
      </c>
      <c r="AO112" s="270" t="str">
        <f>_xlfn.IFNA(VLOOKUP(CONCATENATE(AO$4,$C112),'INSER DATA'!$A:$F,7,0),"")</f>
        <v/>
      </c>
      <c r="AP112" s="270" t="str">
        <f>_xlfn.IFNA(VLOOKUP(CONCATENATE(AP$4,$C112),'INSER DATA'!$A:$F,7,0),"")</f>
        <v/>
      </c>
      <c r="AQ112" s="270" t="str">
        <f>_xlfn.IFNA(VLOOKUP(CONCATENATE(AQ$4,$C112),'INSER DATA'!$A:$F,7,0),"")</f>
        <v/>
      </c>
      <c r="AR112" s="270" t="str">
        <f>_xlfn.IFNA(VLOOKUP(CONCATENATE(AR$4,$C112),'INSER DATA'!$A:$F,7,0),"")</f>
        <v/>
      </c>
      <c r="AS112" s="270" t="str">
        <f>_xlfn.IFNA(VLOOKUP(CONCATENATE(AS$4,$C112),'INSER DATA'!$A:$F,7,0),"")</f>
        <v/>
      </c>
      <c r="AT112" s="270" t="str">
        <f>_xlfn.IFNA(VLOOKUP(CONCATENATE(AT$4,$C112),'INSER DATA'!$A:$F,7,0),"")</f>
        <v/>
      </c>
      <c r="AU112" s="270" t="str">
        <f>_xlfn.IFNA(VLOOKUP(CONCATENATE(AU$4,$C112),'INSER DATA'!$A:$F,7,0),"")</f>
        <v/>
      </c>
      <c r="AV112" s="270" t="str">
        <f>_xlfn.IFNA(VLOOKUP(CONCATENATE(AV$4,$C112),'INSER DATA'!$A:$F,7,0),"")</f>
        <v/>
      </c>
      <c r="AW112" s="270" t="str">
        <f>_xlfn.IFNA(VLOOKUP(CONCATENATE(AW$4,$C112),'INSER DATA'!$A:$F,7,0),"")</f>
        <v/>
      </c>
      <c r="AX112" s="270" t="str">
        <f>_xlfn.IFNA(VLOOKUP(CONCATENATE(AX$4,$C112),'INSER DATA'!$A:$F,7,0),"")</f>
        <v/>
      </c>
      <c r="AY112" s="270" t="str">
        <f>_xlfn.IFNA(VLOOKUP(CONCATENATE(AY$4,$C112),'INSER DATA'!$A:$F,7,0),"")</f>
        <v/>
      </c>
      <c r="AZ112" s="270" t="str">
        <f>_xlfn.IFNA(VLOOKUP(CONCATENATE(AZ$4,$C112),'INSER DATA'!$A:$F,7,0),"")</f>
        <v/>
      </c>
      <c r="BA112" s="270" t="str">
        <f>_xlfn.IFNA(VLOOKUP(CONCATENATE(BA$4,$C112),'INSER DATA'!$A:$F,7,0),"")</f>
        <v/>
      </c>
      <c r="BB112" s="270" t="str">
        <f>_xlfn.IFNA(VLOOKUP(CONCATENATE(BB$4,$C112),'INSER DATA'!$A:$F,7,0),"")</f>
        <v/>
      </c>
      <c r="BC112" s="270" t="str">
        <f>_xlfn.IFNA(VLOOKUP(CONCATENATE(BC$4,$C112),'INSER DATA'!$A:$F,7,0),"")</f>
        <v/>
      </c>
      <c r="BD112" s="270" t="str">
        <f>_xlfn.IFNA(VLOOKUP(CONCATENATE(BD$4,$C112),'INSER DATA'!$A:$F,7,0),"")</f>
        <v/>
      </c>
      <c r="BE112" s="270" t="str">
        <f>_xlfn.IFNA(VLOOKUP(CONCATENATE(BE$4,$C112),'INSER DATA'!$A:$F,7,0),"")</f>
        <v/>
      </c>
      <c r="BF112" s="270" t="str">
        <f>_xlfn.IFNA(VLOOKUP(CONCATENATE(BF$4,$C112),'INSER DATA'!$A:$F,7,0),"")</f>
        <v/>
      </c>
      <c r="BG112" s="270" t="str">
        <f>_xlfn.IFNA(VLOOKUP(CONCATENATE(BG$4,$C112),'INSER DATA'!$A:$F,7,0),"")</f>
        <v/>
      </c>
      <c r="BH112" s="270" t="str">
        <f>_xlfn.IFNA(VLOOKUP(CONCATENATE(BH$4,$C112),'INSER DATA'!$A:$F,7,0),"")</f>
        <v/>
      </c>
      <c r="BI112" s="270" t="str">
        <f>_xlfn.IFNA(VLOOKUP(CONCATENATE(BI$4,$C112),'INSER DATA'!$A:$F,7,0),"")</f>
        <v/>
      </c>
      <c r="BJ112" s="270" t="str">
        <f>_xlfn.IFNA(VLOOKUP(CONCATENATE(BJ$4,$C112),'INSER DATA'!$A:$F,7,0),"")</f>
        <v/>
      </c>
      <c r="BK112" s="270" t="str">
        <f>_xlfn.IFNA(VLOOKUP(CONCATENATE(BK$4,$C112),'INSER DATA'!$A:$F,7,0),"")</f>
        <v/>
      </c>
      <c r="BL112" s="272"/>
      <c r="BM112" s="30"/>
      <c r="BN112" s="30"/>
      <c r="BO112" s="30"/>
      <c r="BP112" s="30"/>
      <c r="BQ112" s="30"/>
      <c r="BR112" s="30"/>
      <c r="BS112" s="30"/>
      <c r="BT112" s="30"/>
      <c r="BU112" s="30"/>
      <c r="BV112" s="30"/>
      <c r="BW112" s="30"/>
      <c r="BX112" s="30"/>
      <c r="BY112" s="30"/>
      <c r="BZ112" s="30"/>
      <c r="CA112" s="30"/>
      <c r="CB112" s="30"/>
      <c r="CC112" s="30"/>
      <c r="CD112" s="30"/>
      <c r="CE112" s="30"/>
      <c r="CF112" s="30"/>
      <c r="CG112" s="30"/>
      <c r="CH112" s="30"/>
      <c r="CI112" s="30"/>
      <c r="CJ112" s="30"/>
      <c r="CK112" s="30"/>
      <c r="CL112" s="30"/>
      <c r="CM112" s="30"/>
      <c r="CN112" s="30"/>
      <c r="CO112" s="30"/>
      <c r="CP112" s="30"/>
      <c r="CQ112" s="30"/>
      <c r="CR112" s="30"/>
      <c r="CS112" s="30"/>
      <c r="CT112" s="30"/>
      <c r="CU112" s="30"/>
      <c r="CV112" s="30"/>
      <c r="CW112" s="30"/>
      <c r="CX112" s="30"/>
      <c r="CY112" s="30"/>
      <c r="CZ112" s="30"/>
      <c r="DA112" s="30"/>
    </row>
    <row r="113" spans="1:105" ht="19.2" thickTop="1" thickBot="1" x14ac:dyDescent="0.4">
      <c r="A113" s="30"/>
      <c r="B113" s="30"/>
      <c r="C113" s="356" t="s">
        <v>706</v>
      </c>
      <c r="D113" s="357" t="s">
        <v>705</v>
      </c>
      <c r="E113" s="35" t="str">
        <f>_xlfn.XLOOKUP(Tabella4[[#This Row],[NOME]],'ROSE SQUADRE'!$N$3:$N$253,'ROSE SQUADRE'!$O$3:$O$253,"")</f>
        <v>PESCICULINI</v>
      </c>
      <c r="F113" s="36" t="s">
        <v>5</v>
      </c>
      <c r="G113" s="43">
        <v>13</v>
      </c>
      <c r="H113" s="43">
        <v>12</v>
      </c>
      <c r="I113" s="44">
        <f t="shared" si="7"/>
        <v>-1</v>
      </c>
      <c r="J113" s="37">
        <f t="shared" si="8"/>
        <v>4</v>
      </c>
      <c r="K113" s="38">
        <f t="shared" si="9"/>
        <v>5.625</v>
      </c>
      <c r="L113" s="38">
        <f t="shared" si="10"/>
        <v>2.875</v>
      </c>
      <c r="M113" s="39">
        <f t="shared" si="11"/>
        <v>11.5</v>
      </c>
      <c r="N113" s="45">
        <f t="shared" ca="1" si="12"/>
        <v>0</v>
      </c>
      <c r="O113" s="40">
        <f>SUMIF(Tabella1[Nome],Tabella4[[#This Row],[NOME]],Tabella1[Gf])</f>
        <v>0</v>
      </c>
      <c r="P113" s="40">
        <f>-(SUMIF(Tabella1[Nome],Tabella4[[#This Row],[NOME]],Tabella1[Gs]))</f>
        <v>-11</v>
      </c>
      <c r="Q113" s="40">
        <f>SUMIF(Tabella1[Nome],Tabella4[[#This Row],[NOME]],Tabella1[Rp])</f>
        <v>0</v>
      </c>
      <c r="R113" s="40">
        <f>SUMIF(Tabella1[Nome],Tabella4[[#This Row],[NOME]],Tabella1[Rs])</f>
        <v>0</v>
      </c>
      <c r="S113" s="40">
        <f>SUMIF(Tabella1[Nome],Tabella4[[#This Row],[NOME]],Tabella1[Rf])</f>
        <v>0</v>
      </c>
      <c r="T113" s="40">
        <f>SUMIF(Tabella1[Nome],Tabella4[[#This Row],[NOME]],Tabella1[Au])</f>
        <v>0</v>
      </c>
      <c r="U113" s="41">
        <f>SUMIF(Tabella1[Nome],Tabella4[[#This Row],[NOME]],Tabella1[Amm])</f>
        <v>0</v>
      </c>
      <c r="V113" s="42">
        <f>SUMIF(Tabella1[Nome],Tabella4[[#This Row],[NOME]],Tabella1[Esp])</f>
        <v>0</v>
      </c>
      <c r="W113" s="40">
        <f>SUMIF(Tabella1[Nome],Tabella4[[#This Row],[NOME]],Tabella1[Ass])</f>
        <v>0</v>
      </c>
      <c r="X113" s="40">
        <f>SUMIF(Tabella1[Nome],Tabella4[[#This Row],[NOME]],Tabella1[Gdv])</f>
        <v>0</v>
      </c>
      <c r="Y113" s="40">
        <f>SUMIF(Tabella1[Nome],Tabella4[[#This Row],[NOME]],Tabella1[cl sh])</f>
        <v>0</v>
      </c>
      <c r="Z113" s="270">
        <f>_xlfn.IFNA(_xlfn.XLOOKUP(CONCATENATE(Z$4,$C113),Tabella1[CONC X VOTI IN TAB GIOC],Tabella1[Voto],""),"")</f>
        <v>5.5</v>
      </c>
      <c r="AA113" s="270">
        <f>_xlfn.IFNA(_xlfn.XLOOKUP(CONCATENATE(AA$4,$C113),Tabella1[CONC X VOTI IN TAB GIOC],Tabella1[Voto],""),"")</f>
        <v>5</v>
      </c>
      <c r="AB113" s="270">
        <f>_xlfn.IFNA(_xlfn.XLOOKUP(CONCATENATE(AB$4,$C113),Tabella1[CONC X VOTI IN TAB GIOC],Tabella1[Voto]),"")</f>
        <v>6</v>
      </c>
      <c r="AC113" s="270" cm="1">
        <f t="array" ref="AC113">_xlfn.IFNA(_xlfn.XLOOKUP(CONCATENATE(AC$4,$C113),INDEX(Tabella1[],0,MATCH("CONC X VOTI IN TAB GIOC",Tabella1[#Headers],0)),INDEX(Tabella1[],0,MATCH("Voto",Tabella1[#Headers],0))),"")</f>
        <v>6</v>
      </c>
      <c r="AD113" s="270" t="str">
        <f>_xlfn.IFNA(_xlfn.XLOOKUP(CONCATENATE(AD$4,$C113),Tabella1[CONC X VOTI IN TAB GIOC],Tabella1[Voto]),"")</f>
        <v/>
      </c>
      <c r="AE113" s="270" t="str">
        <f>_xlfn.IFNA(VLOOKUP(CONCATENATE(AE$4,$C113),'INSER DATA'!$A:$F,6,0),"")</f>
        <v/>
      </c>
      <c r="AF113" s="270" t="str">
        <f>_xlfn.IFNA(VLOOKUP(CONCATENATE(AF$4,$C113),'INSER DATA'!$A:$F,6,0),"")</f>
        <v/>
      </c>
      <c r="AG113" s="270" t="str">
        <f>_xlfn.IFNA(VLOOKUP(CONCATENATE(AG$4,$C113),'INSER DATA'!$A:$F,6,0),"")</f>
        <v/>
      </c>
      <c r="AH113" s="270" t="str">
        <f>_xlfn.IFNA(VLOOKUP(CONCATENATE(AH$4,$C113),'INSER DATA'!$A:$F,7,0),"")</f>
        <v/>
      </c>
      <c r="AI113" s="270" t="str">
        <f>_xlfn.IFNA(VLOOKUP(CONCATENATE(AI$4,$C113),'INSER DATA'!$A:$F,7,0),"")</f>
        <v/>
      </c>
      <c r="AJ113" s="270" t="str">
        <f>_xlfn.IFNA(VLOOKUP(CONCATENATE(AJ$4,$C113),'INSER DATA'!$A:$F,7,0),"")</f>
        <v/>
      </c>
      <c r="AK113" s="270" t="str">
        <f>_xlfn.IFNA(VLOOKUP(CONCATENATE(AK$4,$C113),'INSER DATA'!$A:$F,7,0),"")</f>
        <v/>
      </c>
      <c r="AL113" s="270" t="str">
        <f>_xlfn.IFNA(VLOOKUP(CONCATENATE(AL$4,$C113),'INSER DATA'!$A:$F,7,0),"")</f>
        <v/>
      </c>
      <c r="AM113" s="270" t="str">
        <f>_xlfn.IFNA(VLOOKUP(CONCATENATE(AM$4,$C113),'INSER DATA'!$A:$F,7,0),"")</f>
        <v/>
      </c>
      <c r="AN113" s="270" t="str">
        <f>_xlfn.IFNA(VLOOKUP(CONCATENATE(AN$4,$C113),'INSER DATA'!$A:$F,7,0),"")</f>
        <v/>
      </c>
      <c r="AO113" s="270" t="str">
        <f>_xlfn.IFNA(VLOOKUP(CONCATENATE(AO$4,$C113),'INSER DATA'!$A:$F,7,0),"")</f>
        <v/>
      </c>
      <c r="AP113" s="270" t="str">
        <f>_xlfn.IFNA(VLOOKUP(CONCATENATE(AP$4,$C113),'INSER DATA'!$A:$F,7,0),"")</f>
        <v/>
      </c>
      <c r="AQ113" s="270" t="str">
        <f>_xlfn.IFNA(VLOOKUP(CONCATENATE(AQ$4,$C113),'INSER DATA'!$A:$F,7,0),"")</f>
        <v/>
      </c>
      <c r="AR113" s="270" t="str">
        <f>_xlfn.IFNA(VLOOKUP(CONCATENATE(AR$4,$C113),'INSER DATA'!$A:$F,7,0),"")</f>
        <v/>
      </c>
      <c r="AS113" s="270" t="str">
        <f>_xlfn.IFNA(VLOOKUP(CONCATENATE(AS$4,$C113),'INSER DATA'!$A:$F,7,0),"")</f>
        <v/>
      </c>
      <c r="AT113" s="270" t="str">
        <f>_xlfn.IFNA(VLOOKUP(CONCATENATE(AT$4,$C113),'INSER DATA'!$A:$F,7,0),"")</f>
        <v/>
      </c>
      <c r="AU113" s="270" t="str">
        <f>_xlfn.IFNA(VLOOKUP(CONCATENATE(AU$4,$C113),'INSER DATA'!$A:$F,7,0),"")</f>
        <v/>
      </c>
      <c r="AV113" s="270" t="str">
        <f>_xlfn.IFNA(VLOOKUP(CONCATENATE(AV$4,$C113),'INSER DATA'!$A:$F,7,0),"")</f>
        <v/>
      </c>
      <c r="AW113" s="270" t="str">
        <f>_xlfn.IFNA(VLOOKUP(CONCATENATE(AW$4,$C113),'INSER DATA'!$A:$F,7,0),"")</f>
        <v/>
      </c>
      <c r="AX113" s="270" t="str">
        <f>_xlfn.IFNA(VLOOKUP(CONCATENATE(AX$4,$C113),'INSER DATA'!$A:$F,7,0),"")</f>
        <v/>
      </c>
      <c r="AY113" s="270" t="str">
        <f>_xlfn.IFNA(VLOOKUP(CONCATENATE(AY$4,$C113),'INSER DATA'!$A:$F,7,0),"")</f>
        <v/>
      </c>
      <c r="AZ113" s="270" t="str">
        <f>_xlfn.IFNA(VLOOKUP(CONCATENATE(AZ$4,$C113),'INSER DATA'!$A:$F,7,0),"")</f>
        <v/>
      </c>
      <c r="BA113" s="270" t="str">
        <f>_xlfn.IFNA(VLOOKUP(CONCATENATE(BA$4,$C113),'INSER DATA'!$A:$F,7,0),"")</f>
        <v/>
      </c>
      <c r="BB113" s="270" t="str">
        <f>_xlfn.IFNA(VLOOKUP(CONCATENATE(BB$4,$C113),'INSER DATA'!$A:$F,7,0),"")</f>
        <v/>
      </c>
      <c r="BC113" s="270" t="str">
        <f>_xlfn.IFNA(VLOOKUP(CONCATENATE(BC$4,$C113),'INSER DATA'!$A:$F,7,0),"")</f>
        <v/>
      </c>
      <c r="BD113" s="270" t="str">
        <f>_xlfn.IFNA(VLOOKUP(CONCATENATE(BD$4,$C113),'INSER DATA'!$A:$F,7,0),"")</f>
        <v/>
      </c>
      <c r="BE113" s="270" t="str">
        <f>_xlfn.IFNA(VLOOKUP(CONCATENATE(BE$4,$C113),'INSER DATA'!$A:$F,7,0),"")</f>
        <v/>
      </c>
      <c r="BF113" s="270" t="str">
        <f>_xlfn.IFNA(VLOOKUP(CONCATENATE(BF$4,$C113),'INSER DATA'!$A:$F,7,0),"")</f>
        <v/>
      </c>
      <c r="BG113" s="270" t="str">
        <f>_xlfn.IFNA(VLOOKUP(CONCATENATE(BG$4,$C113),'INSER DATA'!$A:$F,7,0),"")</f>
        <v/>
      </c>
      <c r="BH113" s="270" t="str">
        <f>_xlfn.IFNA(VLOOKUP(CONCATENATE(BH$4,$C113),'INSER DATA'!$A:$F,7,0),"")</f>
        <v/>
      </c>
      <c r="BI113" s="270" t="str">
        <f>_xlfn.IFNA(VLOOKUP(CONCATENATE(BI$4,$C113),'INSER DATA'!$A:$F,7,0),"")</f>
        <v/>
      </c>
      <c r="BJ113" s="270" t="str">
        <f>_xlfn.IFNA(VLOOKUP(CONCATENATE(BJ$4,$C113),'INSER DATA'!$A:$F,7,0),"")</f>
        <v/>
      </c>
      <c r="BK113" s="270" t="str">
        <f>_xlfn.IFNA(VLOOKUP(CONCATENATE(BK$4,$C113),'INSER DATA'!$A:$F,7,0),"")</f>
        <v/>
      </c>
      <c r="BL113" s="272"/>
      <c r="BM113" s="30"/>
      <c r="BN113" s="30"/>
      <c r="BO113" s="30"/>
      <c r="BP113" s="30"/>
      <c r="BQ113" s="30"/>
      <c r="BR113" s="30"/>
      <c r="BS113" s="30"/>
      <c r="BT113" s="30"/>
      <c r="BU113" s="30"/>
      <c r="BV113" s="30"/>
      <c r="BW113" s="30"/>
      <c r="BX113" s="30"/>
      <c r="BY113" s="30"/>
      <c r="BZ113" s="30"/>
      <c r="CA113" s="30"/>
      <c r="CB113" s="30"/>
      <c r="CC113" s="30"/>
      <c r="CD113" s="30"/>
      <c r="CE113" s="30"/>
      <c r="CF113" s="30"/>
      <c r="CG113" s="30"/>
      <c r="CH113" s="30"/>
      <c r="CI113" s="30"/>
      <c r="CJ113" s="30"/>
      <c r="CK113" s="30"/>
      <c r="CL113" s="30"/>
      <c r="CM113" s="30"/>
      <c r="CN113" s="30"/>
      <c r="CO113" s="30"/>
      <c r="CP113" s="30"/>
      <c r="CQ113" s="30"/>
      <c r="CR113" s="30"/>
      <c r="CS113" s="30"/>
      <c r="CT113" s="30"/>
      <c r="CU113" s="30"/>
      <c r="CV113" s="30"/>
      <c r="CW113" s="30"/>
      <c r="CX113" s="30"/>
      <c r="CY113" s="30"/>
      <c r="CZ113" s="30"/>
      <c r="DA113" s="30"/>
    </row>
    <row r="114" spans="1:105" ht="19.2" thickTop="1" thickBot="1" x14ac:dyDescent="0.4">
      <c r="A114" s="30"/>
      <c r="B114" s="30"/>
      <c r="C114" s="188" t="s">
        <v>282</v>
      </c>
      <c r="D114" s="187" t="s">
        <v>934</v>
      </c>
      <c r="E114" s="35" t="str">
        <f>_xlfn.XLOOKUP(Tabella4[[#This Row],[NOME]],'ROSE SQUADRE'!$N$3:$N$253,'ROSE SQUADRE'!$O$3:$O$253,"")</f>
        <v/>
      </c>
      <c r="F114" s="36" t="s">
        <v>162</v>
      </c>
      <c r="G114" s="43">
        <v>9</v>
      </c>
      <c r="H114" s="43">
        <v>9</v>
      </c>
      <c r="I114" s="44">
        <f t="shared" si="7"/>
        <v>0</v>
      </c>
      <c r="J114" s="37">
        <f t="shared" si="8"/>
        <v>4</v>
      </c>
      <c r="K114" s="38">
        <f t="shared" si="9"/>
        <v>6.125</v>
      </c>
      <c r="L114" s="38">
        <f t="shared" si="10"/>
        <v>6.875</v>
      </c>
      <c r="M114" s="39">
        <f t="shared" si="11"/>
        <v>27.5</v>
      </c>
      <c r="N114" s="45">
        <f t="shared" ca="1" si="12"/>
        <v>0</v>
      </c>
      <c r="O114" s="40">
        <f>SUMIF(Tabella1[Nome],Tabella4[[#This Row],[NOME]],Tabella1[Gf])</f>
        <v>1</v>
      </c>
      <c r="P114" s="40">
        <f>-(SUMIF(Tabella1[Nome],Tabella4[[#This Row],[NOME]],Tabella1[Gs]))</f>
        <v>0</v>
      </c>
      <c r="Q114" s="40">
        <f>SUMIF(Tabella1[Nome],Tabella4[[#This Row],[NOME]],Tabella1[Rp])</f>
        <v>0</v>
      </c>
      <c r="R114" s="40">
        <f>SUMIF(Tabella1[Nome],Tabella4[[#This Row],[NOME]],Tabella1[Rs])</f>
        <v>0</v>
      </c>
      <c r="S114" s="40">
        <f>SUMIF(Tabella1[Nome],Tabella4[[#This Row],[NOME]],Tabella1[Rf])</f>
        <v>0</v>
      </c>
      <c r="T114" s="40">
        <f>SUMIF(Tabella1[Nome],Tabella4[[#This Row],[NOME]],Tabella1[Au])</f>
        <v>0</v>
      </c>
      <c r="U114" s="41">
        <f>SUMIF(Tabella1[Nome],Tabella4[[#This Row],[NOME]],Tabella1[Amm])</f>
        <v>0</v>
      </c>
      <c r="V114" s="42">
        <f>SUMIF(Tabella1[Nome],Tabella4[[#This Row],[NOME]],Tabella1[Esp])</f>
        <v>0</v>
      </c>
      <c r="W114" s="40">
        <f>SUMIF(Tabella1[Nome],Tabella4[[#This Row],[NOME]],Tabella1[Ass])</f>
        <v>0</v>
      </c>
      <c r="X114" s="40">
        <f>SUMIF(Tabella1[Nome],Tabella4[[#This Row],[NOME]],Tabella1[Gdv])</f>
        <v>0</v>
      </c>
      <c r="Y114" s="40">
        <f>SUMIF(Tabella1[Nome],Tabella4[[#This Row],[NOME]],Tabella1[cl sh])</f>
        <v>0</v>
      </c>
      <c r="Z114" s="270">
        <f>_xlfn.IFNA(_xlfn.XLOOKUP(CONCATENATE(Z$4,$C114),Tabella1[CONC X VOTI IN TAB GIOC],Tabella1[Voto],""),"")</f>
        <v>5</v>
      </c>
      <c r="AA114" s="270">
        <f>_xlfn.IFNA(_xlfn.XLOOKUP(CONCATENATE(AA$4,$C114),Tabella1[CONC X VOTI IN TAB GIOC],Tabella1[Voto],""),"")</f>
        <v>5.5</v>
      </c>
      <c r="AB114" s="270">
        <f>_xlfn.IFNA(_xlfn.XLOOKUP(CONCATENATE(AB$4,$C114),Tabella1[CONC X VOTI IN TAB GIOC],Tabella1[Voto]),"")</f>
        <v>7.5</v>
      </c>
      <c r="AC114" s="270" cm="1">
        <f t="array" ref="AC114">_xlfn.IFNA(_xlfn.XLOOKUP(CONCATENATE(AC$4,$C114),INDEX(Tabella1[],0,MATCH("CONC X VOTI IN TAB GIOC",Tabella1[#Headers],0)),INDEX(Tabella1[],0,MATCH("Voto",Tabella1[#Headers],0))),"")</f>
        <v>6.5</v>
      </c>
      <c r="AD114" s="270" t="str">
        <f>_xlfn.IFNA(_xlfn.XLOOKUP(CONCATENATE(AD$4,$C114),Tabella1[CONC X VOTI IN TAB GIOC],Tabella1[Voto]),"")</f>
        <v/>
      </c>
      <c r="AE114" s="270" t="str">
        <f>_xlfn.IFNA(VLOOKUP(CONCATENATE(AE$4,$C114),'INSER DATA'!$A:$F,6,0),"")</f>
        <v/>
      </c>
      <c r="AF114" s="270" t="str">
        <f>_xlfn.IFNA(VLOOKUP(CONCATENATE(AF$4,$C114),'INSER DATA'!$A:$F,6,0),"")</f>
        <v/>
      </c>
      <c r="AG114" s="270" t="str">
        <f>_xlfn.IFNA(VLOOKUP(CONCATENATE(AG$4,$C114),'INSER DATA'!$A:$F,6,0),"")</f>
        <v/>
      </c>
      <c r="AH114" s="270" t="str">
        <f>_xlfn.IFNA(VLOOKUP(CONCATENATE(AH$4,$C114),'INSER DATA'!$A:$F,7,0),"")</f>
        <v/>
      </c>
      <c r="AI114" s="270" t="str">
        <f>_xlfn.IFNA(VLOOKUP(CONCATENATE(AI$4,$C114),'INSER DATA'!$A:$F,7,0),"")</f>
        <v/>
      </c>
      <c r="AJ114" s="270" t="str">
        <f>_xlfn.IFNA(VLOOKUP(CONCATENATE(AJ$4,$C114),'INSER DATA'!$A:$F,7,0),"")</f>
        <v/>
      </c>
      <c r="AK114" s="270" t="str">
        <f>_xlfn.IFNA(VLOOKUP(CONCATENATE(AK$4,$C114),'INSER DATA'!$A:$F,7,0),"")</f>
        <v/>
      </c>
      <c r="AL114" s="270" t="str">
        <f>_xlfn.IFNA(VLOOKUP(CONCATENATE(AL$4,$C114),'INSER DATA'!$A:$F,7,0),"")</f>
        <v/>
      </c>
      <c r="AM114" s="270" t="str">
        <f>_xlfn.IFNA(VLOOKUP(CONCATENATE(AM$4,$C114),'INSER DATA'!$A:$F,7,0),"")</f>
        <v/>
      </c>
      <c r="AN114" s="270" t="str">
        <f>_xlfn.IFNA(VLOOKUP(CONCATENATE(AN$4,$C114),'INSER DATA'!$A:$F,7,0),"")</f>
        <v/>
      </c>
      <c r="AO114" s="270" t="str">
        <f>_xlfn.IFNA(VLOOKUP(CONCATENATE(AO$4,$C114),'INSER DATA'!$A:$F,7,0),"")</f>
        <v/>
      </c>
      <c r="AP114" s="270" t="str">
        <f>_xlfn.IFNA(VLOOKUP(CONCATENATE(AP$4,$C114),'INSER DATA'!$A:$F,7,0),"")</f>
        <v/>
      </c>
      <c r="AQ114" s="270" t="str">
        <f>_xlfn.IFNA(VLOOKUP(CONCATENATE(AQ$4,$C114),'INSER DATA'!$A:$F,7,0),"")</f>
        <v/>
      </c>
      <c r="AR114" s="270" t="str">
        <f>_xlfn.IFNA(VLOOKUP(CONCATENATE(AR$4,$C114),'INSER DATA'!$A:$F,7,0),"")</f>
        <v/>
      </c>
      <c r="AS114" s="270" t="str">
        <f>_xlfn.IFNA(VLOOKUP(CONCATENATE(AS$4,$C114),'INSER DATA'!$A:$F,7,0),"")</f>
        <v/>
      </c>
      <c r="AT114" s="270" t="str">
        <f>_xlfn.IFNA(VLOOKUP(CONCATENATE(AT$4,$C114),'INSER DATA'!$A:$F,7,0),"")</f>
        <v/>
      </c>
      <c r="AU114" s="270" t="str">
        <f>_xlfn.IFNA(VLOOKUP(CONCATENATE(AU$4,$C114),'INSER DATA'!$A:$F,7,0),"")</f>
        <v/>
      </c>
      <c r="AV114" s="270" t="str">
        <f>_xlfn.IFNA(VLOOKUP(CONCATENATE(AV$4,$C114),'INSER DATA'!$A:$F,7,0),"")</f>
        <v/>
      </c>
      <c r="AW114" s="270" t="str">
        <f>_xlfn.IFNA(VLOOKUP(CONCATENATE(AW$4,$C114),'INSER DATA'!$A:$F,7,0),"")</f>
        <v/>
      </c>
      <c r="AX114" s="270" t="str">
        <f>_xlfn.IFNA(VLOOKUP(CONCATENATE(AX$4,$C114),'INSER DATA'!$A:$F,7,0),"")</f>
        <v/>
      </c>
      <c r="AY114" s="270" t="str">
        <f>_xlfn.IFNA(VLOOKUP(CONCATENATE(AY$4,$C114),'INSER DATA'!$A:$F,7,0),"")</f>
        <v/>
      </c>
      <c r="AZ114" s="270" t="str">
        <f>_xlfn.IFNA(VLOOKUP(CONCATENATE(AZ$4,$C114),'INSER DATA'!$A:$F,7,0),"")</f>
        <v/>
      </c>
      <c r="BA114" s="270" t="str">
        <f>_xlfn.IFNA(VLOOKUP(CONCATENATE(BA$4,$C114),'INSER DATA'!$A:$F,7,0),"")</f>
        <v/>
      </c>
      <c r="BB114" s="270" t="str">
        <f>_xlfn.IFNA(VLOOKUP(CONCATENATE(BB$4,$C114),'INSER DATA'!$A:$F,7,0),"")</f>
        <v/>
      </c>
      <c r="BC114" s="270" t="str">
        <f>_xlfn.IFNA(VLOOKUP(CONCATENATE(BC$4,$C114),'INSER DATA'!$A:$F,7,0),"")</f>
        <v/>
      </c>
      <c r="BD114" s="270" t="str">
        <f>_xlfn.IFNA(VLOOKUP(CONCATENATE(BD$4,$C114),'INSER DATA'!$A:$F,7,0),"")</f>
        <v/>
      </c>
      <c r="BE114" s="270" t="str">
        <f>_xlfn.IFNA(VLOOKUP(CONCATENATE(BE$4,$C114),'INSER DATA'!$A:$F,7,0),"")</f>
        <v/>
      </c>
      <c r="BF114" s="270" t="str">
        <f>_xlfn.IFNA(VLOOKUP(CONCATENATE(BF$4,$C114),'INSER DATA'!$A:$F,7,0),"")</f>
        <v/>
      </c>
      <c r="BG114" s="270" t="str">
        <f>_xlfn.IFNA(VLOOKUP(CONCATENATE(BG$4,$C114),'INSER DATA'!$A:$F,7,0),"")</f>
        <v/>
      </c>
      <c r="BH114" s="270" t="str">
        <f>_xlfn.IFNA(VLOOKUP(CONCATENATE(BH$4,$C114),'INSER DATA'!$A:$F,7,0),"")</f>
        <v/>
      </c>
      <c r="BI114" s="270" t="str">
        <f>_xlfn.IFNA(VLOOKUP(CONCATENATE(BI$4,$C114),'INSER DATA'!$A:$F,7,0),"")</f>
        <v/>
      </c>
      <c r="BJ114" s="270" t="str">
        <f>_xlfn.IFNA(VLOOKUP(CONCATENATE(BJ$4,$C114),'INSER DATA'!$A:$F,7,0),"")</f>
        <v/>
      </c>
      <c r="BK114" s="270" t="str">
        <f>_xlfn.IFNA(VLOOKUP(CONCATENATE(BK$4,$C114),'INSER DATA'!$A:$F,7,0),"")</f>
        <v/>
      </c>
      <c r="BL114" s="272"/>
      <c r="BM114" s="30"/>
      <c r="BN114" s="30"/>
      <c r="BO114" s="30"/>
      <c r="BP114" s="30"/>
      <c r="BQ114" s="30"/>
      <c r="BR114" s="30"/>
      <c r="BS114" s="30"/>
      <c r="BT114" s="30"/>
      <c r="BU114" s="30"/>
      <c r="BV114" s="30"/>
      <c r="BW114" s="30"/>
      <c r="BX114" s="30"/>
      <c r="BY114" s="30"/>
      <c r="BZ114" s="30"/>
      <c r="CA114" s="30"/>
      <c r="CB114" s="30"/>
      <c r="CC114" s="30"/>
      <c r="CD114" s="30"/>
      <c r="CE114" s="30"/>
      <c r="CF114" s="30"/>
      <c r="CG114" s="30"/>
      <c r="CH114" s="30"/>
      <c r="CI114" s="30"/>
      <c r="CJ114" s="30"/>
      <c r="CK114" s="30"/>
      <c r="CL114" s="30"/>
      <c r="CM114" s="30"/>
      <c r="CN114" s="30"/>
      <c r="CO114" s="30"/>
      <c r="CP114" s="30"/>
      <c r="CQ114" s="30"/>
      <c r="CR114" s="30"/>
      <c r="CS114" s="30"/>
      <c r="CT114" s="30"/>
      <c r="CU114" s="30"/>
      <c r="CV114" s="30"/>
      <c r="CW114" s="30"/>
      <c r="CX114" s="30"/>
      <c r="CY114" s="30"/>
      <c r="CZ114" s="30"/>
      <c r="DA114" s="30"/>
    </row>
    <row r="115" spans="1:105" ht="19.2" thickTop="1" thickBot="1" x14ac:dyDescent="0.4">
      <c r="A115" s="30"/>
      <c r="B115" s="30"/>
      <c r="C115" s="356" t="s">
        <v>716</v>
      </c>
      <c r="D115" s="355" t="s">
        <v>705</v>
      </c>
      <c r="E115" s="35" t="str">
        <f>_xlfn.XLOOKUP(Tabella4[[#This Row],[NOME]],'ROSE SQUADRE'!$N$3:$N$253,'ROSE SQUADRE'!$O$3:$O$253,"")</f>
        <v>AC ASPARAGHESE</v>
      </c>
      <c r="F115" s="36" t="s">
        <v>162</v>
      </c>
      <c r="G115" s="43">
        <v>12</v>
      </c>
      <c r="H115" s="43">
        <v>12</v>
      </c>
      <c r="I115" s="44">
        <f t="shared" si="7"/>
        <v>0</v>
      </c>
      <c r="J115" s="37">
        <f t="shared" si="8"/>
        <v>4</v>
      </c>
      <c r="K115" s="178">
        <f t="shared" si="9"/>
        <v>6.125</v>
      </c>
      <c r="L115" s="178">
        <f t="shared" si="10"/>
        <v>8.375</v>
      </c>
      <c r="M115" s="179">
        <f t="shared" si="11"/>
        <v>33.5</v>
      </c>
      <c r="N115" s="45">
        <f t="shared" ca="1" si="12"/>
        <v>0</v>
      </c>
      <c r="O115" s="40">
        <f>SUMIF(Tabella1[Nome],Tabella4[[#This Row],[NOME]],Tabella1[Gf])</f>
        <v>3</v>
      </c>
      <c r="P115" s="40">
        <f>-(SUMIF(Tabella1[Nome],Tabella4[[#This Row],[NOME]],Tabella1[Gs]))</f>
        <v>0</v>
      </c>
      <c r="Q115" s="40">
        <f>SUMIF(Tabella1[Nome],Tabella4[[#This Row],[NOME]],Tabella1[Rp])</f>
        <v>0</v>
      </c>
      <c r="R115" s="40">
        <f>SUMIF(Tabella1[Nome],Tabella4[[#This Row],[NOME]],Tabella1[Rs])</f>
        <v>0</v>
      </c>
      <c r="S115" s="40">
        <f>SUMIF(Tabella1[Nome],Tabella4[[#This Row],[NOME]],Tabella1[Rf])</f>
        <v>0</v>
      </c>
      <c r="T115" s="40">
        <f>SUMIF(Tabella1[Nome],Tabella4[[#This Row],[NOME]],Tabella1[Au])</f>
        <v>0</v>
      </c>
      <c r="U115" s="41">
        <f>SUMIF(Tabella1[Nome],Tabella4[[#This Row],[NOME]],Tabella1[Amm])</f>
        <v>0</v>
      </c>
      <c r="V115" s="42">
        <f>SUMIF(Tabella1[Nome],Tabella4[[#This Row],[NOME]],Tabella1[Esp])</f>
        <v>0</v>
      </c>
      <c r="W115" s="40">
        <f>SUMIF(Tabella1[Nome],Tabella4[[#This Row],[NOME]],Tabella1[Ass])</f>
        <v>0</v>
      </c>
      <c r="X115" s="40">
        <f>SUMIF(Tabella1[Nome],Tabella4[[#This Row],[NOME]],Tabella1[Gdv])</f>
        <v>0</v>
      </c>
      <c r="Y115" s="40">
        <f>SUMIF(Tabella1[Nome],Tabella4[[#This Row],[NOME]],Tabella1[cl sh])</f>
        <v>0</v>
      </c>
      <c r="Z115" s="270">
        <f>_xlfn.IFNA(_xlfn.XLOOKUP(CONCATENATE(Z$4,$C115),Tabella1[CONC X VOTI IN TAB GIOC],Tabella1[Voto],""),"")</f>
        <v>5.5</v>
      </c>
      <c r="AA115" s="270">
        <f>_xlfn.IFNA(_xlfn.XLOOKUP(CONCATENATE(AA$4,$C115),Tabella1[CONC X VOTI IN TAB GIOC],Tabella1[Voto],""),"")</f>
        <v>5</v>
      </c>
      <c r="AB115" s="270">
        <f>_xlfn.IFNA(_xlfn.XLOOKUP(CONCATENATE(AB$4,$C115),Tabella1[CONC X VOTI IN TAB GIOC],Tabella1[Voto]),"")</f>
        <v>5.5</v>
      </c>
      <c r="AC115" s="270" cm="1">
        <f t="array" ref="AC115">_xlfn.IFNA(_xlfn.XLOOKUP(CONCATENATE(AC$4,$C115),INDEX(Tabella1[],0,MATCH("CONC X VOTI IN TAB GIOC",Tabella1[#Headers],0)),INDEX(Tabella1[],0,MATCH("Voto",Tabella1[#Headers],0))),"")</f>
        <v>8.5</v>
      </c>
      <c r="AD115" s="270" t="str">
        <f>_xlfn.IFNA(_xlfn.XLOOKUP(CONCATENATE(AD$4,$C115),Tabella1[CONC X VOTI IN TAB GIOC],Tabella1[Voto]),"")</f>
        <v/>
      </c>
      <c r="AE115" s="270" t="str">
        <f>_xlfn.IFNA(VLOOKUP(CONCATENATE(AE$4,$C115),'INSER DATA'!$A:$F,6,0),"")</f>
        <v/>
      </c>
      <c r="AF115" s="270" t="str">
        <f>_xlfn.IFNA(VLOOKUP(CONCATENATE(AF$4,$C115),'INSER DATA'!$A:$F,6,0),"")</f>
        <v/>
      </c>
      <c r="AG115" s="270" t="str">
        <f>_xlfn.IFNA(VLOOKUP(CONCATENATE(AG$4,$C115),'INSER DATA'!$A:$F,6,0),"")</f>
        <v/>
      </c>
      <c r="AH115" s="270" t="str">
        <f>_xlfn.IFNA(VLOOKUP(CONCATENATE(AH$4,$C115),'INSER DATA'!$A:$F,7,0),"")</f>
        <v/>
      </c>
      <c r="AI115" s="270" t="str">
        <f>_xlfn.IFNA(VLOOKUP(CONCATENATE(AI$4,$C115),'INSER DATA'!$A:$F,7,0),"")</f>
        <v/>
      </c>
      <c r="AJ115" s="270" t="str">
        <f>_xlfn.IFNA(VLOOKUP(CONCATENATE(AJ$4,$C115),'INSER DATA'!$A:$F,7,0),"")</f>
        <v/>
      </c>
      <c r="AK115" s="270" t="str">
        <f>_xlfn.IFNA(VLOOKUP(CONCATENATE(AK$4,$C115),'INSER DATA'!$A:$F,7,0),"")</f>
        <v/>
      </c>
      <c r="AL115" s="270" t="str">
        <f>_xlfn.IFNA(VLOOKUP(CONCATENATE(AL$4,$C115),'INSER DATA'!$A:$F,7,0),"")</f>
        <v/>
      </c>
      <c r="AM115" s="270" t="str">
        <f>_xlfn.IFNA(VLOOKUP(CONCATENATE(AM$4,$C115),'INSER DATA'!$A:$F,7,0),"")</f>
        <v/>
      </c>
      <c r="AN115" s="270" t="str">
        <f>_xlfn.IFNA(VLOOKUP(CONCATENATE(AN$4,$C115),'INSER DATA'!$A:$F,7,0),"")</f>
        <v/>
      </c>
      <c r="AO115" s="270" t="str">
        <f>_xlfn.IFNA(VLOOKUP(CONCATENATE(AO$4,$C115),'INSER DATA'!$A:$F,7,0),"")</f>
        <v/>
      </c>
      <c r="AP115" s="270" t="str">
        <f>_xlfn.IFNA(VLOOKUP(CONCATENATE(AP$4,$C115),'INSER DATA'!$A:$F,7,0),"")</f>
        <v/>
      </c>
      <c r="AQ115" s="270" t="str">
        <f>_xlfn.IFNA(VLOOKUP(CONCATENATE(AQ$4,$C115),'INSER DATA'!$A:$F,7,0),"")</f>
        <v/>
      </c>
      <c r="AR115" s="270" t="str">
        <f>_xlfn.IFNA(VLOOKUP(CONCATENATE(AR$4,$C115),'INSER DATA'!$A:$F,7,0),"")</f>
        <v/>
      </c>
      <c r="AS115" s="270" t="str">
        <f>_xlfn.IFNA(VLOOKUP(CONCATENATE(AS$4,$C115),'INSER DATA'!$A:$F,7,0),"")</f>
        <v/>
      </c>
      <c r="AT115" s="270" t="str">
        <f>_xlfn.IFNA(VLOOKUP(CONCATENATE(AT$4,$C115),'INSER DATA'!$A:$F,7,0),"")</f>
        <v/>
      </c>
      <c r="AU115" s="270" t="str">
        <f>_xlfn.IFNA(VLOOKUP(CONCATENATE(AU$4,$C115),'INSER DATA'!$A:$F,7,0),"")</f>
        <v/>
      </c>
      <c r="AV115" s="270" t="str">
        <f>_xlfn.IFNA(VLOOKUP(CONCATENATE(AV$4,$C115),'INSER DATA'!$A:$F,7,0),"")</f>
        <v/>
      </c>
      <c r="AW115" s="270" t="str">
        <f>_xlfn.IFNA(VLOOKUP(CONCATENATE(AW$4,$C115),'INSER DATA'!$A:$F,7,0),"")</f>
        <v/>
      </c>
      <c r="AX115" s="270" t="str">
        <f>_xlfn.IFNA(VLOOKUP(CONCATENATE(AX$4,$C115),'INSER DATA'!$A:$F,7,0),"")</f>
        <v/>
      </c>
      <c r="AY115" s="270" t="str">
        <f>_xlfn.IFNA(VLOOKUP(CONCATENATE(AY$4,$C115),'INSER DATA'!$A:$F,7,0),"")</f>
        <v/>
      </c>
      <c r="AZ115" s="270" t="str">
        <f>_xlfn.IFNA(VLOOKUP(CONCATENATE(AZ$4,$C115),'INSER DATA'!$A:$F,7,0),"")</f>
        <v/>
      </c>
      <c r="BA115" s="270" t="str">
        <f>_xlfn.IFNA(VLOOKUP(CONCATENATE(BA$4,$C115),'INSER DATA'!$A:$F,7,0),"")</f>
        <v/>
      </c>
      <c r="BB115" s="270" t="str">
        <f>_xlfn.IFNA(VLOOKUP(CONCATENATE(BB$4,$C115),'INSER DATA'!$A:$F,7,0),"")</f>
        <v/>
      </c>
      <c r="BC115" s="270" t="str">
        <f>_xlfn.IFNA(VLOOKUP(CONCATENATE(BC$4,$C115),'INSER DATA'!$A:$F,7,0),"")</f>
        <v/>
      </c>
      <c r="BD115" s="270" t="str">
        <f>_xlfn.IFNA(VLOOKUP(CONCATENATE(BD$4,$C115),'INSER DATA'!$A:$F,7,0),"")</f>
        <v/>
      </c>
      <c r="BE115" s="270" t="str">
        <f>_xlfn.IFNA(VLOOKUP(CONCATENATE(BE$4,$C115),'INSER DATA'!$A:$F,7,0),"")</f>
        <v/>
      </c>
      <c r="BF115" s="270" t="str">
        <f>_xlfn.IFNA(VLOOKUP(CONCATENATE(BF$4,$C115),'INSER DATA'!$A:$F,7,0),"")</f>
        <v/>
      </c>
      <c r="BG115" s="270" t="str">
        <f>_xlfn.IFNA(VLOOKUP(CONCATENATE(BG$4,$C115),'INSER DATA'!$A:$F,7,0),"")</f>
        <v/>
      </c>
      <c r="BH115" s="270" t="str">
        <f>_xlfn.IFNA(VLOOKUP(CONCATENATE(BH$4,$C115),'INSER DATA'!$A:$F,7,0),"")</f>
        <v/>
      </c>
      <c r="BI115" s="270" t="str">
        <f>_xlfn.IFNA(VLOOKUP(CONCATENATE(BI$4,$C115),'INSER DATA'!$A:$F,7,0),"")</f>
        <v/>
      </c>
      <c r="BJ115" s="270" t="str">
        <f>_xlfn.IFNA(VLOOKUP(CONCATENATE(BJ$4,$C115),'INSER DATA'!$A:$F,7,0),"")</f>
        <v/>
      </c>
      <c r="BK115" s="270" t="str">
        <f>_xlfn.IFNA(VLOOKUP(CONCATENATE(BK$4,$C115),'INSER DATA'!$A:$F,7,0),"")</f>
        <v/>
      </c>
      <c r="BL115" s="272"/>
      <c r="BM115" s="30"/>
      <c r="BN115" s="30"/>
      <c r="BO115" s="30"/>
      <c r="BP115" s="30"/>
      <c r="BQ115" s="30"/>
      <c r="BR115" s="30"/>
      <c r="BS115" s="30"/>
      <c r="BT115" s="30"/>
      <c r="BU115" s="30"/>
      <c r="BV115" s="30"/>
      <c r="BW115" s="30"/>
      <c r="BX115" s="30"/>
      <c r="BY115" s="30"/>
      <c r="BZ115" s="30"/>
      <c r="CA115" s="30"/>
      <c r="CB115" s="30"/>
      <c r="CC115" s="30"/>
      <c r="CD115" s="30"/>
      <c r="CE115" s="30"/>
      <c r="CF115" s="30"/>
      <c r="CG115" s="30"/>
      <c r="CH115" s="30"/>
      <c r="CI115" s="30"/>
      <c r="CJ115" s="30"/>
      <c r="CK115" s="30"/>
      <c r="CL115" s="30"/>
      <c r="CM115" s="30"/>
      <c r="CN115" s="30"/>
      <c r="CO115" s="30"/>
      <c r="CP115" s="30"/>
      <c r="CQ115" s="30"/>
      <c r="CR115" s="30"/>
      <c r="CS115" s="30"/>
      <c r="CT115" s="30"/>
      <c r="CU115" s="30"/>
      <c r="CV115" s="30"/>
      <c r="CW115" s="30"/>
      <c r="CX115" s="30"/>
      <c r="CY115" s="30"/>
      <c r="CZ115" s="30"/>
      <c r="DA115" s="30"/>
    </row>
    <row r="116" spans="1:105" ht="19.2" thickTop="1" thickBot="1" x14ac:dyDescent="0.4">
      <c r="A116" s="30"/>
      <c r="B116" s="30"/>
      <c r="C116" s="356" t="s">
        <v>708</v>
      </c>
      <c r="D116" s="357" t="s">
        <v>705</v>
      </c>
      <c r="E116" s="35" t="str">
        <f>_xlfn.XLOOKUP(Tabella4[[#This Row],[NOME]],'ROSE SQUADRE'!$N$3:$N$253,'ROSE SQUADRE'!$O$3:$O$253,"")</f>
        <v>AC ASPARAGHESE</v>
      </c>
      <c r="F116" s="36" t="s">
        <v>161</v>
      </c>
      <c r="G116" s="43">
        <v>10</v>
      </c>
      <c r="H116" s="43">
        <v>10</v>
      </c>
      <c r="I116" s="44">
        <f t="shared" si="7"/>
        <v>0</v>
      </c>
      <c r="J116" s="37">
        <f t="shared" si="8"/>
        <v>1</v>
      </c>
      <c r="K116" s="178">
        <f t="shared" si="9"/>
        <v>5</v>
      </c>
      <c r="L116" s="178">
        <f t="shared" si="10"/>
        <v>5</v>
      </c>
      <c r="M116" s="179">
        <f t="shared" si="11"/>
        <v>5</v>
      </c>
      <c r="N116" s="45">
        <f t="shared" ca="1" si="12"/>
        <v>0</v>
      </c>
      <c r="O116" s="40">
        <f>SUMIF(Tabella1[Nome],Tabella4[[#This Row],[NOME]],Tabella1[Gf])</f>
        <v>0</v>
      </c>
      <c r="P116" s="40">
        <f>-(SUMIF(Tabella1[Nome],Tabella4[[#This Row],[NOME]],Tabella1[Gs]))</f>
        <v>0</v>
      </c>
      <c r="Q116" s="40">
        <f>SUMIF(Tabella1[Nome],Tabella4[[#This Row],[NOME]],Tabella1[Rp])</f>
        <v>0</v>
      </c>
      <c r="R116" s="40">
        <f>SUMIF(Tabella1[Nome],Tabella4[[#This Row],[NOME]],Tabella1[Rs])</f>
        <v>0</v>
      </c>
      <c r="S116" s="40">
        <f>SUMIF(Tabella1[Nome],Tabella4[[#This Row],[NOME]],Tabella1[Rf])</f>
        <v>0</v>
      </c>
      <c r="T116" s="40">
        <f>SUMIF(Tabella1[Nome],Tabella4[[#This Row],[NOME]],Tabella1[Au])</f>
        <v>0</v>
      </c>
      <c r="U116" s="41">
        <f>SUMIF(Tabella1[Nome],Tabella4[[#This Row],[NOME]],Tabella1[Amm])</f>
        <v>0</v>
      </c>
      <c r="V116" s="42">
        <f>SUMIF(Tabella1[Nome],Tabella4[[#This Row],[NOME]],Tabella1[Esp])</f>
        <v>0</v>
      </c>
      <c r="W116" s="40">
        <f>SUMIF(Tabella1[Nome],Tabella4[[#This Row],[NOME]],Tabella1[Ass])</f>
        <v>0</v>
      </c>
      <c r="X116" s="40">
        <f>SUMIF(Tabella1[Nome],Tabella4[[#This Row],[NOME]],Tabella1[Gdv])</f>
        <v>0</v>
      </c>
      <c r="Y116" s="40">
        <f>SUMIF(Tabella1[Nome],Tabella4[[#This Row],[NOME]],Tabella1[cl sh])</f>
        <v>0</v>
      </c>
      <c r="Z116" s="270">
        <f>_xlfn.IFNA(_xlfn.XLOOKUP(CONCATENATE(Z$4,$C116),Tabella1[CONC X VOTI IN TAB GIOC],Tabella1[Voto],""),"")</f>
        <v>5</v>
      </c>
      <c r="AA116" s="270" t="str">
        <f>_xlfn.IFNA(_xlfn.XLOOKUP(CONCATENATE(AA$4,$C116),Tabella1[CONC X VOTI IN TAB GIOC],Tabella1[Voto],""),"")</f>
        <v/>
      </c>
      <c r="AB116" s="270" t="str">
        <f>_xlfn.IFNA(_xlfn.XLOOKUP(CONCATENATE(AB$4,$C116),Tabella1[CONC X VOTI IN TAB GIOC],Tabella1[Voto]),"")</f>
        <v/>
      </c>
      <c r="AC116" s="270" t="str" cm="1">
        <f t="array" ref="AC116">_xlfn.IFNA(_xlfn.XLOOKUP(CONCATENATE(AC$4,$C116),INDEX(Tabella1[],0,MATCH("CONC X VOTI IN TAB GIOC",Tabella1[#Headers],0)),INDEX(Tabella1[],0,MATCH("Voto",Tabella1[#Headers],0))),"")</f>
        <v/>
      </c>
      <c r="AD116" s="270" t="str">
        <f>_xlfn.IFNA(_xlfn.XLOOKUP(CONCATENATE(AD$4,$C116),Tabella1[CONC X VOTI IN TAB GIOC],Tabella1[Voto]),"")</f>
        <v/>
      </c>
      <c r="AE116" s="270" t="str">
        <f>_xlfn.IFNA(VLOOKUP(CONCATENATE(AE$4,$C116),'INSER DATA'!$A:$F,6,0),"")</f>
        <v/>
      </c>
      <c r="AF116" s="270" t="str">
        <f>_xlfn.IFNA(VLOOKUP(CONCATENATE(AF$4,$C116),'INSER DATA'!$A:$F,6,0),"")</f>
        <v/>
      </c>
      <c r="AG116" s="270" t="str">
        <f>_xlfn.IFNA(VLOOKUP(CONCATENATE(AG$4,$C116),'INSER DATA'!$A:$F,6,0),"")</f>
        <v/>
      </c>
      <c r="AH116" s="270" t="str">
        <f>_xlfn.IFNA(VLOOKUP(CONCATENATE(AH$4,$C116),'INSER DATA'!$A:$F,7,0),"")</f>
        <v/>
      </c>
      <c r="AI116" s="270" t="str">
        <f>_xlfn.IFNA(VLOOKUP(CONCATENATE(AI$4,$C116),'INSER DATA'!$A:$F,7,0),"")</f>
        <v/>
      </c>
      <c r="AJ116" s="270" t="str">
        <f>_xlfn.IFNA(VLOOKUP(CONCATENATE(AJ$4,$C116),'INSER DATA'!$A:$F,7,0),"")</f>
        <v/>
      </c>
      <c r="AK116" s="270" t="str">
        <f>_xlfn.IFNA(VLOOKUP(CONCATENATE(AK$4,$C116),'INSER DATA'!$A:$F,7,0),"")</f>
        <v/>
      </c>
      <c r="AL116" s="270" t="str">
        <f>_xlfn.IFNA(VLOOKUP(CONCATENATE(AL$4,$C116),'INSER DATA'!$A:$F,7,0),"")</f>
        <v/>
      </c>
      <c r="AM116" s="270" t="str">
        <f>_xlfn.IFNA(VLOOKUP(CONCATENATE(AM$4,$C116),'INSER DATA'!$A:$F,7,0),"")</f>
        <v/>
      </c>
      <c r="AN116" s="270" t="str">
        <f>_xlfn.IFNA(VLOOKUP(CONCATENATE(AN$4,$C116),'INSER DATA'!$A:$F,7,0),"")</f>
        <v/>
      </c>
      <c r="AO116" s="270" t="str">
        <f>_xlfn.IFNA(VLOOKUP(CONCATENATE(AO$4,$C116),'INSER DATA'!$A:$F,7,0),"")</f>
        <v/>
      </c>
      <c r="AP116" s="270" t="str">
        <f>_xlfn.IFNA(VLOOKUP(CONCATENATE(AP$4,$C116),'INSER DATA'!$A:$F,7,0),"")</f>
        <v/>
      </c>
      <c r="AQ116" s="270" t="str">
        <f>_xlfn.IFNA(VLOOKUP(CONCATENATE(AQ$4,$C116),'INSER DATA'!$A:$F,7,0),"")</f>
        <v/>
      </c>
      <c r="AR116" s="270" t="str">
        <f>_xlfn.IFNA(VLOOKUP(CONCATENATE(AR$4,$C116),'INSER DATA'!$A:$F,7,0),"")</f>
        <v/>
      </c>
      <c r="AS116" s="270" t="str">
        <f>_xlfn.IFNA(VLOOKUP(CONCATENATE(AS$4,$C116),'INSER DATA'!$A:$F,7,0),"")</f>
        <v/>
      </c>
      <c r="AT116" s="270" t="str">
        <f>_xlfn.IFNA(VLOOKUP(CONCATENATE(AT$4,$C116),'INSER DATA'!$A:$F,7,0),"")</f>
        <v/>
      </c>
      <c r="AU116" s="270" t="str">
        <f>_xlfn.IFNA(VLOOKUP(CONCATENATE(AU$4,$C116),'INSER DATA'!$A:$F,7,0),"")</f>
        <v/>
      </c>
      <c r="AV116" s="270" t="str">
        <f>_xlfn.IFNA(VLOOKUP(CONCATENATE(AV$4,$C116),'INSER DATA'!$A:$F,7,0),"")</f>
        <v/>
      </c>
      <c r="AW116" s="270" t="str">
        <f>_xlfn.IFNA(VLOOKUP(CONCATENATE(AW$4,$C116),'INSER DATA'!$A:$F,7,0),"")</f>
        <v/>
      </c>
      <c r="AX116" s="270" t="str">
        <f>_xlfn.IFNA(VLOOKUP(CONCATENATE(AX$4,$C116),'INSER DATA'!$A:$F,7,0),"")</f>
        <v/>
      </c>
      <c r="AY116" s="270" t="str">
        <f>_xlfn.IFNA(VLOOKUP(CONCATENATE(AY$4,$C116),'INSER DATA'!$A:$F,7,0),"")</f>
        <v/>
      </c>
      <c r="AZ116" s="270" t="str">
        <f>_xlfn.IFNA(VLOOKUP(CONCATENATE(AZ$4,$C116),'INSER DATA'!$A:$F,7,0),"")</f>
        <v/>
      </c>
      <c r="BA116" s="270" t="str">
        <f>_xlfn.IFNA(VLOOKUP(CONCATENATE(BA$4,$C116),'INSER DATA'!$A:$F,7,0),"")</f>
        <v/>
      </c>
      <c r="BB116" s="270" t="str">
        <f>_xlfn.IFNA(VLOOKUP(CONCATENATE(BB$4,$C116),'INSER DATA'!$A:$F,7,0),"")</f>
        <v/>
      </c>
      <c r="BC116" s="270" t="str">
        <f>_xlfn.IFNA(VLOOKUP(CONCATENATE(BC$4,$C116),'INSER DATA'!$A:$F,7,0),"")</f>
        <v/>
      </c>
      <c r="BD116" s="270" t="str">
        <f>_xlfn.IFNA(VLOOKUP(CONCATENATE(BD$4,$C116),'INSER DATA'!$A:$F,7,0),"")</f>
        <v/>
      </c>
      <c r="BE116" s="270" t="str">
        <f>_xlfn.IFNA(VLOOKUP(CONCATENATE(BE$4,$C116),'INSER DATA'!$A:$F,7,0),"")</f>
        <v/>
      </c>
      <c r="BF116" s="270" t="str">
        <f>_xlfn.IFNA(VLOOKUP(CONCATENATE(BF$4,$C116),'INSER DATA'!$A:$F,7,0),"")</f>
        <v/>
      </c>
      <c r="BG116" s="270" t="str">
        <f>_xlfn.IFNA(VLOOKUP(CONCATENATE(BG$4,$C116),'INSER DATA'!$A:$F,7,0),"")</f>
        <v/>
      </c>
      <c r="BH116" s="270" t="str">
        <f>_xlfn.IFNA(VLOOKUP(CONCATENATE(BH$4,$C116),'INSER DATA'!$A:$F,7,0),"")</f>
        <v/>
      </c>
      <c r="BI116" s="270" t="str">
        <f>_xlfn.IFNA(VLOOKUP(CONCATENATE(BI$4,$C116),'INSER DATA'!$A:$F,7,0),"")</f>
        <v/>
      </c>
      <c r="BJ116" s="270" t="str">
        <f>_xlfn.IFNA(VLOOKUP(CONCATENATE(BJ$4,$C116),'INSER DATA'!$A:$F,7,0),"")</f>
        <v/>
      </c>
      <c r="BK116" s="270" t="str">
        <f>_xlfn.IFNA(VLOOKUP(CONCATENATE(BK$4,$C116),'INSER DATA'!$A:$F,7,0),"")</f>
        <v/>
      </c>
      <c r="BL116" s="272"/>
      <c r="BM116" s="30"/>
      <c r="BN116" s="30"/>
      <c r="BO116" s="30"/>
      <c r="BP116" s="30"/>
      <c r="BQ116" s="30"/>
      <c r="BR116" s="30"/>
      <c r="BS116" s="30"/>
      <c r="BT116" s="30"/>
      <c r="BU116" s="30"/>
      <c r="BV116" s="30"/>
      <c r="BW116" s="30"/>
      <c r="BX116" s="30"/>
      <c r="BY116" s="30"/>
      <c r="BZ116" s="30"/>
      <c r="CA116" s="30"/>
      <c r="CB116" s="30"/>
      <c r="CC116" s="30"/>
      <c r="CD116" s="30"/>
      <c r="CE116" s="30"/>
      <c r="CF116" s="30"/>
      <c r="CG116" s="30"/>
      <c r="CH116" s="30"/>
      <c r="CI116" s="30"/>
      <c r="CJ116" s="30"/>
      <c r="CK116" s="30"/>
      <c r="CL116" s="30"/>
      <c r="CM116" s="30"/>
      <c r="CN116" s="30"/>
      <c r="CO116" s="30"/>
      <c r="CP116" s="30"/>
      <c r="CQ116" s="30"/>
      <c r="CR116" s="30"/>
      <c r="CS116" s="30"/>
      <c r="CT116" s="30"/>
      <c r="CU116" s="30"/>
      <c r="CV116" s="30"/>
      <c r="CW116" s="30"/>
      <c r="CX116" s="30"/>
      <c r="CY116" s="30"/>
      <c r="CZ116" s="30"/>
      <c r="DA116" s="30"/>
    </row>
    <row r="117" spans="1:105" ht="19.2" thickTop="1" thickBot="1" x14ac:dyDescent="0.4">
      <c r="A117" s="30"/>
      <c r="B117" s="30"/>
      <c r="C117" s="356" t="s">
        <v>710</v>
      </c>
      <c r="D117" s="357" t="s">
        <v>705</v>
      </c>
      <c r="E117" s="35" t="str">
        <f>_xlfn.XLOOKUP(Tabella4[[#This Row],[NOME]],'ROSE SQUADRE'!$N$3:$N$253,'ROSE SQUADRE'!$O$3:$O$253,"")</f>
        <v>AS PIPPERIA</v>
      </c>
      <c r="F117" s="36" t="s">
        <v>161</v>
      </c>
      <c r="G117" s="43">
        <v>8</v>
      </c>
      <c r="H117" s="43">
        <v>8</v>
      </c>
      <c r="I117" s="44">
        <f t="shared" si="7"/>
        <v>0</v>
      </c>
      <c r="J117" s="37">
        <f t="shared" si="8"/>
        <v>3</v>
      </c>
      <c r="K117" s="178">
        <f t="shared" si="9"/>
        <v>5.5</v>
      </c>
      <c r="L117" s="178">
        <f t="shared" si="10"/>
        <v>5.666666666666667</v>
      </c>
      <c r="M117" s="179">
        <f t="shared" si="11"/>
        <v>17</v>
      </c>
      <c r="N117" s="45">
        <f t="shared" ca="1" si="12"/>
        <v>0</v>
      </c>
      <c r="O117" s="40">
        <f>SUMIF(Tabella1[Nome],Tabella4[[#This Row],[NOME]],Tabella1[Gf])</f>
        <v>0</v>
      </c>
      <c r="P117" s="40">
        <f>-(SUMIF(Tabella1[Nome],Tabella4[[#This Row],[NOME]],Tabella1[Gs]))</f>
        <v>0</v>
      </c>
      <c r="Q117" s="40">
        <f>SUMIF(Tabella1[Nome],Tabella4[[#This Row],[NOME]],Tabella1[Rp])</f>
        <v>0</v>
      </c>
      <c r="R117" s="40">
        <f>SUMIF(Tabella1[Nome],Tabella4[[#This Row],[NOME]],Tabella1[Rs])</f>
        <v>0</v>
      </c>
      <c r="S117" s="40">
        <f>SUMIF(Tabella1[Nome],Tabella4[[#This Row],[NOME]],Tabella1[Rf])</f>
        <v>0</v>
      </c>
      <c r="T117" s="40">
        <f>SUMIF(Tabella1[Nome],Tabella4[[#This Row],[NOME]],Tabella1[Au])</f>
        <v>0</v>
      </c>
      <c r="U117" s="41">
        <f>SUMIF(Tabella1[Nome],Tabella4[[#This Row],[NOME]],Tabella1[Amm])</f>
        <v>1</v>
      </c>
      <c r="V117" s="42">
        <f>SUMIF(Tabella1[Nome],Tabella4[[#This Row],[NOME]],Tabella1[Esp])</f>
        <v>0</v>
      </c>
      <c r="W117" s="40">
        <f>SUMIF(Tabella1[Nome],Tabella4[[#This Row],[NOME]],Tabella1[Ass])</f>
        <v>1</v>
      </c>
      <c r="X117" s="40">
        <f>SUMIF(Tabella1[Nome],Tabella4[[#This Row],[NOME]],Tabella1[Gdv])</f>
        <v>0</v>
      </c>
      <c r="Y117" s="40">
        <f>SUMIF(Tabella1[Nome],Tabella4[[#This Row],[NOME]],Tabella1[cl sh])</f>
        <v>0</v>
      </c>
      <c r="Z117" s="270">
        <f>_xlfn.IFNA(_xlfn.XLOOKUP(CONCATENATE(Z$4,$C117),Tabella1[CONC X VOTI IN TAB GIOC],Tabella1[Voto],""),"")</f>
        <v>5.5</v>
      </c>
      <c r="AA117" s="270">
        <f>_xlfn.IFNA(_xlfn.XLOOKUP(CONCATENATE(AA$4,$C117),Tabella1[CONC X VOTI IN TAB GIOC],Tabella1[Voto],""),"")</f>
        <v>4.5</v>
      </c>
      <c r="AB117" s="270" t="str">
        <f>_xlfn.IFNA(_xlfn.XLOOKUP(CONCATENATE(AB$4,$C117),Tabella1[CONC X VOTI IN TAB GIOC],Tabella1[Voto]),"")</f>
        <v/>
      </c>
      <c r="AC117" s="270" cm="1">
        <f t="array" ref="AC117">_xlfn.IFNA(_xlfn.XLOOKUP(CONCATENATE(AC$4,$C117),INDEX(Tabella1[],0,MATCH("CONC X VOTI IN TAB GIOC",Tabella1[#Headers],0)),INDEX(Tabella1[],0,MATCH("Voto",Tabella1[#Headers],0))),"")</f>
        <v>6.5</v>
      </c>
      <c r="AD117" s="270" t="str">
        <f>_xlfn.IFNA(_xlfn.XLOOKUP(CONCATENATE(AD$4,$C117),Tabella1[CONC X VOTI IN TAB GIOC],Tabella1[Voto]),"")</f>
        <v/>
      </c>
      <c r="AE117" s="270" t="str">
        <f>_xlfn.IFNA(VLOOKUP(CONCATENATE(AE$4,$C117),'INSER DATA'!$A:$F,6,0),"")</f>
        <v/>
      </c>
      <c r="AF117" s="270" t="str">
        <f>_xlfn.IFNA(VLOOKUP(CONCATENATE(AF$4,$C117),'INSER DATA'!$A:$F,6,0),"")</f>
        <v/>
      </c>
      <c r="AG117" s="270" t="str">
        <f>_xlfn.IFNA(VLOOKUP(CONCATENATE(AG$4,$C117),'INSER DATA'!$A:$F,6,0),"")</f>
        <v/>
      </c>
      <c r="AH117" s="270" t="str">
        <f>_xlfn.IFNA(VLOOKUP(CONCATENATE(AH$4,$C117),'INSER DATA'!$A:$F,7,0),"")</f>
        <v/>
      </c>
      <c r="AI117" s="270" t="str">
        <f>_xlfn.IFNA(VLOOKUP(CONCATENATE(AI$4,$C117),'INSER DATA'!$A:$F,7,0),"")</f>
        <v/>
      </c>
      <c r="AJ117" s="270" t="str">
        <f>_xlfn.IFNA(VLOOKUP(CONCATENATE(AJ$4,$C117),'INSER DATA'!$A:$F,7,0),"")</f>
        <v/>
      </c>
      <c r="AK117" s="270" t="str">
        <f>_xlfn.IFNA(VLOOKUP(CONCATENATE(AK$4,$C117),'INSER DATA'!$A:$F,7,0),"")</f>
        <v/>
      </c>
      <c r="AL117" s="270" t="str">
        <f>_xlfn.IFNA(VLOOKUP(CONCATENATE(AL$4,$C117),'INSER DATA'!$A:$F,7,0),"")</f>
        <v/>
      </c>
      <c r="AM117" s="270" t="str">
        <f>_xlfn.IFNA(VLOOKUP(CONCATENATE(AM$4,$C117),'INSER DATA'!$A:$F,7,0),"")</f>
        <v/>
      </c>
      <c r="AN117" s="270" t="str">
        <f>_xlfn.IFNA(VLOOKUP(CONCATENATE(AN$4,$C117),'INSER DATA'!$A:$F,7,0),"")</f>
        <v/>
      </c>
      <c r="AO117" s="270" t="str">
        <f>_xlfn.IFNA(VLOOKUP(CONCATENATE(AO$4,$C117),'INSER DATA'!$A:$F,7,0),"")</f>
        <v/>
      </c>
      <c r="AP117" s="270" t="str">
        <f>_xlfn.IFNA(VLOOKUP(CONCATENATE(AP$4,$C117),'INSER DATA'!$A:$F,7,0),"")</f>
        <v/>
      </c>
      <c r="AQ117" s="270" t="str">
        <f>_xlfn.IFNA(VLOOKUP(CONCATENATE(AQ$4,$C117),'INSER DATA'!$A:$F,7,0),"")</f>
        <v/>
      </c>
      <c r="AR117" s="270" t="str">
        <f>_xlfn.IFNA(VLOOKUP(CONCATENATE(AR$4,$C117),'INSER DATA'!$A:$F,7,0),"")</f>
        <v/>
      </c>
      <c r="AS117" s="270" t="str">
        <f>_xlfn.IFNA(VLOOKUP(CONCATENATE(AS$4,$C117),'INSER DATA'!$A:$F,7,0),"")</f>
        <v/>
      </c>
      <c r="AT117" s="270" t="str">
        <f>_xlfn.IFNA(VLOOKUP(CONCATENATE(AT$4,$C117),'INSER DATA'!$A:$F,7,0),"")</f>
        <v/>
      </c>
      <c r="AU117" s="270" t="str">
        <f>_xlfn.IFNA(VLOOKUP(CONCATENATE(AU$4,$C117),'INSER DATA'!$A:$F,7,0),"")</f>
        <v/>
      </c>
      <c r="AV117" s="270" t="str">
        <f>_xlfn.IFNA(VLOOKUP(CONCATENATE(AV$4,$C117),'INSER DATA'!$A:$F,7,0),"")</f>
        <v/>
      </c>
      <c r="AW117" s="270" t="str">
        <f>_xlfn.IFNA(VLOOKUP(CONCATENATE(AW$4,$C117),'INSER DATA'!$A:$F,7,0),"")</f>
        <v/>
      </c>
      <c r="AX117" s="270" t="str">
        <f>_xlfn.IFNA(VLOOKUP(CONCATENATE(AX$4,$C117),'INSER DATA'!$A:$F,7,0),"")</f>
        <v/>
      </c>
      <c r="AY117" s="270" t="str">
        <f>_xlfn.IFNA(VLOOKUP(CONCATENATE(AY$4,$C117),'INSER DATA'!$A:$F,7,0),"")</f>
        <v/>
      </c>
      <c r="AZ117" s="270" t="str">
        <f>_xlfn.IFNA(VLOOKUP(CONCATENATE(AZ$4,$C117),'INSER DATA'!$A:$F,7,0),"")</f>
        <v/>
      </c>
      <c r="BA117" s="270" t="str">
        <f>_xlfn.IFNA(VLOOKUP(CONCATENATE(BA$4,$C117),'INSER DATA'!$A:$F,7,0),"")</f>
        <v/>
      </c>
      <c r="BB117" s="270" t="str">
        <f>_xlfn.IFNA(VLOOKUP(CONCATENATE(BB$4,$C117),'INSER DATA'!$A:$F,7,0),"")</f>
        <v/>
      </c>
      <c r="BC117" s="270" t="str">
        <f>_xlfn.IFNA(VLOOKUP(CONCATENATE(BC$4,$C117),'INSER DATA'!$A:$F,7,0),"")</f>
        <v/>
      </c>
      <c r="BD117" s="270" t="str">
        <f>_xlfn.IFNA(VLOOKUP(CONCATENATE(BD$4,$C117),'INSER DATA'!$A:$F,7,0),"")</f>
        <v/>
      </c>
      <c r="BE117" s="270" t="str">
        <f>_xlfn.IFNA(VLOOKUP(CONCATENATE(BE$4,$C117),'INSER DATA'!$A:$F,7,0),"")</f>
        <v/>
      </c>
      <c r="BF117" s="270" t="str">
        <f>_xlfn.IFNA(VLOOKUP(CONCATENATE(BF$4,$C117),'INSER DATA'!$A:$F,7,0),"")</f>
        <v/>
      </c>
      <c r="BG117" s="270" t="str">
        <f>_xlfn.IFNA(VLOOKUP(CONCATENATE(BG$4,$C117),'INSER DATA'!$A:$F,7,0),"")</f>
        <v/>
      </c>
      <c r="BH117" s="270" t="str">
        <f>_xlfn.IFNA(VLOOKUP(CONCATENATE(BH$4,$C117),'INSER DATA'!$A:$F,7,0),"")</f>
        <v/>
      </c>
      <c r="BI117" s="270" t="str">
        <f>_xlfn.IFNA(VLOOKUP(CONCATENATE(BI$4,$C117),'INSER DATA'!$A:$F,7,0),"")</f>
        <v/>
      </c>
      <c r="BJ117" s="270" t="str">
        <f>_xlfn.IFNA(VLOOKUP(CONCATENATE(BJ$4,$C117),'INSER DATA'!$A:$F,7,0),"")</f>
        <v/>
      </c>
      <c r="BK117" s="270" t="str">
        <f>_xlfn.IFNA(VLOOKUP(CONCATENATE(BK$4,$C117),'INSER DATA'!$A:$F,7,0),"")</f>
        <v/>
      </c>
      <c r="BL117" s="272"/>
      <c r="BM117" s="30"/>
      <c r="BN117" s="30"/>
      <c r="BO117" s="30"/>
      <c r="BP117" s="30"/>
      <c r="BQ117" s="30"/>
      <c r="BR117" s="30"/>
      <c r="BS117" s="30"/>
      <c r="BT117" s="30"/>
      <c r="BU117" s="30"/>
      <c r="BV117" s="30"/>
      <c r="BW117" s="30"/>
      <c r="BX117" s="30"/>
      <c r="BY117" s="30"/>
      <c r="BZ117" s="30"/>
      <c r="CA117" s="30"/>
      <c r="CB117" s="30"/>
      <c r="CC117" s="30"/>
      <c r="CD117" s="30"/>
      <c r="CE117" s="30"/>
      <c r="CF117" s="30"/>
      <c r="CG117" s="30"/>
      <c r="CH117" s="30"/>
      <c r="CI117" s="30"/>
      <c r="CJ117" s="30"/>
      <c r="CK117" s="30"/>
      <c r="CL117" s="30"/>
      <c r="CM117" s="30"/>
      <c r="CN117" s="30"/>
      <c r="CO117" s="30"/>
      <c r="CP117" s="30"/>
      <c r="CQ117" s="30"/>
      <c r="CR117" s="30"/>
      <c r="CS117" s="30"/>
      <c r="CT117" s="30"/>
      <c r="CU117" s="30"/>
      <c r="CV117" s="30"/>
      <c r="CW117" s="30"/>
      <c r="CX117" s="30"/>
      <c r="CY117" s="30"/>
      <c r="CZ117" s="30"/>
      <c r="DA117" s="30"/>
    </row>
    <row r="118" spans="1:105" ht="19.2" thickTop="1" thickBot="1" x14ac:dyDescent="0.4">
      <c r="A118" s="30"/>
      <c r="B118" s="30"/>
      <c r="C118" s="188" t="s">
        <v>711</v>
      </c>
      <c r="D118" s="187" t="s">
        <v>705</v>
      </c>
      <c r="E118" s="35" t="str">
        <f>_xlfn.XLOOKUP(Tabella4[[#This Row],[NOME]],'ROSE SQUADRE'!$N$3:$N$253,'ROSE SQUADRE'!$O$3:$O$253,"")</f>
        <v/>
      </c>
      <c r="F118" s="36" t="s">
        <v>161</v>
      </c>
      <c r="G118" s="43">
        <v>3</v>
      </c>
      <c r="H118" s="43">
        <v>3</v>
      </c>
      <c r="I118" s="44">
        <f t="shared" si="7"/>
        <v>0</v>
      </c>
      <c r="J118" s="37">
        <f t="shared" si="8"/>
        <v>2</v>
      </c>
      <c r="K118" s="38">
        <f t="shared" si="9"/>
        <v>5.25</v>
      </c>
      <c r="L118" s="38">
        <f t="shared" si="10"/>
        <v>5.25</v>
      </c>
      <c r="M118" s="39">
        <f t="shared" si="11"/>
        <v>10.5</v>
      </c>
      <c r="N118" s="45">
        <f t="shared" ca="1" si="12"/>
        <v>0</v>
      </c>
      <c r="O118" s="40">
        <f>SUMIF(Tabella1[Nome],Tabella4[[#This Row],[NOME]],Tabella1[Gf])</f>
        <v>0</v>
      </c>
      <c r="P118" s="40">
        <f>-(SUMIF(Tabella1[Nome],Tabella4[[#This Row],[NOME]],Tabella1[Gs]))</f>
        <v>0</v>
      </c>
      <c r="Q118" s="40">
        <f>SUMIF(Tabella1[Nome],Tabella4[[#This Row],[NOME]],Tabella1[Rp])</f>
        <v>0</v>
      </c>
      <c r="R118" s="40">
        <f>SUMIF(Tabella1[Nome],Tabella4[[#This Row],[NOME]],Tabella1[Rs])</f>
        <v>0</v>
      </c>
      <c r="S118" s="40">
        <f>SUMIF(Tabella1[Nome],Tabella4[[#This Row],[NOME]],Tabella1[Rf])</f>
        <v>0</v>
      </c>
      <c r="T118" s="40">
        <f>SUMIF(Tabella1[Nome],Tabella4[[#This Row],[NOME]],Tabella1[Au])</f>
        <v>0</v>
      </c>
      <c r="U118" s="41">
        <f>SUMIF(Tabella1[Nome],Tabella4[[#This Row],[NOME]],Tabella1[Amm])</f>
        <v>0</v>
      </c>
      <c r="V118" s="42">
        <f>SUMIF(Tabella1[Nome],Tabella4[[#This Row],[NOME]],Tabella1[Esp])</f>
        <v>0</v>
      </c>
      <c r="W118" s="40">
        <f>SUMIF(Tabella1[Nome],Tabella4[[#This Row],[NOME]],Tabella1[Ass])</f>
        <v>0</v>
      </c>
      <c r="X118" s="40">
        <f>SUMIF(Tabella1[Nome],Tabella4[[#This Row],[NOME]],Tabella1[Gdv])</f>
        <v>0</v>
      </c>
      <c r="Y118" s="40">
        <f>SUMIF(Tabella1[Nome],Tabella4[[#This Row],[NOME]],Tabella1[cl sh])</f>
        <v>0</v>
      </c>
      <c r="Z118" s="270">
        <f>_xlfn.IFNA(_xlfn.XLOOKUP(CONCATENATE(Z$4,$C118),Tabella1[CONC X VOTI IN TAB GIOC],Tabella1[Voto],""),"")</f>
        <v>5</v>
      </c>
      <c r="AA118" s="270" t="str">
        <f>_xlfn.IFNA(_xlfn.XLOOKUP(CONCATENATE(AA$4,$C118),Tabella1[CONC X VOTI IN TAB GIOC],Tabella1[Voto],""),"")</f>
        <v/>
      </c>
      <c r="AB118" s="270">
        <f>_xlfn.IFNA(_xlfn.XLOOKUP(CONCATENATE(AB$4,$C118),Tabella1[CONC X VOTI IN TAB GIOC],Tabella1[Voto]),"")</f>
        <v>5.5</v>
      </c>
      <c r="AC118" s="270" t="str" cm="1">
        <f t="array" ref="AC118">_xlfn.IFNA(_xlfn.XLOOKUP(CONCATENATE(AC$4,$C118),INDEX(Tabella1[],0,MATCH("CONC X VOTI IN TAB GIOC",Tabella1[#Headers],0)),INDEX(Tabella1[],0,MATCH("Voto",Tabella1[#Headers],0))),"")</f>
        <v/>
      </c>
      <c r="AD118" s="270" t="str">
        <f>_xlfn.IFNA(_xlfn.XLOOKUP(CONCATENATE(AD$4,$C118),Tabella1[CONC X VOTI IN TAB GIOC],Tabella1[Voto]),"")</f>
        <v/>
      </c>
      <c r="AE118" s="270" t="str">
        <f>_xlfn.IFNA(VLOOKUP(CONCATENATE(AE$4,$C118),'INSER DATA'!$A:$F,6,0),"")</f>
        <v/>
      </c>
      <c r="AF118" s="270" t="str">
        <f>_xlfn.IFNA(VLOOKUP(CONCATENATE(AF$4,$C118),'INSER DATA'!$A:$F,6,0),"")</f>
        <v/>
      </c>
      <c r="AG118" s="270" t="str">
        <f>_xlfn.IFNA(VLOOKUP(CONCATENATE(AG$4,$C118),'INSER DATA'!$A:$F,6,0),"")</f>
        <v/>
      </c>
      <c r="AH118" s="270" t="str">
        <f>_xlfn.IFNA(VLOOKUP(CONCATENATE(AH$4,$C118),'INSER DATA'!$A:$F,7,0),"")</f>
        <v/>
      </c>
      <c r="AI118" s="270" t="str">
        <f>_xlfn.IFNA(VLOOKUP(CONCATENATE(AI$4,$C118),'INSER DATA'!$A:$F,7,0),"")</f>
        <v/>
      </c>
      <c r="AJ118" s="270" t="str">
        <f>_xlfn.IFNA(VLOOKUP(CONCATENATE(AJ$4,$C118),'INSER DATA'!$A:$F,7,0),"")</f>
        <v/>
      </c>
      <c r="AK118" s="270" t="str">
        <f>_xlfn.IFNA(VLOOKUP(CONCATENATE(AK$4,$C118),'INSER DATA'!$A:$F,7,0),"")</f>
        <v/>
      </c>
      <c r="AL118" s="270" t="str">
        <f>_xlfn.IFNA(VLOOKUP(CONCATENATE(AL$4,$C118),'INSER DATA'!$A:$F,7,0),"")</f>
        <v/>
      </c>
      <c r="AM118" s="270" t="str">
        <f>_xlfn.IFNA(VLOOKUP(CONCATENATE(AM$4,$C118),'INSER DATA'!$A:$F,7,0),"")</f>
        <v/>
      </c>
      <c r="AN118" s="270" t="str">
        <f>_xlfn.IFNA(VLOOKUP(CONCATENATE(AN$4,$C118),'INSER DATA'!$A:$F,7,0),"")</f>
        <v/>
      </c>
      <c r="AO118" s="270" t="str">
        <f>_xlfn.IFNA(VLOOKUP(CONCATENATE(AO$4,$C118),'INSER DATA'!$A:$F,7,0),"")</f>
        <v/>
      </c>
      <c r="AP118" s="270" t="str">
        <f>_xlfn.IFNA(VLOOKUP(CONCATENATE(AP$4,$C118),'INSER DATA'!$A:$F,7,0),"")</f>
        <v/>
      </c>
      <c r="AQ118" s="270" t="str">
        <f>_xlfn.IFNA(VLOOKUP(CONCATENATE(AQ$4,$C118),'INSER DATA'!$A:$F,7,0),"")</f>
        <v/>
      </c>
      <c r="AR118" s="270" t="str">
        <f>_xlfn.IFNA(VLOOKUP(CONCATENATE(AR$4,$C118),'INSER DATA'!$A:$F,7,0),"")</f>
        <v/>
      </c>
      <c r="AS118" s="270" t="str">
        <f>_xlfn.IFNA(VLOOKUP(CONCATENATE(AS$4,$C118),'INSER DATA'!$A:$F,7,0),"")</f>
        <v/>
      </c>
      <c r="AT118" s="270" t="str">
        <f>_xlfn.IFNA(VLOOKUP(CONCATENATE(AT$4,$C118),'INSER DATA'!$A:$F,7,0),"")</f>
        <v/>
      </c>
      <c r="AU118" s="270" t="str">
        <f>_xlfn.IFNA(VLOOKUP(CONCATENATE(AU$4,$C118),'INSER DATA'!$A:$F,7,0),"")</f>
        <v/>
      </c>
      <c r="AV118" s="270" t="str">
        <f>_xlfn.IFNA(VLOOKUP(CONCATENATE(AV$4,$C118),'INSER DATA'!$A:$F,7,0),"")</f>
        <v/>
      </c>
      <c r="AW118" s="270" t="str">
        <f>_xlfn.IFNA(VLOOKUP(CONCATENATE(AW$4,$C118),'INSER DATA'!$A:$F,7,0),"")</f>
        <v/>
      </c>
      <c r="AX118" s="270" t="str">
        <f>_xlfn.IFNA(VLOOKUP(CONCATENATE(AX$4,$C118),'INSER DATA'!$A:$F,7,0),"")</f>
        <v/>
      </c>
      <c r="AY118" s="270" t="str">
        <f>_xlfn.IFNA(VLOOKUP(CONCATENATE(AY$4,$C118),'INSER DATA'!$A:$F,7,0),"")</f>
        <v/>
      </c>
      <c r="AZ118" s="270" t="str">
        <f>_xlfn.IFNA(VLOOKUP(CONCATENATE(AZ$4,$C118),'INSER DATA'!$A:$F,7,0),"")</f>
        <v/>
      </c>
      <c r="BA118" s="270" t="str">
        <f>_xlfn.IFNA(VLOOKUP(CONCATENATE(BA$4,$C118),'INSER DATA'!$A:$F,7,0),"")</f>
        <v/>
      </c>
      <c r="BB118" s="270" t="str">
        <f>_xlfn.IFNA(VLOOKUP(CONCATENATE(BB$4,$C118),'INSER DATA'!$A:$F,7,0),"")</f>
        <v/>
      </c>
      <c r="BC118" s="270" t="str">
        <f>_xlfn.IFNA(VLOOKUP(CONCATENATE(BC$4,$C118),'INSER DATA'!$A:$F,7,0),"")</f>
        <v/>
      </c>
      <c r="BD118" s="270" t="str">
        <f>_xlfn.IFNA(VLOOKUP(CONCATENATE(BD$4,$C118),'INSER DATA'!$A:$F,7,0),"")</f>
        <v/>
      </c>
      <c r="BE118" s="270" t="str">
        <f>_xlfn.IFNA(VLOOKUP(CONCATENATE(BE$4,$C118),'INSER DATA'!$A:$F,7,0),"")</f>
        <v/>
      </c>
      <c r="BF118" s="270" t="str">
        <f>_xlfn.IFNA(VLOOKUP(CONCATENATE(BF$4,$C118),'INSER DATA'!$A:$F,7,0),"")</f>
        <v/>
      </c>
      <c r="BG118" s="270" t="str">
        <f>_xlfn.IFNA(VLOOKUP(CONCATENATE(BG$4,$C118),'INSER DATA'!$A:$F,7,0),"")</f>
        <v/>
      </c>
      <c r="BH118" s="270" t="str">
        <f>_xlfn.IFNA(VLOOKUP(CONCATENATE(BH$4,$C118),'INSER DATA'!$A:$F,7,0),"")</f>
        <v/>
      </c>
      <c r="BI118" s="270" t="str">
        <f>_xlfn.IFNA(VLOOKUP(CONCATENATE(BI$4,$C118),'INSER DATA'!$A:$F,7,0),"")</f>
        <v/>
      </c>
      <c r="BJ118" s="270" t="str">
        <f>_xlfn.IFNA(VLOOKUP(CONCATENATE(BJ$4,$C118),'INSER DATA'!$A:$F,7,0),"")</f>
        <v/>
      </c>
      <c r="BK118" s="270" t="str">
        <f>_xlfn.IFNA(VLOOKUP(CONCATENATE(BK$4,$C118),'INSER DATA'!$A:$F,7,0),"")</f>
        <v/>
      </c>
      <c r="BL118" s="272"/>
      <c r="BM118" s="30"/>
      <c r="BN118" s="30"/>
      <c r="BO118" s="30"/>
      <c r="BP118" s="30"/>
      <c r="BQ118" s="30"/>
      <c r="BR118" s="30"/>
      <c r="BS118" s="30"/>
      <c r="BT118" s="30"/>
      <c r="BU118" s="30"/>
      <c r="BV118" s="30"/>
      <c r="BW118" s="30"/>
      <c r="BX118" s="30"/>
      <c r="BY118" s="30"/>
      <c r="BZ118" s="30"/>
      <c r="CA118" s="30"/>
      <c r="CB118" s="30"/>
      <c r="CC118" s="30"/>
      <c r="CD118" s="30"/>
      <c r="CE118" s="30"/>
      <c r="CF118" s="30"/>
      <c r="CG118" s="30"/>
      <c r="CH118" s="30"/>
      <c r="CI118" s="30"/>
      <c r="CJ118" s="30"/>
      <c r="CK118" s="30"/>
      <c r="CL118" s="30"/>
      <c r="CM118" s="30"/>
      <c r="CN118" s="30"/>
      <c r="CO118" s="30"/>
      <c r="CP118" s="30"/>
      <c r="CQ118" s="30"/>
      <c r="CR118" s="30"/>
      <c r="CS118" s="30"/>
      <c r="CT118" s="30"/>
      <c r="CU118" s="30"/>
      <c r="CV118" s="30"/>
      <c r="CW118" s="30"/>
      <c r="CX118" s="30"/>
      <c r="CY118" s="30"/>
      <c r="CZ118" s="30"/>
      <c r="DA118" s="30"/>
    </row>
    <row r="119" spans="1:105" ht="19.2" thickTop="1" thickBot="1" x14ac:dyDescent="0.4">
      <c r="A119" s="30"/>
      <c r="B119" s="30"/>
      <c r="C119" s="185" t="s">
        <v>322</v>
      </c>
      <c r="D119" s="187" t="s">
        <v>705</v>
      </c>
      <c r="E119" s="35" t="str">
        <f>_xlfn.XLOOKUP(Tabella4[[#This Row],[NOME]],'ROSE SQUADRE'!$N$3:$N$253,'ROSE SQUADRE'!$O$3:$O$253,"")</f>
        <v/>
      </c>
      <c r="F119" s="36" t="s">
        <v>161</v>
      </c>
      <c r="G119" s="43">
        <v>4</v>
      </c>
      <c r="H119" s="43">
        <v>4</v>
      </c>
      <c r="I119" s="44">
        <f t="shared" si="7"/>
        <v>0</v>
      </c>
      <c r="J119" s="37">
        <f t="shared" si="8"/>
        <v>1</v>
      </c>
      <c r="K119" s="38">
        <f t="shared" si="9"/>
        <v>5</v>
      </c>
      <c r="L119" s="38">
        <f t="shared" si="10"/>
        <v>5</v>
      </c>
      <c r="M119" s="39">
        <f t="shared" si="11"/>
        <v>5</v>
      </c>
      <c r="N119" s="45">
        <f t="shared" ca="1" si="12"/>
        <v>0</v>
      </c>
      <c r="O119" s="40">
        <f>SUMIF(Tabella1[Nome],Tabella4[[#This Row],[NOME]],Tabella1[Gf])</f>
        <v>0</v>
      </c>
      <c r="P119" s="40">
        <f>-(SUMIF(Tabella1[Nome],Tabella4[[#This Row],[NOME]],Tabella1[Gs]))</f>
        <v>0</v>
      </c>
      <c r="Q119" s="40">
        <f>SUMIF(Tabella1[Nome],Tabella4[[#This Row],[NOME]],Tabella1[Rp])</f>
        <v>0</v>
      </c>
      <c r="R119" s="40">
        <f>SUMIF(Tabella1[Nome],Tabella4[[#This Row],[NOME]],Tabella1[Rs])</f>
        <v>0</v>
      </c>
      <c r="S119" s="40">
        <f>SUMIF(Tabella1[Nome],Tabella4[[#This Row],[NOME]],Tabella1[Rf])</f>
        <v>0</v>
      </c>
      <c r="T119" s="40">
        <f>SUMIF(Tabella1[Nome],Tabella4[[#This Row],[NOME]],Tabella1[Au])</f>
        <v>0</v>
      </c>
      <c r="U119" s="41">
        <f>SUMIF(Tabella1[Nome],Tabella4[[#This Row],[NOME]],Tabella1[Amm])</f>
        <v>0</v>
      </c>
      <c r="V119" s="42">
        <f>SUMIF(Tabella1[Nome],Tabella4[[#This Row],[NOME]],Tabella1[Esp])</f>
        <v>0</v>
      </c>
      <c r="W119" s="40">
        <f>SUMIF(Tabella1[Nome],Tabella4[[#This Row],[NOME]],Tabella1[Ass])</f>
        <v>0</v>
      </c>
      <c r="X119" s="40">
        <f>SUMIF(Tabella1[Nome],Tabella4[[#This Row],[NOME]],Tabella1[Gdv])</f>
        <v>0</v>
      </c>
      <c r="Y119" s="40">
        <f>SUMIF(Tabella1[Nome],Tabella4[[#This Row],[NOME]],Tabella1[cl sh])</f>
        <v>0</v>
      </c>
      <c r="Z119" s="270" t="str">
        <f>_xlfn.IFNA(_xlfn.XLOOKUP(CONCATENATE(Z$4,$C119),Tabella1[CONC X VOTI IN TAB GIOC],Tabella1[Voto],""),"")</f>
        <v/>
      </c>
      <c r="AA119" s="270">
        <f>_xlfn.IFNA(_xlfn.XLOOKUP(CONCATENATE(AA$4,$C119),Tabella1[CONC X VOTI IN TAB GIOC],Tabella1[Voto],""),"")</f>
        <v>5</v>
      </c>
      <c r="AB119" s="270" t="str">
        <f>_xlfn.IFNA(_xlfn.XLOOKUP(CONCATENATE(AB$4,$C119),Tabella1[CONC X VOTI IN TAB GIOC],Tabella1[Voto]),"")</f>
        <v/>
      </c>
      <c r="AC119" s="270" t="str" cm="1">
        <f t="array" ref="AC119">_xlfn.IFNA(_xlfn.XLOOKUP(CONCATENATE(AC$4,$C119),INDEX(Tabella1[],0,MATCH("CONC X VOTI IN TAB GIOC",Tabella1[#Headers],0)),INDEX(Tabella1[],0,MATCH("Voto",Tabella1[#Headers],0))),"")</f>
        <v/>
      </c>
      <c r="AD119" s="270" t="str">
        <f>_xlfn.IFNA(_xlfn.XLOOKUP(CONCATENATE(AD$4,$C119),Tabella1[CONC X VOTI IN TAB GIOC],Tabella1[Voto]),"")</f>
        <v/>
      </c>
      <c r="AE119" s="270" t="str">
        <f>_xlfn.IFNA(VLOOKUP(CONCATENATE(AE$4,$C119),'INSER DATA'!$A:$F,6,0),"")</f>
        <v/>
      </c>
      <c r="AF119" s="270" t="str">
        <f>_xlfn.IFNA(VLOOKUP(CONCATENATE(AF$4,$C119),'INSER DATA'!$A:$F,6,0),"")</f>
        <v/>
      </c>
      <c r="AG119" s="270" t="str">
        <f>_xlfn.IFNA(VLOOKUP(CONCATENATE(AG$4,$C119),'INSER DATA'!$A:$F,6,0),"")</f>
        <v/>
      </c>
      <c r="AH119" s="270" t="str">
        <f>_xlfn.IFNA(VLOOKUP(CONCATENATE(AH$4,$C119),'INSER DATA'!$A:$F,7,0),"")</f>
        <v/>
      </c>
      <c r="AI119" s="270" t="str">
        <f>_xlfn.IFNA(VLOOKUP(CONCATENATE(AI$4,$C119),'INSER DATA'!$A:$F,7,0),"")</f>
        <v/>
      </c>
      <c r="AJ119" s="270" t="str">
        <f>_xlfn.IFNA(VLOOKUP(CONCATENATE(AJ$4,$C119),'INSER DATA'!$A:$F,7,0),"")</f>
        <v/>
      </c>
      <c r="AK119" s="270" t="str">
        <f>_xlfn.IFNA(VLOOKUP(CONCATENATE(AK$4,$C119),'INSER DATA'!$A:$F,7,0),"")</f>
        <v/>
      </c>
      <c r="AL119" s="270" t="str">
        <f>_xlfn.IFNA(VLOOKUP(CONCATENATE(AL$4,$C119),'INSER DATA'!$A:$F,7,0),"")</f>
        <v/>
      </c>
      <c r="AM119" s="270" t="str">
        <f>_xlfn.IFNA(VLOOKUP(CONCATENATE(AM$4,$C119),'INSER DATA'!$A:$F,7,0),"")</f>
        <v/>
      </c>
      <c r="AN119" s="270" t="str">
        <f>_xlfn.IFNA(VLOOKUP(CONCATENATE(AN$4,$C119),'INSER DATA'!$A:$F,7,0),"")</f>
        <v/>
      </c>
      <c r="AO119" s="270" t="str">
        <f>_xlfn.IFNA(VLOOKUP(CONCATENATE(AO$4,$C119),'INSER DATA'!$A:$F,7,0),"")</f>
        <v/>
      </c>
      <c r="AP119" s="270" t="str">
        <f>_xlfn.IFNA(VLOOKUP(CONCATENATE(AP$4,$C119),'INSER DATA'!$A:$F,7,0),"")</f>
        <v/>
      </c>
      <c r="AQ119" s="270" t="str">
        <f>_xlfn.IFNA(VLOOKUP(CONCATENATE(AQ$4,$C119),'INSER DATA'!$A:$F,7,0),"")</f>
        <v/>
      </c>
      <c r="AR119" s="270" t="str">
        <f>_xlfn.IFNA(VLOOKUP(CONCATENATE(AR$4,$C119),'INSER DATA'!$A:$F,7,0),"")</f>
        <v/>
      </c>
      <c r="AS119" s="270" t="str">
        <f>_xlfn.IFNA(VLOOKUP(CONCATENATE(AS$4,$C119),'INSER DATA'!$A:$F,7,0),"")</f>
        <v/>
      </c>
      <c r="AT119" s="270" t="str">
        <f>_xlfn.IFNA(VLOOKUP(CONCATENATE(AT$4,$C119),'INSER DATA'!$A:$F,7,0),"")</f>
        <v/>
      </c>
      <c r="AU119" s="270" t="str">
        <f>_xlfn.IFNA(VLOOKUP(CONCATENATE(AU$4,$C119),'INSER DATA'!$A:$F,7,0),"")</f>
        <v/>
      </c>
      <c r="AV119" s="270" t="str">
        <f>_xlfn.IFNA(VLOOKUP(CONCATENATE(AV$4,$C119),'INSER DATA'!$A:$F,7,0),"")</f>
        <v/>
      </c>
      <c r="AW119" s="270" t="str">
        <f>_xlfn.IFNA(VLOOKUP(CONCATENATE(AW$4,$C119),'INSER DATA'!$A:$F,7,0),"")</f>
        <v/>
      </c>
      <c r="AX119" s="270" t="str">
        <f>_xlfn.IFNA(VLOOKUP(CONCATENATE(AX$4,$C119),'INSER DATA'!$A:$F,7,0),"")</f>
        <v/>
      </c>
      <c r="AY119" s="270" t="str">
        <f>_xlfn.IFNA(VLOOKUP(CONCATENATE(AY$4,$C119),'INSER DATA'!$A:$F,7,0),"")</f>
        <v/>
      </c>
      <c r="AZ119" s="270" t="str">
        <f>_xlfn.IFNA(VLOOKUP(CONCATENATE(AZ$4,$C119),'INSER DATA'!$A:$F,7,0),"")</f>
        <v/>
      </c>
      <c r="BA119" s="270" t="str">
        <f>_xlfn.IFNA(VLOOKUP(CONCATENATE(BA$4,$C119),'INSER DATA'!$A:$F,7,0),"")</f>
        <v/>
      </c>
      <c r="BB119" s="270" t="str">
        <f>_xlfn.IFNA(VLOOKUP(CONCATENATE(BB$4,$C119),'INSER DATA'!$A:$F,7,0),"")</f>
        <v/>
      </c>
      <c r="BC119" s="270" t="str">
        <f>_xlfn.IFNA(VLOOKUP(CONCATENATE(BC$4,$C119),'INSER DATA'!$A:$F,7,0),"")</f>
        <v/>
      </c>
      <c r="BD119" s="270" t="str">
        <f>_xlfn.IFNA(VLOOKUP(CONCATENATE(BD$4,$C119),'INSER DATA'!$A:$F,7,0),"")</f>
        <v/>
      </c>
      <c r="BE119" s="270" t="str">
        <f>_xlfn.IFNA(VLOOKUP(CONCATENATE(BE$4,$C119),'INSER DATA'!$A:$F,7,0),"")</f>
        <v/>
      </c>
      <c r="BF119" s="270" t="str">
        <f>_xlfn.IFNA(VLOOKUP(CONCATENATE(BF$4,$C119),'INSER DATA'!$A:$F,7,0),"")</f>
        <v/>
      </c>
      <c r="BG119" s="270" t="str">
        <f>_xlfn.IFNA(VLOOKUP(CONCATENATE(BG$4,$C119),'INSER DATA'!$A:$F,7,0),"")</f>
        <v/>
      </c>
      <c r="BH119" s="270" t="str">
        <f>_xlfn.IFNA(VLOOKUP(CONCATENATE(BH$4,$C119),'INSER DATA'!$A:$F,7,0),"")</f>
        <v/>
      </c>
      <c r="BI119" s="270" t="str">
        <f>_xlfn.IFNA(VLOOKUP(CONCATENATE(BI$4,$C119),'INSER DATA'!$A:$F,7,0),"")</f>
        <v/>
      </c>
      <c r="BJ119" s="270" t="str">
        <f>_xlfn.IFNA(VLOOKUP(CONCATENATE(BJ$4,$C119),'INSER DATA'!$A:$F,7,0),"")</f>
        <v/>
      </c>
      <c r="BK119" s="270" t="str">
        <f>_xlfn.IFNA(VLOOKUP(CONCATENATE(BK$4,$C119),'INSER DATA'!$A:$F,7,0),"")</f>
        <v/>
      </c>
      <c r="BL119" s="272"/>
      <c r="BM119" s="30"/>
      <c r="BN119" s="30"/>
      <c r="BO119" s="30"/>
      <c r="BP119" s="30"/>
      <c r="BQ119" s="30"/>
      <c r="BR119" s="30"/>
      <c r="BS119" s="30"/>
      <c r="BT119" s="30"/>
      <c r="BU119" s="30"/>
      <c r="BV119" s="30"/>
      <c r="BW119" s="30"/>
      <c r="BX119" s="30"/>
      <c r="BY119" s="30"/>
      <c r="BZ119" s="30"/>
      <c r="CA119" s="30"/>
      <c r="CB119" s="30"/>
      <c r="CC119" s="30"/>
      <c r="CD119" s="30"/>
      <c r="CE119" s="30"/>
      <c r="CF119" s="30"/>
      <c r="CG119" s="30"/>
      <c r="CH119" s="30"/>
      <c r="CI119" s="30"/>
      <c r="CJ119" s="30"/>
      <c r="CK119" s="30"/>
      <c r="CL119" s="30"/>
      <c r="CM119" s="30"/>
      <c r="CN119" s="30"/>
      <c r="CO119" s="30"/>
      <c r="CP119" s="30"/>
      <c r="CQ119" s="30"/>
      <c r="CR119" s="30"/>
      <c r="CS119" s="30"/>
      <c r="CT119" s="30"/>
      <c r="CU119" s="30"/>
      <c r="CV119" s="30"/>
      <c r="CW119" s="30"/>
      <c r="CX119" s="30"/>
      <c r="CY119" s="30"/>
      <c r="CZ119" s="30"/>
      <c r="DA119" s="30"/>
    </row>
    <row r="120" spans="1:105" ht="19.2" thickTop="1" thickBot="1" x14ac:dyDescent="0.4">
      <c r="A120" s="30"/>
      <c r="B120" s="30"/>
      <c r="C120" s="188" t="s">
        <v>610</v>
      </c>
      <c r="D120" s="187" t="s">
        <v>705</v>
      </c>
      <c r="E120" s="35" t="str">
        <f>_xlfn.XLOOKUP(Tabella4[[#This Row],[NOME]],'ROSE SQUADRE'!$N$3:$N$253,'ROSE SQUADRE'!$O$3:$O$253,"")</f>
        <v/>
      </c>
      <c r="F120" s="36" t="s">
        <v>161</v>
      </c>
      <c r="G120" s="43">
        <v>3</v>
      </c>
      <c r="H120" s="43">
        <v>3</v>
      </c>
      <c r="I120" s="44">
        <f t="shared" si="7"/>
        <v>0</v>
      </c>
      <c r="J120" s="37">
        <f t="shared" si="8"/>
        <v>2</v>
      </c>
      <c r="K120" s="38">
        <f t="shared" si="9"/>
        <v>5.5</v>
      </c>
      <c r="L120" s="38">
        <f t="shared" si="10"/>
        <v>5.5</v>
      </c>
      <c r="M120" s="39">
        <f t="shared" si="11"/>
        <v>11</v>
      </c>
      <c r="N120" s="45">
        <f t="shared" ca="1" si="12"/>
        <v>0</v>
      </c>
      <c r="O120" s="40">
        <f>SUMIF(Tabella1[Nome],Tabella4[[#This Row],[NOME]],Tabella1[Gf])</f>
        <v>0</v>
      </c>
      <c r="P120" s="40">
        <f>-(SUMIF(Tabella1[Nome],Tabella4[[#This Row],[NOME]],Tabella1[Gs]))</f>
        <v>0</v>
      </c>
      <c r="Q120" s="40">
        <f>SUMIF(Tabella1[Nome],Tabella4[[#This Row],[NOME]],Tabella1[Rp])</f>
        <v>0</v>
      </c>
      <c r="R120" s="40">
        <f>SUMIF(Tabella1[Nome],Tabella4[[#This Row],[NOME]],Tabella1[Rs])</f>
        <v>0</v>
      </c>
      <c r="S120" s="40">
        <f>SUMIF(Tabella1[Nome],Tabella4[[#This Row],[NOME]],Tabella1[Rf])</f>
        <v>0</v>
      </c>
      <c r="T120" s="40">
        <f>SUMIF(Tabella1[Nome],Tabella4[[#This Row],[NOME]],Tabella1[Au])</f>
        <v>0</v>
      </c>
      <c r="U120" s="41">
        <f>SUMIF(Tabella1[Nome],Tabella4[[#This Row],[NOME]],Tabella1[Amm])</f>
        <v>0</v>
      </c>
      <c r="V120" s="42">
        <f>SUMIF(Tabella1[Nome],Tabella4[[#This Row],[NOME]],Tabella1[Esp])</f>
        <v>0</v>
      </c>
      <c r="W120" s="40">
        <f>SUMIF(Tabella1[Nome],Tabella4[[#This Row],[NOME]],Tabella1[Ass])</f>
        <v>0</v>
      </c>
      <c r="X120" s="40">
        <f>SUMIF(Tabella1[Nome],Tabella4[[#This Row],[NOME]],Tabella1[Gdv])</f>
        <v>0</v>
      </c>
      <c r="Y120" s="40">
        <f>SUMIF(Tabella1[Nome],Tabella4[[#This Row],[NOME]],Tabella1[cl sh])</f>
        <v>0</v>
      </c>
      <c r="Z120" s="270">
        <f>_xlfn.IFNA(_xlfn.XLOOKUP(CONCATENATE(Z$4,$C120),Tabella1[CONC X VOTI IN TAB GIOC],Tabella1[Voto],""),"")</f>
        <v>5</v>
      </c>
      <c r="AA120" s="270" t="str">
        <f>_xlfn.IFNA(_xlfn.XLOOKUP(CONCATENATE(AA$4,$C120),Tabella1[CONC X VOTI IN TAB GIOC],Tabella1[Voto],""),"")</f>
        <v/>
      </c>
      <c r="AB120" s="270" t="str">
        <f>_xlfn.IFNA(_xlfn.XLOOKUP(CONCATENATE(AB$4,$C120),Tabella1[CONC X VOTI IN TAB GIOC],Tabella1[Voto]),"")</f>
        <v/>
      </c>
      <c r="AC120" s="270" cm="1">
        <f t="array" ref="AC120">_xlfn.IFNA(_xlfn.XLOOKUP(CONCATENATE(AC$4,$C120),INDEX(Tabella1[],0,MATCH("CONC X VOTI IN TAB GIOC",Tabella1[#Headers],0)),INDEX(Tabella1[],0,MATCH("Voto",Tabella1[#Headers],0))),"")</f>
        <v>6</v>
      </c>
      <c r="AD120" s="270" t="str">
        <f>_xlfn.IFNA(_xlfn.XLOOKUP(CONCATENATE(AD$4,$C120),Tabella1[CONC X VOTI IN TAB GIOC],Tabella1[Voto]),"")</f>
        <v/>
      </c>
      <c r="AE120" s="270" t="str">
        <f>_xlfn.IFNA(VLOOKUP(CONCATENATE(AE$4,$C120),'INSER DATA'!$A:$F,6,0),"")</f>
        <v/>
      </c>
      <c r="AF120" s="270" t="str">
        <f>_xlfn.IFNA(VLOOKUP(CONCATENATE(AF$4,$C120),'INSER DATA'!$A:$F,6,0),"")</f>
        <v/>
      </c>
      <c r="AG120" s="270" t="str">
        <f>_xlfn.IFNA(VLOOKUP(CONCATENATE(AG$4,$C120),'INSER DATA'!$A:$F,6,0),"")</f>
        <v/>
      </c>
      <c r="AH120" s="270" t="str">
        <f>_xlfn.IFNA(VLOOKUP(CONCATENATE(AH$4,$C120),'INSER DATA'!$A:$F,7,0),"")</f>
        <v/>
      </c>
      <c r="AI120" s="270" t="str">
        <f>_xlfn.IFNA(VLOOKUP(CONCATENATE(AI$4,$C120),'INSER DATA'!$A:$F,7,0),"")</f>
        <v/>
      </c>
      <c r="AJ120" s="270" t="str">
        <f>_xlfn.IFNA(VLOOKUP(CONCATENATE(AJ$4,$C120),'INSER DATA'!$A:$F,7,0),"")</f>
        <v/>
      </c>
      <c r="AK120" s="270" t="str">
        <f>_xlfn.IFNA(VLOOKUP(CONCATENATE(AK$4,$C120),'INSER DATA'!$A:$F,7,0),"")</f>
        <v/>
      </c>
      <c r="AL120" s="270" t="str">
        <f>_xlfn.IFNA(VLOOKUP(CONCATENATE(AL$4,$C120),'INSER DATA'!$A:$F,7,0),"")</f>
        <v/>
      </c>
      <c r="AM120" s="270" t="str">
        <f>_xlfn.IFNA(VLOOKUP(CONCATENATE(AM$4,$C120),'INSER DATA'!$A:$F,7,0),"")</f>
        <v/>
      </c>
      <c r="AN120" s="270" t="str">
        <f>_xlfn.IFNA(VLOOKUP(CONCATENATE(AN$4,$C120),'INSER DATA'!$A:$F,7,0),"")</f>
        <v/>
      </c>
      <c r="AO120" s="270" t="str">
        <f>_xlfn.IFNA(VLOOKUP(CONCATENATE(AO$4,$C120),'INSER DATA'!$A:$F,7,0),"")</f>
        <v/>
      </c>
      <c r="AP120" s="270" t="str">
        <f>_xlfn.IFNA(VLOOKUP(CONCATENATE(AP$4,$C120),'INSER DATA'!$A:$F,7,0),"")</f>
        <v/>
      </c>
      <c r="AQ120" s="270" t="str">
        <f>_xlfn.IFNA(VLOOKUP(CONCATENATE(AQ$4,$C120),'INSER DATA'!$A:$F,7,0),"")</f>
        <v/>
      </c>
      <c r="AR120" s="270" t="str">
        <f>_xlfn.IFNA(VLOOKUP(CONCATENATE(AR$4,$C120),'INSER DATA'!$A:$F,7,0),"")</f>
        <v/>
      </c>
      <c r="AS120" s="270" t="str">
        <f>_xlfn.IFNA(VLOOKUP(CONCATENATE(AS$4,$C120),'INSER DATA'!$A:$F,7,0),"")</f>
        <v/>
      </c>
      <c r="AT120" s="270" t="str">
        <f>_xlfn.IFNA(VLOOKUP(CONCATENATE(AT$4,$C120),'INSER DATA'!$A:$F,7,0),"")</f>
        <v/>
      </c>
      <c r="AU120" s="270" t="str">
        <f>_xlfn.IFNA(VLOOKUP(CONCATENATE(AU$4,$C120),'INSER DATA'!$A:$F,7,0),"")</f>
        <v/>
      </c>
      <c r="AV120" s="270" t="str">
        <f>_xlfn.IFNA(VLOOKUP(CONCATENATE(AV$4,$C120),'INSER DATA'!$A:$F,7,0),"")</f>
        <v/>
      </c>
      <c r="AW120" s="270" t="str">
        <f>_xlfn.IFNA(VLOOKUP(CONCATENATE(AW$4,$C120),'INSER DATA'!$A:$F,7,0),"")</f>
        <v/>
      </c>
      <c r="AX120" s="270" t="str">
        <f>_xlfn.IFNA(VLOOKUP(CONCATENATE(AX$4,$C120),'INSER DATA'!$A:$F,7,0),"")</f>
        <v/>
      </c>
      <c r="AY120" s="270" t="str">
        <f>_xlfn.IFNA(VLOOKUP(CONCATENATE(AY$4,$C120),'INSER DATA'!$A:$F,7,0),"")</f>
        <v/>
      </c>
      <c r="AZ120" s="270" t="str">
        <f>_xlfn.IFNA(VLOOKUP(CONCATENATE(AZ$4,$C120),'INSER DATA'!$A:$F,7,0),"")</f>
        <v/>
      </c>
      <c r="BA120" s="270" t="str">
        <f>_xlfn.IFNA(VLOOKUP(CONCATENATE(BA$4,$C120),'INSER DATA'!$A:$F,7,0),"")</f>
        <v/>
      </c>
      <c r="BB120" s="270" t="str">
        <f>_xlfn.IFNA(VLOOKUP(CONCATENATE(BB$4,$C120),'INSER DATA'!$A:$F,7,0),"")</f>
        <v/>
      </c>
      <c r="BC120" s="270" t="str">
        <f>_xlfn.IFNA(VLOOKUP(CONCATENATE(BC$4,$C120),'INSER DATA'!$A:$F,7,0),"")</f>
        <v/>
      </c>
      <c r="BD120" s="270" t="str">
        <f>_xlfn.IFNA(VLOOKUP(CONCATENATE(BD$4,$C120),'INSER DATA'!$A:$F,7,0),"")</f>
        <v/>
      </c>
      <c r="BE120" s="270" t="str">
        <f>_xlfn.IFNA(VLOOKUP(CONCATENATE(BE$4,$C120),'INSER DATA'!$A:$F,7,0),"")</f>
        <v/>
      </c>
      <c r="BF120" s="270" t="str">
        <f>_xlfn.IFNA(VLOOKUP(CONCATENATE(BF$4,$C120),'INSER DATA'!$A:$F,7,0),"")</f>
        <v/>
      </c>
      <c r="BG120" s="270" t="str">
        <f>_xlfn.IFNA(VLOOKUP(CONCATENATE(BG$4,$C120),'INSER DATA'!$A:$F,7,0),"")</f>
        <v/>
      </c>
      <c r="BH120" s="270" t="str">
        <f>_xlfn.IFNA(VLOOKUP(CONCATENATE(BH$4,$C120),'INSER DATA'!$A:$F,7,0),"")</f>
        <v/>
      </c>
      <c r="BI120" s="270" t="str">
        <f>_xlfn.IFNA(VLOOKUP(CONCATENATE(BI$4,$C120),'INSER DATA'!$A:$F,7,0),"")</f>
        <v/>
      </c>
      <c r="BJ120" s="270" t="str">
        <f>_xlfn.IFNA(VLOOKUP(CONCATENATE(BJ$4,$C120),'INSER DATA'!$A:$F,7,0),"")</f>
        <v/>
      </c>
      <c r="BK120" s="270" t="str">
        <f>_xlfn.IFNA(VLOOKUP(CONCATENATE(BK$4,$C120),'INSER DATA'!$A:$F,7,0),"")</f>
        <v/>
      </c>
      <c r="BL120" s="272"/>
      <c r="BM120" s="30"/>
      <c r="BN120" s="30"/>
      <c r="BO120" s="30"/>
      <c r="BP120" s="30"/>
      <c r="BQ120" s="30"/>
      <c r="BR120" s="30"/>
      <c r="BS120" s="30"/>
      <c r="BT120" s="30"/>
      <c r="BU120" s="30"/>
      <c r="BV120" s="30"/>
      <c r="BW120" s="30"/>
      <c r="BX120" s="30"/>
      <c r="BY120" s="30"/>
      <c r="BZ120" s="30"/>
      <c r="CA120" s="30"/>
      <c r="CB120" s="30"/>
      <c r="CC120" s="30"/>
      <c r="CD120" s="30"/>
      <c r="CE120" s="30"/>
      <c r="CF120" s="30"/>
      <c r="CG120" s="30"/>
      <c r="CH120" s="30"/>
      <c r="CI120" s="30"/>
      <c r="CJ120" s="30"/>
      <c r="CK120" s="30"/>
      <c r="CL120" s="30"/>
      <c r="CM120" s="30"/>
      <c r="CN120" s="30"/>
      <c r="CO120" s="30"/>
      <c r="CP120" s="30"/>
      <c r="CQ120" s="30"/>
      <c r="CR120" s="30"/>
      <c r="CS120" s="30"/>
      <c r="CT120" s="30"/>
      <c r="CU120" s="30"/>
      <c r="CV120" s="30"/>
      <c r="CW120" s="30"/>
      <c r="CX120" s="30"/>
      <c r="CY120" s="30"/>
      <c r="CZ120" s="30"/>
      <c r="DA120" s="30"/>
    </row>
    <row r="121" spans="1:105" ht="19.2" thickTop="1" thickBot="1" x14ac:dyDescent="0.4">
      <c r="A121" s="30"/>
      <c r="B121" s="30"/>
      <c r="C121" s="356" t="s">
        <v>712</v>
      </c>
      <c r="D121" s="355" t="s">
        <v>705</v>
      </c>
      <c r="E121" s="35" t="str">
        <f>_xlfn.XLOOKUP(Tabella4[[#This Row],[NOME]],'ROSE SQUADRE'!$N$3:$N$253,'ROSE SQUADRE'!$O$3:$O$253,"")</f>
        <v>PARTIZAN DEGRADO</v>
      </c>
      <c r="F121" s="36" t="s">
        <v>161</v>
      </c>
      <c r="G121" s="43">
        <v>6</v>
      </c>
      <c r="H121" s="43">
        <v>6</v>
      </c>
      <c r="I121" s="44">
        <f t="shared" si="7"/>
        <v>0</v>
      </c>
      <c r="J121" s="37">
        <f t="shared" si="8"/>
        <v>2</v>
      </c>
      <c r="K121" s="38">
        <f t="shared" si="9"/>
        <v>5</v>
      </c>
      <c r="L121" s="38">
        <f t="shared" si="10"/>
        <v>5</v>
      </c>
      <c r="M121" s="39">
        <f t="shared" si="11"/>
        <v>10</v>
      </c>
      <c r="N121" s="45">
        <f t="shared" ca="1" si="12"/>
        <v>0</v>
      </c>
      <c r="O121" s="40">
        <f>SUMIF(Tabella1[Nome],Tabella4[[#This Row],[NOME]],Tabella1[Gf])</f>
        <v>0</v>
      </c>
      <c r="P121" s="40">
        <f>-(SUMIF(Tabella1[Nome],Tabella4[[#This Row],[NOME]],Tabella1[Gs]))</f>
        <v>0</v>
      </c>
      <c r="Q121" s="40">
        <f>SUMIF(Tabella1[Nome],Tabella4[[#This Row],[NOME]],Tabella1[Rp])</f>
        <v>0</v>
      </c>
      <c r="R121" s="40">
        <f>SUMIF(Tabella1[Nome],Tabella4[[#This Row],[NOME]],Tabella1[Rs])</f>
        <v>0</v>
      </c>
      <c r="S121" s="40">
        <f>SUMIF(Tabella1[Nome],Tabella4[[#This Row],[NOME]],Tabella1[Rf])</f>
        <v>0</v>
      </c>
      <c r="T121" s="40">
        <f>SUMIF(Tabella1[Nome],Tabella4[[#This Row],[NOME]],Tabella1[Au])</f>
        <v>0</v>
      </c>
      <c r="U121" s="41">
        <f>SUMIF(Tabella1[Nome],Tabella4[[#This Row],[NOME]],Tabella1[Amm])</f>
        <v>0</v>
      </c>
      <c r="V121" s="42">
        <f>SUMIF(Tabella1[Nome],Tabella4[[#This Row],[NOME]],Tabella1[Esp])</f>
        <v>0</v>
      </c>
      <c r="W121" s="40">
        <f>SUMIF(Tabella1[Nome],Tabella4[[#This Row],[NOME]],Tabella1[Ass])</f>
        <v>0</v>
      </c>
      <c r="X121" s="40">
        <f>SUMIF(Tabella1[Nome],Tabella4[[#This Row],[NOME]],Tabella1[Gdv])</f>
        <v>0</v>
      </c>
      <c r="Y121" s="40">
        <f>SUMIF(Tabella1[Nome],Tabella4[[#This Row],[NOME]],Tabella1[cl sh])</f>
        <v>0</v>
      </c>
      <c r="Z121" s="270" t="str">
        <f>_xlfn.IFNA(_xlfn.XLOOKUP(CONCATENATE(Z$4,$C121),Tabella1[CONC X VOTI IN TAB GIOC],Tabella1[Voto],""),"")</f>
        <v/>
      </c>
      <c r="AA121" s="270">
        <f>_xlfn.IFNA(_xlfn.XLOOKUP(CONCATENATE(AA$4,$C121),Tabella1[CONC X VOTI IN TAB GIOC],Tabella1[Voto],""),"")</f>
        <v>5</v>
      </c>
      <c r="AB121" s="270">
        <f>_xlfn.IFNA(_xlfn.XLOOKUP(CONCATENATE(AB$4,$C121),Tabella1[CONC X VOTI IN TAB GIOC],Tabella1[Voto]),"")</f>
        <v>5</v>
      </c>
      <c r="AC121" s="270" t="str" cm="1">
        <f t="array" ref="AC121">_xlfn.IFNA(_xlfn.XLOOKUP(CONCATENATE(AC$4,$C121),INDEX(Tabella1[],0,MATCH("CONC X VOTI IN TAB GIOC",Tabella1[#Headers],0)),INDEX(Tabella1[],0,MATCH("Voto",Tabella1[#Headers],0))),"")</f>
        <v/>
      </c>
      <c r="AD121" s="270" t="str">
        <f>_xlfn.IFNA(_xlfn.XLOOKUP(CONCATENATE(AD$4,$C121),Tabella1[CONC X VOTI IN TAB GIOC],Tabella1[Voto]),"")</f>
        <v/>
      </c>
      <c r="AE121" s="270" t="str">
        <f>_xlfn.IFNA(VLOOKUP(CONCATENATE(AE$4,$C121),'INSER DATA'!$A:$F,6,0),"")</f>
        <v/>
      </c>
      <c r="AF121" s="270" t="str">
        <f>_xlfn.IFNA(VLOOKUP(CONCATENATE(AF$4,$C121),'INSER DATA'!$A:$F,6,0),"")</f>
        <v/>
      </c>
      <c r="AG121" s="270" t="str">
        <f>_xlfn.IFNA(VLOOKUP(CONCATENATE(AG$4,$C121),'INSER DATA'!$A:$F,6,0),"")</f>
        <v/>
      </c>
      <c r="AH121" s="270" t="str">
        <f>_xlfn.IFNA(VLOOKUP(CONCATENATE(AH$4,$C121),'INSER DATA'!$A:$F,7,0),"")</f>
        <v/>
      </c>
      <c r="AI121" s="270" t="str">
        <f>_xlfn.IFNA(VLOOKUP(CONCATENATE(AI$4,$C121),'INSER DATA'!$A:$F,7,0),"")</f>
        <v/>
      </c>
      <c r="AJ121" s="270" t="str">
        <f>_xlfn.IFNA(VLOOKUP(CONCATENATE(AJ$4,$C121),'INSER DATA'!$A:$F,7,0),"")</f>
        <v/>
      </c>
      <c r="AK121" s="270" t="str">
        <f>_xlfn.IFNA(VLOOKUP(CONCATENATE(AK$4,$C121),'INSER DATA'!$A:$F,7,0),"")</f>
        <v/>
      </c>
      <c r="AL121" s="270" t="str">
        <f>_xlfn.IFNA(VLOOKUP(CONCATENATE(AL$4,$C121),'INSER DATA'!$A:$F,7,0),"")</f>
        <v/>
      </c>
      <c r="AM121" s="270" t="str">
        <f>_xlfn.IFNA(VLOOKUP(CONCATENATE(AM$4,$C121),'INSER DATA'!$A:$F,7,0),"")</f>
        <v/>
      </c>
      <c r="AN121" s="270" t="str">
        <f>_xlfn.IFNA(VLOOKUP(CONCATENATE(AN$4,$C121),'INSER DATA'!$A:$F,7,0),"")</f>
        <v/>
      </c>
      <c r="AO121" s="270" t="str">
        <f>_xlfn.IFNA(VLOOKUP(CONCATENATE(AO$4,$C121),'INSER DATA'!$A:$F,7,0),"")</f>
        <v/>
      </c>
      <c r="AP121" s="270" t="str">
        <f>_xlfn.IFNA(VLOOKUP(CONCATENATE(AP$4,$C121),'INSER DATA'!$A:$F,7,0),"")</f>
        <v/>
      </c>
      <c r="AQ121" s="270" t="str">
        <f>_xlfn.IFNA(VLOOKUP(CONCATENATE(AQ$4,$C121),'INSER DATA'!$A:$F,7,0),"")</f>
        <v/>
      </c>
      <c r="AR121" s="270" t="str">
        <f>_xlfn.IFNA(VLOOKUP(CONCATENATE(AR$4,$C121),'INSER DATA'!$A:$F,7,0),"")</f>
        <v/>
      </c>
      <c r="AS121" s="270" t="str">
        <f>_xlfn.IFNA(VLOOKUP(CONCATENATE(AS$4,$C121),'INSER DATA'!$A:$F,7,0),"")</f>
        <v/>
      </c>
      <c r="AT121" s="270" t="str">
        <f>_xlfn.IFNA(VLOOKUP(CONCATENATE(AT$4,$C121),'INSER DATA'!$A:$F,7,0),"")</f>
        <v/>
      </c>
      <c r="AU121" s="270" t="str">
        <f>_xlfn.IFNA(VLOOKUP(CONCATENATE(AU$4,$C121),'INSER DATA'!$A:$F,7,0),"")</f>
        <v/>
      </c>
      <c r="AV121" s="270" t="str">
        <f>_xlfn.IFNA(VLOOKUP(CONCATENATE(AV$4,$C121),'INSER DATA'!$A:$F,7,0),"")</f>
        <v/>
      </c>
      <c r="AW121" s="270" t="str">
        <f>_xlfn.IFNA(VLOOKUP(CONCATENATE(AW$4,$C121),'INSER DATA'!$A:$F,7,0),"")</f>
        <v/>
      </c>
      <c r="AX121" s="270" t="str">
        <f>_xlfn.IFNA(VLOOKUP(CONCATENATE(AX$4,$C121),'INSER DATA'!$A:$F,7,0),"")</f>
        <v/>
      </c>
      <c r="AY121" s="270" t="str">
        <f>_xlfn.IFNA(VLOOKUP(CONCATENATE(AY$4,$C121),'INSER DATA'!$A:$F,7,0),"")</f>
        <v/>
      </c>
      <c r="AZ121" s="270" t="str">
        <f>_xlfn.IFNA(VLOOKUP(CONCATENATE(AZ$4,$C121),'INSER DATA'!$A:$F,7,0),"")</f>
        <v/>
      </c>
      <c r="BA121" s="270" t="str">
        <f>_xlfn.IFNA(VLOOKUP(CONCATENATE(BA$4,$C121),'INSER DATA'!$A:$F,7,0),"")</f>
        <v/>
      </c>
      <c r="BB121" s="270" t="str">
        <f>_xlfn.IFNA(VLOOKUP(CONCATENATE(BB$4,$C121),'INSER DATA'!$A:$F,7,0),"")</f>
        <v/>
      </c>
      <c r="BC121" s="270" t="str">
        <f>_xlfn.IFNA(VLOOKUP(CONCATENATE(BC$4,$C121),'INSER DATA'!$A:$F,7,0),"")</f>
        <v/>
      </c>
      <c r="BD121" s="270" t="str">
        <f>_xlfn.IFNA(VLOOKUP(CONCATENATE(BD$4,$C121),'INSER DATA'!$A:$F,7,0),"")</f>
        <v/>
      </c>
      <c r="BE121" s="270" t="str">
        <f>_xlfn.IFNA(VLOOKUP(CONCATENATE(BE$4,$C121),'INSER DATA'!$A:$F,7,0),"")</f>
        <v/>
      </c>
      <c r="BF121" s="270" t="str">
        <f>_xlfn.IFNA(VLOOKUP(CONCATENATE(BF$4,$C121),'INSER DATA'!$A:$F,7,0),"")</f>
        <v/>
      </c>
      <c r="BG121" s="270" t="str">
        <f>_xlfn.IFNA(VLOOKUP(CONCATENATE(BG$4,$C121),'INSER DATA'!$A:$F,7,0),"")</f>
        <v/>
      </c>
      <c r="BH121" s="270" t="str">
        <f>_xlfn.IFNA(VLOOKUP(CONCATENATE(BH$4,$C121),'INSER DATA'!$A:$F,7,0),"")</f>
        <v/>
      </c>
      <c r="BI121" s="270" t="str">
        <f>_xlfn.IFNA(VLOOKUP(CONCATENATE(BI$4,$C121),'INSER DATA'!$A:$F,7,0),"")</f>
        <v/>
      </c>
      <c r="BJ121" s="270" t="str">
        <f>_xlfn.IFNA(VLOOKUP(CONCATENATE(BJ$4,$C121),'INSER DATA'!$A:$F,7,0),"")</f>
        <v/>
      </c>
      <c r="BK121" s="270" t="str">
        <f>_xlfn.IFNA(VLOOKUP(CONCATENATE(BK$4,$C121),'INSER DATA'!$A:$F,7,0),"")</f>
        <v/>
      </c>
      <c r="BL121" s="272"/>
      <c r="BM121" s="30"/>
      <c r="BN121" s="30"/>
      <c r="BO121" s="30"/>
      <c r="BP121" s="30"/>
      <c r="BQ121" s="30"/>
      <c r="BR121" s="30"/>
      <c r="BS121" s="30"/>
      <c r="BT121" s="30"/>
      <c r="BU121" s="30"/>
      <c r="BV121" s="30"/>
      <c r="BW121" s="30"/>
      <c r="BX121" s="30"/>
      <c r="BY121" s="30"/>
      <c r="BZ121" s="30"/>
      <c r="CA121" s="30"/>
      <c r="CB121" s="30"/>
      <c r="CC121" s="30"/>
      <c r="CD121" s="30"/>
      <c r="CE121" s="30"/>
      <c r="CF121" s="30"/>
      <c r="CG121" s="30"/>
      <c r="CH121" s="30"/>
      <c r="CI121" s="30"/>
      <c r="CJ121" s="30"/>
      <c r="CK121" s="30"/>
      <c r="CL121" s="30"/>
      <c r="CM121" s="30"/>
      <c r="CN121" s="30"/>
      <c r="CO121" s="30"/>
      <c r="CP121" s="30"/>
      <c r="CQ121" s="30"/>
      <c r="CR121" s="30"/>
      <c r="CS121" s="30"/>
      <c r="CT121" s="30"/>
      <c r="CU121" s="30"/>
      <c r="CV121" s="30"/>
      <c r="CW121" s="30"/>
      <c r="CX121" s="30"/>
      <c r="CY121" s="30"/>
      <c r="CZ121" s="30"/>
      <c r="DA121" s="30"/>
    </row>
    <row r="122" spans="1:105" ht="19.2" thickTop="1" thickBot="1" x14ac:dyDescent="0.4">
      <c r="A122" s="30"/>
      <c r="B122" s="30"/>
      <c r="C122" s="354" t="s">
        <v>717</v>
      </c>
      <c r="D122" s="355" t="s">
        <v>705</v>
      </c>
      <c r="E122" s="35" t="str">
        <f>_xlfn.XLOOKUP(Tabella4[[#This Row],[NOME]],'ROSE SQUADRE'!$N$3:$N$253,'ROSE SQUADRE'!$O$3:$O$253,"")</f>
        <v>FC INTERNAZIOANALE</v>
      </c>
      <c r="F122" s="36" t="s">
        <v>162</v>
      </c>
      <c r="G122" s="43">
        <v>8</v>
      </c>
      <c r="H122" s="43">
        <v>8</v>
      </c>
      <c r="I122" s="44">
        <f t="shared" si="7"/>
        <v>0</v>
      </c>
      <c r="J122" s="37">
        <f t="shared" si="8"/>
        <v>4</v>
      </c>
      <c r="K122" s="38">
        <f t="shared" si="9"/>
        <v>5.5</v>
      </c>
      <c r="L122" s="38">
        <f t="shared" si="10"/>
        <v>5.5</v>
      </c>
      <c r="M122" s="39">
        <f t="shared" si="11"/>
        <v>22</v>
      </c>
      <c r="N122" s="45">
        <f t="shared" ca="1" si="12"/>
        <v>0</v>
      </c>
      <c r="O122" s="40">
        <f>SUMIF(Tabella1[Nome],Tabella4[[#This Row],[NOME]],Tabella1[Gf])</f>
        <v>0</v>
      </c>
      <c r="P122" s="40">
        <f>-(SUMIF(Tabella1[Nome],Tabella4[[#This Row],[NOME]],Tabella1[Gs]))</f>
        <v>0</v>
      </c>
      <c r="Q122" s="40">
        <f>SUMIF(Tabella1[Nome],Tabella4[[#This Row],[NOME]],Tabella1[Rp])</f>
        <v>0</v>
      </c>
      <c r="R122" s="40">
        <f>SUMIF(Tabella1[Nome],Tabella4[[#This Row],[NOME]],Tabella1[Rs])</f>
        <v>0</v>
      </c>
      <c r="S122" s="40">
        <f>SUMIF(Tabella1[Nome],Tabella4[[#This Row],[NOME]],Tabella1[Rf])</f>
        <v>0</v>
      </c>
      <c r="T122" s="40">
        <f>SUMIF(Tabella1[Nome],Tabella4[[#This Row],[NOME]],Tabella1[Au])</f>
        <v>0</v>
      </c>
      <c r="U122" s="41">
        <f>SUMIF(Tabella1[Nome],Tabella4[[#This Row],[NOME]],Tabella1[Amm])</f>
        <v>0</v>
      </c>
      <c r="V122" s="42">
        <f>SUMIF(Tabella1[Nome],Tabella4[[#This Row],[NOME]],Tabella1[Esp])</f>
        <v>0</v>
      </c>
      <c r="W122" s="40">
        <f>SUMIF(Tabella1[Nome],Tabella4[[#This Row],[NOME]],Tabella1[Ass])</f>
        <v>0</v>
      </c>
      <c r="X122" s="40">
        <f>SUMIF(Tabella1[Nome],Tabella4[[#This Row],[NOME]],Tabella1[Gdv])</f>
        <v>0</v>
      </c>
      <c r="Y122" s="40">
        <f>SUMIF(Tabella1[Nome],Tabella4[[#This Row],[NOME]],Tabella1[cl sh])</f>
        <v>0</v>
      </c>
      <c r="Z122" s="270">
        <f>_xlfn.IFNA(_xlfn.XLOOKUP(CONCATENATE(Z$4,$C122),Tabella1[CONC X VOTI IN TAB GIOC],Tabella1[Voto],""),"")</f>
        <v>5.5</v>
      </c>
      <c r="AA122" s="270">
        <f>_xlfn.IFNA(_xlfn.XLOOKUP(CONCATENATE(AA$4,$C122),Tabella1[CONC X VOTI IN TAB GIOC],Tabella1[Voto],""),"")</f>
        <v>4.5</v>
      </c>
      <c r="AB122" s="270">
        <f>_xlfn.IFNA(_xlfn.XLOOKUP(CONCATENATE(AB$4,$C122),Tabella1[CONC X VOTI IN TAB GIOC],Tabella1[Voto]),"")</f>
        <v>5.5</v>
      </c>
      <c r="AC122" s="270" cm="1">
        <f t="array" ref="AC122">_xlfn.IFNA(_xlfn.XLOOKUP(CONCATENATE(AC$4,$C122),INDEX(Tabella1[],0,MATCH("CONC X VOTI IN TAB GIOC",Tabella1[#Headers],0)),INDEX(Tabella1[],0,MATCH("Voto",Tabella1[#Headers],0))),"")</f>
        <v>6.5</v>
      </c>
      <c r="AD122" s="270" t="str">
        <f>_xlfn.IFNA(_xlfn.XLOOKUP(CONCATENATE(AD$4,$C122),Tabella1[CONC X VOTI IN TAB GIOC],Tabella1[Voto]),"")</f>
        <v/>
      </c>
      <c r="AE122" s="270" t="str">
        <f>_xlfn.IFNA(VLOOKUP(CONCATENATE(AE$4,$C122),'INSER DATA'!$A:$F,6,0),"")</f>
        <v/>
      </c>
      <c r="AF122" s="270" t="str">
        <f>_xlfn.IFNA(VLOOKUP(CONCATENATE(AF$4,$C122),'INSER DATA'!$A:$F,6,0),"")</f>
        <v/>
      </c>
      <c r="AG122" s="270" t="str">
        <f>_xlfn.IFNA(VLOOKUP(CONCATENATE(AG$4,$C122),'INSER DATA'!$A:$F,6,0),"")</f>
        <v/>
      </c>
      <c r="AH122" s="270" t="str">
        <f>_xlfn.IFNA(VLOOKUP(CONCATENATE(AH$4,$C122),'INSER DATA'!$A:$F,7,0),"")</f>
        <v/>
      </c>
      <c r="AI122" s="270" t="str">
        <f>_xlfn.IFNA(VLOOKUP(CONCATENATE(AI$4,$C122),'INSER DATA'!$A:$F,7,0),"")</f>
        <v/>
      </c>
      <c r="AJ122" s="270" t="str">
        <f>_xlfn.IFNA(VLOOKUP(CONCATENATE(AJ$4,$C122),'INSER DATA'!$A:$F,7,0),"")</f>
        <v/>
      </c>
      <c r="AK122" s="270" t="str">
        <f>_xlfn.IFNA(VLOOKUP(CONCATENATE(AK$4,$C122),'INSER DATA'!$A:$F,7,0),"")</f>
        <v/>
      </c>
      <c r="AL122" s="270" t="str">
        <f>_xlfn.IFNA(VLOOKUP(CONCATENATE(AL$4,$C122),'INSER DATA'!$A:$F,7,0),"")</f>
        <v/>
      </c>
      <c r="AM122" s="270" t="str">
        <f>_xlfn.IFNA(VLOOKUP(CONCATENATE(AM$4,$C122),'INSER DATA'!$A:$F,7,0),"")</f>
        <v/>
      </c>
      <c r="AN122" s="270" t="str">
        <f>_xlfn.IFNA(VLOOKUP(CONCATENATE(AN$4,$C122),'INSER DATA'!$A:$F,7,0),"")</f>
        <v/>
      </c>
      <c r="AO122" s="270" t="str">
        <f>_xlfn.IFNA(VLOOKUP(CONCATENATE(AO$4,$C122),'INSER DATA'!$A:$F,7,0),"")</f>
        <v/>
      </c>
      <c r="AP122" s="270" t="str">
        <f>_xlfn.IFNA(VLOOKUP(CONCATENATE(AP$4,$C122),'INSER DATA'!$A:$F,7,0),"")</f>
        <v/>
      </c>
      <c r="AQ122" s="270" t="str">
        <f>_xlfn.IFNA(VLOOKUP(CONCATENATE(AQ$4,$C122),'INSER DATA'!$A:$F,7,0),"")</f>
        <v/>
      </c>
      <c r="AR122" s="270" t="str">
        <f>_xlfn.IFNA(VLOOKUP(CONCATENATE(AR$4,$C122),'INSER DATA'!$A:$F,7,0),"")</f>
        <v/>
      </c>
      <c r="AS122" s="270" t="str">
        <f>_xlfn.IFNA(VLOOKUP(CONCATENATE(AS$4,$C122),'INSER DATA'!$A:$F,7,0),"")</f>
        <v/>
      </c>
      <c r="AT122" s="270" t="str">
        <f>_xlfn.IFNA(VLOOKUP(CONCATENATE(AT$4,$C122),'INSER DATA'!$A:$F,7,0),"")</f>
        <v/>
      </c>
      <c r="AU122" s="270" t="str">
        <f>_xlfn.IFNA(VLOOKUP(CONCATENATE(AU$4,$C122),'INSER DATA'!$A:$F,7,0),"")</f>
        <v/>
      </c>
      <c r="AV122" s="270" t="str">
        <f>_xlfn.IFNA(VLOOKUP(CONCATENATE(AV$4,$C122),'INSER DATA'!$A:$F,7,0),"")</f>
        <v/>
      </c>
      <c r="AW122" s="270" t="str">
        <f>_xlfn.IFNA(VLOOKUP(CONCATENATE(AW$4,$C122),'INSER DATA'!$A:$F,7,0),"")</f>
        <v/>
      </c>
      <c r="AX122" s="270" t="str">
        <f>_xlfn.IFNA(VLOOKUP(CONCATENATE(AX$4,$C122),'INSER DATA'!$A:$F,7,0),"")</f>
        <v/>
      </c>
      <c r="AY122" s="270" t="str">
        <f>_xlfn.IFNA(VLOOKUP(CONCATENATE(AY$4,$C122),'INSER DATA'!$A:$F,7,0),"")</f>
        <v/>
      </c>
      <c r="AZ122" s="270" t="str">
        <f>_xlfn.IFNA(VLOOKUP(CONCATENATE(AZ$4,$C122),'INSER DATA'!$A:$F,7,0),"")</f>
        <v/>
      </c>
      <c r="BA122" s="270" t="str">
        <f>_xlfn.IFNA(VLOOKUP(CONCATENATE(BA$4,$C122),'INSER DATA'!$A:$F,7,0),"")</f>
        <v/>
      </c>
      <c r="BB122" s="270" t="str">
        <f>_xlfn.IFNA(VLOOKUP(CONCATENATE(BB$4,$C122),'INSER DATA'!$A:$F,7,0),"")</f>
        <v/>
      </c>
      <c r="BC122" s="270" t="str">
        <f>_xlfn.IFNA(VLOOKUP(CONCATENATE(BC$4,$C122),'INSER DATA'!$A:$F,7,0),"")</f>
        <v/>
      </c>
      <c r="BD122" s="270" t="str">
        <f>_xlfn.IFNA(VLOOKUP(CONCATENATE(BD$4,$C122),'INSER DATA'!$A:$F,7,0),"")</f>
        <v/>
      </c>
      <c r="BE122" s="270" t="str">
        <f>_xlfn.IFNA(VLOOKUP(CONCATENATE(BE$4,$C122),'INSER DATA'!$A:$F,7,0),"")</f>
        <v/>
      </c>
      <c r="BF122" s="270" t="str">
        <f>_xlfn.IFNA(VLOOKUP(CONCATENATE(BF$4,$C122),'INSER DATA'!$A:$F,7,0),"")</f>
        <v/>
      </c>
      <c r="BG122" s="270" t="str">
        <f>_xlfn.IFNA(VLOOKUP(CONCATENATE(BG$4,$C122),'INSER DATA'!$A:$F,7,0),"")</f>
        <v/>
      </c>
      <c r="BH122" s="270" t="str">
        <f>_xlfn.IFNA(VLOOKUP(CONCATENATE(BH$4,$C122),'INSER DATA'!$A:$F,7,0),"")</f>
        <v/>
      </c>
      <c r="BI122" s="270" t="str">
        <f>_xlfn.IFNA(VLOOKUP(CONCATENATE(BI$4,$C122),'INSER DATA'!$A:$F,7,0),"")</f>
        <v/>
      </c>
      <c r="BJ122" s="270" t="str">
        <f>_xlfn.IFNA(VLOOKUP(CONCATENATE(BJ$4,$C122),'INSER DATA'!$A:$F,7,0),"")</f>
        <v/>
      </c>
      <c r="BK122" s="270" t="str">
        <f>_xlfn.IFNA(VLOOKUP(CONCATENATE(BK$4,$C122),'INSER DATA'!$A:$F,7,0),"")</f>
        <v/>
      </c>
      <c r="BL122" s="272"/>
      <c r="BM122" s="30"/>
      <c r="BN122" s="30"/>
      <c r="BO122" s="30"/>
      <c r="BP122" s="30"/>
      <c r="BQ122" s="30"/>
      <c r="BR122" s="30"/>
      <c r="BS122" s="30"/>
      <c r="BT122" s="30"/>
      <c r="BU122" s="30"/>
      <c r="BV122" s="30"/>
      <c r="BW122" s="30"/>
      <c r="BX122" s="30"/>
      <c r="BY122" s="30"/>
      <c r="BZ122" s="30"/>
      <c r="CA122" s="30"/>
      <c r="CB122" s="30"/>
      <c r="CC122" s="30"/>
      <c r="CD122" s="30"/>
      <c r="CE122" s="30"/>
      <c r="CF122" s="30"/>
      <c r="CG122" s="30"/>
      <c r="CH122" s="30"/>
      <c r="CI122" s="30"/>
      <c r="CJ122" s="30"/>
      <c r="CK122" s="30"/>
      <c r="CL122" s="30"/>
      <c r="CM122" s="30"/>
      <c r="CN122" s="30"/>
      <c r="CO122" s="30"/>
      <c r="CP122" s="30"/>
      <c r="CQ122" s="30"/>
      <c r="CR122" s="30"/>
      <c r="CS122" s="30"/>
      <c r="CT122" s="30"/>
      <c r="CU122" s="30"/>
      <c r="CV122" s="30"/>
      <c r="CW122" s="30"/>
      <c r="CX122" s="30"/>
      <c r="CY122" s="30"/>
      <c r="CZ122" s="30"/>
      <c r="DA122" s="30"/>
    </row>
    <row r="123" spans="1:105" ht="19.2" thickTop="1" thickBot="1" x14ac:dyDescent="0.4">
      <c r="A123" s="30"/>
      <c r="B123" s="30"/>
      <c r="C123" s="354" t="s">
        <v>719</v>
      </c>
      <c r="D123" s="357" t="s">
        <v>705</v>
      </c>
      <c r="E123" s="35" t="str">
        <f>_xlfn.XLOOKUP(Tabella4[[#This Row],[NOME]],'ROSE SQUADRE'!$N$3:$N$253,'ROSE SQUADRE'!$O$3:$O$253,"")</f>
        <v>SHARK</v>
      </c>
      <c r="F123" s="36" t="s">
        <v>163</v>
      </c>
      <c r="G123" s="43">
        <v>15</v>
      </c>
      <c r="H123" s="43">
        <v>14</v>
      </c>
      <c r="I123" s="44">
        <f t="shared" si="7"/>
        <v>-1</v>
      </c>
      <c r="J123" s="37">
        <f t="shared" si="8"/>
        <v>4</v>
      </c>
      <c r="K123" s="178">
        <f t="shared" si="9"/>
        <v>5.75</v>
      </c>
      <c r="L123" s="178">
        <f t="shared" si="10"/>
        <v>7.375</v>
      </c>
      <c r="M123" s="179">
        <f t="shared" si="11"/>
        <v>29.5</v>
      </c>
      <c r="N123" s="45">
        <f t="shared" ca="1" si="12"/>
        <v>0</v>
      </c>
      <c r="O123" s="40">
        <f>SUMIF(Tabella1[Nome],Tabella4[[#This Row],[NOME]],Tabella1[Gf])</f>
        <v>2</v>
      </c>
      <c r="P123" s="40">
        <f>-(SUMIF(Tabella1[Nome],Tabella4[[#This Row],[NOME]],Tabella1[Gs]))</f>
        <v>0</v>
      </c>
      <c r="Q123" s="40">
        <f>SUMIF(Tabella1[Nome],Tabella4[[#This Row],[NOME]],Tabella1[Rp])</f>
        <v>0</v>
      </c>
      <c r="R123" s="40">
        <f>SUMIF(Tabella1[Nome],Tabella4[[#This Row],[NOME]],Tabella1[Rs])</f>
        <v>0</v>
      </c>
      <c r="S123" s="40">
        <f>SUMIF(Tabella1[Nome],Tabella4[[#This Row],[NOME]],Tabella1[Rf])</f>
        <v>0</v>
      </c>
      <c r="T123" s="40">
        <f>SUMIF(Tabella1[Nome],Tabella4[[#This Row],[NOME]],Tabella1[Au])</f>
        <v>0</v>
      </c>
      <c r="U123" s="41">
        <f>SUMIF(Tabella1[Nome],Tabella4[[#This Row],[NOME]],Tabella1[Amm])</f>
        <v>1</v>
      </c>
      <c r="V123" s="42">
        <f>SUMIF(Tabella1[Nome],Tabella4[[#This Row],[NOME]],Tabella1[Esp])</f>
        <v>0</v>
      </c>
      <c r="W123" s="40">
        <f>SUMIF(Tabella1[Nome],Tabella4[[#This Row],[NOME]],Tabella1[Ass])</f>
        <v>0</v>
      </c>
      <c r="X123" s="40">
        <f>SUMIF(Tabella1[Nome],Tabella4[[#This Row],[NOME]],Tabella1[Gdv])</f>
        <v>1</v>
      </c>
      <c r="Y123" s="40">
        <f>SUMIF(Tabella1[Nome],Tabella4[[#This Row],[NOME]],Tabella1[cl sh])</f>
        <v>0</v>
      </c>
      <c r="Z123" s="270">
        <f>_xlfn.IFNA(_xlfn.XLOOKUP(CONCATENATE(Z$4,$C123),Tabella1[CONC X VOTI IN TAB GIOC],Tabella1[Voto],""),"")</f>
        <v>5</v>
      </c>
      <c r="AA123" s="270">
        <f>_xlfn.IFNA(_xlfn.XLOOKUP(CONCATENATE(AA$4,$C123),Tabella1[CONC X VOTI IN TAB GIOC],Tabella1[Voto],""),"")</f>
        <v>4.5</v>
      </c>
      <c r="AB123" s="270">
        <f>_xlfn.IFNA(_xlfn.XLOOKUP(CONCATENATE(AB$4,$C123),Tabella1[CONC X VOTI IN TAB GIOC],Tabella1[Voto]),"")</f>
        <v>6.5</v>
      </c>
      <c r="AC123" s="270" cm="1">
        <f t="array" ref="AC123">_xlfn.IFNA(_xlfn.XLOOKUP(CONCATENATE(AC$4,$C123),INDEX(Tabella1[],0,MATCH("CONC X VOTI IN TAB GIOC",Tabella1[#Headers],0)),INDEX(Tabella1[],0,MATCH("Voto",Tabella1[#Headers],0))),"")</f>
        <v>7</v>
      </c>
      <c r="AD123" s="270" t="str">
        <f>_xlfn.IFNA(_xlfn.XLOOKUP(CONCATENATE(AD$4,$C123),Tabella1[CONC X VOTI IN TAB GIOC],Tabella1[Voto]),"")</f>
        <v/>
      </c>
      <c r="AE123" s="270" t="str">
        <f>_xlfn.IFNA(VLOOKUP(CONCATENATE(AE$4,$C123),'INSER DATA'!$A:$F,6,0),"")</f>
        <v/>
      </c>
      <c r="AF123" s="270" t="str">
        <f>_xlfn.IFNA(VLOOKUP(CONCATENATE(AF$4,$C123),'INSER DATA'!$A:$F,6,0),"")</f>
        <v/>
      </c>
      <c r="AG123" s="270" t="str">
        <f>_xlfn.IFNA(VLOOKUP(CONCATENATE(AG$4,$C123),'INSER DATA'!$A:$F,6,0),"")</f>
        <v/>
      </c>
      <c r="AH123" s="270" t="str">
        <f>_xlfn.IFNA(VLOOKUP(CONCATENATE(AH$4,$C123),'INSER DATA'!$A:$F,7,0),"")</f>
        <v/>
      </c>
      <c r="AI123" s="270" t="str">
        <f>_xlfn.IFNA(VLOOKUP(CONCATENATE(AI$4,$C123),'INSER DATA'!$A:$F,7,0),"")</f>
        <v/>
      </c>
      <c r="AJ123" s="270" t="str">
        <f>_xlfn.IFNA(VLOOKUP(CONCATENATE(AJ$4,$C123),'INSER DATA'!$A:$F,7,0),"")</f>
        <v/>
      </c>
      <c r="AK123" s="270" t="str">
        <f>_xlfn.IFNA(VLOOKUP(CONCATENATE(AK$4,$C123),'INSER DATA'!$A:$F,7,0),"")</f>
        <v/>
      </c>
      <c r="AL123" s="270" t="str">
        <f>_xlfn.IFNA(VLOOKUP(CONCATENATE(AL$4,$C123),'INSER DATA'!$A:$F,7,0),"")</f>
        <v/>
      </c>
      <c r="AM123" s="270" t="str">
        <f>_xlfn.IFNA(VLOOKUP(CONCATENATE(AM$4,$C123),'INSER DATA'!$A:$F,7,0),"")</f>
        <v/>
      </c>
      <c r="AN123" s="270" t="str">
        <f>_xlfn.IFNA(VLOOKUP(CONCATENATE(AN$4,$C123),'INSER DATA'!$A:$F,7,0),"")</f>
        <v/>
      </c>
      <c r="AO123" s="270" t="str">
        <f>_xlfn.IFNA(VLOOKUP(CONCATENATE(AO$4,$C123),'INSER DATA'!$A:$F,7,0),"")</f>
        <v/>
      </c>
      <c r="AP123" s="270" t="str">
        <f>_xlfn.IFNA(VLOOKUP(CONCATENATE(AP$4,$C123),'INSER DATA'!$A:$F,7,0),"")</f>
        <v/>
      </c>
      <c r="AQ123" s="270" t="str">
        <f>_xlfn.IFNA(VLOOKUP(CONCATENATE(AQ$4,$C123),'INSER DATA'!$A:$F,7,0),"")</f>
        <v/>
      </c>
      <c r="AR123" s="270" t="str">
        <f>_xlfn.IFNA(VLOOKUP(CONCATENATE(AR$4,$C123),'INSER DATA'!$A:$F,7,0),"")</f>
        <v/>
      </c>
      <c r="AS123" s="270" t="str">
        <f>_xlfn.IFNA(VLOOKUP(CONCATENATE(AS$4,$C123),'INSER DATA'!$A:$F,7,0),"")</f>
        <v/>
      </c>
      <c r="AT123" s="270" t="str">
        <f>_xlfn.IFNA(VLOOKUP(CONCATENATE(AT$4,$C123),'INSER DATA'!$A:$F,7,0),"")</f>
        <v/>
      </c>
      <c r="AU123" s="270" t="str">
        <f>_xlfn.IFNA(VLOOKUP(CONCATENATE(AU$4,$C123),'INSER DATA'!$A:$F,7,0),"")</f>
        <v/>
      </c>
      <c r="AV123" s="270" t="str">
        <f>_xlfn.IFNA(VLOOKUP(CONCATENATE(AV$4,$C123),'INSER DATA'!$A:$F,7,0),"")</f>
        <v/>
      </c>
      <c r="AW123" s="270" t="str">
        <f>_xlfn.IFNA(VLOOKUP(CONCATENATE(AW$4,$C123),'INSER DATA'!$A:$F,7,0),"")</f>
        <v/>
      </c>
      <c r="AX123" s="270" t="str">
        <f>_xlfn.IFNA(VLOOKUP(CONCATENATE(AX$4,$C123),'INSER DATA'!$A:$F,7,0),"")</f>
        <v/>
      </c>
      <c r="AY123" s="270" t="str">
        <f>_xlfn.IFNA(VLOOKUP(CONCATENATE(AY$4,$C123),'INSER DATA'!$A:$F,7,0),"")</f>
        <v/>
      </c>
      <c r="AZ123" s="270" t="str">
        <f>_xlfn.IFNA(VLOOKUP(CONCATENATE(AZ$4,$C123),'INSER DATA'!$A:$F,7,0),"")</f>
        <v/>
      </c>
      <c r="BA123" s="270" t="str">
        <f>_xlfn.IFNA(VLOOKUP(CONCATENATE(BA$4,$C123),'INSER DATA'!$A:$F,7,0),"")</f>
        <v/>
      </c>
      <c r="BB123" s="270" t="str">
        <f>_xlfn.IFNA(VLOOKUP(CONCATENATE(BB$4,$C123),'INSER DATA'!$A:$F,7,0),"")</f>
        <v/>
      </c>
      <c r="BC123" s="270" t="str">
        <f>_xlfn.IFNA(VLOOKUP(CONCATENATE(BC$4,$C123),'INSER DATA'!$A:$F,7,0),"")</f>
        <v/>
      </c>
      <c r="BD123" s="270" t="str">
        <f>_xlfn.IFNA(VLOOKUP(CONCATENATE(BD$4,$C123),'INSER DATA'!$A:$F,7,0),"")</f>
        <v/>
      </c>
      <c r="BE123" s="270" t="str">
        <f>_xlfn.IFNA(VLOOKUP(CONCATENATE(BE$4,$C123),'INSER DATA'!$A:$F,7,0),"")</f>
        <v/>
      </c>
      <c r="BF123" s="270" t="str">
        <f>_xlfn.IFNA(VLOOKUP(CONCATENATE(BF$4,$C123),'INSER DATA'!$A:$F,7,0),"")</f>
        <v/>
      </c>
      <c r="BG123" s="270" t="str">
        <f>_xlfn.IFNA(VLOOKUP(CONCATENATE(BG$4,$C123),'INSER DATA'!$A:$F,7,0),"")</f>
        <v/>
      </c>
      <c r="BH123" s="270" t="str">
        <f>_xlfn.IFNA(VLOOKUP(CONCATENATE(BH$4,$C123),'INSER DATA'!$A:$F,7,0),"")</f>
        <v/>
      </c>
      <c r="BI123" s="270" t="str">
        <f>_xlfn.IFNA(VLOOKUP(CONCATENATE(BI$4,$C123),'INSER DATA'!$A:$F,7,0),"")</f>
        <v/>
      </c>
      <c r="BJ123" s="270" t="str">
        <f>_xlfn.IFNA(VLOOKUP(CONCATENATE(BJ$4,$C123),'INSER DATA'!$A:$F,7,0),"")</f>
        <v/>
      </c>
      <c r="BK123" s="270" t="str">
        <f>_xlfn.IFNA(VLOOKUP(CONCATENATE(BK$4,$C123),'INSER DATA'!$A:$F,7,0),"")</f>
        <v/>
      </c>
      <c r="BL123" s="272"/>
      <c r="BM123" s="30"/>
      <c r="BN123" s="30"/>
      <c r="BO123" s="30"/>
      <c r="BP123" s="30"/>
      <c r="BQ123" s="30"/>
      <c r="BR123" s="30"/>
      <c r="BS123" s="30"/>
      <c r="BT123" s="30"/>
      <c r="BU123" s="30"/>
      <c r="BV123" s="30"/>
      <c r="BW123" s="30"/>
      <c r="BX123" s="30"/>
      <c r="BY123" s="30"/>
      <c r="BZ123" s="30"/>
      <c r="CA123" s="30"/>
      <c r="CB123" s="30"/>
      <c r="CC123" s="30"/>
      <c r="CD123" s="30"/>
      <c r="CE123" s="30"/>
      <c r="CF123" s="30"/>
      <c r="CG123" s="30"/>
      <c r="CH123" s="30"/>
      <c r="CI123" s="30"/>
      <c r="CJ123" s="30"/>
      <c r="CK123" s="30"/>
      <c r="CL123" s="30"/>
      <c r="CM123" s="30"/>
      <c r="CN123" s="30"/>
      <c r="CO123" s="30"/>
      <c r="CP123" s="30"/>
      <c r="CQ123" s="30"/>
      <c r="CR123" s="30"/>
      <c r="CS123" s="30"/>
      <c r="CT123" s="30"/>
      <c r="CU123" s="30"/>
      <c r="CV123" s="30"/>
      <c r="CW123" s="30"/>
      <c r="CX123" s="30"/>
      <c r="CY123" s="30"/>
      <c r="CZ123" s="30"/>
      <c r="DA123" s="30"/>
    </row>
    <row r="124" spans="1:105" ht="19.2" thickTop="1" thickBot="1" x14ac:dyDescent="0.4">
      <c r="A124" s="30"/>
      <c r="B124" s="30"/>
      <c r="C124" s="354" t="s">
        <v>714</v>
      </c>
      <c r="D124" s="355" t="s">
        <v>705</v>
      </c>
      <c r="E124" s="35" t="str">
        <f>_xlfn.XLOOKUP(Tabella4[[#This Row],[NOME]],'ROSE SQUADRE'!$N$3:$N$253,'ROSE SQUADRE'!$O$3:$O$253,"")</f>
        <v>AC ASPARAGHESE</v>
      </c>
      <c r="F124" s="36" t="s">
        <v>162</v>
      </c>
      <c r="G124" s="43">
        <v>17</v>
      </c>
      <c r="H124" s="43">
        <v>16</v>
      </c>
      <c r="I124" s="44">
        <f t="shared" si="7"/>
        <v>-1</v>
      </c>
      <c r="J124" s="37">
        <f t="shared" si="8"/>
        <v>4</v>
      </c>
      <c r="K124" s="178">
        <f t="shared" si="9"/>
        <v>5.375</v>
      </c>
      <c r="L124" s="178">
        <f t="shared" si="10"/>
        <v>5.375</v>
      </c>
      <c r="M124" s="179">
        <f t="shared" si="11"/>
        <v>21.5</v>
      </c>
      <c r="N124" s="45">
        <f t="shared" ca="1" si="12"/>
        <v>0</v>
      </c>
      <c r="O124" s="40">
        <f>SUMIF(Tabella1[Nome],Tabella4[[#This Row],[NOME]],Tabella1[Gf])</f>
        <v>0</v>
      </c>
      <c r="P124" s="40">
        <f>-(SUMIF(Tabella1[Nome],Tabella4[[#This Row],[NOME]],Tabella1[Gs]))</f>
        <v>0</v>
      </c>
      <c r="Q124" s="40">
        <f>SUMIF(Tabella1[Nome],Tabella4[[#This Row],[NOME]],Tabella1[Rp])</f>
        <v>0</v>
      </c>
      <c r="R124" s="40">
        <f>SUMIF(Tabella1[Nome],Tabella4[[#This Row],[NOME]],Tabella1[Rs])</f>
        <v>0</v>
      </c>
      <c r="S124" s="40">
        <f>SUMIF(Tabella1[Nome],Tabella4[[#This Row],[NOME]],Tabella1[Rf])</f>
        <v>0</v>
      </c>
      <c r="T124" s="40">
        <f>SUMIF(Tabella1[Nome],Tabella4[[#This Row],[NOME]],Tabella1[Au])</f>
        <v>0</v>
      </c>
      <c r="U124" s="41">
        <f>SUMIF(Tabella1[Nome],Tabella4[[#This Row],[NOME]],Tabella1[Amm])</f>
        <v>0</v>
      </c>
      <c r="V124" s="42">
        <f>SUMIF(Tabella1[Nome],Tabella4[[#This Row],[NOME]],Tabella1[Esp])</f>
        <v>0</v>
      </c>
      <c r="W124" s="40">
        <f>SUMIF(Tabella1[Nome],Tabella4[[#This Row],[NOME]],Tabella1[Ass])</f>
        <v>0</v>
      </c>
      <c r="X124" s="40">
        <f>SUMIF(Tabella1[Nome],Tabella4[[#This Row],[NOME]],Tabella1[Gdv])</f>
        <v>0</v>
      </c>
      <c r="Y124" s="40">
        <f>SUMIF(Tabella1[Nome],Tabella4[[#This Row],[NOME]],Tabella1[cl sh])</f>
        <v>0</v>
      </c>
      <c r="Z124" s="270">
        <f>_xlfn.IFNA(_xlfn.XLOOKUP(CONCATENATE(Z$4,$C124),Tabella1[CONC X VOTI IN TAB GIOC],Tabella1[Voto],""),"")</f>
        <v>5</v>
      </c>
      <c r="AA124" s="270">
        <f>_xlfn.IFNA(_xlfn.XLOOKUP(CONCATENATE(AA$4,$C124),Tabella1[CONC X VOTI IN TAB GIOC],Tabella1[Voto],""),"")</f>
        <v>4</v>
      </c>
      <c r="AB124" s="270">
        <f>_xlfn.IFNA(_xlfn.XLOOKUP(CONCATENATE(AB$4,$C124),Tabella1[CONC X VOTI IN TAB GIOC],Tabella1[Voto]),"")</f>
        <v>6</v>
      </c>
      <c r="AC124" s="270" cm="1">
        <f t="array" ref="AC124">_xlfn.IFNA(_xlfn.XLOOKUP(CONCATENATE(AC$4,$C124),INDEX(Tabella1[],0,MATCH("CONC X VOTI IN TAB GIOC",Tabella1[#Headers],0)),INDEX(Tabella1[],0,MATCH("Voto",Tabella1[#Headers],0))),"")</f>
        <v>6.5</v>
      </c>
      <c r="AD124" s="270" t="str">
        <f>_xlfn.IFNA(_xlfn.XLOOKUP(CONCATENATE(AD$4,$C124),Tabella1[CONC X VOTI IN TAB GIOC],Tabella1[Voto]),"")</f>
        <v/>
      </c>
      <c r="AE124" s="270" t="str">
        <f>_xlfn.IFNA(VLOOKUP(CONCATENATE(AE$4,$C124),'INSER DATA'!$A:$F,6,0),"")</f>
        <v/>
      </c>
      <c r="AF124" s="270" t="str">
        <f>_xlfn.IFNA(VLOOKUP(CONCATENATE(AF$4,$C124),'INSER DATA'!$A:$F,6,0),"")</f>
        <v/>
      </c>
      <c r="AG124" s="270" t="str">
        <f>_xlfn.IFNA(VLOOKUP(CONCATENATE(AG$4,$C124),'INSER DATA'!$A:$F,6,0),"")</f>
        <v/>
      </c>
      <c r="AH124" s="270" t="str">
        <f>_xlfn.IFNA(VLOOKUP(CONCATENATE(AH$4,$C124),'INSER DATA'!$A:$F,7,0),"")</f>
        <v/>
      </c>
      <c r="AI124" s="270" t="str">
        <f>_xlfn.IFNA(VLOOKUP(CONCATENATE(AI$4,$C124),'INSER DATA'!$A:$F,7,0),"")</f>
        <v/>
      </c>
      <c r="AJ124" s="270" t="str">
        <f>_xlfn.IFNA(VLOOKUP(CONCATENATE(AJ$4,$C124),'INSER DATA'!$A:$F,7,0),"")</f>
        <v/>
      </c>
      <c r="AK124" s="270" t="str">
        <f>_xlfn.IFNA(VLOOKUP(CONCATENATE(AK$4,$C124),'INSER DATA'!$A:$F,7,0),"")</f>
        <v/>
      </c>
      <c r="AL124" s="270" t="str">
        <f>_xlfn.IFNA(VLOOKUP(CONCATENATE(AL$4,$C124),'INSER DATA'!$A:$F,7,0),"")</f>
        <v/>
      </c>
      <c r="AM124" s="270" t="str">
        <f>_xlfn.IFNA(VLOOKUP(CONCATENATE(AM$4,$C124),'INSER DATA'!$A:$F,7,0),"")</f>
        <v/>
      </c>
      <c r="AN124" s="270" t="str">
        <f>_xlfn.IFNA(VLOOKUP(CONCATENATE(AN$4,$C124),'INSER DATA'!$A:$F,7,0),"")</f>
        <v/>
      </c>
      <c r="AO124" s="270" t="str">
        <f>_xlfn.IFNA(VLOOKUP(CONCATENATE(AO$4,$C124),'INSER DATA'!$A:$F,7,0),"")</f>
        <v/>
      </c>
      <c r="AP124" s="270" t="str">
        <f>_xlfn.IFNA(VLOOKUP(CONCATENATE(AP$4,$C124),'INSER DATA'!$A:$F,7,0),"")</f>
        <v/>
      </c>
      <c r="AQ124" s="270" t="str">
        <f>_xlfn.IFNA(VLOOKUP(CONCATENATE(AQ$4,$C124),'INSER DATA'!$A:$F,7,0),"")</f>
        <v/>
      </c>
      <c r="AR124" s="270" t="str">
        <f>_xlfn.IFNA(VLOOKUP(CONCATENATE(AR$4,$C124),'INSER DATA'!$A:$F,7,0),"")</f>
        <v/>
      </c>
      <c r="AS124" s="270" t="str">
        <f>_xlfn.IFNA(VLOOKUP(CONCATENATE(AS$4,$C124),'INSER DATA'!$A:$F,7,0),"")</f>
        <v/>
      </c>
      <c r="AT124" s="270" t="str">
        <f>_xlfn.IFNA(VLOOKUP(CONCATENATE(AT$4,$C124),'INSER DATA'!$A:$F,7,0),"")</f>
        <v/>
      </c>
      <c r="AU124" s="270" t="str">
        <f>_xlfn.IFNA(VLOOKUP(CONCATENATE(AU$4,$C124),'INSER DATA'!$A:$F,7,0),"")</f>
        <v/>
      </c>
      <c r="AV124" s="270" t="str">
        <f>_xlfn.IFNA(VLOOKUP(CONCATENATE(AV$4,$C124),'INSER DATA'!$A:$F,7,0),"")</f>
        <v/>
      </c>
      <c r="AW124" s="270" t="str">
        <f>_xlfn.IFNA(VLOOKUP(CONCATENATE(AW$4,$C124),'INSER DATA'!$A:$F,7,0),"")</f>
        <v/>
      </c>
      <c r="AX124" s="270" t="str">
        <f>_xlfn.IFNA(VLOOKUP(CONCATENATE(AX$4,$C124),'INSER DATA'!$A:$F,7,0),"")</f>
        <v/>
      </c>
      <c r="AY124" s="270" t="str">
        <f>_xlfn.IFNA(VLOOKUP(CONCATENATE(AY$4,$C124),'INSER DATA'!$A:$F,7,0),"")</f>
        <v/>
      </c>
      <c r="AZ124" s="270" t="str">
        <f>_xlfn.IFNA(VLOOKUP(CONCATENATE(AZ$4,$C124),'INSER DATA'!$A:$F,7,0),"")</f>
        <v/>
      </c>
      <c r="BA124" s="270" t="str">
        <f>_xlfn.IFNA(VLOOKUP(CONCATENATE(BA$4,$C124),'INSER DATA'!$A:$F,7,0),"")</f>
        <v/>
      </c>
      <c r="BB124" s="270" t="str">
        <f>_xlfn.IFNA(VLOOKUP(CONCATENATE(BB$4,$C124),'INSER DATA'!$A:$F,7,0),"")</f>
        <v/>
      </c>
      <c r="BC124" s="270" t="str">
        <f>_xlfn.IFNA(VLOOKUP(CONCATENATE(BC$4,$C124),'INSER DATA'!$A:$F,7,0),"")</f>
        <v/>
      </c>
      <c r="BD124" s="270" t="str">
        <f>_xlfn.IFNA(VLOOKUP(CONCATENATE(BD$4,$C124),'INSER DATA'!$A:$F,7,0),"")</f>
        <v/>
      </c>
      <c r="BE124" s="270" t="str">
        <f>_xlfn.IFNA(VLOOKUP(CONCATENATE(BE$4,$C124),'INSER DATA'!$A:$F,7,0),"")</f>
        <v/>
      </c>
      <c r="BF124" s="270" t="str">
        <f>_xlfn.IFNA(VLOOKUP(CONCATENATE(BF$4,$C124),'INSER DATA'!$A:$F,7,0),"")</f>
        <v/>
      </c>
      <c r="BG124" s="270" t="str">
        <f>_xlfn.IFNA(VLOOKUP(CONCATENATE(BG$4,$C124),'INSER DATA'!$A:$F,7,0),"")</f>
        <v/>
      </c>
      <c r="BH124" s="270" t="str">
        <f>_xlfn.IFNA(VLOOKUP(CONCATENATE(BH$4,$C124),'INSER DATA'!$A:$F,7,0),"")</f>
        <v/>
      </c>
      <c r="BI124" s="270" t="str">
        <f>_xlfn.IFNA(VLOOKUP(CONCATENATE(BI$4,$C124),'INSER DATA'!$A:$F,7,0),"")</f>
        <v/>
      </c>
      <c r="BJ124" s="270" t="str">
        <f>_xlfn.IFNA(VLOOKUP(CONCATENATE(BJ$4,$C124),'INSER DATA'!$A:$F,7,0),"")</f>
        <v/>
      </c>
      <c r="BK124" s="270" t="str">
        <f>_xlfn.IFNA(VLOOKUP(CONCATENATE(BK$4,$C124),'INSER DATA'!$A:$F,7,0),"")</f>
        <v/>
      </c>
      <c r="BL124" s="272"/>
      <c r="BM124" s="30"/>
      <c r="BN124" s="30"/>
      <c r="BO124" s="30"/>
      <c r="BP124" s="30"/>
      <c r="BQ124" s="30"/>
      <c r="BR124" s="30"/>
      <c r="BS124" s="30"/>
      <c r="BT124" s="30"/>
      <c r="BU124" s="30"/>
      <c r="BV124" s="30"/>
      <c r="BW124" s="30"/>
      <c r="BX124" s="30"/>
      <c r="BY124" s="30"/>
      <c r="BZ124" s="30"/>
      <c r="CA124" s="30"/>
      <c r="CB124" s="30"/>
      <c r="CC124" s="30"/>
      <c r="CD124" s="30"/>
      <c r="CE124" s="30"/>
      <c r="CF124" s="30"/>
      <c r="CG124" s="30"/>
      <c r="CH124" s="30"/>
      <c r="CI124" s="30"/>
      <c r="CJ124" s="30"/>
      <c r="CK124" s="30"/>
      <c r="CL124" s="30"/>
      <c r="CM124" s="30"/>
      <c r="CN124" s="30"/>
      <c r="CO124" s="30"/>
      <c r="CP124" s="30"/>
      <c r="CQ124" s="30"/>
      <c r="CR124" s="30"/>
      <c r="CS124" s="30"/>
      <c r="CT124" s="30"/>
      <c r="CU124" s="30"/>
      <c r="CV124" s="30"/>
      <c r="CW124" s="30"/>
      <c r="CX124" s="30"/>
      <c r="CY124" s="30"/>
      <c r="CZ124" s="30"/>
      <c r="DA124" s="30"/>
    </row>
    <row r="125" spans="1:105" ht="19.2" thickTop="1" thickBot="1" x14ac:dyDescent="0.4">
      <c r="A125" s="30"/>
      <c r="B125" s="30"/>
      <c r="C125" s="360" t="s">
        <v>715</v>
      </c>
      <c r="D125" s="361" t="s">
        <v>796</v>
      </c>
      <c r="E125" s="35" t="str">
        <f>_xlfn.XLOOKUP(Tabella4[[#This Row],[NOME]],'ROSE SQUADRE'!$N$3:$N$253,'ROSE SQUADRE'!$O$3:$O$253,"")</f>
        <v>TRICCHETRACHT</v>
      </c>
      <c r="F125" s="36" t="s">
        <v>162</v>
      </c>
      <c r="G125" s="43">
        <v>13</v>
      </c>
      <c r="H125" s="43">
        <v>13</v>
      </c>
      <c r="I125" s="44">
        <f t="shared" si="7"/>
        <v>0</v>
      </c>
      <c r="J125" s="37">
        <f t="shared" si="8"/>
        <v>3</v>
      </c>
      <c r="K125" s="38">
        <f t="shared" si="9"/>
        <v>5.833333333333333</v>
      </c>
      <c r="L125" s="38">
        <f t="shared" si="10"/>
        <v>7</v>
      </c>
      <c r="M125" s="39">
        <f t="shared" si="11"/>
        <v>21</v>
      </c>
      <c r="N125" s="45">
        <f t="shared" ca="1" si="12"/>
        <v>1</v>
      </c>
      <c r="O125" s="40">
        <f>SUMIF(Tabella1[Nome],Tabella4[[#This Row],[NOME]],Tabella1[Gf])</f>
        <v>1</v>
      </c>
      <c r="P125" s="40">
        <f>-(SUMIF(Tabella1[Nome],Tabella4[[#This Row],[NOME]],Tabella1[Gs]))</f>
        <v>0</v>
      </c>
      <c r="Q125" s="40">
        <f>SUMIF(Tabella1[Nome],Tabella4[[#This Row],[NOME]],Tabella1[Rp])</f>
        <v>0</v>
      </c>
      <c r="R125" s="40">
        <f>SUMIF(Tabella1[Nome],Tabella4[[#This Row],[NOME]],Tabella1[Rs])</f>
        <v>0</v>
      </c>
      <c r="S125" s="40">
        <f>SUMIF(Tabella1[Nome],Tabella4[[#This Row],[NOME]],Tabella1[Rf])</f>
        <v>0</v>
      </c>
      <c r="T125" s="40">
        <f>SUMIF(Tabella1[Nome],Tabella4[[#This Row],[NOME]],Tabella1[Au])</f>
        <v>0</v>
      </c>
      <c r="U125" s="41">
        <f>SUMIF(Tabella1[Nome],Tabella4[[#This Row],[NOME]],Tabella1[Amm])</f>
        <v>1</v>
      </c>
      <c r="V125" s="42">
        <f>SUMIF(Tabella1[Nome],Tabella4[[#This Row],[NOME]],Tabella1[Esp])</f>
        <v>0</v>
      </c>
      <c r="W125" s="40">
        <f>SUMIF(Tabella1[Nome],Tabella4[[#This Row],[NOME]],Tabella1[Ass])</f>
        <v>0</v>
      </c>
      <c r="X125" s="40">
        <f>SUMIF(Tabella1[Nome],Tabella4[[#This Row],[NOME]],Tabella1[Gdv])</f>
        <v>1</v>
      </c>
      <c r="Y125" s="40">
        <f>SUMIF(Tabella1[Nome],Tabella4[[#This Row],[NOME]],Tabella1[cl sh])</f>
        <v>0</v>
      </c>
      <c r="Z125" s="270" t="str">
        <f>_xlfn.IFNA(_xlfn.XLOOKUP(CONCATENATE(Z$4,$C125),Tabella1[CONC X VOTI IN TAB GIOC],Tabella1[Voto],""),"")</f>
        <v/>
      </c>
      <c r="AA125" s="270">
        <f>_xlfn.IFNA(_xlfn.XLOOKUP(CONCATENATE(AA$4,$C125),Tabella1[CONC X VOTI IN TAB GIOC],Tabella1[Voto],""),"")</f>
        <v>4.5</v>
      </c>
      <c r="AB125" s="400">
        <f>_xlfn.IFNA(_xlfn.XLOOKUP(CONCATENATE(AB$4,$C125),Tabella1[CONC X VOTI IN TAB GIOC],Tabella1[Voto]),"")</f>
        <v>7</v>
      </c>
      <c r="AC125" s="270" cm="1">
        <f t="array" ref="AC125">_xlfn.IFNA(_xlfn.XLOOKUP(CONCATENATE(AC$4,$C125),INDEX(Tabella1[],0,MATCH("CONC X VOTI IN TAB GIOC",Tabella1[#Headers],0)),INDEX(Tabella1[],0,MATCH("Voto",Tabella1[#Headers],0))),"")</f>
        <v>6</v>
      </c>
      <c r="AD125" s="270" t="str">
        <f>_xlfn.IFNA(_xlfn.XLOOKUP(CONCATENATE(AD$4,$C125),Tabella1[CONC X VOTI IN TAB GIOC],Tabella1[Voto]),"")</f>
        <v/>
      </c>
      <c r="AE125" s="270" t="str">
        <f>_xlfn.IFNA(VLOOKUP(CONCATENATE(AE$4,$C125),'INSER DATA'!$A:$F,6,0),"")</f>
        <v/>
      </c>
      <c r="AF125" s="270" t="str">
        <f>_xlfn.IFNA(VLOOKUP(CONCATENATE(AF$4,$C125),'INSER DATA'!$A:$F,6,0),"")</f>
        <v/>
      </c>
      <c r="AG125" s="270" t="str">
        <f>_xlfn.IFNA(VLOOKUP(CONCATENATE(AG$4,$C125),'INSER DATA'!$A:$F,6,0),"")</f>
        <v/>
      </c>
      <c r="AH125" s="270" t="str">
        <f>_xlfn.IFNA(VLOOKUP(CONCATENATE(AH$4,$C125),'INSER DATA'!$A:$F,7,0),"")</f>
        <v/>
      </c>
      <c r="AI125" s="270" t="str">
        <f>_xlfn.IFNA(VLOOKUP(CONCATENATE(AI$4,$C125),'INSER DATA'!$A:$F,7,0),"")</f>
        <v/>
      </c>
      <c r="AJ125" s="270" t="str">
        <f>_xlfn.IFNA(VLOOKUP(CONCATENATE(AJ$4,$C125),'INSER DATA'!$A:$F,7,0),"")</f>
        <v/>
      </c>
      <c r="AK125" s="270" t="str">
        <f>_xlfn.IFNA(VLOOKUP(CONCATENATE(AK$4,$C125),'INSER DATA'!$A:$F,7,0),"")</f>
        <v/>
      </c>
      <c r="AL125" s="270" t="str">
        <f>_xlfn.IFNA(VLOOKUP(CONCATENATE(AL$4,$C125),'INSER DATA'!$A:$F,7,0),"")</f>
        <v/>
      </c>
      <c r="AM125" s="270" t="str">
        <f>_xlfn.IFNA(VLOOKUP(CONCATENATE(AM$4,$C125),'INSER DATA'!$A:$F,7,0),"")</f>
        <v/>
      </c>
      <c r="AN125" s="270" t="str">
        <f>_xlfn.IFNA(VLOOKUP(CONCATENATE(AN$4,$C125),'INSER DATA'!$A:$F,7,0),"")</f>
        <v/>
      </c>
      <c r="AO125" s="270" t="str">
        <f>_xlfn.IFNA(VLOOKUP(CONCATENATE(AO$4,$C125),'INSER DATA'!$A:$F,7,0),"")</f>
        <v/>
      </c>
      <c r="AP125" s="270" t="str">
        <f>_xlfn.IFNA(VLOOKUP(CONCATENATE(AP$4,$C125),'INSER DATA'!$A:$F,7,0),"")</f>
        <v/>
      </c>
      <c r="AQ125" s="270" t="str">
        <f>_xlfn.IFNA(VLOOKUP(CONCATENATE(AQ$4,$C125),'INSER DATA'!$A:$F,7,0),"")</f>
        <v/>
      </c>
      <c r="AR125" s="270" t="str">
        <f>_xlfn.IFNA(VLOOKUP(CONCATENATE(AR$4,$C125),'INSER DATA'!$A:$F,7,0),"")</f>
        <v/>
      </c>
      <c r="AS125" s="270" t="str">
        <f>_xlfn.IFNA(VLOOKUP(CONCATENATE(AS$4,$C125),'INSER DATA'!$A:$F,7,0),"")</f>
        <v/>
      </c>
      <c r="AT125" s="270" t="str">
        <f>_xlfn.IFNA(VLOOKUP(CONCATENATE(AT$4,$C125),'INSER DATA'!$A:$F,7,0),"")</f>
        <v/>
      </c>
      <c r="AU125" s="270" t="str">
        <f>_xlfn.IFNA(VLOOKUP(CONCATENATE(AU$4,$C125),'INSER DATA'!$A:$F,7,0),"")</f>
        <v/>
      </c>
      <c r="AV125" s="270" t="str">
        <f>_xlfn.IFNA(VLOOKUP(CONCATENATE(AV$4,$C125),'INSER DATA'!$A:$F,7,0),"")</f>
        <v/>
      </c>
      <c r="AW125" s="270" t="str">
        <f>_xlfn.IFNA(VLOOKUP(CONCATENATE(AW$4,$C125),'INSER DATA'!$A:$F,7,0),"")</f>
        <v/>
      </c>
      <c r="AX125" s="270" t="str">
        <f>_xlfn.IFNA(VLOOKUP(CONCATENATE(AX$4,$C125),'INSER DATA'!$A:$F,7,0),"")</f>
        <v/>
      </c>
      <c r="AY125" s="270" t="str">
        <f>_xlfn.IFNA(VLOOKUP(CONCATENATE(AY$4,$C125),'INSER DATA'!$A:$F,7,0),"")</f>
        <v/>
      </c>
      <c r="AZ125" s="270" t="str">
        <f>_xlfn.IFNA(VLOOKUP(CONCATENATE(AZ$4,$C125),'INSER DATA'!$A:$F,7,0),"")</f>
        <v/>
      </c>
      <c r="BA125" s="270" t="str">
        <f>_xlfn.IFNA(VLOOKUP(CONCATENATE(BA$4,$C125),'INSER DATA'!$A:$F,7,0),"")</f>
        <v/>
      </c>
      <c r="BB125" s="270" t="str">
        <f>_xlfn.IFNA(VLOOKUP(CONCATENATE(BB$4,$C125),'INSER DATA'!$A:$F,7,0),"")</f>
        <v/>
      </c>
      <c r="BC125" s="270" t="str">
        <f>_xlfn.IFNA(VLOOKUP(CONCATENATE(BC$4,$C125),'INSER DATA'!$A:$F,7,0),"")</f>
        <v/>
      </c>
      <c r="BD125" s="270" t="str">
        <f>_xlfn.IFNA(VLOOKUP(CONCATENATE(BD$4,$C125),'INSER DATA'!$A:$F,7,0),"")</f>
        <v/>
      </c>
      <c r="BE125" s="270" t="str">
        <f>_xlfn.IFNA(VLOOKUP(CONCATENATE(BE$4,$C125),'INSER DATA'!$A:$F,7,0),"")</f>
        <v/>
      </c>
      <c r="BF125" s="270" t="str">
        <f>_xlfn.IFNA(VLOOKUP(CONCATENATE(BF$4,$C125),'INSER DATA'!$A:$F,7,0),"")</f>
        <v/>
      </c>
      <c r="BG125" s="270" t="str">
        <f>_xlfn.IFNA(VLOOKUP(CONCATENATE(BG$4,$C125),'INSER DATA'!$A:$F,7,0),"")</f>
        <v/>
      </c>
      <c r="BH125" s="270" t="str">
        <f>_xlfn.IFNA(VLOOKUP(CONCATENATE(BH$4,$C125),'INSER DATA'!$A:$F,7,0),"")</f>
        <v/>
      </c>
      <c r="BI125" s="270" t="str">
        <f>_xlfn.IFNA(VLOOKUP(CONCATENATE(BI$4,$C125),'INSER DATA'!$A:$F,7,0),"")</f>
        <v/>
      </c>
      <c r="BJ125" s="270" t="str">
        <f>_xlfn.IFNA(VLOOKUP(CONCATENATE(BJ$4,$C125),'INSER DATA'!$A:$F,7,0),"")</f>
        <v/>
      </c>
      <c r="BK125" s="270" t="str">
        <f>_xlfn.IFNA(VLOOKUP(CONCATENATE(BK$4,$C125),'INSER DATA'!$A:$F,7,0),"")</f>
        <v/>
      </c>
      <c r="BL125" s="272"/>
      <c r="BM125" s="30"/>
      <c r="BN125" s="30"/>
      <c r="BO125" s="30"/>
      <c r="BP125" s="30"/>
      <c r="BQ125" s="30"/>
      <c r="BR125" s="30"/>
      <c r="BS125" s="30"/>
      <c r="BT125" s="30"/>
      <c r="BU125" s="30"/>
      <c r="BV125" s="30"/>
      <c r="BW125" s="30"/>
      <c r="BX125" s="30"/>
      <c r="BY125" s="30"/>
      <c r="BZ125" s="30"/>
      <c r="CA125" s="30"/>
      <c r="CB125" s="30"/>
      <c r="CC125" s="30"/>
      <c r="CD125" s="30"/>
      <c r="CE125" s="30"/>
      <c r="CF125" s="30"/>
      <c r="CG125" s="30"/>
      <c r="CH125" s="30"/>
      <c r="CI125" s="30"/>
      <c r="CJ125" s="30"/>
      <c r="CK125" s="30"/>
      <c r="CL125" s="30"/>
      <c r="CM125" s="30"/>
      <c r="CN125" s="30"/>
      <c r="CO125" s="30"/>
      <c r="CP125" s="30"/>
      <c r="CQ125" s="30"/>
      <c r="CR125" s="30"/>
      <c r="CS125" s="30"/>
      <c r="CT125" s="30"/>
      <c r="CU125" s="30"/>
      <c r="CV125" s="30"/>
      <c r="CW125" s="30"/>
      <c r="CX125" s="30"/>
      <c r="CY125" s="30"/>
      <c r="CZ125" s="30"/>
      <c r="DA125" s="30"/>
    </row>
    <row r="126" spans="1:105" ht="19.2" thickTop="1" thickBot="1" x14ac:dyDescent="0.4">
      <c r="A126" s="30"/>
      <c r="B126" s="30"/>
      <c r="C126" s="188" t="s">
        <v>709</v>
      </c>
      <c r="D126" s="46" t="s">
        <v>705</v>
      </c>
      <c r="E126" s="35" t="str">
        <f>_xlfn.XLOOKUP(Tabella4[[#This Row],[NOME]],'ROSE SQUADRE'!$N$3:$N$253,'ROSE SQUADRE'!$O$3:$O$253,"")</f>
        <v/>
      </c>
      <c r="F126" s="36" t="s">
        <v>161</v>
      </c>
      <c r="G126" s="43">
        <v>8</v>
      </c>
      <c r="H126" s="43">
        <v>7</v>
      </c>
      <c r="I126" s="44">
        <f t="shared" si="7"/>
        <v>-1</v>
      </c>
      <c r="J126" s="37">
        <f t="shared" si="8"/>
        <v>4</v>
      </c>
      <c r="K126" s="178">
        <f t="shared" si="9"/>
        <v>5</v>
      </c>
      <c r="L126" s="178">
        <f t="shared" si="10"/>
        <v>5.125</v>
      </c>
      <c r="M126" s="179">
        <f t="shared" si="11"/>
        <v>20.5</v>
      </c>
      <c r="N126" s="45">
        <f t="shared" ca="1" si="12"/>
        <v>0</v>
      </c>
      <c r="O126" s="40">
        <f>SUMIF(Tabella1[Nome],Tabella4[[#This Row],[NOME]],Tabella1[Gf])</f>
        <v>0</v>
      </c>
      <c r="P126" s="40">
        <f>-(SUMIF(Tabella1[Nome],Tabella4[[#This Row],[NOME]],Tabella1[Gs]))</f>
        <v>0</v>
      </c>
      <c r="Q126" s="40">
        <f>SUMIF(Tabella1[Nome],Tabella4[[#This Row],[NOME]],Tabella1[Rp])</f>
        <v>0</v>
      </c>
      <c r="R126" s="40">
        <f>SUMIF(Tabella1[Nome],Tabella4[[#This Row],[NOME]],Tabella1[Rs])</f>
        <v>0</v>
      </c>
      <c r="S126" s="40">
        <f>SUMIF(Tabella1[Nome],Tabella4[[#This Row],[NOME]],Tabella1[Rf])</f>
        <v>0</v>
      </c>
      <c r="T126" s="40">
        <f>SUMIF(Tabella1[Nome],Tabella4[[#This Row],[NOME]],Tabella1[Au])</f>
        <v>0</v>
      </c>
      <c r="U126" s="41">
        <f>SUMIF(Tabella1[Nome],Tabella4[[#This Row],[NOME]],Tabella1[Amm])</f>
        <v>1</v>
      </c>
      <c r="V126" s="42">
        <f>SUMIF(Tabella1[Nome],Tabella4[[#This Row],[NOME]],Tabella1[Esp])</f>
        <v>0</v>
      </c>
      <c r="W126" s="40">
        <f>SUMIF(Tabella1[Nome],Tabella4[[#This Row],[NOME]],Tabella1[Ass])</f>
        <v>1</v>
      </c>
      <c r="X126" s="40">
        <f>SUMIF(Tabella1[Nome],Tabella4[[#This Row],[NOME]],Tabella1[Gdv])</f>
        <v>0</v>
      </c>
      <c r="Y126" s="40">
        <f>SUMIF(Tabella1[Nome],Tabella4[[#This Row],[NOME]],Tabella1[cl sh])</f>
        <v>0</v>
      </c>
      <c r="Z126" s="270">
        <f>_xlfn.IFNA(_xlfn.XLOOKUP(CONCATENATE(Z$4,$C126),Tabella1[CONC X VOTI IN TAB GIOC],Tabella1[Voto],""),"")</f>
        <v>4</v>
      </c>
      <c r="AA126" s="270">
        <f>_xlfn.IFNA(_xlfn.XLOOKUP(CONCATENATE(AA$4,$C126),Tabella1[CONC X VOTI IN TAB GIOC],Tabella1[Voto],""),"")</f>
        <v>4</v>
      </c>
      <c r="AB126" s="270">
        <f>_xlfn.IFNA(_xlfn.XLOOKUP(CONCATENATE(AB$4,$C126),Tabella1[CONC X VOTI IN TAB GIOC],Tabella1[Voto]),"")</f>
        <v>5.5</v>
      </c>
      <c r="AC126" s="270" cm="1">
        <f t="array" ref="AC126">_xlfn.IFNA(_xlfn.XLOOKUP(CONCATENATE(AC$4,$C126),INDEX(Tabella1[],0,MATCH("CONC X VOTI IN TAB GIOC",Tabella1[#Headers],0)),INDEX(Tabella1[],0,MATCH("Voto",Tabella1[#Headers],0))),"")</f>
        <v>6.5</v>
      </c>
      <c r="AD126" s="270" t="str">
        <f>_xlfn.IFNA(_xlfn.XLOOKUP(CONCATENATE(AD$4,$C126),Tabella1[CONC X VOTI IN TAB GIOC],Tabella1[Voto]),"")</f>
        <v/>
      </c>
      <c r="AE126" s="270" t="str">
        <f>_xlfn.IFNA(VLOOKUP(CONCATENATE(AE$4,$C126),'INSER DATA'!$A:$F,6,0),"")</f>
        <v/>
      </c>
      <c r="AF126" s="270" t="str">
        <f>_xlfn.IFNA(VLOOKUP(CONCATENATE(AF$4,$C126),'INSER DATA'!$A:$F,6,0),"")</f>
        <v/>
      </c>
      <c r="AG126" s="270" t="str">
        <f>_xlfn.IFNA(VLOOKUP(CONCATENATE(AG$4,$C126),'INSER DATA'!$A:$F,6,0),"")</f>
        <v/>
      </c>
      <c r="AH126" s="270" t="str">
        <f>_xlfn.IFNA(VLOOKUP(CONCATENATE(AH$4,$C126),'INSER DATA'!$A:$F,7,0),"")</f>
        <v/>
      </c>
      <c r="AI126" s="270" t="str">
        <f>_xlfn.IFNA(VLOOKUP(CONCATENATE(AI$4,$C126),'INSER DATA'!$A:$F,7,0),"")</f>
        <v/>
      </c>
      <c r="AJ126" s="270" t="str">
        <f>_xlfn.IFNA(VLOOKUP(CONCATENATE(AJ$4,$C126),'INSER DATA'!$A:$F,7,0),"")</f>
        <v/>
      </c>
      <c r="AK126" s="270" t="str">
        <f>_xlfn.IFNA(VLOOKUP(CONCATENATE(AK$4,$C126),'INSER DATA'!$A:$F,7,0),"")</f>
        <v/>
      </c>
      <c r="AL126" s="270" t="str">
        <f>_xlfn.IFNA(VLOOKUP(CONCATENATE(AL$4,$C126),'INSER DATA'!$A:$F,7,0),"")</f>
        <v/>
      </c>
      <c r="AM126" s="270" t="str">
        <f>_xlfn.IFNA(VLOOKUP(CONCATENATE(AM$4,$C126),'INSER DATA'!$A:$F,7,0),"")</f>
        <v/>
      </c>
      <c r="AN126" s="270" t="str">
        <f>_xlfn.IFNA(VLOOKUP(CONCATENATE(AN$4,$C126),'INSER DATA'!$A:$F,7,0),"")</f>
        <v/>
      </c>
      <c r="AO126" s="270" t="str">
        <f>_xlfn.IFNA(VLOOKUP(CONCATENATE(AO$4,$C126),'INSER DATA'!$A:$F,7,0),"")</f>
        <v/>
      </c>
      <c r="AP126" s="270" t="str">
        <f>_xlfn.IFNA(VLOOKUP(CONCATENATE(AP$4,$C126),'INSER DATA'!$A:$F,7,0),"")</f>
        <v/>
      </c>
      <c r="AQ126" s="270" t="str">
        <f>_xlfn.IFNA(VLOOKUP(CONCATENATE(AQ$4,$C126),'INSER DATA'!$A:$F,7,0),"")</f>
        <v/>
      </c>
      <c r="AR126" s="270" t="str">
        <f>_xlfn.IFNA(VLOOKUP(CONCATENATE(AR$4,$C126),'INSER DATA'!$A:$F,7,0),"")</f>
        <v/>
      </c>
      <c r="AS126" s="270" t="str">
        <f>_xlfn.IFNA(VLOOKUP(CONCATENATE(AS$4,$C126),'INSER DATA'!$A:$F,7,0),"")</f>
        <v/>
      </c>
      <c r="AT126" s="270" t="str">
        <f>_xlfn.IFNA(VLOOKUP(CONCATENATE(AT$4,$C126),'INSER DATA'!$A:$F,7,0),"")</f>
        <v/>
      </c>
      <c r="AU126" s="270" t="str">
        <f>_xlfn.IFNA(VLOOKUP(CONCATENATE(AU$4,$C126),'INSER DATA'!$A:$F,7,0),"")</f>
        <v/>
      </c>
      <c r="AV126" s="270" t="str">
        <f>_xlfn.IFNA(VLOOKUP(CONCATENATE(AV$4,$C126),'INSER DATA'!$A:$F,7,0),"")</f>
        <v/>
      </c>
      <c r="AW126" s="270" t="str">
        <f>_xlfn.IFNA(VLOOKUP(CONCATENATE(AW$4,$C126),'INSER DATA'!$A:$F,7,0),"")</f>
        <v/>
      </c>
      <c r="AX126" s="270" t="str">
        <f>_xlfn.IFNA(VLOOKUP(CONCATENATE(AX$4,$C126),'INSER DATA'!$A:$F,7,0),"")</f>
        <v/>
      </c>
      <c r="AY126" s="270" t="str">
        <f>_xlfn.IFNA(VLOOKUP(CONCATENATE(AY$4,$C126),'INSER DATA'!$A:$F,7,0),"")</f>
        <v/>
      </c>
      <c r="AZ126" s="270" t="str">
        <f>_xlfn.IFNA(VLOOKUP(CONCATENATE(AZ$4,$C126),'INSER DATA'!$A:$F,7,0),"")</f>
        <v/>
      </c>
      <c r="BA126" s="270" t="str">
        <f>_xlfn.IFNA(VLOOKUP(CONCATENATE(BA$4,$C126),'INSER DATA'!$A:$F,7,0),"")</f>
        <v/>
      </c>
      <c r="BB126" s="270" t="str">
        <f>_xlfn.IFNA(VLOOKUP(CONCATENATE(BB$4,$C126),'INSER DATA'!$A:$F,7,0),"")</f>
        <v/>
      </c>
      <c r="BC126" s="270" t="str">
        <f>_xlfn.IFNA(VLOOKUP(CONCATENATE(BC$4,$C126),'INSER DATA'!$A:$F,7,0),"")</f>
        <v/>
      </c>
      <c r="BD126" s="270" t="str">
        <f>_xlfn.IFNA(VLOOKUP(CONCATENATE(BD$4,$C126),'INSER DATA'!$A:$F,7,0),"")</f>
        <v/>
      </c>
      <c r="BE126" s="270" t="str">
        <f>_xlfn.IFNA(VLOOKUP(CONCATENATE(BE$4,$C126),'INSER DATA'!$A:$F,7,0),"")</f>
        <v/>
      </c>
      <c r="BF126" s="270" t="str">
        <f>_xlfn.IFNA(VLOOKUP(CONCATENATE(BF$4,$C126),'INSER DATA'!$A:$F,7,0),"")</f>
        <v/>
      </c>
      <c r="BG126" s="270" t="str">
        <f>_xlfn.IFNA(VLOOKUP(CONCATENATE(BG$4,$C126),'INSER DATA'!$A:$F,7,0),"")</f>
        <v/>
      </c>
      <c r="BH126" s="270" t="str">
        <f>_xlfn.IFNA(VLOOKUP(CONCATENATE(BH$4,$C126),'INSER DATA'!$A:$F,7,0),"")</f>
        <v/>
      </c>
      <c r="BI126" s="270" t="str">
        <f>_xlfn.IFNA(VLOOKUP(CONCATENATE(BI$4,$C126),'INSER DATA'!$A:$F,7,0),"")</f>
        <v/>
      </c>
      <c r="BJ126" s="270" t="str">
        <f>_xlfn.IFNA(VLOOKUP(CONCATENATE(BJ$4,$C126),'INSER DATA'!$A:$F,7,0),"")</f>
        <v/>
      </c>
      <c r="BK126" s="270" t="str">
        <f>_xlfn.IFNA(VLOOKUP(CONCATENATE(BK$4,$C126),'INSER DATA'!$A:$F,7,0),"")</f>
        <v/>
      </c>
      <c r="BL126" s="272"/>
      <c r="BM126" s="30"/>
      <c r="BN126" s="30"/>
      <c r="BO126" s="30"/>
      <c r="BP126" s="30"/>
      <c r="BQ126" s="30"/>
      <c r="BR126" s="30"/>
      <c r="BS126" s="30"/>
      <c r="BT126" s="30"/>
      <c r="BU126" s="30"/>
      <c r="BV126" s="30"/>
      <c r="BW126" s="30"/>
      <c r="BX126" s="30"/>
      <c r="BY126" s="30"/>
      <c r="BZ126" s="30"/>
      <c r="CA126" s="30"/>
      <c r="CB126" s="30"/>
      <c r="CC126" s="30"/>
      <c r="CD126" s="30"/>
      <c r="CE126" s="30"/>
      <c r="CF126" s="30"/>
      <c r="CG126" s="30"/>
      <c r="CH126" s="30"/>
      <c r="CI126" s="30"/>
      <c r="CJ126" s="30"/>
      <c r="CK126" s="30"/>
      <c r="CL126" s="30"/>
      <c r="CM126" s="30"/>
      <c r="CN126" s="30"/>
      <c r="CO126" s="30"/>
      <c r="CP126" s="30"/>
      <c r="CQ126" s="30"/>
      <c r="CR126" s="30"/>
      <c r="CS126" s="30"/>
      <c r="CT126" s="30"/>
      <c r="CU126" s="30"/>
      <c r="CV126" s="30"/>
      <c r="CW126" s="30"/>
      <c r="CX126" s="30"/>
      <c r="CY126" s="30"/>
      <c r="CZ126" s="30"/>
      <c r="DA126" s="30"/>
    </row>
    <row r="127" spans="1:105" ht="19.2" thickTop="1" thickBot="1" x14ac:dyDescent="0.4">
      <c r="A127" s="30"/>
      <c r="B127" s="30"/>
      <c r="C127" s="185" t="s">
        <v>704</v>
      </c>
      <c r="D127" s="46" t="s">
        <v>705</v>
      </c>
      <c r="E127" s="35" t="str">
        <f>_xlfn.XLOOKUP(Tabella4[[#This Row],[NOME]],'ROSE SQUADRE'!$N$3:$N$253,'ROSE SQUADRE'!$O$3:$O$253,"")</f>
        <v/>
      </c>
      <c r="F127" s="36" t="s">
        <v>5</v>
      </c>
      <c r="G127" s="43">
        <v>1</v>
      </c>
      <c r="H127" s="43">
        <v>1</v>
      </c>
      <c r="I127" s="44">
        <f t="shared" si="7"/>
        <v>0</v>
      </c>
      <c r="J127" s="37">
        <f t="shared" si="8"/>
        <v>0</v>
      </c>
      <c r="K127" s="38">
        <f t="shared" si="9"/>
        <v>0</v>
      </c>
      <c r="L127" s="38">
        <f t="shared" si="10"/>
        <v>0</v>
      </c>
      <c r="M127" s="39">
        <f t="shared" si="11"/>
        <v>0</v>
      </c>
      <c r="N127" s="45">
        <f t="shared" ca="1" si="12"/>
        <v>0</v>
      </c>
      <c r="O127" s="40">
        <f>SUMIF(Tabella1[Nome],Tabella4[[#This Row],[NOME]],Tabella1[Gf])</f>
        <v>0</v>
      </c>
      <c r="P127" s="40">
        <f>-(SUMIF(Tabella1[Nome],Tabella4[[#This Row],[NOME]],Tabella1[Gs]))</f>
        <v>0</v>
      </c>
      <c r="Q127" s="40">
        <f>SUMIF(Tabella1[Nome],Tabella4[[#This Row],[NOME]],Tabella1[Rp])</f>
        <v>0</v>
      </c>
      <c r="R127" s="40">
        <f>SUMIF(Tabella1[Nome],Tabella4[[#This Row],[NOME]],Tabella1[Rs])</f>
        <v>0</v>
      </c>
      <c r="S127" s="40">
        <f>SUMIF(Tabella1[Nome],Tabella4[[#This Row],[NOME]],Tabella1[Rf])</f>
        <v>0</v>
      </c>
      <c r="T127" s="40">
        <f>SUMIF(Tabella1[Nome],Tabella4[[#This Row],[NOME]],Tabella1[Au])</f>
        <v>0</v>
      </c>
      <c r="U127" s="41">
        <f>SUMIF(Tabella1[Nome],Tabella4[[#This Row],[NOME]],Tabella1[Amm])</f>
        <v>0</v>
      </c>
      <c r="V127" s="42">
        <f>SUMIF(Tabella1[Nome],Tabella4[[#This Row],[NOME]],Tabella1[Esp])</f>
        <v>0</v>
      </c>
      <c r="W127" s="40">
        <f>SUMIF(Tabella1[Nome],Tabella4[[#This Row],[NOME]],Tabella1[Ass])</f>
        <v>0</v>
      </c>
      <c r="X127" s="40">
        <f>SUMIF(Tabella1[Nome],Tabella4[[#This Row],[NOME]],Tabella1[Gdv])</f>
        <v>0</v>
      </c>
      <c r="Y127" s="40">
        <f>SUMIF(Tabella1[Nome],Tabella4[[#This Row],[NOME]],Tabella1[cl sh])</f>
        <v>0</v>
      </c>
      <c r="Z127" s="270" t="str">
        <f>_xlfn.IFNA(_xlfn.XLOOKUP(CONCATENATE(Z$4,$C127),Tabella1[CONC X VOTI IN TAB GIOC],Tabella1[Voto],""),"")</f>
        <v/>
      </c>
      <c r="AA127" s="270" t="str">
        <f>_xlfn.IFNA(_xlfn.XLOOKUP(CONCATENATE(AA$4,$C127),Tabella1[CONC X VOTI IN TAB GIOC],Tabella1[Voto],""),"")</f>
        <v/>
      </c>
      <c r="AB127" s="270" t="str">
        <f>_xlfn.IFNA(_xlfn.XLOOKUP(CONCATENATE(AB$4,$C127),Tabella1[CONC X VOTI IN TAB GIOC],Tabella1[Voto]),"")</f>
        <v/>
      </c>
      <c r="AC127" s="270" t="str" cm="1">
        <f t="array" ref="AC127">_xlfn.IFNA(_xlfn.XLOOKUP(CONCATENATE(AC$4,$C127),INDEX(Tabella1[],0,MATCH("CONC X VOTI IN TAB GIOC",Tabella1[#Headers],0)),INDEX(Tabella1[],0,MATCH("Voto",Tabella1[#Headers],0))),"")</f>
        <v/>
      </c>
      <c r="AD127" s="270" t="str">
        <f>_xlfn.IFNA(_xlfn.XLOOKUP(CONCATENATE(AD$4,$C127),Tabella1[CONC X VOTI IN TAB GIOC],Tabella1[Voto]),"")</f>
        <v/>
      </c>
      <c r="AE127" s="270" t="str">
        <f>_xlfn.IFNA(VLOOKUP(CONCATENATE(AE$4,$C127),'INSER DATA'!$A:$F,6,0),"")</f>
        <v/>
      </c>
      <c r="AF127" s="270" t="str">
        <f>_xlfn.IFNA(VLOOKUP(CONCATENATE(AF$4,$C127),'INSER DATA'!$A:$F,6,0),"")</f>
        <v/>
      </c>
      <c r="AG127" s="270" t="str">
        <f>_xlfn.IFNA(VLOOKUP(CONCATENATE(AG$4,$C127),'INSER DATA'!$A:$F,6,0),"")</f>
        <v/>
      </c>
      <c r="AH127" s="270" t="str">
        <f>_xlfn.IFNA(VLOOKUP(CONCATENATE(AH$4,$C127),'INSER DATA'!$A:$F,7,0),"")</f>
        <v/>
      </c>
      <c r="AI127" s="270" t="str">
        <f>_xlfn.IFNA(VLOOKUP(CONCATENATE(AI$4,$C127),'INSER DATA'!$A:$F,7,0),"")</f>
        <v/>
      </c>
      <c r="AJ127" s="270" t="str">
        <f>_xlfn.IFNA(VLOOKUP(CONCATENATE(AJ$4,$C127),'INSER DATA'!$A:$F,7,0),"")</f>
        <v/>
      </c>
      <c r="AK127" s="270" t="str">
        <f>_xlfn.IFNA(VLOOKUP(CONCATENATE(AK$4,$C127),'INSER DATA'!$A:$F,7,0),"")</f>
        <v/>
      </c>
      <c r="AL127" s="270" t="str">
        <f>_xlfn.IFNA(VLOOKUP(CONCATENATE(AL$4,$C127),'INSER DATA'!$A:$F,7,0),"")</f>
        <v/>
      </c>
      <c r="AM127" s="270" t="str">
        <f>_xlfn.IFNA(VLOOKUP(CONCATENATE(AM$4,$C127),'INSER DATA'!$A:$F,7,0),"")</f>
        <v/>
      </c>
      <c r="AN127" s="270" t="str">
        <f>_xlfn.IFNA(VLOOKUP(CONCATENATE(AN$4,$C127),'INSER DATA'!$A:$F,7,0),"")</f>
        <v/>
      </c>
      <c r="AO127" s="270" t="str">
        <f>_xlfn.IFNA(VLOOKUP(CONCATENATE(AO$4,$C127),'INSER DATA'!$A:$F,7,0),"")</f>
        <v/>
      </c>
      <c r="AP127" s="270" t="str">
        <f>_xlfn.IFNA(VLOOKUP(CONCATENATE(AP$4,$C127),'INSER DATA'!$A:$F,7,0),"")</f>
        <v/>
      </c>
      <c r="AQ127" s="270" t="str">
        <f>_xlfn.IFNA(VLOOKUP(CONCATENATE(AQ$4,$C127),'INSER DATA'!$A:$F,7,0),"")</f>
        <v/>
      </c>
      <c r="AR127" s="270" t="str">
        <f>_xlfn.IFNA(VLOOKUP(CONCATENATE(AR$4,$C127),'INSER DATA'!$A:$F,7,0),"")</f>
        <v/>
      </c>
      <c r="AS127" s="270" t="str">
        <f>_xlfn.IFNA(VLOOKUP(CONCATENATE(AS$4,$C127),'INSER DATA'!$A:$F,7,0),"")</f>
        <v/>
      </c>
      <c r="AT127" s="270" t="str">
        <f>_xlfn.IFNA(VLOOKUP(CONCATENATE(AT$4,$C127),'INSER DATA'!$A:$F,7,0),"")</f>
        <v/>
      </c>
      <c r="AU127" s="270" t="str">
        <f>_xlfn.IFNA(VLOOKUP(CONCATENATE(AU$4,$C127),'INSER DATA'!$A:$F,7,0),"")</f>
        <v/>
      </c>
      <c r="AV127" s="270" t="str">
        <f>_xlfn.IFNA(VLOOKUP(CONCATENATE(AV$4,$C127),'INSER DATA'!$A:$F,7,0),"")</f>
        <v/>
      </c>
      <c r="AW127" s="270" t="str">
        <f>_xlfn.IFNA(VLOOKUP(CONCATENATE(AW$4,$C127),'INSER DATA'!$A:$F,7,0),"")</f>
        <v/>
      </c>
      <c r="AX127" s="270" t="str">
        <f>_xlfn.IFNA(VLOOKUP(CONCATENATE(AX$4,$C127),'INSER DATA'!$A:$F,7,0),"")</f>
        <v/>
      </c>
      <c r="AY127" s="270" t="str">
        <f>_xlfn.IFNA(VLOOKUP(CONCATENATE(AY$4,$C127),'INSER DATA'!$A:$F,7,0),"")</f>
        <v/>
      </c>
      <c r="AZ127" s="270" t="str">
        <f>_xlfn.IFNA(VLOOKUP(CONCATENATE(AZ$4,$C127),'INSER DATA'!$A:$F,7,0),"")</f>
        <v/>
      </c>
      <c r="BA127" s="270" t="str">
        <f>_xlfn.IFNA(VLOOKUP(CONCATENATE(BA$4,$C127),'INSER DATA'!$A:$F,7,0),"")</f>
        <v/>
      </c>
      <c r="BB127" s="270" t="str">
        <f>_xlfn.IFNA(VLOOKUP(CONCATENATE(BB$4,$C127),'INSER DATA'!$A:$F,7,0),"")</f>
        <v/>
      </c>
      <c r="BC127" s="270" t="str">
        <f>_xlfn.IFNA(VLOOKUP(CONCATENATE(BC$4,$C127),'INSER DATA'!$A:$F,7,0),"")</f>
        <v/>
      </c>
      <c r="BD127" s="270" t="str">
        <f>_xlfn.IFNA(VLOOKUP(CONCATENATE(BD$4,$C127),'INSER DATA'!$A:$F,7,0),"")</f>
        <v/>
      </c>
      <c r="BE127" s="270" t="str">
        <f>_xlfn.IFNA(VLOOKUP(CONCATENATE(BE$4,$C127),'INSER DATA'!$A:$F,7,0),"")</f>
        <v/>
      </c>
      <c r="BF127" s="270" t="str">
        <f>_xlfn.IFNA(VLOOKUP(CONCATENATE(BF$4,$C127),'INSER DATA'!$A:$F,7,0),"")</f>
        <v/>
      </c>
      <c r="BG127" s="270" t="str">
        <f>_xlfn.IFNA(VLOOKUP(CONCATENATE(BG$4,$C127),'INSER DATA'!$A:$F,7,0),"")</f>
        <v/>
      </c>
      <c r="BH127" s="270" t="str">
        <f>_xlfn.IFNA(VLOOKUP(CONCATENATE(BH$4,$C127),'INSER DATA'!$A:$F,7,0),"")</f>
        <v/>
      </c>
      <c r="BI127" s="270" t="str">
        <f>_xlfn.IFNA(VLOOKUP(CONCATENATE(BI$4,$C127),'INSER DATA'!$A:$F,7,0),"")</f>
        <v/>
      </c>
      <c r="BJ127" s="270" t="str">
        <f>_xlfn.IFNA(VLOOKUP(CONCATENATE(BJ$4,$C127),'INSER DATA'!$A:$F,7,0),"")</f>
        <v/>
      </c>
      <c r="BK127" s="270" t="str">
        <f>_xlfn.IFNA(VLOOKUP(CONCATENATE(BK$4,$C127),'INSER DATA'!$A:$F,7,0),"")</f>
        <v/>
      </c>
      <c r="BL127" s="272"/>
      <c r="BM127" s="30"/>
      <c r="BN127" s="30"/>
      <c r="BO127" s="30"/>
      <c r="BP127" s="30"/>
      <c r="BQ127" s="30"/>
      <c r="BR127" s="30"/>
      <c r="BS127" s="30"/>
      <c r="BT127" s="30"/>
      <c r="BU127" s="30"/>
      <c r="BV127" s="30"/>
      <c r="BW127" s="30"/>
      <c r="BX127" s="30"/>
      <c r="BY127" s="30"/>
      <c r="BZ127" s="30"/>
      <c r="CA127" s="30"/>
      <c r="CB127" s="30"/>
      <c r="CC127" s="30"/>
      <c r="CD127" s="30"/>
      <c r="CE127" s="30"/>
      <c r="CF127" s="30"/>
      <c r="CG127" s="30"/>
      <c r="CH127" s="30"/>
      <c r="CI127" s="30"/>
      <c r="CJ127" s="30"/>
      <c r="CK127" s="30"/>
      <c r="CL127" s="30"/>
      <c r="CM127" s="30"/>
      <c r="CN127" s="30"/>
      <c r="CO127" s="30"/>
      <c r="CP127" s="30"/>
      <c r="CQ127" s="30"/>
      <c r="CR127" s="30"/>
      <c r="CS127" s="30"/>
      <c r="CT127" s="30"/>
      <c r="CU127" s="30"/>
      <c r="CV127" s="30"/>
      <c r="CW127" s="30"/>
      <c r="CX127" s="30"/>
      <c r="CY127" s="30"/>
      <c r="CZ127" s="30"/>
      <c r="DA127" s="30"/>
    </row>
    <row r="128" spans="1:105" ht="19.2" thickTop="1" thickBot="1" x14ac:dyDescent="0.4">
      <c r="A128" s="30"/>
      <c r="B128" s="30"/>
      <c r="C128" s="188" t="s">
        <v>707</v>
      </c>
      <c r="D128" s="46" t="s">
        <v>705</v>
      </c>
      <c r="E128" s="35" t="str">
        <f>_xlfn.XLOOKUP(Tabella4[[#This Row],[NOME]],'ROSE SQUADRE'!$N$3:$N$253,'ROSE SQUADRE'!$O$3:$O$253,"")</f>
        <v/>
      </c>
      <c r="F128" s="36" t="s">
        <v>5</v>
      </c>
      <c r="G128" s="43">
        <v>1</v>
      </c>
      <c r="H128" s="43">
        <v>1</v>
      </c>
      <c r="I128" s="44">
        <f t="shared" si="7"/>
        <v>0</v>
      </c>
      <c r="J128" s="37">
        <f t="shared" si="8"/>
        <v>0</v>
      </c>
      <c r="K128" s="38">
        <f t="shared" si="9"/>
        <v>0</v>
      </c>
      <c r="L128" s="38">
        <f t="shared" si="10"/>
        <v>0</v>
      </c>
      <c r="M128" s="39">
        <f t="shared" si="11"/>
        <v>0</v>
      </c>
      <c r="N128" s="45">
        <f t="shared" ca="1" si="12"/>
        <v>0</v>
      </c>
      <c r="O128" s="40">
        <f>SUMIF(Tabella1[Nome],Tabella4[[#This Row],[NOME]],Tabella1[Gf])</f>
        <v>0</v>
      </c>
      <c r="P128" s="40">
        <f>-(SUMIF(Tabella1[Nome],Tabella4[[#This Row],[NOME]],Tabella1[Gs]))</f>
        <v>0</v>
      </c>
      <c r="Q128" s="40">
        <f>SUMIF(Tabella1[Nome],Tabella4[[#This Row],[NOME]],Tabella1[Rp])</f>
        <v>0</v>
      </c>
      <c r="R128" s="40">
        <f>SUMIF(Tabella1[Nome],Tabella4[[#This Row],[NOME]],Tabella1[Rs])</f>
        <v>0</v>
      </c>
      <c r="S128" s="40">
        <f>SUMIF(Tabella1[Nome],Tabella4[[#This Row],[NOME]],Tabella1[Rf])</f>
        <v>0</v>
      </c>
      <c r="T128" s="40">
        <f>SUMIF(Tabella1[Nome],Tabella4[[#This Row],[NOME]],Tabella1[Au])</f>
        <v>0</v>
      </c>
      <c r="U128" s="41">
        <f>SUMIF(Tabella1[Nome],Tabella4[[#This Row],[NOME]],Tabella1[Amm])</f>
        <v>0</v>
      </c>
      <c r="V128" s="42">
        <f>SUMIF(Tabella1[Nome],Tabella4[[#This Row],[NOME]],Tabella1[Esp])</f>
        <v>0</v>
      </c>
      <c r="W128" s="40">
        <f>SUMIF(Tabella1[Nome],Tabella4[[#This Row],[NOME]],Tabella1[Ass])</f>
        <v>0</v>
      </c>
      <c r="X128" s="40">
        <f>SUMIF(Tabella1[Nome],Tabella4[[#This Row],[NOME]],Tabella1[Gdv])</f>
        <v>0</v>
      </c>
      <c r="Y128" s="40">
        <f>SUMIF(Tabella1[Nome],Tabella4[[#This Row],[NOME]],Tabella1[cl sh])</f>
        <v>0</v>
      </c>
      <c r="Z128" s="270" t="str">
        <f>_xlfn.IFNA(_xlfn.XLOOKUP(CONCATENATE(Z$4,$C128),Tabella1[CONC X VOTI IN TAB GIOC],Tabella1[Voto],""),"")</f>
        <v/>
      </c>
      <c r="AA128" s="270" t="str">
        <f>_xlfn.IFNA(_xlfn.XLOOKUP(CONCATENATE(AA$4,$C128),Tabella1[CONC X VOTI IN TAB GIOC],Tabella1[Voto],""),"")</f>
        <v/>
      </c>
      <c r="AB128" s="270" t="str">
        <f>_xlfn.IFNA(_xlfn.XLOOKUP(CONCATENATE(AB$4,$C128),Tabella1[CONC X VOTI IN TAB GIOC],Tabella1[Voto]),"")</f>
        <v/>
      </c>
      <c r="AC128" s="270" t="str" cm="1">
        <f t="array" ref="AC128">_xlfn.IFNA(_xlfn.XLOOKUP(CONCATENATE(AC$4,$C128),INDEX(Tabella1[],0,MATCH("CONC X VOTI IN TAB GIOC",Tabella1[#Headers],0)),INDEX(Tabella1[],0,MATCH("Voto",Tabella1[#Headers],0))),"")</f>
        <v/>
      </c>
      <c r="AD128" s="270" t="str">
        <f>_xlfn.IFNA(_xlfn.XLOOKUP(CONCATENATE(AD$4,$C128),Tabella1[CONC X VOTI IN TAB GIOC],Tabella1[Voto]),"")</f>
        <v/>
      </c>
      <c r="AE128" s="270" t="str">
        <f>_xlfn.IFNA(VLOOKUP(CONCATENATE(AE$4,$C128),'INSER DATA'!$A:$F,6,0),"")</f>
        <v/>
      </c>
      <c r="AF128" s="270" t="str">
        <f>_xlfn.IFNA(VLOOKUP(CONCATENATE(AF$4,$C128),'INSER DATA'!$A:$F,6,0),"")</f>
        <v/>
      </c>
      <c r="AG128" s="270" t="str">
        <f>_xlfn.IFNA(VLOOKUP(CONCATENATE(AG$4,$C128),'INSER DATA'!$A:$F,6,0),"")</f>
        <v/>
      </c>
      <c r="AH128" s="270" t="str">
        <f>_xlfn.IFNA(VLOOKUP(CONCATENATE(AH$4,$C128),'INSER DATA'!$A:$F,7,0),"")</f>
        <v/>
      </c>
      <c r="AI128" s="270" t="str">
        <f>_xlfn.IFNA(VLOOKUP(CONCATENATE(AI$4,$C128),'INSER DATA'!$A:$F,7,0),"")</f>
        <v/>
      </c>
      <c r="AJ128" s="270" t="str">
        <f>_xlfn.IFNA(VLOOKUP(CONCATENATE(AJ$4,$C128),'INSER DATA'!$A:$F,7,0),"")</f>
        <v/>
      </c>
      <c r="AK128" s="270" t="str">
        <f>_xlfn.IFNA(VLOOKUP(CONCATENATE(AK$4,$C128),'INSER DATA'!$A:$F,7,0),"")</f>
        <v/>
      </c>
      <c r="AL128" s="270" t="str">
        <f>_xlfn.IFNA(VLOOKUP(CONCATENATE(AL$4,$C128),'INSER DATA'!$A:$F,7,0),"")</f>
        <v/>
      </c>
      <c r="AM128" s="270" t="str">
        <f>_xlfn.IFNA(VLOOKUP(CONCATENATE(AM$4,$C128),'INSER DATA'!$A:$F,7,0),"")</f>
        <v/>
      </c>
      <c r="AN128" s="270" t="str">
        <f>_xlfn.IFNA(VLOOKUP(CONCATENATE(AN$4,$C128),'INSER DATA'!$A:$F,7,0),"")</f>
        <v/>
      </c>
      <c r="AO128" s="270" t="str">
        <f>_xlfn.IFNA(VLOOKUP(CONCATENATE(AO$4,$C128),'INSER DATA'!$A:$F,7,0),"")</f>
        <v/>
      </c>
      <c r="AP128" s="270" t="str">
        <f>_xlfn.IFNA(VLOOKUP(CONCATENATE(AP$4,$C128),'INSER DATA'!$A:$F,7,0),"")</f>
        <v/>
      </c>
      <c r="AQ128" s="270" t="str">
        <f>_xlfn.IFNA(VLOOKUP(CONCATENATE(AQ$4,$C128),'INSER DATA'!$A:$F,7,0),"")</f>
        <v/>
      </c>
      <c r="AR128" s="270" t="str">
        <f>_xlfn.IFNA(VLOOKUP(CONCATENATE(AR$4,$C128),'INSER DATA'!$A:$F,7,0),"")</f>
        <v/>
      </c>
      <c r="AS128" s="270" t="str">
        <f>_xlfn.IFNA(VLOOKUP(CONCATENATE(AS$4,$C128),'INSER DATA'!$A:$F,7,0),"")</f>
        <v/>
      </c>
      <c r="AT128" s="270" t="str">
        <f>_xlfn.IFNA(VLOOKUP(CONCATENATE(AT$4,$C128),'INSER DATA'!$A:$F,7,0),"")</f>
        <v/>
      </c>
      <c r="AU128" s="270" t="str">
        <f>_xlfn.IFNA(VLOOKUP(CONCATENATE(AU$4,$C128),'INSER DATA'!$A:$F,7,0),"")</f>
        <v/>
      </c>
      <c r="AV128" s="270" t="str">
        <f>_xlfn.IFNA(VLOOKUP(CONCATENATE(AV$4,$C128),'INSER DATA'!$A:$F,7,0),"")</f>
        <v/>
      </c>
      <c r="AW128" s="270" t="str">
        <f>_xlfn.IFNA(VLOOKUP(CONCATENATE(AW$4,$C128),'INSER DATA'!$A:$F,7,0),"")</f>
        <v/>
      </c>
      <c r="AX128" s="270" t="str">
        <f>_xlfn.IFNA(VLOOKUP(CONCATENATE(AX$4,$C128),'INSER DATA'!$A:$F,7,0),"")</f>
        <v/>
      </c>
      <c r="AY128" s="270" t="str">
        <f>_xlfn.IFNA(VLOOKUP(CONCATENATE(AY$4,$C128),'INSER DATA'!$A:$F,7,0),"")</f>
        <v/>
      </c>
      <c r="AZ128" s="270" t="str">
        <f>_xlfn.IFNA(VLOOKUP(CONCATENATE(AZ$4,$C128),'INSER DATA'!$A:$F,7,0),"")</f>
        <v/>
      </c>
      <c r="BA128" s="270" t="str">
        <f>_xlfn.IFNA(VLOOKUP(CONCATENATE(BA$4,$C128),'INSER DATA'!$A:$F,7,0),"")</f>
        <v/>
      </c>
      <c r="BB128" s="270" t="str">
        <f>_xlfn.IFNA(VLOOKUP(CONCATENATE(BB$4,$C128),'INSER DATA'!$A:$F,7,0),"")</f>
        <v/>
      </c>
      <c r="BC128" s="270" t="str">
        <f>_xlfn.IFNA(VLOOKUP(CONCATENATE(BC$4,$C128),'INSER DATA'!$A:$F,7,0),"")</f>
        <v/>
      </c>
      <c r="BD128" s="270" t="str">
        <f>_xlfn.IFNA(VLOOKUP(CONCATENATE(BD$4,$C128),'INSER DATA'!$A:$F,7,0),"")</f>
        <v/>
      </c>
      <c r="BE128" s="270" t="str">
        <f>_xlfn.IFNA(VLOOKUP(CONCATENATE(BE$4,$C128),'INSER DATA'!$A:$F,7,0),"")</f>
        <v/>
      </c>
      <c r="BF128" s="270" t="str">
        <f>_xlfn.IFNA(VLOOKUP(CONCATENATE(BF$4,$C128),'INSER DATA'!$A:$F,7,0),"")</f>
        <v/>
      </c>
      <c r="BG128" s="270" t="str">
        <f>_xlfn.IFNA(VLOOKUP(CONCATENATE(BG$4,$C128),'INSER DATA'!$A:$F,7,0),"")</f>
        <v/>
      </c>
      <c r="BH128" s="270" t="str">
        <f>_xlfn.IFNA(VLOOKUP(CONCATENATE(BH$4,$C128),'INSER DATA'!$A:$F,7,0),"")</f>
        <v/>
      </c>
      <c r="BI128" s="270" t="str">
        <f>_xlfn.IFNA(VLOOKUP(CONCATENATE(BI$4,$C128),'INSER DATA'!$A:$F,7,0),"")</f>
        <v/>
      </c>
      <c r="BJ128" s="270" t="str">
        <f>_xlfn.IFNA(VLOOKUP(CONCATENATE(BJ$4,$C128),'INSER DATA'!$A:$F,7,0),"")</f>
        <v/>
      </c>
      <c r="BK128" s="270" t="str">
        <f>_xlfn.IFNA(VLOOKUP(CONCATENATE(BK$4,$C128),'INSER DATA'!$A:$F,7,0),"")</f>
        <v/>
      </c>
      <c r="BL128" s="272"/>
      <c r="BM128" s="30"/>
      <c r="BN128" s="30"/>
      <c r="BO128" s="30"/>
      <c r="BP128" s="30"/>
      <c r="BQ128" s="30"/>
      <c r="BR128" s="30"/>
      <c r="BS128" s="30"/>
      <c r="BT128" s="30"/>
      <c r="BU128" s="30"/>
      <c r="BV128" s="30"/>
      <c r="BW128" s="30"/>
      <c r="BX128" s="30"/>
      <c r="BY128" s="30"/>
      <c r="BZ128" s="30"/>
      <c r="CA128" s="30"/>
      <c r="CB128" s="30"/>
      <c r="CC128" s="30"/>
      <c r="CD128" s="30"/>
      <c r="CE128" s="30"/>
      <c r="CF128" s="30"/>
      <c r="CG128" s="30"/>
      <c r="CH128" s="30"/>
      <c r="CI128" s="30"/>
      <c r="CJ128" s="30"/>
      <c r="CK128" s="30"/>
      <c r="CL128" s="30"/>
      <c r="CM128" s="30"/>
      <c r="CN128" s="30"/>
      <c r="CO128" s="30"/>
      <c r="CP128" s="30"/>
      <c r="CQ128" s="30"/>
      <c r="CR128" s="30"/>
      <c r="CS128" s="30"/>
      <c r="CT128" s="30"/>
      <c r="CU128" s="30"/>
      <c r="CV128" s="30"/>
      <c r="CW128" s="30"/>
      <c r="CX128" s="30"/>
      <c r="CY128" s="30"/>
      <c r="CZ128" s="30"/>
      <c r="DA128" s="30"/>
    </row>
    <row r="129" spans="1:105" ht="19.2" thickTop="1" thickBot="1" x14ac:dyDescent="0.4">
      <c r="A129" s="30"/>
      <c r="B129" s="30"/>
      <c r="C129" s="188" t="s">
        <v>297</v>
      </c>
      <c r="D129" s="187" t="s">
        <v>705</v>
      </c>
      <c r="E129" s="35" t="str">
        <f>_xlfn.XLOOKUP(Tabella4[[#This Row],[NOME]],'ROSE SQUADRE'!$N$3:$N$253,'ROSE SQUADRE'!$O$3:$O$253,"")</f>
        <v/>
      </c>
      <c r="F129" s="36" t="s">
        <v>161</v>
      </c>
      <c r="G129" s="43">
        <v>5</v>
      </c>
      <c r="H129" s="43">
        <v>5</v>
      </c>
      <c r="I129" s="44">
        <f t="shared" si="7"/>
        <v>0</v>
      </c>
      <c r="J129" s="37">
        <f t="shared" si="8"/>
        <v>0</v>
      </c>
      <c r="K129" s="38">
        <f t="shared" si="9"/>
        <v>0</v>
      </c>
      <c r="L129" s="38">
        <f t="shared" si="10"/>
        <v>0</v>
      </c>
      <c r="M129" s="39">
        <f t="shared" si="11"/>
        <v>0</v>
      </c>
      <c r="N129" s="45">
        <f t="shared" ca="1" si="12"/>
        <v>0</v>
      </c>
      <c r="O129" s="40">
        <f>SUMIF(Tabella1[Nome],Tabella4[[#This Row],[NOME]],Tabella1[Gf])</f>
        <v>0</v>
      </c>
      <c r="P129" s="40">
        <f>-(SUMIF(Tabella1[Nome],Tabella4[[#This Row],[NOME]],Tabella1[Gs]))</f>
        <v>0</v>
      </c>
      <c r="Q129" s="40">
        <f>SUMIF(Tabella1[Nome],Tabella4[[#This Row],[NOME]],Tabella1[Rp])</f>
        <v>0</v>
      </c>
      <c r="R129" s="40">
        <f>SUMIF(Tabella1[Nome],Tabella4[[#This Row],[NOME]],Tabella1[Rs])</f>
        <v>0</v>
      </c>
      <c r="S129" s="40">
        <f>SUMIF(Tabella1[Nome],Tabella4[[#This Row],[NOME]],Tabella1[Rf])</f>
        <v>0</v>
      </c>
      <c r="T129" s="40">
        <f>SUMIF(Tabella1[Nome],Tabella4[[#This Row],[NOME]],Tabella1[Au])</f>
        <v>0</v>
      </c>
      <c r="U129" s="41">
        <f>SUMIF(Tabella1[Nome],Tabella4[[#This Row],[NOME]],Tabella1[Amm])</f>
        <v>0</v>
      </c>
      <c r="V129" s="42">
        <f>SUMIF(Tabella1[Nome],Tabella4[[#This Row],[NOME]],Tabella1[Esp])</f>
        <v>0</v>
      </c>
      <c r="W129" s="40">
        <f>SUMIF(Tabella1[Nome],Tabella4[[#This Row],[NOME]],Tabella1[Ass])</f>
        <v>0</v>
      </c>
      <c r="X129" s="40">
        <f>SUMIF(Tabella1[Nome],Tabella4[[#This Row],[NOME]],Tabella1[Gdv])</f>
        <v>0</v>
      </c>
      <c r="Y129" s="40">
        <f>SUMIF(Tabella1[Nome],Tabella4[[#This Row],[NOME]],Tabella1[cl sh])</f>
        <v>0</v>
      </c>
      <c r="Z129" s="270" t="str">
        <f>_xlfn.IFNA(_xlfn.XLOOKUP(CONCATENATE(Z$4,$C129),Tabella1[CONC X VOTI IN TAB GIOC],Tabella1[Voto],""),"")</f>
        <v/>
      </c>
      <c r="AA129" s="270" t="str">
        <f>_xlfn.IFNA(_xlfn.XLOOKUP(CONCATENATE(AA$4,$C129),Tabella1[CONC X VOTI IN TAB GIOC],Tabella1[Voto],""),"")</f>
        <v/>
      </c>
      <c r="AB129" s="270" t="str">
        <f>_xlfn.IFNA(_xlfn.XLOOKUP(CONCATENATE(AB$4,$C129),Tabella1[CONC X VOTI IN TAB GIOC],Tabella1[Voto]),"")</f>
        <v/>
      </c>
      <c r="AC129" s="270" t="str" cm="1">
        <f t="array" ref="AC129">_xlfn.IFNA(_xlfn.XLOOKUP(CONCATENATE(AC$4,$C129),INDEX(Tabella1[],0,MATCH("CONC X VOTI IN TAB GIOC",Tabella1[#Headers],0)),INDEX(Tabella1[],0,MATCH("Voto",Tabella1[#Headers],0))),"")</f>
        <v/>
      </c>
      <c r="AD129" s="270" t="str">
        <f>_xlfn.IFNA(_xlfn.XLOOKUP(CONCATENATE(AD$4,$C129),Tabella1[CONC X VOTI IN TAB GIOC],Tabella1[Voto]),"")</f>
        <v/>
      </c>
      <c r="AE129" s="270" t="str">
        <f>_xlfn.IFNA(VLOOKUP(CONCATENATE(AE$4,$C129),'INSER DATA'!$A:$F,6,0),"")</f>
        <v/>
      </c>
      <c r="AF129" s="270" t="str">
        <f>_xlfn.IFNA(VLOOKUP(CONCATENATE(AF$4,$C129),'INSER DATA'!$A:$F,6,0),"")</f>
        <v/>
      </c>
      <c r="AG129" s="270" t="str">
        <f>_xlfn.IFNA(VLOOKUP(CONCATENATE(AG$4,$C129),'INSER DATA'!$A:$F,6,0),"")</f>
        <v/>
      </c>
      <c r="AH129" s="270" t="str">
        <f>_xlfn.IFNA(VLOOKUP(CONCATENATE(AH$4,$C129),'INSER DATA'!$A:$F,7,0),"")</f>
        <v/>
      </c>
      <c r="AI129" s="270" t="str">
        <f>_xlfn.IFNA(VLOOKUP(CONCATENATE(AI$4,$C129),'INSER DATA'!$A:$F,7,0),"")</f>
        <v/>
      </c>
      <c r="AJ129" s="270" t="str">
        <f>_xlfn.IFNA(VLOOKUP(CONCATENATE(AJ$4,$C129),'INSER DATA'!$A:$F,7,0),"")</f>
        <v/>
      </c>
      <c r="AK129" s="270" t="str">
        <f>_xlfn.IFNA(VLOOKUP(CONCATENATE(AK$4,$C129),'INSER DATA'!$A:$F,7,0),"")</f>
        <v/>
      </c>
      <c r="AL129" s="270" t="str">
        <f>_xlfn.IFNA(VLOOKUP(CONCATENATE(AL$4,$C129),'INSER DATA'!$A:$F,7,0),"")</f>
        <v/>
      </c>
      <c r="AM129" s="270" t="str">
        <f>_xlfn.IFNA(VLOOKUP(CONCATENATE(AM$4,$C129),'INSER DATA'!$A:$F,7,0),"")</f>
        <v/>
      </c>
      <c r="AN129" s="270" t="str">
        <f>_xlfn.IFNA(VLOOKUP(CONCATENATE(AN$4,$C129),'INSER DATA'!$A:$F,7,0),"")</f>
        <v/>
      </c>
      <c r="AO129" s="270" t="str">
        <f>_xlfn.IFNA(VLOOKUP(CONCATENATE(AO$4,$C129),'INSER DATA'!$A:$F,7,0),"")</f>
        <v/>
      </c>
      <c r="AP129" s="270" t="str">
        <f>_xlfn.IFNA(VLOOKUP(CONCATENATE(AP$4,$C129),'INSER DATA'!$A:$F,7,0),"")</f>
        <v/>
      </c>
      <c r="AQ129" s="270" t="str">
        <f>_xlfn.IFNA(VLOOKUP(CONCATENATE(AQ$4,$C129),'INSER DATA'!$A:$F,7,0),"")</f>
        <v/>
      </c>
      <c r="AR129" s="270" t="str">
        <f>_xlfn.IFNA(VLOOKUP(CONCATENATE(AR$4,$C129),'INSER DATA'!$A:$F,7,0),"")</f>
        <v/>
      </c>
      <c r="AS129" s="270" t="str">
        <f>_xlfn.IFNA(VLOOKUP(CONCATENATE(AS$4,$C129),'INSER DATA'!$A:$F,7,0),"")</f>
        <v/>
      </c>
      <c r="AT129" s="270" t="str">
        <f>_xlfn.IFNA(VLOOKUP(CONCATENATE(AT$4,$C129),'INSER DATA'!$A:$F,7,0),"")</f>
        <v/>
      </c>
      <c r="AU129" s="270" t="str">
        <f>_xlfn.IFNA(VLOOKUP(CONCATENATE(AU$4,$C129),'INSER DATA'!$A:$F,7,0),"")</f>
        <v/>
      </c>
      <c r="AV129" s="270" t="str">
        <f>_xlfn.IFNA(VLOOKUP(CONCATENATE(AV$4,$C129),'INSER DATA'!$A:$F,7,0),"")</f>
        <v/>
      </c>
      <c r="AW129" s="270" t="str">
        <f>_xlfn.IFNA(VLOOKUP(CONCATENATE(AW$4,$C129),'INSER DATA'!$A:$F,7,0),"")</f>
        <v/>
      </c>
      <c r="AX129" s="270" t="str">
        <f>_xlfn.IFNA(VLOOKUP(CONCATENATE(AX$4,$C129),'INSER DATA'!$A:$F,7,0),"")</f>
        <v/>
      </c>
      <c r="AY129" s="270" t="str">
        <f>_xlfn.IFNA(VLOOKUP(CONCATENATE(AY$4,$C129),'INSER DATA'!$A:$F,7,0),"")</f>
        <v/>
      </c>
      <c r="AZ129" s="270" t="str">
        <f>_xlfn.IFNA(VLOOKUP(CONCATENATE(AZ$4,$C129),'INSER DATA'!$A:$F,7,0),"")</f>
        <v/>
      </c>
      <c r="BA129" s="270" t="str">
        <f>_xlfn.IFNA(VLOOKUP(CONCATENATE(BA$4,$C129),'INSER DATA'!$A:$F,7,0),"")</f>
        <v/>
      </c>
      <c r="BB129" s="270" t="str">
        <f>_xlfn.IFNA(VLOOKUP(CONCATENATE(BB$4,$C129),'INSER DATA'!$A:$F,7,0),"")</f>
        <v/>
      </c>
      <c r="BC129" s="270" t="str">
        <f>_xlfn.IFNA(VLOOKUP(CONCATENATE(BC$4,$C129),'INSER DATA'!$A:$F,7,0),"")</f>
        <v/>
      </c>
      <c r="BD129" s="270" t="str">
        <f>_xlfn.IFNA(VLOOKUP(CONCATENATE(BD$4,$C129),'INSER DATA'!$A:$F,7,0),"")</f>
        <v/>
      </c>
      <c r="BE129" s="270" t="str">
        <f>_xlfn.IFNA(VLOOKUP(CONCATENATE(BE$4,$C129),'INSER DATA'!$A:$F,7,0),"")</f>
        <v/>
      </c>
      <c r="BF129" s="270" t="str">
        <f>_xlfn.IFNA(VLOOKUP(CONCATENATE(BF$4,$C129),'INSER DATA'!$A:$F,7,0),"")</f>
        <v/>
      </c>
      <c r="BG129" s="270" t="str">
        <f>_xlfn.IFNA(VLOOKUP(CONCATENATE(BG$4,$C129),'INSER DATA'!$A:$F,7,0),"")</f>
        <v/>
      </c>
      <c r="BH129" s="270" t="str">
        <f>_xlfn.IFNA(VLOOKUP(CONCATENATE(BH$4,$C129),'INSER DATA'!$A:$F,7,0),"")</f>
        <v/>
      </c>
      <c r="BI129" s="270" t="str">
        <f>_xlfn.IFNA(VLOOKUP(CONCATENATE(BI$4,$C129),'INSER DATA'!$A:$F,7,0),"")</f>
        <v/>
      </c>
      <c r="BJ129" s="270" t="str">
        <f>_xlfn.IFNA(VLOOKUP(CONCATENATE(BJ$4,$C129),'INSER DATA'!$A:$F,7,0),"")</f>
        <v/>
      </c>
      <c r="BK129" s="270" t="str">
        <f>_xlfn.IFNA(VLOOKUP(CONCATENATE(BK$4,$C129),'INSER DATA'!$A:$F,7,0),"")</f>
        <v/>
      </c>
      <c r="BL129" s="272"/>
      <c r="BM129" s="30"/>
      <c r="BN129" s="30"/>
      <c r="BO129" s="30"/>
      <c r="BP129" s="30"/>
      <c r="BQ129" s="30"/>
      <c r="BR129" s="30"/>
      <c r="BS129" s="30"/>
      <c r="BT129" s="30"/>
      <c r="BU129" s="30"/>
      <c r="BV129" s="30"/>
      <c r="BW129" s="30"/>
      <c r="BX129" s="30"/>
      <c r="BY129" s="30"/>
      <c r="BZ129" s="30"/>
      <c r="CA129" s="30"/>
      <c r="CB129" s="30"/>
      <c r="CC129" s="30"/>
      <c r="CD129" s="30"/>
      <c r="CE129" s="30"/>
      <c r="CF129" s="30"/>
      <c r="CG129" s="30"/>
      <c r="CH129" s="30"/>
      <c r="CI129" s="30"/>
      <c r="CJ129" s="30"/>
      <c r="CK129" s="30"/>
      <c r="CL129" s="30"/>
      <c r="CM129" s="30"/>
      <c r="CN129" s="30"/>
      <c r="CO129" s="30"/>
      <c r="CP129" s="30"/>
      <c r="CQ129" s="30"/>
      <c r="CR129" s="30"/>
      <c r="CS129" s="30"/>
      <c r="CT129" s="30"/>
      <c r="CU129" s="30"/>
      <c r="CV129" s="30"/>
      <c r="CW129" s="30"/>
      <c r="CX129" s="30"/>
      <c r="CY129" s="30"/>
      <c r="CZ129" s="30"/>
      <c r="DA129" s="30"/>
    </row>
    <row r="130" spans="1:105" ht="19.2" thickTop="1" thickBot="1" x14ac:dyDescent="0.4">
      <c r="A130" s="30"/>
      <c r="B130" s="30"/>
      <c r="C130" s="185" t="s">
        <v>452</v>
      </c>
      <c r="D130" s="187" t="s">
        <v>874</v>
      </c>
      <c r="E130" s="35" t="str">
        <f>_xlfn.XLOOKUP(Tabella4[[#This Row],[NOME]],'ROSE SQUADRE'!$N$3:$N$253,'ROSE SQUADRE'!$O$3:$O$253,"")</f>
        <v/>
      </c>
      <c r="F130" s="36" t="s">
        <v>162</v>
      </c>
      <c r="G130" s="43">
        <v>4</v>
      </c>
      <c r="H130" s="43">
        <v>4</v>
      </c>
      <c r="I130" s="44">
        <f t="shared" si="7"/>
        <v>0</v>
      </c>
      <c r="J130" s="37">
        <f t="shared" si="8"/>
        <v>1</v>
      </c>
      <c r="K130" s="38">
        <f t="shared" si="9"/>
        <v>5.5</v>
      </c>
      <c r="L130" s="38">
        <f t="shared" si="10"/>
        <v>5.5</v>
      </c>
      <c r="M130" s="39">
        <f t="shared" si="11"/>
        <v>5.5</v>
      </c>
      <c r="N130" s="45">
        <f t="shared" ca="1" si="12"/>
        <v>0</v>
      </c>
      <c r="O130" s="40">
        <f>SUMIF(Tabella1[Nome],Tabella4[[#This Row],[NOME]],Tabella1[Gf])</f>
        <v>0</v>
      </c>
      <c r="P130" s="40">
        <f>-(SUMIF(Tabella1[Nome],Tabella4[[#This Row],[NOME]],Tabella1[Gs]))</f>
        <v>0</v>
      </c>
      <c r="Q130" s="40">
        <f>SUMIF(Tabella1[Nome],Tabella4[[#This Row],[NOME]],Tabella1[Rp])</f>
        <v>0</v>
      </c>
      <c r="R130" s="40">
        <f>SUMIF(Tabella1[Nome],Tabella4[[#This Row],[NOME]],Tabella1[Rs])</f>
        <v>0</v>
      </c>
      <c r="S130" s="40">
        <f>SUMIF(Tabella1[Nome],Tabella4[[#This Row],[NOME]],Tabella1[Rf])</f>
        <v>0</v>
      </c>
      <c r="T130" s="40">
        <f>SUMIF(Tabella1[Nome],Tabella4[[#This Row],[NOME]],Tabella1[Au])</f>
        <v>0</v>
      </c>
      <c r="U130" s="41">
        <f>SUMIF(Tabella1[Nome],Tabella4[[#This Row],[NOME]],Tabella1[Amm])</f>
        <v>0</v>
      </c>
      <c r="V130" s="42">
        <f>SUMIF(Tabella1[Nome],Tabella4[[#This Row],[NOME]],Tabella1[Esp])</f>
        <v>0</v>
      </c>
      <c r="W130" s="40">
        <f>SUMIF(Tabella1[Nome],Tabella4[[#This Row],[NOME]],Tabella1[Ass])</f>
        <v>0</v>
      </c>
      <c r="X130" s="40">
        <f>SUMIF(Tabella1[Nome],Tabella4[[#This Row],[NOME]],Tabella1[Gdv])</f>
        <v>0</v>
      </c>
      <c r="Y130" s="40">
        <f>SUMIF(Tabella1[Nome],Tabella4[[#This Row],[NOME]],Tabella1[cl sh])</f>
        <v>0</v>
      </c>
      <c r="Z130" s="270" t="str">
        <f>_xlfn.IFNA(_xlfn.XLOOKUP(CONCATENATE(Z$4,$C130),Tabella1[CONC X VOTI IN TAB GIOC],Tabella1[Voto],""),"")</f>
        <v/>
      </c>
      <c r="AA130" s="270" t="str">
        <f>_xlfn.IFNA(_xlfn.XLOOKUP(CONCATENATE(AA$4,$C130),Tabella1[CONC X VOTI IN TAB GIOC],Tabella1[Voto],""),"")</f>
        <v/>
      </c>
      <c r="AB130" s="270">
        <f>_xlfn.IFNA(_xlfn.XLOOKUP(CONCATENATE(AB$4,$C130),Tabella1[CONC X VOTI IN TAB GIOC],Tabella1[Voto]),"")</f>
        <v>5.5</v>
      </c>
      <c r="AC130" s="270" t="str" cm="1">
        <f t="array" ref="AC130">_xlfn.IFNA(_xlfn.XLOOKUP(CONCATENATE(AC$4,$C130),INDEX(Tabella1[],0,MATCH("CONC X VOTI IN TAB GIOC",Tabella1[#Headers],0)),INDEX(Tabella1[],0,MATCH("Voto",Tabella1[#Headers],0))),"")</f>
        <v/>
      </c>
      <c r="AD130" s="270" t="str">
        <f>_xlfn.IFNA(_xlfn.XLOOKUP(CONCATENATE(AD$4,$C130),Tabella1[CONC X VOTI IN TAB GIOC],Tabella1[Voto]),"")</f>
        <v/>
      </c>
      <c r="AE130" s="270" t="str">
        <f>_xlfn.IFNA(VLOOKUP(CONCATENATE(AE$4,$C130),'INSER DATA'!$A:$F,6,0),"")</f>
        <v/>
      </c>
      <c r="AF130" s="270" t="str">
        <f>_xlfn.IFNA(VLOOKUP(CONCATENATE(AF$4,$C130),'INSER DATA'!$A:$F,6,0),"")</f>
        <v/>
      </c>
      <c r="AG130" s="270" t="str">
        <f>_xlfn.IFNA(VLOOKUP(CONCATENATE(AG$4,$C130),'INSER DATA'!$A:$F,6,0),"")</f>
        <v/>
      </c>
      <c r="AH130" s="270" t="str">
        <f>_xlfn.IFNA(VLOOKUP(CONCATENATE(AH$4,$C130),'INSER DATA'!$A:$F,7,0),"")</f>
        <v/>
      </c>
      <c r="AI130" s="270" t="str">
        <f>_xlfn.IFNA(VLOOKUP(CONCATENATE(AI$4,$C130),'INSER DATA'!$A:$F,7,0),"")</f>
        <v/>
      </c>
      <c r="AJ130" s="270" t="str">
        <f>_xlfn.IFNA(VLOOKUP(CONCATENATE(AJ$4,$C130),'INSER DATA'!$A:$F,7,0),"")</f>
        <v/>
      </c>
      <c r="AK130" s="270" t="str">
        <f>_xlfn.IFNA(VLOOKUP(CONCATENATE(AK$4,$C130),'INSER DATA'!$A:$F,7,0),"")</f>
        <v/>
      </c>
      <c r="AL130" s="270" t="str">
        <f>_xlfn.IFNA(VLOOKUP(CONCATENATE(AL$4,$C130),'INSER DATA'!$A:$F,7,0),"")</f>
        <v/>
      </c>
      <c r="AM130" s="270" t="str">
        <f>_xlfn.IFNA(VLOOKUP(CONCATENATE(AM$4,$C130),'INSER DATA'!$A:$F,7,0),"")</f>
        <v/>
      </c>
      <c r="AN130" s="270" t="str">
        <f>_xlfn.IFNA(VLOOKUP(CONCATENATE(AN$4,$C130),'INSER DATA'!$A:$F,7,0),"")</f>
        <v/>
      </c>
      <c r="AO130" s="270" t="str">
        <f>_xlfn.IFNA(VLOOKUP(CONCATENATE(AO$4,$C130),'INSER DATA'!$A:$F,7,0),"")</f>
        <v/>
      </c>
      <c r="AP130" s="270" t="str">
        <f>_xlfn.IFNA(VLOOKUP(CONCATENATE(AP$4,$C130),'INSER DATA'!$A:$F,7,0),"")</f>
        <v/>
      </c>
      <c r="AQ130" s="270" t="str">
        <f>_xlfn.IFNA(VLOOKUP(CONCATENATE(AQ$4,$C130),'INSER DATA'!$A:$F,7,0),"")</f>
        <v/>
      </c>
      <c r="AR130" s="270" t="str">
        <f>_xlfn.IFNA(VLOOKUP(CONCATENATE(AR$4,$C130),'INSER DATA'!$A:$F,7,0),"")</f>
        <v/>
      </c>
      <c r="AS130" s="270" t="str">
        <f>_xlfn.IFNA(VLOOKUP(CONCATENATE(AS$4,$C130),'INSER DATA'!$A:$F,7,0),"")</f>
        <v/>
      </c>
      <c r="AT130" s="270" t="str">
        <f>_xlfn.IFNA(VLOOKUP(CONCATENATE(AT$4,$C130),'INSER DATA'!$A:$F,7,0),"")</f>
        <v/>
      </c>
      <c r="AU130" s="270" t="str">
        <f>_xlfn.IFNA(VLOOKUP(CONCATENATE(AU$4,$C130),'INSER DATA'!$A:$F,7,0),"")</f>
        <v/>
      </c>
      <c r="AV130" s="270" t="str">
        <f>_xlfn.IFNA(VLOOKUP(CONCATENATE(AV$4,$C130),'INSER DATA'!$A:$F,7,0),"")</f>
        <v/>
      </c>
      <c r="AW130" s="270" t="str">
        <f>_xlfn.IFNA(VLOOKUP(CONCATENATE(AW$4,$C130),'INSER DATA'!$A:$F,7,0),"")</f>
        <v/>
      </c>
      <c r="AX130" s="270" t="str">
        <f>_xlfn.IFNA(VLOOKUP(CONCATENATE(AX$4,$C130),'INSER DATA'!$A:$F,7,0),"")</f>
        <v/>
      </c>
      <c r="AY130" s="270" t="str">
        <f>_xlfn.IFNA(VLOOKUP(CONCATENATE(AY$4,$C130),'INSER DATA'!$A:$F,7,0),"")</f>
        <v/>
      </c>
      <c r="AZ130" s="270" t="str">
        <f>_xlfn.IFNA(VLOOKUP(CONCATENATE(AZ$4,$C130),'INSER DATA'!$A:$F,7,0),"")</f>
        <v/>
      </c>
      <c r="BA130" s="270" t="str">
        <f>_xlfn.IFNA(VLOOKUP(CONCATENATE(BA$4,$C130),'INSER DATA'!$A:$F,7,0),"")</f>
        <v/>
      </c>
      <c r="BB130" s="270" t="str">
        <f>_xlfn.IFNA(VLOOKUP(CONCATENATE(BB$4,$C130),'INSER DATA'!$A:$F,7,0),"")</f>
        <v/>
      </c>
      <c r="BC130" s="270" t="str">
        <f>_xlfn.IFNA(VLOOKUP(CONCATENATE(BC$4,$C130),'INSER DATA'!$A:$F,7,0),"")</f>
        <v/>
      </c>
      <c r="BD130" s="270" t="str">
        <f>_xlfn.IFNA(VLOOKUP(CONCATENATE(BD$4,$C130),'INSER DATA'!$A:$F,7,0),"")</f>
        <v/>
      </c>
      <c r="BE130" s="270" t="str">
        <f>_xlfn.IFNA(VLOOKUP(CONCATENATE(BE$4,$C130),'INSER DATA'!$A:$F,7,0),"")</f>
        <v/>
      </c>
      <c r="BF130" s="270" t="str">
        <f>_xlfn.IFNA(VLOOKUP(CONCATENATE(BF$4,$C130),'INSER DATA'!$A:$F,7,0),"")</f>
        <v/>
      </c>
      <c r="BG130" s="270" t="str">
        <f>_xlfn.IFNA(VLOOKUP(CONCATENATE(BG$4,$C130),'INSER DATA'!$A:$F,7,0),"")</f>
        <v/>
      </c>
      <c r="BH130" s="270" t="str">
        <f>_xlfn.IFNA(VLOOKUP(CONCATENATE(BH$4,$C130),'INSER DATA'!$A:$F,7,0),"")</f>
        <v/>
      </c>
      <c r="BI130" s="270" t="str">
        <f>_xlfn.IFNA(VLOOKUP(CONCATENATE(BI$4,$C130),'INSER DATA'!$A:$F,7,0),"")</f>
        <v/>
      </c>
      <c r="BJ130" s="270" t="str">
        <f>_xlfn.IFNA(VLOOKUP(CONCATENATE(BJ$4,$C130),'INSER DATA'!$A:$F,7,0),"")</f>
        <v/>
      </c>
      <c r="BK130" s="270" t="str">
        <f>_xlfn.IFNA(VLOOKUP(CONCATENATE(BK$4,$C130),'INSER DATA'!$A:$F,7,0),"")</f>
        <v/>
      </c>
      <c r="BL130" s="272"/>
      <c r="BM130" s="30"/>
      <c r="BN130" s="30"/>
      <c r="BO130" s="30"/>
      <c r="BP130" s="30"/>
      <c r="BQ130" s="30"/>
      <c r="BR130" s="30"/>
      <c r="BS130" s="30"/>
      <c r="BT130" s="30"/>
      <c r="BU130" s="30"/>
      <c r="BV130" s="30"/>
      <c r="BW130" s="30"/>
      <c r="BX130" s="30"/>
      <c r="BY130" s="30"/>
      <c r="BZ130" s="30"/>
      <c r="CA130" s="30"/>
      <c r="CB130" s="30"/>
      <c r="CC130" s="30"/>
      <c r="CD130" s="30"/>
      <c r="CE130" s="30"/>
      <c r="CF130" s="30"/>
      <c r="CG130" s="30"/>
      <c r="CH130" s="30"/>
      <c r="CI130" s="30"/>
      <c r="CJ130" s="30"/>
      <c r="CK130" s="30"/>
      <c r="CL130" s="30"/>
      <c r="CM130" s="30"/>
      <c r="CN130" s="30"/>
      <c r="CO130" s="30"/>
      <c r="CP130" s="30"/>
      <c r="CQ130" s="30"/>
      <c r="CR130" s="30"/>
      <c r="CS130" s="30"/>
      <c r="CT130" s="30"/>
      <c r="CU130" s="30"/>
      <c r="CV130" s="30"/>
      <c r="CW130" s="30"/>
      <c r="CX130" s="30"/>
      <c r="CY130" s="30"/>
      <c r="CZ130" s="30"/>
      <c r="DA130" s="30"/>
    </row>
    <row r="131" spans="1:105" ht="19.2" thickTop="1" thickBot="1" x14ac:dyDescent="0.4">
      <c r="A131" s="30"/>
      <c r="B131" s="30"/>
      <c r="C131" s="356" t="s">
        <v>727</v>
      </c>
      <c r="D131" s="357" t="s">
        <v>721</v>
      </c>
      <c r="E131" s="35" t="str">
        <f>_xlfn.XLOOKUP(Tabella4[[#This Row],[NOME]],'ROSE SQUADRE'!$N$3:$N$253,'ROSE SQUADRE'!$O$3:$O$253,"")</f>
        <v>SAN GRIA</v>
      </c>
      <c r="F131" s="36" t="s">
        <v>161</v>
      </c>
      <c r="G131" s="43">
        <v>5</v>
      </c>
      <c r="H131" s="43">
        <v>5</v>
      </c>
      <c r="I131" s="44">
        <f t="shared" si="7"/>
        <v>0</v>
      </c>
      <c r="J131" s="37">
        <f t="shared" si="8"/>
        <v>4</v>
      </c>
      <c r="K131" s="38">
        <f t="shared" si="9"/>
        <v>6.375</v>
      </c>
      <c r="L131" s="38">
        <f t="shared" si="10"/>
        <v>7.125</v>
      </c>
      <c r="M131" s="39">
        <f t="shared" si="11"/>
        <v>28.5</v>
      </c>
      <c r="N131" s="45">
        <f t="shared" ca="1" si="12"/>
        <v>0</v>
      </c>
      <c r="O131" s="40">
        <f>SUMIF(Tabella1[Nome],Tabella4[[#This Row],[NOME]],Tabella1[Gf])</f>
        <v>1</v>
      </c>
      <c r="P131" s="40">
        <f>-(SUMIF(Tabella1[Nome],Tabella4[[#This Row],[NOME]],Tabella1[Gs]))</f>
        <v>0</v>
      </c>
      <c r="Q131" s="40">
        <f>SUMIF(Tabella1[Nome],Tabella4[[#This Row],[NOME]],Tabella1[Rp])</f>
        <v>0</v>
      </c>
      <c r="R131" s="40">
        <f>SUMIF(Tabella1[Nome],Tabella4[[#This Row],[NOME]],Tabella1[Rs])</f>
        <v>0</v>
      </c>
      <c r="S131" s="40">
        <f>SUMIF(Tabella1[Nome],Tabella4[[#This Row],[NOME]],Tabella1[Rf])</f>
        <v>0</v>
      </c>
      <c r="T131" s="40">
        <f>SUMIF(Tabella1[Nome],Tabella4[[#This Row],[NOME]],Tabella1[Au])</f>
        <v>0</v>
      </c>
      <c r="U131" s="41">
        <f>SUMIF(Tabella1[Nome],Tabella4[[#This Row],[NOME]],Tabella1[Amm])</f>
        <v>2</v>
      </c>
      <c r="V131" s="42">
        <f>SUMIF(Tabella1[Nome],Tabella4[[#This Row],[NOME]],Tabella1[Esp])</f>
        <v>0</v>
      </c>
      <c r="W131" s="40">
        <f>SUMIF(Tabella1[Nome],Tabella4[[#This Row],[NOME]],Tabella1[Ass])</f>
        <v>1</v>
      </c>
      <c r="X131" s="40">
        <f>SUMIF(Tabella1[Nome],Tabella4[[#This Row],[NOME]],Tabella1[Gdv])</f>
        <v>0</v>
      </c>
      <c r="Y131" s="40">
        <f>SUMIF(Tabella1[Nome],Tabella4[[#This Row],[NOME]],Tabella1[cl sh])</f>
        <v>0</v>
      </c>
      <c r="Z131" s="270">
        <f>_xlfn.IFNA(_xlfn.XLOOKUP(CONCATENATE(Z$4,$C131),Tabella1[CONC X VOTI IN TAB GIOC],Tabella1[Voto],""),"")</f>
        <v>6</v>
      </c>
      <c r="AA131" s="270">
        <f>_xlfn.IFNA(_xlfn.XLOOKUP(CONCATENATE(AA$4,$C131),Tabella1[CONC X VOTI IN TAB GIOC],Tabella1[Voto],""),"")</f>
        <v>7.5</v>
      </c>
      <c r="AB131" s="270">
        <f>_xlfn.IFNA(_xlfn.XLOOKUP(CONCATENATE(AB$4,$C131),Tabella1[CONC X VOTI IN TAB GIOC],Tabella1[Voto]),"")</f>
        <v>6</v>
      </c>
      <c r="AC131" s="270" cm="1">
        <f t="array" ref="AC131">_xlfn.IFNA(_xlfn.XLOOKUP(CONCATENATE(AC$4,$C131),INDEX(Tabella1[],0,MATCH("CONC X VOTI IN TAB GIOC",Tabella1[#Headers],0)),INDEX(Tabella1[],0,MATCH("Voto",Tabella1[#Headers],0))),"")</f>
        <v>6</v>
      </c>
      <c r="AD131" s="270" t="str">
        <f>_xlfn.IFNA(_xlfn.XLOOKUP(CONCATENATE(AD$4,$C131),Tabella1[CONC X VOTI IN TAB GIOC],Tabella1[Voto]),"")</f>
        <v/>
      </c>
      <c r="AE131" s="270" t="str">
        <f>_xlfn.IFNA(VLOOKUP(CONCATENATE(AE$4,$C131),'INSER DATA'!$A:$F,6,0),"")</f>
        <v/>
      </c>
      <c r="AF131" s="270" t="str">
        <f>_xlfn.IFNA(VLOOKUP(CONCATENATE(AF$4,$C131),'INSER DATA'!$A:$F,6,0),"")</f>
        <v/>
      </c>
      <c r="AG131" s="270" t="str">
        <f>_xlfn.IFNA(VLOOKUP(CONCATENATE(AG$4,$C131),'INSER DATA'!$A:$F,6,0),"")</f>
        <v/>
      </c>
      <c r="AH131" s="270" t="str">
        <f>_xlfn.IFNA(VLOOKUP(CONCATENATE(AH$4,$C131),'INSER DATA'!$A:$F,7,0),"")</f>
        <v/>
      </c>
      <c r="AI131" s="270" t="str">
        <f>_xlfn.IFNA(VLOOKUP(CONCATENATE(AI$4,$C131),'INSER DATA'!$A:$F,7,0),"")</f>
        <v/>
      </c>
      <c r="AJ131" s="270" t="str">
        <f>_xlfn.IFNA(VLOOKUP(CONCATENATE(AJ$4,$C131),'INSER DATA'!$A:$F,7,0),"")</f>
        <v/>
      </c>
      <c r="AK131" s="270" t="str">
        <f>_xlfn.IFNA(VLOOKUP(CONCATENATE(AK$4,$C131),'INSER DATA'!$A:$F,7,0),"")</f>
        <v/>
      </c>
      <c r="AL131" s="270" t="str">
        <f>_xlfn.IFNA(VLOOKUP(CONCATENATE(AL$4,$C131),'INSER DATA'!$A:$F,7,0),"")</f>
        <v/>
      </c>
      <c r="AM131" s="270" t="str">
        <f>_xlfn.IFNA(VLOOKUP(CONCATENATE(AM$4,$C131),'INSER DATA'!$A:$F,7,0),"")</f>
        <v/>
      </c>
      <c r="AN131" s="270" t="str">
        <f>_xlfn.IFNA(VLOOKUP(CONCATENATE(AN$4,$C131),'INSER DATA'!$A:$F,7,0),"")</f>
        <v/>
      </c>
      <c r="AO131" s="270" t="str">
        <f>_xlfn.IFNA(VLOOKUP(CONCATENATE(AO$4,$C131),'INSER DATA'!$A:$F,7,0),"")</f>
        <v/>
      </c>
      <c r="AP131" s="270" t="str">
        <f>_xlfn.IFNA(VLOOKUP(CONCATENATE(AP$4,$C131),'INSER DATA'!$A:$F,7,0),"")</f>
        <v/>
      </c>
      <c r="AQ131" s="270" t="str">
        <f>_xlfn.IFNA(VLOOKUP(CONCATENATE(AQ$4,$C131),'INSER DATA'!$A:$F,7,0),"")</f>
        <v/>
      </c>
      <c r="AR131" s="270" t="str">
        <f>_xlfn.IFNA(VLOOKUP(CONCATENATE(AR$4,$C131),'INSER DATA'!$A:$F,7,0),"")</f>
        <v/>
      </c>
      <c r="AS131" s="270" t="str">
        <f>_xlfn.IFNA(VLOOKUP(CONCATENATE(AS$4,$C131),'INSER DATA'!$A:$F,7,0),"")</f>
        <v/>
      </c>
      <c r="AT131" s="270" t="str">
        <f>_xlfn.IFNA(VLOOKUP(CONCATENATE(AT$4,$C131),'INSER DATA'!$A:$F,7,0),"")</f>
        <v/>
      </c>
      <c r="AU131" s="270" t="str">
        <f>_xlfn.IFNA(VLOOKUP(CONCATENATE(AU$4,$C131),'INSER DATA'!$A:$F,7,0),"")</f>
        <v/>
      </c>
      <c r="AV131" s="270" t="str">
        <f>_xlfn.IFNA(VLOOKUP(CONCATENATE(AV$4,$C131),'INSER DATA'!$A:$F,7,0),"")</f>
        <v/>
      </c>
      <c r="AW131" s="270" t="str">
        <f>_xlfn.IFNA(VLOOKUP(CONCATENATE(AW$4,$C131),'INSER DATA'!$A:$F,7,0),"")</f>
        <v/>
      </c>
      <c r="AX131" s="270" t="str">
        <f>_xlfn.IFNA(VLOOKUP(CONCATENATE(AX$4,$C131),'INSER DATA'!$A:$F,7,0),"")</f>
        <v/>
      </c>
      <c r="AY131" s="270" t="str">
        <f>_xlfn.IFNA(VLOOKUP(CONCATENATE(AY$4,$C131),'INSER DATA'!$A:$F,7,0),"")</f>
        <v/>
      </c>
      <c r="AZ131" s="270" t="str">
        <f>_xlfn.IFNA(VLOOKUP(CONCATENATE(AZ$4,$C131),'INSER DATA'!$A:$F,7,0),"")</f>
        <v/>
      </c>
      <c r="BA131" s="270" t="str">
        <f>_xlfn.IFNA(VLOOKUP(CONCATENATE(BA$4,$C131),'INSER DATA'!$A:$F,7,0),"")</f>
        <v/>
      </c>
      <c r="BB131" s="270" t="str">
        <f>_xlfn.IFNA(VLOOKUP(CONCATENATE(BB$4,$C131),'INSER DATA'!$A:$F,7,0),"")</f>
        <v/>
      </c>
      <c r="BC131" s="270" t="str">
        <f>_xlfn.IFNA(VLOOKUP(CONCATENATE(BC$4,$C131),'INSER DATA'!$A:$F,7,0),"")</f>
        <v/>
      </c>
      <c r="BD131" s="270" t="str">
        <f>_xlfn.IFNA(VLOOKUP(CONCATENATE(BD$4,$C131),'INSER DATA'!$A:$F,7,0),"")</f>
        <v/>
      </c>
      <c r="BE131" s="270" t="str">
        <f>_xlfn.IFNA(VLOOKUP(CONCATENATE(BE$4,$C131),'INSER DATA'!$A:$F,7,0),"")</f>
        <v/>
      </c>
      <c r="BF131" s="270" t="str">
        <f>_xlfn.IFNA(VLOOKUP(CONCATENATE(BF$4,$C131),'INSER DATA'!$A:$F,7,0),"")</f>
        <v/>
      </c>
      <c r="BG131" s="270" t="str">
        <f>_xlfn.IFNA(VLOOKUP(CONCATENATE(BG$4,$C131),'INSER DATA'!$A:$F,7,0),"")</f>
        <v/>
      </c>
      <c r="BH131" s="270" t="str">
        <f>_xlfn.IFNA(VLOOKUP(CONCATENATE(BH$4,$C131),'INSER DATA'!$A:$F,7,0),"")</f>
        <v/>
      </c>
      <c r="BI131" s="270" t="str">
        <f>_xlfn.IFNA(VLOOKUP(CONCATENATE(BI$4,$C131),'INSER DATA'!$A:$F,7,0),"")</f>
        <v/>
      </c>
      <c r="BJ131" s="270" t="str">
        <f>_xlfn.IFNA(VLOOKUP(CONCATENATE(BJ$4,$C131),'INSER DATA'!$A:$F,7,0),"")</f>
        <v/>
      </c>
      <c r="BK131" s="270" t="str">
        <f>_xlfn.IFNA(VLOOKUP(CONCATENATE(BK$4,$C131),'INSER DATA'!$A:$F,7,0),"")</f>
        <v/>
      </c>
      <c r="BL131" s="272"/>
      <c r="BM131" s="30"/>
      <c r="BN131" s="30"/>
      <c r="BO131" s="30"/>
      <c r="BP131" s="30"/>
      <c r="BQ131" s="30"/>
      <c r="BR131" s="30"/>
      <c r="BS131" s="30"/>
      <c r="BT131" s="30"/>
      <c r="BU131" s="30"/>
      <c r="BV131" s="30"/>
      <c r="BW131" s="30"/>
      <c r="BX131" s="30"/>
      <c r="BY131" s="30"/>
      <c r="BZ131" s="30"/>
      <c r="CA131" s="30"/>
      <c r="CB131" s="30"/>
      <c r="CC131" s="30"/>
      <c r="CD131" s="30"/>
      <c r="CE131" s="30"/>
      <c r="CF131" s="30"/>
      <c r="CG131" s="30"/>
      <c r="CH131" s="30"/>
      <c r="CI131" s="30"/>
      <c r="CJ131" s="30"/>
      <c r="CK131" s="30"/>
      <c r="CL131" s="30"/>
      <c r="CM131" s="30"/>
      <c r="CN131" s="30"/>
      <c r="CO131" s="30"/>
      <c r="CP131" s="30"/>
      <c r="CQ131" s="30"/>
      <c r="CR131" s="30"/>
      <c r="CS131" s="30"/>
      <c r="CT131" s="30"/>
      <c r="CU131" s="30"/>
      <c r="CV131" s="30"/>
      <c r="CW131" s="30"/>
      <c r="CX131" s="30"/>
      <c r="CY131" s="30"/>
      <c r="CZ131" s="30"/>
      <c r="DA131" s="30"/>
    </row>
    <row r="132" spans="1:105" ht="19.2" thickTop="1" thickBot="1" x14ac:dyDescent="0.4">
      <c r="A132" s="30"/>
      <c r="B132" s="30"/>
      <c r="C132" s="354" t="s">
        <v>747</v>
      </c>
      <c r="D132" s="357" t="s">
        <v>721</v>
      </c>
      <c r="E132" s="35" t="str">
        <f>_xlfn.XLOOKUP(Tabella4[[#This Row],[NOME]],'ROSE SQUADRE'!$N$3:$N$253,'ROSE SQUADRE'!$O$3:$O$253,"")</f>
        <v>PARTIZAN DEGRADO</v>
      </c>
      <c r="F132" s="36" t="s">
        <v>163</v>
      </c>
      <c r="G132" s="43">
        <v>7</v>
      </c>
      <c r="H132" s="43">
        <v>7</v>
      </c>
      <c r="I132" s="44">
        <f t="shared" si="7"/>
        <v>0</v>
      </c>
      <c r="J132" s="37">
        <f t="shared" si="8"/>
        <v>4</v>
      </c>
      <c r="K132" s="38">
        <f t="shared" si="9"/>
        <v>6.875</v>
      </c>
      <c r="L132" s="38">
        <f t="shared" si="10"/>
        <v>8.875</v>
      </c>
      <c r="M132" s="39">
        <f t="shared" si="11"/>
        <v>35.5</v>
      </c>
      <c r="N132" s="45">
        <f t="shared" ca="1" si="12"/>
        <v>0</v>
      </c>
      <c r="O132" s="40">
        <f>SUMIF(Tabella1[Nome],Tabella4[[#This Row],[NOME]],Tabella1[Gf])</f>
        <v>2</v>
      </c>
      <c r="P132" s="40">
        <f>-(SUMIF(Tabella1[Nome],Tabella4[[#This Row],[NOME]],Tabella1[Gs]))</f>
        <v>0</v>
      </c>
      <c r="Q132" s="40">
        <f>SUMIF(Tabella1[Nome],Tabella4[[#This Row],[NOME]],Tabella1[Rp])</f>
        <v>0</v>
      </c>
      <c r="R132" s="40">
        <f>SUMIF(Tabella1[Nome],Tabella4[[#This Row],[NOME]],Tabella1[Rs])</f>
        <v>0</v>
      </c>
      <c r="S132" s="40">
        <f>SUMIF(Tabella1[Nome],Tabella4[[#This Row],[NOME]],Tabella1[Rf])</f>
        <v>0</v>
      </c>
      <c r="T132" s="40">
        <f>SUMIF(Tabella1[Nome],Tabella4[[#This Row],[NOME]],Tabella1[Au])</f>
        <v>0</v>
      </c>
      <c r="U132" s="41">
        <f>SUMIF(Tabella1[Nome],Tabella4[[#This Row],[NOME]],Tabella1[Amm])</f>
        <v>0</v>
      </c>
      <c r="V132" s="42">
        <f>SUMIF(Tabella1[Nome],Tabella4[[#This Row],[NOME]],Tabella1[Esp])</f>
        <v>0</v>
      </c>
      <c r="W132" s="40">
        <f>SUMIF(Tabella1[Nome],Tabella4[[#This Row],[NOME]],Tabella1[Ass])</f>
        <v>1</v>
      </c>
      <c r="X132" s="40">
        <f>SUMIF(Tabella1[Nome],Tabella4[[#This Row],[NOME]],Tabella1[Gdv])</f>
        <v>1</v>
      </c>
      <c r="Y132" s="40">
        <f>SUMIF(Tabella1[Nome],Tabella4[[#This Row],[NOME]],Tabella1[cl sh])</f>
        <v>0</v>
      </c>
      <c r="Z132" s="270">
        <f>_xlfn.IFNA(_xlfn.XLOOKUP(CONCATENATE(Z$4,$C132),Tabella1[CONC X VOTI IN TAB GIOC],Tabella1[Voto],""),"")</f>
        <v>6</v>
      </c>
      <c r="AA132" s="270">
        <f>_xlfn.IFNA(_xlfn.XLOOKUP(CONCATENATE(AA$4,$C132),Tabella1[CONC X VOTI IN TAB GIOC],Tabella1[Voto],""),"")</f>
        <v>7.5</v>
      </c>
      <c r="AB132" s="270">
        <f>_xlfn.IFNA(_xlfn.XLOOKUP(CONCATENATE(AB$4,$C132),Tabella1[CONC X VOTI IN TAB GIOC],Tabella1[Voto]),"")</f>
        <v>7</v>
      </c>
      <c r="AC132" s="270" cm="1">
        <f t="array" ref="AC132">_xlfn.IFNA(_xlfn.XLOOKUP(CONCATENATE(AC$4,$C132),INDEX(Tabella1[],0,MATCH("CONC X VOTI IN TAB GIOC",Tabella1[#Headers],0)),INDEX(Tabella1[],0,MATCH("Voto",Tabella1[#Headers],0))),"")</f>
        <v>7</v>
      </c>
      <c r="AD132" s="270" t="str">
        <f>_xlfn.IFNA(_xlfn.XLOOKUP(CONCATENATE(AD$4,$C132),Tabella1[CONC X VOTI IN TAB GIOC],Tabella1[Voto]),"")</f>
        <v/>
      </c>
      <c r="AE132" s="270" t="str">
        <f>_xlfn.IFNA(VLOOKUP(CONCATENATE(AE$4,$C132),'INSER DATA'!$A:$F,6,0),"")</f>
        <v/>
      </c>
      <c r="AF132" s="270" t="str">
        <f>_xlfn.IFNA(VLOOKUP(CONCATENATE(AF$4,$C132),'INSER DATA'!$A:$F,6,0),"")</f>
        <v/>
      </c>
      <c r="AG132" s="270" t="str">
        <f>_xlfn.IFNA(VLOOKUP(CONCATENATE(AG$4,$C132),'INSER DATA'!$A:$F,6,0),"")</f>
        <v/>
      </c>
      <c r="AH132" s="270" t="str">
        <f>_xlfn.IFNA(VLOOKUP(CONCATENATE(AH$4,$C132),'INSER DATA'!$A:$F,7,0),"")</f>
        <v/>
      </c>
      <c r="AI132" s="270" t="str">
        <f>_xlfn.IFNA(VLOOKUP(CONCATENATE(AI$4,$C132),'INSER DATA'!$A:$F,7,0),"")</f>
        <v/>
      </c>
      <c r="AJ132" s="270" t="str">
        <f>_xlfn.IFNA(VLOOKUP(CONCATENATE(AJ$4,$C132),'INSER DATA'!$A:$F,7,0),"")</f>
        <v/>
      </c>
      <c r="AK132" s="270" t="str">
        <f>_xlfn.IFNA(VLOOKUP(CONCATENATE(AK$4,$C132),'INSER DATA'!$A:$F,7,0),"")</f>
        <v/>
      </c>
      <c r="AL132" s="270" t="str">
        <f>_xlfn.IFNA(VLOOKUP(CONCATENATE(AL$4,$C132),'INSER DATA'!$A:$F,7,0),"")</f>
        <v/>
      </c>
      <c r="AM132" s="270" t="str">
        <f>_xlfn.IFNA(VLOOKUP(CONCATENATE(AM$4,$C132),'INSER DATA'!$A:$F,7,0),"")</f>
        <v/>
      </c>
      <c r="AN132" s="270" t="str">
        <f>_xlfn.IFNA(VLOOKUP(CONCATENATE(AN$4,$C132),'INSER DATA'!$A:$F,7,0),"")</f>
        <v/>
      </c>
      <c r="AO132" s="270" t="str">
        <f>_xlfn.IFNA(VLOOKUP(CONCATENATE(AO$4,$C132),'INSER DATA'!$A:$F,7,0),"")</f>
        <v/>
      </c>
      <c r="AP132" s="270" t="str">
        <f>_xlfn.IFNA(VLOOKUP(CONCATENATE(AP$4,$C132),'INSER DATA'!$A:$F,7,0),"")</f>
        <v/>
      </c>
      <c r="AQ132" s="270" t="str">
        <f>_xlfn.IFNA(VLOOKUP(CONCATENATE(AQ$4,$C132),'INSER DATA'!$A:$F,7,0),"")</f>
        <v/>
      </c>
      <c r="AR132" s="270" t="str">
        <f>_xlfn.IFNA(VLOOKUP(CONCATENATE(AR$4,$C132),'INSER DATA'!$A:$F,7,0),"")</f>
        <v/>
      </c>
      <c r="AS132" s="270" t="str">
        <f>_xlfn.IFNA(VLOOKUP(CONCATENATE(AS$4,$C132),'INSER DATA'!$A:$F,7,0),"")</f>
        <v/>
      </c>
      <c r="AT132" s="270" t="str">
        <f>_xlfn.IFNA(VLOOKUP(CONCATENATE(AT$4,$C132),'INSER DATA'!$A:$F,7,0),"")</f>
        <v/>
      </c>
      <c r="AU132" s="270" t="str">
        <f>_xlfn.IFNA(VLOOKUP(CONCATENATE(AU$4,$C132),'INSER DATA'!$A:$F,7,0),"")</f>
        <v/>
      </c>
      <c r="AV132" s="270" t="str">
        <f>_xlfn.IFNA(VLOOKUP(CONCATENATE(AV$4,$C132),'INSER DATA'!$A:$F,7,0),"")</f>
        <v/>
      </c>
      <c r="AW132" s="270" t="str">
        <f>_xlfn.IFNA(VLOOKUP(CONCATENATE(AW$4,$C132),'INSER DATA'!$A:$F,7,0),"")</f>
        <v/>
      </c>
      <c r="AX132" s="270" t="str">
        <f>_xlfn.IFNA(VLOOKUP(CONCATENATE(AX$4,$C132),'INSER DATA'!$A:$F,7,0),"")</f>
        <v/>
      </c>
      <c r="AY132" s="270" t="str">
        <f>_xlfn.IFNA(VLOOKUP(CONCATENATE(AY$4,$C132),'INSER DATA'!$A:$F,7,0),"")</f>
        <v/>
      </c>
      <c r="AZ132" s="270" t="str">
        <f>_xlfn.IFNA(VLOOKUP(CONCATENATE(AZ$4,$C132),'INSER DATA'!$A:$F,7,0),"")</f>
        <v/>
      </c>
      <c r="BA132" s="270" t="str">
        <f>_xlfn.IFNA(VLOOKUP(CONCATENATE(BA$4,$C132),'INSER DATA'!$A:$F,7,0),"")</f>
        <v/>
      </c>
      <c r="BB132" s="270" t="str">
        <f>_xlfn.IFNA(VLOOKUP(CONCATENATE(BB$4,$C132),'INSER DATA'!$A:$F,7,0),"")</f>
        <v/>
      </c>
      <c r="BC132" s="270" t="str">
        <f>_xlfn.IFNA(VLOOKUP(CONCATENATE(BC$4,$C132),'INSER DATA'!$A:$F,7,0),"")</f>
        <v/>
      </c>
      <c r="BD132" s="270" t="str">
        <f>_xlfn.IFNA(VLOOKUP(CONCATENATE(BD$4,$C132),'INSER DATA'!$A:$F,7,0),"")</f>
        <v/>
      </c>
      <c r="BE132" s="270" t="str">
        <f>_xlfn.IFNA(VLOOKUP(CONCATENATE(BE$4,$C132),'INSER DATA'!$A:$F,7,0),"")</f>
        <v/>
      </c>
      <c r="BF132" s="270" t="str">
        <f>_xlfn.IFNA(VLOOKUP(CONCATENATE(BF$4,$C132),'INSER DATA'!$A:$F,7,0),"")</f>
        <v/>
      </c>
      <c r="BG132" s="270" t="str">
        <f>_xlfn.IFNA(VLOOKUP(CONCATENATE(BG$4,$C132),'INSER DATA'!$A:$F,7,0),"")</f>
        <v/>
      </c>
      <c r="BH132" s="270" t="str">
        <f>_xlfn.IFNA(VLOOKUP(CONCATENATE(BH$4,$C132),'INSER DATA'!$A:$F,7,0),"")</f>
        <v/>
      </c>
      <c r="BI132" s="270" t="str">
        <f>_xlfn.IFNA(VLOOKUP(CONCATENATE(BI$4,$C132),'INSER DATA'!$A:$F,7,0),"")</f>
        <v/>
      </c>
      <c r="BJ132" s="270" t="str">
        <f>_xlfn.IFNA(VLOOKUP(CONCATENATE(BJ$4,$C132),'INSER DATA'!$A:$F,7,0),"")</f>
        <v/>
      </c>
      <c r="BK132" s="270" t="str">
        <f>_xlfn.IFNA(VLOOKUP(CONCATENATE(BK$4,$C132),'INSER DATA'!$A:$F,7,0),"")</f>
        <v/>
      </c>
      <c r="BL132" s="272"/>
      <c r="BM132" s="30"/>
      <c r="BN132" s="30"/>
      <c r="BO132" s="30"/>
      <c r="BP132" s="30"/>
      <c r="BQ132" s="30"/>
      <c r="BR132" s="30"/>
      <c r="BS132" s="30"/>
      <c r="BT132" s="30"/>
      <c r="BU132" s="30"/>
      <c r="BV132" s="30"/>
      <c r="BW132" s="30"/>
      <c r="BX132" s="30"/>
      <c r="BY132" s="30"/>
      <c r="BZ132" s="30"/>
      <c r="CA132" s="30"/>
      <c r="CB132" s="30"/>
      <c r="CC132" s="30"/>
      <c r="CD132" s="30"/>
      <c r="CE132" s="30"/>
      <c r="CF132" s="30"/>
      <c r="CG132" s="30"/>
      <c r="CH132" s="30"/>
      <c r="CI132" s="30"/>
      <c r="CJ132" s="30"/>
      <c r="CK132" s="30"/>
      <c r="CL132" s="30"/>
      <c r="CM132" s="30"/>
      <c r="CN132" s="30"/>
      <c r="CO132" s="30"/>
      <c r="CP132" s="30"/>
      <c r="CQ132" s="30"/>
      <c r="CR132" s="30"/>
      <c r="CS132" s="30"/>
      <c r="CT132" s="30"/>
      <c r="CU132" s="30"/>
      <c r="CV132" s="30"/>
      <c r="CW132" s="30"/>
      <c r="CX132" s="30"/>
      <c r="CY132" s="30"/>
      <c r="CZ132" s="30"/>
      <c r="DA132" s="30"/>
    </row>
    <row r="133" spans="1:105" ht="19.2" thickTop="1" thickBot="1" x14ac:dyDescent="0.4">
      <c r="A133" s="30"/>
      <c r="B133" s="30"/>
      <c r="C133" s="354" t="s">
        <v>591</v>
      </c>
      <c r="D133" s="357" t="s">
        <v>721</v>
      </c>
      <c r="E133" s="35" t="str">
        <f>_xlfn.XLOOKUP(Tabella4[[#This Row],[NOME]],'ROSE SQUADRE'!$N$3:$N$253,'ROSE SQUADRE'!$O$3:$O$253,"")</f>
        <v>SESTO ASENSIO</v>
      </c>
      <c r="F133" s="36" t="s">
        <v>163</v>
      </c>
      <c r="G133" s="43">
        <v>4</v>
      </c>
      <c r="H133" s="43">
        <v>4</v>
      </c>
      <c r="I133" s="44">
        <f t="shared" ref="I133:I196" si="13">SUM(H133-G133)</f>
        <v>0</v>
      </c>
      <c r="J133" s="37">
        <f t="shared" ref="J133:J196" si="14">COUNT(Z133:CJ133)</f>
        <v>4</v>
      </c>
      <c r="K133" s="38">
        <f t="shared" ref="K133:K196" si="15">IF(J133=0,0,AVERAGE(Z133:CJ133))</f>
        <v>6.75</v>
      </c>
      <c r="L133" s="38">
        <f t="shared" ref="L133:L196" si="16">IF(J133=0,0,M133/J133)</f>
        <v>9.875</v>
      </c>
      <c r="M133" s="39">
        <f t="shared" ref="M133:M196" si="17">SUM(Z133:CJ133)+(O133*3)+P133+(Q133*3)-(R133*3)-(T133*2)-(U133/2)-V133+W133+X133+Y133</f>
        <v>39.5</v>
      </c>
      <c r="N133" s="45">
        <f t="shared" ca="1" si="12"/>
        <v>0</v>
      </c>
      <c r="O133" s="40">
        <f>SUMIF(Tabella1[Nome],Tabella4[[#This Row],[NOME]],Tabella1[Gf])</f>
        <v>4</v>
      </c>
      <c r="P133" s="40">
        <f>-(SUMIF(Tabella1[Nome],Tabella4[[#This Row],[NOME]],Tabella1[Gs]))</f>
        <v>0</v>
      </c>
      <c r="Q133" s="40">
        <f>SUMIF(Tabella1[Nome],Tabella4[[#This Row],[NOME]],Tabella1[Rp])</f>
        <v>0</v>
      </c>
      <c r="R133" s="40">
        <f>SUMIF(Tabella1[Nome],Tabella4[[#This Row],[NOME]],Tabella1[Rs])</f>
        <v>0</v>
      </c>
      <c r="S133" s="40">
        <f>SUMIF(Tabella1[Nome],Tabella4[[#This Row],[NOME]],Tabella1[Rf])</f>
        <v>0</v>
      </c>
      <c r="T133" s="40">
        <f>SUMIF(Tabella1[Nome],Tabella4[[#This Row],[NOME]],Tabella1[Au])</f>
        <v>0</v>
      </c>
      <c r="U133" s="41">
        <f>SUMIF(Tabella1[Nome],Tabella4[[#This Row],[NOME]],Tabella1[Amm])</f>
        <v>1</v>
      </c>
      <c r="V133" s="42">
        <f>SUMIF(Tabella1[Nome],Tabella4[[#This Row],[NOME]],Tabella1[Esp])</f>
        <v>0</v>
      </c>
      <c r="W133" s="40">
        <f>SUMIF(Tabella1[Nome],Tabella4[[#This Row],[NOME]],Tabella1[Ass])</f>
        <v>0</v>
      </c>
      <c r="X133" s="40">
        <f>SUMIF(Tabella1[Nome],Tabella4[[#This Row],[NOME]],Tabella1[Gdv])</f>
        <v>1</v>
      </c>
      <c r="Y133" s="40">
        <f>SUMIF(Tabella1[Nome],Tabella4[[#This Row],[NOME]],Tabella1[cl sh])</f>
        <v>0</v>
      </c>
      <c r="Z133" s="270">
        <f>_xlfn.IFNA(_xlfn.XLOOKUP(CONCATENATE(Z$4,$C133),Tabella1[CONC X VOTI IN TAB GIOC],Tabella1[Voto],""),"")</f>
        <v>5.5</v>
      </c>
      <c r="AA133" s="270">
        <f>_xlfn.IFNA(_xlfn.XLOOKUP(CONCATENATE(AA$4,$C133),Tabella1[CONC X VOTI IN TAB GIOC],Tabella1[Voto],""),"")</f>
        <v>8</v>
      </c>
      <c r="AB133" s="270">
        <f>_xlfn.IFNA(_xlfn.XLOOKUP(CONCATENATE(AB$4,$C133),Tabella1[CONC X VOTI IN TAB GIOC],Tabella1[Voto]),"")</f>
        <v>7.5</v>
      </c>
      <c r="AC133" s="270" cm="1">
        <f t="array" ref="AC133">_xlfn.IFNA(_xlfn.XLOOKUP(CONCATENATE(AC$4,$C133),INDEX(Tabella1[],0,MATCH("CONC X VOTI IN TAB GIOC",Tabella1[#Headers],0)),INDEX(Tabella1[],0,MATCH("Voto",Tabella1[#Headers],0))),"")</f>
        <v>6</v>
      </c>
      <c r="AD133" s="270" t="str">
        <f>_xlfn.IFNA(_xlfn.XLOOKUP(CONCATENATE(AD$4,$C133),Tabella1[CONC X VOTI IN TAB GIOC],Tabella1[Voto]),"")</f>
        <v/>
      </c>
      <c r="AE133" s="270" t="str">
        <f>_xlfn.IFNA(VLOOKUP(CONCATENATE(AE$4,$C133),'INSER DATA'!$A:$F,6,0),"")</f>
        <v/>
      </c>
      <c r="AF133" s="270" t="str">
        <f>_xlfn.IFNA(VLOOKUP(CONCATENATE(AF$4,$C133),'INSER DATA'!$A:$F,6,0),"")</f>
        <v/>
      </c>
      <c r="AG133" s="270" t="str">
        <f>_xlfn.IFNA(VLOOKUP(CONCATENATE(AG$4,$C133),'INSER DATA'!$A:$F,6,0),"")</f>
        <v/>
      </c>
      <c r="AH133" s="270" t="str">
        <f>_xlfn.IFNA(VLOOKUP(CONCATENATE(AH$4,$C133),'INSER DATA'!$A:$F,7,0),"")</f>
        <v/>
      </c>
      <c r="AI133" s="270" t="str">
        <f>_xlfn.IFNA(VLOOKUP(CONCATENATE(AI$4,$C133),'INSER DATA'!$A:$F,7,0),"")</f>
        <v/>
      </c>
      <c r="AJ133" s="270" t="str">
        <f>_xlfn.IFNA(VLOOKUP(CONCATENATE(AJ$4,$C133),'INSER DATA'!$A:$F,7,0),"")</f>
        <v/>
      </c>
      <c r="AK133" s="270" t="str">
        <f>_xlfn.IFNA(VLOOKUP(CONCATENATE(AK$4,$C133),'INSER DATA'!$A:$F,7,0),"")</f>
        <v/>
      </c>
      <c r="AL133" s="270" t="str">
        <f>_xlfn.IFNA(VLOOKUP(CONCATENATE(AL$4,$C133),'INSER DATA'!$A:$F,7,0),"")</f>
        <v/>
      </c>
      <c r="AM133" s="270" t="str">
        <f>_xlfn.IFNA(VLOOKUP(CONCATENATE(AM$4,$C133),'INSER DATA'!$A:$F,7,0),"")</f>
        <v/>
      </c>
      <c r="AN133" s="270" t="str">
        <f>_xlfn.IFNA(VLOOKUP(CONCATENATE(AN$4,$C133),'INSER DATA'!$A:$F,7,0),"")</f>
        <v/>
      </c>
      <c r="AO133" s="270" t="str">
        <f>_xlfn.IFNA(VLOOKUP(CONCATENATE(AO$4,$C133),'INSER DATA'!$A:$F,7,0),"")</f>
        <v/>
      </c>
      <c r="AP133" s="270" t="str">
        <f>_xlfn.IFNA(VLOOKUP(CONCATENATE(AP$4,$C133),'INSER DATA'!$A:$F,7,0),"")</f>
        <v/>
      </c>
      <c r="AQ133" s="270" t="str">
        <f>_xlfn.IFNA(VLOOKUP(CONCATENATE(AQ$4,$C133),'INSER DATA'!$A:$F,7,0),"")</f>
        <v/>
      </c>
      <c r="AR133" s="270" t="str">
        <f>_xlfn.IFNA(VLOOKUP(CONCATENATE(AR$4,$C133),'INSER DATA'!$A:$F,7,0),"")</f>
        <v/>
      </c>
      <c r="AS133" s="270" t="str">
        <f>_xlfn.IFNA(VLOOKUP(CONCATENATE(AS$4,$C133),'INSER DATA'!$A:$F,7,0),"")</f>
        <v/>
      </c>
      <c r="AT133" s="270" t="str">
        <f>_xlfn.IFNA(VLOOKUP(CONCATENATE(AT$4,$C133),'INSER DATA'!$A:$F,7,0),"")</f>
        <v/>
      </c>
      <c r="AU133" s="270" t="str">
        <f>_xlfn.IFNA(VLOOKUP(CONCATENATE(AU$4,$C133),'INSER DATA'!$A:$F,7,0),"")</f>
        <v/>
      </c>
      <c r="AV133" s="270" t="str">
        <f>_xlfn.IFNA(VLOOKUP(CONCATENATE(AV$4,$C133),'INSER DATA'!$A:$F,7,0),"")</f>
        <v/>
      </c>
      <c r="AW133" s="270" t="str">
        <f>_xlfn.IFNA(VLOOKUP(CONCATENATE(AW$4,$C133),'INSER DATA'!$A:$F,7,0),"")</f>
        <v/>
      </c>
      <c r="AX133" s="270" t="str">
        <f>_xlfn.IFNA(VLOOKUP(CONCATENATE(AX$4,$C133),'INSER DATA'!$A:$F,7,0),"")</f>
        <v/>
      </c>
      <c r="AY133" s="270" t="str">
        <f>_xlfn.IFNA(VLOOKUP(CONCATENATE(AY$4,$C133),'INSER DATA'!$A:$F,7,0),"")</f>
        <v/>
      </c>
      <c r="AZ133" s="270" t="str">
        <f>_xlfn.IFNA(VLOOKUP(CONCATENATE(AZ$4,$C133),'INSER DATA'!$A:$F,7,0),"")</f>
        <v/>
      </c>
      <c r="BA133" s="270" t="str">
        <f>_xlfn.IFNA(VLOOKUP(CONCATENATE(BA$4,$C133),'INSER DATA'!$A:$F,7,0),"")</f>
        <v/>
      </c>
      <c r="BB133" s="270" t="str">
        <f>_xlfn.IFNA(VLOOKUP(CONCATENATE(BB$4,$C133),'INSER DATA'!$A:$F,7,0),"")</f>
        <v/>
      </c>
      <c r="BC133" s="270" t="str">
        <f>_xlfn.IFNA(VLOOKUP(CONCATENATE(BC$4,$C133),'INSER DATA'!$A:$F,7,0),"")</f>
        <v/>
      </c>
      <c r="BD133" s="270" t="str">
        <f>_xlfn.IFNA(VLOOKUP(CONCATENATE(BD$4,$C133),'INSER DATA'!$A:$F,7,0),"")</f>
        <v/>
      </c>
      <c r="BE133" s="270" t="str">
        <f>_xlfn.IFNA(VLOOKUP(CONCATENATE(BE$4,$C133),'INSER DATA'!$A:$F,7,0),"")</f>
        <v/>
      </c>
      <c r="BF133" s="270" t="str">
        <f>_xlfn.IFNA(VLOOKUP(CONCATENATE(BF$4,$C133),'INSER DATA'!$A:$F,7,0),"")</f>
        <v/>
      </c>
      <c r="BG133" s="270" t="str">
        <f>_xlfn.IFNA(VLOOKUP(CONCATENATE(BG$4,$C133),'INSER DATA'!$A:$F,7,0),"")</f>
        <v/>
      </c>
      <c r="BH133" s="270" t="str">
        <f>_xlfn.IFNA(VLOOKUP(CONCATENATE(BH$4,$C133),'INSER DATA'!$A:$F,7,0),"")</f>
        <v/>
      </c>
      <c r="BI133" s="270" t="str">
        <f>_xlfn.IFNA(VLOOKUP(CONCATENATE(BI$4,$C133),'INSER DATA'!$A:$F,7,0),"")</f>
        <v/>
      </c>
      <c r="BJ133" s="270" t="str">
        <f>_xlfn.IFNA(VLOOKUP(CONCATENATE(BJ$4,$C133),'INSER DATA'!$A:$F,7,0),"")</f>
        <v/>
      </c>
      <c r="BK133" s="270" t="str">
        <f>_xlfn.IFNA(VLOOKUP(CONCATENATE(BK$4,$C133),'INSER DATA'!$A:$F,7,0),"")</f>
        <v/>
      </c>
      <c r="BL133" s="272"/>
      <c r="BM133" s="30"/>
      <c r="BN133" s="30"/>
      <c r="BO133" s="30"/>
      <c r="BP133" s="30"/>
      <c r="BQ133" s="30"/>
      <c r="BR133" s="30"/>
      <c r="BS133" s="30"/>
      <c r="BT133" s="30"/>
      <c r="BU133" s="30"/>
      <c r="BV133" s="30"/>
      <c r="BW133" s="30"/>
      <c r="BX133" s="30"/>
      <c r="BY133" s="30"/>
      <c r="BZ133" s="30"/>
      <c r="CA133" s="30"/>
      <c r="CB133" s="30"/>
      <c r="CC133" s="30"/>
      <c r="CD133" s="30"/>
      <c r="CE133" s="30"/>
      <c r="CF133" s="30"/>
      <c r="CG133" s="30"/>
      <c r="CH133" s="30"/>
      <c r="CI133" s="30"/>
      <c r="CJ133" s="30"/>
      <c r="CK133" s="30"/>
      <c r="CL133" s="30"/>
      <c r="CM133" s="30"/>
      <c r="CN133" s="30"/>
      <c r="CO133" s="30"/>
      <c r="CP133" s="30"/>
      <c r="CQ133" s="30"/>
      <c r="CR133" s="30"/>
      <c r="CS133" s="30"/>
      <c r="CT133" s="30"/>
      <c r="CU133" s="30"/>
      <c r="CV133" s="30"/>
      <c r="CW133" s="30"/>
      <c r="CX133" s="30"/>
      <c r="CY133" s="30"/>
      <c r="CZ133" s="30"/>
      <c r="DA133" s="30"/>
    </row>
    <row r="134" spans="1:105" ht="19.2" thickTop="1" thickBot="1" x14ac:dyDescent="0.4">
      <c r="A134" s="30"/>
      <c r="B134" s="30"/>
      <c r="C134" s="188" t="s">
        <v>728</v>
      </c>
      <c r="D134" s="46" t="s">
        <v>721</v>
      </c>
      <c r="E134" s="35" t="str">
        <f>_xlfn.XLOOKUP(Tabella4[[#This Row],[NOME]],'ROSE SQUADRE'!$N$3:$N$253,'ROSE SQUADRE'!$O$3:$O$253,"")</f>
        <v/>
      </c>
      <c r="F134" s="36" t="s">
        <v>161</v>
      </c>
      <c r="G134" s="43">
        <v>4</v>
      </c>
      <c r="H134" s="43">
        <v>4</v>
      </c>
      <c r="I134" s="44">
        <f t="shared" si="13"/>
        <v>0</v>
      </c>
      <c r="J134" s="37">
        <f t="shared" si="14"/>
        <v>4</v>
      </c>
      <c r="K134" s="178">
        <f t="shared" si="15"/>
        <v>6.375</v>
      </c>
      <c r="L134" s="178">
        <f t="shared" si="16"/>
        <v>6.125</v>
      </c>
      <c r="M134" s="179">
        <f t="shared" si="17"/>
        <v>24.5</v>
      </c>
      <c r="N134" s="45">
        <f t="shared" ca="1" si="12"/>
        <v>0</v>
      </c>
      <c r="O134" s="40">
        <f>SUMIF(Tabella1[Nome],Tabella4[[#This Row],[NOME]],Tabella1[Gf])</f>
        <v>0</v>
      </c>
      <c r="P134" s="40">
        <f>-(SUMIF(Tabella1[Nome],Tabella4[[#This Row],[NOME]],Tabella1[Gs]))</f>
        <v>0</v>
      </c>
      <c r="Q134" s="40">
        <f>SUMIF(Tabella1[Nome],Tabella4[[#This Row],[NOME]],Tabella1[Rp])</f>
        <v>0</v>
      </c>
      <c r="R134" s="40">
        <f>SUMIF(Tabella1[Nome],Tabella4[[#This Row],[NOME]],Tabella1[Rs])</f>
        <v>0</v>
      </c>
      <c r="S134" s="40">
        <f>SUMIF(Tabella1[Nome],Tabella4[[#This Row],[NOME]],Tabella1[Rf])</f>
        <v>0</v>
      </c>
      <c r="T134" s="40">
        <f>SUMIF(Tabella1[Nome],Tabella4[[#This Row],[NOME]],Tabella1[Au])</f>
        <v>0</v>
      </c>
      <c r="U134" s="41">
        <f>SUMIF(Tabella1[Nome],Tabella4[[#This Row],[NOME]],Tabella1[Amm])</f>
        <v>2</v>
      </c>
      <c r="V134" s="42">
        <f>SUMIF(Tabella1[Nome],Tabella4[[#This Row],[NOME]],Tabella1[Esp])</f>
        <v>0</v>
      </c>
      <c r="W134" s="40">
        <f>SUMIF(Tabella1[Nome],Tabella4[[#This Row],[NOME]],Tabella1[Ass])</f>
        <v>0</v>
      </c>
      <c r="X134" s="40">
        <f>SUMIF(Tabella1[Nome],Tabella4[[#This Row],[NOME]],Tabella1[Gdv])</f>
        <v>0</v>
      </c>
      <c r="Y134" s="40">
        <f>SUMIF(Tabella1[Nome],Tabella4[[#This Row],[NOME]],Tabella1[cl sh])</f>
        <v>0</v>
      </c>
      <c r="Z134" s="270">
        <f>_xlfn.IFNA(_xlfn.XLOOKUP(CONCATENATE(Z$4,$C134),Tabella1[CONC X VOTI IN TAB GIOC],Tabella1[Voto],""),"")</f>
        <v>6.5</v>
      </c>
      <c r="AA134" s="270">
        <f>_xlfn.IFNA(_xlfn.XLOOKUP(CONCATENATE(AA$4,$C134),Tabella1[CONC X VOTI IN TAB GIOC],Tabella1[Voto],""),"")</f>
        <v>6.5</v>
      </c>
      <c r="AB134" s="270">
        <f>_xlfn.IFNA(_xlfn.XLOOKUP(CONCATENATE(AB$4,$C134),Tabella1[CONC X VOTI IN TAB GIOC],Tabella1[Voto]),"")</f>
        <v>6.5</v>
      </c>
      <c r="AC134" s="270" cm="1">
        <f t="array" ref="AC134">_xlfn.IFNA(_xlfn.XLOOKUP(CONCATENATE(AC$4,$C134),INDEX(Tabella1[],0,MATCH("CONC X VOTI IN TAB GIOC",Tabella1[#Headers],0)),INDEX(Tabella1[],0,MATCH("Voto",Tabella1[#Headers],0))),"")</f>
        <v>6</v>
      </c>
      <c r="AD134" s="270" t="str">
        <f>_xlfn.IFNA(_xlfn.XLOOKUP(CONCATENATE(AD$4,$C134),Tabella1[CONC X VOTI IN TAB GIOC],Tabella1[Voto]),"")</f>
        <v/>
      </c>
      <c r="AE134" s="270" t="str">
        <f>_xlfn.IFNA(VLOOKUP(CONCATENATE(AE$4,$C134),'INSER DATA'!$A:$F,6,0),"")</f>
        <v/>
      </c>
      <c r="AF134" s="270" t="str">
        <f>_xlfn.IFNA(VLOOKUP(CONCATENATE(AF$4,$C134),'INSER DATA'!$A:$F,6,0),"")</f>
        <v/>
      </c>
      <c r="AG134" s="270" t="str">
        <f>_xlfn.IFNA(VLOOKUP(CONCATENATE(AG$4,$C134),'INSER DATA'!$A:$F,6,0),"")</f>
        <v/>
      </c>
      <c r="AH134" s="270" t="str">
        <f>_xlfn.IFNA(VLOOKUP(CONCATENATE(AH$4,$C134),'INSER DATA'!$A:$F,7,0),"")</f>
        <v/>
      </c>
      <c r="AI134" s="270" t="str">
        <f>_xlfn.IFNA(VLOOKUP(CONCATENATE(AI$4,$C134),'INSER DATA'!$A:$F,7,0),"")</f>
        <v/>
      </c>
      <c r="AJ134" s="270" t="str">
        <f>_xlfn.IFNA(VLOOKUP(CONCATENATE(AJ$4,$C134),'INSER DATA'!$A:$F,7,0),"")</f>
        <v/>
      </c>
      <c r="AK134" s="270" t="str">
        <f>_xlfn.IFNA(VLOOKUP(CONCATENATE(AK$4,$C134),'INSER DATA'!$A:$F,7,0),"")</f>
        <v/>
      </c>
      <c r="AL134" s="270" t="str">
        <f>_xlfn.IFNA(VLOOKUP(CONCATENATE(AL$4,$C134),'INSER DATA'!$A:$F,7,0),"")</f>
        <v/>
      </c>
      <c r="AM134" s="270" t="str">
        <f>_xlfn.IFNA(VLOOKUP(CONCATENATE(AM$4,$C134),'INSER DATA'!$A:$F,7,0),"")</f>
        <v/>
      </c>
      <c r="AN134" s="270" t="str">
        <f>_xlfn.IFNA(VLOOKUP(CONCATENATE(AN$4,$C134),'INSER DATA'!$A:$F,7,0),"")</f>
        <v/>
      </c>
      <c r="AO134" s="270" t="str">
        <f>_xlfn.IFNA(VLOOKUP(CONCATENATE(AO$4,$C134),'INSER DATA'!$A:$F,7,0),"")</f>
        <v/>
      </c>
      <c r="AP134" s="270" t="str">
        <f>_xlfn.IFNA(VLOOKUP(CONCATENATE(AP$4,$C134),'INSER DATA'!$A:$F,7,0),"")</f>
        <v/>
      </c>
      <c r="AQ134" s="270" t="str">
        <f>_xlfn.IFNA(VLOOKUP(CONCATENATE(AQ$4,$C134),'INSER DATA'!$A:$F,7,0),"")</f>
        <v/>
      </c>
      <c r="AR134" s="270" t="str">
        <f>_xlfn.IFNA(VLOOKUP(CONCATENATE(AR$4,$C134),'INSER DATA'!$A:$F,7,0),"")</f>
        <v/>
      </c>
      <c r="AS134" s="270" t="str">
        <f>_xlfn.IFNA(VLOOKUP(CONCATENATE(AS$4,$C134),'INSER DATA'!$A:$F,7,0),"")</f>
        <v/>
      </c>
      <c r="AT134" s="270" t="str">
        <f>_xlfn.IFNA(VLOOKUP(CONCATENATE(AT$4,$C134),'INSER DATA'!$A:$F,7,0),"")</f>
        <v/>
      </c>
      <c r="AU134" s="270" t="str">
        <f>_xlfn.IFNA(VLOOKUP(CONCATENATE(AU$4,$C134),'INSER DATA'!$A:$F,7,0),"")</f>
        <v/>
      </c>
      <c r="AV134" s="270" t="str">
        <f>_xlfn.IFNA(VLOOKUP(CONCATENATE(AV$4,$C134),'INSER DATA'!$A:$F,7,0),"")</f>
        <v/>
      </c>
      <c r="AW134" s="270" t="str">
        <f>_xlfn.IFNA(VLOOKUP(CONCATENATE(AW$4,$C134),'INSER DATA'!$A:$F,7,0),"")</f>
        <v/>
      </c>
      <c r="AX134" s="270" t="str">
        <f>_xlfn.IFNA(VLOOKUP(CONCATENATE(AX$4,$C134),'INSER DATA'!$A:$F,7,0),"")</f>
        <v/>
      </c>
      <c r="AY134" s="270" t="str">
        <f>_xlfn.IFNA(VLOOKUP(CONCATENATE(AY$4,$C134),'INSER DATA'!$A:$F,7,0),"")</f>
        <v/>
      </c>
      <c r="AZ134" s="270" t="str">
        <f>_xlfn.IFNA(VLOOKUP(CONCATENATE(AZ$4,$C134),'INSER DATA'!$A:$F,7,0),"")</f>
        <v/>
      </c>
      <c r="BA134" s="270" t="str">
        <f>_xlfn.IFNA(VLOOKUP(CONCATENATE(BA$4,$C134),'INSER DATA'!$A:$F,7,0),"")</f>
        <v/>
      </c>
      <c r="BB134" s="270" t="str">
        <f>_xlfn.IFNA(VLOOKUP(CONCATENATE(BB$4,$C134),'INSER DATA'!$A:$F,7,0),"")</f>
        <v/>
      </c>
      <c r="BC134" s="270" t="str">
        <f>_xlfn.IFNA(VLOOKUP(CONCATENATE(BC$4,$C134),'INSER DATA'!$A:$F,7,0),"")</f>
        <v/>
      </c>
      <c r="BD134" s="270" t="str">
        <f>_xlfn.IFNA(VLOOKUP(CONCATENATE(BD$4,$C134),'INSER DATA'!$A:$F,7,0),"")</f>
        <v/>
      </c>
      <c r="BE134" s="270" t="str">
        <f>_xlfn.IFNA(VLOOKUP(CONCATENATE(BE$4,$C134),'INSER DATA'!$A:$F,7,0),"")</f>
        <v/>
      </c>
      <c r="BF134" s="270" t="str">
        <f>_xlfn.IFNA(VLOOKUP(CONCATENATE(BF$4,$C134),'INSER DATA'!$A:$F,7,0),"")</f>
        <v/>
      </c>
      <c r="BG134" s="270" t="str">
        <f>_xlfn.IFNA(VLOOKUP(CONCATENATE(BG$4,$C134),'INSER DATA'!$A:$F,7,0),"")</f>
        <v/>
      </c>
      <c r="BH134" s="270" t="str">
        <f>_xlfn.IFNA(VLOOKUP(CONCATENATE(BH$4,$C134),'INSER DATA'!$A:$F,7,0),"")</f>
        <v/>
      </c>
      <c r="BI134" s="270" t="str">
        <f>_xlfn.IFNA(VLOOKUP(CONCATENATE(BI$4,$C134),'INSER DATA'!$A:$F,7,0),"")</f>
        <v/>
      </c>
      <c r="BJ134" s="270" t="str">
        <f>_xlfn.IFNA(VLOOKUP(CONCATENATE(BJ$4,$C134),'INSER DATA'!$A:$F,7,0),"")</f>
        <v/>
      </c>
      <c r="BK134" s="270" t="str">
        <f>_xlfn.IFNA(VLOOKUP(CONCATENATE(BK$4,$C134),'INSER DATA'!$A:$F,7,0),"")</f>
        <v/>
      </c>
      <c r="BL134" s="272"/>
      <c r="BM134" s="30"/>
      <c r="BN134" s="30"/>
      <c r="BO134" s="30"/>
      <c r="BP134" s="30"/>
      <c r="BQ134" s="30"/>
      <c r="BR134" s="30"/>
      <c r="BS134" s="30"/>
      <c r="BT134" s="30"/>
      <c r="BU134" s="30"/>
      <c r="BV134" s="30"/>
      <c r="BW134" s="30"/>
      <c r="BX134" s="30"/>
      <c r="BY134" s="30"/>
      <c r="BZ134" s="30"/>
      <c r="CA134" s="30"/>
      <c r="CB134" s="30"/>
      <c r="CC134" s="30"/>
      <c r="CD134" s="30"/>
      <c r="CE134" s="30"/>
      <c r="CF134" s="30"/>
      <c r="CG134" s="30"/>
      <c r="CH134" s="30"/>
      <c r="CI134" s="30"/>
      <c r="CJ134" s="30"/>
      <c r="CK134" s="30"/>
      <c r="CL134" s="30"/>
      <c r="CM134" s="30"/>
      <c r="CN134" s="30"/>
      <c r="CO134" s="30"/>
      <c r="CP134" s="30"/>
      <c r="CQ134" s="30"/>
      <c r="CR134" s="30"/>
      <c r="CS134" s="30"/>
      <c r="CT134" s="30"/>
      <c r="CU134" s="30"/>
      <c r="CV134" s="30"/>
      <c r="CW134" s="30"/>
      <c r="CX134" s="30"/>
      <c r="CY134" s="30"/>
      <c r="CZ134" s="30"/>
      <c r="DA134" s="30"/>
    </row>
    <row r="135" spans="1:105" ht="19.2" thickTop="1" thickBot="1" x14ac:dyDescent="0.4">
      <c r="A135" s="30"/>
      <c r="B135" s="30"/>
      <c r="C135" s="358" t="s">
        <v>723</v>
      </c>
      <c r="D135" s="359" t="s">
        <v>721</v>
      </c>
      <c r="E135" s="35" t="str">
        <f>_xlfn.XLOOKUP(Tabella4[[#This Row],[NOME]],'ROSE SQUADRE'!$N$3:$N$253,'ROSE SQUADRE'!$O$3:$O$253,"")</f>
        <v>TRICCHETRACHT</v>
      </c>
      <c r="F135" s="36" t="s">
        <v>5</v>
      </c>
      <c r="G135" s="43">
        <v>4</v>
      </c>
      <c r="H135" s="43">
        <v>5</v>
      </c>
      <c r="I135" s="44">
        <f t="shared" si="13"/>
        <v>1</v>
      </c>
      <c r="J135" s="37">
        <f t="shared" si="14"/>
        <v>4</v>
      </c>
      <c r="K135" s="178">
        <f t="shared" si="15"/>
        <v>6.375</v>
      </c>
      <c r="L135" s="178">
        <f t="shared" si="16"/>
        <v>5.625</v>
      </c>
      <c r="M135" s="179">
        <f t="shared" si="17"/>
        <v>22.5</v>
      </c>
      <c r="N135" s="45">
        <f t="shared" ca="1" si="12"/>
        <v>1</v>
      </c>
      <c r="O135" s="40">
        <f>SUMIF(Tabella1[Nome],Tabella4[[#This Row],[NOME]],Tabella1[Gf])</f>
        <v>0</v>
      </c>
      <c r="P135" s="40">
        <f>-(SUMIF(Tabella1[Nome],Tabella4[[#This Row],[NOME]],Tabella1[Gs]))</f>
        <v>-4</v>
      </c>
      <c r="Q135" s="40">
        <f>SUMIF(Tabella1[Nome],Tabella4[[#This Row],[NOME]],Tabella1[Rp])</f>
        <v>0</v>
      </c>
      <c r="R135" s="40">
        <f>SUMIF(Tabella1[Nome],Tabella4[[#This Row],[NOME]],Tabella1[Rs])</f>
        <v>0</v>
      </c>
      <c r="S135" s="40">
        <f>SUMIF(Tabella1[Nome],Tabella4[[#This Row],[NOME]],Tabella1[Rf])</f>
        <v>0</v>
      </c>
      <c r="T135" s="40">
        <f>SUMIF(Tabella1[Nome],Tabella4[[#This Row],[NOME]],Tabella1[Au])</f>
        <v>0</v>
      </c>
      <c r="U135" s="41">
        <f>SUMIF(Tabella1[Nome],Tabella4[[#This Row],[NOME]],Tabella1[Amm])</f>
        <v>0</v>
      </c>
      <c r="V135" s="42">
        <f>SUMIF(Tabella1[Nome],Tabella4[[#This Row],[NOME]],Tabella1[Esp])</f>
        <v>0</v>
      </c>
      <c r="W135" s="40">
        <f>SUMIF(Tabella1[Nome],Tabella4[[#This Row],[NOME]],Tabella1[Ass])</f>
        <v>0</v>
      </c>
      <c r="X135" s="40">
        <f>SUMIF(Tabella1[Nome],Tabella4[[#This Row],[NOME]],Tabella1[Gdv])</f>
        <v>0</v>
      </c>
      <c r="Y135" s="40">
        <f>SUMIF(Tabella1[Nome],Tabella4[[#This Row],[NOME]],Tabella1[cl sh])</f>
        <v>1</v>
      </c>
      <c r="Z135" s="270">
        <f>_xlfn.IFNA(_xlfn.XLOOKUP(CONCATENATE(Z$4,$C135),Tabella1[CONC X VOTI IN TAB GIOC],Tabella1[Voto],""),"")</f>
        <v>6.5</v>
      </c>
      <c r="AA135" s="270">
        <f>_xlfn.IFNA(_xlfn.XLOOKUP(CONCATENATE(AA$4,$C135),Tabella1[CONC X VOTI IN TAB GIOC],Tabella1[Voto],""),"")</f>
        <v>6</v>
      </c>
      <c r="AB135" s="400">
        <f>_xlfn.IFNA(_xlfn.XLOOKUP(CONCATENATE(AB$4,$C135),Tabella1[CONC X VOTI IN TAB GIOC],Tabella1[Voto]),"")</f>
        <v>6</v>
      </c>
      <c r="AC135" s="270" cm="1">
        <f t="array" ref="AC135">_xlfn.IFNA(_xlfn.XLOOKUP(CONCATENATE(AC$4,$C135),INDEX(Tabella1[],0,MATCH("CONC X VOTI IN TAB GIOC",Tabella1[#Headers],0)),INDEX(Tabella1[],0,MATCH("Voto",Tabella1[#Headers],0))),"")</f>
        <v>7</v>
      </c>
      <c r="AD135" s="270" t="str">
        <f>_xlfn.IFNA(_xlfn.XLOOKUP(CONCATENATE(AD$4,$C135),Tabella1[CONC X VOTI IN TAB GIOC],Tabella1[Voto]),"")</f>
        <v/>
      </c>
      <c r="AE135" s="270" t="str">
        <f>_xlfn.IFNA(VLOOKUP(CONCATENATE(AE$4,$C135),'INSER DATA'!$A:$F,6,0),"")</f>
        <v/>
      </c>
      <c r="AF135" s="270" t="str">
        <f>_xlfn.IFNA(VLOOKUP(CONCATENATE(AF$4,$C135),'INSER DATA'!$A:$F,6,0),"")</f>
        <v/>
      </c>
      <c r="AG135" s="270" t="str">
        <f>_xlfn.IFNA(VLOOKUP(CONCATENATE(AG$4,$C135),'INSER DATA'!$A:$F,6,0),"")</f>
        <v/>
      </c>
      <c r="AH135" s="270" t="str">
        <f>_xlfn.IFNA(VLOOKUP(CONCATENATE(AH$4,$C135),'INSER DATA'!$A:$F,7,0),"")</f>
        <v/>
      </c>
      <c r="AI135" s="270" t="str">
        <f>_xlfn.IFNA(VLOOKUP(CONCATENATE(AI$4,$C135),'INSER DATA'!$A:$F,7,0),"")</f>
        <v/>
      </c>
      <c r="AJ135" s="270" t="str">
        <f>_xlfn.IFNA(VLOOKUP(CONCATENATE(AJ$4,$C135),'INSER DATA'!$A:$F,7,0),"")</f>
        <v/>
      </c>
      <c r="AK135" s="270" t="str">
        <f>_xlfn.IFNA(VLOOKUP(CONCATENATE(AK$4,$C135),'INSER DATA'!$A:$F,7,0),"")</f>
        <v/>
      </c>
      <c r="AL135" s="270" t="str">
        <f>_xlfn.IFNA(VLOOKUP(CONCATENATE(AL$4,$C135),'INSER DATA'!$A:$F,7,0),"")</f>
        <v/>
      </c>
      <c r="AM135" s="270" t="str">
        <f>_xlfn.IFNA(VLOOKUP(CONCATENATE(AM$4,$C135),'INSER DATA'!$A:$F,7,0),"")</f>
        <v/>
      </c>
      <c r="AN135" s="270" t="str">
        <f>_xlfn.IFNA(VLOOKUP(CONCATENATE(AN$4,$C135),'INSER DATA'!$A:$F,7,0),"")</f>
        <v/>
      </c>
      <c r="AO135" s="270" t="str">
        <f>_xlfn.IFNA(VLOOKUP(CONCATENATE(AO$4,$C135),'INSER DATA'!$A:$F,7,0),"")</f>
        <v/>
      </c>
      <c r="AP135" s="270" t="str">
        <f>_xlfn.IFNA(VLOOKUP(CONCATENATE(AP$4,$C135),'INSER DATA'!$A:$F,7,0),"")</f>
        <v/>
      </c>
      <c r="AQ135" s="270" t="str">
        <f>_xlfn.IFNA(VLOOKUP(CONCATENATE(AQ$4,$C135),'INSER DATA'!$A:$F,7,0),"")</f>
        <v/>
      </c>
      <c r="AR135" s="270" t="str">
        <f>_xlfn.IFNA(VLOOKUP(CONCATENATE(AR$4,$C135),'INSER DATA'!$A:$F,7,0),"")</f>
        <v/>
      </c>
      <c r="AS135" s="270" t="str">
        <f>_xlfn.IFNA(VLOOKUP(CONCATENATE(AS$4,$C135),'INSER DATA'!$A:$F,7,0),"")</f>
        <v/>
      </c>
      <c r="AT135" s="270" t="str">
        <f>_xlfn.IFNA(VLOOKUP(CONCATENATE(AT$4,$C135),'INSER DATA'!$A:$F,7,0),"")</f>
        <v/>
      </c>
      <c r="AU135" s="270" t="str">
        <f>_xlfn.IFNA(VLOOKUP(CONCATENATE(AU$4,$C135),'INSER DATA'!$A:$F,7,0),"")</f>
        <v/>
      </c>
      <c r="AV135" s="270" t="str">
        <f>_xlfn.IFNA(VLOOKUP(CONCATENATE(AV$4,$C135),'INSER DATA'!$A:$F,7,0),"")</f>
        <v/>
      </c>
      <c r="AW135" s="270" t="str">
        <f>_xlfn.IFNA(VLOOKUP(CONCATENATE(AW$4,$C135),'INSER DATA'!$A:$F,7,0),"")</f>
        <v/>
      </c>
      <c r="AX135" s="270" t="str">
        <f>_xlfn.IFNA(VLOOKUP(CONCATENATE(AX$4,$C135),'INSER DATA'!$A:$F,7,0),"")</f>
        <v/>
      </c>
      <c r="AY135" s="270" t="str">
        <f>_xlfn.IFNA(VLOOKUP(CONCATENATE(AY$4,$C135),'INSER DATA'!$A:$F,7,0),"")</f>
        <v/>
      </c>
      <c r="AZ135" s="270" t="str">
        <f>_xlfn.IFNA(VLOOKUP(CONCATENATE(AZ$4,$C135),'INSER DATA'!$A:$F,7,0),"")</f>
        <v/>
      </c>
      <c r="BA135" s="270" t="str">
        <f>_xlfn.IFNA(VLOOKUP(CONCATENATE(BA$4,$C135),'INSER DATA'!$A:$F,7,0),"")</f>
        <v/>
      </c>
      <c r="BB135" s="270" t="str">
        <f>_xlfn.IFNA(VLOOKUP(CONCATENATE(BB$4,$C135),'INSER DATA'!$A:$F,7,0),"")</f>
        <v/>
      </c>
      <c r="BC135" s="270" t="str">
        <f>_xlfn.IFNA(VLOOKUP(CONCATENATE(BC$4,$C135),'INSER DATA'!$A:$F,7,0),"")</f>
        <v/>
      </c>
      <c r="BD135" s="270" t="str">
        <f>_xlfn.IFNA(VLOOKUP(CONCATENATE(BD$4,$C135),'INSER DATA'!$A:$F,7,0),"")</f>
        <v/>
      </c>
      <c r="BE135" s="270" t="str">
        <f>_xlfn.IFNA(VLOOKUP(CONCATENATE(BE$4,$C135),'INSER DATA'!$A:$F,7,0),"")</f>
        <v/>
      </c>
      <c r="BF135" s="270" t="str">
        <f>_xlfn.IFNA(VLOOKUP(CONCATENATE(BF$4,$C135),'INSER DATA'!$A:$F,7,0),"")</f>
        <v/>
      </c>
      <c r="BG135" s="270" t="str">
        <f>_xlfn.IFNA(VLOOKUP(CONCATENATE(BG$4,$C135),'INSER DATA'!$A:$F,7,0),"")</f>
        <v/>
      </c>
      <c r="BH135" s="270" t="str">
        <f>_xlfn.IFNA(VLOOKUP(CONCATENATE(BH$4,$C135),'INSER DATA'!$A:$F,7,0),"")</f>
        <v/>
      </c>
      <c r="BI135" s="270" t="str">
        <f>_xlfn.IFNA(VLOOKUP(CONCATENATE(BI$4,$C135),'INSER DATA'!$A:$F,7,0),"")</f>
        <v/>
      </c>
      <c r="BJ135" s="270" t="str">
        <f>_xlfn.IFNA(VLOOKUP(CONCATENATE(BJ$4,$C135),'INSER DATA'!$A:$F,7,0),"")</f>
        <v/>
      </c>
      <c r="BK135" s="270" t="str">
        <f>_xlfn.IFNA(VLOOKUP(CONCATENATE(BK$4,$C135),'INSER DATA'!$A:$F,7,0),"")</f>
        <v/>
      </c>
      <c r="BL135" s="272"/>
      <c r="BM135" s="30"/>
      <c r="BN135" s="30"/>
      <c r="BO135" s="30"/>
      <c r="BP135" s="30"/>
      <c r="BQ135" s="30"/>
      <c r="BR135" s="30"/>
      <c r="BS135" s="30"/>
      <c r="BT135" s="30"/>
      <c r="BU135" s="30"/>
      <c r="BV135" s="30"/>
      <c r="BW135" s="30"/>
      <c r="BX135" s="30"/>
      <c r="BY135" s="30"/>
      <c r="BZ135" s="30"/>
      <c r="CA135" s="30"/>
      <c r="CB135" s="30"/>
      <c r="CC135" s="30"/>
      <c r="CD135" s="30"/>
      <c r="CE135" s="30"/>
      <c r="CF135" s="30"/>
      <c r="CG135" s="30"/>
      <c r="CH135" s="30"/>
      <c r="CI135" s="30"/>
      <c r="CJ135" s="30"/>
      <c r="CK135" s="30"/>
      <c r="CL135" s="30"/>
      <c r="CM135" s="30"/>
      <c r="CN135" s="30"/>
      <c r="CO135" s="30"/>
      <c r="CP135" s="30"/>
      <c r="CQ135" s="30"/>
      <c r="CR135" s="30"/>
      <c r="CS135" s="30"/>
      <c r="CT135" s="30"/>
      <c r="CU135" s="30"/>
      <c r="CV135" s="30"/>
      <c r="CW135" s="30"/>
      <c r="CX135" s="30"/>
      <c r="CY135" s="30"/>
      <c r="CZ135" s="30"/>
      <c r="DA135" s="30"/>
    </row>
    <row r="136" spans="1:105" ht="19.2" thickTop="1" thickBot="1" x14ac:dyDescent="0.4">
      <c r="A136" s="30"/>
      <c r="B136" s="30"/>
      <c r="C136" s="185" t="s">
        <v>732</v>
      </c>
      <c r="D136" s="46" t="s">
        <v>721</v>
      </c>
      <c r="E136" s="35" t="str">
        <f>_xlfn.XLOOKUP(Tabella4[[#This Row],[NOME]],'ROSE SQUADRE'!$N$3:$N$253,'ROSE SQUADRE'!$O$3:$O$253,"")</f>
        <v/>
      </c>
      <c r="F136" s="36" t="s">
        <v>161</v>
      </c>
      <c r="G136" s="43">
        <v>5</v>
      </c>
      <c r="H136" s="43">
        <v>5</v>
      </c>
      <c r="I136" s="44">
        <f t="shared" si="13"/>
        <v>0</v>
      </c>
      <c r="J136" s="37">
        <f t="shared" si="14"/>
        <v>4</v>
      </c>
      <c r="K136" s="38">
        <f t="shared" si="15"/>
        <v>6.375</v>
      </c>
      <c r="L136" s="38">
        <f t="shared" si="16"/>
        <v>6.5</v>
      </c>
      <c r="M136" s="39">
        <f t="shared" si="17"/>
        <v>26</v>
      </c>
      <c r="N136" s="45">
        <f t="shared" ca="1" si="12"/>
        <v>0</v>
      </c>
      <c r="O136" s="40">
        <f>SUMIF(Tabella1[Nome],Tabella4[[#This Row],[NOME]],Tabella1[Gf])</f>
        <v>0</v>
      </c>
      <c r="P136" s="40">
        <f>-(SUMIF(Tabella1[Nome],Tabella4[[#This Row],[NOME]],Tabella1[Gs]))</f>
        <v>0</v>
      </c>
      <c r="Q136" s="40">
        <f>SUMIF(Tabella1[Nome],Tabella4[[#This Row],[NOME]],Tabella1[Rp])</f>
        <v>0</v>
      </c>
      <c r="R136" s="40">
        <f>SUMIF(Tabella1[Nome],Tabella4[[#This Row],[NOME]],Tabella1[Rs])</f>
        <v>0</v>
      </c>
      <c r="S136" s="40">
        <f>SUMIF(Tabella1[Nome],Tabella4[[#This Row],[NOME]],Tabella1[Rf])</f>
        <v>0</v>
      </c>
      <c r="T136" s="40">
        <f>SUMIF(Tabella1[Nome],Tabella4[[#This Row],[NOME]],Tabella1[Au])</f>
        <v>0</v>
      </c>
      <c r="U136" s="41">
        <f>SUMIF(Tabella1[Nome],Tabella4[[#This Row],[NOME]],Tabella1[Amm])</f>
        <v>1</v>
      </c>
      <c r="V136" s="42">
        <f>SUMIF(Tabella1[Nome],Tabella4[[#This Row],[NOME]],Tabella1[Esp])</f>
        <v>0</v>
      </c>
      <c r="W136" s="40">
        <f>SUMIF(Tabella1[Nome],Tabella4[[#This Row],[NOME]],Tabella1[Ass])</f>
        <v>1</v>
      </c>
      <c r="X136" s="40">
        <f>SUMIF(Tabella1[Nome],Tabella4[[#This Row],[NOME]],Tabella1[Gdv])</f>
        <v>0</v>
      </c>
      <c r="Y136" s="40">
        <f>SUMIF(Tabella1[Nome],Tabella4[[#This Row],[NOME]],Tabella1[cl sh])</f>
        <v>0</v>
      </c>
      <c r="Z136" s="270">
        <f>_xlfn.IFNA(_xlfn.XLOOKUP(CONCATENATE(Z$4,$C136),Tabella1[CONC X VOTI IN TAB GIOC],Tabella1[Voto],""),"")</f>
        <v>6</v>
      </c>
      <c r="AA136" s="270">
        <f>_xlfn.IFNA(_xlfn.XLOOKUP(CONCATENATE(AA$4,$C136),Tabella1[CONC X VOTI IN TAB GIOC],Tabella1[Voto],""),"")</f>
        <v>6.5</v>
      </c>
      <c r="AB136" s="270">
        <f>_xlfn.IFNA(_xlfn.XLOOKUP(CONCATENATE(AB$4,$C136),Tabella1[CONC X VOTI IN TAB GIOC],Tabella1[Voto]),"")</f>
        <v>7</v>
      </c>
      <c r="AC136" s="270" cm="1">
        <f t="array" ref="AC136">_xlfn.IFNA(_xlfn.XLOOKUP(CONCATENATE(AC$4,$C136),INDEX(Tabella1[],0,MATCH("CONC X VOTI IN TAB GIOC",Tabella1[#Headers],0)),INDEX(Tabella1[],0,MATCH("Voto",Tabella1[#Headers],0))),"")</f>
        <v>6</v>
      </c>
      <c r="AD136" s="270" t="str">
        <f>_xlfn.IFNA(_xlfn.XLOOKUP(CONCATENATE(AD$4,$C136),Tabella1[CONC X VOTI IN TAB GIOC],Tabella1[Voto]),"")</f>
        <v/>
      </c>
      <c r="AE136" s="270" t="str">
        <f>_xlfn.IFNA(VLOOKUP(CONCATENATE(AE$4,$C136),'INSER DATA'!$A:$F,6,0),"")</f>
        <v/>
      </c>
      <c r="AF136" s="270" t="str">
        <f>_xlfn.IFNA(VLOOKUP(CONCATENATE(AF$4,$C136),'INSER DATA'!$A:$F,6,0),"")</f>
        <v/>
      </c>
      <c r="AG136" s="270" t="str">
        <f>_xlfn.IFNA(VLOOKUP(CONCATENATE(AG$4,$C136),'INSER DATA'!$A:$F,6,0),"")</f>
        <v/>
      </c>
      <c r="AH136" s="270" t="str">
        <f>_xlfn.IFNA(VLOOKUP(CONCATENATE(AH$4,$C136),'INSER DATA'!$A:$F,7,0),"")</f>
        <v/>
      </c>
      <c r="AI136" s="270" t="str">
        <f>_xlfn.IFNA(VLOOKUP(CONCATENATE(AI$4,$C136),'INSER DATA'!$A:$F,7,0),"")</f>
        <v/>
      </c>
      <c r="AJ136" s="270" t="str">
        <f>_xlfn.IFNA(VLOOKUP(CONCATENATE(AJ$4,$C136),'INSER DATA'!$A:$F,7,0),"")</f>
        <v/>
      </c>
      <c r="AK136" s="270" t="str">
        <f>_xlfn.IFNA(VLOOKUP(CONCATENATE(AK$4,$C136),'INSER DATA'!$A:$F,7,0),"")</f>
        <v/>
      </c>
      <c r="AL136" s="270" t="str">
        <f>_xlfn.IFNA(VLOOKUP(CONCATENATE(AL$4,$C136),'INSER DATA'!$A:$F,7,0),"")</f>
        <v/>
      </c>
      <c r="AM136" s="270" t="str">
        <f>_xlfn.IFNA(VLOOKUP(CONCATENATE(AM$4,$C136),'INSER DATA'!$A:$F,7,0),"")</f>
        <v/>
      </c>
      <c r="AN136" s="270" t="str">
        <f>_xlfn.IFNA(VLOOKUP(CONCATENATE(AN$4,$C136),'INSER DATA'!$A:$F,7,0),"")</f>
        <v/>
      </c>
      <c r="AO136" s="270" t="str">
        <f>_xlfn.IFNA(VLOOKUP(CONCATENATE(AO$4,$C136),'INSER DATA'!$A:$F,7,0),"")</f>
        <v/>
      </c>
      <c r="AP136" s="270" t="str">
        <f>_xlfn.IFNA(VLOOKUP(CONCATENATE(AP$4,$C136),'INSER DATA'!$A:$F,7,0),"")</f>
        <v/>
      </c>
      <c r="AQ136" s="270" t="str">
        <f>_xlfn.IFNA(VLOOKUP(CONCATENATE(AQ$4,$C136),'INSER DATA'!$A:$F,7,0),"")</f>
        <v/>
      </c>
      <c r="AR136" s="270" t="str">
        <f>_xlfn.IFNA(VLOOKUP(CONCATENATE(AR$4,$C136),'INSER DATA'!$A:$F,7,0),"")</f>
        <v/>
      </c>
      <c r="AS136" s="270" t="str">
        <f>_xlfn.IFNA(VLOOKUP(CONCATENATE(AS$4,$C136),'INSER DATA'!$A:$F,7,0),"")</f>
        <v/>
      </c>
      <c r="AT136" s="270" t="str">
        <f>_xlfn.IFNA(VLOOKUP(CONCATENATE(AT$4,$C136),'INSER DATA'!$A:$F,7,0),"")</f>
        <v/>
      </c>
      <c r="AU136" s="270" t="str">
        <f>_xlfn.IFNA(VLOOKUP(CONCATENATE(AU$4,$C136),'INSER DATA'!$A:$F,7,0),"")</f>
        <v/>
      </c>
      <c r="AV136" s="270" t="str">
        <f>_xlfn.IFNA(VLOOKUP(CONCATENATE(AV$4,$C136),'INSER DATA'!$A:$F,7,0),"")</f>
        <v/>
      </c>
      <c r="AW136" s="270" t="str">
        <f>_xlfn.IFNA(VLOOKUP(CONCATENATE(AW$4,$C136),'INSER DATA'!$A:$F,7,0),"")</f>
        <v/>
      </c>
      <c r="AX136" s="270" t="str">
        <f>_xlfn.IFNA(VLOOKUP(CONCATENATE(AX$4,$C136),'INSER DATA'!$A:$F,7,0),"")</f>
        <v/>
      </c>
      <c r="AY136" s="270" t="str">
        <f>_xlfn.IFNA(VLOOKUP(CONCATENATE(AY$4,$C136),'INSER DATA'!$A:$F,7,0),"")</f>
        <v/>
      </c>
      <c r="AZ136" s="270" t="str">
        <f>_xlfn.IFNA(VLOOKUP(CONCATENATE(AZ$4,$C136),'INSER DATA'!$A:$F,7,0),"")</f>
        <v/>
      </c>
      <c r="BA136" s="270" t="str">
        <f>_xlfn.IFNA(VLOOKUP(CONCATENATE(BA$4,$C136),'INSER DATA'!$A:$F,7,0),"")</f>
        <v/>
      </c>
      <c r="BB136" s="270" t="str">
        <f>_xlfn.IFNA(VLOOKUP(CONCATENATE(BB$4,$C136),'INSER DATA'!$A:$F,7,0),"")</f>
        <v/>
      </c>
      <c r="BC136" s="270" t="str">
        <f>_xlfn.IFNA(VLOOKUP(CONCATENATE(BC$4,$C136),'INSER DATA'!$A:$F,7,0),"")</f>
        <v/>
      </c>
      <c r="BD136" s="270" t="str">
        <f>_xlfn.IFNA(VLOOKUP(CONCATENATE(BD$4,$C136),'INSER DATA'!$A:$F,7,0),"")</f>
        <v/>
      </c>
      <c r="BE136" s="270" t="str">
        <f>_xlfn.IFNA(VLOOKUP(CONCATENATE(BE$4,$C136),'INSER DATA'!$A:$F,7,0),"")</f>
        <v/>
      </c>
      <c r="BF136" s="270" t="str">
        <f>_xlfn.IFNA(VLOOKUP(CONCATENATE(BF$4,$C136),'INSER DATA'!$A:$F,7,0),"")</f>
        <v/>
      </c>
      <c r="BG136" s="270" t="str">
        <f>_xlfn.IFNA(VLOOKUP(CONCATENATE(BG$4,$C136),'INSER DATA'!$A:$F,7,0),"")</f>
        <v/>
      </c>
      <c r="BH136" s="270" t="str">
        <f>_xlfn.IFNA(VLOOKUP(CONCATENATE(BH$4,$C136),'INSER DATA'!$A:$F,7,0),"")</f>
        <v/>
      </c>
      <c r="BI136" s="270" t="str">
        <f>_xlfn.IFNA(VLOOKUP(CONCATENATE(BI$4,$C136),'INSER DATA'!$A:$F,7,0),"")</f>
        <v/>
      </c>
      <c r="BJ136" s="270" t="str">
        <f>_xlfn.IFNA(VLOOKUP(CONCATENATE(BJ$4,$C136),'INSER DATA'!$A:$F,7,0),"")</f>
        <v/>
      </c>
      <c r="BK136" s="270" t="str">
        <f>_xlfn.IFNA(VLOOKUP(CONCATENATE(BK$4,$C136),'INSER DATA'!$A:$F,7,0),"")</f>
        <v/>
      </c>
      <c r="BL136" s="272"/>
      <c r="BM136" s="30"/>
      <c r="BN136" s="30"/>
      <c r="BO136" s="30"/>
      <c r="BP136" s="30"/>
      <c r="BQ136" s="30"/>
      <c r="BR136" s="30"/>
      <c r="BS136" s="30"/>
      <c r="BT136" s="30"/>
      <c r="BU136" s="30"/>
      <c r="BV136" s="30"/>
      <c r="BW136" s="30"/>
      <c r="BX136" s="30"/>
      <c r="BY136" s="30"/>
      <c r="BZ136" s="30"/>
      <c r="CA136" s="30"/>
      <c r="CB136" s="30"/>
      <c r="CC136" s="30"/>
      <c r="CD136" s="30"/>
      <c r="CE136" s="30"/>
      <c r="CF136" s="30"/>
      <c r="CG136" s="30"/>
      <c r="CH136" s="30"/>
      <c r="CI136" s="30"/>
      <c r="CJ136" s="30"/>
      <c r="CK136" s="30"/>
      <c r="CL136" s="30"/>
      <c r="CM136" s="30"/>
      <c r="CN136" s="30"/>
      <c r="CO136" s="30"/>
      <c r="CP136" s="30"/>
      <c r="CQ136" s="30"/>
      <c r="CR136" s="30"/>
      <c r="CS136" s="30"/>
      <c r="CT136" s="30"/>
      <c r="CU136" s="30"/>
      <c r="CV136" s="30"/>
      <c r="CW136" s="30"/>
      <c r="CX136" s="30"/>
      <c r="CY136" s="30"/>
      <c r="CZ136" s="30"/>
      <c r="DA136" s="30"/>
    </row>
    <row r="137" spans="1:105" ht="19.2" thickTop="1" thickBot="1" x14ac:dyDescent="0.4">
      <c r="A137" s="30"/>
      <c r="B137" s="30"/>
      <c r="C137" s="358" t="s">
        <v>734</v>
      </c>
      <c r="D137" s="359" t="s">
        <v>721</v>
      </c>
      <c r="E137" s="35" t="str">
        <f>_xlfn.XLOOKUP(Tabella4[[#This Row],[NOME]],'ROSE SQUADRE'!$N$3:$N$253,'ROSE SQUADRE'!$O$3:$O$253,"")</f>
        <v>TRICCHETRACHT</v>
      </c>
      <c r="F137" s="36" t="s">
        <v>162</v>
      </c>
      <c r="G137" s="43">
        <v>7</v>
      </c>
      <c r="H137" s="43">
        <v>7</v>
      </c>
      <c r="I137" s="44">
        <f t="shared" si="13"/>
        <v>0</v>
      </c>
      <c r="J137" s="37">
        <f t="shared" si="14"/>
        <v>4</v>
      </c>
      <c r="K137" s="38">
        <f t="shared" si="15"/>
        <v>6.375</v>
      </c>
      <c r="L137" s="38">
        <f t="shared" si="16"/>
        <v>6.625</v>
      </c>
      <c r="M137" s="39">
        <f t="shared" si="17"/>
        <v>26.5</v>
      </c>
      <c r="N137" s="45">
        <f t="shared" ca="1" si="12"/>
        <v>0</v>
      </c>
      <c r="O137" s="40">
        <f>SUMIF(Tabella1[Nome],Tabella4[[#This Row],[NOME]],Tabella1[Gf])</f>
        <v>0</v>
      </c>
      <c r="P137" s="40">
        <f>-(SUMIF(Tabella1[Nome],Tabella4[[#This Row],[NOME]],Tabella1[Gs]))</f>
        <v>0</v>
      </c>
      <c r="Q137" s="40">
        <f>SUMIF(Tabella1[Nome],Tabella4[[#This Row],[NOME]],Tabella1[Rp])</f>
        <v>0</v>
      </c>
      <c r="R137" s="40">
        <f>SUMIF(Tabella1[Nome],Tabella4[[#This Row],[NOME]],Tabella1[Rs])</f>
        <v>0</v>
      </c>
      <c r="S137" s="40">
        <f>SUMIF(Tabella1[Nome],Tabella4[[#This Row],[NOME]],Tabella1[Rf])</f>
        <v>0</v>
      </c>
      <c r="T137" s="40">
        <f>SUMIF(Tabella1[Nome],Tabella4[[#This Row],[NOME]],Tabella1[Au])</f>
        <v>0</v>
      </c>
      <c r="U137" s="41">
        <f>SUMIF(Tabella1[Nome],Tabella4[[#This Row],[NOME]],Tabella1[Amm])</f>
        <v>0</v>
      </c>
      <c r="V137" s="42">
        <f>SUMIF(Tabella1[Nome],Tabella4[[#This Row],[NOME]],Tabella1[Esp])</f>
        <v>0</v>
      </c>
      <c r="W137" s="40">
        <f>SUMIF(Tabella1[Nome],Tabella4[[#This Row],[NOME]],Tabella1[Ass])</f>
        <v>1</v>
      </c>
      <c r="X137" s="40">
        <f>SUMIF(Tabella1[Nome],Tabella4[[#This Row],[NOME]],Tabella1[Gdv])</f>
        <v>0</v>
      </c>
      <c r="Y137" s="40">
        <f>SUMIF(Tabella1[Nome],Tabella4[[#This Row],[NOME]],Tabella1[cl sh])</f>
        <v>0</v>
      </c>
      <c r="Z137" s="270">
        <f>_xlfn.IFNA(_xlfn.XLOOKUP(CONCATENATE(Z$4,$C137),Tabella1[CONC X VOTI IN TAB GIOC],Tabella1[Voto],""),"")</f>
        <v>5.5</v>
      </c>
      <c r="AA137" s="270">
        <f>_xlfn.IFNA(_xlfn.XLOOKUP(CONCATENATE(AA$4,$C137),Tabella1[CONC X VOTI IN TAB GIOC],Tabella1[Voto],""),"")</f>
        <v>7</v>
      </c>
      <c r="AB137" s="270">
        <f>_xlfn.IFNA(_xlfn.XLOOKUP(CONCATENATE(AB$4,$C137),Tabella1[CONC X VOTI IN TAB GIOC],Tabella1[Voto]),"")</f>
        <v>6.5</v>
      </c>
      <c r="AC137" s="270" cm="1">
        <f t="array" ref="AC137">_xlfn.IFNA(_xlfn.XLOOKUP(CONCATENATE(AC$4,$C137),INDEX(Tabella1[],0,MATCH("CONC X VOTI IN TAB GIOC",Tabella1[#Headers],0)),INDEX(Tabella1[],0,MATCH("Voto",Tabella1[#Headers],0))),"")</f>
        <v>6.5</v>
      </c>
      <c r="AD137" s="270" t="str">
        <f>_xlfn.IFNA(_xlfn.XLOOKUP(CONCATENATE(AD$4,$C137),Tabella1[CONC X VOTI IN TAB GIOC],Tabella1[Voto]),"")</f>
        <v/>
      </c>
      <c r="AE137" s="270" t="str">
        <f>_xlfn.IFNA(VLOOKUP(CONCATENATE(AE$4,$C137),'INSER DATA'!$A:$F,6,0),"")</f>
        <v/>
      </c>
      <c r="AF137" s="270" t="str">
        <f>_xlfn.IFNA(VLOOKUP(CONCATENATE(AF$4,$C137),'INSER DATA'!$A:$F,6,0),"")</f>
        <v/>
      </c>
      <c r="AG137" s="270" t="str">
        <f>_xlfn.IFNA(VLOOKUP(CONCATENATE(AG$4,$C137),'INSER DATA'!$A:$F,6,0),"")</f>
        <v/>
      </c>
      <c r="AH137" s="270" t="str">
        <f>_xlfn.IFNA(VLOOKUP(CONCATENATE(AH$4,$C137),'INSER DATA'!$A:$F,7,0),"")</f>
        <v/>
      </c>
      <c r="AI137" s="270" t="str">
        <f>_xlfn.IFNA(VLOOKUP(CONCATENATE(AI$4,$C137),'INSER DATA'!$A:$F,7,0),"")</f>
        <v/>
      </c>
      <c r="AJ137" s="270" t="str">
        <f>_xlfn.IFNA(VLOOKUP(CONCATENATE(AJ$4,$C137),'INSER DATA'!$A:$F,7,0),"")</f>
        <v/>
      </c>
      <c r="AK137" s="270" t="str">
        <f>_xlfn.IFNA(VLOOKUP(CONCATENATE(AK$4,$C137),'INSER DATA'!$A:$F,7,0),"")</f>
        <v/>
      </c>
      <c r="AL137" s="270" t="str">
        <f>_xlfn.IFNA(VLOOKUP(CONCATENATE(AL$4,$C137),'INSER DATA'!$A:$F,7,0),"")</f>
        <v/>
      </c>
      <c r="AM137" s="270" t="str">
        <f>_xlfn.IFNA(VLOOKUP(CONCATENATE(AM$4,$C137),'INSER DATA'!$A:$F,7,0),"")</f>
        <v/>
      </c>
      <c r="AN137" s="270" t="str">
        <f>_xlfn.IFNA(VLOOKUP(CONCATENATE(AN$4,$C137),'INSER DATA'!$A:$F,7,0),"")</f>
        <v/>
      </c>
      <c r="AO137" s="270" t="str">
        <f>_xlfn.IFNA(VLOOKUP(CONCATENATE(AO$4,$C137),'INSER DATA'!$A:$F,7,0),"")</f>
        <v/>
      </c>
      <c r="AP137" s="270" t="str">
        <f>_xlfn.IFNA(VLOOKUP(CONCATENATE(AP$4,$C137),'INSER DATA'!$A:$F,7,0),"")</f>
        <v/>
      </c>
      <c r="AQ137" s="270" t="str">
        <f>_xlfn.IFNA(VLOOKUP(CONCATENATE(AQ$4,$C137),'INSER DATA'!$A:$F,7,0),"")</f>
        <v/>
      </c>
      <c r="AR137" s="270" t="str">
        <f>_xlfn.IFNA(VLOOKUP(CONCATENATE(AR$4,$C137),'INSER DATA'!$A:$F,7,0),"")</f>
        <v/>
      </c>
      <c r="AS137" s="270" t="str">
        <f>_xlfn.IFNA(VLOOKUP(CONCATENATE(AS$4,$C137),'INSER DATA'!$A:$F,7,0),"")</f>
        <v/>
      </c>
      <c r="AT137" s="270" t="str">
        <f>_xlfn.IFNA(VLOOKUP(CONCATENATE(AT$4,$C137),'INSER DATA'!$A:$F,7,0),"")</f>
        <v/>
      </c>
      <c r="AU137" s="270" t="str">
        <f>_xlfn.IFNA(VLOOKUP(CONCATENATE(AU$4,$C137),'INSER DATA'!$A:$F,7,0),"")</f>
        <v/>
      </c>
      <c r="AV137" s="270" t="str">
        <f>_xlfn.IFNA(VLOOKUP(CONCATENATE(AV$4,$C137),'INSER DATA'!$A:$F,7,0),"")</f>
        <v/>
      </c>
      <c r="AW137" s="270" t="str">
        <f>_xlfn.IFNA(VLOOKUP(CONCATENATE(AW$4,$C137),'INSER DATA'!$A:$F,7,0),"")</f>
        <v/>
      </c>
      <c r="AX137" s="270" t="str">
        <f>_xlfn.IFNA(VLOOKUP(CONCATENATE(AX$4,$C137),'INSER DATA'!$A:$F,7,0),"")</f>
        <v/>
      </c>
      <c r="AY137" s="270" t="str">
        <f>_xlfn.IFNA(VLOOKUP(CONCATENATE(AY$4,$C137),'INSER DATA'!$A:$F,7,0),"")</f>
        <v/>
      </c>
      <c r="AZ137" s="270" t="str">
        <f>_xlfn.IFNA(VLOOKUP(CONCATENATE(AZ$4,$C137),'INSER DATA'!$A:$F,7,0),"")</f>
        <v/>
      </c>
      <c r="BA137" s="270" t="str">
        <f>_xlfn.IFNA(VLOOKUP(CONCATENATE(BA$4,$C137),'INSER DATA'!$A:$F,7,0),"")</f>
        <v/>
      </c>
      <c r="BB137" s="270" t="str">
        <f>_xlfn.IFNA(VLOOKUP(CONCATENATE(BB$4,$C137),'INSER DATA'!$A:$F,7,0),"")</f>
        <v/>
      </c>
      <c r="BC137" s="270" t="str">
        <f>_xlfn.IFNA(VLOOKUP(CONCATENATE(BC$4,$C137),'INSER DATA'!$A:$F,7,0),"")</f>
        <v/>
      </c>
      <c r="BD137" s="270" t="str">
        <f>_xlfn.IFNA(VLOOKUP(CONCATENATE(BD$4,$C137),'INSER DATA'!$A:$F,7,0),"")</f>
        <v/>
      </c>
      <c r="BE137" s="270" t="str">
        <f>_xlfn.IFNA(VLOOKUP(CONCATENATE(BE$4,$C137),'INSER DATA'!$A:$F,7,0),"")</f>
        <v/>
      </c>
      <c r="BF137" s="270" t="str">
        <f>_xlfn.IFNA(VLOOKUP(CONCATENATE(BF$4,$C137),'INSER DATA'!$A:$F,7,0),"")</f>
        <v/>
      </c>
      <c r="BG137" s="270" t="str">
        <f>_xlfn.IFNA(VLOOKUP(CONCATENATE(BG$4,$C137),'INSER DATA'!$A:$F,7,0),"")</f>
        <v/>
      </c>
      <c r="BH137" s="270" t="str">
        <f>_xlfn.IFNA(VLOOKUP(CONCATENATE(BH$4,$C137),'INSER DATA'!$A:$F,7,0),"")</f>
        <v/>
      </c>
      <c r="BI137" s="270" t="str">
        <f>_xlfn.IFNA(VLOOKUP(CONCATENATE(BI$4,$C137),'INSER DATA'!$A:$F,7,0),"")</f>
        <v/>
      </c>
      <c r="BJ137" s="270" t="str">
        <f>_xlfn.IFNA(VLOOKUP(CONCATENATE(BJ$4,$C137),'INSER DATA'!$A:$F,7,0),"")</f>
        <v/>
      </c>
      <c r="BK137" s="270" t="str">
        <f>_xlfn.IFNA(VLOOKUP(CONCATENATE(BK$4,$C137),'INSER DATA'!$A:$F,7,0),"")</f>
        <v/>
      </c>
      <c r="BL137" s="272"/>
      <c r="BM137" s="30"/>
      <c r="BN137" s="30"/>
      <c r="BO137" s="30"/>
      <c r="BP137" s="30"/>
      <c r="BQ137" s="30"/>
      <c r="BR137" s="30"/>
      <c r="BS137" s="30"/>
      <c r="BT137" s="30"/>
      <c r="BU137" s="30"/>
      <c r="BV137" s="30"/>
      <c r="BW137" s="30"/>
      <c r="BX137" s="30"/>
      <c r="BY137" s="30"/>
      <c r="BZ137" s="30"/>
      <c r="CA137" s="30"/>
      <c r="CB137" s="30"/>
      <c r="CC137" s="30"/>
      <c r="CD137" s="30"/>
      <c r="CE137" s="30"/>
      <c r="CF137" s="30"/>
      <c r="CG137" s="30"/>
      <c r="CH137" s="30"/>
      <c r="CI137" s="30"/>
      <c r="CJ137" s="30"/>
      <c r="CK137" s="30"/>
      <c r="CL137" s="30"/>
      <c r="CM137" s="30"/>
      <c r="CN137" s="30"/>
      <c r="CO137" s="30"/>
      <c r="CP137" s="30"/>
      <c r="CQ137" s="30"/>
      <c r="CR137" s="30"/>
      <c r="CS137" s="30"/>
      <c r="CT137" s="30"/>
      <c r="CU137" s="30"/>
      <c r="CV137" s="30"/>
      <c r="CW137" s="30"/>
      <c r="CX137" s="30"/>
      <c r="CY137" s="30"/>
      <c r="CZ137" s="30"/>
      <c r="DA137" s="30"/>
    </row>
    <row r="138" spans="1:105" ht="19.2" thickTop="1" thickBot="1" x14ac:dyDescent="0.4">
      <c r="A138" s="30"/>
      <c r="B138" s="30"/>
      <c r="C138" s="185" t="s">
        <v>743</v>
      </c>
      <c r="D138" s="46" t="s">
        <v>721</v>
      </c>
      <c r="E138" s="35" t="str">
        <f>_xlfn.XLOOKUP(Tabella4[[#This Row],[NOME]],'ROSE SQUADRE'!$N$3:$N$253,'ROSE SQUADRE'!$O$3:$O$253,"")</f>
        <v/>
      </c>
      <c r="F138" s="36" t="s">
        <v>162</v>
      </c>
      <c r="G138" s="43">
        <v>2</v>
      </c>
      <c r="H138" s="43">
        <v>3</v>
      </c>
      <c r="I138" s="44">
        <f t="shared" si="13"/>
        <v>1</v>
      </c>
      <c r="J138" s="37">
        <f t="shared" si="14"/>
        <v>4</v>
      </c>
      <c r="K138" s="38">
        <f t="shared" si="15"/>
        <v>6.375</v>
      </c>
      <c r="L138" s="38">
        <f t="shared" si="16"/>
        <v>6.625</v>
      </c>
      <c r="M138" s="39">
        <f t="shared" si="17"/>
        <v>26.5</v>
      </c>
      <c r="N138" s="45">
        <f t="shared" ca="1" si="12"/>
        <v>0</v>
      </c>
      <c r="O138" s="40">
        <f>SUMIF(Tabella1[Nome],Tabella4[[#This Row],[NOME]],Tabella1[Gf])</f>
        <v>0</v>
      </c>
      <c r="P138" s="40">
        <f>-(SUMIF(Tabella1[Nome],Tabella4[[#This Row],[NOME]],Tabella1[Gs]))</f>
        <v>0</v>
      </c>
      <c r="Q138" s="40">
        <f>SUMIF(Tabella1[Nome],Tabella4[[#This Row],[NOME]],Tabella1[Rp])</f>
        <v>0</v>
      </c>
      <c r="R138" s="40">
        <f>SUMIF(Tabella1[Nome],Tabella4[[#This Row],[NOME]],Tabella1[Rs])</f>
        <v>0</v>
      </c>
      <c r="S138" s="40">
        <f>SUMIF(Tabella1[Nome],Tabella4[[#This Row],[NOME]],Tabella1[Rf])</f>
        <v>0</v>
      </c>
      <c r="T138" s="40">
        <f>SUMIF(Tabella1[Nome],Tabella4[[#This Row],[NOME]],Tabella1[Au])</f>
        <v>0</v>
      </c>
      <c r="U138" s="41">
        <f>SUMIF(Tabella1[Nome],Tabella4[[#This Row],[NOME]],Tabella1[Amm])</f>
        <v>0</v>
      </c>
      <c r="V138" s="42">
        <f>SUMIF(Tabella1[Nome],Tabella4[[#This Row],[NOME]],Tabella1[Esp])</f>
        <v>0</v>
      </c>
      <c r="W138" s="40">
        <f>SUMIF(Tabella1[Nome],Tabella4[[#This Row],[NOME]],Tabella1[Ass])</f>
        <v>1</v>
      </c>
      <c r="X138" s="40">
        <f>SUMIF(Tabella1[Nome],Tabella4[[#This Row],[NOME]],Tabella1[Gdv])</f>
        <v>0</v>
      </c>
      <c r="Y138" s="40">
        <f>SUMIF(Tabella1[Nome],Tabella4[[#This Row],[NOME]],Tabella1[cl sh])</f>
        <v>0</v>
      </c>
      <c r="Z138" s="270">
        <f>_xlfn.IFNA(_xlfn.XLOOKUP(CONCATENATE(Z$4,$C138),Tabella1[CONC X VOTI IN TAB GIOC],Tabella1[Voto],""),"")</f>
        <v>6</v>
      </c>
      <c r="AA138" s="270">
        <f>_xlfn.IFNA(_xlfn.XLOOKUP(CONCATENATE(AA$4,$C138),Tabella1[CONC X VOTI IN TAB GIOC],Tabella1[Voto],""),"")</f>
        <v>6.5</v>
      </c>
      <c r="AB138" s="270">
        <f>_xlfn.IFNA(_xlfn.XLOOKUP(CONCATENATE(AB$4,$C138),Tabella1[CONC X VOTI IN TAB GIOC],Tabella1[Voto]),"")</f>
        <v>6.5</v>
      </c>
      <c r="AC138" s="270" cm="1">
        <f t="array" ref="AC138">_xlfn.IFNA(_xlfn.XLOOKUP(CONCATENATE(AC$4,$C138),INDEX(Tabella1[],0,MATCH("CONC X VOTI IN TAB GIOC",Tabella1[#Headers],0)),INDEX(Tabella1[],0,MATCH("Voto",Tabella1[#Headers],0))),"")</f>
        <v>6.5</v>
      </c>
      <c r="AD138" s="270" t="str">
        <f>_xlfn.IFNA(_xlfn.XLOOKUP(CONCATENATE(AD$4,$C138),Tabella1[CONC X VOTI IN TAB GIOC],Tabella1[Voto]),"")</f>
        <v/>
      </c>
      <c r="AE138" s="270" t="str">
        <f>_xlfn.IFNA(VLOOKUP(CONCATENATE(AE$4,$C138),'INSER DATA'!$A:$F,6,0),"")</f>
        <v/>
      </c>
      <c r="AF138" s="270" t="str">
        <f>_xlfn.IFNA(VLOOKUP(CONCATENATE(AF$4,$C138),'INSER DATA'!$A:$F,6,0),"")</f>
        <v/>
      </c>
      <c r="AG138" s="270" t="str">
        <f>_xlfn.IFNA(VLOOKUP(CONCATENATE(AG$4,$C138),'INSER DATA'!$A:$F,6,0),"")</f>
        <v/>
      </c>
      <c r="AH138" s="270" t="str">
        <f>_xlfn.IFNA(VLOOKUP(CONCATENATE(AH$4,$C138),'INSER DATA'!$A:$F,7,0),"")</f>
        <v/>
      </c>
      <c r="AI138" s="270" t="str">
        <f>_xlfn.IFNA(VLOOKUP(CONCATENATE(AI$4,$C138),'INSER DATA'!$A:$F,7,0),"")</f>
        <v/>
      </c>
      <c r="AJ138" s="270" t="str">
        <f>_xlfn.IFNA(VLOOKUP(CONCATENATE(AJ$4,$C138),'INSER DATA'!$A:$F,7,0),"")</f>
        <v/>
      </c>
      <c r="AK138" s="270" t="str">
        <f>_xlfn.IFNA(VLOOKUP(CONCATENATE(AK$4,$C138),'INSER DATA'!$A:$F,7,0),"")</f>
        <v/>
      </c>
      <c r="AL138" s="270" t="str">
        <f>_xlfn.IFNA(VLOOKUP(CONCATENATE(AL$4,$C138),'INSER DATA'!$A:$F,7,0),"")</f>
        <v/>
      </c>
      <c r="AM138" s="270" t="str">
        <f>_xlfn.IFNA(VLOOKUP(CONCATENATE(AM$4,$C138),'INSER DATA'!$A:$F,7,0),"")</f>
        <v/>
      </c>
      <c r="AN138" s="270" t="str">
        <f>_xlfn.IFNA(VLOOKUP(CONCATENATE(AN$4,$C138),'INSER DATA'!$A:$F,7,0),"")</f>
        <v/>
      </c>
      <c r="AO138" s="270" t="str">
        <f>_xlfn.IFNA(VLOOKUP(CONCATENATE(AO$4,$C138),'INSER DATA'!$A:$F,7,0),"")</f>
        <v/>
      </c>
      <c r="AP138" s="270" t="str">
        <f>_xlfn.IFNA(VLOOKUP(CONCATENATE(AP$4,$C138),'INSER DATA'!$A:$F,7,0),"")</f>
        <v/>
      </c>
      <c r="AQ138" s="270" t="str">
        <f>_xlfn.IFNA(VLOOKUP(CONCATENATE(AQ$4,$C138),'INSER DATA'!$A:$F,7,0),"")</f>
        <v/>
      </c>
      <c r="AR138" s="270" t="str">
        <f>_xlfn.IFNA(VLOOKUP(CONCATENATE(AR$4,$C138),'INSER DATA'!$A:$F,7,0),"")</f>
        <v/>
      </c>
      <c r="AS138" s="270" t="str">
        <f>_xlfn.IFNA(VLOOKUP(CONCATENATE(AS$4,$C138),'INSER DATA'!$A:$F,7,0),"")</f>
        <v/>
      </c>
      <c r="AT138" s="270" t="str">
        <f>_xlfn.IFNA(VLOOKUP(CONCATENATE(AT$4,$C138),'INSER DATA'!$A:$F,7,0),"")</f>
        <v/>
      </c>
      <c r="AU138" s="270" t="str">
        <f>_xlfn.IFNA(VLOOKUP(CONCATENATE(AU$4,$C138),'INSER DATA'!$A:$F,7,0),"")</f>
        <v/>
      </c>
      <c r="AV138" s="270" t="str">
        <f>_xlfn.IFNA(VLOOKUP(CONCATENATE(AV$4,$C138),'INSER DATA'!$A:$F,7,0),"")</f>
        <v/>
      </c>
      <c r="AW138" s="270" t="str">
        <f>_xlfn.IFNA(VLOOKUP(CONCATENATE(AW$4,$C138),'INSER DATA'!$A:$F,7,0),"")</f>
        <v/>
      </c>
      <c r="AX138" s="270" t="str">
        <f>_xlfn.IFNA(VLOOKUP(CONCATENATE(AX$4,$C138),'INSER DATA'!$A:$F,7,0),"")</f>
        <v/>
      </c>
      <c r="AY138" s="270" t="str">
        <f>_xlfn.IFNA(VLOOKUP(CONCATENATE(AY$4,$C138),'INSER DATA'!$A:$F,7,0),"")</f>
        <v/>
      </c>
      <c r="AZ138" s="270" t="str">
        <f>_xlfn.IFNA(VLOOKUP(CONCATENATE(AZ$4,$C138),'INSER DATA'!$A:$F,7,0),"")</f>
        <v/>
      </c>
      <c r="BA138" s="270" t="str">
        <f>_xlfn.IFNA(VLOOKUP(CONCATENATE(BA$4,$C138),'INSER DATA'!$A:$F,7,0),"")</f>
        <v/>
      </c>
      <c r="BB138" s="270" t="str">
        <f>_xlfn.IFNA(VLOOKUP(CONCATENATE(BB$4,$C138),'INSER DATA'!$A:$F,7,0),"")</f>
        <v/>
      </c>
      <c r="BC138" s="270" t="str">
        <f>_xlfn.IFNA(VLOOKUP(CONCATENATE(BC$4,$C138),'INSER DATA'!$A:$F,7,0),"")</f>
        <v/>
      </c>
      <c r="BD138" s="270" t="str">
        <f>_xlfn.IFNA(VLOOKUP(CONCATENATE(BD$4,$C138),'INSER DATA'!$A:$F,7,0),"")</f>
        <v/>
      </c>
      <c r="BE138" s="270" t="str">
        <f>_xlfn.IFNA(VLOOKUP(CONCATENATE(BE$4,$C138),'INSER DATA'!$A:$F,7,0),"")</f>
        <v/>
      </c>
      <c r="BF138" s="270" t="str">
        <f>_xlfn.IFNA(VLOOKUP(CONCATENATE(BF$4,$C138),'INSER DATA'!$A:$F,7,0),"")</f>
        <v/>
      </c>
      <c r="BG138" s="270" t="str">
        <f>_xlfn.IFNA(VLOOKUP(CONCATENATE(BG$4,$C138),'INSER DATA'!$A:$F,7,0),"")</f>
        <v/>
      </c>
      <c r="BH138" s="270" t="str">
        <f>_xlfn.IFNA(VLOOKUP(CONCATENATE(BH$4,$C138),'INSER DATA'!$A:$F,7,0),"")</f>
        <v/>
      </c>
      <c r="BI138" s="270" t="str">
        <f>_xlfn.IFNA(VLOOKUP(CONCATENATE(BI$4,$C138),'INSER DATA'!$A:$F,7,0),"")</f>
        <v/>
      </c>
      <c r="BJ138" s="270" t="str">
        <f>_xlfn.IFNA(VLOOKUP(CONCATENATE(BJ$4,$C138),'INSER DATA'!$A:$F,7,0),"")</f>
        <v/>
      </c>
      <c r="BK138" s="270" t="str">
        <f>_xlfn.IFNA(VLOOKUP(CONCATENATE(BK$4,$C138),'INSER DATA'!$A:$F,7,0),"")</f>
        <v/>
      </c>
      <c r="BL138" s="272"/>
      <c r="BM138" s="30"/>
      <c r="BN138" s="30"/>
      <c r="BO138" s="30"/>
      <c r="BP138" s="30"/>
      <c r="BQ138" s="30"/>
      <c r="BR138" s="30"/>
      <c r="BS138" s="30"/>
      <c r="BT138" s="30"/>
      <c r="BU138" s="30"/>
      <c r="BV138" s="30"/>
      <c r="BW138" s="30"/>
      <c r="BX138" s="30"/>
      <c r="BY138" s="30"/>
      <c r="BZ138" s="30"/>
      <c r="CA138" s="30"/>
      <c r="CB138" s="30"/>
      <c r="CC138" s="30"/>
      <c r="CD138" s="30"/>
      <c r="CE138" s="30"/>
      <c r="CF138" s="30"/>
      <c r="CG138" s="30"/>
      <c r="CH138" s="30"/>
      <c r="CI138" s="30"/>
      <c r="CJ138" s="30"/>
      <c r="CK138" s="30"/>
      <c r="CL138" s="30"/>
      <c r="CM138" s="30"/>
      <c r="CN138" s="30"/>
      <c r="CO138" s="30"/>
      <c r="CP138" s="30"/>
      <c r="CQ138" s="30"/>
      <c r="CR138" s="30"/>
      <c r="CS138" s="30"/>
      <c r="CT138" s="30"/>
      <c r="CU138" s="30"/>
      <c r="CV138" s="30"/>
      <c r="CW138" s="30"/>
      <c r="CX138" s="30"/>
      <c r="CY138" s="30"/>
      <c r="CZ138" s="30"/>
      <c r="DA138" s="30"/>
    </row>
    <row r="139" spans="1:105" ht="19.2" thickTop="1" thickBot="1" x14ac:dyDescent="0.4">
      <c r="A139" s="30"/>
      <c r="B139" s="30"/>
      <c r="C139" s="185" t="s">
        <v>745</v>
      </c>
      <c r="D139" s="46" t="s">
        <v>721</v>
      </c>
      <c r="E139" s="35" t="str">
        <f>_xlfn.XLOOKUP(Tabella4[[#This Row],[NOME]],'ROSE SQUADRE'!$N$3:$N$253,'ROSE SQUADRE'!$O$3:$O$253,"")</f>
        <v/>
      </c>
      <c r="F139" s="36" t="s">
        <v>162</v>
      </c>
      <c r="G139" s="43">
        <v>5</v>
      </c>
      <c r="H139" s="43">
        <v>5</v>
      </c>
      <c r="I139" s="44">
        <f t="shared" si="13"/>
        <v>0</v>
      </c>
      <c r="J139" s="37">
        <f t="shared" si="14"/>
        <v>2</v>
      </c>
      <c r="K139" s="38">
        <f t="shared" si="15"/>
        <v>6.25</v>
      </c>
      <c r="L139" s="38">
        <f t="shared" si="16"/>
        <v>6.25</v>
      </c>
      <c r="M139" s="39">
        <f t="shared" si="17"/>
        <v>12.5</v>
      </c>
      <c r="N139" s="45">
        <f t="shared" ref="N139:N202" ca="1" si="18">ContaCellePerColore(Z139:BK139,$C$3)</f>
        <v>0</v>
      </c>
      <c r="O139" s="40">
        <f>SUMIF(Tabella1[Nome],Tabella4[[#This Row],[NOME]],Tabella1[Gf])</f>
        <v>0</v>
      </c>
      <c r="P139" s="40">
        <f>-(SUMIF(Tabella1[Nome],Tabella4[[#This Row],[NOME]],Tabella1[Gs]))</f>
        <v>0</v>
      </c>
      <c r="Q139" s="40">
        <f>SUMIF(Tabella1[Nome],Tabella4[[#This Row],[NOME]],Tabella1[Rp])</f>
        <v>0</v>
      </c>
      <c r="R139" s="40">
        <f>SUMIF(Tabella1[Nome],Tabella4[[#This Row],[NOME]],Tabella1[Rs])</f>
        <v>0</v>
      </c>
      <c r="S139" s="40">
        <f>SUMIF(Tabella1[Nome],Tabella4[[#This Row],[NOME]],Tabella1[Rf])</f>
        <v>0</v>
      </c>
      <c r="T139" s="40">
        <f>SUMIF(Tabella1[Nome],Tabella4[[#This Row],[NOME]],Tabella1[Au])</f>
        <v>0</v>
      </c>
      <c r="U139" s="41">
        <f>SUMIF(Tabella1[Nome],Tabella4[[#This Row],[NOME]],Tabella1[Amm])</f>
        <v>0</v>
      </c>
      <c r="V139" s="42">
        <f>SUMIF(Tabella1[Nome],Tabella4[[#This Row],[NOME]],Tabella1[Esp])</f>
        <v>0</v>
      </c>
      <c r="W139" s="40">
        <f>SUMIF(Tabella1[Nome],Tabella4[[#This Row],[NOME]],Tabella1[Ass])</f>
        <v>0</v>
      </c>
      <c r="X139" s="40">
        <f>SUMIF(Tabella1[Nome],Tabella4[[#This Row],[NOME]],Tabella1[Gdv])</f>
        <v>0</v>
      </c>
      <c r="Y139" s="40">
        <f>SUMIF(Tabella1[Nome],Tabella4[[#This Row],[NOME]],Tabella1[cl sh])</f>
        <v>0</v>
      </c>
      <c r="Z139" s="270">
        <f>_xlfn.IFNA(_xlfn.XLOOKUP(CONCATENATE(Z$4,$C139),Tabella1[CONC X VOTI IN TAB GIOC],Tabella1[Voto],""),"")</f>
        <v>6</v>
      </c>
      <c r="AA139" s="270">
        <f>_xlfn.IFNA(_xlfn.XLOOKUP(CONCATENATE(AA$4,$C139),Tabella1[CONC X VOTI IN TAB GIOC],Tabella1[Voto],""),"")</f>
        <v>6.5</v>
      </c>
      <c r="AB139" s="270" t="str">
        <f>_xlfn.IFNA(_xlfn.XLOOKUP(CONCATENATE(AB$4,$C139),Tabella1[CONC X VOTI IN TAB GIOC],Tabella1[Voto]),"")</f>
        <v/>
      </c>
      <c r="AC139" s="270" t="str" cm="1">
        <f t="array" ref="AC139">_xlfn.IFNA(_xlfn.XLOOKUP(CONCATENATE(AC$4,$C139),INDEX(Tabella1[],0,MATCH("CONC X VOTI IN TAB GIOC",Tabella1[#Headers],0)),INDEX(Tabella1[],0,MATCH("Voto",Tabella1[#Headers],0))),"")</f>
        <v/>
      </c>
      <c r="AD139" s="270" t="str">
        <f>_xlfn.IFNA(_xlfn.XLOOKUP(CONCATENATE(AD$4,$C139),Tabella1[CONC X VOTI IN TAB GIOC],Tabella1[Voto]),"")</f>
        <v/>
      </c>
      <c r="AE139" s="270" t="str">
        <f>_xlfn.IFNA(VLOOKUP(CONCATENATE(AE$4,$C139),'INSER DATA'!$A:$F,6,0),"")</f>
        <v/>
      </c>
      <c r="AF139" s="270" t="str">
        <f>_xlfn.IFNA(VLOOKUP(CONCATENATE(AF$4,$C139),'INSER DATA'!$A:$F,6,0),"")</f>
        <v/>
      </c>
      <c r="AG139" s="270" t="str">
        <f>_xlfn.IFNA(VLOOKUP(CONCATENATE(AG$4,$C139),'INSER DATA'!$A:$F,6,0),"")</f>
        <v/>
      </c>
      <c r="AH139" s="270" t="str">
        <f>_xlfn.IFNA(VLOOKUP(CONCATENATE(AH$4,$C139),'INSER DATA'!$A:$F,7,0),"")</f>
        <v/>
      </c>
      <c r="AI139" s="270" t="str">
        <f>_xlfn.IFNA(VLOOKUP(CONCATENATE(AI$4,$C139),'INSER DATA'!$A:$F,7,0),"")</f>
        <v/>
      </c>
      <c r="AJ139" s="270" t="str">
        <f>_xlfn.IFNA(VLOOKUP(CONCATENATE(AJ$4,$C139),'INSER DATA'!$A:$F,7,0),"")</f>
        <v/>
      </c>
      <c r="AK139" s="270" t="str">
        <f>_xlfn.IFNA(VLOOKUP(CONCATENATE(AK$4,$C139),'INSER DATA'!$A:$F,7,0),"")</f>
        <v/>
      </c>
      <c r="AL139" s="270" t="str">
        <f>_xlfn.IFNA(VLOOKUP(CONCATENATE(AL$4,$C139),'INSER DATA'!$A:$F,7,0),"")</f>
        <v/>
      </c>
      <c r="AM139" s="270" t="str">
        <f>_xlfn.IFNA(VLOOKUP(CONCATENATE(AM$4,$C139),'INSER DATA'!$A:$F,7,0),"")</f>
        <v/>
      </c>
      <c r="AN139" s="270" t="str">
        <f>_xlfn.IFNA(VLOOKUP(CONCATENATE(AN$4,$C139),'INSER DATA'!$A:$F,7,0),"")</f>
        <v/>
      </c>
      <c r="AO139" s="270" t="str">
        <f>_xlfn.IFNA(VLOOKUP(CONCATENATE(AO$4,$C139),'INSER DATA'!$A:$F,7,0),"")</f>
        <v/>
      </c>
      <c r="AP139" s="270" t="str">
        <f>_xlfn.IFNA(VLOOKUP(CONCATENATE(AP$4,$C139),'INSER DATA'!$A:$F,7,0),"")</f>
        <v/>
      </c>
      <c r="AQ139" s="270" t="str">
        <f>_xlfn.IFNA(VLOOKUP(CONCATENATE(AQ$4,$C139),'INSER DATA'!$A:$F,7,0),"")</f>
        <v/>
      </c>
      <c r="AR139" s="270" t="str">
        <f>_xlfn.IFNA(VLOOKUP(CONCATENATE(AR$4,$C139),'INSER DATA'!$A:$F,7,0),"")</f>
        <v/>
      </c>
      <c r="AS139" s="270" t="str">
        <f>_xlfn.IFNA(VLOOKUP(CONCATENATE(AS$4,$C139),'INSER DATA'!$A:$F,7,0),"")</f>
        <v/>
      </c>
      <c r="AT139" s="270" t="str">
        <f>_xlfn.IFNA(VLOOKUP(CONCATENATE(AT$4,$C139),'INSER DATA'!$A:$F,7,0),"")</f>
        <v/>
      </c>
      <c r="AU139" s="270" t="str">
        <f>_xlfn.IFNA(VLOOKUP(CONCATENATE(AU$4,$C139),'INSER DATA'!$A:$F,7,0),"")</f>
        <v/>
      </c>
      <c r="AV139" s="270" t="str">
        <f>_xlfn.IFNA(VLOOKUP(CONCATENATE(AV$4,$C139),'INSER DATA'!$A:$F,7,0),"")</f>
        <v/>
      </c>
      <c r="AW139" s="270" t="str">
        <f>_xlfn.IFNA(VLOOKUP(CONCATENATE(AW$4,$C139),'INSER DATA'!$A:$F,7,0),"")</f>
        <v/>
      </c>
      <c r="AX139" s="270" t="str">
        <f>_xlfn.IFNA(VLOOKUP(CONCATENATE(AX$4,$C139),'INSER DATA'!$A:$F,7,0),"")</f>
        <v/>
      </c>
      <c r="AY139" s="270" t="str">
        <f>_xlfn.IFNA(VLOOKUP(CONCATENATE(AY$4,$C139),'INSER DATA'!$A:$F,7,0),"")</f>
        <v/>
      </c>
      <c r="AZ139" s="270" t="str">
        <f>_xlfn.IFNA(VLOOKUP(CONCATENATE(AZ$4,$C139),'INSER DATA'!$A:$F,7,0),"")</f>
        <v/>
      </c>
      <c r="BA139" s="270" t="str">
        <f>_xlfn.IFNA(VLOOKUP(CONCATENATE(BA$4,$C139),'INSER DATA'!$A:$F,7,0),"")</f>
        <v/>
      </c>
      <c r="BB139" s="270" t="str">
        <f>_xlfn.IFNA(VLOOKUP(CONCATENATE(BB$4,$C139),'INSER DATA'!$A:$F,7,0),"")</f>
        <v/>
      </c>
      <c r="BC139" s="270" t="str">
        <f>_xlfn.IFNA(VLOOKUP(CONCATENATE(BC$4,$C139),'INSER DATA'!$A:$F,7,0),"")</f>
        <v/>
      </c>
      <c r="BD139" s="270" t="str">
        <f>_xlfn.IFNA(VLOOKUP(CONCATENATE(BD$4,$C139),'INSER DATA'!$A:$F,7,0),"")</f>
        <v/>
      </c>
      <c r="BE139" s="270" t="str">
        <f>_xlfn.IFNA(VLOOKUP(CONCATENATE(BE$4,$C139),'INSER DATA'!$A:$F,7,0),"")</f>
        <v/>
      </c>
      <c r="BF139" s="270" t="str">
        <f>_xlfn.IFNA(VLOOKUP(CONCATENATE(BF$4,$C139),'INSER DATA'!$A:$F,7,0),"")</f>
        <v/>
      </c>
      <c r="BG139" s="270" t="str">
        <f>_xlfn.IFNA(VLOOKUP(CONCATENATE(BG$4,$C139),'INSER DATA'!$A:$F,7,0),"")</f>
        <v/>
      </c>
      <c r="BH139" s="270" t="str">
        <f>_xlfn.IFNA(VLOOKUP(CONCATENATE(BH$4,$C139),'INSER DATA'!$A:$F,7,0),"")</f>
        <v/>
      </c>
      <c r="BI139" s="270" t="str">
        <f>_xlfn.IFNA(VLOOKUP(CONCATENATE(BI$4,$C139),'INSER DATA'!$A:$F,7,0),"")</f>
        <v/>
      </c>
      <c r="BJ139" s="270" t="str">
        <f>_xlfn.IFNA(VLOOKUP(CONCATENATE(BJ$4,$C139),'INSER DATA'!$A:$F,7,0),"")</f>
        <v/>
      </c>
      <c r="BK139" s="270" t="str">
        <f>_xlfn.IFNA(VLOOKUP(CONCATENATE(BK$4,$C139),'INSER DATA'!$A:$F,7,0),"")</f>
        <v/>
      </c>
      <c r="BL139" s="272"/>
      <c r="BM139" s="30"/>
      <c r="BN139" s="30"/>
      <c r="BO139" s="30"/>
      <c r="BP139" s="30"/>
      <c r="BQ139" s="30"/>
      <c r="BR139" s="30"/>
      <c r="BS139" s="30"/>
      <c r="BT139" s="30"/>
      <c r="BU139" s="30"/>
      <c r="BV139" s="30"/>
      <c r="BW139" s="30"/>
      <c r="BX139" s="30"/>
      <c r="BY139" s="30"/>
      <c r="BZ139" s="30"/>
      <c r="CA139" s="30"/>
      <c r="CB139" s="30"/>
      <c r="CC139" s="30"/>
      <c r="CD139" s="30"/>
      <c r="CE139" s="30"/>
      <c r="CF139" s="30"/>
      <c r="CG139" s="30"/>
      <c r="CH139" s="30"/>
      <c r="CI139" s="30"/>
      <c r="CJ139" s="30"/>
      <c r="CK139" s="30"/>
      <c r="CL139" s="30"/>
      <c r="CM139" s="30"/>
      <c r="CN139" s="30"/>
      <c r="CO139" s="30"/>
      <c r="CP139" s="30"/>
      <c r="CQ139" s="30"/>
      <c r="CR139" s="30"/>
      <c r="CS139" s="30"/>
      <c r="CT139" s="30"/>
      <c r="CU139" s="30"/>
      <c r="CV139" s="30"/>
      <c r="CW139" s="30"/>
      <c r="CX139" s="30"/>
      <c r="CY139" s="30"/>
      <c r="CZ139" s="30"/>
      <c r="DA139" s="30"/>
    </row>
    <row r="140" spans="1:105" ht="19.2" thickTop="1" thickBot="1" x14ac:dyDescent="0.4">
      <c r="A140" s="30"/>
      <c r="B140" s="30"/>
      <c r="C140" s="185" t="s">
        <v>730</v>
      </c>
      <c r="D140" s="46" t="s">
        <v>721</v>
      </c>
      <c r="E140" s="35" t="str">
        <f>_xlfn.XLOOKUP(Tabella4[[#This Row],[NOME]],'ROSE SQUADRE'!$N$3:$N$253,'ROSE SQUADRE'!$O$3:$O$253,"")</f>
        <v/>
      </c>
      <c r="F140" s="36" t="s">
        <v>161</v>
      </c>
      <c r="G140" s="43">
        <v>6</v>
      </c>
      <c r="H140" s="43">
        <v>6</v>
      </c>
      <c r="I140" s="44">
        <f t="shared" si="13"/>
        <v>0</v>
      </c>
      <c r="J140" s="37">
        <f t="shared" si="14"/>
        <v>3</v>
      </c>
      <c r="K140" s="38">
        <f t="shared" si="15"/>
        <v>5.833333333333333</v>
      </c>
      <c r="L140" s="38">
        <f t="shared" si="16"/>
        <v>5.833333333333333</v>
      </c>
      <c r="M140" s="39">
        <f t="shared" si="17"/>
        <v>17.5</v>
      </c>
      <c r="N140" s="45">
        <f t="shared" ca="1" si="18"/>
        <v>0</v>
      </c>
      <c r="O140" s="40">
        <f>SUMIF(Tabella1[Nome],Tabella4[[#This Row],[NOME]],Tabella1[Gf])</f>
        <v>0</v>
      </c>
      <c r="P140" s="40">
        <f>-(SUMIF(Tabella1[Nome],Tabella4[[#This Row],[NOME]],Tabella1[Gs]))</f>
        <v>0</v>
      </c>
      <c r="Q140" s="40">
        <f>SUMIF(Tabella1[Nome],Tabella4[[#This Row],[NOME]],Tabella1[Rp])</f>
        <v>0</v>
      </c>
      <c r="R140" s="40">
        <f>SUMIF(Tabella1[Nome],Tabella4[[#This Row],[NOME]],Tabella1[Rs])</f>
        <v>0</v>
      </c>
      <c r="S140" s="40">
        <f>SUMIF(Tabella1[Nome],Tabella4[[#This Row],[NOME]],Tabella1[Rf])</f>
        <v>0</v>
      </c>
      <c r="T140" s="40">
        <f>SUMIF(Tabella1[Nome],Tabella4[[#This Row],[NOME]],Tabella1[Au])</f>
        <v>0</v>
      </c>
      <c r="U140" s="41">
        <f>SUMIF(Tabella1[Nome],Tabella4[[#This Row],[NOME]],Tabella1[Amm])</f>
        <v>0</v>
      </c>
      <c r="V140" s="42">
        <f>SUMIF(Tabella1[Nome],Tabella4[[#This Row],[NOME]],Tabella1[Esp])</f>
        <v>0</v>
      </c>
      <c r="W140" s="40">
        <f>SUMIF(Tabella1[Nome],Tabella4[[#This Row],[NOME]],Tabella1[Ass])</f>
        <v>0</v>
      </c>
      <c r="X140" s="40">
        <f>SUMIF(Tabella1[Nome],Tabella4[[#This Row],[NOME]],Tabella1[Gdv])</f>
        <v>0</v>
      </c>
      <c r="Y140" s="40">
        <f>SUMIF(Tabella1[Nome],Tabella4[[#This Row],[NOME]],Tabella1[cl sh])</f>
        <v>0</v>
      </c>
      <c r="Z140" s="270">
        <f>_xlfn.IFNA(_xlfn.XLOOKUP(CONCATENATE(Z$4,$C140),Tabella1[CONC X VOTI IN TAB GIOC],Tabella1[Voto],""),"")</f>
        <v>5</v>
      </c>
      <c r="AA140" s="270">
        <f>_xlfn.IFNA(_xlfn.XLOOKUP(CONCATENATE(AA$4,$C140),Tabella1[CONC X VOTI IN TAB GIOC],Tabella1[Voto],""),"")</f>
        <v>7</v>
      </c>
      <c r="AB140" s="270" t="str">
        <f>_xlfn.IFNA(_xlfn.XLOOKUP(CONCATENATE(AB$4,$C140),Tabella1[CONC X VOTI IN TAB GIOC],Tabella1[Voto]),"")</f>
        <v/>
      </c>
      <c r="AC140" s="270" cm="1">
        <f t="array" ref="AC140">_xlfn.IFNA(_xlfn.XLOOKUP(CONCATENATE(AC$4,$C140),INDEX(Tabella1[],0,MATCH("CONC X VOTI IN TAB GIOC",Tabella1[#Headers],0)),INDEX(Tabella1[],0,MATCH("Voto",Tabella1[#Headers],0))),"")</f>
        <v>5.5</v>
      </c>
      <c r="AD140" s="270" t="str">
        <f>_xlfn.IFNA(_xlfn.XLOOKUP(CONCATENATE(AD$4,$C140),Tabella1[CONC X VOTI IN TAB GIOC],Tabella1[Voto]),"")</f>
        <v/>
      </c>
      <c r="AE140" s="270" t="str">
        <f>_xlfn.IFNA(VLOOKUP(CONCATENATE(AE$4,$C140),'INSER DATA'!$A:$F,6,0),"")</f>
        <v/>
      </c>
      <c r="AF140" s="270" t="str">
        <f>_xlfn.IFNA(VLOOKUP(CONCATENATE(AF$4,$C140),'INSER DATA'!$A:$F,6,0),"")</f>
        <v/>
      </c>
      <c r="AG140" s="270" t="str">
        <f>_xlfn.IFNA(VLOOKUP(CONCATENATE(AG$4,$C140),'INSER DATA'!$A:$F,6,0),"")</f>
        <v/>
      </c>
      <c r="AH140" s="270" t="str">
        <f>_xlfn.IFNA(VLOOKUP(CONCATENATE(AH$4,$C140),'INSER DATA'!$A:$F,7,0),"")</f>
        <v/>
      </c>
      <c r="AI140" s="270" t="str">
        <f>_xlfn.IFNA(VLOOKUP(CONCATENATE(AI$4,$C140),'INSER DATA'!$A:$F,7,0),"")</f>
        <v/>
      </c>
      <c r="AJ140" s="270" t="str">
        <f>_xlfn.IFNA(VLOOKUP(CONCATENATE(AJ$4,$C140),'INSER DATA'!$A:$F,7,0),"")</f>
        <v/>
      </c>
      <c r="AK140" s="270" t="str">
        <f>_xlfn.IFNA(VLOOKUP(CONCATENATE(AK$4,$C140),'INSER DATA'!$A:$F,7,0),"")</f>
        <v/>
      </c>
      <c r="AL140" s="270" t="str">
        <f>_xlfn.IFNA(VLOOKUP(CONCATENATE(AL$4,$C140),'INSER DATA'!$A:$F,7,0),"")</f>
        <v/>
      </c>
      <c r="AM140" s="270" t="str">
        <f>_xlfn.IFNA(VLOOKUP(CONCATENATE(AM$4,$C140),'INSER DATA'!$A:$F,7,0),"")</f>
        <v/>
      </c>
      <c r="AN140" s="270" t="str">
        <f>_xlfn.IFNA(VLOOKUP(CONCATENATE(AN$4,$C140),'INSER DATA'!$A:$F,7,0),"")</f>
        <v/>
      </c>
      <c r="AO140" s="270" t="str">
        <f>_xlfn.IFNA(VLOOKUP(CONCATENATE(AO$4,$C140),'INSER DATA'!$A:$F,7,0),"")</f>
        <v/>
      </c>
      <c r="AP140" s="270" t="str">
        <f>_xlfn.IFNA(VLOOKUP(CONCATENATE(AP$4,$C140),'INSER DATA'!$A:$F,7,0),"")</f>
        <v/>
      </c>
      <c r="AQ140" s="270" t="str">
        <f>_xlfn.IFNA(VLOOKUP(CONCATENATE(AQ$4,$C140),'INSER DATA'!$A:$F,7,0),"")</f>
        <v/>
      </c>
      <c r="AR140" s="270" t="str">
        <f>_xlfn.IFNA(VLOOKUP(CONCATENATE(AR$4,$C140),'INSER DATA'!$A:$F,7,0),"")</f>
        <v/>
      </c>
      <c r="AS140" s="270" t="str">
        <f>_xlfn.IFNA(VLOOKUP(CONCATENATE(AS$4,$C140),'INSER DATA'!$A:$F,7,0),"")</f>
        <v/>
      </c>
      <c r="AT140" s="270" t="str">
        <f>_xlfn.IFNA(VLOOKUP(CONCATENATE(AT$4,$C140),'INSER DATA'!$A:$F,7,0),"")</f>
        <v/>
      </c>
      <c r="AU140" s="270" t="str">
        <f>_xlfn.IFNA(VLOOKUP(CONCATENATE(AU$4,$C140),'INSER DATA'!$A:$F,7,0),"")</f>
        <v/>
      </c>
      <c r="AV140" s="270" t="str">
        <f>_xlfn.IFNA(VLOOKUP(CONCATENATE(AV$4,$C140),'INSER DATA'!$A:$F,7,0),"")</f>
        <v/>
      </c>
      <c r="AW140" s="270" t="str">
        <f>_xlfn.IFNA(VLOOKUP(CONCATENATE(AW$4,$C140),'INSER DATA'!$A:$F,7,0),"")</f>
        <v/>
      </c>
      <c r="AX140" s="270" t="str">
        <f>_xlfn.IFNA(VLOOKUP(CONCATENATE(AX$4,$C140),'INSER DATA'!$A:$F,7,0),"")</f>
        <v/>
      </c>
      <c r="AY140" s="270" t="str">
        <f>_xlfn.IFNA(VLOOKUP(CONCATENATE(AY$4,$C140),'INSER DATA'!$A:$F,7,0),"")</f>
        <v/>
      </c>
      <c r="AZ140" s="270" t="str">
        <f>_xlfn.IFNA(VLOOKUP(CONCATENATE(AZ$4,$C140),'INSER DATA'!$A:$F,7,0),"")</f>
        <v/>
      </c>
      <c r="BA140" s="270" t="str">
        <f>_xlfn.IFNA(VLOOKUP(CONCATENATE(BA$4,$C140),'INSER DATA'!$A:$F,7,0),"")</f>
        <v/>
      </c>
      <c r="BB140" s="270" t="str">
        <f>_xlfn.IFNA(VLOOKUP(CONCATENATE(BB$4,$C140),'INSER DATA'!$A:$F,7,0),"")</f>
        <v/>
      </c>
      <c r="BC140" s="270" t="str">
        <f>_xlfn.IFNA(VLOOKUP(CONCATENATE(BC$4,$C140),'INSER DATA'!$A:$F,7,0),"")</f>
        <v/>
      </c>
      <c r="BD140" s="270" t="str">
        <f>_xlfn.IFNA(VLOOKUP(CONCATENATE(BD$4,$C140),'INSER DATA'!$A:$F,7,0),"")</f>
        <v/>
      </c>
      <c r="BE140" s="270" t="str">
        <f>_xlfn.IFNA(VLOOKUP(CONCATENATE(BE$4,$C140),'INSER DATA'!$A:$F,7,0),"")</f>
        <v/>
      </c>
      <c r="BF140" s="270" t="str">
        <f>_xlfn.IFNA(VLOOKUP(CONCATENATE(BF$4,$C140),'INSER DATA'!$A:$F,7,0),"")</f>
        <v/>
      </c>
      <c r="BG140" s="270" t="str">
        <f>_xlfn.IFNA(VLOOKUP(CONCATENATE(BG$4,$C140),'INSER DATA'!$A:$F,7,0),"")</f>
        <v/>
      </c>
      <c r="BH140" s="270" t="str">
        <f>_xlfn.IFNA(VLOOKUP(CONCATENATE(BH$4,$C140),'INSER DATA'!$A:$F,7,0),"")</f>
        <v/>
      </c>
      <c r="BI140" s="270" t="str">
        <f>_xlfn.IFNA(VLOOKUP(CONCATENATE(BI$4,$C140),'INSER DATA'!$A:$F,7,0),"")</f>
        <v/>
      </c>
      <c r="BJ140" s="270" t="str">
        <f>_xlfn.IFNA(VLOOKUP(CONCATENATE(BJ$4,$C140),'INSER DATA'!$A:$F,7,0),"")</f>
        <v/>
      </c>
      <c r="BK140" s="270" t="str">
        <f>_xlfn.IFNA(VLOOKUP(CONCATENATE(BK$4,$C140),'INSER DATA'!$A:$F,7,0),"")</f>
        <v/>
      </c>
      <c r="BL140" s="272"/>
      <c r="BM140" s="30"/>
      <c r="BN140" s="30"/>
      <c r="BO140" s="30"/>
      <c r="BP140" s="30"/>
      <c r="BQ140" s="30"/>
      <c r="BR140" s="30"/>
      <c r="BS140" s="30"/>
      <c r="BT140" s="30"/>
      <c r="BU140" s="30"/>
      <c r="BV140" s="30"/>
      <c r="BW140" s="30"/>
      <c r="BX140" s="30"/>
      <c r="BY140" s="30"/>
      <c r="BZ140" s="30"/>
      <c r="CA140" s="30"/>
      <c r="CB140" s="30"/>
      <c r="CC140" s="30"/>
      <c r="CD140" s="30"/>
      <c r="CE140" s="30"/>
      <c r="CF140" s="30"/>
      <c r="CG140" s="30"/>
      <c r="CH140" s="30"/>
      <c r="CI140" s="30"/>
      <c r="CJ140" s="30"/>
      <c r="CK140" s="30"/>
      <c r="CL140" s="30"/>
      <c r="CM140" s="30"/>
      <c r="CN140" s="30"/>
      <c r="CO140" s="30"/>
      <c r="CP140" s="30"/>
      <c r="CQ140" s="30"/>
      <c r="CR140" s="30"/>
      <c r="CS140" s="30"/>
      <c r="CT140" s="30"/>
      <c r="CU140" s="30"/>
      <c r="CV140" s="30"/>
      <c r="CW140" s="30"/>
      <c r="CX140" s="30"/>
      <c r="CY140" s="30"/>
      <c r="CZ140" s="30"/>
      <c r="DA140" s="30"/>
    </row>
    <row r="141" spans="1:105" ht="19.2" thickTop="1" thickBot="1" x14ac:dyDescent="0.4">
      <c r="A141" s="30"/>
      <c r="B141" s="30"/>
      <c r="C141" s="188" t="s">
        <v>737</v>
      </c>
      <c r="D141" s="46" t="s">
        <v>721</v>
      </c>
      <c r="E141" s="35" t="str">
        <f>_xlfn.XLOOKUP(Tabella4[[#This Row],[NOME]],'ROSE SQUADRE'!$N$3:$N$253,'ROSE SQUADRE'!$O$3:$O$253,"")</f>
        <v/>
      </c>
      <c r="F141" s="36" t="s">
        <v>162</v>
      </c>
      <c r="G141" s="43">
        <v>3</v>
      </c>
      <c r="H141" s="43">
        <v>4</v>
      </c>
      <c r="I141" s="44">
        <f t="shared" si="13"/>
        <v>1</v>
      </c>
      <c r="J141" s="37">
        <f t="shared" si="14"/>
        <v>4</v>
      </c>
      <c r="K141" s="38">
        <f t="shared" si="15"/>
        <v>6.125</v>
      </c>
      <c r="L141" s="38">
        <f t="shared" si="16"/>
        <v>6.125</v>
      </c>
      <c r="M141" s="39">
        <f t="shared" si="17"/>
        <v>24.5</v>
      </c>
      <c r="N141" s="45">
        <f t="shared" ca="1" si="18"/>
        <v>0</v>
      </c>
      <c r="O141" s="40">
        <f>SUMIF(Tabella1[Nome],Tabella4[[#This Row],[NOME]],Tabella1[Gf])</f>
        <v>0</v>
      </c>
      <c r="P141" s="40">
        <f>-(SUMIF(Tabella1[Nome],Tabella4[[#This Row],[NOME]],Tabella1[Gs]))</f>
        <v>0</v>
      </c>
      <c r="Q141" s="40">
        <f>SUMIF(Tabella1[Nome],Tabella4[[#This Row],[NOME]],Tabella1[Rp])</f>
        <v>0</v>
      </c>
      <c r="R141" s="40">
        <f>SUMIF(Tabella1[Nome],Tabella4[[#This Row],[NOME]],Tabella1[Rs])</f>
        <v>0</v>
      </c>
      <c r="S141" s="40">
        <f>SUMIF(Tabella1[Nome],Tabella4[[#This Row],[NOME]],Tabella1[Rf])</f>
        <v>0</v>
      </c>
      <c r="T141" s="40">
        <f>SUMIF(Tabella1[Nome],Tabella4[[#This Row],[NOME]],Tabella1[Au])</f>
        <v>0</v>
      </c>
      <c r="U141" s="41">
        <f>SUMIF(Tabella1[Nome],Tabella4[[#This Row],[NOME]],Tabella1[Amm])</f>
        <v>0</v>
      </c>
      <c r="V141" s="42">
        <f>SUMIF(Tabella1[Nome],Tabella4[[#This Row],[NOME]],Tabella1[Esp])</f>
        <v>0</v>
      </c>
      <c r="W141" s="40">
        <f>SUMIF(Tabella1[Nome],Tabella4[[#This Row],[NOME]],Tabella1[Ass])</f>
        <v>0</v>
      </c>
      <c r="X141" s="40">
        <f>SUMIF(Tabella1[Nome],Tabella4[[#This Row],[NOME]],Tabella1[Gdv])</f>
        <v>0</v>
      </c>
      <c r="Y141" s="40">
        <f>SUMIF(Tabella1[Nome],Tabella4[[#This Row],[NOME]],Tabella1[cl sh])</f>
        <v>0</v>
      </c>
      <c r="Z141" s="270">
        <f>_xlfn.IFNA(_xlfn.XLOOKUP(CONCATENATE(Z$4,$C141),Tabella1[CONC X VOTI IN TAB GIOC],Tabella1[Voto],""),"")</f>
        <v>6</v>
      </c>
      <c r="AA141" s="270">
        <f>_xlfn.IFNA(_xlfn.XLOOKUP(CONCATENATE(AA$4,$C141),Tabella1[CONC X VOTI IN TAB GIOC],Tabella1[Voto],""),"")</f>
        <v>6</v>
      </c>
      <c r="AB141" s="270">
        <f>_xlfn.IFNA(_xlfn.XLOOKUP(CONCATENATE(AB$4,$C141),Tabella1[CONC X VOTI IN TAB GIOC],Tabella1[Voto]),"")</f>
        <v>6</v>
      </c>
      <c r="AC141" s="270" cm="1">
        <f t="array" ref="AC141">_xlfn.IFNA(_xlfn.XLOOKUP(CONCATENATE(AC$4,$C141),INDEX(Tabella1[],0,MATCH("CONC X VOTI IN TAB GIOC",Tabella1[#Headers],0)),INDEX(Tabella1[],0,MATCH("Voto",Tabella1[#Headers],0))),"")</f>
        <v>6.5</v>
      </c>
      <c r="AD141" s="270" t="str">
        <f>_xlfn.IFNA(_xlfn.XLOOKUP(CONCATENATE(AD$4,$C141),Tabella1[CONC X VOTI IN TAB GIOC],Tabella1[Voto]),"")</f>
        <v/>
      </c>
      <c r="AE141" s="270" t="str">
        <f>_xlfn.IFNA(VLOOKUP(CONCATENATE(AE$4,$C141),'INSER DATA'!$A:$F,6,0),"")</f>
        <v/>
      </c>
      <c r="AF141" s="270" t="str">
        <f>_xlfn.IFNA(VLOOKUP(CONCATENATE(AF$4,$C141),'INSER DATA'!$A:$F,6,0),"")</f>
        <v/>
      </c>
      <c r="AG141" s="270" t="str">
        <f>_xlfn.IFNA(VLOOKUP(CONCATENATE(AG$4,$C141),'INSER DATA'!$A:$F,6,0),"")</f>
        <v/>
      </c>
      <c r="AH141" s="270" t="str">
        <f>_xlfn.IFNA(VLOOKUP(CONCATENATE(AH$4,$C141),'INSER DATA'!$A:$F,7,0),"")</f>
        <v/>
      </c>
      <c r="AI141" s="270" t="str">
        <f>_xlfn.IFNA(VLOOKUP(CONCATENATE(AI$4,$C141),'INSER DATA'!$A:$F,7,0),"")</f>
        <v/>
      </c>
      <c r="AJ141" s="270" t="str">
        <f>_xlfn.IFNA(VLOOKUP(CONCATENATE(AJ$4,$C141),'INSER DATA'!$A:$F,7,0),"")</f>
        <v/>
      </c>
      <c r="AK141" s="270" t="str">
        <f>_xlfn.IFNA(VLOOKUP(CONCATENATE(AK$4,$C141),'INSER DATA'!$A:$F,7,0),"")</f>
        <v/>
      </c>
      <c r="AL141" s="270" t="str">
        <f>_xlfn.IFNA(VLOOKUP(CONCATENATE(AL$4,$C141),'INSER DATA'!$A:$F,7,0),"")</f>
        <v/>
      </c>
      <c r="AM141" s="270" t="str">
        <f>_xlfn.IFNA(VLOOKUP(CONCATENATE(AM$4,$C141),'INSER DATA'!$A:$F,7,0),"")</f>
        <v/>
      </c>
      <c r="AN141" s="270" t="str">
        <f>_xlfn.IFNA(VLOOKUP(CONCATENATE(AN$4,$C141),'INSER DATA'!$A:$F,7,0),"")</f>
        <v/>
      </c>
      <c r="AO141" s="270" t="str">
        <f>_xlfn.IFNA(VLOOKUP(CONCATENATE(AO$4,$C141),'INSER DATA'!$A:$F,7,0),"")</f>
        <v/>
      </c>
      <c r="AP141" s="270" t="str">
        <f>_xlfn.IFNA(VLOOKUP(CONCATENATE(AP$4,$C141),'INSER DATA'!$A:$F,7,0),"")</f>
        <v/>
      </c>
      <c r="AQ141" s="270" t="str">
        <f>_xlfn.IFNA(VLOOKUP(CONCATENATE(AQ$4,$C141),'INSER DATA'!$A:$F,7,0),"")</f>
        <v/>
      </c>
      <c r="AR141" s="270" t="str">
        <f>_xlfn.IFNA(VLOOKUP(CONCATENATE(AR$4,$C141),'INSER DATA'!$A:$F,7,0),"")</f>
        <v/>
      </c>
      <c r="AS141" s="270" t="str">
        <f>_xlfn.IFNA(VLOOKUP(CONCATENATE(AS$4,$C141),'INSER DATA'!$A:$F,7,0),"")</f>
        <v/>
      </c>
      <c r="AT141" s="270" t="str">
        <f>_xlfn.IFNA(VLOOKUP(CONCATENATE(AT$4,$C141),'INSER DATA'!$A:$F,7,0),"")</f>
        <v/>
      </c>
      <c r="AU141" s="270" t="str">
        <f>_xlfn.IFNA(VLOOKUP(CONCATENATE(AU$4,$C141),'INSER DATA'!$A:$F,7,0),"")</f>
        <v/>
      </c>
      <c r="AV141" s="270" t="str">
        <f>_xlfn.IFNA(VLOOKUP(CONCATENATE(AV$4,$C141),'INSER DATA'!$A:$F,7,0),"")</f>
        <v/>
      </c>
      <c r="AW141" s="270" t="str">
        <f>_xlfn.IFNA(VLOOKUP(CONCATENATE(AW$4,$C141),'INSER DATA'!$A:$F,7,0),"")</f>
        <v/>
      </c>
      <c r="AX141" s="270" t="str">
        <f>_xlfn.IFNA(VLOOKUP(CONCATENATE(AX$4,$C141),'INSER DATA'!$A:$F,7,0),"")</f>
        <v/>
      </c>
      <c r="AY141" s="270" t="str">
        <f>_xlfn.IFNA(VLOOKUP(CONCATENATE(AY$4,$C141),'INSER DATA'!$A:$F,7,0),"")</f>
        <v/>
      </c>
      <c r="AZ141" s="270" t="str">
        <f>_xlfn.IFNA(VLOOKUP(CONCATENATE(AZ$4,$C141),'INSER DATA'!$A:$F,7,0),"")</f>
        <v/>
      </c>
      <c r="BA141" s="270" t="str">
        <f>_xlfn.IFNA(VLOOKUP(CONCATENATE(BA$4,$C141),'INSER DATA'!$A:$F,7,0),"")</f>
        <v/>
      </c>
      <c r="BB141" s="270" t="str">
        <f>_xlfn.IFNA(VLOOKUP(CONCATENATE(BB$4,$C141),'INSER DATA'!$A:$F,7,0),"")</f>
        <v/>
      </c>
      <c r="BC141" s="270" t="str">
        <f>_xlfn.IFNA(VLOOKUP(CONCATENATE(BC$4,$C141),'INSER DATA'!$A:$F,7,0),"")</f>
        <v/>
      </c>
      <c r="BD141" s="270" t="str">
        <f>_xlfn.IFNA(VLOOKUP(CONCATENATE(BD$4,$C141),'INSER DATA'!$A:$F,7,0),"")</f>
        <v/>
      </c>
      <c r="BE141" s="270" t="str">
        <f>_xlfn.IFNA(VLOOKUP(CONCATENATE(BE$4,$C141),'INSER DATA'!$A:$F,7,0),"")</f>
        <v/>
      </c>
      <c r="BF141" s="270" t="str">
        <f>_xlfn.IFNA(VLOOKUP(CONCATENATE(BF$4,$C141),'INSER DATA'!$A:$F,7,0),"")</f>
        <v/>
      </c>
      <c r="BG141" s="270" t="str">
        <f>_xlfn.IFNA(VLOOKUP(CONCATENATE(BG$4,$C141),'INSER DATA'!$A:$F,7,0),"")</f>
        <v/>
      </c>
      <c r="BH141" s="270" t="str">
        <f>_xlfn.IFNA(VLOOKUP(CONCATENATE(BH$4,$C141),'INSER DATA'!$A:$F,7,0),"")</f>
        <v/>
      </c>
      <c r="BI141" s="270" t="str">
        <f>_xlfn.IFNA(VLOOKUP(CONCATENATE(BI$4,$C141),'INSER DATA'!$A:$F,7,0),"")</f>
        <v/>
      </c>
      <c r="BJ141" s="270" t="str">
        <f>_xlfn.IFNA(VLOOKUP(CONCATENATE(BJ$4,$C141),'INSER DATA'!$A:$F,7,0),"")</f>
        <v/>
      </c>
      <c r="BK141" s="270" t="str">
        <f>_xlfn.IFNA(VLOOKUP(CONCATENATE(BK$4,$C141),'INSER DATA'!$A:$F,7,0),"")</f>
        <v/>
      </c>
      <c r="BL141" s="272"/>
      <c r="BM141" s="30"/>
      <c r="BN141" s="30"/>
      <c r="BO141" s="30"/>
      <c r="BP141" s="30"/>
      <c r="BQ141" s="30"/>
      <c r="BR141" s="30"/>
      <c r="BS141" s="30"/>
      <c r="BT141" s="30"/>
      <c r="BU141" s="30"/>
      <c r="BV141" s="30"/>
      <c r="BW141" s="30"/>
      <c r="BX141" s="30"/>
      <c r="BY141" s="30"/>
      <c r="BZ141" s="30"/>
      <c r="CA141" s="30"/>
      <c r="CB141" s="30"/>
      <c r="CC141" s="30"/>
      <c r="CD141" s="30"/>
      <c r="CE141" s="30"/>
      <c r="CF141" s="30"/>
      <c r="CG141" s="30"/>
      <c r="CH141" s="30"/>
      <c r="CI141" s="30"/>
      <c r="CJ141" s="30"/>
      <c r="CK141" s="30"/>
      <c r="CL141" s="30"/>
      <c r="CM141" s="30"/>
      <c r="CN141" s="30"/>
      <c r="CO141" s="30"/>
      <c r="CP141" s="30"/>
      <c r="CQ141" s="30"/>
      <c r="CR141" s="30"/>
      <c r="CS141" s="30"/>
      <c r="CT141" s="30"/>
      <c r="CU141" s="30"/>
      <c r="CV141" s="30"/>
      <c r="CW141" s="30"/>
      <c r="CX141" s="30"/>
      <c r="CY141" s="30"/>
      <c r="CZ141" s="30"/>
      <c r="DA141" s="30"/>
    </row>
    <row r="142" spans="1:105" ht="19.2" thickTop="1" thickBot="1" x14ac:dyDescent="0.4">
      <c r="A142" s="30"/>
      <c r="B142" s="30"/>
      <c r="C142" s="188" t="s">
        <v>740</v>
      </c>
      <c r="D142" s="46" t="s">
        <v>721</v>
      </c>
      <c r="E142" s="35" t="str">
        <f>_xlfn.XLOOKUP(Tabella4[[#This Row],[NOME]],'ROSE SQUADRE'!$N$3:$N$253,'ROSE SQUADRE'!$O$3:$O$253,"")</f>
        <v/>
      </c>
      <c r="F142" s="36" t="s">
        <v>162</v>
      </c>
      <c r="G142" s="43">
        <v>2</v>
      </c>
      <c r="H142" s="43">
        <v>3</v>
      </c>
      <c r="I142" s="44">
        <f t="shared" si="13"/>
        <v>1</v>
      </c>
      <c r="J142" s="37">
        <f t="shared" si="14"/>
        <v>2</v>
      </c>
      <c r="K142" s="38">
        <f t="shared" si="15"/>
        <v>6</v>
      </c>
      <c r="L142" s="38">
        <f t="shared" si="16"/>
        <v>6</v>
      </c>
      <c r="M142" s="39">
        <f t="shared" si="17"/>
        <v>12</v>
      </c>
      <c r="N142" s="45">
        <f t="shared" ca="1" si="18"/>
        <v>0</v>
      </c>
      <c r="O142" s="40">
        <f>SUMIF(Tabella1[Nome],Tabella4[[#This Row],[NOME]],Tabella1[Gf])</f>
        <v>0</v>
      </c>
      <c r="P142" s="40">
        <f>-(SUMIF(Tabella1[Nome],Tabella4[[#This Row],[NOME]],Tabella1[Gs]))</f>
        <v>0</v>
      </c>
      <c r="Q142" s="40">
        <f>SUMIF(Tabella1[Nome],Tabella4[[#This Row],[NOME]],Tabella1[Rp])</f>
        <v>0</v>
      </c>
      <c r="R142" s="40">
        <f>SUMIF(Tabella1[Nome],Tabella4[[#This Row],[NOME]],Tabella1[Rs])</f>
        <v>0</v>
      </c>
      <c r="S142" s="40">
        <f>SUMIF(Tabella1[Nome],Tabella4[[#This Row],[NOME]],Tabella1[Rf])</f>
        <v>0</v>
      </c>
      <c r="T142" s="40">
        <f>SUMIF(Tabella1[Nome],Tabella4[[#This Row],[NOME]],Tabella1[Au])</f>
        <v>0</v>
      </c>
      <c r="U142" s="41">
        <f>SUMIF(Tabella1[Nome],Tabella4[[#This Row],[NOME]],Tabella1[Amm])</f>
        <v>0</v>
      </c>
      <c r="V142" s="42">
        <f>SUMIF(Tabella1[Nome],Tabella4[[#This Row],[NOME]],Tabella1[Esp])</f>
        <v>0</v>
      </c>
      <c r="W142" s="40">
        <f>SUMIF(Tabella1[Nome],Tabella4[[#This Row],[NOME]],Tabella1[Ass])</f>
        <v>0</v>
      </c>
      <c r="X142" s="40">
        <f>SUMIF(Tabella1[Nome],Tabella4[[#This Row],[NOME]],Tabella1[Gdv])</f>
        <v>0</v>
      </c>
      <c r="Y142" s="40">
        <f>SUMIF(Tabella1[Nome],Tabella4[[#This Row],[NOME]],Tabella1[cl sh])</f>
        <v>0</v>
      </c>
      <c r="Z142" s="270">
        <f>_xlfn.IFNA(_xlfn.XLOOKUP(CONCATENATE(Z$4,$C142),Tabella1[CONC X VOTI IN TAB GIOC],Tabella1[Voto],""),"")</f>
        <v>6</v>
      </c>
      <c r="AA142" s="270" t="str">
        <f>_xlfn.IFNA(_xlfn.XLOOKUP(CONCATENATE(AA$4,$C142),Tabella1[CONC X VOTI IN TAB GIOC],Tabella1[Voto],""),"")</f>
        <v/>
      </c>
      <c r="AB142" s="270" t="str">
        <f>_xlfn.IFNA(_xlfn.XLOOKUP(CONCATENATE(AB$4,$C142),Tabella1[CONC X VOTI IN TAB GIOC],Tabella1[Voto]),"")</f>
        <v/>
      </c>
      <c r="AC142" s="270" cm="1">
        <f t="array" ref="AC142">_xlfn.IFNA(_xlfn.XLOOKUP(CONCATENATE(AC$4,$C142),INDEX(Tabella1[],0,MATCH("CONC X VOTI IN TAB GIOC",Tabella1[#Headers],0)),INDEX(Tabella1[],0,MATCH("Voto",Tabella1[#Headers],0))),"")</f>
        <v>6</v>
      </c>
      <c r="AD142" s="270" t="str">
        <f>_xlfn.IFNA(_xlfn.XLOOKUP(CONCATENATE(AD$4,$C142),Tabella1[CONC X VOTI IN TAB GIOC],Tabella1[Voto]),"")</f>
        <v/>
      </c>
      <c r="AE142" s="270" t="str">
        <f>_xlfn.IFNA(VLOOKUP(CONCATENATE(AE$4,$C142),'INSER DATA'!$A:$F,6,0),"")</f>
        <v/>
      </c>
      <c r="AF142" s="270" t="str">
        <f>_xlfn.IFNA(VLOOKUP(CONCATENATE(AF$4,$C142),'INSER DATA'!$A:$F,6,0),"")</f>
        <v/>
      </c>
      <c r="AG142" s="270" t="str">
        <f>_xlfn.IFNA(VLOOKUP(CONCATENATE(AG$4,$C142),'INSER DATA'!$A:$F,6,0),"")</f>
        <v/>
      </c>
      <c r="AH142" s="270" t="str">
        <f>_xlfn.IFNA(VLOOKUP(CONCATENATE(AH$4,$C142),'INSER DATA'!$A:$F,7,0),"")</f>
        <v/>
      </c>
      <c r="AI142" s="270" t="str">
        <f>_xlfn.IFNA(VLOOKUP(CONCATENATE(AI$4,$C142),'INSER DATA'!$A:$F,7,0),"")</f>
        <v/>
      </c>
      <c r="AJ142" s="270" t="str">
        <f>_xlfn.IFNA(VLOOKUP(CONCATENATE(AJ$4,$C142),'INSER DATA'!$A:$F,7,0),"")</f>
        <v/>
      </c>
      <c r="AK142" s="270" t="str">
        <f>_xlfn.IFNA(VLOOKUP(CONCATENATE(AK$4,$C142),'INSER DATA'!$A:$F,7,0),"")</f>
        <v/>
      </c>
      <c r="AL142" s="270" t="str">
        <f>_xlfn.IFNA(VLOOKUP(CONCATENATE(AL$4,$C142),'INSER DATA'!$A:$F,7,0),"")</f>
        <v/>
      </c>
      <c r="AM142" s="270" t="str">
        <f>_xlfn.IFNA(VLOOKUP(CONCATENATE(AM$4,$C142),'INSER DATA'!$A:$F,7,0),"")</f>
        <v/>
      </c>
      <c r="AN142" s="270" t="str">
        <f>_xlfn.IFNA(VLOOKUP(CONCATENATE(AN$4,$C142),'INSER DATA'!$A:$F,7,0),"")</f>
        <v/>
      </c>
      <c r="AO142" s="270" t="str">
        <f>_xlfn.IFNA(VLOOKUP(CONCATENATE(AO$4,$C142),'INSER DATA'!$A:$F,7,0),"")</f>
        <v/>
      </c>
      <c r="AP142" s="270" t="str">
        <f>_xlfn.IFNA(VLOOKUP(CONCATENATE(AP$4,$C142),'INSER DATA'!$A:$F,7,0),"")</f>
        <v/>
      </c>
      <c r="AQ142" s="270" t="str">
        <f>_xlfn.IFNA(VLOOKUP(CONCATENATE(AQ$4,$C142),'INSER DATA'!$A:$F,7,0),"")</f>
        <v/>
      </c>
      <c r="AR142" s="270" t="str">
        <f>_xlfn.IFNA(VLOOKUP(CONCATENATE(AR$4,$C142),'INSER DATA'!$A:$F,7,0),"")</f>
        <v/>
      </c>
      <c r="AS142" s="270" t="str">
        <f>_xlfn.IFNA(VLOOKUP(CONCATENATE(AS$4,$C142),'INSER DATA'!$A:$F,7,0),"")</f>
        <v/>
      </c>
      <c r="AT142" s="270" t="str">
        <f>_xlfn.IFNA(VLOOKUP(CONCATENATE(AT$4,$C142),'INSER DATA'!$A:$F,7,0),"")</f>
        <v/>
      </c>
      <c r="AU142" s="270" t="str">
        <f>_xlfn.IFNA(VLOOKUP(CONCATENATE(AU$4,$C142),'INSER DATA'!$A:$F,7,0),"")</f>
        <v/>
      </c>
      <c r="AV142" s="270" t="str">
        <f>_xlfn.IFNA(VLOOKUP(CONCATENATE(AV$4,$C142),'INSER DATA'!$A:$F,7,0),"")</f>
        <v/>
      </c>
      <c r="AW142" s="270" t="str">
        <f>_xlfn.IFNA(VLOOKUP(CONCATENATE(AW$4,$C142),'INSER DATA'!$A:$F,7,0),"")</f>
        <v/>
      </c>
      <c r="AX142" s="270" t="str">
        <f>_xlfn.IFNA(VLOOKUP(CONCATENATE(AX$4,$C142),'INSER DATA'!$A:$F,7,0),"")</f>
        <v/>
      </c>
      <c r="AY142" s="270" t="str">
        <f>_xlfn.IFNA(VLOOKUP(CONCATENATE(AY$4,$C142),'INSER DATA'!$A:$F,7,0),"")</f>
        <v/>
      </c>
      <c r="AZ142" s="270" t="str">
        <f>_xlfn.IFNA(VLOOKUP(CONCATENATE(AZ$4,$C142),'INSER DATA'!$A:$F,7,0),"")</f>
        <v/>
      </c>
      <c r="BA142" s="270" t="str">
        <f>_xlfn.IFNA(VLOOKUP(CONCATENATE(BA$4,$C142),'INSER DATA'!$A:$F,7,0),"")</f>
        <v/>
      </c>
      <c r="BB142" s="270" t="str">
        <f>_xlfn.IFNA(VLOOKUP(CONCATENATE(BB$4,$C142),'INSER DATA'!$A:$F,7,0),"")</f>
        <v/>
      </c>
      <c r="BC142" s="270" t="str">
        <f>_xlfn.IFNA(VLOOKUP(CONCATENATE(BC$4,$C142),'INSER DATA'!$A:$F,7,0),"")</f>
        <v/>
      </c>
      <c r="BD142" s="270" t="str">
        <f>_xlfn.IFNA(VLOOKUP(CONCATENATE(BD$4,$C142),'INSER DATA'!$A:$F,7,0),"")</f>
        <v/>
      </c>
      <c r="BE142" s="270" t="str">
        <f>_xlfn.IFNA(VLOOKUP(CONCATENATE(BE$4,$C142),'INSER DATA'!$A:$F,7,0),"")</f>
        <v/>
      </c>
      <c r="BF142" s="270" t="str">
        <f>_xlfn.IFNA(VLOOKUP(CONCATENATE(BF$4,$C142),'INSER DATA'!$A:$F,7,0),"")</f>
        <v/>
      </c>
      <c r="BG142" s="270" t="str">
        <f>_xlfn.IFNA(VLOOKUP(CONCATENATE(BG$4,$C142),'INSER DATA'!$A:$F,7,0),"")</f>
        <v/>
      </c>
      <c r="BH142" s="270" t="str">
        <f>_xlfn.IFNA(VLOOKUP(CONCATENATE(BH$4,$C142),'INSER DATA'!$A:$F,7,0),"")</f>
        <v/>
      </c>
      <c r="BI142" s="270" t="str">
        <f>_xlfn.IFNA(VLOOKUP(CONCATENATE(BI$4,$C142),'INSER DATA'!$A:$F,7,0),"")</f>
        <v/>
      </c>
      <c r="BJ142" s="270" t="str">
        <f>_xlfn.IFNA(VLOOKUP(CONCATENATE(BJ$4,$C142),'INSER DATA'!$A:$F,7,0),"")</f>
        <v/>
      </c>
      <c r="BK142" s="270" t="str">
        <f>_xlfn.IFNA(VLOOKUP(CONCATENATE(BK$4,$C142),'INSER DATA'!$A:$F,7,0),"")</f>
        <v/>
      </c>
      <c r="BL142" s="272"/>
      <c r="BM142" s="30"/>
      <c r="BN142" s="30"/>
      <c r="BO142" s="30"/>
      <c r="BP142" s="30"/>
      <c r="BQ142" s="30"/>
      <c r="BR142" s="30"/>
      <c r="BS142" s="30"/>
      <c r="BT142" s="30"/>
      <c r="BU142" s="30"/>
      <c r="BV142" s="30"/>
      <c r="BW142" s="30"/>
      <c r="BX142" s="30"/>
      <c r="BY142" s="30"/>
      <c r="BZ142" s="30"/>
      <c r="CA142" s="30"/>
      <c r="CB142" s="30"/>
      <c r="CC142" s="30"/>
      <c r="CD142" s="30"/>
      <c r="CE142" s="30"/>
      <c r="CF142" s="30"/>
      <c r="CG142" s="30"/>
      <c r="CH142" s="30"/>
      <c r="CI142" s="30"/>
      <c r="CJ142" s="30"/>
      <c r="CK142" s="30"/>
      <c r="CL142" s="30"/>
      <c r="CM142" s="30"/>
      <c r="CN142" s="30"/>
      <c r="CO142" s="30"/>
      <c r="CP142" s="30"/>
      <c r="CQ142" s="30"/>
      <c r="CR142" s="30"/>
      <c r="CS142" s="30"/>
      <c r="CT142" s="30"/>
      <c r="CU142" s="30"/>
      <c r="CV142" s="30"/>
      <c r="CW142" s="30"/>
      <c r="CX142" s="30"/>
      <c r="CY142" s="30"/>
      <c r="CZ142" s="30"/>
      <c r="DA142" s="30"/>
    </row>
    <row r="143" spans="1:105" ht="19.2" thickTop="1" thickBot="1" x14ac:dyDescent="0.4">
      <c r="A143" s="30"/>
      <c r="B143" s="30"/>
      <c r="C143" s="188" t="s">
        <v>729</v>
      </c>
      <c r="D143" s="46" t="s">
        <v>721</v>
      </c>
      <c r="E143" s="35" t="str">
        <f>_xlfn.XLOOKUP(Tabella4[[#This Row],[NOME]],'ROSE SQUADRE'!$N$3:$N$253,'ROSE SQUADRE'!$O$3:$O$253,"")</f>
        <v/>
      </c>
      <c r="F143" s="36" t="s">
        <v>161</v>
      </c>
      <c r="G143" s="43">
        <v>3</v>
      </c>
      <c r="H143" s="43">
        <v>3</v>
      </c>
      <c r="I143" s="44">
        <f t="shared" si="13"/>
        <v>0</v>
      </c>
      <c r="J143" s="37">
        <f t="shared" si="14"/>
        <v>4</v>
      </c>
      <c r="K143" s="38">
        <f t="shared" si="15"/>
        <v>5.75</v>
      </c>
      <c r="L143" s="38">
        <f t="shared" si="16"/>
        <v>5.625</v>
      </c>
      <c r="M143" s="39">
        <f t="shared" si="17"/>
        <v>22.5</v>
      </c>
      <c r="N143" s="45">
        <f t="shared" ca="1" si="18"/>
        <v>0</v>
      </c>
      <c r="O143" s="40">
        <f>SUMIF(Tabella1[Nome],Tabella4[[#This Row],[NOME]],Tabella1[Gf])</f>
        <v>0</v>
      </c>
      <c r="P143" s="40">
        <f>-(SUMIF(Tabella1[Nome],Tabella4[[#This Row],[NOME]],Tabella1[Gs]))</f>
        <v>0</v>
      </c>
      <c r="Q143" s="40">
        <f>SUMIF(Tabella1[Nome],Tabella4[[#This Row],[NOME]],Tabella1[Rp])</f>
        <v>0</v>
      </c>
      <c r="R143" s="40">
        <f>SUMIF(Tabella1[Nome],Tabella4[[#This Row],[NOME]],Tabella1[Rs])</f>
        <v>0</v>
      </c>
      <c r="S143" s="40">
        <f>SUMIF(Tabella1[Nome],Tabella4[[#This Row],[NOME]],Tabella1[Rf])</f>
        <v>0</v>
      </c>
      <c r="T143" s="40">
        <f>SUMIF(Tabella1[Nome],Tabella4[[#This Row],[NOME]],Tabella1[Au])</f>
        <v>0</v>
      </c>
      <c r="U143" s="41">
        <f>SUMIF(Tabella1[Nome],Tabella4[[#This Row],[NOME]],Tabella1[Amm])</f>
        <v>1</v>
      </c>
      <c r="V143" s="42">
        <f>SUMIF(Tabella1[Nome],Tabella4[[#This Row],[NOME]],Tabella1[Esp])</f>
        <v>0</v>
      </c>
      <c r="W143" s="40">
        <f>SUMIF(Tabella1[Nome],Tabella4[[#This Row],[NOME]],Tabella1[Ass])</f>
        <v>0</v>
      </c>
      <c r="X143" s="40">
        <f>SUMIF(Tabella1[Nome],Tabella4[[#This Row],[NOME]],Tabella1[Gdv])</f>
        <v>0</v>
      </c>
      <c r="Y143" s="40">
        <f>SUMIF(Tabella1[Nome],Tabella4[[#This Row],[NOME]],Tabella1[cl sh])</f>
        <v>0</v>
      </c>
      <c r="Z143" s="270">
        <f>_xlfn.IFNA(_xlfn.XLOOKUP(CONCATENATE(Z$4,$C143),Tabella1[CONC X VOTI IN TAB GIOC],Tabella1[Voto],""),"")</f>
        <v>5.5</v>
      </c>
      <c r="AA143" s="270">
        <f>_xlfn.IFNA(_xlfn.XLOOKUP(CONCATENATE(AA$4,$C143),Tabella1[CONC X VOTI IN TAB GIOC],Tabella1[Voto],""),"")</f>
        <v>6</v>
      </c>
      <c r="AB143" s="270">
        <f>_xlfn.IFNA(_xlfn.XLOOKUP(CONCATENATE(AB$4,$C143),Tabella1[CONC X VOTI IN TAB GIOC],Tabella1[Voto]),"")</f>
        <v>6</v>
      </c>
      <c r="AC143" s="270" cm="1">
        <f t="array" ref="AC143">_xlfn.IFNA(_xlfn.XLOOKUP(CONCATENATE(AC$4,$C143),INDEX(Tabella1[],0,MATCH("CONC X VOTI IN TAB GIOC",Tabella1[#Headers],0)),INDEX(Tabella1[],0,MATCH("Voto",Tabella1[#Headers],0))),"")</f>
        <v>5.5</v>
      </c>
      <c r="AD143" s="270" t="str">
        <f>_xlfn.IFNA(_xlfn.XLOOKUP(CONCATENATE(AD$4,$C143),Tabella1[CONC X VOTI IN TAB GIOC],Tabella1[Voto]),"")</f>
        <v/>
      </c>
      <c r="AE143" s="270" t="str">
        <f>_xlfn.IFNA(VLOOKUP(CONCATENATE(AE$4,$C143),'INSER DATA'!$A:$F,6,0),"")</f>
        <v/>
      </c>
      <c r="AF143" s="270" t="str">
        <f>_xlfn.IFNA(VLOOKUP(CONCATENATE(AF$4,$C143),'INSER DATA'!$A:$F,6,0),"")</f>
        <v/>
      </c>
      <c r="AG143" s="270" t="str">
        <f>_xlfn.IFNA(VLOOKUP(CONCATENATE(AG$4,$C143),'INSER DATA'!$A:$F,6,0),"")</f>
        <v/>
      </c>
      <c r="AH143" s="270" t="str">
        <f>_xlfn.IFNA(VLOOKUP(CONCATENATE(AH$4,$C143),'INSER DATA'!$A:$F,7,0),"")</f>
        <v/>
      </c>
      <c r="AI143" s="270" t="str">
        <f>_xlfn.IFNA(VLOOKUP(CONCATENATE(AI$4,$C143),'INSER DATA'!$A:$F,7,0),"")</f>
        <v/>
      </c>
      <c r="AJ143" s="270" t="str">
        <f>_xlfn.IFNA(VLOOKUP(CONCATENATE(AJ$4,$C143),'INSER DATA'!$A:$F,7,0),"")</f>
        <v/>
      </c>
      <c r="AK143" s="270" t="str">
        <f>_xlfn.IFNA(VLOOKUP(CONCATENATE(AK$4,$C143),'INSER DATA'!$A:$F,7,0),"")</f>
        <v/>
      </c>
      <c r="AL143" s="270" t="str">
        <f>_xlfn.IFNA(VLOOKUP(CONCATENATE(AL$4,$C143),'INSER DATA'!$A:$F,7,0),"")</f>
        <v/>
      </c>
      <c r="AM143" s="270" t="str">
        <f>_xlfn.IFNA(VLOOKUP(CONCATENATE(AM$4,$C143),'INSER DATA'!$A:$F,7,0),"")</f>
        <v/>
      </c>
      <c r="AN143" s="270" t="str">
        <f>_xlfn.IFNA(VLOOKUP(CONCATENATE(AN$4,$C143),'INSER DATA'!$A:$F,7,0),"")</f>
        <v/>
      </c>
      <c r="AO143" s="270" t="str">
        <f>_xlfn.IFNA(VLOOKUP(CONCATENATE(AO$4,$C143),'INSER DATA'!$A:$F,7,0),"")</f>
        <v/>
      </c>
      <c r="AP143" s="270" t="str">
        <f>_xlfn.IFNA(VLOOKUP(CONCATENATE(AP$4,$C143),'INSER DATA'!$A:$F,7,0),"")</f>
        <v/>
      </c>
      <c r="AQ143" s="270" t="str">
        <f>_xlfn.IFNA(VLOOKUP(CONCATENATE(AQ$4,$C143),'INSER DATA'!$A:$F,7,0),"")</f>
        <v/>
      </c>
      <c r="AR143" s="270" t="str">
        <f>_xlfn.IFNA(VLOOKUP(CONCATENATE(AR$4,$C143),'INSER DATA'!$A:$F,7,0),"")</f>
        <v/>
      </c>
      <c r="AS143" s="270" t="str">
        <f>_xlfn.IFNA(VLOOKUP(CONCATENATE(AS$4,$C143),'INSER DATA'!$A:$F,7,0),"")</f>
        <v/>
      </c>
      <c r="AT143" s="270" t="str">
        <f>_xlfn.IFNA(VLOOKUP(CONCATENATE(AT$4,$C143),'INSER DATA'!$A:$F,7,0),"")</f>
        <v/>
      </c>
      <c r="AU143" s="270" t="str">
        <f>_xlfn.IFNA(VLOOKUP(CONCATENATE(AU$4,$C143),'INSER DATA'!$A:$F,7,0),"")</f>
        <v/>
      </c>
      <c r="AV143" s="270" t="str">
        <f>_xlfn.IFNA(VLOOKUP(CONCATENATE(AV$4,$C143),'INSER DATA'!$A:$F,7,0),"")</f>
        <v/>
      </c>
      <c r="AW143" s="270" t="str">
        <f>_xlfn.IFNA(VLOOKUP(CONCATENATE(AW$4,$C143),'INSER DATA'!$A:$F,7,0),"")</f>
        <v/>
      </c>
      <c r="AX143" s="270" t="str">
        <f>_xlfn.IFNA(VLOOKUP(CONCATENATE(AX$4,$C143),'INSER DATA'!$A:$F,7,0),"")</f>
        <v/>
      </c>
      <c r="AY143" s="270" t="str">
        <f>_xlfn.IFNA(VLOOKUP(CONCATENATE(AY$4,$C143),'INSER DATA'!$A:$F,7,0),"")</f>
        <v/>
      </c>
      <c r="AZ143" s="270" t="str">
        <f>_xlfn.IFNA(VLOOKUP(CONCATENATE(AZ$4,$C143),'INSER DATA'!$A:$F,7,0),"")</f>
        <v/>
      </c>
      <c r="BA143" s="270" t="str">
        <f>_xlfn.IFNA(VLOOKUP(CONCATENATE(BA$4,$C143),'INSER DATA'!$A:$F,7,0),"")</f>
        <v/>
      </c>
      <c r="BB143" s="270" t="str">
        <f>_xlfn.IFNA(VLOOKUP(CONCATENATE(BB$4,$C143),'INSER DATA'!$A:$F,7,0),"")</f>
        <v/>
      </c>
      <c r="BC143" s="270" t="str">
        <f>_xlfn.IFNA(VLOOKUP(CONCATENATE(BC$4,$C143),'INSER DATA'!$A:$F,7,0),"")</f>
        <v/>
      </c>
      <c r="BD143" s="270" t="str">
        <f>_xlfn.IFNA(VLOOKUP(CONCATENATE(BD$4,$C143),'INSER DATA'!$A:$F,7,0),"")</f>
        <v/>
      </c>
      <c r="BE143" s="270" t="str">
        <f>_xlfn.IFNA(VLOOKUP(CONCATENATE(BE$4,$C143),'INSER DATA'!$A:$F,7,0),"")</f>
        <v/>
      </c>
      <c r="BF143" s="270" t="str">
        <f>_xlfn.IFNA(VLOOKUP(CONCATENATE(BF$4,$C143),'INSER DATA'!$A:$F,7,0),"")</f>
        <v/>
      </c>
      <c r="BG143" s="270" t="str">
        <f>_xlfn.IFNA(VLOOKUP(CONCATENATE(BG$4,$C143),'INSER DATA'!$A:$F,7,0),"")</f>
        <v/>
      </c>
      <c r="BH143" s="270" t="str">
        <f>_xlfn.IFNA(VLOOKUP(CONCATENATE(BH$4,$C143),'INSER DATA'!$A:$F,7,0),"")</f>
        <v/>
      </c>
      <c r="BI143" s="270" t="str">
        <f>_xlfn.IFNA(VLOOKUP(CONCATENATE(BI$4,$C143),'INSER DATA'!$A:$F,7,0),"")</f>
        <v/>
      </c>
      <c r="BJ143" s="270" t="str">
        <f>_xlfn.IFNA(VLOOKUP(CONCATENATE(BJ$4,$C143),'INSER DATA'!$A:$F,7,0),"")</f>
        <v/>
      </c>
      <c r="BK143" s="270" t="str">
        <f>_xlfn.IFNA(VLOOKUP(CONCATENATE(BK$4,$C143),'INSER DATA'!$A:$F,7,0),"")</f>
        <v/>
      </c>
      <c r="BL143" s="272"/>
      <c r="BM143" s="30"/>
      <c r="BN143" s="30"/>
      <c r="BO143" s="30"/>
      <c r="BP143" s="30"/>
      <c r="BQ143" s="30"/>
      <c r="BR143" s="30"/>
      <c r="BS143" s="30"/>
      <c r="BT143" s="30"/>
      <c r="BU143" s="30"/>
      <c r="BV143" s="30"/>
      <c r="BW143" s="30"/>
      <c r="BX143" s="30"/>
      <c r="BY143" s="30"/>
      <c r="BZ143" s="30"/>
      <c r="CA143" s="30"/>
      <c r="CB143" s="30"/>
      <c r="CC143" s="30"/>
      <c r="CD143" s="30"/>
      <c r="CE143" s="30"/>
      <c r="CF143" s="30"/>
      <c r="CG143" s="30"/>
      <c r="CH143" s="30"/>
      <c r="CI143" s="30"/>
      <c r="CJ143" s="30"/>
      <c r="CK143" s="30"/>
      <c r="CL143" s="30"/>
      <c r="CM143" s="30"/>
      <c r="CN143" s="30"/>
      <c r="CO143" s="30"/>
      <c r="CP143" s="30"/>
      <c r="CQ143" s="30"/>
      <c r="CR143" s="30"/>
      <c r="CS143" s="30"/>
      <c r="CT143" s="30"/>
      <c r="CU143" s="30"/>
      <c r="CV143" s="30"/>
      <c r="CW143" s="30"/>
      <c r="CX143" s="30"/>
      <c r="CY143" s="30"/>
      <c r="CZ143" s="30"/>
      <c r="DA143" s="30"/>
    </row>
    <row r="144" spans="1:105" ht="19.2" thickTop="1" thickBot="1" x14ac:dyDescent="0.4">
      <c r="A144" s="30"/>
      <c r="B144" s="30"/>
      <c r="C144" s="185" t="s">
        <v>733</v>
      </c>
      <c r="D144" s="46" t="s">
        <v>721</v>
      </c>
      <c r="E144" s="35" t="str">
        <f>_xlfn.XLOOKUP(Tabella4[[#This Row],[NOME]],'ROSE SQUADRE'!$N$3:$N$253,'ROSE SQUADRE'!$O$3:$O$253,"")</f>
        <v/>
      </c>
      <c r="F144" s="36" t="s">
        <v>161</v>
      </c>
      <c r="G144" s="43">
        <v>4</v>
      </c>
      <c r="H144" s="43">
        <v>4</v>
      </c>
      <c r="I144" s="44">
        <f t="shared" si="13"/>
        <v>0</v>
      </c>
      <c r="J144" s="37">
        <f t="shared" si="14"/>
        <v>2</v>
      </c>
      <c r="K144" s="38">
        <f t="shared" si="15"/>
        <v>5.75</v>
      </c>
      <c r="L144" s="38">
        <f t="shared" si="16"/>
        <v>5.75</v>
      </c>
      <c r="M144" s="39">
        <f t="shared" si="17"/>
        <v>11.5</v>
      </c>
      <c r="N144" s="45">
        <f t="shared" ca="1" si="18"/>
        <v>0</v>
      </c>
      <c r="O144" s="40">
        <f>SUMIF(Tabella1[Nome],Tabella4[[#This Row],[NOME]],Tabella1[Gf])</f>
        <v>0</v>
      </c>
      <c r="P144" s="40">
        <f>-(SUMIF(Tabella1[Nome],Tabella4[[#This Row],[NOME]],Tabella1[Gs]))</f>
        <v>0</v>
      </c>
      <c r="Q144" s="40">
        <f>SUMIF(Tabella1[Nome],Tabella4[[#This Row],[NOME]],Tabella1[Rp])</f>
        <v>0</v>
      </c>
      <c r="R144" s="40">
        <f>SUMIF(Tabella1[Nome],Tabella4[[#This Row],[NOME]],Tabella1[Rs])</f>
        <v>0</v>
      </c>
      <c r="S144" s="40">
        <f>SUMIF(Tabella1[Nome],Tabella4[[#This Row],[NOME]],Tabella1[Rf])</f>
        <v>0</v>
      </c>
      <c r="T144" s="40">
        <f>SUMIF(Tabella1[Nome],Tabella4[[#This Row],[NOME]],Tabella1[Au])</f>
        <v>0</v>
      </c>
      <c r="U144" s="41">
        <f>SUMIF(Tabella1[Nome],Tabella4[[#This Row],[NOME]],Tabella1[Amm])</f>
        <v>0</v>
      </c>
      <c r="V144" s="42">
        <f>SUMIF(Tabella1[Nome],Tabella4[[#This Row],[NOME]],Tabella1[Esp])</f>
        <v>0</v>
      </c>
      <c r="W144" s="40">
        <f>SUMIF(Tabella1[Nome],Tabella4[[#This Row],[NOME]],Tabella1[Ass])</f>
        <v>0</v>
      </c>
      <c r="X144" s="40">
        <f>SUMIF(Tabella1[Nome],Tabella4[[#This Row],[NOME]],Tabella1[Gdv])</f>
        <v>0</v>
      </c>
      <c r="Y144" s="40">
        <f>SUMIF(Tabella1[Nome],Tabella4[[#This Row],[NOME]],Tabella1[cl sh])</f>
        <v>0</v>
      </c>
      <c r="Z144" s="270">
        <f>_xlfn.IFNA(_xlfn.XLOOKUP(CONCATENATE(Z$4,$C144),Tabella1[CONC X VOTI IN TAB GIOC],Tabella1[Voto],""),"")</f>
        <v>5.5</v>
      </c>
      <c r="AA144" s="270">
        <f>_xlfn.IFNA(_xlfn.XLOOKUP(CONCATENATE(AA$4,$C144),Tabella1[CONC X VOTI IN TAB GIOC],Tabella1[Voto],""),"")</f>
        <v>6</v>
      </c>
      <c r="AB144" s="270" t="str">
        <f>_xlfn.IFNA(_xlfn.XLOOKUP(CONCATENATE(AB$4,$C144),Tabella1[CONC X VOTI IN TAB GIOC],Tabella1[Voto]),"")</f>
        <v/>
      </c>
      <c r="AC144" s="270" t="str" cm="1">
        <f t="array" ref="AC144">_xlfn.IFNA(_xlfn.XLOOKUP(CONCATENATE(AC$4,$C144),INDEX(Tabella1[],0,MATCH("CONC X VOTI IN TAB GIOC",Tabella1[#Headers],0)),INDEX(Tabella1[],0,MATCH("Voto",Tabella1[#Headers],0))),"")</f>
        <v/>
      </c>
      <c r="AD144" s="270" t="str">
        <f>_xlfn.IFNA(_xlfn.XLOOKUP(CONCATENATE(AD$4,$C144),Tabella1[CONC X VOTI IN TAB GIOC],Tabella1[Voto]),"")</f>
        <v/>
      </c>
      <c r="AE144" s="270" t="str">
        <f>_xlfn.IFNA(VLOOKUP(CONCATENATE(AE$4,$C144),'INSER DATA'!$A:$F,6,0),"")</f>
        <v/>
      </c>
      <c r="AF144" s="270" t="str">
        <f>_xlfn.IFNA(VLOOKUP(CONCATENATE(AF$4,$C144),'INSER DATA'!$A:$F,6,0),"")</f>
        <v/>
      </c>
      <c r="AG144" s="270" t="str">
        <f>_xlfn.IFNA(VLOOKUP(CONCATENATE(AG$4,$C144),'INSER DATA'!$A:$F,6,0),"")</f>
        <v/>
      </c>
      <c r="AH144" s="270" t="str">
        <f>_xlfn.IFNA(VLOOKUP(CONCATENATE(AH$4,$C144),'INSER DATA'!$A:$F,7,0),"")</f>
        <v/>
      </c>
      <c r="AI144" s="270" t="str">
        <f>_xlfn.IFNA(VLOOKUP(CONCATENATE(AI$4,$C144),'INSER DATA'!$A:$F,7,0),"")</f>
        <v/>
      </c>
      <c r="AJ144" s="270" t="str">
        <f>_xlfn.IFNA(VLOOKUP(CONCATENATE(AJ$4,$C144),'INSER DATA'!$A:$F,7,0),"")</f>
        <v/>
      </c>
      <c r="AK144" s="270" t="str">
        <f>_xlfn.IFNA(VLOOKUP(CONCATENATE(AK$4,$C144),'INSER DATA'!$A:$F,7,0),"")</f>
        <v/>
      </c>
      <c r="AL144" s="270" t="str">
        <f>_xlfn.IFNA(VLOOKUP(CONCATENATE(AL$4,$C144),'INSER DATA'!$A:$F,7,0),"")</f>
        <v/>
      </c>
      <c r="AM144" s="270" t="str">
        <f>_xlfn.IFNA(VLOOKUP(CONCATENATE(AM$4,$C144),'INSER DATA'!$A:$F,7,0),"")</f>
        <v/>
      </c>
      <c r="AN144" s="270" t="str">
        <f>_xlfn.IFNA(VLOOKUP(CONCATENATE(AN$4,$C144),'INSER DATA'!$A:$F,7,0),"")</f>
        <v/>
      </c>
      <c r="AO144" s="270" t="str">
        <f>_xlfn.IFNA(VLOOKUP(CONCATENATE(AO$4,$C144),'INSER DATA'!$A:$F,7,0),"")</f>
        <v/>
      </c>
      <c r="AP144" s="270" t="str">
        <f>_xlfn.IFNA(VLOOKUP(CONCATENATE(AP$4,$C144),'INSER DATA'!$A:$F,7,0),"")</f>
        <v/>
      </c>
      <c r="AQ144" s="270" t="str">
        <f>_xlfn.IFNA(VLOOKUP(CONCATENATE(AQ$4,$C144),'INSER DATA'!$A:$F,7,0),"")</f>
        <v/>
      </c>
      <c r="AR144" s="270" t="str">
        <f>_xlfn.IFNA(VLOOKUP(CONCATENATE(AR$4,$C144),'INSER DATA'!$A:$F,7,0),"")</f>
        <v/>
      </c>
      <c r="AS144" s="270" t="str">
        <f>_xlfn.IFNA(VLOOKUP(CONCATENATE(AS$4,$C144),'INSER DATA'!$A:$F,7,0),"")</f>
        <v/>
      </c>
      <c r="AT144" s="270" t="str">
        <f>_xlfn.IFNA(VLOOKUP(CONCATENATE(AT$4,$C144),'INSER DATA'!$A:$F,7,0),"")</f>
        <v/>
      </c>
      <c r="AU144" s="270" t="str">
        <f>_xlfn.IFNA(VLOOKUP(CONCATENATE(AU$4,$C144),'INSER DATA'!$A:$F,7,0),"")</f>
        <v/>
      </c>
      <c r="AV144" s="270" t="str">
        <f>_xlfn.IFNA(VLOOKUP(CONCATENATE(AV$4,$C144),'INSER DATA'!$A:$F,7,0),"")</f>
        <v/>
      </c>
      <c r="AW144" s="270" t="str">
        <f>_xlfn.IFNA(VLOOKUP(CONCATENATE(AW$4,$C144),'INSER DATA'!$A:$F,7,0),"")</f>
        <v/>
      </c>
      <c r="AX144" s="270" t="str">
        <f>_xlfn.IFNA(VLOOKUP(CONCATENATE(AX$4,$C144),'INSER DATA'!$A:$F,7,0),"")</f>
        <v/>
      </c>
      <c r="AY144" s="270" t="str">
        <f>_xlfn.IFNA(VLOOKUP(CONCATENATE(AY$4,$C144),'INSER DATA'!$A:$F,7,0),"")</f>
        <v/>
      </c>
      <c r="AZ144" s="270" t="str">
        <f>_xlfn.IFNA(VLOOKUP(CONCATENATE(AZ$4,$C144),'INSER DATA'!$A:$F,7,0),"")</f>
        <v/>
      </c>
      <c r="BA144" s="270" t="str">
        <f>_xlfn.IFNA(VLOOKUP(CONCATENATE(BA$4,$C144),'INSER DATA'!$A:$F,7,0),"")</f>
        <v/>
      </c>
      <c r="BB144" s="270" t="str">
        <f>_xlfn.IFNA(VLOOKUP(CONCATENATE(BB$4,$C144),'INSER DATA'!$A:$F,7,0),"")</f>
        <v/>
      </c>
      <c r="BC144" s="270" t="str">
        <f>_xlfn.IFNA(VLOOKUP(CONCATENATE(BC$4,$C144),'INSER DATA'!$A:$F,7,0),"")</f>
        <v/>
      </c>
      <c r="BD144" s="270" t="str">
        <f>_xlfn.IFNA(VLOOKUP(CONCATENATE(BD$4,$C144),'INSER DATA'!$A:$F,7,0),"")</f>
        <v/>
      </c>
      <c r="BE144" s="270" t="str">
        <f>_xlfn.IFNA(VLOOKUP(CONCATENATE(BE$4,$C144),'INSER DATA'!$A:$F,7,0),"")</f>
        <v/>
      </c>
      <c r="BF144" s="270" t="str">
        <f>_xlfn.IFNA(VLOOKUP(CONCATENATE(BF$4,$C144),'INSER DATA'!$A:$F,7,0),"")</f>
        <v/>
      </c>
      <c r="BG144" s="270" t="str">
        <f>_xlfn.IFNA(VLOOKUP(CONCATENATE(BG$4,$C144),'INSER DATA'!$A:$F,7,0),"")</f>
        <v/>
      </c>
      <c r="BH144" s="270" t="str">
        <f>_xlfn.IFNA(VLOOKUP(CONCATENATE(BH$4,$C144),'INSER DATA'!$A:$F,7,0),"")</f>
        <v/>
      </c>
      <c r="BI144" s="270" t="str">
        <f>_xlfn.IFNA(VLOOKUP(CONCATENATE(BI$4,$C144),'INSER DATA'!$A:$F,7,0),"")</f>
        <v/>
      </c>
      <c r="BJ144" s="270" t="str">
        <f>_xlfn.IFNA(VLOOKUP(CONCATENATE(BJ$4,$C144),'INSER DATA'!$A:$F,7,0),"")</f>
        <v/>
      </c>
      <c r="BK144" s="270" t="str">
        <f>_xlfn.IFNA(VLOOKUP(CONCATENATE(BK$4,$C144),'INSER DATA'!$A:$F,7,0),"")</f>
        <v/>
      </c>
      <c r="BL144" s="272"/>
      <c r="BM144" s="30"/>
      <c r="BN144" s="30"/>
      <c r="BO144" s="30"/>
      <c r="BP144" s="30"/>
      <c r="BQ144" s="30"/>
      <c r="BR144" s="30"/>
      <c r="BS144" s="30"/>
      <c r="BT144" s="30"/>
      <c r="BU144" s="30"/>
      <c r="BV144" s="30"/>
      <c r="BW144" s="30"/>
      <c r="BX144" s="30"/>
      <c r="BY144" s="30"/>
      <c r="BZ144" s="30"/>
      <c r="CA144" s="30"/>
      <c r="CB144" s="30"/>
      <c r="CC144" s="30"/>
      <c r="CD144" s="30"/>
      <c r="CE144" s="30"/>
      <c r="CF144" s="30"/>
      <c r="CG144" s="30"/>
      <c r="CH144" s="30"/>
      <c r="CI144" s="30"/>
      <c r="CJ144" s="30"/>
      <c r="CK144" s="30"/>
      <c r="CL144" s="30"/>
      <c r="CM144" s="30"/>
      <c r="CN144" s="30"/>
      <c r="CO144" s="30"/>
      <c r="CP144" s="30"/>
      <c r="CQ144" s="30"/>
      <c r="CR144" s="30"/>
      <c r="CS144" s="30"/>
      <c r="CT144" s="30"/>
      <c r="CU144" s="30"/>
      <c r="CV144" s="30"/>
      <c r="CW144" s="30"/>
      <c r="CX144" s="30"/>
      <c r="CY144" s="30"/>
      <c r="CZ144" s="30"/>
      <c r="DA144" s="30"/>
    </row>
    <row r="145" spans="1:105" ht="19.2" thickTop="1" thickBot="1" x14ac:dyDescent="0.4">
      <c r="A145" s="30"/>
      <c r="B145" s="30"/>
      <c r="C145" s="188" t="s">
        <v>744</v>
      </c>
      <c r="D145" s="46" t="s">
        <v>721</v>
      </c>
      <c r="E145" s="35" t="str">
        <f>_xlfn.XLOOKUP(Tabella4[[#This Row],[NOME]],'ROSE SQUADRE'!$N$3:$N$253,'ROSE SQUADRE'!$O$3:$O$253,"")</f>
        <v/>
      </c>
      <c r="F145" s="36" t="s">
        <v>162</v>
      </c>
      <c r="G145" s="43">
        <v>8</v>
      </c>
      <c r="H145" s="43">
        <v>8</v>
      </c>
      <c r="I145" s="44">
        <f t="shared" si="13"/>
        <v>0</v>
      </c>
      <c r="J145" s="37">
        <f t="shared" si="14"/>
        <v>4</v>
      </c>
      <c r="K145" s="38">
        <f t="shared" si="15"/>
        <v>6</v>
      </c>
      <c r="L145" s="38">
        <f t="shared" si="16"/>
        <v>6</v>
      </c>
      <c r="M145" s="39">
        <f t="shared" si="17"/>
        <v>24</v>
      </c>
      <c r="N145" s="45">
        <f t="shared" ca="1" si="18"/>
        <v>0</v>
      </c>
      <c r="O145" s="40">
        <f>SUMIF(Tabella1[Nome],Tabella4[[#This Row],[NOME]],Tabella1[Gf])</f>
        <v>0</v>
      </c>
      <c r="P145" s="40">
        <f>-(SUMIF(Tabella1[Nome],Tabella4[[#This Row],[NOME]],Tabella1[Gs]))</f>
        <v>0</v>
      </c>
      <c r="Q145" s="40">
        <f>SUMIF(Tabella1[Nome],Tabella4[[#This Row],[NOME]],Tabella1[Rp])</f>
        <v>0</v>
      </c>
      <c r="R145" s="40">
        <f>SUMIF(Tabella1[Nome],Tabella4[[#This Row],[NOME]],Tabella1[Rs])</f>
        <v>0</v>
      </c>
      <c r="S145" s="40">
        <f>SUMIF(Tabella1[Nome],Tabella4[[#This Row],[NOME]],Tabella1[Rf])</f>
        <v>0</v>
      </c>
      <c r="T145" s="40">
        <f>SUMIF(Tabella1[Nome],Tabella4[[#This Row],[NOME]],Tabella1[Au])</f>
        <v>0</v>
      </c>
      <c r="U145" s="41">
        <f>SUMIF(Tabella1[Nome],Tabella4[[#This Row],[NOME]],Tabella1[Amm])</f>
        <v>2</v>
      </c>
      <c r="V145" s="42">
        <f>SUMIF(Tabella1[Nome],Tabella4[[#This Row],[NOME]],Tabella1[Esp])</f>
        <v>0</v>
      </c>
      <c r="W145" s="40">
        <f>SUMIF(Tabella1[Nome],Tabella4[[#This Row],[NOME]],Tabella1[Ass])</f>
        <v>1</v>
      </c>
      <c r="X145" s="40">
        <f>SUMIF(Tabella1[Nome],Tabella4[[#This Row],[NOME]],Tabella1[Gdv])</f>
        <v>0</v>
      </c>
      <c r="Y145" s="40">
        <f>SUMIF(Tabella1[Nome],Tabella4[[#This Row],[NOME]],Tabella1[cl sh])</f>
        <v>0</v>
      </c>
      <c r="Z145" s="270">
        <f>_xlfn.IFNA(_xlfn.XLOOKUP(CONCATENATE(Z$4,$C145),Tabella1[CONC X VOTI IN TAB GIOC],Tabella1[Voto],""),"")</f>
        <v>5</v>
      </c>
      <c r="AA145" s="270">
        <f>_xlfn.IFNA(_xlfn.XLOOKUP(CONCATENATE(AA$4,$C145),Tabella1[CONC X VOTI IN TAB GIOC],Tabella1[Voto],""),"")</f>
        <v>6.5</v>
      </c>
      <c r="AB145" s="270">
        <f>_xlfn.IFNA(_xlfn.XLOOKUP(CONCATENATE(AB$4,$C145),Tabella1[CONC X VOTI IN TAB GIOC],Tabella1[Voto]),"")</f>
        <v>6</v>
      </c>
      <c r="AC145" s="270" cm="1">
        <f t="array" ref="AC145">_xlfn.IFNA(_xlfn.XLOOKUP(CONCATENATE(AC$4,$C145),INDEX(Tabella1[],0,MATCH("CONC X VOTI IN TAB GIOC",Tabella1[#Headers],0)),INDEX(Tabella1[],0,MATCH("Voto",Tabella1[#Headers],0))),"")</f>
        <v>6.5</v>
      </c>
      <c r="AD145" s="270" t="str">
        <f>_xlfn.IFNA(_xlfn.XLOOKUP(CONCATENATE(AD$4,$C145),Tabella1[CONC X VOTI IN TAB GIOC],Tabella1[Voto]),"")</f>
        <v/>
      </c>
      <c r="AE145" s="270" t="str">
        <f>_xlfn.IFNA(VLOOKUP(CONCATENATE(AE$4,$C145),'INSER DATA'!$A:$F,6,0),"")</f>
        <v/>
      </c>
      <c r="AF145" s="270" t="str">
        <f>_xlfn.IFNA(VLOOKUP(CONCATENATE(AF$4,$C145),'INSER DATA'!$A:$F,6,0),"")</f>
        <v/>
      </c>
      <c r="AG145" s="270" t="str">
        <f>_xlfn.IFNA(VLOOKUP(CONCATENATE(AG$4,$C145),'INSER DATA'!$A:$F,6,0),"")</f>
        <v/>
      </c>
      <c r="AH145" s="270" t="str">
        <f>_xlfn.IFNA(VLOOKUP(CONCATENATE(AH$4,$C145),'INSER DATA'!$A:$F,7,0),"")</f>
        <v/>
      </c>
      <c r="AI145" s="270" t="str">
        <f>_xlfn.IFNA(VLOOKUP(CONCATENATE(AI$4,$C145),'INSER DATA'!$A:$F,7,0),"")</f>
        <v/>
      </c>
      <c r="AJ145" s="270" t="str">
        <f>_xlfn.IFNA(VLOOKUP(CONCATENATE(AJ$4,$C145),'INSER DATA'!$A:$F,7,0),"")</f>
        <v/>
      </c>
      <c r="AK145" s="270" t="str">
        <f>_xlfn.IFNA(VLOOKUP(CONCATENATE(AK$4,$C145),'INSER DATA'!$A:$F,7,0),"")</f>
        <v/>
      </c>
      <c r="AL145" s="270" t="str">
        <f>_xlfn.IFNA(VLOOKUP(CONCATENATE(AL$4,$C145),'INSER DATA'!$A:$F,7,0),"")</f>
        <v/>
      </c>
      <c r="AM145" s="270" t="str">
        <f>_xlfn.IFNA(VLOOKUP(CONCATENATE(AM$4,$C145),'INSER DATA'!$A:$F,7,0),"")</f>
        <v/>
      </c>
      <c r="AN145" s="270" t="str">
        <f>_xlfn.IFNA(VLOOKUP(CONCATENATE(AN$4,$C145),'INSER DATA'!$A:$F,7,0),"")</f>
        <v/>
      </c>
      <c r="AO145" s="270" t="str">
        <f>_xlfn.IFNA(VLOOKUP(CONCATENATE(AO$4,$C145),'INSER DATA'!$A:$F,7,0),"")</f>
        <v/>
      </c>
      <c r="AP145" s="270" t="str">
        <f>_xlfn.IFNA(VLOOKUP(CONCATENATE(AP$4,$C145),'INSER DATA'!$A:$F,7,0),"")</f>
        <v/>
      </c>
      <c r="AQ145" s="270" t="str">
        <f>_xlfn.IFNA(VLOOKUP(CONCATENATE(AQ$4,$C145),'INSER DATA'!$A:$F,7,0),"")</f>
        <v/>
      </c>
      <c r="AR145" s="270" t="str">
        <f>_xlfn.IFNA(VLOOKUP(CONCATENATE(AR$4,$C145),'INSER DATA'!$A:$F,7,0),"")</f>
        <v/>
      </c>
      <c r="AS145" s="270" t="str">
        <f>_xlfn.IFNA(VLOOKUP(CONCATENATE(AS$4,$C145),'INSER DATA'!$A:$F,7,0),"")</f>
        <v/>
      </c>
      <c r="AT145" s="270" t="str">
        <f>_xlfn.IFNA(VLOOKUP(CONCATENATE(AT$4,$C145),'INSER DATA'!$A:$F,7,0),"")</f>
        <v/>
      </c>
      <c r="AU145" s="270" t="str">
        <f>_xlfn.IFNA(VLOOKUP(CONCATENATE(AU$4,$C145),'INSER DATA'!$A:$F,7,0),"")</f>
        <v/>
      </c>
      <c r="AV145" s="270" t="str">
        <f>_xlfn.IFNA(VLOOKUP(CONCATENATE(AV$4,$C145),'INSER DATA'!$A:$F,7,0),"")</f>
        <v/>
      </c>
      <c r="AW145" s="270" t="str">
        <f>_xlfn.IFNA(VLOOKUP(CONCATENATE(AW$4,$C145),'INSER DATA'!$A:$F,7,0),"")</f>
        <v/>
      </c>
      <c r="AX145" s="270" t="str">
        <f>_xlfn.IFNA(VLOOKUP(CONCATENATE(AX$4,$C145),'INSER DATA'!$A:$F,7,0),"")</f>
        <v/>
      </c>
      <c r="AY145" s="270" t="str">
        <f>_xlfn.IFNA(VLOOKUP(CONCATENATE(AY$4,$C145),'INSER DATA'!$A:$F,7,0),"")</f>
        <v/>
      </c>
      <c r="AZ145" s="270" t="str">
        <f>_xlfn.IFNA(VLOOKUP(CONCATENATE(AZ$4,$C145),'INSER DATA'!$A:$F,7,0),"")</f>
        <v/>
      </c>
      <c r="BA145" s="270" t="str">
        <f>_xlfn.IFNA(VLOOKUP(CONCATENATE(BA$4,$C145),'INSER DATA'!$A:$F,7,0),"")</f>
        <v/>
      </c>
      <c r="BB145" s="270" t="str">
        <f>_xlfn.IFNA(VLOOKUP(CONCATENATE(BB$4,$C145),'INSER DATA'!$A:$F,7,0),"")</f>
        <v/>
      </c>
      <c r="BC145" s="270" t="str">
        <f>_xlfn.IFNA(VLOOKUP(CONCATENATE(BC$4,$C145),'INSER DATA'!$A:$F,7,0),"")</f>
        <v/>
      </c>
      <c r="BD145" s="270" t="str">
        <f>_xlfn.IFNA(VLOOKUP(CONCATENATE(BD$4,$C145),'INSER DATA'!$A:$F,7,0),"")</f>
        <v/>
      </c>
      <c r="BE145" s="270" t="str">
        <f>_xlfn.IFNA(VLOOKUP(CONCATENATE(BE$4,$C145),'INSER DATA'!$A:$F,7,0),"")</f>
        <v/>
      </c>
      <c r="BF145" s="270" t="str">
        <f>_xlfn.IFNA(VLOOKUP(CONCATENATE(BF$4,$C145),'INSER DATA'!$A:$F,7,0),"")</f>
        <v/>
      </c>
      <c r="BG145" s="270" t="str">
        <f>_xlfn.IFNA(VLOOKUP(CONCATENATE(BG$4,$C145),'INSER DATA'!$A:$F,7,0),"")</f>
        <v/>
      </c>
      <c r="BH145" s="270" t="str">
        <f>_xlfn.IFNA(VLOOKUP(CONCATENATE(BH$4,$C145),'INSER DATA'!$A:$F,7,0),"")</f>
        <v/>
      </c>
      <c r="BI145" s="270" t="str">
        <f>_xlfn.IFNA(VLOOKUP(CONCATENATE(BI$4,$C145),'INSER DATA'!$A:$F,7,0),"")</f>
        <v/>
      </c>
      <c r="BJ145" s="270" t="str">
        <f>_xlfn.IFNA(VLOOKUP(CONCATENATE(BJ$4,$C145),'INSER DATA'!$A:$F,7,0),"")</f>
        <v/>
      </c>
      <c r="BK145" s="270" t="str">
        <f>_xlfn.IFNA(VLOOKUP(CONCATENATE(BK$4,$C145),'INSER DATA'!$A:$F,7,0),"")</f>
        <v/>
      </c>
      <c r="BL145" s="272"/>
      <c r="BM145" s="30"/>
      <c r="BN145" s="30"/>
      <c r="BO145" s="30"/>
      <c r="BP145" s="30"/>
      <c r="BQ145" s="30"/>
      <c r="BR145" s="30"/>
      <c r="BS145" s="30"/>
      <c r="BT145" s="30"/>
      <c r="BU145" s="30"/>
      <c r="BV145" s="30"/>
      <c r="BW145" s="30"/>
      <c r="BX145" s="30"/>
      <c r="BY145" s="30"/>
      <c r="BZ145" s="30"/>
      <c r="CA145" s="30"/>
      <c r="CB145" s="30"/>
      <c r="CC145" s="30"/>
      <c r="CD145" s="30"/>
      <c r="CE145" s="30"/>
      <c r="CF145" s="30"/>
      <c r="CG145" s="30"/>
      <c r="CH145" s="30"/>
      <c r="CI145" s="30"/>
      <c r="CJ145" s="30"/>
      <c r="CK145" s="30"/>
      <c r="CL145" s="30"/>
      <c r="CM145" s="30"/>
      <c r="CN145" s="30"/>
      <c r="CO145" s="30"/>
      <c r="CP145" s="30"/>
      <c r="CQ145" s="30"/>
      <c r="CR145" s="30"/>
      <c r="CS145" s="30"/>
      <c r="CT145" s="30"/>
      <c r="CU145" s="30"/>
      <c r="CV145" s="30"/>
      <c r="CW145" s="30"/>
      <c r="CX145" s="30"/>
      <c r="CY145" s="30"/>
      <c r="CZ145" s="30"/>
      <c r="DA145" s="30"/>
    </row>
    <row r="146" spans="1:105" ht="19.2" thickTop="1" thickBot="1" x14ac:dyDescent="0.4">
      <c r="A146" s="30"/>
      <c r="B146" s="30"/>
      <c r="C146" s="185" t="s">
        <v>735</v>
      </c>
      <c r="D146" s="46" t="s">
        <v>721</v>
      </c>
      <c r="E146" s="35" t="str">
        <f>_xlfn.XLOOKUP(Tabella4[[#This Row],[NOME]],'ROSE SQUADRE'!$N$3:$N$253,'ROSE SQUADRE'!$O$3:$O$253,"")</f>
        <v/>
      </c>
      <c r="F146" s="36" t="s">
        <v>162</v>
      </c>
      <c r="G146" s="43">
        <v>4</v>
      </c>
      <c r="H146" s="43">
        <v>4</v>
      </c>
      <c r="I146" s="44">
        <f t="shared" si="13"/>
        <v>0</v>
      </c>
      <c r="J146" s="37">
        <f t="shared" si="14"/>
        <v>2</v>
      </c>
      <c r="K146" s="38">
        <f t="shared" si="15"/>
        <v>5.75</v>
      </c>
      <c r="L146" s="38">
        <f t="shared" si="16"/>
        <v>5.75</v>
      </c>
      <c r="M146" s="39">
        <f t="shared" si="17"/>
        <v>11.5</v>
      </c>
      <c r="N146" s="45">
        <f t="shared" ca="1" si="18"/>
        <v>0</v>
      </c>
      <c r="O146" s="40">
        <f>SUMIF(Tabella1[Nome],Tabella4[[#This Row],[NOME]],Tabella1[Gf])</f>
        <v>0</v>
      </c>
      <c r="P146" s="40">
        <f>-(SUMIF(Tabella1[Nome],Tabella4[[#This Row],[NOME]],Tabella1[Gs]))</f>
        <v>0</v>
      </c>
      <c r="Q146" s="40">
        <f>SUMIF(Tabella1[Nome],Tabella4[[#This Row],[NOME]],Tabella1[Rp])</f>
        <v>0</v>
      </c>
      <c r="R146" s="40">
        <f>SUMIF(Tabella1[Nome],Tabella4[[#This Row],[NOME]],Tabella1[Rs])</f>
        <v>0</v>
      </c>
      <c r="S146" s="40">
        <f>SUMIF(Tabella1[Nome],Tabella4[[#This Row],[NOME]],Tabella1[Rf])</f>
        <v>0</v>
      </c>
      <c r="T146" s="40">
        <f>SUMIF(Tabella1[Nome],Tabella4[[#This Row],[NOME]],Tabella1[Au])</f>
        <v>0</v>
      </c>
      <c r="U146" s="41">
        <f>SUMIF(Tabella1[Nome],Tabella4[[#This Row],[NOME]],Tabella1[Amm])</f>
        <v>0</v>
      </c>
      <c r="V146" s="42">
        <f>SUMIF(Tabella1[Nome],Tabella4[[#This Row],[NOME]],Tabella1[Esp])</f>
        <v>0</v>
      </c>
      <c r="W146" s="40">
        <f>SUMIF(Tabella1[Nome],Tabella4[[#This Row],[NOME]],Tabella1[Ass])</f>
        <v>0</v>
      </c>
      <c r="X146" s="40">
        <f>SUMIF(Tabella1[Nome],Tabella4[[#This Row],[NOME]],Tabella1[Gdv])</f>
        <v>0</v>
      </c>
      <c r="Y146" s="40">
        <f>SUMIF(Tabella1[Nome],Tabella4[[#This Row],[NOME]],Tabella1[cl sh])</f>
        <v>0</v>
      </c>
      <c r="Z146" s="270">
        <f>_xlfn.IFNA(_xlfn.XLOOKUP(CONCATENATE(Z$4,$C146),Tabella1[CONC X VOTI IN TAB GIOC],Tabella1[Voto],""),"")</f>
        <v>5.5</v>
      </c>
      <c r="AA146" s="270" t="str">
        <f>_xlfn.IFNA(_xlfn.XLOOKUP(CONCATENATE(AA$4,$C146),Tabella1[CONC X VOTI IN TAB GIOC],Tabella1[Voto],""),"")</f>
        <v/>
      </c>
      <c r="AB146" s="270">
        <f>_xlfn.IFNA(_xlfn.XLOOKUP(CONCATENATE(AB$4,$C146),Tabella1[CONC X VOTI IN TAB GIOC],Tabella1[Voto]),"")</f>
        <v>6</v>
      </c>
      <c r="AC146" s="270" t="str" cm="1">
        <f t="array" ref="AC146">_xlfn.IFNA(_xlfn.XLOOKUP(CONCATENATE(AC$4,$C146),INDEX(Tabella1[],0,MATCH("CONC X VOTI IN TAB GIOC",Tabella1[#Headers],0)),INDEX(Tabella1[],0,MATCH("Voto",Tabella1[#Headers],0))),"")</f>
        <v/>
      </c>
      <c r="AD146" s="270" t="str">
        <f>_xlfn.IFNA(_xlfn.XLOOKUP(CONCATENATE(AD$4,$C146),Tabella1[CONC X VOTI IN TAB GIOC],Tabella1[Voto]),"")</f>
        <v/>
      </c>
      <c r="AE146" s="270" t="str">
        <f>_xlfn.IFNA(VLOOKUP(CONCATENATE(AE$4,$C146),'INSER DATA'!$A:$F,6,0),"")</f>
        <v/>
      </c>
      <c r="AF146" s="270" t="str">
        <f>_xlfn.IFNA(VLOOKUP(CONCATENATE(AF$4,$C146),'INSER DATA'!$A:$F,6,0),"")</f>
        <v/>
      </c>
      <c r="AG146" s="270" t="str">
        <f>_xlfn.IFNA(VLOOKUP(CONCATENATE(AG$4,$C146),'INSER DATA'!$A:$F,6,0),"")</f>
        <v/>
      </c>
      <c r="AH146" s="270" t="str">
        <f>_xlfn.IFNA(VLOOKUP(CONCATENATE(AH$4,$C146),'INSER DATA'!$A:$F,7,0),"")</f>
        <v/>
      </c>
      <c r="AI146" s="270" t="str">
        <f>_xlfn.IFNA(VLOOKUP(CONCATENATE(AI$4,$C146),'INSER DATA'!$A:$F,7,0),"")</f>
        <v/>
      </c>
      <c r="AJ146" s="270" t="str">
        <f>_xlfn.IFNA(VLOOKUP(CONCATENATE(AJ$4,$C146),'INSER DATA'!$A:$F,7,0),"")</f>
        <v/>
      </c>
      <c r="AK146" s="270" t="str">
        <f>_xlfn.IFNA(VLOOKUP(CONCATENATE(AK$4,$C146),'INSER DATA'!$A:$F,7,0),"")</f>
        <v/>
      </c>
      <c r="AL146" s="270" t="str">
        <f>_xlfn.IFNA(VLOOKUP(CONCATENATE(AL$4,$C146),'INSER DATA'!$A:$F,7,0),"")</f>
        <v/>
      </c>
      <c r="AM146" s="270" t="str">
        <f>_xlfn.IFNA(VLOOKUP(CONCATENATE(AM$4,$C146),'INSER DATA'!$A:$F,7,0),"")</f>
        <v/>
      </c>
      <c r="AN146" s="270" t="str">
        <f>_xlfn.IFNA(VLOOKUP(CONCATENATE(AN$4,$C146),'INSER DATA'!$A:$F,7,0),"")</f>
        <v/>
      </c>
      <c r="AO146" s="270" t="str">
        <f>_xlfn.IFNA(VLOOKUP(CONCATENATE(AO$4,$C146),'INSER DATA'!$A:$F,7,0),"")</f>
        <v/>
      </c>
      <c r="AP146" s="270" t="str">
        <f>_xlfn.IFNA(VLOOKUP(CONCATENATE(AP$4,$C146),'INSER DATA'!$A:$F,7,0),"")</f>
        <v/>
      </c>
      <c r="AQ146" s="270" t="str">
        <f>_xlfn.IFNA(VLOOKUP(CONCATENATE(AQ$4,$C146),'INSER DATA'!$A:$F,7,0),"")</f>
        <v/>
      </c>
      <c r="AR146" s="270" t="str">
        <f>_xlfn.IFNA(VLOOKUP(CONCATENATE(AR$4,$C146),'INSER DATA'!$A:$F,7,0),"")</f>
        <v/>
      </c>
      <c r="AS146" s="270" t="str">
        <f>_xlfn.IFNA(VLOOKUP(CONCATENATE(AS$4,$C146),'INSER DATA'!$A:$F,7,0),"")</f>
        <v/>
      </c>
      <c r="AT146" s="270" t="str">
        <f>_xlfn.IFNA(VLOOKUP(CONCATENATE(AT$4,$C146),'INSER DATA'!$A:$F,7,0),"")</f>
        <v/>
      </c>
      <c r="AU146" s="270" t="str">
        <f>_xlfn.IFNA(VLOOKUP(CONCATENATE(AU$4,$C146),'INSER DATA'!$A:$F,7,0),"")</f>
        <v/>
      </c>
      <c r="AV146" s="270" t="str">
        <f>_xlfn.IFNA(VLOOKUP(CONCATENATE(AV$4,$C146),'INSER DATA'!$A:$F,7,0),"")</f>
        <v/>
      </c>
      <c r="AW146" s="270" t="str">
        <f>_xlfn.IFNA(VLOOKUP(CONCATENATE(AW$4,$C146),'INSER DATA'!$A:$F,7,0),"")</f>
        <v/>
      </c>
      <c r="AX146" s="270" t="str">
        <f>_xlfn.IFNA(VLOOKUP(CONCATENATE(AX$4,$C146),'INSER DATA'!$A:$F,7,0),"")</f>
        <v/>
      </c>
      <c r="AY146" s="270" t="str">
        <f>_xlfn.IFNA(VLOOKUP(CONCATENATE(AY$4,$C146),'INSER DATA'!$A:$F,7,0),"")</f>
        <v/>
      </c>
      <c r="AZ146" s="270" t="str">
        <f>_xlfn.IFNA(VLOOKUP(CONCATENATE(AZ$4,$C146),'INSER DATA'!$A:$F,7,0),"")</f>
        <v/>
      </c>
      <c r="BA146" s="270" t="str">
        <f>_xlfn.IFNA(VLOOKUP(CONCATENATE(BA$4,$C146),'INSER DATA'!$A:$F,7,0),"")</f>
        <v/>
      </c>
      <c r="BB146" s="270" t="str">
        <f>_xlfn.IFNA(VLOOKUP(CONCATENATE(BB$4,$C146),'INSER DATA'!$A:$F,7,0),"")</f>
        <v/>
      </c>
      <c r="BC146" s="270" t="str">
        <f>_xlfn.IFNA(VLOOKUP(CONCATENATE(BC$4,$C146),'INSER DATA'!$A:$F,7,0),"")</f>
        <v/>
      </c>
      <c r="BD146" s="270" t="str">
        <f>_xlfn.IFNA(VLOOKUP(CONCATENATE(BD$4,$C146),'INSER DATA'!$A:$F,7,0),"")</f>
        <v/>
      </c>
      <c r="BE146" s="270" t="str">
        <f>_xlfn.IFNA(VLOOKUP(CONCATENATE(BE$4,$C146),'INSER DATA'!$A:$F,7,0),"")</f>
        <v/>
      </c>
      <c r="BF146" s="270" t="str">
        <f>_xlfn.IFNA(VLOOKUP(CONCATENATE(BF$4,$C146),'INSER DATA'!$A:$F,7,0),"")</f>
        <v/>
      </c>
      <c r="BG146" s="270" t="str">
        <f>_xlfn.IFNA(VLOOKUP(CONCATENATE(BG$4,$C146),'INSER DATA'!$A:$F,7,0),"")</f>
        <v/>
      </c>
      <c r="BH146" s="270" t="str">
        <f>_xlfn.IFNA(VLOOKUP(CONCATENATE(BH$4,$C146),'INSER DATA'!$A:$F,7,0),"")</f>
        <v/>
      </c>
      <c r="BI146" s="270" t="str">
        <f>_xlfn.IFNA(VLOOKUP(CONCATENATE(BI$4,$C146),'INSER DATA'!$A:$F,7,0),"")</f>
        <v/>
      </c>
      <c r="BJ146" s="270" t="str">
        <f>_xlfn.IFNA(VLOOKUP(CONCATENATE(BJ$4,$C146),'INSER DATA'!$A:$F,7,0),"")</f>
        <v/>
      </c>
      <c r="BK146" s="270" t="str">
        <f>_xlfn.IFNA(VLOOKUP(CONCATENATE(BK$4,$C146),'INSER DATA'!$A:$F,7,0),"")</f>
        <v/>
      </c>
      <c r="BL146" s="272"/>
      <c r="BM146" s="30"/>
      <c r="BN146" s="30"/>
      <c r="BO146" s="30"/>
      <c r="BP146" s="30"/>
      <c r="BQ146" s="30"/>
      <c r="BR146" s="30"/>
      <c r="BS146" s="30"/>
      <c r="BT146" s="30"/>
      <c r="BU146" s="30"/>
      <c r="BV146" s="30"/>
      <c r="BW146" s="30"/>
      <c r="BX146" s="30"/>
      <c r="BY146" s="30"/>
      <c r="BZ146" s="30"/>
      <c r="CA146" s="30"/>
      <c r="CB146" s="30"/>
      <c r="CC146" s="30"/>
      <c r="CD146" s="30"/>
      <c r="CE146" s="30"/>
      <c r="CF146" s="30"/>
      <c r="CG146" s="30"/>
      <c r="CH146" s="30"/>
      <c r="CI146" s="30"/>
      <c r="CJ146" s="30"/>
      <c r="CK146" s="30"/>
      <c r="CL146" s="30"/>
      <c r="CM146" s="30"/>
      <c r="CN146" s="30"/>
      <c r="CO146" s="30"/>
      <c r="CP146" s="30"/>
      <c r="CQ146" s="30"/>
      <c r="CR146" s="30"/>
      <c r="CS146" s="30"/>
      <c r="CT146" s="30"/>
      <c r="CU146" s="30"/>
      <c r="CV146" s="30"/>
      <c r="CW146" s="30"/>
      <c r="CX146" s="30"/>
      <c r="CY146" s="30"/>
      <c r="CZ146" s="30"/>
      <c r="DA146" s="30"/>
    </row>
    <row r="147" spans="1:105" ht="19.2" thickTop="1" thickBot="1" x14ac:dyDescent="0.4">
      <c r="A147" s="30"/>
      <c r="B147" s="30"/>
      <c r="C147" s="188" t="s">
        <v>720</v>
      </c>
      <c r="D147" s="46" t="s">
        <v>721</v>
      </c>
      <c r="E147" s="35" t="str">
        <f>_xlfn.XLOOKUP(Tabella4[[#This Row],[NOME]],'ROSE SQUADRE'!$N$3:$N$253,'ROSE SQUADRE'!$O$3:$O$253,"")</f>
        <v/>
      </c>
      <c r="F147" s="36" t="s">
        <v>5</v>
      </c>
      <c r="G147" s="43">
        <v>2</v>
      </c>
      <c r="H147" s="43">
        <v>2</v>
      </c>
      <c r="I147" s="44">
        <f t="shared" si="13"/>
        <v>0</v>
      </c>
      <c r="J147" s="37">
        <f t="shared" si="14"/>
        <v>0</v>
      </c>
      <c r="K147" s="178">
        <f t="shared" si="15"/>
        <v>0</v>
      </c>
      <c r="L147" s="178">
        <f t="shared" si="16"/>
        <v>0</v>
      </c>
      <c r="M147" s="179">
        <f t="shared" si="17"/>
        <v>0</v>
      </c>
      <c r="N147" s="45">
        <f t="shared" ca="1" si="18"/>
        <v>0</v>
      </c>
      <c r="O147" s="40">
        <f>SUMIF(Tabella1[Nome],Tabella4[[#This Row],[NOME]],Tabella1[Gf])</f>
        <v>0</v>
      </c>
      <c r="P147" s="40">
        <f>-(SUMIF(Tabella1[Nome],Tabella4[[#This Row],[NOME]],Tabella1[Gs]))</f>
        <v>0</v>
      </c>
      <c r="Q147" s="40">
        <f>SUMIF(Tabella1[Nome],Tabella4[[#This Row],[NOME]],Tabella1[Rp])</f>
        <v>0</v>
      </c>
      <c r="R147" s="40">
        <f>SUMIF(Tabella1[Nome],Tabella4[[#This Row],[NOME]],Tabella1[Rs])</f>
        <v>0</v>
      </c>
      <c r="S147" s="40">
        <f>SUMIF(Tabella1[Nome],Tabella4[[#This Row],[NOME]],Tabella1[Rf])</f>
        <v>0</v>
      </c>
      <c r="T147" s="40">
        <f>SUMIF(Tabella1[Nome],Tabella4[[#This Row],[NOME]],Tabella1[Au])</f>
        <v>0</v>
      </c>
      <c r="U147" s="41">
        <f>SUMIF(Tabella1[Nome],Tabella4[[#This Row],[NOME]],Tabella1[Amm])</f>
        <v>0</v>
      </c>
      <c r="V147" s="42">
        <f>SUMIF(Tabella1[Nome],Tabella4[[#This Row],[NOME]],Tabella1[Esp])</f>
        <v>0</v>
      </c>
      <c r="W147" s="40">
        <f>SUMIF(Tabella1[Nome],Tabella4[[#This Row],[NOME]],Tabella1[Ass])</f>
        <v>0</v>
      </c>
      <c r="X147" s="40">
        <f>SUMIF(Tabella1[Nome],Tabella4[[#This Row],[NOME]],Tabella1[Gdv])</f>
        <v>0</v>
      </c>
      <c r="Y147" s="40">
        <f>SUMIF(Tabella1[Nome],Tabella4[[#This Row],[NOME]],Tabella1[cl sh])</f>
        <v>0</v>
      </c>
      <c r="Z147" s="270" t="str">
        <f>_xlfn.IFNA(_xlfn.XLOOKUP(CONCATENATE(Z$4,$C147),Tabella1[CONC X VOTI IN TAB GIOC],Tabella1[Voto],""),"")</f>
        <v/>
      </c>
      <c r="AA147" s="270" t="str">
        <f>_xlfn.IFNA(_xlfn.XLOOKUP(CONCATENATE(AA$4,$C147),Tabella1[CONC X VOTI IN TAB GIOC],Tabella1[Voto],""),"")</f>
        <v/>
      </c>
      <c r="AB147" s="270" t="str">
        <f>_xlfn.IFNA(_xlfn.XLOOKUP(CONCATENATE(AB$4,$C147),Tabella1[CONC X VOTI IN TAB GIOC],Tabella1[Voto]),"")</f>
        <v/>
      </c>
      <c r="AC147" s="270" t="str" cm="1">
        <f t="array" ref="AC147">_xlfn.IFNA(_xlfn.XLOOKUP(CONCATENATE(AC$4,$C147),INDEX(Tabella1[],0,MATCH("CONC X VOTI IN TAB GIOC",Tabella1[#Headers],0)),INDEX(Tabella1[],0,MATCH("Voto",Tabella1[#Headers],0))),"")</f>
        <v/>
      </c>
      <c r="AD147" s="270" t="str">
        <f>_xlfn.IFNA(_xlfn.XLOOKUP(CONCATENATE(AD$4,$C147),Tabella1[CONC X VOTI IN TAB GIOC],Tabella1[Voto]),"")</f>
        <v/>
      </c>
      <c r="AE147" s="270" t="str">
        <f>_xlfn.IFNA(VLOOKUP(CONCATENATE(AE$4,$C147),'INSER DATA'!$A:$F,6,0),"")</f>
        <v/>
      </c>
      <c r="AF147" s="270" t="str">
        <f>_xlfn.IFNA(VLOOKUP(CONCATENATE(AF$4,$C147),'INSER DATA'!$A:$F,6,0),"")</f>
        <v/>
      </c>
      <c r="AG147" s="270" t="str">
        <f>_xlfn.IFNA(VLOOKUP(CONCATENATE(AG$4,$C147),'INSER DATA'!$A:$F,6,0),"")</f>
        <v/>
      </c>
      <c r="AH147" s="270" t="str">
        <f>_xlfn.IFNA(VLOOKUP(CONCATENATE(AH$4,$C147),'INSER DATA'!$A:$F,7,0),"")</f>
        <v/>
      </c>
      <c r="AI147" s="270" t="str">
        <f>_xlfn.IFNA(VLOOKUP(CONCATENATE(AI$4,$C147),'INSER DATA'!$A:$F,7,0),"")</f>
        <v/>
      </c>
      <c r="AJ147" s="270" t="str">
        <f>_xlfn.IFNA(VLOOKUP(CONCATENATE(AJ$4,$C147),'INSER DATA'!$A:$F,7,0),"")</f>
        <v/>
      </c>
      <c r="AK147" s="270" t="str">
        <f>_xlfn.IFNA(VLOOKUP(CONCATENATE(AK$4,$C147),'INSER DATA'!$A:$F,7,0),"")</f>
        <v/>
      </c>
      <c r="AL147" s="270" t="str">
        <f>_xlfn.IFNA(VLOOKUP(CONCATENATE(AL$4,$C147),'INSER DATA'!$A:$F,7,0),"")</f>
        <v/>
      </c>
      <c r="AM147" s="270" t="str">
        <f>_xlfn.IFNA(VLOOKUP(CONCATENATE(AM$4,$C147),'INSER DATA'!$A:$F,7,0),"")</f>
        <v/>
      </c>
      <c r="AN147" s="270" t="str">
        <f>_xlfn.IFNA(VLOOKUP(CONCATENATE(AN$4,$C147),'INSER DATA'!$A:$F,7,0),"")</f>
        <v/>
      </c>
      <c r="AO147" s="270" t="str">
        <f>_xlfn.IFNA(VLOOKUP(CONCATENATE(AO$4,$C147),'INSER DATA'!$A:$F,7,0),"")</f>
        <v/>
      </c>
      <c r="AP147" s="270" t="str">
        <f>_xlfn.IFNA(VLOOKUP(CONCATENATE(AP$4,$C147),'INSER DATA'!$A:$F,7,0),"")</f>
        <v/>
      </c>
      <c r="AQ147" s="270" t="str">
        <f>_xlfn.IFNA(VLOOKUP(CONCATENATE(AQ$4,$C147),'INSER DATA'!$A:$F,7,0),"")</f>
        <v/>
      </c>
      <c r="AR147" s="270" t="str">
        <f>_xlfn.IFNA(VLOOKUP(CONCATENATE(AR$4,$C147),'INSER DATA'!$A:$F,7,0),"")</f>
        <v/>
      </c>
      <c r="AS147" s="270" t="str">
        <f>_xlfn.IFNA(VLOOKUP(CONCATENATE(AS$4,$C147),'INSER DATA'!$A:$F,7,0),"")</f>
        <v/>
      </c>
      <c r="AT147" s="270" t="str">
        <f>_xlfn.IFNA(VLOOKUP(CONCATENATE(AT$4,$C147),'INSER DATA'!$A:$F,7,0),"")</f>
        <v/>
      </c>
      <c r="AU147" s="270" t="str">
        <f>_xlfn.IFNA(VLOOKUP(CONCATENATE(AU$4,$C147),'INSER DATA'!$A:$F,7,0),"")</f>
        <v/>
      </c>
      <c r="AV147" s="270" t="str">
        <f>_xlfn.IFNA(VLOOKUP(CONCATENATE(AV$4,$C147),'INSER DATA'!$A:$F,7,0),"")</f>
        <v/>
      </c>
      <c r="AW147" s="270" t="str">
        <f>_xlfn.IFNA(VLOOKUP(CONCATENATE(AW$4,$C147),'INSER DATA'!$A:$F,7,0),"")</f>
        <v/>
      </c>
      <c r="AX147" s="270" t="str">
        <f>_xlfn.IFNA(VLOOKUP(CONCATENATE(AX$4,$C147),'INSER DATA'!$A:$F,7,0),"")</f>
        <v/>
      </c>
      <c r="AY147" s="270" t="str">
        <f>_xlfn.IFNA(VLOOKUP(CONCATENATE(AY$4,$C147),'INSER DATA'!$A:$F,7,0),"")</f>
        <v/>
      </c>
      <c r="AZ147" s="270" t="str">
        <f>_xlfn.IFNA(VLOOKUP(CONCATENATE(AZ$4,$C147),'INSER DATA'!$A:$F,7,0),"")</f>
        <v/>
      </c>
      <c r="BA147" s="270" t="str">
        <f>_xlfn.IFNA(VLOOKUP(CONCATENATE(BA$4,$C147),'INSER DATA'!$A:$F,7,0),"")</f>
        <v/>
      </c>
      <c r="BB147" s="270" t="str">
        <f>_xlfn.IFNA(VLOOKUP(CONCATENATE(BB$4,$C147),'INSER DATA'!$A:$F,7,0),"")</f>
        <v/>
      </c>
      <c r="BC147" s="270" t="str">
        <f>_xlfn.IFNA(VLOOKUP(CONCATENATE(BC$4,$C147),'INSER DATA'!$A:$F,7,0),"")</f>
        <v/>
      </c>
      <c r="BD147" s="270" t="str">
        <f>_xlfn.IFNA(VLOOKUP(CONCATENATE(BD$4,$C147),'INSER DATA'!$A:$F,7,0),"")</f>
        <v/>
      </c>
      <c r="BE147" s="270" t="str">
        <f>_xlfn.IFNA(VLOOKUP(CONCATENATE(BE$4,$C147),'INSER DATA'!$A:$F,7,0),"")</f>
        <v/>
      </c>
      <c r="BF147" s="270" t="str">
        <f>_xlfn.IFNA(VLOOKUP(CONCATENATE(BF$4,$C147),'INSER DATA'!$A:$F,7,0),"")</f>
        <v/>
      </c>
      <c r="BG147" s="270" t="str">
        <f>_xlfn.IFNA(VLOOKUP(CONCATENATE(BG$4,$C147),'INSER DATA'!$A:$F,7,0),"")</f>
        <v/>
      </c>
      <c r="BH147" s="270" t="str">
        <f>_xlfn.IFNA(VLOOKUP(CONCATENATE(BH$4,$C147),'INSER DATA'!$A:$F,7,0),"")</f>
        <v/>
      </c>
      <c r="BI147" s="270" t="str">
        <f>_xlfn.IFNA(VLOOKUP(CONCATENATE(BI$4,$C147),'INSER DATA'!$A:$F,7,0),"")</f>
        <v/>
      </c>
      <c r="BJ147" s="270" t="str">
        <f>_xlfn.IFNA(VLOOKUP(CONCATENATE(BJ$4,$C147),'INSER DATA'!$A:$F,7,0),"")</f>
        <v/>
      </c>
      <c r="BK147" s="270" t="str">
        <f>_xlfn.IFNA(VLOOKUP(CONCATENATE(BK$4,$C147),'INSER DATA'!$A:$F,7,0),"")</f>
        <v/>
      </c>
      <c r="BL147" s="272"/>
      <c r="BM147" s="30"/>
      <c r="BN147" s="30"/>
      <c r="BO147" s="30"/>
      <c r="BP147" s="30"/>
      <c r="BQ147" s="30"/>
      <c r="BR147" s="30"/>
      <c r="BS147" s="30"/>
      <c r="BT147" s="30"/>
      <c r="BU147" s="30"/>
      <c r="BV147" s="30"/>
      <c r="BW147" s="30"/>
      <c r="BX147" s="30"/>
      <c r="BY147" s="30"/>
      <c r="BZ147" s="30"/>
      <c r="CA147" s="30"/>
      <c r="CB147" s="30"/>
      <c r="CC147" s="30"/>
      <c r="CD147" s="30"/>
      <c r="CE147" s="30"/>
      <c r="CF147" s="30"/>
      <c r="CG147" s="30"/>
      <c r="CH147" s="30"/>
      <c r="CI147" s="30"/>
      <c r="CJ147" s="30"/>
      <c r="CK147" s="30"/>
      <c r="CL147" s="30"/>
      <c r="CM147" s="30"/>
      <c r="CN147" s="30"/>
      <c r="CO147" s="30"/>
      <c r="CP147" s="30"/>
      <c r="CQ147" s="30"/>
      <c r="CR147" s="30"/>
      <c r="CS147" s="30"/>
      <c r="CT147" s="30"/>
      <c r="CU147" s="30"/>
      <c r="CV147" s="30"/>
      <c r="CW147" s="30"/>
      <c r="CX147" s="30"/>
      <c r="CY147" s="30"/>
      <c r="CZ147" s="30"/>
      <c r="DA147" s="30"/>
    </row>
    <row r="148" spans="1:105" ht="19.2" thickTop="1" thickBot="1" x14ac:dyDescent="0.4">
      <c r="A148" s="30"/>
      <c r="B148" s="30"/>
      <c r="C148" s="185" t="s">
        <v>722</v>
      </c>
      <c r="D148" s="46" t="s">
        <v>721</v>
      </c>
      <c r="E148" s="35" t="str">
        <f>_xlfn.XLOOKUP(Tabella4[[#This Row],[NOME]],'ROSE SQUADRE'!$N$3:$N$253,'ROSE SQUADRE'!$O$3:$O$253,"")</f>
        <v/>
      </c>
      <c r="F148" s="36" t="s">
        <v>5</v>
      </c>
      <c r="G148" s="43">
        <v>1</v>
      </c>
      <c r="H148" s="43">
        <v>1</v>
      </c>
      <c r="I148" s="44">
        <f t="shared" si="13"/>
        <v>0</v>
      </c>
      <c r="J148" s="37">
        <f t="shared" si="14"/>
        <v>0</v>
      </c>
      <c r="K148" s="178">
        <f t="shared" si="15"/>
        <v>0</v>
      </c>
      <c r="L148" s="178">
        <f t="shared" si="16"/>
        <v>0</v>
      </c>
      <c r="M148" s="179">
        <f t="shared" si="17"/>
        <v>0</v>
      </c>
      <c r="N148" s="45">
        <f t="shared" ca="1" si="18"/>
        <v>0</v>
      </c>
      <c r="O148" s="40">
        <f>SUMIF(Tabella1[Nome],Tabella4[[#This Row],[NOME]],Tabella1[Gf])</f>
        <v>0</v>
      </c>
      <c r="P148" s="40">
        <f>-(SUMIF(Tabella1[Nome],Tabella4[[#This Row],[NOME]],Tabella1[Gs]))</f>
        <v>0</v>
      </c>
      <c r="Q148" s="40">
        <f>SUMIF(Tabella1[Nome],Tabella4[[#This Row],[NOME]],Tabella1[Rp])</f>
        <v>0</v>
      </c>
      <c r="R148" s="40">
        <f>SUMIF(Tabella1[Nome],Tabella4[[#This Row],[NOME]],Tabella1[Rs])</f>
        <v>0</v>
      </c>
      <c r="S148" s="40">
        <f>SUMIF(Tabella1[Nome],Tabella4[[#This Row],[NOME]],Tabella1[Rf])</f>
        <v>0</v>
      </c>
      <c r="T148" s="40">
        <f>SUMIF(Tabella1[Nome],Tabella4[[#This Row],[NOME]],Tabella1[Au])</f>
        <v>0</v>
      </c>
      <c r="U148" s="41">
        <f>SUMIF(Tabella1[Nome],Tabella4[[#This Row],[NOME]],Tabella1[Amm])</f>
        <v>0</v>
      </c>
      <c r="V148" s="42">
        <f>SUMIF(Tabella1[Nome],Tabella4[[#This Row],[NOME]],Tabella1[Esp])</f>
        <v>0</v>
      </c>
      <c r="W148" s="40">
        <f>SUMIF(Tabella1[Nome],Tabella4[[#This Row],[NOME]],Tabella1[Ass])</f>
        <v>0</v>
      </c>
      <c r="X148" s="40">
        <f>SUMIF(Tabella1[Nome],Tabella4[[#This Row],[NOME]],Tabella1[Gdv])</f>
        <v>0</v>
      </c>
      <c r="Y148" s="40">
        <f>SUMIF(Tabella1[Nome],Tabella4[[#This Row],[NOME]],Tabella1[cl sh])</f>
        <v>0</v>
      </c>
      <c r="Z148" s="270" t="str">
        <f>_xlfn.IFNA(_xlfn.XLOOKUP(CONCATENATE(Z$4,$C148),Tabella1[CONC X VOTI IN TAB GIOC],Tabella1[Voto],""),"")</f>
        <v/>
      </c>
      <c r="AA148" s="270" t="str">
        <f>_xlfn.IFNA(_xlfn.XLOOKUP(CONCATENATE(AA$4,$C148),Tabella1[CONC X VOTI IN TAB GIOC],Tabella1[Voto],""),"")</f>
        <v/>
      </c>
      <c r="AB148" s="270" t="str">
        <f>_xlfn.IFNA(_xlfn.XLOOKUP(CONCATENATE(AB$4,$C148),Tabella1[CONC X VOTI IN TAB GIOC],Tabella1[Voto]),"")</f>
        <v/>
      </c>
      <c r="AC148" s="270" t="str" cm="1">
        <f t="array" ref="AC148">_xlfn.IFNA(_xlfn.XLOOKUP(CONCATENATE(AC$4,$C148),INDEX(Tabella1[],0,MATCH("CONC X VOTI IN TAB GIOC",Tabella1[#Headers],0)),INDEX(Tabella1[],0,MATCH("Voto",Tabella1[#Headers],0))),"")</f>
        <v/>
      </c>
      <c r="AD148" s="270" t="str">
        <f>_xlfn.IFNA(_xlfn.XLOOKUP(CONCATENATE(AD$4,$C148),Tabella1[CONC X VOTI IN TAB GIOC],Tabella1[Voto]),"")</f>
        <v/>
      </c>
      <c r="AE148" s="270" t="str">
        <f>_xlfn.IFNA(VLOOKUP(CONCATENATE(AE$4,$C148),'INSER DATA'!$A:$F,6,0),"")</f>
        <v/>
      </c>
      <c r="AF148" s="270" t="str">
        <f>_xlfn.IFNA(VLOOKUP(CONCATENATE(AF$4,$C148),'INSER DATA'!$A:$F,6,0),"")</f>
        <v/>
      </c>
      <c r="AG148" s="270" t="str">
        <f>_xlfn.IFNA(VLOOKUP(CONCATENATE(AG$4,$C148),'INSER DATA'!$A:$F,6,0),"")</f>
        <v/>
      </c>
      <c r="AH148" s="270" t="str">
        <f>_xlfn.IFNA(VLOOKUP(CONCATENATE(AH$4,$C148),'INSER DATA'!$A:$F,7,0),"")</f>
        <v/>
      </c>
      <c r="AI148" s="270" t="str">
        <f>_xlfn.IFNA(VLOOKUP(CONCATENATE(AI$4,$C148),'INSER DATA'!$A:$F,7,0),"")</f>
        <v/>
      </c>
      <c r="AJ148" s="270" t="str">
        <f>_xlfn.IFNA(VLOOKUP(CONCATENATE(AJ$4,$C148),'INSER DATA'!$A:$F,7,0),"")</f>
        <v/>
      </c>
      <c r="AK148" s="270" t="str">
        <f>_xlfn.IFNA(VLOOKUP(CONCATENATE(AK$4,$C148),'INSER DATA'!$A:$F,7,0),"")</f>
        <v/>
      </c>
      <c r="AL148" s="270" t="str">
        <f>_xlfn.IFNA(VLOOKUP(CONCATENATE(AL$4,$C148),'INSER DATA'!$A:$F,7,0),"")</f>
        <v/>
      </c>
      <c r="AM148" s="270" t="str">
        <f>_xlfn.IFNA(VLOOKUP(CONCATENATE(AM$4,$C148),'INSER DATA'!$A:$F,7,0),"")</f>
        <v/>
      </c>
      <c r="AN148" s="270" t="str">
        <f>_xlfn.IFNA(VLOOKUP(CONCATENATE(AN$4,$C148),'INSER DATA'!$A:$F,7,0),"")</f>
        <v/>
      </c>
      <c r="AO148" s="270" t="str">
        <f>_xlfn.IFNA(VLOOKUP(CONCATENATE(AO$4,$C148),'INSER DATA'!$A:$F,7,0),"")</f>
        <v/>
      </c>
      <c r="AP148" s="270" t="str">
        <f>_xlfn.IFNA(VLOOKUP(CONCATENATE(AP$4,$C148),'INSER DATA'!$A:$F,7,0),"")</f>
        <v/>
      </c>
      <c r="AQ148" s="270" t="str">
        <f>_xlfn.IFNA(VLOOKUP(CONCATENATE(AQ$4,$C148),'INSER DATA'!$A:$F,7,0),"")</f>
        <v/>
      </c>
      <c r="AR148" s="270" t="str">
        <f>_xlfn.IFNA(VLOOKUP(CONCATENATE(AR$4,$C148),'INSER DATA'!$A:$F,7,0),"")</f>
        <v/>
      </c>
      <c r="AS148" s="270" t="str">
        <f>_xlfn.IFNA(VLOOKUP(CONCATENATE(AS$4,$C148),'INSER DATA'!$A:$F,7,0),"")</f>
        <v/>
      </c>
      <c r="AT148" s="270" t="str">
        <f>_xlfn.IFNA(VLOOKUP(CONCATENATE(AT$4,$C148),'INSER DATA'!$A:$F,7,0),"")</f>
        <v/>
      </c>
      <c r="AU148" s="270" t="str">
        <f>_xlfn.IFNA(VLOOKUP(CONCATENATE(AU$4,$C148),'INSER DATA'!$A:$F,7,0),"")</f>
        <v/>
      </c>
      <c r="AV148" s="270" t="str">
        <f>_xlfn.IFNA(VLOOKUP(CONCATENATE(AV$4,$C148),'INSER DATA'!$A:$F,7,0),"")</f>
        <v/>
      </c>
      <c r="AW148" s="270" t="str">
        <f>_xlfn.IFNA(VLOOKUP(CONCATENATE(AW$4,$C148),'INSER DATA'!$A:$F,7,0),"")</f>
        <v/>
      </c>
      <c r="AX148" s="270" t="str">
        <f>_xlfn.IFNA(VLOOKUP(CONCATENATE(AX$4,$C148),'INSER DATA'!$A:$F,7,0),"")</f>
        <v/>
      </c>
      <c r="AY148" s="270" t="str">
        <f>_xlfn.IFNA(VLOOKUP(CONCATENATE(AY$4,$C148),'INSER DATA'!$A:$F,7,0),"")</f>
        <v/>
      </c>
      <c r="AZ148" s="270" t="str">
        <f>_xlfn.IFNA(VLOOKUP(CONCATENATE(AZ$4,$C148),'INSER DATA'!$A:$F,7,0),"")</f>
        <v/>
      </c>
      <c r="BA148" s="270" t="str">
        <f>_xlfn.IFNA(VLOOKUP(CONCATENATE(BA$4,$C148),'INSER DATA'!$A:$F,7,0),"")</f>
        <v/>
      </c>
      <c r="BB148" s="270" t="str">
        <f>_xlfn.IFNA(VLOOKUP(CONCATENATE(BB$4,$C148),'INSER DATA'!$A:$F,7,0),"")</f>
        <v/>
      </c>
      <c r="BC148" s="270" t="str">
        <f>_xlfn.IFNA(VLOOKUP(CONCATENATE(BC$4,$C148),'INSER DATA'!$A:$F,7,0),"")</f>
        <v/>
      </c>
      <c r="BD148" s="270" t="str">
        <f>_xlfn.IFNA(VLOOKUP(CONCATENATE(BD$4,$C148),'INSER DATA'!$A:$F,7,0),"")</f>
        <v/>
      </c>
      <c r="BE148" s="270" t="str">
        <f>_xlfn.IFNA(VLOOKUP(CONCATENATE(BE$4,$C148),'INSER DATA'!$A:$F,7,0),"")</f>
        <v/>
      </c>
      <c r="BF148" s="270" t="str">
        <f>_xlfn.IFNA(VLOOKUP(CONCATENATE(BF$4,$C148),'INSER DATA'!$A:$F,7,0),"")</f>
        <v/>
      </c>
      <c r="BG148" s="270" t="str">
        <f>_xlfn.IFNA(VLOOKUP(CONCATENATE(BG$4,$C148),'INSER DATA'!$A:$F,7,0),"")</f>
        <v/>
      </c>
      <c r="BH148" s="270" t="str">
        <f>_xlfn.IFNA(VLOOKUP(CONCATENATE(BH$4,$C148),'INSER DATA'!$A:$F,7,0),"")</f>
        <v/>
      </c>
      <c r="BI148" s="270" t="str">
        <f>_xlfn.IFNA(VLOOKUP(CONCATENATE(BI$4,$C148),'INSER DATA'!$A:$F,7,0),"")</f>
        <v/>
      </c>
      <c r="BJ148" s="270" t="str">
        <f>_xlfn.IFNA(VLOOKUP(CONCATENATE(BJ$4,$C148),'INSER DATA'!$A:$F,7,0),"")</f>
        <v/>
      </c>
      <c r="BK148" s="270" t="str">
        <f>_xlfn.IFNA(VLOOKUP(CONCATENATE(BK$4,$C148),'INSER DATA'!$A:$F,7,0),"")</f>
        <v/>
      </c>
      <c r="BL148" s="272"/>
      <c r="BM148" s="30"/>
      <c r="BN148" s="30"/>
      <c r="BO148" s="30"/>
      <c r="BP148" s="30"/>
      <c r="BQ148" s="30"/>
      <c r="BR148" s="30"/>
      <c r="BS148" s="30"/>
      <c r="BT148" s="30"/>
      <c r="BU148" s="30"/>
      <c r="BV148" s="30"/>
      <c r="BW148" s="30"/>
      <c r="BX148" s="30"/>
      <c r="BY148" s="30"/>
      <c r="BZ148" s="30"/>
      <c r="CA148" s="30"/>
      <c r="CB148" s="30"/>
      <c r="CC148" s="30"/>
      <c r="CD148" s="30"/>
      <c r="CE148" s="30"/>
      <c r="CF148" s="30"/>
      <c r="CG148" s="30"/>
      <c r="CH148" s="30"/>
      <c r="CI148" s="30"/>
      <c r="CJ148" s="30"/>
      <c r="CK148" s="30"/>
      <c r="CL148" s="30"/>
      <c r="CM148" s="30"/>
      <c r="CN148" s="30"/>
      <c r="CO148" s="30"/>
      <c r="CP148" s="30"/>
      <c r="CQ148" s="30"/>
      <c r="CR148" s="30"/>
      <c r="CS148" s="30"/>
      <c r="CT148" s="30"/>
      <c r="CU148" s="30"/>
      <c r="CV148" s="30"/>
      <c r="CW148" s="30"/>
      <c r="CX148" s="30"/>
      <c r="CY148" s="30"/>
      <c r="CZ148" s="30"/>
      <c r="DA148" s="30"/>
    </row>
    <row r="149" spans="1:105" ht="19.2" thickTop="1" thickBot="1" x14ac:dyDescent="0.4">
      <c r="A149" s="30"/>
      <c r="B149" s="30"/>
      <c r="C149" s="185" t="s">
        <v>724</v>
      </c>
      <c r="D149" s="46" t="s">
        <v>721</v>
      </c>
      <c r="E149" s="35" t="str">
        <f>_xlfn.XLOOKUP(Tabella4[[#This Row],[NOME]],'ROSE SQUADRE'!$N$3:$N$253,'ROSE SQUADRE'!$O$3:$O$253,"")</f>
        <v/>
      </c>
      <c r="F149" s="36" t="s">
        <v>5</v>
      </c>
      <c r="G149" s="43">
        <v>1</v>
      </c>
      <c r="H149" s="43">
        <v>1</v>
      </c>
      <c r="I149" s="44">
        <f t="shared" si="13"/>
        <v>0</v>
      </c>
      <c r="J149" s="37">
        <f t="shared" si="14"/>
        <v>0</v>
      </c>
      <c r="K149" s="178">
        <f t="shared" si="15"/>
        <v>0</v>
      </c>
      <c r="L149" s="178">
        <f t="shared" si="16"/>
        <v>0</v>
      </c>
      <c r="M149" s="179">
        <f t="shared" si="17"/>
        <v>0</v>
      </c>
      <c r="N149" s="45">
        <f t="shared" ca="1" si="18"/>
        <v>0</v>
      </c>
      <c r="O149" s="40">
        <f>SUMIF(Tabella1[Nome],Tabella4[[#This Row],[NOME]],Tabella1[Gf])</f>
        <v>0</v>
      </c>
      <c r="P149" s="40">
        <f>-(SUMIF(Tabella1[Nome],Tabella4[[#This Row],[NOME]],Tabella1[Gs]))</f>
        <v>0</v>
      </c>
      <c r="Q149" s="40">
        <f>SUMIF(Tabella1[Nome],Tabella4[[#This Row],[NOME]],Tabella1[Rp])</f>
        <v>0</v>
      </c>
      <c r="R149" s="40">
        <f>SUMIF(Tabella1[Nome],Tabella4[[#This Row],[NOME]],Tabella1[Rs])</f>
        <v>0</v>
      </c>
      <c r="S149" s="40">
        <f>SUMIF(Tabella1[Nome],Tabella4[[#This Row],[NOME]],Tabella1[Rf])</f>
        <v>0</v>
      </c>
      <c r="T149" s="40">
        <f>SUMIF(Tabella1[Nome],Tabella4[[#This Row],[NOME]],Tabella1[Au])</f>
        <v>0</v>
      </c>
      <c r="U149" s="41">
        <f>SUMIF(Tabella1[Nome],Tabella4[[#This Row],[NOME]],Tabella1[Amm])</f>
        <v>0</v>
      </c>
      <c r="V149" s="42">
        <f>SUMIF(Tabella1[Nome],Tabella4[[#This Row],[NOME]],Tabella1[Esp])</f>
        <v>0</v>
      </c>
      <c r="W149" s="40">
        <f>SUMIF(Tabella1[Nome],Tabella4[[#This Row],[NOME]],Tabella1[Ass])</f>
        <v>0</v>
      </c>
      <c r="X149" s="40">
        <f>SUMIF(Tabella1[Nome],Tabella4[[#This Row],[NOME]],Tabella1[Gdv])</f>
        <v>0</v>
      </c>
      <c r="Y149" s="40">
        <f>SUMIF(Tabella1[Nome],Tabella4[[#This Row],[NOME]],Tabella1[cl sh])</f>
        <v>0</v>
      </c>
      <c r="Z149" s="270" t="str">
        <f>_xlfn.IFNA(_xlfn.XLOOKUP(CONCATENATE(Z$4,$C149),Tabella1[CONC X VOTI IN TAB GIOC],Tabella1[Voto],""),"")</f>
        <v/>
      </c>
      <c r="AA149" s="270" t="str">
        <f>_xlfn.IFNA(_xlfn.XLOOKUP(CONCATENATE(AA$4,$C149),Tabella1[CONC X VOTI IN TAB GIOC],Tabella1[Voto],""),"")</f>
        <v/>
      </c>
      <c r="AB149" s="270" t="str">
        <f>_xlfn.IFNA(_xlfn.XLOOKUP(CONCATENATE(AB$4,$C149),Tabella1[CONC X VOTI IN TAB GIOC],Tabella1[Voto]),"")</f>
        <v/>
      </c>
      <c r="AC149" s="270" t="str" cm="1">
        <f t="array" ref="AC149">_xlfn.IFNA(_xlfn.XLOOKUP(CONCATENATE(AC$4,$C149),INDEX(Tabella1[],0,MATCH("CONC X VOTI IN TAB GIOC",Tabella1[#Headers],0)),INDEX(Tabella1[],0,MATCH("Voto",Tabella1[#Headers],0))),"")</f>
        <v/>
      </c>
      <c r="AD149" s="270" t="str">
        <f>_xlfn.IFNA(_xlfn.XLOOKUP(CONCATENATE(AD$4,$C149),Tabella1[CONC X VOTI IN TAB GIOC],Tabella1[Voto]),"")</f>
        <v/>
      </c>
      <c r="AE149" s="270" t="str">
        <f>_xlfn.IFNA(VLOOKUP(CONCATENATE(AE$4,$C149),'INSER DATA'!$A:$F,6,0),"")</f>
        <v/>
      </c>
      <c r="AF149" s="270" t="str">
        <f>_xlfn.IFNA(VLOOKUP(CONCATENATE(AF$4,$C149),'INSER DATA'!$A:$F,6,0),"")</f>
        <v/>
      </c>
      <c r="AG149" s="270" t="str">
        <f>_xlfn.IFNA(VLOOKUP(CONCATENATE(AG$4,$C149),'INSER DATA'!$A:$F,6,0),"")</f>
        <v/>
      </c>
      <c r="AH149" s="270" t="str">
        <f>_xlfn.IFNA(VLOOKUP(CONCATENATE(AH$4,$C149),'INSER DATA'!$A:$F,7,0),"")</f>
        <v/>
      </c>
      <c r="AI149" s="270" t="str">
        <f>_xlfn.IFNA(VLOOKUP(CONCATENATE(AI$4,$C149),'INSER DATA'!$A:$F,7,0),"")</f>
        <v/>
      </c>
      <c r="AJ149" s="270" t="str">
        <f>_xlfn.IFNA(VLOOKUP(CONCATENATE(AJ$4,$C149),'INSER DATA'!$A:$F,7,0),"")</f>
        <v/>
      </c>
      <c r="AK149" s="270" t="str">
        <f>_xlfn.IFNA(VLOOKUP(CONCATENATE(AK$4,$C149),'INSER DATA'!$A:$F,7,0),"")</f>
        <v/>
      </c>
      <c r="AL149" s="270" t="str">
        <f>_xlfn.IFNA(VLOOKUP(CONCATENATE(AL$4,$C149),'INSER DATA'!$A:$F,7,0),"")</f>
        <v/>
      </c>
      <c r="AM149" s="270" t="str">
        <f>_xlfn.IFNA(VLOOKUP(CONCATENATE(AM$4,$C149),'INSER DATA'!$A:$F,7,0),"")</f>
        <v/>
      </c>
      <c r="AN149" s="270" t="str">
        <f>_xlfn.IFNA(VLOOKUP(CONCATENATE(AN$4,$C149),'INSER DATA'!$A:$F,7,0),"")</f>
        <v/>
      </c>
      <c r="AO149" s="270" t="str">
        <f>_xlfn.IFNA(VLOOKUP(CONCATENATE(AO$4,$C149),'INSER DATA'!$A:$F,7,0),"")</f>
        <v/>
      </c>
      <c r="AP149" s="270" t="str">
        <f>_xlfn.IFNA(VLOOKUP(CONCATENATE(AP$4,$C149),'INSER DATA'!$A:$F,7,0),"")</f>
        <v/>
      </c>
      <c r="AQ149" s="270" t="str">
        <f>_xlfn.IFNA(VLOOKUP(CONCATENATE(AQ$4,$C149),'INSER DATA'!$A:$F,7,0),"")</f>
        <v/>
      </c>
      <c r="AR149" s="270" t="str">
        <f>_xlfn.IFNA(VLOOKUP(CONCATENATE(AR$4,$C149),'INSER DATA'!$A:$F,7,0),"")</f>
        <v/>
      </c>
      <c r="AS149" s="270" t="str">
        <f>_xlfn.IFNA(VLOOKUP(CONCATENATE(AS$4,$C149),'INSER DATA'!$A:$F,7,0),"")</f>
        <v/>
      </c>
      <c r="AT149" s="270" t="str">
        <f>_xlfn.IFNA(VLOOKUP(CONCATENATE(AT$4,$C149),'INSER DATA'!$A:$F,7,0),"")</f>
        <v/>
      </c>
      <c r="AU149" s="270" t="str">
        <f>_xlfn.IFNA(VLOOKUP(CONCATENATE(AU$4,$C149),'INSER DATA'!$A:$F,7,0),"")</f>
        <v/>
      </c>
      <c r="AV149" s="270" t="str">
        <f>_xlfn.IFNA(VLOOKUP(CONCATENATE(AV$4,$C149),'INSER DATA'!$A:$F,7,0),"")</f>
        <v/>
      </c>
      <c r="AW149" s="270" t="str">
        <f>_xlfn.IFNA(VLOOKUP(CONCATENATE(AW$4,$C149),'INSER DATA'!$A:$F,7,0),"")</f>
        <v/>
      </c>
      <c r="AX149" s="270" t="str">
        <f>_xlfn.IFNA(VLOOKUP(CONCATENATE(AX$4,$C149),'INSER DATA'!$A:$F,7,0),"")</f>
        <v/>
      </c>
      <c r="AY149" s="270" t="str">
        <f>_xlfn.IFNA(VLOOKUP(CONCATENATE(AY$4,$C149),'INSER DATA'!$A:$F,7,0),"")</f>
        <v/>
      </c>
      <c r="AZ149" s="270" t="str">
        <f>_xlfn.IFNA(VLOOKUP(CONCATENATE(AZ$4,$C149),'INSER DATA'!$A:$F,7,0),"")</f>
        <v/>
      </c>
      <c r="BA149" s="270" t="str">
        <f>_xlfn.IFNA(VLOOKUP(CONCATENATE(BA$4,$C149),'INSER DATA'!$A:$F,7,0),"")</f>
        <v/>
      </c>
      <c r="BB149" s="270" t="str">
        <f>_xlfn.IFNA(VLOOKUP(CONCATENATE(BB$4,$C149),'INSER DATA'!$A:$F,7,0),"")</f>
        <v/>
      </c>
      <c r="BC149" s="270" t="str">
        <f>_xlfn.IFNA(VLOOKUP(CONCATENATE(BC$4,$C149),'INSER DATA'!$A:$F,7,0),"")</f>
        <v/>
      </c>
      <c r="BD149" s="270" t="str">
        <f>_xlfn.IFNA(VLOOKUP(CONCATENATE(BD$4,$C149),'INSER DATA'!$A:$F,7,0),"")</f>
        <v/>
      </c>
      <c r="BE149" s="270" t="str">
        <f>_xlfn.IFNA(VLOOKUP(CONCATENATE(BE$4,$C149),'INSER DATA'!$A:$F,7,0),"")</f>
        <v/>
      </c>
      <c r="BF149" s="270" t="str">
        <f>_xlfn.IFNA(VLOOKUP(CONCATENATE(BF$4,$C149),'INSER DATA'!$A:$F,7,0),"")</f>
        <v/>
      </c>
      <c r="BG149" s="270" t="str">
        <f>_xlfn.IFNA(VLOOKUP(CONCATENATE(BG$4,$C149),'INSER DATA'!$A:$F,7,0),"")</f>
        <v/>
      </c>
      <c r="BH149" s="270" t="str">
        <f>_xlfn.IFNA(VLOOKUP(CONCATENATE(BH$4,$C149),'INSER DATA'!$A:$F,7,0),"")</f>
        <v/>
      </c>
      <c r="BI149" s="270" t="str">
        <f>_xlfn.IFNA(VLOOKUP(CONCATENATE(BI$4,$C149),'INSER DATA'!$A:$F,7,0),"")</f>
        <v/>
      </c>
      <c r="BJ149" s="270" t="str">
        <f>_xlfn.IFNA(VLOOKUP(CONCATENATE(BJ$4,$C149),'INSER DATA'!$A:$F,7,0),"")</f>
        <v/>
      </c>
      <c r="BK149" s="270" t="str">
        <f>_xlfn.IFNA(VLOOKUP(CONCATENATE(BK$4,$C149),'INSER DATA'!$A:$F,7,0),"")</f>
        <v/>
      </c>
      <c r="BL149" s="272"/>
      <c r="BM149" s="30"/>
      <c r="BN149" s="30"/>
      <c r="BO149" s="30"/>
      <c r="BP149" s="30"/>
      <c r="BQ149" s="30"/>
      <c r="BR149" s="30"/>
      <c r="BS149" s="30"/>
      <c r="BT149" s="30"/>
      <c r="BU149" s="30"/>
      <c r="BV149" s="30"/>
      <c r="BW149" s="30"/>
      <c r="BX149" s="30"/>
      <c r="BY149" s="30"/>
      <c r="BZ149" s="30"/>
      <c r="CA149" s="30"/>
      <c r="CB149" s="30"/>
      <c r="CC149" s="30"/>
      <c r="CD149" s="30"/>
      <c r="CE149" s="30"/>
      <c r="CF149" s="30"/>
      <c r="CG149" s="30"/>
      <c r="CH149" s="30"/>
      <c r="CI149" s="30"/>
      <c r="CJ149" s="30"/>
      <c r="CK149" s="30"/>
      <c r="CL149" s="30"/>
      <c r="CM149" s="30"/>
      <c r="CN149" s="30"/>
      <c r="CO149" s="30"/>
      <c r="CP149" s="30"/>
      <c r="CQ149" s="30"/>
      <c r="CR149" s="30"/>
      <c r="CS149" s="30"/>
      <c r="CT149" s="30"/>
      <c r="CU149" s="30"/>
      <c r="CV149" s="30"/>
      <c r="CW149" s="30"/>
      <c r="CX149" s="30"/>
      <c r="CY149" s="30"/>
      <c r="CZ149" s="30"/>
      <c r="DA149" s="30"/>
    </row>
    <row r="150" spans="1:105" ht="19.2" thickTop="1" thickBot="1" x14ac:dyDescent="0.4">
      <c r="A150" s="30"/>
      <c r="B150" s="30"/>
      <c r="C150" s="188" t="s">
        <v>725</v>
      </c>
      <c r="D150" s="46" t="s">
        <v>721</v>
      </c>
      <c r="E150" s="35" t="str">
        <f>_xlfn.XLOOKUP(Tabella4[[#This Row],[NOME]],'ROSE SQUADRE'!$N$3:$N$253,'ROSE SQUADRE'!$O$3:$O$253,"")</f>
        <v/>
      </c>
      <c r="F150" s="36" t="s">
        <v>161</v>
      </c>
      <c r="G150" s="43">
        <v>3</v>
      </c>
      <c r="H150" s="43">
        <v>3</v>
      </c>
      <c r="I150" s="44">
        <f t="shared" si="13"/>
        <v>0</v>
      </c>
      <c r="J150" s="199">
        <f t="shared" si="14"/>
        <v>0</v>
      </c>
      <c r="K150" s="178">
        <f t="shared" si="15"/>
        <v>0</v>
      </c>
      <c r="L150" s="178">
        <f t="shared" si="16"/>
        <v>0</v>
      </c>
      <c r="M150" s="179">
        <f t="shared" si="17"/>
        <v>0</v>
      </c>
      <c r="N150" s="45">
        <f t="shared" ca="1" si="18"/>
        <v>0</v>
      </c>
      <c r="O150" s="40">
        <f>SUMIF(Tabella1[Nome],Tabella4[[#This Row],[NOME]],Tabella1[Gf])</f>
        <v>0</v>
      </c>
      <c r="P150" s="40">
        <f>-(SUMIF(Tabella1[Nome],Tabella4[[#This Row],[NOME]],Tabella1[Gs]))</f>
        <v>0</v>
      </c>
      <c r="Q150" s="40">
        <f>SUMIF(Tabella1[Nome],Tabella4[[#This Row],[NOME]],Tabella1[Rp])</f>
        <v>0</v>
      </c>
      <c r="R150" s="40">
        <f>SUMIF(Tabella1[Nome],Tabella4[[#This Row],[NOME]],Tabella1[Rs])</f>
        <v>0</v>
      </c>
      <c r="S150" s="40">
        <f>SUMIF(Tabella1[Nome],Tabella4[[#This Row],[NOME]],Tabella1[Rf])</f>
        <v>0</v>
      </c>
      <c r="T150" s="40">
        <f>SUMIF(Tabella1[Nome],Tabella4[[#This Row],[NOME]],Tabella1[Au])</f>
        <v>0</v>
      </c>
      <c r="U150" s="41">
        <f>SUMIF(Tabella1[Nome],Tabella4[[#This Row],[NOME]],Tabella1[Amm])</f>
        <v>0</v>
      </c>
      <c r="V150" s="42">
        <f>SUMIF(Tabella1[Nome],Tabella4[[#This Row],[NOME]],Tabella1[Esp])</f>
        <v>0</v>
      </c>
      <c r="W150" s="40">
        <f>SUMIF(Tabella1[Nome],Tabella4[[#This Row],[NOME]],Tabella1[Ass])</f>
        <v>0</v>
      </c>
      <c r="X150" s="40">
        <f>SUMIF(Tabella1[Nome],Tabella4[[#This Row],[NOME]],Tabella1[Gdv])</f>
        <v>0</v>
      </c>
      <c r="Y150" s="40">
        <f>SUMIF(Tabella1[Nome],Tabella4[[#This Row],[NOME]],Tabella1[cl sh])</f>
        <v>0</v>
      </c>
      <c r="Z150" s="270" t="str">
        <f>_xlfn.IFNA(_xlfn.XLOOKUP(CONCATENATE(Z$4,$C150),Tabella1[CONC X VOTI IN TAB GIOC],Tabella1[Voto],""),"")</f>
        <v/>
      </c>
      <c r="AA150" s="270" t="str">
        <f>_xlfn.IFNA(_xlfn.XLOOKUP(CONCATENATE(AA$4,$C150),Tabella1[CONC X VOTI IN TAB GIOC],Tabella1[Voto],""),"")</f>
        <v/>
      </c>
      <c r="AB150" s="270" t="str">
        <f>_xlfn.IFNA(_xlfn.XLOOKUP(CONCATENATE(AB$4,$C150),Tabella1[CONC X VOTI IN TAB GIOC],Tabella1[Voto]),"")</f>
        <v/>
      </c>
      <c r="AC150" s="270" t="str" cm="1">
        <f t="array" ref="AC150">_xlfn.IFNA(_xlfn.XLOOKUP(CONCATENATE(AC$4,$C150),INDEX(Tabella1[],0,MATCH("CONC X VOTI IN TAB GIOC",Tabella1[#Headers],0)),INDEX(Tabella1[],0,MATCH("Voto",Tabella1[#Headers],0))),"")</f>
        <v/>
      </c>
      <c r="AD150" s="270" t="str">
        <f>_xlfn.IFNA(_xlfn.XLOOKUP(CONCATENATE(AD$4,$C150),Tabella1[CONC X VOTI IN TAB GIOC],Tabella1[Voto]),"")</f>
        <v/>
      </c>
      <c r="AE150" s="270" t="str">
        <f>_xlfn.IFNA(VLOOKUP(CONCATENATE(AE$4,$C150),'INSER DATA'!$A:$F,6,0),"")</f>
        <v/>
      </c>
      <c r="AF150" s="270" t="str">
        <f>_xlfn.IFNA(VLOOKUP(CONCATENATE(AF$4,$C150),'INSER DATA'!$A:$F,6,0),"")</f>
        <v/>
      </c>
      <c r="AG150" s="270" t="str">
        <f>_xlfn.IFNA(VLOOKUP(CONCATENATE(AG$4,$C150),'INSER DATA'!$A:$F,6,0),"")</f>
        <v/>
      </c>
      <c r="AH150" s="270" t="str">
        <f>_xlfn.IFNA(VLOOKUP(CONCATENATE(AH$4,$C150),'INSER DATA'!$A:$F,7,0),"")</f>
        <v/>
      </c>
      <c r="AI150" s="270" t="str">
        <f>_xlfn.IFNA(VLOOKUP(CONCATENATE(AI$4,$C150),'INSER DATA'!$A:$F,7,0),"")</f>
        <v/>
      </c>
      <c r="AJ150" s="270" t="str">
        <f>_xlfn.IFNA(VLOOKUP(CONCATENATE(AJ$4,$C150),'INSER DATA'!$A:$F,7,0),"")</f>
        <v/>
      </c>
      <c r="AK150" s="270" t="str">
        <f>_xlfn.IFNA(VLOOKUP(CONCATENATE(AK$4,$C150),'INSER DATA'!$A:$F,7,0),"")</f>
        <v/>
      </c>
      <c r="AL150" s="270" t="str">
        <f>_xlfn.IFNA(VLOOKUP(CONCATENATE(AL$4,$C150),'INSER DATA'!$A:$F,7,0),"")</f>
        <v/>
      </c>
      <c r="AM150" s="270" t="str">
        <f>_xlfn.IFNA(VLOOKUP(CONCATENATE(AM$4,$C150),'INSER DATA'!$A:$F,7,0),"")</f>
        <v/>
      </c>
      <c r="AN150" s="270" t="str">
        <f>_xlfn.IFNA(VLOOKUP(CONCATENATE(AN$4,$C150),'INSER DATA'!$A:$F,7,0),"")</f>
        <v/>
      </c>
      <c r="AO150" s="270" t="str">
        <f>_xlfn.IFNA(VLOOKUP(CONCATENATE(AO$4,$C150),'INSER DATA'!$A:$F,7,0),"")</f>
        <v/>
      </c>
      <c r="AP150" s="270" t="str">
        <f>_xlfn.IFNA(VLOOKUP(CONCATENATE(AP$4,$C150),'INSER DATA'!$A:$F,7,0),"")</f>
        <v/>
      </c>
      <c r="AQ150" s="270" t="str">
        <f>_xlfn.IFNA(VLOOKUP(CONCATENATE(AQ$4,$C150),'INSER DATA'!$A:$F,7,0),"")</f>
        <v/>
      </c>
      <c r="AR150" s="270" t="str">
        <f>_xlfn.IFNA(VLOOKUP(CONCATENATE(AR$4,$C150),'INSER DATA'!$A:$F,7,0),"")</f>
        <v/>
      </c>
      <c r="AS150" s="270" t="str">
        <f>_xlfn.IFNA(VLOOKUP(CONCATENATE(AS$4,$C150),'INSER DATA'!$A:$F,7,0),"")</f>
        <v/>
      </c>
      <c r="AT150" s="270" t="str">
        <f>_xlfn.IFNA(VLOOKUP(CONCATENATE(AT$4,$C150),'INSER DATA'!$A:$F,7,0),"")</f>
        <v/>
      </c>
      <c r="AU150" s="270" t="str">
        <f>_xlfn.IFNA(VLOOKUP(CONCATENATE(AU$4,$C150),'INSER DATA'!$A:$F,7,0),"")</f>
        <v/>
      </c>
      <c r="AV150" s="270" t="str">
        <f>_xlfn.IFNA(VLOOKUP(CONCATENATE(AV$4,$C150),'INSER DATA'!$A:$F,7,0),"")</f>
        <v/>
      </c>
      <c r="AW150" s="270" t="str">
        <f>_xlfn.IFNA(VLOOKUP(CONCATENATE(AW$4,$C150),'INSER DATA'!$A:$F,7,0),"")</f>
        <v/>
      </c>
      <c r="AX150" s="270" t="str">
        <f>_xlfn.IFNA(VLOOKUP(CONCATENATE(AX$4,$C150),'INSER DATA'!$A:$F,7,0),"")</f>
        <v/>
      </c>
      <c r="AY150" s="270" t="str">
        <f>_xlfn.IFNA(VLOOKUP(CONCATENATE(AY$4,$C150),'INSER DATA'!$A:$F,7,0),"")</f>
        <v/>
      </c>
      <c r="AZ150" s="270" t="str">
        <f>_xlfn.IFNA(VLOOKUP(CONCATENATE(AZ$4,$C150),'INSER DATA'!$A:$F,7,0),"")</f>
        <v/>
      </c>
      <c r="BA150" s="270" t="str">
        <f>_xlfn.IFNA(VLOOKUP(CONCATENATE(BA$4,$C150),'INSER DATA'!$A:$F,7,0),"")</f>
        <v/>
      </c>
      <c r="BB150" s="270" t="str">
        <f>_xlfn.IFNA(VLOOKUP(CONCATENATE(BB$4,$C150),'INSER DATA'!$A:$F,7,0),"")</f>
        <v/>
      </c>
      <c r="BC150" s="270" t="str">
        <f>_xlfn.IFNA(VLOOKUP(CONCATENATE(BC$4,$C150),'INSER DATA'!$A:$F,7,0),"")</f>
        <v/>
      </c>
      <c r="BD150" s="270" t="str">
        <f>_xlfn.IFNA(VLOOKUP(CONCATENATE(BD$4,$C150),'INSER DATA'!$A:$F,7,0),"")</f>
        <v/>
      </c>
      <c r="BE150" s="270" t="str">
        <f>_xlfn.IFNA(VLOOKUP(CONCATENATE(BE$4,$C150),'INSER DATA'!$A:$F,7,0),"")</f>
        <v/>
      </c>
      <c r="BF150" s="270" t="str">
        <f>_xlfn.IFNA(VLOOKUP(CONCATENATE(BF$4,$C150),'INSER DATA'!$A:$F,7,0),"")</f>
        <v/>
      </c>
      <c r="BG150" s="270" t="str">
        <f>_xlfn.IFNA(VLOOKUP(CONCATENATE(BG$4,$C150),'INSER DATA'!$A:$F,7,0),"")</f>
        <v/>
      </c>
      <c r="BH150" s="270" t="str">
        <f>_xlfn.IFNA(VLOOKUP(CONCATENATE(BH$4,$C150),'INSER DATA'!$A:$F,7,0),"")</f>
        <v/>
      </c>
      <c r="BI150" s="270" t="str">
        <f>_xlfn.IFNA(VLOOKUP(CONCATENATE(BI$4,$C150),'INSER DATA'!$A:$F,7,0),"")</f>
        <v/>
      </c>
      <c r="BJ150" s="270" t="str">
        <f>_xlfn.IFNA(VLOOKUP(CONCATENATE(BJ$4,$C150),'INSER DATA'!$A:$F,7,0),"")</f>
        <v/>
      </c>
      <c r="BK150" s="270" t="str">
        <f>_xlfn.IFNA(VLOOKUP(CONCATENATE(BK$4,$C150),'INSER DATA'!$A:$F,7,0),"")</f>
        <v/>
      </c>
      <c r="BL150" s="272"/>
      <c r="BM150" s="30"/>
      <c r="BN150" s="30"/>
      <c r="BO150" s="30"/>
      <c r="BP150" s="30"/>
      <c r="BQ150" s="30"/>
      <c r="BR150" s="30"/>
      <c r="BS150" s="30"/>
      <c r="BT150" s="30"/>
      <c r="BU150" s="30"/>
      <c r="BV150" s="30"/>
      <c r="BW150" s="30"/>
      <c r="BX150" s="30"/>
      <c r="BY150" s="30"/>
      <c r="BZ150" s="30"/>
      <c r="CA150" s="30"/>
      <c r="CB150" s="30"/>
      <c r="CC150" s="30"/>
      <c r="CD150" s="30"/>
      <c r="CE150" s="30"/>
      <c r="CF150" s="30"/>
      <c r="CG150" s="30"/>
      <c r="CH150" s="30"/>
      <c r="CI150" s="30"/>
      <c r="CJ150" s="30"/>
      <c r="CK150" s="30"/>
      <c r="CL150" s="30"/>
      <c r="CM150" s="30"/>
      <c r="CN150" s="30"/>
      <c r="CO150" s="30"/>
      <c r="CP150" s="30"/>
      <c r="CQ150" s="30"/>
      <c r="CR150" s="30"/>
      <c r="CS150" s="30"/>
      <c r="CT150" s="30"/>
      <c r="CU150" s="30"/>
      <c r="CV150" s="30"/>
      <c r="CW150" s="30"/>
      <c r="CX150" s="30"/>
      <c r="CY150" s="30"/>
      <c r="CZ150" s="30"/>
      <c r="DA150" s="30"/>
    </row>
    <row r="151" spans="1:105" ht="19.2" thickTop="1" thickBot="1" x14ac:dyDescent="0.4">
      <c r="A151" s="30"/>
      <c r="B151" s="30"/>
      <c r="C151" s="188" t="s">
        <v>726</v>
      </c>
      <c r="D151" s="46" t="s">
        <v>721</v>
      </c>
      <c r="E151" s="35" t="str">
        <f>_xlfn.XLOOKUP(Tabella4[[#This Row],[NOME]],'ROSE SQUADRE'!$N$3:$N$253,'ROSE SQUADRE'!$O$3:$O$253,"")</f>
        <v/>
      </c>
      <c r="F151" s="36" t="s">
        <v>161</v>
      </c>
      <c r="G151" s="43">
        <v>1</v>
      </c>
      <c r="H151" s="43">
        <v>1</v>
      </c>
      <c r="I151" s="44">
        <f t="shared" si="13"/>
        <v>0</v>
      </c>
      <c r="J151" s="37">
        <f t="shared" si="14"/>
        <v>0</v>
      </c>
      <c r="K151" s="38">
        <f t="shared" si="15"/>
        <v>0</v>
      </c>
      <c r="L151" s="38">
        <f t="shared" si="16"/>
        <v>0</v>
      </c>
      <c r="M151" s="39">
        <f t="shared" si="17"/>
        <v>0</v>
      </c>
      <c r="N151" s="45">
        <f t="shared" ca="1" si="18"/>
        <v>0</v>
      </c>
      <c r="O151" s="40">
        <f>SUMIF(Tabella1[Nome],Tabella4[[#This Row],[NOME]],Tabella1[Gf])</f>
        <v>0</v>
      </c>
      <c r="P151" s="40">
        <f>-(SUMIF(Tabella1[Nome],Tabella4[[#This Row],[NOME]],Tabella1[Gs]))</f>
        <v>0</v>
      </c>
      <c r="Q151" s="40">
        <f>SUMIF(Tabella1[Nome],Tabella4[[#This Row],[NOME]],Tabella1[Rp])</f>
        <v>0</v>
      </c>
      <c r="R151" s="40">
        <f>SUMIF(Tabella1[Nome],Tabella4[[#This Row],[NOME]],Tabella1[Rs])</f>
        <v>0</v>
      </c>
      <c r="S151" s="40">
        <f>SUMIF(Tabella1[Nome],Tabella4[[#This Row],[NOME]],Tabella1[Rf])</f>
        <v>0</v>
      </c>
      <c r="T151" s="40">
        <f>SUMIF(Tabella1[Nome],Tabella4[[#This Row],[NOME]],Tabella1[Au])</f>
        <v>0</v>
      </c>
      <c r="U151" s="41">
        <f>SUMIF(Tabella1[Nome],Tabella4[[#This Row],[NOME]],Tabella1[Amm])</f>
        <v>0</v>
      </c>
      <c r="V151" s="42">
        <f>SUMIF(Tabella1[Nome],Tabella4[[#This Row],[NOME]],Tabella1[Esp])</f>
        <v>0</v>
      </c>
      <c r="W151" s="40">
        <f>SUMIF(Tabella1[Nome],Tabella4[[#This Row],[NOME]],Tabella1[Ass])</f>
        <v>0</v>
      </c>
      <c r="X151" s="40">
        <f>SUMIF(Tabella1[Nome],Tabella4[[#This Row],[NOME]],Tabella1[Gdv])</f>
        <v>0</v>
      </c>
      <c r="Y151" s="40">
        <f>SUMIF(Tabella1[Nome],Tabella4[[#This Row],[NOME]],Tabella1[cl sh])</f>
        <v>0</v>
      </c>
      <c r="Z151" s="270" t="str">
        <f>_xlfn.IFNA(_xlfn.XLOOKUP(CONCATENATE(Z$4,$C151),Tabella1[CONC X VOTI IN TAB GIOC],Tabella1[Voto],""),"")</f>
        <v/>
      </c>
      <c r="AA151" s="270" t="str">
        <f>_xlfn.IFNA(_xlfn.XLOOKUP(CONCATENATE(AA$4,$C151),Tabella1[CONC X VOTI IN TAB GIOC],Tabella1[Voto],""),"")</f>
        <v/>
      </c>
      <c r="AB151" s="270" t="str">
        <f>_xlfn.IFNA(_xlfn.XLOOKUP(CONCATENATE(AB$4,$C151),Tabella1[CONC X VOTI IN TAB GIOC],Tabella1[Voto]),"")</f>
        <v/>
      </c>
      <c r="AC151" s="270" t="str" cm="1">
        <f t="array" ref="AC151">_xlfn.IFNA(_xlfn.XLOOKUP(CONCATENATE(AC$4,$C151),INDEX(Tabella1[],0,MATCH("CONC X VOTI IN TAB GIOC",Tabella1[#Headers],0)),INDEX(Tabella1[],0,MATCH("Voto",Tabella1[#Headers],0))),"")</f>
        <v/>
      </c>
      <c r="AD151" s="270" t="str">
        <f>_xlfn.IFNA(_xlfn.XLOOKUP(CONCATENATE(AD$4,$C151),Tabella1[CONC X VOTI IN TAB GIOC],Tabella1[Voto]),"")</f>
        <v/>
      </c>
      <c r="AE151" s="270" t="str">
        <f>_xlfn.IFNA(VLOOKUP(CONCATENATE(AE$4,$C151),'INSER DATA'!$A:$F,6,0),"")</f>
        <v/>
      </c>
      <c r="AF151" s="270" t="str">
        <f>_xlfn.IFNA(VLOOKUP(CONCATENATE(AF$4,$C151),'INSER DATA'!$A:$F,6,0),"")</f>
        <v/>
      </c>
      <c r="AG151" s="270" t="str">
        <f>_xlfn.IFNA(VLOOKUP(CONCATENATE(AG$4,$C151),'INSER DATA'!$A:$F,6,0),"")</f>
        <v/>
      </c>
      <c r="AH151" s="270" t="str">
        <f>_xlfn.IFNA(VLOOKUP(CONCATENATE(AH$4,$C151),'INSER DATA'!$A:$F,7,0),"")</f>
        <v/>
      </c>
      <c r="AI151" s="270" t="str">
        <f>_xlfn.IFNA(VLOOKUP(CONCATENATE(AI$4,$C151),'INSER DATA'!$A:$F,7,0),"")</f>
        <v/>
      </c>
      <c r="AJ151" s="270" t="str">
        <f>_xlfn.IFNA(VLOOKUP(CONCATENATE(AJ$4,$C151),'INSER DATA'!$A:$F,7,0),"")</f>
        <v/>
      </c>
      <c r="AK151" s="270" t="str">
        <f>_xlfn.IFNA(VLOOKUP(CONCATENATE(AK$4,$C151),'INSER DATA'!$A:$F,7,0),"")</f>
        <v/>
      </c>
      <c r="AL151" s="270" t="str">
        <f>_xlfn.IFNA(VLOOKUP(CONCATENATE(AL$4,$C151),'INSER DATA'!$A:$F,7,0),"")</f>
        <v/>
      </c>
      <c r="AM151" s="270" t="str">
        <f>_xlfn.IFNA(VLOOKUP(CONCATENATE(AM$4,$C151),'INSER DATA'!$A:$F,7,0),"")</f>
        <v/>
      </c>
      <c r="AN151" s="270" t="str">
        <f>_xlfn.IFNA(VLOOKUP(CONCATENATE(AN$4,$C151),'INSER DATA'!$A:$F,7,0),"")</f>
        <v/>
      </c>
      <c r="AO151" s="270" t="str">
        <f>_xlfn.IFNA(VLOOKUP(CONCATENATE(AO$4,$C151),'INSER DATA'!$A:$F,7,0),"")</f>
        <v/>
      </c>
      <c r="AP151" s="270" t="str">
        <f>_xlfn.IFNA(VLOOKUP(CONCATENATE(AP$4,$C151),'INSER DATA'!$A:$F,7,0),"")</f>
        <v/>
      </c>
      <c r="AQ151" s="270" t="str">
        <f>_xlfn.IFNA(VLOOKUP(CONCATENATE(AQ$4,$C151),'INSER DATA'!$A:$F,7,0),"")</f>
        <v/>
      </c>
      <c r="AR151" s="270" t="str">
        <f>_xlfn.IFNA(VLOOKUP(CONCATENATE(AR$4,$C151),'INSER DATA'!$A:$F,7,0),"")</f>
        <v/>
      </c>
      <c r="AS151" s="270" t="str">
        <f>_xlfn.IFNA(VLOOKUP(CONCATENATE(AS$4,$C151),'INSER DATA'!$A:$F,7,0),"")</f>
        <v/>
      </c>
      <c r="AT151" s="270" t="str">
        <f>_xlfn.IFNA(VLOOKUP(CONCATENATE(AT$4,$C151),'INSER DATA'!$A:$F,7,0),"")</f>
        <v/>
      </c>
      <c r="AU151" s="270" t="str">
        <f>_xlfn.IFNA(VLOOKUP(CONCATENATE(AU$4,$C151),'INSER DATA'!$A:$F,7,0),"")</f>
        <v/>
      </c>
      <c r="AV151" s="270" t="str">
        <f>_xlfn.IFNA(VLOOKUP(CONCATENATE(AV$4,$C151),'INSER DATA'!$A:$F,7,0),"")</f>
        <v/>
      </c>
      <c r="AW151" s="270" t="str">
        <f>_xlfn.IFNA(VLOOKUP(CONCATENATE(AW$4,$C151),'INSER DATA'!$A:$F,7,0),"")</f>
        <v/>
      </c>
      <c r="AX151" s="270" t="str">
        <f>_xlfn.IFNA(VLOOKUP(CONCATENATE(AX$4,$C151),'INSER DATA'!$A:$F,7,0),"")</f>
        <v/>
      </c>
      <c r="AY151" s="270" t="str">
        <f>_xlfn.IFNA(VLOOKUP(CONCATENATE(AY$4,$C151),'INSER DATA'!$A:$F,7,0),"")</f>
        <v/>
      </c>
      <c r="AZ151" s="270" t="str">
        <f>_xlfn.IFNA(VLOOKUP(CONCATENATE(AZ$4,$C151),'INSER DATA'!$A:$F,7,0),"")</f>
        <v/>
      </c>
      <c r="BA151" s="270" t="str">
        <f>_xlfn.IFNA(VLOOKUP(CONCATENATE(BA$4,$C151),'INSER DATA'!$A:$F,7,0),"")</f>
        <v/>
      </c>
      <c r="BB151" s="270" t="str">
        <f>_xlfn.IFNA(VLOOKUP(CONCATENATE(BB$4,$C151),'INSER DATA'!$A:$F,7,0),"")</f>
        <v/>
      </c>
      <c r="BC151" s="270" t="str">
        <f>_xlfn.IFNA(VLOOKUP(CONCATENATE(BC$4,$C151),'INSER DATA'!$A:$F,7,0),"")</f>
        <v/>
      </c>
      <c r="BD151" s="270" t="str">
        <f>_xlfn.IFNA(VLOOKUP(CONCATENATE(BD$4,$C151),'INSER DATA'!$A:$F,7,0),"")</f>
        <v/>
      </c>
      <c r="BE151" s="270" t="str">
        <f>_xlfn.IFNA(VLOOKUP(CONCATENATE(BE$4,$C151),'INSER DATA'!$A:$F,7,0),"")</f>
        <v/>
      </c>
      <c r="BF151" s="270" t="str">
        <f>_xlfn.IFNA(VLOOKUP(CONCATENATE(BF$4,$C151),'INSER DATA'!$A:$F,7,0),"")</f>
        <v/>
      </c>
      <c r="BG151" s="270" t="str">
        <f>_xlfn.IFNA(VLOOKUP(CONCATENATE(BG$4,$C151),'INSER DATA'!$A:$F,7,0),"")</f>
        <v/>
      </c>
      <c r="BH151" s="270" t="str">
        <f>_xlfn.IFNA(VLOOKUP(CONCATENATE(BH$4,$C151),'INSER DATA'!$A:$F,7,0),"")</f>
        <v/>
      </c>
      <c r="BI151" s="270" t="str">
        <f>_xlfn.IFNA(VLOOKUP(CONCATENATE(BI$4,$C151),'INSER DATA'!$A:$F,7,0),"")</f>
        <v/>
      </c>
      <c r="BJ151" s="270" t="str">
        <f>_xlfn.IFNA(VLOOKUP(CONCATENATE(BJ$4,$C151),'INSER DATA'!$A:$F,7,0),"")</f>
        <v/>
      </c>
      <c r="BK151" s="270" t="str">
        <f>_xlfn.IFNA(VLOOKUP(CONCATENATE(BK$4,$C151),'INSER DATA'!$A:$F,7,0),"")</f>
        <v/>
      </c>
      <c r="BL151" s="272"/>
      <c r="BM151" s="30"/>
      <c r="BN151" s="30"/>
      <c r="BO151" s="30"/>
      <c r="BP151" s="30"/>
      <c r="BQ151" s="30"/>
      <c r="BR151" s="30"/>
      <c r="BS151" s="30"/>
      <c r="BT151" s="30"/>
      <c r="BU151" s="30"/>
      <c r="BV151" s="30"/>
      <c r="BW151" s="30"/>
      <c r="BX151" s="30"/>
      <c r="BY151" s="30"/>
      <c r="BZ151" s="30"/>
      <c r="CA151" s="30"/>
      <c r="CB151" s="30"/>
      <c r="CC151" s="30"/>
      <c r="CD151" s="30"/>
      <c r="CE151" s="30"/>
      <c r="CF151" s="30"/>
      <c r="CG151" s="30"/>
      <c r="CH151" s="30"/>
      <c r="CI151" s="30"/>
      <c r="CJ151" s="30"/>
      <c r="CK151" s="30"/>
      <c r="CL151" s="30"/>
      <c r="CM151" s="30"/>
      <c r="CN151" s="30"/>
      <c r="CO151" s="30"/>
      <c r="CP151" s="30"/>
      <c r="CQ151" s="30"/>
      <c r="CR151" s="30"/>
      <c r="CS151" s="30"/>
      <c r="CT151" s="30"/>
      <c r="CU151" s="30"/>
      <c r="CV151" s="30"/>
      <c r="CW151" s="30"/>
      <c r="CX151" s="30"/>
      <c r="CY151" s="30"/>
      <c r="CZ151" s="30"/>
      <c r="DA151" s="30"/>
    </row>
    <row r="152" spans="1:105" ht="19.2" thickTop="1" thickBot="1" x14ac:dyDescent="0.4">
      <c r="A152" s="30"/>
      <c r="B152" s="30"/>
      <c r="C152" s="185" t="s">
        <v>731</v>
      </c>
      <c r="D152" s="46" t="s">
        <v>721</v>
      </c>
      <c r="E152" s="35" t="str">
        <f>_xlfn.XLOOKUP(Tabella4[[#This Row],[NOME]],'ROSE SQUADRE'!$N$3:$N$253,'ROSE SQUADRE'!$O$3:$O$253,"")</f>
        <v/>
      </c>
      <c r="F152" s="36" t="s">
        <v>161</v>
      </c>
      <c r="G152" s="43">
        <v>1</v>
      </c>
      <c r="H152" s="43">
        <v>1</v>
      </c>
      <c r="I152" s="44">
        <f t="shared" si="13"/>
        <v>0</v>
      </c>
      <c r="J152" s="37">
        <f t="shared" si="14"/>
        <v>0</v>
      </c>
      <c r="K152" s="38">
        <f t="shared" si="15"/>
        <v>0</v>
      </c>
      <c r="L152" s="38">
        <f t="shared" si="16"/>
        <v>0</v>
      </c>
      <c r="M152" s="39">
        <f t="shared" si="17"/>
        <v>0</v>
      </c>
      <c r="N152" s="45">
        <f t="shared" ca="1" si="18"/>
        <v>0</v>
      </c>
      <c r="O152" s="40">
        <f>SUMIF(Tabella1[Nome],Tabella4[[#This Row],[NOME]],Tabella1[Gf])</f>
        <v>0</v>
      </c>
      <c r="P152" s="40">
        <f>-(SUMIF(Tabella1[Nome],Tabella4[[#This Row],[NOME]],Tabella1[Gs]))</f>
        <v>0</v>
      </c>
      <c r="Q152" s="40">
        <f>SUMIF(Tabella1[Nome],Tabella4[[#This Row],[NOME]],Tabella1[Rp])</f>
        <v>0</v>
      </c>
      <c r="R152" s="40">
        <f>SUMIF(Tabella1[Nome],Tabella4[[#This Row],[NOME]],Tabella1[Rs])</f>
        <v>0</v>
      </c>
      <c r="S152" s="40">
        <f>SUMIF(Tabella1[Nome],Tabella4[[#This Row],[NOME]],Tabella1[Rf])</f>
        <v>0</v>
      </c>
      <c r="T152" s="40">
        <f>SUMIF(Tabella1[Nome],Tabella4[[#This Row],[NOME]],Tabella1[Au])</f>
        <v>0</v>
      </c>
      <c r="U152" s="41">
        <f>SUMIF(Tabella1[Nome],Tabella4[[#This Row],[NOME]],Tabella1[Amm])</f>
        <v>0</v>
      </c>
      <c r="V152" s="42">
        <f>SUMIF(Tabella1[Nome],Tabella4[[#This Row],[NOME]],Tabella1[Esp])</f>
        <v>0</v>
      </c>
      <c r="W152" s="40">
        <f>SUMIF(Tabella1[Nome],Tabella4[[#This Row],[NOME]],Tabella1[Ass])</f>
        <v>0</v>
      </c>
      <c r="X152" s="40">
        <f>SUMIF(Tabella1[Nome],Tabella4[[#This Row],[NOME]],Tabella1[Gdv])</f>
        <v>0</v>
      </c>
      <c r="Y152" s="40">
        <f>SUMIF(Tabella1[Nome],Tabella4[[#This Row],[NOME]],Tabella1[cl sh])</f>
        <v>0</v>
      </c>
      <c r="Z152" s="270" t="str">
        <f>_xlfn.IFNA(_xlfn.XLOOKUP(CONCATENATE(Z$4,$C152),Tabella1[CONC X VOTI IN TAB GIOC],Tabella1[Voto],""),"")</f>
        <v/>
      </c>
      <c r="AA152" s="270" t="str">
        <f>_xlfn.IFNA(_xlfn.XLOOKUP(CONCATENATE(AA$4,$C152),Tabella1[CONC X VOTI IN TAB GIOC],Tabella1[Voto],""),"")</f>
        <v/>
      </c>
      <c r="AB152" s="270" t="str">
        <f>_xlfn.IFNA(_xlfn.XLOOKUP(CONCATENATE(AB$4,$C152),Tabella1[CONC X VOTI IN TAB GIOC],Tabella1[Voto]),"")</f>
        <v/>
      </c>
      <c r="AC152" s="270" t="str" cm="1">
        <f t="array" ref="AC152">_xlfn.IFNA(_xlfn.XLOOKUP(CONCATENATE(AC$4,$C152),INDEX(Tabella1[],0,MATCH("CONC X VOTI IN TAB GIOC",Tabella1[#Headers],0)),INDEX(Tabella1[],0,MATCH("Voto",Tabella1[#Headers],0))),"")</f>
        <v/>
      </c>
      <c r="AD152" s="270" t="str">
        <f>_xlfn.IFNA(_xlfn.XLOOKUP(CONCATENATE(AD$4,$C152),Tabella1[CONC X VOTI IN TAB GIOC],Tabella1[Voto]),"")</f>
        <v/>
      </c>
      <c r="AE152" s="270" t="str">
        <f>_xlfn.IFNA(VLOOKUP(CONCATENATE(AE$4,$C152),'INSER DATA'!$A:$F,6,0),"")</f>
        <v/>
      </c>
      <c r="AF152" s="270" t="str">
        <f>_xlfn.IFNA(VLOOKUP(CONCATENATE(AF$4,$C152),'INSER DATA'!$A:$F,6,0),"")</f>
        <v/>
      </c>
      <c r="AG152" s="270" t="str">
        <f>_xlfn.IFNA(VLOOKUP(CONCATENATE(AG$4,$C152),'INSER DATA'!$A:$F,6,0),"")</f>
        <v/>
      </c>
      <c r="AH152" s="270" t="str">
        <f>_xlfn.IFNA(VLOOKUP(CONCATENATE(AH$4,$C152),'INSER DATA'!$A:$F,7,0),"")</f>
        <v/>
      </c>
      <c r="AI152" s="270" t="str">
        <f>_xlfn.IFNA(VLOOKUP(CONCATENATE(AI$4,$C152),'INSER DATA'!$A:$F,7,0),"")</f>
        <v/>
      </c>
      <c r="AJ152" s="270" t="str">
        <f>_xlfn.IFNA(VLOOKUP(CONCATENATE(AJ$4,$C152),'INSER DATA'!$A:$F,7,0),"")</f>
        <v/>
      </c>
      <c r="AK152" s="270" t="str">
        <f>_xlfn.IFNA(VLOOKUP(CONCATENATE(AK$4,$C152),'INSER DATA'!$A:$F,7,0),"")</f>
        <v/>
      </c>
      <c r="AL152" s="270" t="str">
        <f>_xlfn.IFNA(VLOOKUP(CONCATENATE(AL$4,$C152),'INSER DATA'!$A:$F,7,0),"")</f>
        <v/>
      </c>
      <c r="AM152" s="270" t="str">
        <f>_xlfn.IFNA(VLOOKUP(CONCATENATE(AM$4,$C152),'INSER DATA'!$A:$F,7,0),"")</f>
        <v/>
      </c>
      <c r="AN152" s="270" t="str">
        <f>_xlfn.IFNA(VLOOKUP(CONCATENATE(AN$4,$C152),'INSER DATA'!$A:$F,7,0),"")</f>
        <v/>
      </c>
      <c r="AO152" s="270" t="str">
        <f>_xlfn.IFNA(VLOOKUP(CONCATENATE(AO$4,$C152),'INSER DATA'!$A:$F,7,0),"")</f>
        <v/>
      </c>
      <c r="AP152" s="270" t="str">
        <f>_xlfn.IFNA(VLOOKUP(CONCATENATE(AP$4,$C152),'INSER DATA'!$A:$F,7,0),"")</f>
        <v/>
      </c>
      <c r="AQ152" s="270" t="str">
        <f>_xlfn.IFNA(VLOOKUP(CONCATENATE(AQ$4,$C152),'INSER DATA'!$A:$F,7,0),"")</f>
        <v/>
      </c>
      <c r="AR152" s="270" t="str">
        <f>_xlfn.IFNA(VLOOKUP(CONCATENATE(AR$4,$C152),'INSER DATA'!$A:$F,7,0),"")</f>
        <v/>
      </c>
      <c r="AS152" s="270" t="str">
        <f>_xlfn.IFNA(VLOOKUP(CONCATENATE(AS$4,$C152),'INSER DATA'!$A:$F,7,0),"")</f>
        <v/>
      </c>
      <c r="AT152" s="270" t="str">
        <f>_xlfn.IFNA(VLOOKUP(CONCATENATE(AT$4,$C152),'INSER DATA'!$A:$F,7,0),"")</f>
        <v/>
      </c>
      <c r="AU152" s="270" t="str">
        <f>_xlfn.IFNA(VLOOKUP(CONCATENATE(AU$4,$C152),'INSER DATA'!$A:$F,7,0),"")</f>
        <v/>
      </c>
      <c r="AV152" s="270" t="str">
        <f>_xlfn.IFNA(VLOOKUP(CONCATENATE(AV$4,$C152),'INSER DATA'!$A:$F,7,0),"")</f>
        <v/>
      </c>
      <c r="AW152" s="270" t="str">
        <f>_xlfn.IFNA(VLOOKUP(CONCATENATE(AW$4,$C152),'INSER DATA'!$A:$F,7,0),"")</f>
        <v/>
      </c>
      <c r="AX152" s="270" t="str">
        <f>_xlfn.IFNA(VLOOKUP(CONCATENATE(AX$4,$C152),'INSER DATA'!$A:$F,7,0),"")</f>
        <v/>
      </c>
      <c r="AY152" s="270" t="str">
        <f>_xlfn.IFNA(VLOOKUP(CONCATENATE(AY$4,$C152),'INSER DATA'!$A:$F,7,0),"")</f>
        <v/>
      </c>
      <c r="AZ152" s="270" t="str">
        <f>_xlfn.IFNA(VLOOKUP(CONCATENATE(AZ$4,$C152),'INSER DATA'!$A:$F,7,0),"")</f>
        <v/>
      </c>
      <c r="BA152" s="270" t="str">
        <f>_xlfn.IFNA(VLOOKUP(CONCATENATE(BA$4,$C152),'INSER DATA'!$A:$F,7,0),"")</f>
        <v/>
      </c>
      <c r="BB152" s="270" t="str">
        <f>_xlfn.IFNA(VLOOKUP(CONCATENATE(BB$4,$C152),'INSER DATA'!$A:$F,7,0),"")</f>
        <v/>
      </c>
      <c r="BC152" s="270" t="str">
        <f>_xlfn.IFNA(VLOOKUP(CONCATENATE(BC$4,$C152),'INSER DATA'!$A:$F,7,0),"")</f>
        <v/>
      </c>
      <c r="BD152" s="270" t="str">
        <f>_xlfn.IFNA(VLOOKUP(CONCATENATE(BD$4,$C152),'INSER DATA'!$A:$F,7,0),"")</f>
        <v/>
      </c>
      <c r="BE152" s="270" t="str">
        <f>_xlfn.IFNA(VLOOKUP(CONCATENATE(BE$4,$C152),'INSER DATA'!$A:$F,7,0),"")</f>
        <v/>
      </c>
      <c r="BF152" s="270" t="str">
        <f>_xlfn.IFNA(VLOOKUP(CONCATENATE(BF$4,$C152),'INSER DATA'!$A:$F,7,0),"")</f>
        <v/>
      </c>
      <c r="BG152" s="270" t="str">
        <f>_xlfn.IFNA(VLOOKUP(CONCATENATE(BG$4,$C152),'INSER DATA'!$A:$F,7,0),"")</f>
        <v/>
      </c>
      <c r="BH152" s="270" t="str">
        <f>_xlfn.IFNA(VLOOKUP(CONCATENATE(BH$4,$C152),'INSER DATA'!$A:$F,7,0),"")</f>
        <v/>
      </c>
      <c r="BI152" s="270" t="str">
        <f>_xlfn.IFNA(VLOOKUP(CONCATENATE(BI$4,$C152),'INSER DATA'!$A:$F,7,0),"")</f>
        <v/>
      </c>
      <c r="BJ152" s="270" t="str">
        <f>_xlfn.IFNA(VLOOKUP(CONCATENATE(BJ$4,$C152),'INSER DATA'!$A:$F,7,0),"")</f>
        <v/>
      </c>
      <c r="BK152" s="270" t="str">
        <f>_xlfn.IFNA(VLOOKUP(CONCATENATE(BK$4,$C152),'INSER DATA'!$A:$F,7,0),"")</f>
        <v/>
      </c>
      <c r="BL152" s="272"/>
      <c r="BM152" s="30"/>
      <c r="BN152" s="30"/>
      <c r="BO152" s="30"/>
      <c r="BP152" s="30"/>
      <c r="BQ152" s="30"/>
      <c r="BR152" s="30"/>
      <c r="BS152" s="30"/>
      <c r="BT152" s="30"/>
      <c r="BU152" s="30"/>
      <c r="BV152" s="30"/>
      <c r="BW152" s="30"/>
      <c r="BX152" s="30"/>
      <c r="BY152" s="30"/>
      <c r="BZ152" s="30"/>
      <c r="CA152" s="30"/>
      <c r="CB152" s="30"/>
      <c r="CC152" s="30"/>
      <c r="CD152" s="30"/>
      <c r="CE152" s="30"/>
      <c r="CF152" s="30"/>
      <c r="CG152" s="30"/>
      <c r="CH152" s="30"/>
      <c r="CI152" s="30"/>
      <c r="CJ152" s="30"/>
      <c r="CK152" s="30"/>
      <c r="CL152" s="30"/>
      <c r="CM152" s="30"/>
      <c r="CN152" s="30"/>
      <c r="CO152" s="30"/>
      <c r="CP152" s="30"/>
      <c r="CQ152" s="30"/>
      <c r="CR152" s="30"/>
      <c r="CS152" s="30"/>
      <c r="CT152" s="30"/>
      <c r="CU152" s="30"/>
      <c r="CV152" s="30"/>
      <c r="CW152" s="30"/>
      <c r="CX152" s="30"/>
      <c r="CY152" s="30"/>
      <c r="CZ152" s="30"/>
      <c r="DA152" s="30"/>
    </row>
    <row r="153" spans="1:105" ht="19.2" thickTop="1" thickBot="1" x14ac:dyDescent="0.4">
      <c r="A153" s="30"/>
      <c r="B153" s="30"/>
      <c r="C153" s="188" t="s">
        <v>736</v>
      </c>
      <c r="D153" s="46" t="s">
        <v>721</v>
      </c>
      <c r="E153" s="35" t="str">
        <f>_xlfn.XLOOKUP(Tabella4[[#This Row],[NOME]],'ROSE SQUADRE'!$N$3:$N$253,'ROSE SQUADRE'!$O$3:$O$253,"")</f>
        <v/>
      </c>
      <c r="F153" s="36" t="s">
        <v>162</v>
      </c>
      <c r="G153" s="43">
        <v>1</v>
      </c>
      <c r="H153" s="43">
        <v>1</v>
      </c>
      <c r="I153" s="44">
        <f t="shared" si="13"/>
        <v>0</v>
      </c>
      <c r="J153" s="37">
        <f t="shared" si="14"/>
        <v>0</v>
      </c>
      <c r="K153" s="38">
        <f t="shared" si="15"/>
        <v>0</v>
      </c>
      <c r="L153" s="38">
        <f t="shared" si="16"/>
        <v>0</v>
      </c>
      <c r="M153" s="39">
        <f t="shared" si="17"/>
        <v>0</v>
      </c>
      <c r="N153" s="45">
        <f t="shared" ca="1" si="18"/>
        <v>0</v>
      </c>
      <c r="O153" s="40">
        <f>SUMIF(Tabella1[Nome],Tabella4[[#This Row],[NOME]],Tabella1[Gf])</f>
        <v>0</v>
      </c>
      <c r="P153" s="40">
        <f>-(SUMIF(Tabella1[Nome],Tabella4[[#This Row],[NOME]],Tabella1[Gs]))</f>
        <v>0</v>
      </c>
      <c r="Q153" s="40">
        <f>SUMIF(Tabella1[Nome],Tabella4[[#This Row],[NOME]],Tabella1[Rp])</f>
        <v>0</v>
      </c>
      <c r="R153" s="40">
        <f>SUMIF(Tabella1[Nome],Tabella4[[#This Row],[NOME]],Tabella1[Rs])</f>
        <v>0</v>
      </c>
      <c r="S153" s="40">
        <f>SUMIF(Tabella1[Nome],Tabella4[[#This Row],[NOME]],Tabella1[Rf])</f>
        <v>0</v>
      </c>
      <c r="T153" s="40">
        <f>SUMIF(Tabella1[Nome],Tabella4[[#This Row],[NOME]],Tabella1[Au])</f>
        <v>0</v>
      </c>
      <c r="U153" s="41">
        <f>SUMIF(Tabella1[Nome],Tabella4[[#This Row],[NOME]],Tabella1[Amm])</f>
        <v>0</v>
      </c>
      <c r="V153" s="42">
        <f>SUMIF(Tabella1[Nome],Tabella4[[#This Row],[NOME]],Tabella1[Esp])</f>
        <v>0</v>
      </c>
      <c r="W153" s="40">
        <f>SUMIF(Tabella1[Nome],Tabella4[[#This Row],[NOME]],Tabella1[Ass])</f>
        <v>0</v>
      </c>
      <c r="X153" s="40">
        <f>SUMIF(Tabella1[Nome],Tabella4[[#This Row],[NOME]],Tabella1[Gdv])</f>
        <v>0</v>
      </c>
      <c r="Y153" s="40">
        <f>SUMIF(Tabella1[Nome],Tabella4[[#This Row],[NOME]],Tabella1[cl sh])</f>
        <v>0</v>
      </c>
      <c r="Z153" s="270" t="str">
        <f>_xlfn.IFNA(_xlfn.XLOOKUP(CONCATENATE(Z$4,$C153),Tabella1[CONC X VOTI IN TAB GIOC],Tabella1[Voto],""),"")</f>
        <v/>
      </c>
      <c r="AA153" s="270" t="str">
        <f>_xlfn.IFNA(_xlfn.XLOOKUP(CONCATENATE(AA$4,$C153),Tabella1[CONC X VOTI IN TAB GIOC],Tabella1[Voto],""),"")</f>
        <v/>
      </c>
      <c r="AB153" s="270" t="str">
        <f>_xlfn.IFNA(_xlfn.XLOOKUP(CONCATENATE(AB$4,$C153),Tabella1[CONC X VOTI IN TAB GIOC],Tabella1[Voto]),"")</f>
        <v/>
      </c>
      <c r="AC153" s="270" t="str" cm="1">
        <f t="array" ref="AC153">_xlfn.IFNA(_xlfn.XLOOKUP(CONCATENATE(AC$4,$C153),INDEX(Tabella1[],0,MATCH("CONC X VOTI IN TAB GIOC",Tabella1[#Headers],0)),INDEX(Tabella1[],0,MATCH("Voto",Tabella1[#Headers],0))),"")</f>
        <v/>
      </c>
      <c r="AD153" s="270" t="str">
        <f>_xlfn.IFNA(_xlfn.XLOOKUP(CONCATENATE(AD$4,$C153),Tabella1[CONC X VOTI IN TAB GIOC],Tabella1[Voto]),"")</f>
        <v/>
      </c>
      <c r="AE153" s="270" t="str">
        <f>_xlfn.IFNA(VLOOKUP(CONCATENATE(AE$4,$C153),'INSER DATA'!$A:$F,6,0),"")</f>
        <v/>
      </c>
      <c r="AF153" s="270" t="str">
        <f>_xlfn.IFNA(VLOOKUP(CONCATENATE(AF$4,$C153),'INSER DATA'!$A:$F,6,0),"")</f>
        <v/>
      </c>
      <c r="AG153" s="270" t="str">
        <f>_xlfn.IFNA(VLOOKUP(CONCATENATE(AG$4,$C153),'INSER DATA'!$A:$F,6,0),"")</f>
        <v/>
      </c>
      <c r="AH153" s="270" t="str">
        <f>_xlfn.IFNA(VLOOKUP(CONCATENATE(AH$4,$C153),'INSER DATA'!$A:$F,7,0),"")</f>
        <v/>
      </c>
      <c r="AI153" s="270" t="str">
        <f>_xlfn.IFNA(VLOOKUP(CONCATENATE(AI$4,$C153),'INSER DATA'!$A:$F,7,0),"")</f>
        <v/>
      </c>
      <c r="AJ153" s="270" t="str">
        <f>_xlfn.IFNA(VLOOKUP(CONCATENATE(AJ$4,$C153),'INSER DATA'!$A:$F,7,0),"")</f>
        <v/>
      </c>
      <c r="AK153" s="270" t="str">
        <f>_xlfn.IFNA(VLOOKUP(CONCATENATE(AK$4,$C153),'INSER DATA'!$A:$F,7,0),"")</f>
        <v/>
      </c>
      <c r="AL153" s="270" t="str">
        <f>_xlfn.IFNA(VLOOKUP(CONCATENATE(AL$4,$C153),'INSER DATA'!$A:$F,7,0),"")</f>
        <v/>
      </c>
      <c r="AM153" s="270" t="str">
        <f>_xlfn.IFNA(VLOOKUP(CONCATENATE(AM$4,$C153),'INSER DATA'!$A:$F,7,0),"")</f>
        <v/>
      </c>
      <c r="AN153" s="270" t="str">
        <f>_xlfn.IFNA(VLOOKUP(CONCATENATE(AN$4,$C153),'INSER DATA'!$A:$F,7,0),"")</f>
        <v/>
      </c>
      <c r="AO153" s="270" t="str">
        <f>_xlfn.IFNA(VLOOKUP(CONCATENATE(AO$4,$C153),'INSER DATA'!$A:$F,7,0),"")</f>
        <v/>
      </c>
      <c r="AP153" s="270" t="str">
        <f>_xlfn.IFNA(VLOOKUP(CONCATENATE(AP$4,$C153),'INSER DATA'!$A:$F,7,0),"")</f>
        <v/>
      </c>
      <c r="AQ153" s="270" t="str">
        <f>_xlfn.IFNA(VLOOKUP(CONCATENATE(AQ$4,$C153),'INSER DATA'!$A:$F,7,0),"")</f>
        <v/>
      </c>
      <c r="AR153" s="270" t="str">
        <f>_xlfn.IFNA(VLOOKUP(CONCATENATE(AR$4,$C153),'INSER DATA'!$A:$F,7,0),"")</f>
        <v/>
      </c>
      <c r="AS153" s="270" t="str">
        <f>_xlfn.IFNA(VLOOKUP(CONCATENATE(AS$4,$C153),'INSER DATA'!$A:$F,7,0),"")</f>
        <v/>
      </c>
      <c r="AT153" s="270" t="str">
        <f>_xlfn.IFNA(VLOOKUP(CONCATENATE(AT$4,$C153),'INSER DATA'!$A:$F,7,0),"")</f>
        <v/>
      </c>
      <c r="AU153" s="270" t="str">
        <f>_xlfn.IFNA(VLOOKUP(CONCATENATE(AU$4,$C153),'INSER DATA'!$A:$F,7,0),"")</f>
        <v/>
      </c>
      <c r="AV153" s="270" t="str">
        <f>_xlfn.IFNA(VLOOKUP(CONCATENATE(AV$4,$C153),'INSER DATA'!$A:$F,7,0),"")</f>
        <v/>
      </c>
      <c r="AW153" s="270" t="str">
        <f>_xlfn.IFNA(VLOOKUP(CONCATENATE(AW$4,$C153),'INSER DATA'!$A:$F,7,0),"")</f>
        <v/>
      </c>
      <c r="AX153" s="270" t="str">
        <f>_xlfn.IFNA(VLOOKUP(CONCATENATE(AX$4,$C153),'INSER DATA'!$A:$F,7,0),"")</f>
        <v/>
      </c>
      <c r="AY153" s="270" t="str">
        <f>_xlfn.IFNA(VLOOKUP(CONCATENATE(AY$4,$C153),'INSER DATA'!$A:$F,7,0),"")</f>
        <v/>
      </c>
      <c r="AZ153" s="270" t="str">
        <f>_xlfn.IFNA(VLOOKUP(CONCATENATE(AZ$4,$C153),'INSER DATA'!$A:$F,7,0),"")</f>
        <v/>
      </c>
      <c r="BA153" s="270" t="str">
        <f>_xlfn.IFNA(VLOOKUP(CONCATENATE(BA$4,$C153),'INSER DATA'!$A:$F,7,0),"")</f>
        <v/>
      </c>
      <c r="BB153" s="270" t="str">
        <f>_xlfn.IFNA(VLOOKUP(CONCATENATE(BB$4,$C153),'INSER DATA'!$A:$F,7,0),"")</f>
        <v/>
      </c>
      <c r="BC153" s="270" t="str">
        <f>_xlfn.IFNA(VLOOKUP(CONCATENATE(BC$4,$C153),'INSER DATA'!$A:$F,7,0),"")</f>
        <v/>
      </c>
      <c r="BD153" s="270" t="str">
        <f>_xlfn.IFNA(VLOOKUP(CONCATENATE(BD$4,$C153),'INSER DATA'!$A:$F,7,0),"")</f>
        <v/>
      </c>
      <c r="BE153" s="270" t="str">
        <f>_xlfn.IFNA(VLOOKUP(CONCATENATE(BE$4,$C153),'INSER DATA'!$A:$F,7,0),"")</f>
        <v/>
      </c>
      <c r="BF153" s="270" t="str">
        <f>_xlfn.IFNA(VLOOKUP(CONCATENATE(BF$4,$C153),'INSER DATA'!$A:$F,7,0),"")</f>
        <v/>
      </c>
      <c r="BG153" s="270" t="str">
        <f>_xlfn.IFNA(VLOOKUP(CONCATENATE(BG$4,$C153),'INSER DATA'!$A:$F,7,0),"")</f>
        <v/>
      </c>
      <c r="BH153" s="270" t="str">
        <f>_xlfn.IFNA(VLOOKUP(CONCATENATE(BH$4,$C153),'INSER DATA'!$A:$F,7,0),"")</f>
        <v/>
      </c>
      <c r="BI153" s="270" t="str">
        <f>_xlfn.IFNA(VLOOKUP(CONCATENATE(BI$4,$C153),'INSER DATA'!$A:$F,7,0),"")</f>
        <v/>
      </c>
      <c r="BJ153" s="270" t="str">
        <f>_xlfn.IFNA(VLOOKUP(CONCATENATE(BJ$4,$C153),'INSER DATA'!$A:$F,7,0),"")</f>
        <v/>
      </c>
      <c r="BK153" s="270" t="str">
        <f>_xlfn.IFNA(VLOOKUP(CONCATENATE(BK$4,$C153),'INSER DATA'!$A:$F,7,0),"")</f>
        <v/>
      </c>
      <c r="BL153" s="272"/>
      <c r="BM153" s="30"/>
      <c r="BN153" s="30"/>
      <c r="BO153" s="30"/>
      <c r="BP153" s="30"/>
      <c r="BQ153" s="30"/>
      <c r="BR153" s="30"/>
      <c r="BS153" s="30"/>
      <c r="BT153" s="30"/>
      <c r="BU153" s="30"/>
      <c r="BV153" s="30"/>
      <c r="BW153" s="30"/>
      <c r="BX153" s="30"/>
      <c r="BY153" s="30"/>
      <c r="BZ153" s="30"/>
      <c r="CA153" s="30"/>
      <c r="CB153" s="30"/>
      <c r="CC153" s="30"/>
      <c r="CD153" s="30"/>
      <c r="CE153" s="30"/>
      <c r="CF153" s="30"/>
      <c r="CG153" s="30"/>
      <c r="CH153" s="30"/>
      <c r="CI153" s="30"/>
      <c r="CJ153" s="30"/>
      <c r="CK153" s="30"/>
      <c r="CL153" s="30"/>
      <c r="CM153" s="30"/>
      <c r="CN153" s="30"/>
      <c r="CO153" s="30"/>
      <c r="CP153" s="30"/>
      <c r="CQ153" s="30"/>
      <c r="CR153" s="30"/>
      <c r="CS153" s="30"/>
      <c r="CT153" s="30"/>
      <c r="CU153" s="30"/>
      <c r="CV153" s="30"/>
      <c r="CW153" s="30"/>
      <c r="CX153" s="30"/>
      <c r="CY153" s="30"/>
      <c r="CZ153" s="30"/>
      <c r="DA153" s="30"/>
    </row>
    <row r="154" spans="1:105" ht="19.2" thickTop="1" thickBot="1" x14ac:dyDescent="0.4">
      <c r="A154" s="30"/>
      <c r="B154" s="30"/>
      <c r="C154" s="188" t="s">
        <v>738</v>
      </c>
      <c r="D154" s="46" t="s">
        <v>721</v>
      </c>
      <c r="E154" s="35" t="str">
        <f>_xlfn.XLOOKUP(Tabella4[[#This Row],[NOME]],'ROSE SQUADRE'!$N$3:$N$253,'ROSE SQUADRE'!$O$3:$O$253,"")</f>
        <v/>
      </c>
      <c r="F154" s="36" t="s">
        <v>162</v>
      </c>
      <c r="G154" s="43">
        <v>3</v>
      </c>
      <c r="H154" s="43">
        <v>3</v>
      </c>
      <c r="I154" s="44">
        <f t="shared" si="13"/>
        <v>0</v>
      </c>
      <c r="J154" s="37">
        <f t="shared" si="14"/>
        <v>0</v>
      </c>
      <c r="K154" s="38">
        <f t="shared" si="15"/>
        <v>0</v>
      </c>
      <c r="L154" s="38">
        <f t="shared" si="16"/>
        <v>0</v>
      </c>
      <c r="M154" s="39">
        <f t="shared" si="17"/>
        <v>0</v>
      </c>
      <c r="N154" s="45">
        <f t="shared" ca="1" si="18"/>
        <v>0</v>
      </c>
      <c r="O154" s="40">
        <f>SUMIF(Tabella1[Nome],Tabella4[[#This Row],[NOME]],Tabella1[Gf])</f>
        <v>0</v>
      </c>
      <c r="P154" s="40">
        <f>-(SUMIF(Tabella1[Nome],Tabella4[[#This Row],[NOME]],Tabella1[Gs]))</f>
        <v>0</v>
      </c>
      <c r="Q154" s="40">
        <f>SUMIF(Tabella1[Nome],Tabella4[[#This Row],[NOME]],Tabella1[Rp])</f>
        <v>0</v>
      </c>
      <c r="R154" s="40">
        <f>SUMIF(Tabella1[Nome],Tabella4[[#This Row],[NOME]],Tabella1[Rs])</f>
        <v>0</v>
      </c>
      <c r="S154" s="40">
        <f>SUMIF(Tabella1[Nome],Tabella4[[#This Row],[NOME]],Tabella1[Rf])</f>
        <v>0</v>
      </c>
      <c r="T154" s="40">
        <f>SUMIF(Tabella1[Nome],Tabella4[[#This Row],[NOME]],Tabella1[Au])</f>
        <v>0</v>
      </c>
      <c r="U154" s="41">
        <f>SUMIF(Tabella1[Nome],Tabella4[[#This Row],[NOME]],Tabella1[Amm])</f>
        <v>0</v>
      </c>
      <c r="V154" s="42">
        <f>SUMIF(Tabella1[Nome],Tabella4[[#This Row],[NOME]],Tabella1[Esp])</f>
        <v>0</v>
      </c>
      <c r="W154" s="40">
        <f>SUMIF(Tabella1[Nome],Tabella4[[#This Row],[NOME]],Tabella1[Ass])</f>
        <v>0</v>
      </c>
      <c r="X154" s="40">
        <f>SUMIF(Tabella1[Nome],Tabella4[[#This Row],[NOME]],Tabella1[Gdv])</f>
        <v>0</v>
      </c>
      <c r="Y154" s="40">
        <f>SUMIF(Tabella1[Nome],Tabella4[[#This Row],[NOME]],Tabella1[cl sh])</f>
        <v>0</v>
      </c>
      <c r="Z154" s="270" t="str">
        <f>_xlfn.IFNA(_xlfn.XLOOKUP(CONCATENATE(Z$4,$C154),Tabella1[CONC X VOTI IN TAB GIOC],Tabella1[Voto],""),"")</f>
        <v/>
      </c>
      <c r="AA154" s="270" t="str">
        <f>_xlfn.IFNA(_xlfn.XLOOKUP(CONCATENATE(AA$4,$C154),Tabella1[CONC X VOTI IN TAB GIOC],Tabella1[Voto],""),"")</f>
        <v/>
      </c>
      <c r="AB154" s="270" t="str">
        <f>_xlfn.IFNA(_xlfn.XLOOKUP(CONCATENATE(AB$4,$C154),Tabella1[CONC X VOTI IN TAB GIOC],Tabella1[Voto]),"")</f>
        <v/>
      </c>
      <c r="AC154" s="270" t="str" cm="1">
        <f t="array" ref="AC154">_xlfn.IFNA(_xlfn.XLOOKUP(CONCATENATE(AC$4,$C154),INDEX(Tabella1[],0,MATCH("CONC X VOTI IN TAB GIOC",Tabella1[#Headers],0)),INDEX(Tabella1[],0,MATCH("Voto",Tabella1[#Headers],0))),"")</f>
        <v/>
      </c>
      <c r="AD154" s="270" t="str">
        <f>_xlfn.IFNA(_xlfn.XLOOKUP(CONCATENATE(AD$4,$C154),Tabella1[CONC X VOTI IN TAB GIOC],Tabella1[Voto]),"")</f>
        <v/>
      </c>
      <c r="AE154" s="270" t="str">
        <f>_xlfn.IFNA(VLOOKUP(CONCATENATE(AE$4,$C154),'INSER DATA'!$A:$F,6,0),"")</f>
        <v/>
      </c>
      <c r="AF154" s="270" t="str">
        <f>_xlfn.IFNA(VLOOKUP(CONCATENATE(AF$4,$C154),'INSER DATA'!$A:$F,6,0),"")</f>
        <v/>
      </c>
      <c r="AG154" s="270" t="str">
        <f>_xlfn.IFNA(VLOOKUP(CONCATENATE(AG$4,$C154),'INSER DATA'!$A:$F,6,0),"")</f>
        <v/>
      </c>
      <c r="AH154" s="270" t="str">
        <f>_xlfn.IFNA(VLOOKUP(CONCATENATE(AH$4,$C154),'INSER DATA'!$A:$F,7,0),"")</f>
        <v/>
      </c>
      <c r="AI154" s="270" t="str">
        <f>_xlfn.IFNA(VLOOKUP(CONCATENATE(AI$4,$C154),'INSER DATA'!$A:$F,7,0),"")</f>
        <v/>
      </c>
      <c r="AJ154" s="270" t="str">
        <f>_xlfn.IFNA(VLOOKUP(CONCATENATE(AJ$4,$C154),'INSER DATA'!$A:$F,7,0),"")</f>
        <v/>
      </c>
      <c r="AK154" s="270" t="str">
        <f>_xlfn.IFNA(VLOOKUP(CONCATENATE(AK$4,$C154),'INSER DATA'!$A:$F,7,0),"")</f>
        <v/>
      </c>
      <c r="AL154" s="270" t="str">
        <f>_xlfn.IFNA(VLOOKUP(CONCATENATE(AL$4,$C154),'INSER DATA'!$A:$F,7,0),"")</f>
        <v/>
      </c>
      <c r="AM154" s="270" t="str">
        <f>_xlfn.IFNA(VLOOKUP(CONCATENATE(AM$4,$C154),'INSER DATA'!$A:$F,7,0),"")</f>
        <v/>
      </c>
      <c r="AN154" s="270" t="str">
        <f>_xlfn.IFNA(VLOOKUP(CONCATENATE(AN$4,$C154),'INSER DATA'!$A:$F,7,0),"")</f>
        <v/>
      </c>
      <c r="AO154" s="270" t="str">
        <f>_xlfn.IFNA(VLOOKUP(CONCATENATE(AO$4,$C154),'INSER DATA'!$A:$F,7,0),"")</f>
        <v/>
      </c>
      <c r="AP154" s="270" t="str">
        <f>_xlfn.IFNA(VLOOKUP(CONCATENATE(AP$4,$C154),'INSER DATA'!$A:$F,7,0),"")</f>
        <v/>
      </c>
      <c r="AQ154" s="270" t="str">
        <f>_xlfn.IFNA(VLOOKUP(CONCATENATE(AQ$4,$C154),'INSER DATA'!$A:$F,7,0),"")</f>
        <v/>
      </c>
      <c r="AR154" s="270" t="str">
        <f>_xlfn.IFNA(VLOOKUP(CONCATENATE(AR$4,$C154),'INSER DATA'!$A:$F,7,0),"")</f>
        <v/>
      </c>
      <c r="AS154" s="270" t="str">
        <f>_xlfn.IFNA(VLOOKUP(CONCATENATE(AS$4,$C154),'INSER DATA'!$A:$F,7,0),"")</f>
        <v/>
      </c>
      <c r="AT154" s="270" t="str">
        <f>_xlfn.IFNA(VLOOKUP(CONCATENATE(AT$4,$C154),'INSER DATA'!$A:$F,7,0),"")</f>
        <v/>
      </c>
      <c r="AU154" s="270" t="str">
        <f>_xlfn.IFNA(VLOOKUP(CONCATENATE(AU$4,$C154),'INSER DATA'!$A:$F,7,0),"")</f>
        <v/>
      </c>
      <c r="AV154" s="270" t="str">
        <f>_xlfn.IFNA(VLOOKUP(CONCATENATE(AV$4,$C154),'INSER DATA'!$A:$F,7,0),"")</f>
        <v/>
      </c>
      <c r="AW154" s="270" t="str">
        <f>_xlfn.IFNA(VLOOKUP(CONCATENATE(AW$4,$C154),'INSER DATA'!$A:$F,7,0),"")</f>
        <v/>
      </c>
      <c r="AX154" s="270" t="str">
        <f>_xlfn.IFNA(VLOOKUP(CONCATENATE(AX$4,$C154),'INSER DATA'!$A:$F,7,0),"")</f>
        <v/>
      </c>
      <c r="AY154" s="270" t="str">
        <f>_xlfn.IFNA(VLOOKUP(CONCATENATE(AY$4,$C154),'INSER DATA'!$A:$F,7,0),"")</f>
        <v/>
      </c>
      <c r="AZ154" s="270" t="str">
        <f>_xlfn.IFNA(VLOOKUP(CONCATENATE(AZ$4,$C154),'INSER DATA'!$A:$F,7,0),"")</f>
        <v/>
      </c>
      <c r="BA154" s="270" t="str">
        <f>_xlfn.IFNA(VLOOKUP(CONCATENATE(BA$4,$C154),'INSER DATA'!$A:$F,7,0),"")</f>
        <v/>
      </c>
      <c r="BB154" s="270" t="str">
        <f>_xlfn.IFNA(VLOOKUP(CONCATENATE(BB$4,$C154),'INSER DATA'!$A:$F,7,0),"")</f>
        <v/>
      </c>
      <c r="BC154" s="270" t="str">
        <f>_xlfn.IFNA(VLOOKUP(CONCATENATE(BC$4,$C154),'INSER DATA'!$A:$F,7,0),"")</f>
        <v/>
      </c>
      <c r="BD154" s="270" t="str">
        <f>_xlfn.IFNA(VLOOKUP(CONCATENATE(BD$4,$C154),'INSER DATA'!$A:$F,7,0),"")</f>
        <v/>
      </c>
      <c r="BE154" s="270" t="str">
        <f>_xlfn.IFNA(VLOOKUP(CONCATENATE(BE$4,$C154),'INSER DATA'!$A:$F,7,0),"")</f>
        <v/>
      </c>
      <c r="BF154" s="270" t="str">
        <f>_xlfn.IFNA(VLOOKUP(CONCATENATE(BF$4,$C154),'INSER DATA'!$A:$F,7,0),"")</f>
        <v/>
      </c>
      <c r="BG154" s="270" t="str">
        <f>_xlfn.IFNA(VLOOKUP(CONCATENATE(BG$4,$C154),'INSER DATA'!$A:$F,7,0),"")</f>
        <v/>
      </c>
      <c r="BH154" s="270" t="str">
        <f>_xlfn.IFNA(VLOOKUP(CONCATENATE(BH$4,$C154),'INSER DATA'!$A:$F,7,0),"")</f>
        <v/>
      </c>
      <c r="BI154" s="270" t="str">
        <f>_xlfn.IFNA(VLOOKUP(CONCATENATE(BI$4,$C154),'INSER DATA'!$A:$F,7,0),"")</f>
        <v/>
      </c>
      <c r="BJ154" s="270" t="str">
        <f>_xlfn.IFNA(VLOOKUP(CONCATENATE(BJ$4,$C154),'INSER DATA'!$A:$F,7,0),"")</f>
        <v/>
      </c>
      <c r="BK154" s="270" t="str">
        <f>_xlfn.IFNA(VLOOKUP(CONCATENATE(BK$4,$C154),'INSER DATA'!$A:$F,7,0),"")</f>
        <v/>
      </c>
      <c r="BL154" s="272"/>
      <c r="BM154" s="30"/>
      <c r="BN154" s="30"/>
      <c r="BO154" s="30"/>
      <c r="BP154" s="30"/>
      <c r="BQ154" s="30"/>
      <c r="BR154" s="30"/>
      <c r="BS154" s="30"/>
      <c r="BT154" s="30"/>
      <c r="BU154" s="30"/>
      <c r="BV154" s="30"/>
      <c r="BW154" s="30"/>
      <c r="BX154" s="30"/>
      <c r="BY154" s="30"/>
      <c r="BZ154" s="30"/>
      <c r="CA154" s="30"/>
      <c r="CB154" s="30"/>
      <c r="CC154" s="30"/>
      <c r="CD154" s="30"/>
      <c r="CE154" s="30"/>
      <c r="CF154" s="30"/>
      <c r="CG154" s="30"/>
      <c r="CH154" s="30"/>
      <c r="CI154" s="30"/>
      <c r="CJ154" s="30"/>
      <c r="CK154" s="30"/>
      <c r="CL154" s="30"/>
      <c r="CM154" s="30"/>
      <c r="CN154" s="30"/>
      <c r="CO154" s="30"/>
      <c r="CP154" s="30"/>
      <c r="CQ154" s="30"/>
      <c r="CR154" s="30"/>
      <c r="CS154" s="30"/>
      <c r="CT154" s="30"/>
      <c r="CU154" s="30"/>
      <c r="CV154" s="30"/>
      <c r="CW154" s="30"/>
      <c r="CX154" s="30"/>
      <c r="CY154" s="30"/>
      <c r="CZ154" s="30"/>
      <c r="DA154" s="30"/>
    </row>
    <row r="155" spans="1:105" ht="19.2" thickTop="1" thickBot="1" x14ac:dyDescent="0.4">
      <c r="A155" s="30"/>
      <c r="B155" s="30"/>
      <c r="C155" s="185" t="s">
        <v>739</v>
      </c>
      <c r="D155" s="46" t="s">
        <v>721</v>
      </c>
      <c r="E155" s="35" t="str">
        <f>_xlfn.XLOOKUP(Tabella4[[#This Row],[NOME]],'ROSE SQUADRE'!$N$3:$N$253,'ROSE SQUADRE'!$O$3:$O$253,"")</f>
        <v/>
      </c>
      <c r="F155" s="36" t="s">
        <v>162</v>
      </c>
      <c r="G155" s="43">
        <v>5</v>
      </c>
      <c r="H155" s="43">
        <v>5</v>
      </c>
      <c r="I155" s="44">
        <f t="shared" si="13"/>
        <v>0</v>
      </c>
      <c r="J155" s="37">
        <f t="shared" si="14"/>
        <v>0</v>
      </c>
      <c r="K155" s="38">
        <f t="shared" si="15"/>
        <v>0</v>
      </c>
      <c r="L155" s="38">
        <f t="shared" si="16"/>
        <v>0</v>
      </c>
      <c r="M155" s="39">
        <f t="shared" si="17"/>
        <v>0</v>
      </c>
      <c r="N155" s="45">
        <f t="shared" ca="1" si="18"/>
        <v>0</v>
      </c>
      <c r="O155" s="40">
        <f>SUMIF(Tabella1[Nome],Tabella4[[#This Row],[NOME]],Tabella1[Gf])</f>
        <v>0</v>
      </c>
      <c r="P155" s="40">
        <f>-(SUMIF(Tabella1[Nome],Tabella4[[#This Row],[NOME]],Tabella1[Gs]))</f>
        <v>0</v>
      </c>
      <c r="Q155" s="40">
        <f>SUMIF(Tabella1[Nome],Tabella4[[#This Row],[NOME]],Tabella1[Rp])</f>
        <v>0</v>
      </c>
      <c r="R155" s="40">
        <f>SUMIF(Tabella1[Nome],Tabella4[[#This Row],[NOME]],Tabella1[Rs])</f>
        <v>0</v>
      </c>
      <c r="S155" s="40">
        <f>SUMIF(Tabella1[Nome],Tabella4[[#This Row],[NOME]],Tabella1[Rf])</f>
        <v>0</v>
      </c>
      <c r="T155" s="40">
        <f>SUMIF(Tabella1[Nome],Tabella4[[#This Row],[NOME]],Tabella1[Au])</f>
        <v>0</v>
      </c>
      <c r="U155" s="41">
        <f>SUMIF(Tabella1[Nome],Tabella4[[#This Row],[NOME]],Tabella1[Amm])</f>
        <v>0</v>
      </c>
      <c r="V155" s="42">
        <f>SUMIF(Tabella1[Nome],Tabella4[[#This Row],[NOME]],Tabella1[Esp])</f>
        <v>0</v>
      </c>
      <c r="W155" s="40">
        <f>SUMIF(Tabella1[Nome],Tabella4[[#This Row],[NOME]],Tabella1[Ass])</f>
        <v>0</v>
      </c>
      <c r="X155" s="40">
        <f>SUMIF(Tabella1[Nome],Tabella4[[#This Row],[NOME]],Tabella1[Gdv])</f>
        <v>0</v>
      </c>
      <c r="Y155" s="40">
        <f>SUMIF(Tabella1[Nome],Tabella4[[#This Row],[NOME]],Tabella1[cl sh])</f>
        <v>0</v>
      </c>
      <c r="Z155" s="270" t="str">
        <f>_xlfn.IFNA(_xlfn.XLOOKUP(CONCATENATE(Z$4,$C155),Tabella1[CONC X VOTI IN TAB GIOC],Tabella1[Voto],""),"")</f>
        <v/>
      </c>
      <c r="AA155" s="270" t="str">
        <f>_xlfn.IFNA(_xlfn.XLOOKUP(CONCATENATE(AA$4,$C155),Tabella1[CONC X VOTI IN TAB GIOC],Tabella1[Voto],""),"")</f>
        <v/>
      </c>
      <c r="AB155" s="270" t="str">
        <f>_xlfn.IFNA(_xlfn.XLOOKUP(CONCATENATE(AB$4,$C155),Tabella1[CONC X VOTI IN TAB GIOC],Tabella1[Voto]),"")</f>
        <v/>
      </c>
      <c r="AC155" s="270" t="str" cm="1">
        <f t="array" ref="AC155">_xlfn.IFNA(_xlfn.XLOOKUP(CONCATENATE(AC$4,$C155),INDEX(Tabella1[],0,MATCH("CONC X VOTI IN TAB GIOC",Tabella1[#Headers],0)),INDEX(Tabella1[],0,MATCH("Voto",Tabella1[#Headers],0))),"")</f>
        <v/>
      </c>
      <c r="AD155" s="270" t="str">
        <f>_xlfn.IFNA(_xlfn.XLOOKUP(CONCATENATE(AD$4,$C155),Tabella1[CONC X VOTI IN TAB GIOC],Tabella1[Voto]),"")</f>
        <v/>
      </c>
      <c r="AE155" s="270" t="str">
        <f>_xlfn.IFNA(VLOOKUP(CONCATENATE(AE$4,$C155),'INSER DATA'!$A:$F,6,0),"")</f>
        <v/>
      </c>
      <c r="AF155" s="270" t="str">
        <f>_xlfn.IFNA(VLOOKUP(CONCATENATE(AF$4,$C155),'INSER DATA'!$A:$F,6,0),"")</f>
        <v/>
      </c>
      <c r="AG155" s="270" t="str">
        <f>_xlfn.IFNA(VLOOKUP(CONCATENATE(AG$4,$C155),'INSER DATA'!$A:$F,6,0),"")</f>
        <v/>
      </c>
      <c r="AH155" s="270" t="str">
        <f>_xlfn.IFNA(VLOOKUP(CONCATENATE(AH$4,$C155),'INSER DATA'!$A:$F,7,0),"")</f>
        <v/>
      </c>
      <c r="AI155" s="270" t="str">
        <f>_xlfn.IFNA(VLOOKUP(CONCATENATE(AI$4,$C155),'INSER DATA'!$A:$F,7,0),"")</f>
        <v/>
      </c>
      <c r="AJ155" s="270" t="str">
        <f>_xlfn.IFNA(VLOOKUP(CONCATENATE(AJ$4,$C155),'INSER DATA'!$A:$F,7,0),"")</f>
        <v/>
      </c>
      <c r="AK155" s="270" t="str">
        <f>_xlfn.IFNA(VLOOKUP(CONCATENATE(AK$4,$C155),'INSER DATA'!$A:$F,7,0),"")</f>
        <v/>
      </c>
      <c r="AL155" s="270" t="str">
        <f>_xlfn.IFNA(VLOOKUP(CONCATENATE(AL$4,$C155),'INSER DATA'!$A:$F,7,0),"")</f>
        <v/>
      </c>
      <c r="AM155" s="270" t="str">
        <f>_xlfn.IFNA(VLOOKUP(CONCATENATE(AM$4,$C155),'INSER DATA'!$A:$F,7,0),"")</f>
        <v/>
      </c>
      <c r="AN155" s="270" t="str">
        <f>_xlfn.IFNA(VLOOKUP(CONCATENATE(AN$4,$C155),'INSER DATA'!$A:$F,7,0),"")</f>
        <v/>
      </c>
      <c r="AO155" s="270" t="str">
        <f>_xlfn.IFNA(VLOOKUP(CONCATENATE(AO$4,$C155),'INSER DATA'!$A:$F,7,0),"")</f>
        <v/>
      </c>
      <c r="AP155" s="270" t="str">
        <f>_xlfn.IFNA(VLOOKUP(CONCATENATE(AP$4,$C155),'INSER DATA'!$A:$F,7,0),"")</f>
        <v/>
      </c>
      <c r="AQ155" s="270" t="str">
        <f>_xlfn.IFNA(VLOOKUP(CONCATENATE(AQ$4,$C155),'INSER DATA'!$A:$F,7,0),"")</f>
        <v/>
      </c>
      <c r="AR155" s="270" t="str">
        <f>_xlfn.IFNA(VLOOKUP(CONCATENATE(AR$4,$C155),'INSER DATA'!$A:$F,7,0),"")</f>
        <v/>
      </c>
      <c r="AS155" s="270" t="str">
        <f>_xlfn.IFNA(VLOOKUP(CONCATENATE(AS$4,$C155),'INSER DATA'!$A:$F,7,0),"")</f>
        <v/>
      </c>
      <c r="AT155" s="270" t="str">
        <f>_xlfn.IFNA(VLOOKUP(CONCATENATE(AT$4,$C155),'INSER DATA'!$A:$F,7,0),"")</f>
        <v/>
      </c>
      <c r="AU155" s="270" t="str">
        <f>_xlfn.IFNA(VLOOKUP(CONCATENATE(AU$4,$C155),'INSER DATA'!$A:$F,7,0),"")</f>
        <v/>
      </c>
      <c r="AV155" s="270" t="str">
        <f>_xlfn.IFNA(VLOOKUP(CONCATENATE(AV$4,$C155),'INSER DATA'!$A:$F,7,0),"")</f>
        <v/>
      </c>
      <c r="AW155" s="270" t="str">
        <f>_xlfn.IFNA(VLOOKUP(CONCATENATE(AW$4,$C155),'INSER DATA'!$A:$F,7,0),"")</f>
        <v/>
      </c>
      <c r="AX155" s="270" t="str">
        <f>_xlfn.IFNA(VLOOKUP(CONCATENATE(AX$4,$C155),'INSER DATA'!$A:$F,7,0),"")</f>
        <v/>
      </c>
      <c r="AY155" s="270" t="str">
        <f>_xlfn.IFNA(VLOOKUP(CONCATENATE(AY$4,$C155),'INSER DATA'!$A:$F,7,0),"")</f>
        <v/>
      </c>
      <c r="AZ155" s="270" t="str">
        <f>_xlfn.IFNA(VLOOKUP(CONCATENATE(AZ$4,$C155),'INSER DATA'!$A:$F,7,0),"")</f>
        <v/>
      </c>
      <c r="BA155" s="270" t="str">
        <f>_xlfn.IFNA(VLOOKUP(CONCATENATE(BA$4,$C155),'INSER DATA'!$A:$F,7,0),"")</f>
        <v/>
      </c>
      <c r="BB155" s="270" t="str">
        <f>_xlfn.IFNA(VLOOKUP(CONCATENATE(BB$4,$C155),'INSER DATA'!$A:$F,7,0),"")</f>
        <v/>
      </c>
      <c r="BC155" s="270" t="str">
        <f>_xlfn.IFNA(VLOOKUP(CONCATENATE(BC$4,$C155),'INSER DATA'!$A:$F,7,0),"")</f>
        <v/>
      </c>
      <c r="BD155" s="270" t="str">
        <f>_xlfn.IFNA(VLOOKUP(CONCATENATE(BD$4,$C155),'INSER DATA'!$A:$F,7,0),"")</f>
        <v/>
      </c>
      <c r="BE155" s="270" t="str">
        <f>_xlfn.IFNA(VLOOKUP(CONCATENATE(BE$4,$C155),'INSER DATA'!$A:$F,7,0),"")</f>
        <v/>
      </c>
      <c r="BF155" s="270" t="str">
        <f>_xlfn.IFNA(VLOOKUP(CONCATENATE(BF$4,$C155),'INSER DATA'!$A:$F,7,0),"")</f>
        <v/>
      </c>
      <c r="BG155" s="270" t="str">
        <f>_xlfn.IFNA(VLOOKUP(CONCATENATE(BG$4,$C155),'INSER DATA'!$A:$F,7,0),"")</f>
        <v/>
      </c>
      <c r="BH155" s="270" t="str">
        <f>_xlfn.IFNA(VLOOKUP(CONCATENATE(BH$4,$C155),'INSER DATA'!$A:$F,7,0),"")</f>
        <v/>
      </c>
      <c r="BI155" s="270" t="str">
        <f>_xlfn.IFNA(VLOOKUP(CONCATENATE(BI$4,$C155),'INSER DATA'!$A:$F,7,0),"")</f>
        <v/>
      </c>
      <c r="BJ155" s="270" t="str">
        <f>_xlfn.IFNA(VLOOKUP(CONCATENATE(BJ$4,$C155),'INSER DATA'!$A:$F,7,0),"")</f>
        <v/>
      </c>
      <c r="BK155" s="270" t="str">
        <f>_xlfn.IFNA(VLOOKUP(CONCATENATE(BK$4,$C155),'INSER DATA'!$A:$F,7,0),"")</f>
        <v/>
      </c>
      <c r="BL155" s="272"/>
      <c r="BM155" s="30"/>
      <c r="BN155" s="30"/>
      <c r="BO155" s="30"/>
      <c r="BP155" s="30"/>
      <c r="BQ155" s="30"/>
      <c r="BR155" s="30"/>
      <c r="BS155" s="30"/>
      <c r="BT155" s="30"/>
      <c r="BU155" s="30"/>
      <c r="BV155" s="30"/>
      <c r="BW155" s="30"/>
      <c r="BX155" s="30"/>
      <c r="BY155" s="30"/>
      <c r="BZ155" s="30"/>
      <c r="CA155" s="30"/>
      <c r="CB155" s="30"/>
      <c r="CC155" s="30"/>
      <c r="CD155" s="30"/>
      <c r="CE155" s="30"/>
      <c r="CF155" s="30"/>
      <c r="CG155" s="30"/>
      <c r="CH155" s="30"/>
      <c r="CI155" s="30"/>
      <c r="CJ155" s="30"/>
      <c r="CK155" s="30"/>
      <c r="CL155" s="30"/>
      <c r="CM155" s="30"/>
      <c r="CN155" s="30"/>
      <c r="CO155" s="30"/>
      <c r="CP155" s="30"/>
      <c r="CQ155" s="30"/>
      <c r="CR155" s="30"/>
      <c r="CS155" s="30"/>
      <c r="CT155" s="30"/>
      <c r="CU155" s="30"/>
      <c r="CV155" s="30"/>
      <c r="CW155" s="30"/>
      <c r="CX155" s="30"/>
      <c r="CY155" s="30"/>
      <c r="CZ155" s="30"/>
      <c r="DA155" s="30"/>
    </row>
    <row r="156" spans="1:105" ht="19.2" thickTop="1" thickBot="1" x14ac:dyDescent="0.4">
      <c r="A156" s="30"/>
      <c r="B156" s="30"/>
      <c r="C156" s="185" t="s">
        <v>741</v>
      </c>
      <c r="D156" s="46" t="s">
        <v>721</v>
      </c>
      <c r="E156" s="35" t="str">
        <f>_xlfn.XLOOKUP(Tabella4[[#This Row],[NOME]],'ROSE SQUADRE'!$N$3:$N$253,'ROSE SQUADRE'!$O$3:$O$253,"")</f>
        <v/>
      </c>
      <c r="F156" s="36" t="s">
        <v>162</v>
      </c>
      <c r="G156" s="43">
        <v>1</v>
      </c>
      <c r="H156" s="43">
        <v>1</v>
      </c>
      <c r="I156" s="44">
        <f t="shared" si="13"/>
        <v>0</v>
      </c>
      <c r="J156" s="37">
        <f t="shared" si="14"/>
        <v>0</v>
      </c>
      <c r="K156" s="38">
        <f t="shared" si="15"/>
        <v>0</v>
      </c>
      <c r="L156" s="38">
        <f t="shared" si="16"/>
        <v>0</v>
      </c>
      <c r="M156" s="39">
        <f t="shared" si="17"/>
        <v>0</v>
      </c>
      <c r="N156" s="45">
        <f t="shared" ca="1" si="18"/>
        <v>0</v>
      </c>
      <c r="O156" s="40">
        <f>SUMIF(Tabella1[Nome],Tabella4[[#This Row],[NOME]],Tabella1[Gf])</f>
        <v>0</v>
      </c>
      <c r="P156" s="40">
        <f>-(SUMIF(Tabella1[Nome],Tabella4[[#This Row],[NOME]],Tabella1[Gs]))</f>
        <v>0</v>
      </c>
      <c r="Q156" s="40">
        <f>SUMIF(Tabella1[Nome],Tabella4[[#This Row],[NOME]],Tabella1[Rp])</f>
        <v>0</v>
      </c>
      <c r="R156" s="40">
        <f>SUMIF(Tabella1[Nome],Tabella4[[#This Row],[NOME]],Tabella1[Rs])</f>
        <v>0</v>
      </c>
      <c r="S156" s="40">
        <f>SUMIF(Tabella1[Nome],Tabella4[[#This Row],[NOME]],Tabella1[Rf])</f>
        <v>0</v>
      </c>
      <c r="T156" s="40">
        <f>SUMIF(Tabella1[Nome],Tabella4[[#This Row],[NOME]],Tabella1[Au])</f>
        <v>0</v>
      </c>
      <c r="U156" s="41">
        <f>SUMIF(Tabella1[Nome],Tabella4[[#This Row],[NOME]],Tabella1[Amm])</f>
        <v>0</v>
      </c>
      <c r="V156" s="42">
        <f>SUMIF(Tabella1[Nome],Tabella4[[#This Row],[NOME]],Tabella1[Esp])</f>
        <v>0</v>
      </c>
      <c r="W156" s="40">
        <f>SUMIF(Tabella1[Nome],Tabella4[[#This Row],[NOME]],Tabella1[Ass])</f>
        <v>0</v>
      </c>
      <c r="X156" s="40">
        <f>SUMIF(Tabella1[Nome],Tabella4[[#This Row],[NOME]],Tabella1[Gdv])</f>
        <v>0</v>
      </c>
      <c r="Y156" s="40">
        <f>SUMIF(Tabella1[Nome],Tabella4[[#This Row],[NOME]],Tabella1[cl sh])</f>
        <v>0</v>
      </c>
      <c r="Z156" s="270" t="str">
        <f>_xlfn.IFNA(_xlfn.XLOOKUP(CONCATENATE(Z$4,$C156),Tabella1[CONC X VOTI IN TAB GIOC],Tabella1[Voto],""),"")</f>
        <v/>
      </c>
      <c r="AA156" s="270" t="str">
        <f>_xlfn.IFNA(_xlfn.XLOOKUP(CONCATENATE(AA$4,$C156),Tabella1[CONC X VOTI IN TAB GIOC],Tabella1[Voto],""),"")</f>
        <v/>
      </c>
      <c r="AB156" s="270" t="str">
        <f>_xlfn.IFNA(_xlfn.XLOOKUP(CONCATENATE(AB$4,$C156),Tabella1[CONC X VOTI IN TAB GIOC],Tabella1[Voto]),"")</f>
        <v/>
      </c>
      <c r="AC156" s="270" t="str" cm="1">
        <f t="array" ref="AC156">_xlfn.IFNA(_xlfn.XLOOKUP(CONCATENATE(AC$4,$C156),INDEX(Tabella1[],0,MATCH("CONC X VOTI IN TAB GIOC",Tabella1[#Headers],0)),INDEX(Tabella1[],0,MATCH("Voto",Tabella1[#Headers],0))),"")</f>
        <v/>
      </c>
      <c r="AD156" s="270" t="str">
        <f>_xlfn.IFNA(_xlfn.XLOOKUP(CONCATENATE(AD$4,$C156),Tabella1[CONC X VOTI IN TAB GIOC],Tabella1[Voto]),"")</f>
        <v/>
      </c>
      <c r="AE156" s="270" t="str">
        <f>_xlfn.IFNA(VLOOKUP(CONCATENATE(AE$4,$C156),'INSER DATA'!$A:$F,6,0),"")</f>
        <v/>
      </c>
      <c r="AF156" s="270" t="str">
        <f>_xlfn.IFNA(VLOOKUP(CONCATENATE(AF$4,$C156),'INSER DATA'!$A:$F,6,0),"")</f>
        <v/>
      </c>
      <c r="AG156" s="270" t="str">
        <f>_xlfn.IFNA(VLOOKUP(CONCATENATE(AG$4,$C156),'INSER DATA'!$A:$F,6,0),"")</f>
        <v/>
      </c>
      <c r="AH156" s="270" t="str">
        <f>_xlfn.IFNA(VLOOKUP(CONCATENATE(AH$4,$C156),'INSER DATA'!$A:$F,7,0),"")</f>
        <v/>
      </c>
      <c r="AI156" s="270" t="str">
        <f>_xlfn.IFNA(VLOOKUP(CONCATENATE(AI$4,$C156),'INSER DATA'!$A:$F,7,0),"")</f>
        <v/>
      </c>
      <c r="AJ156" s="270" t="str">
        <f>_xlfn.IFNA(VLOOKUP(CONCATENATE(AJ$4,$C156),'INSER DATA'!$A:$F,7,0),"")</f>
        <v/>
      </c>
      <c r="AK156" s="270" t="str">
        <f>_xlfn.IFNA(VLOOKUP(CONCATENATE(AK$4,$C156),'INSER DATA'!$A:$F,7,0),"")</f>
        <v/>
      </c>
      <c r="AL156" s="270" t="str">
        <f>_xlfn.IFNA(VLOOKUP(CONCATENATE(AL$4,$C156),'INSER DATA'!$A:$F,7,0),"")</f>
        <v/>
      </c>
      <c r="AM156" s="270" t="str">
        <f>_xlfn.IFNA(VLOOKUP(CONCATENATE(AM$4,$C156),'INSER DATA'!$A:$F,7,0),"")</f>
        <v/>
      </c>
      <c r="AN156" s="270" t="str">
        <f>_xlfn.IFNA(VLOOKUP(CONCATENATE(AN$4,$C156),'INSER DATA'!$A:$F,7,0),"")</f>
        <v/>
      </c>
      <c r="AO156" s="270" t="str">
        <f>_xlfn.IFNA(VLOOKUP(CONCATENATE(AO$4,$C156),'INSER DATA'!$A:$F,7,0),"")</f>
        <v/>
      </c>
      <c r="AP156" s="270" t="str">
        <f>_xlfn.IFNA(VLOOKUP(CONCATENATE(AP$4,$C156),'INSER DATA'!$A:$F,7,0),"")</f>
        <v/>
      </c>
      <c r="AQ156" s="270" t="str">
        <f>_xlfn.IFNA(VLOOKUP(CONCATENATE(AQ$4,$C156),'INSER DATA'!$A:$F,7,0),"")</f>
        <v/>
      </c>
      <c r="AR156" s="270" t="str">
        <f>_xlfn.IFNA(VLOOKUP(CONCATENATE(AR$4,$C156),'INSER DATA'!$A:$F,7,0),"")</f>
        <v/>
      </c>
      <c r="AS156" s="270" t="str">
        <f>_xlfn.IFNA(VLOOKUP(CONCATENATE(AS$4,$C156),'INSER DATA'!$A:$F,7,0),"")</f>
        <v/>
      </c>
      <c r="AT156" s="270" t="str">
        <f>_xlfn.IFNA(VLOOKUP(CONCATENATE(AT$4,$C156),'INSER DATA'!$A:$F,7,0),"")</f>
        <v/>
      </c>
      <c r="AU156" s="270" t="str">
        <f>_xlfn.IFNA(VLOOKUP(CONCATENATE(AU$4,$C156),'INSER DATA'!$A:$F,7,0),"")</f>
        <v/>
      </c>
      <c r="AV156" s="270" t="str">
        <f>_xlfn.IFNA(VLOOKUP(CONCATENATE(AV$4,$C156),'INSER DATA'!$A:$F,7,0),"")</f>
        <v/>
      </c>
      <c r="AW156" s="270" t="str">
        <f>_xlfn.IFNA(VLOOKUP(CONCATENATE(AW$4,$C156),'INSER DATA'!$A:$F,7,0),"")</f>
        <v/>
      </c>
      <c r="AX156" s="270" t="str">
        <f>_xlfn.IFNA(VLOOKUP(CONCATENATE(AX$4,$C156),'INSER DATA'!$A:$F,7,0),"")</f>
        <v/>
      </c>
      <c r="AY156" s="270" t="str">
        <f>_xlfn.IFNA(VLOOKUP(CONCATENATE(AY$4,$C156),'INSER DATA'!$A:$F,7,0),"")</f>
        <v/>
      </c>
      <c r="AZ156" s="270" t="str">
        <f>_xlfn.IFNA(VLOOKUP(CONCATENATE(AZ$4,$C156),'INSER DATA'!$A:$F,7,0),"")</f>
        <v/>
      </c>
      <c r="BA156" s="270" t="str">
        <f>_xlfn.IFNA(VLOOKUP(CONCATENATE(BA$4,$C156),'INSER DATA'!$A:$F,7,0),"")</f>
        <v/>
      </c>
      <c r="BB156" s="270" t="str">
        <f>_xlfn.IFNA(VLOOKUP(CONCATENATE(BB$4,$C156),'INSER DATA'!$A:$F,7,0),"")</f>
        <v/>
      </c>
      <c r="BC156" s="270" t="str">
        <f>_xlfn.IFNA(VLOOKUP(CONCATENATE(BC$4,$C156),'INSER DATA'!$A:$F,7,0),"")</f>
        <v/>
      </c>
      <c r="BD156" s="270" t="str">
        <f>_xlfn.IFNA(VLOOKUP(CONCATENATE(BD$4,$C156),'INSER DATA'!$A:$F,7,0),"")</f>
        <v/>
      </c>
      <c r="BE156" s="270" t="str">
        <f>_xlfn.IFNA(VLOOKUP(CONCATENATE(BE$4,$C156),'INSER DATA'!$A:$F,7,0),"")</f>
        <v/>
      </c>
      <c r="BF156" s="270" t="str">
        <f>_xlfn.IFNA(VLOOKUP(CONCATENATE(BF$4,$C156),'INSER DATA'!$A:$F,7,0),"")</f>
        <v/>
      </c>
      <c r="BG156" s="270" t="str">
        <f>_xlfn.IFNA(VLOOKUP(CONCATENATE(BG$4,$C156),'INSER DATA'!$A:$F,7,0),"")</f>
        <v/>
      </c>
      <c r="BH156" s="270" t="str">
        <f>_xlfn.IFNA(VLOOKUP(CONCATENATE(BH$4,$C156),'INSER DATA'!$A:$F,7,0),"")</f>
        <v/>
      </c>
      <c r="BI156" s="270" t="str">
        <f>_xlfn.IFNA(VLOOKUP(CONCATENATE(BI$4,$C156),'INSER DATA'!$A:$F,7,0),"")</f>
        <v/>
      </c>
      <c r="BJ156" s="270" t="str">
        <f>_xlfn.IFNA(VLOOKUP(CONCATENATE(BJ$4,$C156),'INSER DATA'!$A:$F,7,0),"")</f>
        <v/>
      </c>
      <c r="BK156" s="270" t="str">
        <f>_xlfn.IFNA(VLOOKUP(CONCATENATE(BK$4,$C156),'INSER DATA'!$A:$F,7,0),"")</f>
        <v/>
      </c>
      <c r="BL156" s="272"/>
      <c r="BM156" s="30"/>
      <c r="BN156" s="30"/>
      <c r="BO156" s="30"/>
      <c r="BP156" s="30"/>
      <c r="BQ156" s="30"/>
      <c r="BR156" s="30"/>
      <c r="BS156" s="30"/>
      <c r="BT156" s="30"/>
      <c r="BU156" s="30"/>
      <c r="BV156" s="30"/>
      <c r="BW156" s="30"/>
      <c r="BX156" s="30"/>
      <c r="BY156" s="30"/>
      <c r="BZ156" s="30"/>
      <c r="CA156" s="30"/>
      <c r="CB156" s="30"/>
      <c r="CC156" s="30"/>
      <c r="CD156" s="30"/>
      <c r="CE156" s="30"/>
      <c r="CF156" s="30"/>
      <c r="CG156" s="30"/>
      <c r="CH156" s="30"/>
      <c r="CI156" s="30"/>
      <c r="CJ156" s="30"/>
      <c r="CK156" s="30"/>
      <c r="CL156" s="30"/>
      <c r="CM156" s="30"/>
      <c r="CN156" s="30"/>
      <c r="CO156" s="30"/>
      <c r="CP156" s="30"/>
      <c r="CQ156" s="30"/>
      <c r="CR156" s="30"/>
      <c r="CS156" s="30"/>
      <c r="CT156" s="30"/>
      <c r="CU156" s="30"/>
      <c r="CV156" s="30"/>
      <c r="CW156" s="30"/>
      <c r="CX156" s="30"/>
      <c r="CY156" s="30"/>
      <c r="CZ156" s="30"/>
      <c r="DA156" s="30"/>
    </row>
    <row r="157" spans="1:105" ht="19.2" thickTop="1" thickBot="1" x14ac:dyDescent="0.4">
      <c r="A157" s="30"/>
      <c r="B157" s="30"/>
      <c r="C157" s="188" t="s">
        <v>742</v>
      </c>
      <c r="D157" s="46" t="s">
        <v>721</v>
      </c>
      <c r="E157" s="35" t="str">
        <f>_xlfn.XLOOKUP(Tabella4[[#This Row],[NOME]],'ROSE SQUADRE'!$N$3:$N$253,'ROSE SQUADRE'!$O$3:$O$253,"")</f>
        <v/>
      </c>
      <c r="F157" s="36" t="s">
        <v>162</v>
      </c>
      <c r="G157" s="43">
        <v>4</v>
      </c>
      <c r="H157" s="43">
        <v>4</v>
      </c>
      <c r="I157" s="44">
        <f t="shared" si="13"/>
        <v>0</v>
      </c>
      <c r="J157" s="37">
        <f t="shared" si="14"/>
        <v>0</v>
      </c>
      <c r="K157" s="178">
        <f t="shared" si="15"/>
        <v>0</v>
      </c>
      <c r="L157" s="178">
        <f t="shared" si="16"/>
        <v>0</v>
      </c>
      <c r="M157" s="179">
        <f t="shared" si="17"/>
        <v>0</v>
      </c>
      <c r="N157" s="45">
        <f t="shared" ca="1" si="18"/>
        <v>0</v>
      </c>
      <c r="O157" s="40">
        <f>SUMIF(Tabella1[Nome],Tabella4[[#This Row],[NOME]],Tabella1[Gf])</f>
        <v>0</v>
      </c>
      <c r="P157" s="40">
        <f>-(SUMIF(Tabella1[Nome],Tabella4[[#This Row],[NOME]],Tabella1[Gs]))</f>
        <v>0</v>
      </c>
      <c r="Q157" s="40">
        <f>SUMIF(Tabella1[Nome],Tabella4[[#This Row],[NOME]],Tabella1[Rp])</f>
        <v>0</v>
      </c>
      <c r="R157" s="40">
        <f>SUMIF(Tabella1[Nome],Tabella4[[#This Row],[NOME]],Tabella1[Rs])</f>
        <v>0</v>
      </c>
      <c r="S157" s="40">
        <f>SUMIF(Tabella1[Nome],Tabella4[[#This Row],[NOME]],Tabella1[Rf])</f>
        <v>0</v>
      </c>
      <c r="T157" s="40">
        <f>SUMIF(Tabella1[Nome],Tabella4[[#This Row],[NOME]],Tabella1[Au])</f>
        <v>0</v>
      </c>
      <c r="U157" s="41">
        <f>SUMIF(Tabella1[Nome],Tabella4[[#This Row],[NOME]],Tabella1[Amm])</f>
        <v>0</v>
      </c>
      <c r="V157" s="42">
        <f>SUMIF(Tabella1[Nome],Tabella4[[#This Row],[NOME]],Tabella1[Esp])</f>
        <v>0</v>
      </c>
      <c r="W157" s="40">
        <f>SUMIF(Tabella1[Nome],Tabella4[[#This Row],[NOME]],Tabella1[Ass])</f>
        <v>0</v>
      </c>
      <c r="X157" s="40">
        <f>SUMIF(Tabella1[Nome],Tabella4[[#This Row],[NOME]],Tabella1[Gdv])</f>
        <v>0</v>
      </c>
      <c r="Y157" s="40">
        <f>SUMIF(Tabella1[Nome],Tabella4[[#This Row],[NOME]],Tabella1[cl sh])</f>
        <v>0</v>
      </c>
      <c r="Z157" s="270" t="str">
        <f>_xlfn.IFNA(_xlfn.XLOOKUP(CONCATENATE(Z$4,$C157),Tabella1[CONC X VOTI IN TAB GIOC],Tabella1[Voto],""),"")</f>
        <v/>
      </c>
      <c r="AA157" s="270" t="str">
        <f>_xlfn.IFNA(_xlfn.XLOOKUP(CONCATENATE(AA$4,$C157),Tabella1[CONC X VOTI IN TAB GIOC],Tabella1[Voto],""),"")</f>
        <v/>
      </c>
      <c r="AB157" s="270" t="str">
        <f>_xlfn.IFNA(_xlfn.XLOOKUP(CONCATENATE(AB$4,$C157),Tabella1[CONC X VOTI IN TAB GIOC],Tabella1[Voto]),"")</f>
        <v/>
      </c>
      <c r="AC157" s="270" t="str" cm="1">
        <f t="array" ref="AC157">_xlfn.IFNA(_xlfn.XLOOKUP(CONCATENATE(AC$4,$C157),INDEX(Tabella1[],0,MATCH("CONC X VOTI IN TAB GIOC",Tabella1[#Headers],0)),INDEX(Tabella1[],0,MATCH("Voto",Tabella1[#Headers],0))),"")</f>
        <v/>
      </c>
      <c r="AD157" s="270" t="str">
        <f>_xlfn.IFNA(_xlfn.XLOOKUP(CONCATENATE(AD$4,$C157),Tabella1[CONC X VOTI IN TAB GIOC],Tabella1[Voto]),"")</f>
        <v/>
      </c>
      <c r="AE157" s="270" t="str">
        <f>_xlfn.IFNA(VLOOKUP(CONCATENATE(AE$4,$C157),'INSER DATA'!$A:$F,6,0),"")</f>
        <v/>
      </c>
      <c r="AF157" s="270" t="str">
        <f>_xlfn.IFNA(VLOOKUP(CONCATENATE(AF$4,$C157),'INSER DATA'!$A:$F,6,0),"")</f>
        <v/>
      </c>
      <c r="AG157" s="270" t="str">
        <f>_xlfn.IFNA(VLOOKUP(CONCATENATE(AG$4,$C157),'INSER DATA'!$A:$F,6,0),"")</f>
        <v/>
      </c>
      <c r="AH157" s="270" t="str">
        <f>_xlfn.IFNA(VLOOKUP(CONCATENATE(AH$4,$C157),'INSER DATA'!$A:$F,7,0),"")</f>
        <v/>
      </c>
      <c r="AI157" s="270" t="str">
        <f>_xlfn.IFNA(VLOOKUP(CONCATENATE(AI$4,$C157),'INSER DATA'!$A:$F,7,0),"")</f>
        <v/>
      </c>
      <c r="AJ157" s="270" t="str">
        <f>_xlfn.IFNA(VLOOKUP(CONCATENATE(AJ$4,$C157),'INSER DATA'!$A:$F,7,0),"")</f>
        <v/>
      </c>
      <c r="AK157" s="270" t="str">
        <f>_xlfn.IFNA(VLOOKUP(CONCATENATE(AK$4,$C157),'INSER DATA'!$A:$F,7,0),"")</f>
        <v/>
      </c>
      <c r="AL157" s="270" t="str">
        <f>_xlfn.IFNA(VLOOKUP(CONCATENATE(AL$4,$C157),'INSER DATA'!$A:$F,7,0),"")</f>
        <v/>
      </c>
      <c r="AM157" s="270" t="str">
        <f>_xlfn.IFNA(VLOOKUP(CONCATENATE(AM$4,$C157),'INSER DATA'!$A:$F,7,0),"")</f>
        <v/>
      </c>
      <c r="AN157" s="270" t="str">
        <f>_xlfn.IFNA(VLOOKUP(CONCATENATE(AN$4,$C157),'INSER DATA'!$A:$F,7,0),"")</f>
        <v/>
      </c>
      <c r="AO157" s="270" t="str">
        <f>_xlfn.IFNA(VLOOKUP(CONCATENATE(AO$4,$C157),'INSER DATA'!$A:$F,7,0),"")</f>
        <v/>
      </c>
      <c r="AP157" s="270" t="str">
        <f>_xlfn.IFNA(VLOOKUP(CONCATENATE(AP$4,$C157),'INSER DATA'!$A:$F,7,0),"")</f>
        <v/>
      </c>
      <c r="AQ157" s="270" t="str">
        <f>_xlfn.IFNA(VLOOKUP(CONCATENATE(AQ$4,$C157),'INSER DATA'!$A:$F,7,0),"")</f>
        <v/>
      </c>
      <c r="AR157" s="270" t="str">
        <f>_xlfn.IFNA(VLOOKUP(CONCATENATE(AR$4,$C157),'INSER DATA'!$A:$F,7,0),"")</f>
        <v/>
      </c>
      <c r="AS157" s="270" t="str">
        <f>_xlfn.IFNA(VLOOKUP(CONCATENATE(AS$4,$C157),'INSER DATA'!$A:$F,7,0),"")</f>
        <v/>
      </c>
      <c r="AT157" s="270" t="str">
        <f>_xlfn.IFNA(VLOOKUP(CONCATENATE(AT$4,$C157),'INSER DATA'!$A:$F,7,0),"")</f>
        <v/>
      </c>
      <c r="AU157" s="270" t="str">
        <f>_xlfn.IFNA(VLOOKUP(CONCATENATE(AU$4,$C157),'INSER DATA'!$A:$F,7,0),"")</f>
        <v/>
      </c>
      <c r="AV157" s="270" t="str">
        <f>_xlfn.IFNA(VLOOKUP(CONCATENATE(AV$4,$C157),'INSER DATA'!$A:$F,7,0),"")</f>
        <v/>
      </c>
      <c r="AW157" s="270" t="str">
        <f>_xlfn.IFNA(VLOOKUP(CONCATENATE(AW$4,$C157),'INSER DATA'!$A:$F,7,0),"")</f>
        <v/>
      </c>
      <c r="AX157" s="270" t="str">
        <f>_xlfn.IFNA(VLOOKUP(CONCATENATE(AX$4,$C157),'INSER DATA'!$A:$F,7,0),"")</f>
        <v/>
      </c>
      <c r="AY157" s="270" t="str">
        <f>_xlfn.IFNA(VLOOKUP(CONCATENATE(AY$4,$C157),'INSER DATA'!$A:$F,7,0),"")</f>
        <v/>
      </c>
      <c r="AZ157" s="270" t="str">
        <f>_xlfn.IFNA(VLOOKUP(CONCATENATE(AZ$4,$C157),'INSER DATA'!$A:$F,7,0),"")</f>
        <v/>
      </c>
      <c r="BA157" s="270" t="str">
        <f>_xlfn.IFNA(VLOOKUP(CONCATENATE(BA$4,$C157),'INSER DATA'!$A:$F,7,0),"")</f>
        <v/>
      </c>
      <c r="BB157" s="270" t="str">
        <f>_xlfn.IFNA(VLOOKUP(CONCATENATE(BB$4,$C157),'INSER DATA'!$A:$F,7,0),"")</f>
        <v/>
      </c>
      <c r="BC157" s="270" t="str">
        <f>_xlfn.IFNA(VLOOKUP(CONCATENATE(BC$4,$C157),'INSER DATA'!$A:$F,7,0),"")</f>
        <v/>
      </c>
      <c r="BD157" s="270" t="str">
        <f>_xlfn.IFNA(VLOOKUP(CONCATENATE(BD$4,$C157),'INSER DATA'!$A:$F,7,0),"")</f>
        <v/>
      </c>
      <c r="BE157" s="270" t="str">
        <f>_xlfn.IFNA(VLOOKUP(CONCATENATE(BE$4,$C157),'INSER DATA'!$A:$F,7,0),"")</f>
        <v/>
      </c>
      <c r="BF157" s="270" t="str">
        <f>_xlfn.IFNA(VLOOKUP(CONCATENATE(BF$4,$C157),'INSER DATA'!$A:$F,7,0),"")</f>
        <v/>
      </c>
      <c r="BG157" s="270" t="str">
        <f>_xlfn.IFNA(VLOOKUP(CONCATENATE(BG$4,$C157),'INSER DATA'!$A:$F,7,0),"")</f>
        <v/>
      </c>
      <c r="BH157" s="270" t="str">
        <f>_xlfn.IFNA(VLOOKUP(CONCATENATE(BH$4,$C157),'INSER DATA'!$A:$F,7,0),"")</f>
        <v/>
      </c>
      <c r="BI157" s="270" t="str">
        <f>_xlfn.IFNA(VLOOKUP(CONCATENATE(BI$4,$C157),'INSER DATA'!$A:$F,7,0),"")</f>
        <v/>
      </c>
      <c r="BJ157" s="270" t="str">
        <f>_xlfn.IFNA(VLOOKUP(CONCATENATE(BJ$4,$C157),'INSER DATA'!$A:$F,7,0),"")</f>
        <v/>
      </c>
      <c r="BK157" s="270" t="str">
        <f>_xlfn.IFNA(VLOOKUP(CONCATENATE(BK$4,$C157),'INSER DATA'!$A:$F,7,0),"")</f>
        <v/>
      </c>
      <c r="BL157" s="272"/>
      <c r="BM157" s="30"/>
      <c r="BN157" s="30"/>
      <c r="BO157" s="30"/>
      <c r="BP157" s="30"/>
      <c r="BQ157" s="30"/>
      <c r="BR157" s="30"/>
      <c r="BS157" s="30"/>
      <c r="BT157" s="30"/>
      <c r="BU157" s="30"/>
      <c r="BV157" s="30"/>
      <c r="BW157" s="30"/>
      <c r="BX157" s="30"/>
      <c r="BY157" s="30"/>
      <c r="BZ157" s="30"/>
      <c r="CA157" s="30"/>
      <c r="CB157" s="30"/>
      <c r="CC157" s="30"/>
      <c r="CD157" s="30"/>
      <c r="CE157" s="30"/>
      <c r="CF157" s="30"/>
      <c r="CG157" s="30"/>
      <c r="CH157" s="30"/>
      <c r="CI157" s="30"/>
      <c r="CJ157" s="30"/>
      <c r="CK157" s="30"/>
      <c r="CL157" s="30"/>
      <c r="CM157" s="30"/>
      <c r="CN157" s="30"/>
      <c r="CO157" s="30"/>
      <c r="CP157" s="30"/>
      <c r="CQ157" s="30"/>
      <c r="CR157" s="30"/>
      <c r="CS157" s="30"/>
      <c r="CT157" s="30"/>
      <c r="CU157" s="30"/>
      <c r="CV157" s="30"/>
      <c r="CW157" s="30"/>
      <c r="CX157" s="30"/>
      <c r="CY157" s="30"/>
      <c r="CZ157" s="30"/>
      <c r="DA157" s="30"/>
    </row>
    <row r="158" spans="1:105" ht="19.2" thickTop="1" thickBot="1" x14ac:dyDescent="0.4">
      <c r="A158" s="30"/>
      <c r="B158" s="30"/>
      <c r="C158" s="188" t="s">
        <v>746</v>
      </c>
      <c r="D158" s="46" t="s">
        <v>721</v>
      </c>
      <c r="E158" s="35" t="str">
        <f>_xlfn.XLOOKUP(Tabella4[[#This Row],[NOME]],'ROSE SQUADRE'!$N$3:$N$253,'ROSE SQUADRE'!$O$3:$O$253,"")</f>
        <v/>
      </c>
      <c r="F158" s="36" t="s">
        <v>163</v>
      </c>
      <c r="G158" s="43">
        <v>9</v>
      </c>
      <c r="H158" s="43">
        <v>9</v>
      </c>
      <c r="I158" s="44">
        <f t="shared" si="13"/>
        <v>0</v>
      </c>
      <c r="J158" s="37">
        <f t="shared" si="14"/>
        <v>2</v>
      </c>
      <c r="K158" s="38">
        <f t="shared" si="15"/>
        <v>6.25</v>
      </c>
      <c r="L158" s="38">
        <f t="shared" si="16"/>
        <v>6.25</v>
      </c>
      <c r="M158" s="39">
        <f t="shared" si="17"/>
        <v>12.5</v>
      </c>
      <c r="N158" s="45">
        <f t="shared" ca="1" si="18"/>
        <v>0</v>
      </c>
      <c r="O158" s="40">
        <f>SUMIF(Tabella1[Nome],Tabella4[[#This Row],[NOME]],Tabella1[Gf])</f>
        <v>0</v>
      </c>
      <c r="P158" s="40">
        <f>-(SUMIF(Tabella1[Nome],Tabella4[[#This Row],[NOME]],Tabella1[Gs]))</f>
        <v>0</v>
      </c>
      <c r="Q158" s="40">
        <f>SUMIF(Tabella1[Nome],Tabella4[[#This Row],[NOME]],Tabella1[Rp])</f>
        <v>0</v>
      </c>
      <c r="R158" s="40">
        <f>SUMIF(Tabella1[Nome],Tabella4[[#This Row],[NOME]],Tabella1[Rs])</f>
        <v>0</v>
      </c>
      <c r="S158" s="40">
        <f>SUMIF(Tabella1[Nome],Tabella4[[#This Row],[NOME]],Tabella1[Rf])</f>
        <v>0</v>
      </c>
      <c r="T158" s="40">
        <f>SUMIF(Tabella1[Nome],Tabella4[[#This Row],[NOME]],Tabella1[Au])</f>
        <v>0</v>
      </c>
      <c r="U158" s="41">
        <f>SUMIF(Tabella1[Nome],Tabella4[[#This Row],[NOME]],Tabella1[Amm])</f>
        <v>0</v>
      </c>
      <c r="V158" s="42">
        <f>SUMIF(Tabella1[Nome],Tabella4[[#This Row],[NOME]],Tabella1[Esp])</f>
        <v>0</v>
      </c>
      <c r="W158" s="40">
        <f>SUMIF(Tabella1[Nome],Tabella4[[#This Row],[NOME]],Tabella1[Ass])</f>
        <v>0</v>
      </c>
      <c r="X158" s="40">
        <f>SUMIF(Tabella1[Nome],Tabella4[[#This Row],[NOME]],Tabella1[Gdv])</f>
        <v>0</v>
      </c>
      <c r="Y158" s="40">
        <f>SUMIF(Tabella1[Nome],Tabella4[[#This Row],[NOME]],Tabella1[cl sh])</f>
        <v>0</v>
      </c>
      <c r="Z158" s="270" t="str">
        <f>_xlfn.IFNA(_xlfn.XLOOKUP(CONCATENATE(Z$4,$C158),Tabella1[CONC X VOTI IN TAB GIOC],Tabella1[Voto],""),"")</f>
        <v/>
      </c>
      <c r="AA158" s="270" t="str">
        <f>_xlfn.IFNA(_xlfn.XLOOKUP(CONCATENATE(AA$4,$C158),Tabella1[CONC X VOTI IN TAB GIOC],Tabella1[Voto],""),"")</f>
        <v/>
      </c>
      <c r="AB158" s="270">
        <f>_xlfn.IFNA(_xlfn.XLOOKUP(CONCATENATE(AB$4,$C158),Tabella1[CONC X VOTI IN TAB GIOC],Tabella1[Voto]),"")</f>
        <v>6</v>
      </c>
      <c r="AC158" s="270" cm="1">
        <f t="array" ref="AC158">_xlfn.IFNA(_xlfn.XLOOKUP(CONCATENATE(AC$4,$C158),INDEX(Tabella1[],0,MATCH("CONC X VOTI IN TAB GIOC",Tabella1[#Headers],0)),INDEX(Tabella1[],0,MATCH("Voto",Tabella1[#Headers],0))),"")</f>
        <v>6.5</v>
      </c>
      <c r="AD158" s="270" t="str">
        <f>_xlfn.IFNA(_xlfn.XLOOKUP(CONCATENATE(AD$4,$C158),Tabella1[CONC X VOTI IN TAB GIOC],Tabella1[Voto]),"")</f>
        <v/>
      </c>
      <c r="AE158" s="270" t="str">
        <f>_xlfn.IFNA(VLOOKUP(CONCATENATE(AE$4,$C158),'INSER DATA'!$A:$F,6,0),"")</f>
        <v/>
      </c>
      <c r="AF158" s="270" t="str">
        <f>_xlfn.IFNA(VLOOKUP(CONCATENATE(AF$4,$C158),'INSER DATA'!$A:$F,6,0),"")</f>
        <v/>
      </c>
      <c r="AG158" s="270" t="str">
        <f>_xlfn.IFNA(VLOOKUP(CONCATENATE(AG$4,$C158),'INSER DATA'!$A:$F,6,0),"")</f>
        <v/>
      </c>
      <c r="AH158" s="270" t="str">
        <f>_xlfn.IFNA(VLOOKUP(CONCATENATE(AH$4,$C158),'INSER DATA'!$A:$F,7,0),"")</f>
        <v/>
      </c>
      <c r="AI158" s="270" t="str">
        <f>_xlfn.IFNA(VLOOKUP(CONCATENATE(AI$4,$C158),'INSER DATA'!$A:$F,7,0),"")</f>
        <v/>
      </c>
      <c r="AJ158" s="270" t="str">
        <f>_xlfn.IFNA(VLOOKUP(CONCATENATE(AJ$4,$C158),'INSER DATA'!$A:$F,7,0),"")</f>
        <v/>
      </c>
      <c r="AK158" s="270" t="str">
        <f>_xlfn.IFNA(VLOOKUP(CONCATENATE(AK$4,$C158),'INSER DATA'!$A:$F,7,0),"")</f>
        <v/>
      </c>
      <c r="AL158" s="270" t="str">
        <f>_xlfn.IFNA(VLOOKUP(CONCATENATE(AL$4,$C158),'INSER DATA'!$A:$F,7,0),"")</f>
        <v/>
      </c>
      <c r="AM158" s="270" t="str">
        <f>_xlfn.IFNA(VLOOKUP(CONCATENATE(AM$4,$C158),'INSER DATA'!$A:$F,7,0),"")</f>
        <v/>
      </c>
      <c r="AN158" s="270" t="str">
        <f>_xlfn.IFNA(VLOOKUP(CONCATENATE(AN$4,$C158),'INSER DATA'!$A:$F,7,0),"")</f>
        <v/>
      </c>
      <c r="AO158" s="270" t="str">
        <f>_xlfn.IFNA(VLOOKUP(CONCATENATE(AO$4,$C158),'INSER DATA'!$A:$F,7,0),"")</f>
        <v/>
      </c>
      <c r="AP158" s="270" t="str">
        <f>_xlfn.IFNA(VLOOKUP(CONCATENATE(AP$4,$C158),'INSER DATA'!$A:$F,7,0),"")</f>
        <v/>
      </c>
      <c r="AQ158" s="270" t="str">
        <f>_xlfn.IFNA(VLOOKUP(CONCATENATE(AQ$4,$C158),'INSER DATA'!$A:$F,7,0),"")</f>
        <v/>
      </c>
      <c r="AR158" s="270" t="str">
        <f>_xlfn.IFNA(VLOOKUP(CONCATENATE(AR$4,$C158),'INSER DATA'!$A:$F,7,0),"")</f>
        <v/>
      </c>
      <c r="AS158" s="270" t="str">
        <f>_xlfn.IFNA(VLOOKUP(CONCATENATE(AS$4,$C158),'INSER DATA'!$A:$F,7,0),"")</f>
        <v/>
      </c>
      <c r="AT158" s="270" t="str">
        <f>_xlfn.IFNA(VLOOKUP(CONCATENATE(AT$4,$C158),'INSER DATA'!$A:$F,7,0),"")</f>
        <v/>
      </c>
      <c r="AU158" s="270" t="str">
        <f>_xlfn.IFNA(VLOOKUP(CONCATENATE(AU$4,$C158),'INSER DATA'!$A:$F,7,0),"")</f>
        <v/>
      </c>
      <c r="AV158" s="270" t="str">
        <f>_xlfn.IFNA(VLOOKUP(CONCATENATE(AV$4,$C158),'INSER DATA'!$A:$F,7,0),"")</f>
        <v/>
      </c>
      <c r="AW158" s="270" t="str">
        <f>_xlfn.IFNA(VLOOKUP(CONCATENATE(AW$4,$C158),'INSER DATA'!$A:$F,7,0),"")</f>
        <v/>
      </c>
      <c r="AX158" s="270" t="str">
        <f>_xlfn.IFNA(VLOOKUP(CONCATENATE(AX$4,$C158),'INSER DATA'!$A:$F,7,0),"")</f>
        <v/>
      </c>
      <c r="AY158" s="270" t="str">
        <f>_xlfn.IFNA(VLOOKUP(CONCATENATE(AY$4,$C158),'INSER DATA'!$A:$F,7,0),"")</f>
        <v/>
      </c>
      <c r="AZ158" s="270" t="str">
        <f>_xlfn.IFNA(VLOOKUP(CONCATENATE(AZ$4,$C158),'INSER DATA'!$A:$F,7,0),"")</f>
        <v/>
      </c>
      <c r="BA158" s="270" t="str">
        <f>_xlfn.IFNA(VLOOKUP(CONCATENATE(BA$4,$C158),'INSER DATA'!$A:$F,7,0),"")</f>
        <v/>
      </c>
      <c r="BB158" s="270" t="str">
        <f>_xlfn.IFNA(VLOOKUP(CONCATENATE(BB$4,$C158),'INSER DATA'!$A:$F,7,0),"")</f>
        <v/>
      </c>
      <c r="BC158" s="270" t="str">
        <f>_xlfn.IFNA(VLOOKUP(CONCATENATE(BC$4,$C158),'INSER DATA'!$A:$F,7,0),"")</f>
        <v/>
      </c>
      <c r="BD158" s="270" t="str">
        <f>_xlfn.IFNA(VLOOKUP(CONCATENATE(BD$4,$C158),'INSER DATA'!$A:$F,7,0),"")</f>
        <v/>
      </c>
      <c r="BE158" s="270" t="str">
        <f>_xlfn.IFNA(VLOOKUP(CONCATENATE(BE$4,$C158),'INSER DATA'!$A:$F,7,0),"")</f>
        <v/>
      </c>
      <c r="BF158" s="270" t="str">
        <f>_xlfn.IFNA(VLOOKUP(CONCATENATE(BF$4,$C158),'INSER DATA'!$A:$F,7,0),"")</f>
        <v/>
      </c>
      <c r="BG158" s="270" t="str">
        <f>_xlfn.IFNA(VLOOKUP(CONCATENATE(BG$4,$C158),'INSER DATA'!$A:$F,7,0),"")</f>
        <v/>
      </c>
      <c r="BH158" s="270" t="str">
        <f>_xlfn.IFNA(VLOOKUP(CONCATENATE(BH$4,$C158),'INSER DATA'!$A:$F,7,0),"")</f>
        <v/>
      </c>
      <c r="BI158" s="270" t="str">
        <f>_xlfn.IFNA(VLOOKUP(CONCATENATE(BI$4,$C158),'INSER DATA'!$A:$F,7,0),"")</f>
        <v/>
      </c>
      <c r="BJ158" s="270" t="str">
        <f>_xlfn.IFNA(VLOOKUP(CONCATENATE(BJ$4,$C158),'INSER DATA'!$A:$F,7,0),"")</f>
        <v/>
      </c>
      <c r="BK158" s="270" t="str">
        <f>_xlfn.IFNA(VLOOKUP(CONCATENATE(BK$4,$C158),'INSER DATA'!$A:$F,7,0),"")</f>
        <v/>
      </c>
      <c r="BL158" s="272"/>
      <c r="BM158" s="30"/>
      <c r="BN158" s="30"/>
      <c r="BO158" s="30"/>
      <c r="BP158" s="30"/>
      <c r="BQ158" s="30"/>
      <c r="BR158" s="30"/>
      <c r="BS158" s="30"/>
      <c r="BT158" s="30"/>
      <c r="BU158" s="30"/>
      <c r="BV158" s="30"/>
      <c r="BW158" s="30"/>
      <c r="BX158" s="30"/>
      <c r="BY158" s="30"/>
      <c r="BZ158" s="30"/>
      <c r="CA158" s="30"/>
      <c r="CB158" s="30"/>
      <c r="CC158" s="30"/>
      <c r="CD158" s="30"/>
      <c r="CE158" s="30"/>
      <c r="CF158" s="30"/>
      <c r="CG158" s="30"/>
      <c r="CH158" s="30"/>
      <c r="CI158" s="30"/>
      <c r="CJ158" s="30"/>
      <c r="CK158" s="30"/>
      <c r="CL158" s="30"/>
      <c r="CM158" s="30"/>
      <c r="CN158" s="30"/>
      <c r="CO158" s="30"/>
      <c r="CP158" s="30"/>
      <c r="CQ158" s="30"/>
      <c r="CR158" s="30"/>
      <c r="CS158" s="30"/>
      <c r="CT158" s="30"/>
      <c r="CU158" s="30"/>
      <c r="CV158" s="30"/>
      <c r="CW158" s="30"/>
      <c r="CX158" s="30"/>
      <c r="CY158" s="30"/>
      <c r="CZ158" s="30"/>
      <c r="DA158" s="30"/>
    </row>
    <row r="159" spans="1:105" ht="19.2" thickTop="1" thickBot="1" x14ac:dyDescent="0.4">
      <c r="A159" s="30"/>
      <c r="B159" s="30"/>
      <c r="C159" s="356" t="s">
        <v>756</v>
      </c>
      <c r="D159" s="357" t="s">
        <v>749</v>
      </c>
      <c r="E159" s="35" t="str">
        <f>_xlfn.XLOOKUP(Tabella4[[#This Row],[NOME]],'ROSE SQUADRE'!$N$3:$N$253,'ROSE SQUADRE'!$O$3:$O$253,"")</f>
        <v>SHARK</v>
      </c>
      <c r="F159" s="36" t="s">
        <v>161</v>
      </c>
      <c r="G159" s="43">
        <v>11</v>
      </c>
      <c r="H159" s="43">
        <v>11</v>
      </c>
      <c r="I159" s="44">
        <f t="shared" si="13"/>
        <v>0</v>
      </c>
      <c r="J159" s="37">
        <f t="shared" si="14"/>
        <v>4</v>
      </c>
      <c r="K159" s="38">
        <f t="shared" si="15"/>
        <v>5.875</v>
      </c>
      <c r="L159" s="38">
        <f t="shared" si="16"/>
        <v>5.5</v>
      </c>
      <c r="M159" s="39">
        <f t="shared" si="17"/>
        <v>22</v>
      </c>
      <c r="N159" s="45">
        <f t="shared" ca="1" si="18"/>
        <v>0</v>
      </c>
      <c r="O159" s="40">
        <f>SUMIF(Tabella1[Nome],Tabella4[[#This Row],[NOME]],Tabella1[Gf])</f>
        <v>0</v>
      </c>
      <c r="P159" s="40">
        <f>-(SUMIF(Tabella1[Nome],Tabella4[[#This Row],[NOME]],Tabella1[Gs]))</f>
        <v>0</v>
      </c>
      <c r="Q159" s="40">
        <f>SUMIF(Tabella1[Nome],Tabella4[[#This Row],[NOME]],Tabella1[Rp])</f>
        <v>0</v>
      </c>
      <c r="R159" s="40">
        <f>SUMIF(Tabella1[Nome],Tabella4[[#This Row],[NOME]],Tabella1[Rs])</f>
        <v>0</v>
      </c>
      <c r="S159" s="40">
        <f>SUMIF(Tabella1[Nome],Tabella4[[#This Row],[NOME]],Tabella1[Rf])</f>
        <v>0</v>
      </c>
      <c r="T159" s="40">
        <f>SUMIF(Tabella1[Nome],Tabella4[[#This Row],[NOME]],Tabella1[Au])</f>
        <v>0</v>
      </c>
      <c r="U159" s="41">
        <f>SUMIF(Tabella1[Nome],Tabella4[[#This Row],[NOME]],Tabella1[Amm])</f>
        <v>3</v>
      </c>
      <c r="V159" s="42">
        <f>SUMIF(Tabella1[Nome],Tabella4[[#This Row],[NOME]],Tabella1[Esp])</f>
        <v>0</v>
      </c>
      <c r="W159" s="40">
        <f>SUMIF(Tabella1[Nome],Tabella4[[#This Row],[NOME]],Tabella1[Ass])</f>
        <v>0</v>
      </c>
      <c r="X159" s="40">
        <f>SUMIF(Tabella1[Nome],Tabella4[[#This Row],[NOME]],Tabella1[Gdv])</f>
        <v>0</v>
      </c>
      <c r="Y159" s="40">
        <f>SUMIF(Tabella1[Nome],Tabella4[[#This Row],[NOME]],Tabella1[cl sh])</f>
        <v>0</v>
      </c>
      <c r="Z159" s="270">
        <f>_xlfn.IFNA(_xlfn.XLOOKUP(CONCATENATE(Z$4,$C159),Tabella1[CONC X VOTI IN TAB GIOC],Tabella1[Voto],""),"")</f>
        <v>7</v>
      </c>
      <c r="AA159" s="270">
        <f>_xlfn.IFNA(_xlfn.XLOOKUP(CONCATENATE(AA$4,$C159),Tabella1[CONC X VOTI IN TAB GIOC],Tabella1[Voto],""),"")</f>
        <v>6</v>
      </c>
      <c r="AB159" s="270">
        <f>_xlfn.IFNA(_xlfn.XLOOKUP(CONCATENATE(AB$4,$C159),Tabella1[CONC X VOTI IN TAB GIOC],Tabella1[Voto]),"")</f>
        <v>4.5</v>
      </c>
      <c r="AC159" s="270" cm="1">
        <f t="array" ref="AC159">_xlfn.IFNA(_xlfn.XLOOKUP(CONCATENATE(AC$4,$C159),INDEX(Tabella1[],0,MATCH("CONC X VOTI IN TAB GIOC",Tabella1[#Headers],0)),INDEX(Tabella1[],0,MATCH("Voto",Tabella1[#Headers],0))),"")</f>
        <v>6</v>
      </c>
      <c r="AD159" s="270" t="str">
        <f>_xlfn.IFNA(_xlfn.XLOOKUP(CONCATENATE(AD$4,$C159),Tabella1[CONC X VOTI IN TAB GIOC],Tabella1[Voto]),"")</f>
        <v/>
      </c>
      <c r="AE159" s="270" t="str">
        <f>_xlfn.IFNA(VLOOKUP(CONCATENATE(AE$4,$C159),'INSER DATA'!$A:$F,6,0),"")</f>
        <v/>
      </c>
      <c r="AF159" s="270" t="str">
        <f>_xlfn.IFNA(VLOOKUP(CONCATENATE(AF$4,$C159),'INSER DATA'!$A:$F,6,0),"")</f>
        <v/>
      </c>
      <c r="AG159" s="270" t="str">
        <f>_xlfn.IFNA(VLOOKUP(CONCATENATE(AG$4,$C159),'INSER DATA'!$A:$F,6,0),"")</f>
        <v/>
      </c>
      <c r="AH159" s="270" t="str">
        <f>_xlfn.IFNA(VLOOKUP(CONCATENATE(AH$4,$C159),'INSER DATA'!$A:$F,7,0),"")</f>
        <v/>
      </c>
      <c r="AI159" s="270" t="str">
        <f>_xlfn.IFNA(VLOOKUP(CONCATENATE(AI$4,$C159),'INSER DATA'!$A:$F,7,0),"")</f>
        <v/>
      </c>
      <c r="AJ159" s="270" t="str">
        <f>_xlfn.IFNA(VLOOKUP(CONCATENATE(AJ$4,$C159),'INSER DATA'!$A:$F,7,0),"")</f>
        <v/>
      </c>
      <c r="AK159" s="270" t="str">
        <f>_xlfn.IFNA(VLOOKUP(CONCATENATE(AK$4,$C159),'INSER DATA'!$A:$F,7,0),"")</f>
        <v/>
      </c>
      <c r="AL159" s="270" t="str">
        <f>_xlfn.IFNA(VLOOKUP(CONCATENATE(AL$4,$C159),'INSER DATA'!$A:$F,7,0),"")</f>
        <v/>
      </c>
      <c r="AM159" s="270" t="str">
        <f>_xlfn.IFNA(VLOOKUP(CONCATENATE(AM$4,$C159),'INSER DATA'!$A:$F,7,0),"")</f>
        <v/>
      </c>
      <c r="AN159" s="270" t="str">
        <f>_xlfn.IFNA(VLOOKUP(CONCATENATE(AN$4,$C159),'INSER DATA'!$A:$F,7,0),"")</f>
        <v/>
      </c>
      <c r="AO159" s="270" t="str">
        <f>_xlfn.IFNA(VLOOKUP(CONCATENATE(AO$4,$C159),'INSER DATA'!$A:$F,7,0),"")</f>
        <v/>
      </c>
      <c r="AP159" s="270" t="str">
        <f>_xlfn.IFNA(VLOOKUP(CONCATENATE(AP$4,$C159),'INSER DATA'!$A:$F,7,0),"")</f>
        <v/>
      </c>
      <c r="AQ159" s="270" t="str">
        <f>_xlfn.IFNA(VLOOKUP(CONCATENATE(AQ$4,$C159),'INSER DATA'!$A:$F,7,0),"")</f>
        <v/>
      </c>
      <c r="AR159" s="270" t="str">
        <f>_xlfn.IFNA(VLOOKUP(CONCATENATE(AR$4,$C159),'INSER DATA'!$A:$F,7,0),"")</f>
        <v/>
      </c>
      <c r="AS159" s="270" t="str">
        <f>_xlfn.IFNA(VLOOKUP(CONCATENATE(AS$4,$C159),'INSER DATA'!$A:$F,7,0),"")</f>
        <v/>
      </c>
      <c r="AT159" s="270" t="str">
        <f>_xlfn.IFNA(VLOOKUP(CONCATENATE(AT$4,$C159),'INSER DATA'!$A:$F,7,0),"")</f>
        <v/>
      </c>
      <c r="AU159" s="270" t="str">
        <f>_xlfn.IFNA(VLOOKUP(CONCATENATE(AU$4,$C159),'INSER DATA'!$A:$F,7,0),"")</f>
        <v/>
      </c>
      <c r="AV159" s="270" t="str">
        <f>_xlfn.IFNA(VLOOKUP(CONCATENATE(AV$4,$C159),'INSER DATA'!$A:$F,7,0),"")</f>
        <v/>
      </c>
      <c r="AW159" s="270" t="str">
        <f>_xlfn.IFNA(VLOOKUP(CONCATENATE(AW$4,$C159),'INSER DATA'!$A:$F,7,0),"")</f>
        <v/>
      </c>
      <c r="AX159" s="270" t="str">
        <f>_xlfn.IFNA(VLOOKUP(CONCATENATE(AX$4,$C159),'INSER DATA'!$A:$F,7,0),"")</f>
        <v/>
      </c>
      <c r="AY159" s="270" t="str">
        <f>_xlfn.IFNA(VLOOKUP(CONCATENATE(AY$4,$C159),'INSER DATA'!$A:$F,7,0),"")</f>
        <v/>
      </c>
      <c r="AZ159" s="270" t="str">
        <f>_xlfn.IFNA(VLOOKUP(CONCATENATE(AZ$4,$C159),'INSER DATA'!$A:$F,7,0),"")</f>
        <v/>
      </c>
      <c r="BA159" s="270" t="str">
        <f>_xlfn.IFNA(VLOOKUP(CONCATENATE(BA$4,$C159),'INSER DATA'!$A:$F,7,0),"")</f>
        <v/>
      </c>
      <c r="BB159" s="270" t="str">
        <f>_xlfn.IFNA(VLOOKUP(CONCATENATE(BB$4,$C159),'INSER DATA'!$A:$F,7,0),"")</f>
        <v/>
      </c>
      <c r="BC159" s="270" t="str">
        <f>_xlfn.IFNA(VLOOKUP(CONCATENATE(BC$4,$C159),'INSER DATA'!$A:$F,7,0),"")</f>
        <v/>
      </c>
      <c r="BD159" s="270" t="str">
        <f>_xlfn.IFNA(VLOOKUP(CONCATENATE(BD$4,$C159),'INSER DATA'!$A:$F,7,0),"")</f>
        <v/>
      </c>
      <c r="BE159" s="270" t="str">
        <f>_xlfn.IFNA(VLOOKUP(CONCATENATE(BE$4,$C159),'INSER DATA'!$A:$F,7,0),"")</f>
        <v/>
      </c>
      <c r="BF159" s="270" t="str">
        <f>_xlfn.IFNA(VLOOKUP(CONCATENATE(BF$4,$C159),'INSER DATA'!$A:$F,7,0),"")</f>
        <v/>
      </c>
      <c r="BG159" s="270" t="str">
        <f>_xlfn.IFNA(VLOOKUP(CONCATENATE(BG$4,$C159),'INSER DATA'!$A:$F,7,0),"")</f>
        <v/>
      </c>
      <c r="BH159" s="270" t="str">
        <f>_xlfn.IFNA(VLOOKUP(CONCATENATE(BH$4,$C159),'INSER DATA'!$A:$F,7,0),"")</f>
        <v/>
      </c>
      <c r="BI159" s="270" t="str">
        <f>_xlfn.IFNA(VLOOKUP(CONCATENATE(BI$4,$C159),'INSER DATA'!$A:$F,7,0),"")</f>
        <v/>
      </c>
      <c r="BJ159" s="270" t="str">
        <f>_xlfn.IFNA(VLOOKUP(CONCATENATE(BJ$4,$C159),'INSER DATA'!$A:$F,7,0),"")</f>
        <v/>
      </c>
      <c r="BK159" s="270" t="str">
        <f>_xlfn.IFNA(VLOOKUP(CONCATENATE(BK$4,$C159),'INSER DATA'!$A:$F,7,0),"")</f>
        <v/>
      </c>
      <c r="BL159" s="272"/>
      <c r="BM159" s="30"/>
      <c r="BN159" s="30"/>
      <c r="BO159" s="30"/>
      <c r="BP159" s="30"/>
      <c r="BQ159" s="30"/>
      <c r="BR159" s="30"/>
      <c r="BS159" s="30"/>
      <c r="BT159" s="30"/>
      <c r="BU159" s="30"/>
      <c r="BV159" s="30"/>
      <c r="BW159" s="30"/>
      <c r="BX159" s="30"/>
      <c r="BY159" s="30"/>
      <c r="BZ159" s="30"/>
      <c r="CA159" s="30"/>
      <c r="CB159" s="30"/>
      <c r="CC159" s="30"/>
      <c r="CD159" s="30"/>
      <c r="CE159" s="30"/>
      <c r="CF159" s="30"/>
      <c r="CG159" s="30"/>
      <c r="CH159" s="30"/>
      <c r="CI159" s="30"/>
      <c r="CJ159" s="30"/>
      <c r="CK159" s="30"/>
      <c r="CL159" s="30"/>
      <c r="CM159" s="30"/>
      <c r="CN159" s="30"/>
      <c r="CO159" s="30"/>
      <c r="CP159" s="30"/>
      <c r="CQ159" s="30"/>
      <c r="CR159" s="30"/>
      <c r="CS159" s="30"/>
      <c r="CT159" s="30"/>
      <c r="CU159" s="30"/>
      <c r="CV159" s="30"/>
      <c r="CW159" s="30"/>
      <c r="CX159" s="30"/>
      <c r="CY159" s="30"/>
      <c r="CZ159" s="30"/>
      <c r="DA159" s="30"/>
    </row>
    <row r="160" spans="1:105" ht="19.2" thickTop="1" thickBot="1" x14ac:dyDescent="0.4">
      <c r="A160" s="30"/>
      <c r="B160" s="30"/>
      <c r="C160" s="188" t="s">
        <v>759</v>
      </c>
      <c r="D160" s="46" t="s">
        <v>749</v>
      </c>
      <c r="E160" s="35" t="str">
        <f>_xlfn.XLOOKUP(Tabella4[[#This Row],[NOME]],'ROSE SQUADRE'!$N$3:$N$253,'ROSE SQUADRE'!$O$3:$O$253,"")</f>
        <v/>
      </c>
      <c r="F160" s="36" t="s">
        <v>162</v>
      </c>
      <c r="G160" s="43">
        <v>4</v>
      </c>
      <c r="H160" s="43">
        <v>5</v>
      </c>
      <c r="I160" s="44">
        <f t="shared" si="13"/>
        <v>1</v>
      </c>
      <c r="J160" s="37">
        <f t="shared" si="14"/>
        <v>2</v>
      </c>
      <c r="K160" s="38">
        <f t="shared" si="15"/>
        <v>6</v>
      </c>
      <c r="L160" s="38">
        <f t="shared" si="16"/>
        <v>6</v>
      </c>
      <c r="M160" s="39">
        <f t="shared" si="17"/>
        <v>12</v>
      </c>
      <c r="N160" s="45">
        <f t="shared" ca="1" si="18"/>
        <v>0</v>
      </c>
      <c r="O160" s="40">
        <f>SUMIF(Tabella1[Nome],Tabella4[[#This Row],[NOME]],Tabella1[Gf])</f>
        <v>0</v>
      </c>
      <c r="P160" s="40">
        <f>-(SUMIF(Tabella1[Nome],Tabella4[[#This Row],[NOME]],Tabella1[Gs]))</f>
        <v>0</v>
      </c>
      <c r="Q160" s="40">
        <f>SUMIF(Tabella1[Nome],Tabella4[[#This Row],[NOME]],Tabella1[Rp])</f>
        <v>0</v>
      </c>
      <c r="R160" s="40">
        <f>SUMIF(Tabella1[Nome],Tabella4[[#This Row],[NOME]],Tabella1[Rs])</f>
        <v>0</v>
      </c>
      <c r="S160" s="40">
        <f>SUMIF(Tabella1[Nome],Tabella4[[#This Row],[NOME]],Tabella1[Rf])</f>
        <v>0</v>
      </c>
      <c r="T160" s="40">
        <f>SUMIF(Tabella1[Nome],Tabella4[[#This Row],[NOME]],Tabella1[Au])</f>
        <v>0</v>
      </c>
      <c r="U160" s="41">
        <f>SUMIF(Tabella1[Nome],Tabella4[[#This Row],[NOME]],Tabella1[Amm])</f>
        <v>0</v>
      </c>
      <c r="V160" s="42">
        <f>SUMIF(Tabella1[Nome],Tabella4[[#This Row],[NOME]],Tabella1[Esp])</f>
        <v>0</v>
      </c>
      <c r="W160" s="40">
        <f>SUMIF(Tabella1[Nome],Tabella4[[#This Row],[NOME]],Tabella1[Ass])</f>
        <v>0</v>
      </c>
      <c r="X160" s="40">
        <f>SUMIF(Tabella1[Nome],Tabella4[[#This Row],[NOME]],Tabella1[Gdv])</f>
        <v>0</v>
      </c>
      <c r="Y160" s="40">
        <f>SUMIF(Tabella1[Nome],Tabella4[[#This Row],[NOME]],Tabella1[cl sh])</f>
        <v>0</v>
      </c>
      <c r="Z160" s="270">
        <f>_xlfn.IFNA(_xlfn.XLOOKUP(CONCATENATE(Z$4,$C160),Tabella1[CONC X VOTI IN TAB GIOC],Tabella1[Voto],""),"")</f>
        <v>6.5</v>
      </c>
      <c r="AA160" s="270" t="str">
        <f>_xlfn.IFNA(_xlfn.XLOOKUP(CONCATENATE(AA$4,$C160),Tabella1[CONC X VOTI IN TAB GIOC],Tabella1[Voto],""),"")</f>
        <v/>
      </c>
      <c r="AB160" s="270">
        <f>_xlfn.IFNA(_xlfn.XLOOKUP(CONCATENATE(AB$4,$C160),Tabella1[CONC X VOTI IN TAB GIOC],Tabella1[Voto]),"")</f>
        <v>5.5</v>
      </c>
      <c r="AC160" s="270" t="str" cm="1">
        <f t="array" ref="AC160">_xlfn.IFNA(_xlfn.XLOOKUP(CONCATENATE(AC$4,$C160),INDEX(Tabella1[],0,MATCH("CONC X VOTI IN TAB GIOC",Tabella1[#Headers],0)),INDEX(Tabella1[],0,MATCH("Voto",Tabella1[#Headers],0))),"")</f>
        <v/>
      </c>
      <c r="AD160" s="270" t="str">
        <f>_xlfn.IFNA(_xlfn.XLOOKUP(CONCATENATE(AD$4,$C160),Tabella1[CONC X VOTI IN TAB GIOC],Tabella1[Voto]),"")</f>
        <v/>
      </c>
      <c r="AE160" s="270" t="str">
        <f>_xlfn.IFNA(VLOOKUP(CONCATENATE(AE$4,$C160),'INSER DATA'!$A:$F,6,0),"")</f>
        <v/>
      </c>
      <c r="AF160" s="270" t="str">
        <f>_xlfn.IFNA(VLOOKUP(CONCATENATE(AF$4,$C160),'INSER DATA'!$A:$F,6,0),"")</f>
        <v/>
      </c>
      <c r="AG160" s="270" t="str">
        <f>_xlfn.IFNA(VLOOKUP(CONCATENATE(AG$4,$C160),'INSER DATA'!$A:$F,6,0),"")</f>
        <v/>
      </c>
      <c r="AH160" s="270" t="str">
        <f>_xlfn.IFNA(VLOOKUP(CONCATENATE(AH$4,$C160),'INSER DATA'!$A:$F,7,0),"")</f>
        <v/>
      </c>
      <c r="AI160" s="270" t="str">
        <f>_xlfn.IFNA(VLOOKUP(CONCATENATE(AI$4,$C160),'INSER DATA'!$A:$F,7,0),"")</f>
        <v/>
      </c>
      <c r="AJ160" s="270" t="str">
        <f>_xlfn.IFNA(VLOOKUP(CONCATENATE(AJ$4,$C160),'INSER DATA'!$A:$F,7,0),"")</f>
        <v/>
      </c>
      <c r="AK160" s="270" t="str">
        <f>_xlfn.IFNA(VLOOKUP(CONCATENATE(AK$4,$C160),'INSER DATA'!$A:$F,7,0),"")</f>
        <v/>
      </c>
      <c r="AL160" s="270" t="str">
        <f>_xlfn.IFNA(VLOOKUP(CONCATENATE(AL$4,$C160),'INSER DATA'!$A:$F,7,0),"")</f>
        <v/>
      </c>
      <c r="AM160" s="270" t="str">
        <f>_xlfn.IFNA(VLOOKUP(CONCATENATE(AM$4,$C160),'INSER DATA'!$A:$F,7,0),"")</f>
        <v/>
      </c>
      <c r="AN160" s="270" t="str">
        <f>_xlfn.IFNA(VLOOKUP(CONCATENATE(AN$4,$C160),'INSER DATA'!$A:$F,7,0),"")</f>
        <v/>
      </c>
      <c r="AO160" s="270" t="str">
        <f>_xlfn.IFNA(VLOOKUP(CONCATENATE(AO$4,$C160),'INSER DATA'!$A:$F,7,0),"")</f>
        <v/>
      </c>
      <c r="AP160" s="270" t="str">
        <f>_xlfn.IFNA(VLOOKUP(CONCATENATE(AP$4,$C160),'INSER DATA'!$A:$F,7,0),"")</f>
        <v/>
      </c>
      <c r="AQ160" s="270" t="str">
        <f>_xlfn.IFNA(VLOOKUP(CONCATENATE(AQ$4,$C160),'INSER DATA'!$A:$F,7,0),"")</f>
        <v/>
      </c>
      <c r="AR160" s="270" t="str">
        <f>_xlfn.IFNA(VLOOKUP(CONCATENATE(AR$4,$C160),'INSER DATA'!$A:$F,7,0),"")</f>
        <v/>
      </c>
      <c r="AS160" s="270" t="str">
        <f>_xlfn.IFNA(VLOOKUP(CONCATENATE(AS$4,$C160),'INSER DATA'!$A:$F,7,0),"")</f>
        <v/>
      </c>
      <c r="AT160" s="270" t="str">
        <f>_xlfn.IFNA(VLOOKUP(CONCATENATE(AT$4,$C160),'INSER DATA'!$A:$F,7,0),"")</f>
        <v/>
      </c>
      <c r="AU160" s="270" t="str">
        <f>_xlfn.IFNA(VLOOKUP(CONCATENATE(AU$4,$C160),'INSER DATA'!$A:$F,7,0),"")</f>
        <v/>
      </c>
      <c r="AV160" s="270" t="str">
        <f>_xlfn.IFNA(VLOOKUP(CONCATENATE(AV$4,$C160),'INSER DATA'!$A:$F,7,0),"")</f>
        <v/>
      </c>
      <c r="AW160" s="270" t="str">
        <f>_xlfn.IFNA(VLOOKUP(CONCATENATE(AW$4,$C160),'INSER DATA'!$A:$F,7,0),"")</f>
        <v/>
      </c>
      <c r="AX160" s="270" t="str">
        <f>_xlfn.IFNA(VLOOKUP(CONCATENATE(AX$4,$C160),'INSER DATA'!$A:$F,7,0),"")</f>
        <v/>
      </c>
      <c r="AY160" s="270" t="str">
        <f>_xlfn.IFNA(VLOOKUP(CONCATENATE(AY$4,$C160),'INSER DATA'!$A:$F,7,0),"")</f>
        <v/>
      </c>
      <c r="AZ160" s="270" t="str">
        <f>_xlfn.IFNA(VLOOKUP(CONCATENATE(AZ$4,$C160),'INSER DATA'!$A:$F,7,0),"")</f>
        <v/>
      </c>
      <c r="BA160" s="270" t="str">
        <f>_xlfn.IFNA(VLOOKUP(CONCATENATE(BA$4,$C160),'INSER DATA'!$A:$F,7,0),"")</f>
        <v/>
      </c>
      <c r="BB160" s="270" t="str">
        <f>_xlfn.IFNA(VLOOKUP(CONCATENATE(BB$4,$C160),'INSER DATA'!$A:$F,7,0),"")</f>
        <v/>
      </c>
      <c r="BC160" s="270" t="str">
        <f>_xlfn.IFNA(VLOOKUP(CONCATENATE(BC$4,$C160),'INSER DATA'!$A:$F,7,0),"")</f>
        <v/>
      </c>
      <c r="BD160" s="270" t="str">
        <f>_xlfn.IFNA(VLOOKUP(CONCATENATE(BD$4,$C160),'INSER DATA'!$A:$F,7,0),"")</f>
        <v/>
      </c>
      <c r="BE160" s="270" t="str">
        <f>_xlfn.IFNA(VLOOKUP(CONCATENATE(BE$4,$C160),'INSER DATA'!$A:$F,7,0),"")</f>
        <v/>
      </c>
      <c r="BF160" s="270" t="str">
        <f>_xlfn.IFNA(VLOOKUP(CONCATENATE(BF$4,$C160),'INSER DATA'!$A:$F,7,0),"")</f>
        <v/>
      </c>
      <c r="BG160" s="270" t="str">
        <f>_xlfn.IFNA(VLOOKUP(CONCATENATE(BG$4,$C160),'INSER DATA'!$A:$F,7,0),"")</f>
        <v/>
      </c>
      <c r="BH160" s="270" t="str">
        <f>_xlfn.IFNA(VLOOKUP(CONCATENATE(BH$4,$C160),'INSER DATA'!$A:$F,7,0),"")</f>
        <v/>
      </c>
      <c r="BI160" s="270" t="str">
        <f>_xlfn.IFNA(VLOOKUP(CONCATENATE(BI$4,$C160),'INSER DATA'!$A:$F,7,0),"")</f>
        <v/>
      </c>
      <c r="BJ160" s="270" t="str">
        <f>_xlfn.IFNA(VLOOKUP(CONCATENATE(BJ$4,$C160),'INSER DATA'!$A:$F,7,0),"")</f>
        <v/>
      </c>
      <c r="BK160" s="270" t="str">
        <f>_xlfn.IFNA(VLOOKUP(CONCATENATE(BK$4,$C160),'INSER DATA'!$A:$F,7,0),"")</f>
        <v/>
      </c>
      <c r="BL160" s="272"/>
      <c r="BM160" s="30"/>
      <c r="BN160" s="30"/>
      <c r="BO160" s="30"/>
      <c r="BP160" s="30"/>
      <c r="BQ160" s="30"/>
      <c r="BR160" s="30"/>
      <c r="BS160" s="30"/>
      <c r="BT160" s="30"/>
      <c r="BU160" s="30"/>
      <c r="BV160" s="30"/>
      <c r="BW160" s="30"/>
      <c r="BX160" s="30"/>
      <c r="BY160" s="30"/>
      <c r="BZ160" s="30"/>
      <c r="CA160" s="30"/>
      <c r="CB160" s="30"/>
      <c r="CC160" s="30"/>
      <c r="CD160" s="30"/>
      <c r="CE160" s="30"/>
      <c r="CF160" s="30"/>
      <c r="CG160" s="30"/>
      <c r="CH160" s="30"/>
      <c r="CI160" s="30"/>
      <c r="CJ160" s="30"/>
      <c r="CK160" s="30"/>
      <c r="CL160" s="30"/>
      <c r="CM160" s="30"/>
      <c r="CN160" s="30"/>
      <c r="CO160" s="30"/>
      <c r="CP160" s="30"/>
      <c r="CQ160" s="30"/>
      <c r="CR160" s="30"/>
      <c r="CS160" s="30"/>
      <c r="CT160" s="30"/>
      <c r="CU160" s="30"/>
      <c r="CV160" s="30"/>
      <c r="CW160" s="30"/>
      <c r="CX160" s="30"/>
      <c r="CY160" s="30"/>
      <c r="CZ160" s="30"/>
      <c r="DA160" s="30"/>
    </row>
    <row r="161" spans="1:105" ht="19.2" thickTop="1" thickBot="1" x14ac:dyDescent="0.4">
      <c r="A161" s="30"/>
      <c r="B161" s="30"/>
      <c r="C161" s="356" t="s">
        <v>448</v>
      </c>
      <c r="D161" s="357" t="s">
        <v>749</v>
      </c>
      <c r="E161" s="35" t="str">
        <f>_xlfn.XLOOKUP(Tabella4[[#This Row],[NOME]],'ROSE SQUADRE'!$N$3:$N$253,'ROSE SQUADRE'!$O$3:$O$253,"")</f>
        <v>SAN GRIA</v>
      </c>
      <c r="F161" s="36" t="s">
        <v>162</v>
      </c>
      <c r="G161" s="43">
        <v>7</v>
      </c>
      <c r="H161" s="43">
        <v>7</v>
      </c>
      <c r="I161" s="44">
        <f t="shared" si="13"/>
        <v>0</v>
      </c>
      <c r="J161" s="37">
        <f t="shared" si="14"/>
        <v>4</v>
      </c>
      <c r="K161" s="38">
        <f t="shared" si="15"/>
        <v>5.625</v>
      </c>
      <c r="L161" s="38">
        <f t="shared" si="16"/>
        <v>5.625</v>
      </c>
      <c r="M161" s="39">
        <f t="shared" si="17"/>
        <v>22.5</v>
      </c>
      <c r="N161" s="45">
        <f t="shared" ca="1" si="18"/>
        <v>0</v>
      </c>
      <c r="O161" s="40">
        <f>SUMIF(Tabella1[Nome],Tabella4[[#This Row],[NOME]],Tabella1[Gf])</f>
        <v>0</v>
      </c>
      <c r="P161" s="40">
        <f>-(SUMIF(Tabella1[Nome],Tabella4[[#This Row],[NOME]],Tabella1[Gs]))</f>
        <v>0</v>
      </c>
      <c r="Q161" s="40">
        <f>SUMIF(Tabella1[Nome],Tabella4[[#This Row],[NOME]],Tabella1[Rp])</f>
        <v>0</v>
      </c>
      <c r="R161" s="40">
        <f>SUMIF(Tabella1[Nome],Tabella4[[#This Row],[NOME]],Tabella1[Rs])</f>
        <v>0</v>
      </c>
      <c r="S161" s="40">
        <f>SUMIF(Tabella1[Nome],Tabella4[[#This Row],[NOME]],Tabella1[Rf])</f>
        <v>0</v>
      </c>
      <c r="T161" s="40">
        <f>SUMIF(Tabella1[Nome],Tabella4[[#This Row],[NOME]],Tabella1[Au])</f>
        <v>0</v>
      </c>
      <c r="U161" s="41">
        <f>SUMIF(Tabella1[Nome],Tabella4[[#This Row],[NOME]],Tabella1[Amm])</f>
        <v>0</v>
      </c>
      <c r="V161" s="42">
        <f>SUMIF(Tabella1[Nome],Tabella4[[#This Row],[NOME]],Tabella1[Esp])</f>
        <v>0</v>
      </c>
      <c r="W161" s="40">
        <f>SUMIF(Tabella1[Nome],Tabella4[[#This Row],[NOME]],Tabella1[Ass])</f>
        <v>0</v>
      </c>
      <c r="X161" s="40">
        <f>SUMIF(Tabella1[Nome],Tabella4[[#This Row],[NOME]],Tabella1[Gdv])</f>
        <v>0</v>
      </c>
      <c r="Y161" s="40">
        <f>SUMIF(Tabella1[Nome],Tabella4[[#This Row],[NOME]],Tabella1[cl sh])</f>
        <v>0</v>
      </c>
      <c r="Z161" s="270">
        <f>_xlfn.IFNA(_xlfn.XLOOKUP(CONCATENATE(Z$4,$C161),Tabella1[CONC X VOTI IN TAB GIOC],Tabella1[Voto],""),"")</f>
        <v>6</v>
      </c>
      <c r="AA161" s="270">
        <f>_xlfn.IFNA(_xlfn.XLOOKUP(CONCATENATE(AA$4,$C161),Tabella1[CONC X VOTI IN TAB GIOC],Tabella1[Voto],""),"")</f>
        <v>6</v>
      </c>
      <c r="AB161" s="270">
        <f>_xlfn.IFNA(_xlfn.XLOOKUP(CONCATENATE(AB$4,$C161),Tabella1[CONC X VOTI IN TAB GIOC],Tabella1[Voto]),"")</f>
        <v>5</v>
      </c>
      <c r="AC161" s="270" cm="1">
        <f t="array" ref="AC161">_xlfn.IFNA(_xlfn.XLOOKUP(CONCATENATE(AC$4,$C161),INDEX(Tabella1[],0,MATCH("CONC X VOTI IN TAB GIOC",Tabella1[#Headers],0)),INDEX(Tabella1[],0,MATCH("Voto",Tabella1[#Headers],0))),"")</f>
        <v>5.5</v>
      </c>
      <c r="AD161" s="270" t="str">
        <f>_xlfn.IFNA(_xlfn.XLOOKUP(CONCATENATE(AD$4,$C161),Tabella1[CONC X VOTI IN TAB GIOC],Tabella1[Voto]),"")</f>
        <v/>
      </c>
      <c r="AE161" s="270" t="str">
        <f>_xlfn.IFNA(VLOOKUP(CONCATENATE(AE$4,$C161),'INSER DATA'!$A:$F,6,0),"")</f>
        <v/>
      </c>
      <c r="AF161" s="270" t="str">
        <f>_xlfn.IFNA(VLOOKUP(CONCATENATE(AF$4,$C161),'INSER DATA'!$A:$F,6,0),"")</f>
        <v/>
      </c>
      <c r="AG161" s="270" t="str">
        <f>_xlfn.IFNA(VLOOKUP(CONCATENATE(AG$4,$C161),'INSER DATA'!$A:$F,6,0),"")</f>
        <v/>
      </c>
      <c r="AH161" s="270" t="str">
        <f>_xlfn.IFNA(VLOOKUP(CONCATENATE(AH$4,$C161),'INSER DATA'!$A:$F,7,0),"")</f>
        <v/>
      </c>
      <c r="AI161" s="270" t="str">
        <f>_xlfn.IFNA(VLOOKUP(CONCATENATE(AI$4,$C161),'INSER DATA'!$A:$F,7,0),"")</f>
        <v/>
      </c>
      <c r="AJ161" s="270" t="str">
        <f>_xlfn.IFNA(VLOOKUP(CONCATENATE(AJ$4,$C161),'INSER DATA'!$A:$F,7,0),"")</f>
        <v/>
      </c>
      <c r="AK161" s="270" t="str">
        <f>_xlfn.IFNA(VLOOKUP(CONCATENATE(AK$4,$C161),'INSER DATA'!$A:$F,7,0),"")</f>
        <v/>
      </c>
      <c r="AL161" s="270" t="str">
        <f>_xlfn.IFNA(VLOOKUP(CONCATENATE(AL$4,$C161),'INSER DATA'!$A:$F,7,0),"")</f>
        <v/>
      </c>
      <c r="AM161" s="270" t="str">
        <f>_xlfn.IFNA(VLOOKUP(CONCATENATE(AM$4,$C161),'INSER DATA'!$A:$F,7,0),"")</f>
        <v/>
      </c>
      <c r="AN161" s="270" t="str">
        <f>_xlfn.IFNA(VLOOKUP(CONCATENATE(AN$4,$C161),'INSER DATA'!$A:$F,7,0),"")</f>
        <v/>
      </c>
      <c r="AO161" s="270" t="str">
        <f>_xlfn.IFNA(VLOOKUP(CONCATENATE(AO$4,$C161),'INSER DATA'!$A:$F,7,0),"")</f>
        <v/>
      </c>
      <c r="AP161" s="270" t="str">
        <f>_xlfn.IFNA(VLOOKUP(CONCATENATE(AP$4,$C161),'INSER DATA'!$A:$F,7,0),"")</f>
        <v/>
      </c>
      <c r="AQ161" s="270" t="str">
        <f>_xlfn.IFNA(VLOOKUP(CONCATENATE(AQ$4,$C161),'INSER DATA'!$A:$F,7,0),"")</f>
        <v/>
      </c>
      <c r="AR161" s="270" t="str">
        <f>_xlfn.IFNA(VLOOKUP(CONCATENATE(AR$4,$C161),'INSER DATA'!$A:$F,7,0),"")</f>
        <v/>
      </c>
      <c r="AS161" s="270" t="str">
        <f>_xlfn.IFNA(VLOOKUP(CONCATENATE(AS$4,$C161),'INSER DATA'!$A:$F,7,0),"")</f>
        <v/>
      </c>
      <c r="AT161" s="270" t="str">
        <f>_xlfn.IFNA(VLOOKUP(CONCATENATE(AT$4,$C161),'INSER DATA'!$A:$F,7,0),"")</f>
        <v/>
      </c>
      <c r="AU161" s="270" t="str">
        <f>_xlfn.IFNA(VLOOKUP(CONCATENATE(AU$4,$C161),'INSER DATA'!$A:$F,7,0),"")</f>
        <v/>
      </c>
      <c r="AV161" s="270" t="str">
        <f>_xlfn.IFNA(VLOOKUP(CONCATENATE(AV$4,$C161),'INSER DATA'!$A:$F,7,0),"")</f>
        <v/>
      </c>
      <c r="AW161" s="270" t="str">
        <f>_xlfn.IFNA(VLOOKUP(CONCATENATE(AW$4,$C161),'INSER DATA'!$A:$F,7,0),"")</f>
        <v/>
      </c>
      <c r="AX161" s="270" t="str">
        <f>_xlfn.IFNA(VLOOKUP(CONCATENATE(AX$4,$C161),'INSER DATA'!$A:$F,7,0),"")</f>
        <v/>
      </c>
      <c r="AY161" s="270" t="str">
        <f>_xlfn.IFNA(VLOOKUP(CONCATENATE(AY$4,$C161),'INSER DATA'!$A:$F,7,0),"")</f>
        <v/>
      </c>
      <c r="AZ161" s="270" t="str">
        <f>_xlfn.IFNA(VLOOKUP(CONCATENATE(AZ$4,$C161),'INSER DATA'!$A:$F,7,0),"")</f>
        <v/>
      </c>
      <c r="BA161" s="270" t="str">
        <f>_xlfn.IFNA(VLOOKUP(CONCATENATE(BA$4,$C161),'INSER DATA'!$A:$F,7,0),"")</f>
        <v/>
      </c>
      <c r="BB161" s="270" t="str">
        <f>_xlfn.IFNA(VLOOKUP(CONCATENATE(BB$4,$C161),'INSER DATA'!$A:$F,7,0),"")</f>
        <v/>
      </c>
      <c r="BC161" s="270" t="str">
        <f>_xlfn.IFNA(VLOOKUP(CONCATENATE(BC$4,$C161),'INSER DATA'!$A:$F,7,0),"")</f>
        <v/>
      </c>
      <c r="BD161" s="270" t="str">
        <f>_xlfn.IFNA(VLOOKUP(CONCATENATE(BD$4,$C161),'INSER DATA'!$A:$F,7,0),"")</f>
        <v/>
      </c>
      <c r="BE161" s="270" t="str">
        <f>_xlfn.IFNA(VLOOKUP(CONCATENATE(BE$4,$C161),'INSER DATA'!$A:$F,7,0),"")</f>
        <v/>
      </c>
      <c r="BF161" s="270" t="str">
        <f>_xlfn.IFNA(VLOOKUP(CONCATENATE(BF$4,$C161),'INSER DATA'!$A:$F,7,0),"")</f>
        <v/>
      </c>
      <c r="BG161" s="270" t="str">
        <f>_xlfn.IFNA(VLOOKUP(CONCATENATE(BG$4,$C161),'INSER DATA'!$A:$F,7,0),"")</f>
        <v/>
      </c>
      <c r="BH161" s="270" t="str">
        <f>_xlfn.IFNA(VLOOKUP(CONCATENATE(BH$4,$C161),'INSER DATA'!$A:$F,7,0),"")</f>
        <v/>
      </c>
      <c r="BI161" s="270" t="str">
        <f>_xlfn.IFNA(VLOOKUP(CONCATENATE(BI$4,$C161),'INSER DATA'!$A:$F,7,0),"")</f>
        <v/>
      </c>
      <c r="BJ161" s="270" t="str">
        <f>_xlfn.IFNA(VLOOKUP(CONCATENATE(BJ$4,$C161),'INSER DATA'!$A:$F,7,0),"")</f>
        <v/>
      </c>
      <c r="BK161" s="270" t="str">
        <f>_xlfn.IFNA(VLOOKUP(CONCATENATE(BK$4,$C161),'INSER DATA'!$A:$F,7,0),"")</f>
        <v/>
      </c>
      <c r="BL161" s="272"/>
      <c r="BM161" s="30"/>
      <c r="BN161" s="30"/>
      <c r="BO161" s="30"/>
      <c r="BP161" s="30"/>
      <c r="BQ161" s="30"/>
      <c r="BR161" s="30"/>
      <c r="BS161" s="30"/>
      <c r="BT161" s="30"/>
      <c r="BU161" s="30"/>
      <c r="BV161" s="30"/>
      <c r="BW161" s="30"/>
      <c r="BX161" s="30"/>
      <c r="BY161" s="30"/>
      <c r="BZ161" s="30"/>
      <c r="CA161" s="30"/>
      <c r="CB161" s="30"/>
      <c r="CC161" s="30"/>
      <c r="CD161" s="30"/>
      <c r="CE161" s="30"/>
      <c r="CF161" s="30"/>
      <c r="CG161" s="30"/>
      <c r="CH161" s="30"/>
      <c r="CI161" s="30"/>
      <c r="CJ161" s="30"/>
      <c r="CK161" s="30"/>
      <c r="CL161" s="30"/>
      <c r="CM161" s="30"/>
      <c r="CN161" s="30"/>
      <c r="CO161" s="30"/>
      <c r="CP161" s="30"/>
      <c r="CQ161" s="30"/>
      <c r="CR161" s="30"/>
      <c r="CS161" s="30"/>
      <c r="CT161" s="30"/>
      <c r="CU161" s="30"/>
      <c r="CV161" s="30"/>
      <c r="CW161" s="30"/>
      <c r="CX161" s="30"/>
      <c r="CY161" s="30"/>
      <c r="CZ161" s="30"/>
      <c r="DA161" s="30"/>
    </row>
    <row r="162" spans="1:105" ht="19.2" thickTop="1" thickBot="1" x14ac:dyDescent="0.4">
      <c r="A162" s="30"/>
      <c r="B162" s="30"/>
      <c r="C162" s="185" t="s">
        <v>206</v>
      </c>
      <c r="D162" s="46" t="s">
        <v>749</v>
      </c>
      <c r="E162" s="35" t="str">
        <f>_xlfn.XLOOKUP(Tabella4[[#This Row],[NOME]],'ROSE SQUADRE'!$N$3:$N$253,'ROSE SQUADRE'!$O$3:$O$253,"")</f>
        <v/>
      </c>
      <c r="F162" s="36" t="s">
        <v>162</v>
      </c>
      <c r="G162" s="43">
        <v>3</v>
      </c>
      <c r="H162" s="43">
        <v>4</v>
      </c>
      <c r="I162" s="44">
        <f t="shared" si="13"/>
        <v>1</v>
      </c>
      <c r="J162" s="37">
        <f t="shared" si="14"/>
        <v>4</v>
      </c>
      <c r="K162" s="178">
        <f t="shared" si="15"/>
        <v>6.125</v>
      </c>
      <c r="L162" s="178">
        <f t="shared" si="16"/>
        <v>6.125</v>
      </c>
      <c r="M162" s="179">
        <f t="shared" si="17"/>
        <v>24.5</v>
      </c>
      <c r="N162" s="45">
        <f t="shared" ca="1" si="18"/>
        <v>0</v>
      </c>
      <c r="O162" s="40">
        <f>SUMIF(Tabella1[Nome],Tabella4[[#This Row],[NOME]],Tabella1[Gf])</f>
        <v>0</v>
      </c>
      <c r="P162" s="40">
        <f>-(SUMIF(Tabella1[Nome],Tabella4[[#This Row],[NOME]],Tabella1[Gs]))</f>
        <v>0</v>
      </c>
      <c r="Q162" s="40">
        <f>SUMIF(Tabella1[Nome],Tabella4[[#This Row],[NOME]],Tabella1[Rp])</f>
        <v>0</v>
      </c>
      <c r="R162" s="40">
        <f>SUMIF(Tabella1[Nome],Tabella4[[#This Row],[NOME]],Tabella1[Rs])</f>
        <v>0</v>
      </c>
      <c r="S162" s="40">
        <f>SUMIF(Tabella1[Nome],Tabella4[[#This Row],[NOME]],Tabella1[Rf])</f>
        <v>0</v>
      </c>
      <c r="T162" s="40">
        <f>SUMIF(Tabella1[Nome],Tabella4[[#This Row],[NOME]],Tabella1[Au])</f>
        <v>0</v>
      </c>
      <c r="U162" s="41">
        <f>SUMIF(Tabella1[Nome],Tabella4[[#This Row],[NOME]],Tabella1[Amm])</f>
        <v>0</v>
      </c>
      <c r="V162" s="42">
        <f>SUMIF(Tabella1[Nome],Tabella4[[#This Row],[NOME]],Tabella1[Esp])</f>
        <v>0</v>
      </c>
      <c r="W162" s="40">
        <f>SUMIF(Tabella1[Nome],Tabella4[[#This Row],[NOME]],Tabella1[Ass])</f>
        <v>0</v>
      </c>
      <c r="X162" s="40">
        <f>SUMIF(Tabella1[Nome],Tabella4[[#This Row],[NOME]],Tabella1[Gdv])</f>
        <v>0</v>
      </c>
      <c r="Y162" s="40">
        <f>SUMIF(Tabella1[Nome],Tabella4[[#This Row],[NOME]],Tabella1[cl sh])</f>
        <v>0</v>
      </c>
      <c r="Z162" s="270">
        <f>_xlfn.IFNA(_xlfn.XLOOKUP(CONCATENATE(Z$4,$C162),Tabella1[CONC X VOTI IN TAB GIOC],Tabella1[Voto],""),"")</f>
        <v>6</v>
      </c>
      <c r="AA162" s="270">
        <f>_xlfn.IFNA(_xlfn.XLOOKUP(CONCATENATE(AA$4,$C162),Tabella1[CONC X VOTI IN TAB GIOC],Tabella1[Voto],""),"")</f>
        <v>6</v>
      </c>
      <c r="AB162" s="270">
        <f>_xlfn.IFNA(_xlfn.XLOOKUP(CONCATENATE(AB$4,$C162),Tabella1[CONC X VOTI IN TAB GIOC],Tabella1[Voto]),"")</f>
        <v>6</v>
      </c>
      <c r="AC162" s="270" cm="1">
        <f t="array" ref="AC162">_xlfn.IFNA(_xlfn.XLOOKUP(CONCATENATE(AC$4,$C162),INDEX(Tabella1[],0,MATCH("CONC X VOTI IN TAB GIOC",Tabella1[#Headers],0)),INDEX(Tabella1[],0,MATCH("Voto",Tabella1[#Headers],0))),"")</f>
        <v>6.5</v>
      </c>
      <c r="AD162" s="270" t="str">
        <f>_xlfn.IFNA(_xlfn.XLOOKUP(CONCATENATE(AD$4,$C162),Tabella1[CONC X VOTI IN TAB GIOC],Tabella1[Voto]),"")</f>
        <v/>
      </c>
      <c r="AE162" s="270" t="str">
        <f>_xlfn.IFNA(VLOOKUP(CONCATENATE(AE$4,$C162),'INSER DATA'!$A:$F,6,0),"")</f>
        <v/>
      </c>
      <c r="AF162" s="270" t="str">
        <f>_xlfn.IFNA(VLOOKUP(CONCATENATE(AF$4,$C162),'INSER DATA'!$A:$F,6,0),"")</f>
        <v/>
      </c>
      <c r="AG162" s="270" t="str">
        <f>_xlfn.IFNA(VLOOKUP(CONCATENATE(AG$4,$C162),'INSER DATA'!$A:$F,6,0),"")</f>
        <v/>
      </c>
      <c r="AH162" s="270" t="str">
        <f>_xlfn.IFNA(VLOOKUP(CONCATENATE(AH$4,$C162),'INSER DATA'!$A:$F,7,0),"")</f>
        <v/>
      </c>
      <c r="AI162" s="270" t="str">
        <f>_xlfn.IFNA(VLOOKUP(CONCATENATE(AI$4,$C162),'INSER DATA'!$A:$F,7,0),"")</f>
        <v/>
      </c>
      <c r="AJ162" s="270" t="str">
        <f>_xlfn.IFNA(VLOOKUP(CONCATENATE(AJ$4,$C162),'INSER DATA'!$A:$F,7,0),"")</f>
        <v/>
      </c>
      <c r="AK162" s="270" t="str">
        <f>_xlfn.IFNA(VLOOKUP(CONCATENATE(AK$4,$C162),'INSER DATA'!$A:$F,7,0),"")</f>
        <v/>
      </c>
      <c r="AL162" s="270" t="str">
        <f>_xlfn.IFNA(VLOOKUP(CONCATENATE(AL$4,$C162),'INSER DATA'!$A:$F,7,0),"")</f>
        <v/>
      </c>
      <c r="AM162" s="270" t="str">
        <f>_xlfn.IFNA(VLOOKUP(CONCATENATE(AM$4,$C162),'INSER DATA'!$A:$F,7,0),"")</f>
        <v/>
      </c>
      <c r="AN162" s="270" t="str">
        <f>_xlfn.IFNA(VLOOKUP(CONCATENATE(AN$4,$C162),'INSER DATA'!$A:$F,7,0),"")</f>
        <v/>
      </c>
      <c r="AO162" s="270" t="str">
        <f>_xlfn.IFNA(VLOOKUP(CONCATENATE(AO$4,$C162),'INSER DATA'!$A:$F,7,0),"")</f>
        <v/>
      </c>
      <c r="AP162" s="270" t="str">
        <f>_xlfn.IFNA(VLOOKUP(CONCATENATE(AP$4,$C162),'INSER DATA'!$A:$F,7,0),"")</f>
        <v/>
      </c>
      <c r="AQ162" s="270" t="str">
        <f>_xlfn.IFNA(VLOOKUP(CONCATENATE(AQ$4,$C162),'INSER DATA'!$A:$F,7,0),"")</f>
        <v/>
      </c>
      <c r="AR162" s="270" t="str">
        <f>_xlfn.IFNA(VLOOKUP(CONCATENATE(AR$4,$C162),'INSER DATA'!$A:$F,7,0),"")</f>
        <v/>
      </c>
      <c r="AS162" s="270" t="str">
        <f>_xlfn.IFNA(VLOOKUP(CONCATENATE(AS$4,$C162),'INSER DATA'!$A:$F,7,0),"")</f>
        <v/>
      </c>
      <c r="AT162" s="270" t="str">
        <f>_xlfn.IFNA(VLOOKUP(CONCATENATE(AT$4,$C162),'INSER DATA'!$A:$F,7,0),"")</f>
        <v/>
      </c>
      <c r="AU162" s="270" t="str">
        <f>_xlfn.IFNA(VLOOKUP(CONCATENATE(AU$4,$C162),'INSER DATA'!$A:$F,7,0),"")</f>
        <v/>
      </c>
      <c r="AV162" s="270" t="str">
        <f>_xlfn.IFNA(VLOOKUP(CONCATENATE(AV$4,$C162),'INSER DATA'!$A:$F,7,0),"")</f>
        <v/>
      </c>
      <c r="AW162" s="270" t="str">
        <f>_xlfn.IFNA(VLOOKUP(CONCATENATE(AW$4,$C162),'INSER DATA'!$A:$F,7,0),"")</f>
        <v/>
      </c>
      <c r="AX162" s="270" t="str">
        <f>_xlfn.IFNA(VLOOKUP(CONCATENATE(AX$4,$C162),'INSER DATA'!$A:$F,7,0),"")</f>
        <v/>
      </c>
      <c r="AY162" s="270" t="str">
        <f>_xlfn.IFNA(VLOOKUP(CONCATENATE(AY$4,$C162),'INSER DATA'!$A:$F,7,0),"")</f>
        <v/>
      </c>
      <c r="AZ162" s="270" t="str">
        <f>_xlfn.IFNA(VLOOKUP(CONCATENATE(AZ$4,$C162),'INSER DATA'!$A:$F,7,0),"")</f>
        <v/>
      </c>
      <c r="BA162" s="270" t="str">
        <f>_xlfn.IFNA(VLOOKUP(CONCATENATE(BA$4,$C162),'INSER DATA'!$A:$F,7,0),"")</f>
        <v/>
      </c>
      <c r="BB162" s="270" t="str">
        <f>_xlfn.IFNA(VLOOKUP(CONCATENATE(BB$4,$C162),'INSER DATA'!$A:$F,7,0),"")</f>
        <v/>
      </c>
      <c r="BC162" s="270" t="str">
        <f>_xlfn.IFNA(VLOOKUP(CONCATENATE(BC$4,$C162),'INSER DATA'!$A:$F,7,0),"")</f>
        <v/>
      </c>
      <c r="BD162" s="270" t="str">
        <f>_xlfn.IFNA(VLOOKUP(CONCATENATE(BD$4,$C162),'INSER DATA'!$A:$F,7,0),"")</f>
        <v/>
      </c>
      <c r="BE162" s="270" t="str">
        <f>_xlfn.IFNA(VLOOKUP(CONCATENATE(BE$4,$C162),'INSER DATA'!$A:$F,7,0),"")</f>
        <v/>
      </c>
      <c r="BF162" s="270" t="str">
        <f>_xlfn.IFNA(VLOOKUP(CONCATENATE(BF$4,$C162),'INSER DATA'!$A:$F,7,0),"")</f>
        <v/>
      </c>
      <c r="BG162" s="270" t="str">
        <f>_xlfn.IFNA(VLOOKUP(CONCATENATE(BG$4,$C162),'INSER DATA'!$A:$F,7,0),"")</f>
        <v/>
      </c>
      <c r="BH162" s="270" t="str">
        <f>_xlfn.IFNA(VLOOKUP(CONCATENATE(BH$4,$C162),'INSER DATA'!$A:$F,7,0),"")</f>
        <v/>
      </c>
      <c r="BI162" s="270" t="str">
        <f>_xlfn.IFNA(VLOOKUP(CONCATENATE(BI$4,$C162),'INSER DATA'!$A:$F,7,0),"")</f>
        <v/>
      </c>
      <c r="BJ162" s="270" t="str">
        <f>_xlfn.IFNA(VLOOKUP(CONCATENATE(BJ$4,$C162),'INSER DATA'!$A:$F,7,0),"")</f>
        <v/>
      </c>
      <c r="BK162" s="270" t="str">
        <f>_xlfn.IFNA(VLOOKUP(CONCATENATE(BK$4,$C162),'INSER DATA'!$A:$F,7,0),"")</f>
        <v/>
      </c>
      <c r="BL162" s="272"/>
      <c r="BM162" s="30"/>
      <c r="BN162" s="30"/>
      <c r="BO162" s="30"/>
      <c r="BP162" s="30"/>
      <c r="BQ162" s="30"/>
      <c r="BR162" s="30"/>
      <c r="BS162" s="30"/>
      <c r="BT162" s="30"/>
      <c r="BU162" s="30"/>
      <c r="BV162" s="30"/>
      <c r="BW162" s="30"/>
      <c r="BX162" s="30"/>
      <c r="BY162" s="30"/>
      <c r="BZ162" s="30"/>
      <c r="CA162" s="30"/>
      <c r="CB162" s="30"/>
      <c r="CC162" s="30"/>
      <c r="CD162" s="30"/>
      <c r="CE162" s="30"/>
      <c r="CF162" s="30"/>
      <c r="CG162" s="30"/>
      <c r="CH162" s="30"/>
      <c r="CI162" s="30"/>
      <c r="CJ162" s="30"/>
      <c r="CK162" s="30"/>
      <c r="CL162" s="30"/>
      <c r="CM162" s="30"/>
      <c r="CN162" s="30"/>
      <c r="CO162" s="30"/>
      <c r="CP162" s="30"/>
      <c r="CQ162" s="30"/>
      <c r="CR162" s="30"/>
      <c r="CS162" s="30"/>
      <c r="CT162" s="30"/>
      <c r="CU162" s="30"/>
      <c r="CV162" s="30"/>
      <c r="CW162" s="30"/>
      <c r="CX162" s="30"/>
      <c r="CY162" s="30"/>
      <c r="CZ162" s="30"/>
      <c r="DA162" s="30"/>
    </row>
    <row r="163" spans="1:105" s="184" customFormat="1" ht="19.2" thickTop="1" thickBot="1" x14ac:dyDescent="0.4">
      <c r="C163" s="356" t="s">
        <v>752</v>
      </c>
      <c r="D163" s="357" t="s">
        <v>749</v>
      </c>
      <c r="E163" s="35" t="str">
        <f>_xlfn.XLOOKUP(Tabella4[[#This Row],[NOME]],'ROSE SQUADRE'!$N$3:$N$253,'ROSE SQUADRE'!$O$3:$O$253,"")</f>
        <v>AS PIPPERIA</v>
      </c>
      <c r="F163" s="36" t="s">
        <v>161</v>
      </c>
      <c r="G163" s="43">
        <v>6</v>
      </c>
      <c r="H163" s="43">
        <v>6</v>
      </c>
      <c r="I163" s="44">
        <f t="shared" si="13"/>
        <v>0</v>
      </c>
      <c r="J163" s="37">
        <f t="shared" si="14"/>
        <v>4</v>
      </c>
      <c r="K163" s="38">
        <f t="shared" si="15"/>
        <v>5.375</v>
      </c>
      <c r="L163" s="38">
        <f t="shared" si="16"/>
        <v>5.375</v>
      </c>
      <c r="M163" s="39">
        <f t="shared" si="17"/>
        <v>21.5</v>
      </c>
      <c r="N163" s="45">
        <f t="shared" ca="1" si="18"/>
        <v>0</v>
      </c>
      <c r="O163" s="40">
        <f>SUMIF(Tabella1[Nome],Tabella4[[#This Row],[NOME]],Tabella1[Gf])</f>
        <v>0</v>
      </c>
      <c r="P163" s="40">
        <f>-(SUMIF(Tabella1[Nome],Tabella4[[#This Row],[NOME]],Tabella1[Gs]))</f>
        <v>0</v>
      </c>
      <c r="Q163" s="40">
        <f>SUMIF(Tabella1[Nome],Tabella4[[#This Row],[NOME]],Tabella1[Rp])</f>
        <v>0</v>
      </c>
      <c r="R163" s="40">
        <f>SUMIF(Tabella1[Nome],Tabella4[[#This Row],[NOME]],Tabella1[Rs])</f>
        <v>0</v>
      </c>
      <c r="S163" s="40">
        <f>SUMIF(Tabella1[Nome],Tabella4[[#This Row],[NOME]],Tabella1[Rf])</f>
        <v>0</v>
      </c>
      <c r="T163" s="40">
        <f>SUMIF(Tabella1[Nome],Tabella4[[#This Row],[NOME]],Tabella1[Au])</f>
        <v>0</v>
      </c>
      <c r="U163" s="41">
        <f>SUMIF(Tabella1[Nome],Tabella4[[#This Row],[NOME]],Tabella1[Amm])</f>
        <v>0</v>
      </c>
      <c r="V163" s="42">
        <f>SUMIF(Tabella1[Nome],Tabella4[[#This Row],[NOME]],Tabella1[Esp])</f>
        <v>0</v>
      </c>
      <c r="W163" s="40">
        <f>SUMIF(Tabella1[Nome],Tabella4[[#This Row],[NOME]],Tabella1[Ass])</f>
        <v>0</v>
      </c>
      <c r="X163" s="40">
        <f>SUMIF(Tabella1[Nome],Tabella4[[#This Row],[NOME]],Tabella1[Gdv])</f>
        <v>0</v>
      </c>
      <c r="Y163" s="40">
        <f>SUMIF(Tabella1[Nome],Tabella4[[#This Row],[NOME]],Tabella1[cl sh])</f>
        <v>0</v>
      </c>
      <c r="Z163" s="270">
        <f>_xlfn.IFNA(_xlfn.XLOOKUP(CONCATENATE(Z$4,$C163),Tabella1[CONC X VOTI IN TAB GIOC],Tabella1[Voto],""),"")</f>
        <v>6</v>
      </c>
      <c r="AA163" s="270">
        <f>_xlfn.IFNA(_xlfn.XLOOKUP(CONCATENATE(AA$4,$C163),Tabella1[CONC X VOTI IN TAB GIOC],Tabella1[Voto],""),"")</f>
        <v>5.5</v>
      </c>
      <c r="AB163" s="270">
        <f>_xlfn.IFNA(_xlfn.XLOOKUP(CONCATENATE(AB$4,$C163),Tabella1[CONC X VOTI IN TAB GIOC],Tabella1[Voto]),"")</f>
        <v>4.5</v>
      </c>
      <c r="AC163" s="270" cm="1">
        <f t="array" ref="AC163">_xlfn.IFNA(_xlfn.XLOOKUP(CONCATENATE(AC$4,$C163),INDEX(Tabella1[],0,MATCH("CONC X VOTI IN TAB GIOC",Tabella1[#Headers],0)),INDEX(Tabella1[],0,MATCH("Voto",Tabella1[#Headers],0))),"")</f>
        <v>5.5</v>
      </c>
      <c r="AD163" s="270" t="str">
        <f>_xlfn.IFNA(_xlfn.XLOOKUP(CONCATENATE(AD$4,$C163),Tabella1[CONC X VOTI IN TAB GIOC],Tabella1[Voto]),"")</f>
        <v/>
      </c>
      <c r="AE163" s="270" t="str">
        <f>_xlfn.IFNA(VLOOKUP(CONCATENATE(AE$4,$C163),'INSER DATA'!$A:$F,6,0),"")</f>
        <v/>
      </c>
      <c r="AF163" s="270" t="str">
        <f>_xlfn.IFNA(VLOOKUP(CONCATENATE(AF$4,$C163),'INSER DATA'!$A:$F,6,0),"")</f>
        <v/>
      </c>
      <c r="AG163" s="270" t="str">
        <f>_xlfn.IFNA(VLOOKUP(CONCATENATE(AG$4,$C163),'INSER DATA'!$A:$F,6,0),"")</f>
        <v/>
      </c>
      <c r="AH163" s="270" t="str">
        <f>_xlfn.IFNA(VLOOKUP(CONCATENATE(AH$4,$C163),'INSER DATA'!$A:$F,7,0),"")</f>
        <v/>
      </c>
      <c r="AI163" s="270" t="str">
        <f>_xlfn.IFNA(VLOOKUP(CONCATENATE(AI$4,$C163),'INSER DATA'!$A:$F,7,0),"")</f>
        <v/>
      </c>
      <c r="AJ163" s="270" t="str">
        <f>_xlfn.IFNA(VLOOKUP(CONCATENATE(AJ$4,$C163),'INSER DATA'!$A:$F,7,0),"")</f>
        <v/>
      </c>
      <c r="AK163" s="270" t="str">
        <f>_xlfn.IFNA(VLOOKUP(CONCATENATE(AK$4,$C163),'INSER DATA'!$A:$F,7,0),"")</f>
        <v/>
      </c>
      <c r="AL163" s="270" t="str">
        <f>_xlfn.IFNA(VLOOKUP(CONCATENATE(AL$4,$C163),'INSER DATA'!$A:$F,7,0),"")</f>
        <v/>
      </c>
      <c r="AM163" s="270" t="str">
        <f>_xlfn.IFNA(VLOOKUP(CONCATENATE(AM$4,$C163),'INSER DATA'!$A:$F,7,0),"")</f>
        <v/>
      </c>
      <c r="AN163" s="270" t="str">
        <f>_xlfn.IFNA(VLOOKUP(CONCATENATE(AN$4,$C163),'INSER DATA'!$A:$F,7,0),"")</f>
        <v/>
      </c>
      <c r="AO163" s="270" t="str">
        <f>_xlfn.IFNA(VLOOKUP(CONCATENATE(AO$4,$C163),'INSER DATA'!$A:$F,7,0),"")</f>
        <v/>
      </c>
      <c r="AP163" s="270" t="str">
        <f>_xlfn.IFNA(VLOOKUP(CONCATENATE(AP$4,$C163),'INSER DATA'!$A:$F,7,0),"")</f>
        <v/>
      </c>
      <c r="AQ163" s="270" t="str">
        <f>_xlfn.IFNA(VLOOKUP(CONCATENATE(AQ$4,$C163),'INSER DATA'!$A:$F,7,0),"")</f>
        <v/>
      </c>
      <c r="AR163" s="270" t="str">
        <f>_xlfn.IFNA(VLOOKUP(CONCATENATE(AR$4,$C163),'INSER DATA'!$A:$F,7,0),"")</f>
        <v/>
      </c>
      <c r="AS163" s="270" t="str">
        <f>_xlfn.IFNA(VLOOKUP(CONCATENATE(AS$4,$C163),'INSER DATA'!$A:$F,7,0),"")</f>
        <v/>
      </c>
      <c r="AT163" s="270" t="str">
        <f>_xlfn.IFNA(VLOOKUP(CONCATENATE(AT$4,$C163),'INSER DATA'!$A:$F,7,0),"")</f>
        <v/>
      </c>
      <c r="AU163" s="270" t="str">
        <f>_xlfn.IFNA(VLOOKUP(CONCATENATE(AU$4,$C163),'INSER DATA'!$A:$F,7,0),"")</f>
        <v/>
      </c>
      <c r="AV163" s="270" t="str">
        <f>_xlfn.IFNA(VLOOKUP(CONCATENATE(AV$4,$C163),'INSER DATA'!$A:$F,7,0),"")</f>
        <v/>
      </c>
      <c r="AW163" s="270" t="str">
        <f>_xlfn.IFNA(VLOOKUP(CONCATENATE(AW$4,$C163),'INSER DATA'!$A:$F,7,0),"")</f>
        <v/>
      </c>
      <c r="AX163" s="270" t="str">
        <f>_xlfn.IFNA(VLOOKUP(CONCATENATE(AX$4,$C163),'INSER DATA'!$A:$F,7,0),"")</f>
        <v/>
      </c>
      <c r="AY163" s="270" t="str">
        <f>_xlfn.IFNA(VLOOKUP(CONCATENATE(AY$4,$C163),'INSER DATA'!$A:$F,7,0),"")</f>
        <v/>
      </c>
      <c r="AZ163" s="270" t="str">
        <f>_xlfn.IFNA(VLOOKUP(CONCATENATE(AZ$4,$C163),'INSER DATA'!$A:$F,7,0),"")</f>
        <v/>
      </c>
      <c r="BA163" s="270" t="str">
        <f>_xlfn.IFNA(VLOOKUP(CONCATENATE(BA$4,$C163),'INSER DATA'!$A:$F,7,0),"")</f>
        <v/>
      </c>
      <c r="BB163" s="270" t="str">
        <f>_xlfn.IFNA(VLOOKUP(CONCATENATE(BB$4,$C163),'INSER DATA'!$A:$F,7,0),"")</f>
        <v/>
      </c>
      <c r="BC163" s="270" t="str">
        <f>_xlfn.IFNA(VLOOKUP(CONCATENATE(BC$4,$C163),'INSER DATA'!$A:$F,7,0),"")</f>
        <v/>
      </c>
      <c r="BD163" s="270" t="str">
        <f>_xlfn.IFNA(VLOOKUP(CONCATENATE(BD$4,$C163),'INSER DATA'!$A:$F,7,0),"")</f>
        <v/>
      </c>
      <c r="BE163" s="270" t="str">
        <f>_xlfn.IFNA(VLOOKUP(CONCATENATE(BE$4,$C163),'INSER DATA'!$A:$F,7,0),"")</f>
        <v/>
      </c>
      <c r="BF163" s="270" t="str">
        <f>_xlfn.IFNA(VLOOKUP(CONCATENATE(BF$4,$C163),'INSER DATA'!$A:$F,7,0),"")</f>
        <v/>
      </c>
      <c r="BG163" s="270" t="str">
        <f>_xlfn.IFNA(VLOOKUP(CONCATENATE(BG$4,$C163),'INSER DATA'!$A:$F,7,0),"")</f>
        <v/>
      </c>
      <c r="BH163" s="270" t="str">
        <f>_xlfn.IFNA(VLOOKUP(CONCATENATE(BH$4,$C163),'INSER DATA'!$A:$F,7,0),"")</f>
        <v/>
      </c>
      <c r="BI163" s="270" t="str">
        <f>_xlfn.IFNA(VLOOKUP(CONCATENATE(BI$4,$C163),'INSER DATA'!$A:$F,7,0),"")</f>
        <v/>
      </c>
      <c r="BJ163" s="270" t="str">
        <f>_xlfn.IFNA(VLOOKUP(CONCATENATE(BJ$4,$C163),'INSER DATA'!$A:$F,7,0),"")</f>
        <v/>
      </c>
      <c r="BK163" s="270" t="str">
        <f>_xlfn.IFNA(VLOOKUP(CONCATENATE(BK$4,$C163),'INSER DATA'!$A:$F,7,0),"")</f>
        <v/>
      </c>
      <c r="BL163" s="272"/>
    </row>
    <row r="164" spans="1:105" ht="19.2" thickTop="1" thickBot="1" x14ac:dyDescent="0.4">
      <c r="A164" s="30"/>
      <c r="B164" s="30"/>
      <c r="C164" s="354" t="s">
        <v>213</v>
      </c>
      <c r="D164" s="357" t="s">
        <v>749</v>
      </c>
      <c r="E164" s="35" t="str">
        <f>_xlfn.XLOOKUP(Tabella4[[#This Row],[NOME]],'ROSE SQUADRE'!$N$3:$N$253,'ROSE SQUADRE'!$O$3:$O$253,"")</f>
        <v>AC ASPARAGHESE</v>
      </c>
      <c r="F164" s="36" t="s">
        <v>161</v>
      </c>
      <c r="G164" s="43">
        <v>9</v>
      </c>
      <c r="H164" s="43">
        <v>9</v>
      </c>
      <c r="I164" s="44">
        <f t="shared" si="13"/>
        <v>0</v>
      </c>
      <c r="J164" s="37">
        <f t="shared" si="14"/>
        <v>4</v>
      </c>
      <c r="K164" s="38">
        <f t="shared" si="15"/>
        <v>5.625</v>
      </c>
      <c r="L164" s="38">
        <f t="shared" si="16"/>
        <v>6.125</v>
      </c>
      <c r="M164" s="39">
        <f t="shared" si="17"/>
        <v>24.5</v>
      </c>
      <c r="N164" s="45">
        <f t="shared" ca="1" si="18"/>
        <v>0</v>
      </c>
      <c r="O164" s="40">
        <f>SUMIF(Tabella1[Nome],Tabella4[[#This Row],[NOME]],Tabella1[Gf])</f>
        <v>1</v>
      </c>
      <c r="P164" s="40">
        <f>-(SUMIF(Tabella1[Nome],Tabella4[[#This Row],[NOME]],Tabella1[Gs]))</f>
        <v>0</v>
      </c>
      <c r="Q164" s="40">
        <f>SUMIF(Tabella1[Nome],Tabella4[[#This Row],[NOME]],Tabella1[Rp])</f>
        <v>0</v>
      </c>
      <c r="R164" s="40">
        <f>SUMIF(Tabella1[Nome],Tabella4[[#This Row],[NOME]],Tabella1[Rs])</f>
        <v>0</v>
      </c>
      <c r="S164" s="40">
        <f>SUMIF(Tabella1[Nome],Tabella4[[#This Row],[NOME]],Tabella1[Rf])</f>
        <v>0</v>
      </c>
      <c r="T164" s="40">
        <f>SUMIF(Tabella1[Nome],Tabella4[[#This Row],[NOME]],Tabella1[Au])</f>
        <v>0</v>
      </c>
      <c r="U164" s="41">
        <f>SUMIF(Tabella1[Nome],Tabella4[[#This Row],[NOME]],Tabella1[Amm])</f>
        <v>0</v>
      </c>
      <c r="V164" s="42">
        <f>SUMIF(Tabella1[Nome],Tabella4[[#This Row],[NOME]],Tabella1[Esp])</f>
        <v>1</v>
      </c>
      <c r="W164" s="40">
        <f>SUMIF(Tabella1[Nome],Tabella4[[#This Row],[NOME]],Tabella1[Ass])</f>
        <v>0</v>
      </c>
      <c r="X164" s="40">
        <f>SUMIF(Tabella1[Nome],Tabella4[[#This Row],[NOME]],Tabella1[Gdv])</f>
        <v>0</v>
      </c>
      <c r="Y164" s="40">
        <f>SUMIF(Tabella1[Nome],Tabella4[[#This Row],[NOME]],Tabella1[cl sh])</f>
        <v>0</v>
      </c>
      <c r="Z164" s="270">
        <f>_xlfn.IFNA(_xlfn.XLOOKUP(CONCATENATE(Z$4,$C164),Tabella1[CONC X VOTI IN TAB GIOC],Tabella1[Voto],""),"")</f>
        <v>5.5</v>
      </c>
      <c r="AA164" s="270">
        <f>_xlfn.IFNA(_xlfn.XLOOKUP(CONCATENATE(AA$4,$C164),Tabella1[CONC X VOTI IN TAB GIOC],Tabella1[Voto],""),"")</f>
        <v>6</v>
      </c>
      <c r="AB164" s="270">
        <f>_xlfn.IFNA(_xlfn.XLOOKUP(CONCATENATE(AB$4,$C164),Tabella1[CONC X VOTI IN TAB GIOC],Tabella1[Voto]),"")</f>
        <v>5</v>
      </c>
      <c r="AC164" s="270" cm="1">
        <f t="array" ref="AC164">_xlfn.IFNA(_xlfn.XLOOKUP(CONCATENATE(AC$4,$C164),INDEX(Tabella1[],0,MATCH("CONC X VOTI IN TAB GIOC",Tabella1[#Headers],0)),INDEX(Tabella1[],0,MATCH("Voto",Tabella1[#Headers],0))),"")</f>
        <v>6</v>
      </c>
      <c r="AD164" s="270" t="str">
        <f>_xlfn.IFNA(_xlfn.XLOOKUP(CONCATENATE(AD$4,$C164),Tabella1[CONC X VOTI IN TAB GIOC],Tabella1[Voto]),"")</f>
        <v/>
      </c>
      <c r="AE164" s="270" t="str">
        <f>_xlfn.IFNA(VLOOKUP(CONCATENATE(AE$4,$C164),'INSER DATA'!$A:$F,6,0),"")</f>
        <v/>
      </c>
      <c r="AF164" s="270" t="str">
        <f>_xlfn.IFNA(VLOOKUP(CONCATENATE(AF$4,$C164),'INSER DATA'!$A:$F,6,0),"")</f>
        <v/>
      </c>
      <c r="AG164" s="270" t="str">
        <f>_xlfn.IFNA(VLOOKUP(CONCATENATE(AG$4,$C164),'INSER DATA'!$A:$F,6,0),"")</f>
        <v/>
      </c>
      <c r="AH164" s="270" t="str">
        <f>_xlfn.IFNA(VLOOKUP(CONCATENATE(AH$4,$C164),'INSER DATA'!$A:$F,7,0),"")</f>
        <v/>
      </c>
      <c r="AI164" s="270" t="str">
        <f>_xlfn.IFNA(VLOOKUP(CONCATENATE(AI$4,$C164),'INSER DATA'!$A:$F,7,0),"")</f>
        <v/>
      </c>
      <c r="AJ164" s="270" t="str">
        <f>_xlfn.IFNA(VLOOKUP(CONCATENATE(AJ$4,$C164),'INSER DATA'!$A:$F,7,0),"")</f>
        <v/>
      </c>
      <c r="AK164" s="270" t="str">
        <f>_xlfn.IFNA(VLOOKUP(CONCATENATE(AK$4,$C164),'INSER DATA'!$A:$F,7,0),"")</f>
        <v/>
      </c>
      <c r="AL164" s="270" t="str">
        <f>_xlfn.IFNA(VLOOKUP(CONCATENATE(AL$4,$C164),'INSER DATA'!$A:$F,7,0),"")</f>
        <v/>
      </c>
      <c r="AM164" s="270" t="str">
        <f>_xlfn.IFNA(VLOOKUP(CONCATENATE(AM$4,$C164),'INSER DATA'!$A:$F,7,0),"")</f>
        <v/>
      </c>
      <c r="AN164" s="270" t="str">
        <f>_xlfn.IFNA(VLOOKUP(CONCATENATE(AN$4,$C164),'INSER DATA'!$A:$F,7,0),"")</f>
        <v/>
      </c>
      <c r="AO164" s="270" t="str">
        <f>_xlfn.IFNA(VLOOKUP(CONCATENATE(AO$4,$C164),'INSER DATA'!$A:$F,7,0),"")</f>
        <v/>
      </c>
      <c r="AP164" s="270" t="str">
        <f>_xlfn.IFNA(VLOOKUP(CONCATENATE(AP$4,$C164),'INSER DATA'!$A:$F,7,0),"")</f>
        <v/>
      </c>
      <c r="AQ164" s="270" t="str">
        <f>_xlfn.IFNA(VLOOKUP(CONCATENATE(AQ$4,$C164),'INSER DATA'!$A:$F,7,0),"")</f>
        <v/>
      </c>
      <c r="AR164" s="270" t="str">
        <f>_xlfn.IFNA(VLOOKUP(CONCATENATE(AR$4,$C164),'INSER DATA'!$A:$F,7,0),"")</f>
        <v/>
      </c>
      <c r="AS164" s="270" t="str">
        <f>_xlfn.IFNA(VLOOKUP(CONCATENATE(AS$4,$C164),'INSER DATA'!$A:$F,7,0),"")</f>
        <v/>
      </c>
      <c r="AT164" s="270" t="str">
        <f>_xlfn.IFNA(VLOOKUP(CONCATENATE(AT$4,$C164),'INSER DATA'!$A:$F,7,0),"")</f>
        <v/>
      </c>
      <c r="AU164" s="270" t="str">
        <f>_xlfn.IFNA(VLOOKUP(CONCATENATE(AU$4,$C164),'INSER DATA'!$A:$F,7,0),"")</f>
        <v/>
      </c>
      <c r="AV164" s="270" t="str">
        <f>_xlfn.IFNA(VLOOKUP(CONCATENATE(AV$4,$C164),'INSER DATA'!$A:$F,7,0),"")</f>
        <v/>
      </c>
      <c r="AW164" s="270" t="str">
        <f>_xlfn.IFNA(VLOOKUP(CONCATENATE(AW$4,$C164),'INSER DATA'!$A:$F,7,0),"")</f>
        <v/>
      </c>
      <c r="AX164" s="270" t="str">
        <f>_xlfn.IFNA(VLOOKUP(CONCATENATE(AX$4,$C164),'INSER DATA'!$A:$F,7,0),"")</f>
        <v/>
      </c>
      <c r="AY164" s="270" t="str">
        <f>_xlfn.IFNA(VLOOKUP(CONCATENATE(AY$4,$C164),'INSER DATA'!$A:$F,7,0),"")</f>
        <v/>
      </c>
      <c r="AZ164" s="270" t="str">
        <f>_xlfn.IFNA(VLOOKUP(CONCATENATE(AZ$4,$C164),'INSER DATA'!$A:$F,7,0),"")</f>
        <v/>
      </c>
      <c r="BA164" s="270" t="str">
        <f>_xlfn.IFNA(VLOOKUP(CONCATENATE(BA$4,$C164),'INSER DATA'!$A:$F,7,0),"")</f>
        <v/>
      </c>
      <c r="BB164" s="270" t="str">
        <f>_xlfn.IFNA(VLOOKUP(CONCATENATE(BB$4,$C164),'INSER DATA'!$A:$F,7,0),"")</f>
        <v/>
      </c>
      <c r="BC164" s="270" t="str">
        <f>_xlfn.IFNA(VLOOKUP(CONCATENATE(BC$4,$C164),'INSER DATA'!$A:$F,7,0),"")</f>
        <v/>
      </c>
      <c r="BD164" s="270" t="str">
        <f>_xlfn.IFNA(VLOOKUP(CONCATENATE(BD$4,$C164),'INSER DATA'!$A:$F,7,0),"")</f>
        <v/>
      </c>
      <c r="BE164" s="270" t="str">
        <f>_xlfn.IFNA(VLOOKUP(CONCATENATE(BE$4,$C164),'INSER DATA'!$A:$F,7,0),"")</f>
        <v/>
      </c>
      <c r="BF164" s="270" t="str">
        <f>_xlfn.IFNA(VLOOKUP(CONCATENATE(BF$4,$C164),'INSER DATA'!$A:$F,7,0),"")</f>
        <v/>
      </c>
      <c r="BG164" s="270" t="str">
        <f>_xlfn.IFNA(VLOOKUP(CONCATENATE(BG$4,$C164),'INSER DATA'!$A:$F,7,0),"")</f>
        <v/>
      </c>
      <c r="BH164" s="270" t="str">
        <f>_xlfn.IFNA(VLOOKUP(CONCATENATE(BH$4,$C164),'INSER DATA'!$A:$F,7,0),"")</f>
        <v/>
      </c>
      <c r="BI164" s="270" t="str">
        <f>_xlfn.IFNA(VLOOKUP(CONCATENATE(BI$4,$C164),'INSER DATA'!$A:$F,7,0),"")</f>
        <v/>
      </c>
      <c r="BJ164" s="270" t="str">
        <f>_xlfn.IFNA(VLOOKUP(CONCATENATE(BJ$4,$C164),'INSER DATA'!$A:$F,7,0),"")</f>
        <v/>
      </c>
      <c r="BK164" s="270" t="str">
        <f>_xlfn.IFNA(VLOOKUP(CONCATENATE(BK$4,$C164),'INSER DATA'!$A:$F,7,0),"")</f>
        <v/>
      </c>
      <c r="BL164" s="272"/>
      <c r="BM164" s="30"/>
      <c r="BN164" s="30"/>
      <c r="BO164" s="30"/>
      <c r="BP164" s="30"/>
      <c r="BQ164" s="30"/>
      <c r="BR164" s="30"/>
      <c r="BS164" s="30"/>
      <c r="BT164" s="30"/>
      <c r="BU164" s="30"/>
      <c r="BV164" s="30"/>
      <c r="BW164" s="30"/>
      <c r="BX164" s="30"/>
      <c r="BY164" s="30"/>
      <c r="BZ164" s="30"/>
      <c r="CA164" s="30"/>
      <c r="CB164" s="30"/>
      <c r="CC164" s="30"/>
      <c r="CD164" s="30"/>
      <c r="CE164" s="30"/>
      <c r="CF164" s="30"/>
      <c r="CG164" s="30"/>
      <c r="CH164" s="30"/>
      <c r="CI164" s="30"/>
      <c r="CJ164" s="30"/>
      <c r="CK164" s="30"/>
      <c r="CL164" s="30"/>
      <c r="CM164" s="30"/>
      <c r="CN164" s="30"/>
      <c r="CO164" s="30"/>
      <c r="CP164" s="30"/>
      <c r="CQ164" s="30"/>
      <c r="CR164" s="30"/>
      <c r="CS164" s="30"/>
      <c r="CT164" s="30"/>
      <c r="CU164" s="30"/>
      <c r="CV164" s="30"/>
      <c r="CW164" s="30"/>
      <c r="CX164" s="30"/>
      <c r="CY164" s="30"/>
      <c r="CZ164" s="30"/>
      <c r="DA164" s="30"/>
    </row>
    <row r="165" spans="1:105" s="184" customFormat="1" ht="19.2" thickTop="1" thickBot="1" x14ac:dyDescent="0.4">
      <c r="C165" s="356" t="s">
        <v>320</v>
      </c>
      <c r="D165" s="357" t="s">
        <v>749</v>
      </c>
      <c r="E165" s="35" t="str">
        <f>_xlfn.XLOOKUP(Tabella4[[#This Row],[NOME]],'ROSE SQUADRE'!$N$3:$N$253,'ROSE SQUADRE'!$O$3:$O$253,"")</f>
        <v>PARTIZAN DEGRADO</v>
      </c>
      <c r="F165" s="36" t="s">
        <v>162</v>
      </c>
      <c r="G165" s="43">
        <v>11</v>
      </c>
      <c r="H165" s="43">
        <v>11</v>
      </c>
      <c r="I165" s="44">
        <f t="shared" si="13"/>
        <v>0</v>
      </c>
      <c r="J165" s="37">
        <f t="shared" si="14"/>
        <v>4</v>
      </c>
      <c r="K165" s="38">
        <f t="shared" si="15"/>
        <v>5.875</v>
      </c>
      <c r="L165" s="38">
        <f t="shared" si="16"/>
        <v>5.875</v>
      </c>
      <c r="M165" s="39">
        <f t="shared" si="17"/>
        <v>23.5</v>
      </c>
      <c r="N165" s="45">
        <f t="shared" ca="1" si="18"/>
        <v>0</v>
      </c>
      <c r="O165" s="40">
        <f>SUMIF(Tabella1[Nome],Tabella4[[#This Row],[NOME]],Tabella1[Gf])</f>
        <v>0</v>
      </c>
      <c r="P165" s="40">
        <f>-(SUMIF(Tabella1[Nome],Tabella4[[#This Row],[NOME]],Tabella1[Gs]))</f>
        <v>0</v>
      </c>
      <c r="Q165" s="40">
        <f>SUMIF(Tabella1[Nome],Tabella4[[#This Row],[NOME]],Tabella1[Rp])</f>
        <v>0</v>
      </c>
      <c r="R165" s="40">
        <f>SUMIF(Tabella1[Nome],Tabella4[[#This Row],[NOME]],Tabella1[Rs])</f>
        <v>0</v>
      </c>
      <c r="S165" s="40">
        <f>SUMIF(Tabella1[Nome],Tabella4[[#This Row],[NOME]],Tabella1[Rf])</f>
        <v>0</v>
      </c>
      <c r="T165" s="40">
        <f>SUMIF(Tabella1[Nome],Tabella4[[#This Row],[NOME]],Tabella1[Au])</f>
        <v>0</v>
      </c>
      <c r="U165" s="41">
        <f>SUMIF(Tabella1[Nome],Tabella4[[#This Row],[NOME]],Tabella1[Amm])</f>
        <v>0</v>
      </c>
      <c r="V165" s="42">
        <f>SUMIF(Tabella1[Nome],Tabella4[[#This Row],[NOME]],Tabella1[Esp])</f>
        <v>0</v>
      </c>
      <c r="W165" s="40">
        <f>SUMIF(Tabella1[Nome],Tabella4[[#This Row],[NOME]],Tabella1[Ass])</f>
        <v>0</v>
      </c>
      <c r="X165" s="40">
        <f>SUMIF(Tabella1[Nome],Tabella4[[#This Row],[NOME]],Tabella1[Gdv])</f>
        <v>0</v>
      </c>
      <c r="Y165" s="40">
        <f>SUMIF(Tabella1[Nome],Tabella4[[#This Row],[NOME]],Tabella1[cl sh])</f>
        <v>0</v>
      </c>
      <c r="Z165" s="270">
        <f>_xlfn.IFNA(_xlfn.XLOOKUP(CONCATENATE(Z$4,$C165),Tabella1[CONC X VOTI IN TAB GIOC],Tabella1[Voto],""),"")</f>
        <v>6</v>
      </c>
      <c r="AA165" s="270">
        <f>_xlfn.IFNA(_xlfn.XLOOKUP(CONCATENATE(AA$4,$C165),Tabella1[CONC X VOTI IN TAB GIOC],Tabella1[Voto],""),"")</f>
        <v>5.5</v>
      </c>
      <c r="AB165" s="270">
        <f>_xlfn.IFNA(_xlfn.XLOOKUP(CONCATENATE(AB$4,$C165),Tabella1[CONC X VOTI IN TAB GIOC],Tabella1[Voto]),"")</f>
        <v>6</v>
      </c>
      <c r="AC165" s="270" cm="1">
        <f t="array" ref="AC165">_xlfn.IFNA(_xlfn.XLOOKUP(CONCATENATE(AC$4,$C165),INDEX(Tabella1[],0,MATCH("CONC X VOTI IN TAB GIOC",Tabella1[#Headers],0)),INDEX(Tabella1[],0,MATCH("Voto",Tabella1[#Headers],0))),"")</f>
        <v>6</v>
      </c>
      <c r="AD165" s="270" t="str">
        <f>_xlfn.IFNA(_xlfn.XLOOKUP(CONCATENATE(AD$4,$C165),Tabella1[CONC X VOTI IN TAB GIOC],Tabella1[Voto]),"")</f>
        <v/>
      </c>
      <c r="AE165" s="270" t="str">
        <f>_xlfn.IFNA(VLOOKUP(CONCATENATE(AE$4,$C165),'INSER DATA'!$A:$F,6,0),"")</f>
        <v/>
      </c>
      <c r="AF165" s="270" t="str">
        <f>_xlfn.IFNA(VLOOKUP(CONCATENATE(AF$4,$C165),'INSER DATA'!$A:$F,6,0),"")</f>
        <v/>
      </c>
      <c r="AG165" s="270" t="str">
        <f>_xlfn.IFNA(VLOOKUP(CONCATENATE(AG$4,$C165),'INSER DATA'!$A:$F,6,0),"")</f>
        <v/>
      </c>
      <c r="AH165" s="270" t="str">
        <f>_xlfn.IFNA(VLOOKUP(CONCATENATE(AH$4,$C165),'INSER DATA'!$A:$F,7,0),"")</f>
        <v/>
      </c>
      <c r="AI165" s="270" t="str">
        <f>_xlfn.IFNA(VLOOKUP(CONCATENATE(AI$4,$C165),'INSER DATA'!$A:$F,7,0),"")</f>
        <v/>
      </c>
      <c r="AJ165" s="270" t="str">
        <f>_xlfn.IFNA(VLOOKUP(CONCATENATE(AJ$4,$C165),'INSER DATA'!$A:$F,7,0),"")</f>
        <v/>
      </c>
      <c r="AK165" s="270" t="str">
        <f>_xlfn.IFNA(VLOOKUP(CONCATENATE(AK$4,$C165),'INSER DATA'!$A:$F,7,0),"")</f>
        <v/>
      </c>
      <c r="AL165" s="270" t="str">
        <f>_xlfn.IFNA(VLOOKUP(CONCATENATE(AL$4,$C165),'INSER DATA'!$A:$F,7,0),"")</f>
        <v/>
      </c>
      <c r="AM165" s="270" t="str">
        <f>_xlfn.IFNA(VLOOKUP(CONCATENATE(AM$4,$C165),'INSER DATA'!$A:$F,7,0),"")</f>
        <v/>
      </c>
      <c r="AN165" s="270" t="str">
        <f>_xlfn.IFNA(VLOOKUP(CONCATENATE(AN$4,$C165),'INSER DATA'!$A:$F,7,0),"")</f>
        <v/>
      </c>
      <c r="AO165" s="270" t="str">
        <f>_xlfn.IFNA(VLOOKUP(CONCATENATE(AO$4,$C165),'INSER DATA'!$A:$F,7,0),"")</f>
        <v/>
      </c>
      <c r="AP165" s="270" t="str">
        <f>_xlfn.IFNA(VLOOKUP(CONCATENATE(AP$4,$C165),'INSER DATA'!$A:$F,7,0),"")</f>
        <v/>
      </c>
      <c r="AQ165" s="270" t="str">
        <f>_xlfn.IFNA(VLOOKUP(CONCATENATE(AQ$4,$C165),'INSER DATA'!$A:$F,7,0),"")</f>
        <v/>
      </c>
      <c r="AR165" s="270" t="str">
        <f>_xlfn.IFNA(VLOOKUP(CONCATENATE(AR$4,$C165),'INSER DATA'!$A:$F,7,0),"")</f>
        <v/>
      </c>
      <c r="AS165" s="270" t="str">
        <f>_xlfn.IFNA(VLOOKUP(CONCATENATE(AS$4,$C165),'INSER DATA'!$A:$F,7,0),"")</f>
        <v/>
      </c>
      <c r="AT165" s="270" t="str">
        <f>_xlfn.IFNA(VLOOKUP(CONCATENATE(AT$4,$C165),'INSER DATA'!$A:$F,7,0),"")</f>
        <v/>
      </c>
      <c r="AU165" s="270" t="str">
        <f>_xlfn.IFNA(VLOOKUP(CONCATENATE(AU$4,$C165),'INSER DATA'!$A:$F,7,0),"")</f>
        <v/>
      </c>
      <c r="AV165" s="270" t="str">
        <f>_xlfn.IFNA(VLOOKUP(CONCATENATE(AV$4,$C165),'INSER DATA'!$A:$F,7,0),"")</f>
        <v/>
      </c>
      <c r="AW165" s="270" t="str">
        <f>_xlfn.IFNA(VLOOKUP(CONCATENATE(AW$4,$C165),'INSER DATA'!$A:$F,7,0),"")</f>
        <v/>
      </c>
      <c r="AX165" s="270" t="str">
        <f>_xlfn.IFNA(VLOOKUP(CONCATENATE(AX$4,$C165),'INSER DATA'!$A:$F,7,0),"")</f>
        <v/>
      </c>
      <c r="AY165" s="270" t="str">
        <f>_xlfn.IFNA(VLOOKUP(CONCATENATE(AY$4,$C165),'INSER DATA'!$A:$F,7,0),"")</f>
        <v/>
      </c>
      <c r="AZ165" s="270" t="str">
        <f>_xlfn.IFNA(VLOOKUP(CONCATENATE(AZ$4,$C165),'INSER DATA'!$A:$F,7,0),"")</f>
        <v/>
      </c>
      <c r="BA165" s="270" t="str">
        <f>_xlfn.IFNA(VLOOKUP(CONCATENATE(BA$4,$C165),'INSER DATA'!$A:$F,7,0),"")</f>
        <v/>
      </c>
      <c r="BB165" s="270" t="str">
        <f>_xlfn.IFNA(VLOOKUP(CONCATENATE(BB$4,$C165),'INSER DATA'!$A:$F,7,0),"")</f>
        <v/>
      </c>
      <c r="BC165" s="270" t="str">
        <f>_xlfn.IFNA(VLOOKUP(CONCATENATE(BC$4,$C165),'INSER DATA'!$A:$F,7,0),"")</f>
        <v/>
      </c>
      <c r="BD165" s="270" t="str">
        <f>_xlfn.IFNA(VLOOKUP(CONCATENATE(BD$4,$C165),'INSER DATA'!$A:$F,7,0),"")</f>
        <v/>
      </c>
      <c r="BE165" s="270" t="str">
        <f>_xlfn.IFNA(VLOOKUP(CONCATENATE(BE$4,$C165),'INSER DATA'!$A:$F,7,0),"")</f>
        <v/>
      </c>
      <c r="BF165" s="270" t="str">
        <f>_xlfn.IFNA(VLOOKUP(CONCATENATE(BF$4,$C165),'INSER DATA'!$A:$F,7,0),"")</f>
        <v/>
      </c>
      <c r="BG165" s="270" t="str">
        <f>_xlfn.IFNA(VLOOKUP(CONCATENATE(BG$4,$C165),'INSER DATA'!$A:$F,7,0),"")</f>
        <v/>
      </c>
      <c r="BH165" s="270" t="str">
        <f>_xlfn.IFNA(VLOOKUP(CONCATENATE(BH$4,$C165),'INSER DATA'!$A:$F,7,0),"")</f>
        <v/>
      </c>
      <c r="BI165" s="270" t="str">
        <f>_xlfn.IFNA(VLOOKUP(CONCATENATE(BI$4,$C165),'INSER DATA'!$A:$F,7,0),"")</f>
        <v/>
      </c>
      <c r="BJ165" s="270" t="str">
        <f>_xlfn.IFNA(VLOOKUP(CONCATENATE(BJ$4,$C165),'INSER DATA'!$A:$F,7,0),"")</f>
        <v/>
      </c>
      <c r="BK165" s="270" t="str">
        <f>_xlfn.IFNA(VLOOKUP(CONCATENATE(BK$4,$C165),'INSER DATA'!$A:$F,7,0),"")</f>
        <v/>
      </c>
      <c r="BL165" s="272"/>
    </row>
    <row r="166" spans="1:105" s="184" customFormat="1" ht="19.2" thickTop="1" thickBot="1" x14ac:dyDescent="0.4">
      <c r="C166" s="188" t="s">
        <v>761</v>
      </c>
      <c r="D166" s="46" t="s">
        <v>749</v>
      </c>
      <c r="E166" s="35" t="str">
        <f>_xlfn.XLOOKUP(Tabella4[[#This Row],[NOME]],'ROSE SQUADRE'!$N$3:$N$253,'ROSE SQUADRE'!$O$3:$O$253,"")</f>
        <v/>
      </c>
      <c r="F166" s="36" t="s">
        <v>162</v>
      </c>
      <c r="G166" s="43">
        <v>7</v>
      </c>
      <c r="H166" s="43">
        <v>7</v>
      </c>
      <c r="I166" s="44">
        <f t="shared" si="13"/>
        <v>0</v>
      </c>
      <c r="J166" s="37">
        <f t="shared" si="14"/>
        <v>4</v>
      </c>
      <c r="K166" s="38">
        <f t="shared" si="15"/>
        <v>5.75</v>
      </c>
      <c r="L166" s="38">
        <f t="shared" si="16"/>
        <v>5.875</v>
      </c>
      <c r="M166" s="39">
        <f t="shared" si="17"/>
        <v>23.5</v>
      </c>
      <c r="N166" s="45">
        <f t="shared" ca="1" si="18"/>
        <v>0</v>
      </c>
      <c r="O166" s="40">
        <f>SUMIF(Tabella1[Nome],Tabella4[[#This Row],[NOME]],Tabella1[Gf])</f>
        <v>0</v>
      </c>
      <c r="P166" s="40">
        <f>-(SUMIF(Tabella1[Nome],Tabella4[[#This Row],[NOME]],Tabella1[Gs]))</f>
        <v>0</v>
      </c>
      <c r="Q166" s="40">
        <f>SUMIF(Tabella1[Nome],Tabella4[[#This Row],[NOME]],Tabella1[Rp])</f>
        <v>0</v>
      </c>
      <c r="R166" s="40">
        <f>SUMIF(Tabella1[Nome],Tabella4[[#This Row],[NOME]],Tabella1[Rs])</f>
        <v>0</v>
      </c>
      <c r="S166" s="40">
        <f>SUMIF(Tabella1[Nome],Tabella4[[#This Row],[NOME]],Tabella1[Rf])</f>
        <v>0</v>
      </c>
      <c r="T166" s="40">
        <f>SUMIF(Tabella1[Nome],Tabella4[[#This Row],[NOME]],Tabella1[Au])</f>
        <v>0</v>
      </c>
      <c r="U166" s="41">
        <f>SUMIF(Tabella1[Nome],Tabella4[[#This Row],[NOME]],Tabella1[Amm])</f>
        <v>1</v>
      </c>
      <c r="V166" s="42">
        <f>SUMIF(Tabella1[Nome],Tabella4[[#This Row],[NOME]],Tabella1[Esp])</f>
        <v>0</v>
      </c>
      <c r="W166" s="40">
        <f>SUMIF(Tabella1[Nome],Tabella4[[#This Row],[NOME]],Tabella1[Ass])</f>
        <v>1</v>
      </c>
      <c r="X166" s="40">
        <f>SUMIF(Tabella1[Nome],Tabella4[[#This Row],[NOME]],Tabella1[Gdv])</f>
        <v>0</v>
      </c>
      <c r="Y166" s="40">
        <f>SUMIF(Tabella1[Nome],Tabella4[[#This Row],[NOME]],Tabella1[cl sh])</f>
        <v>0</v>
      </c>
      <c r="Z166" s="270">
        <f>_xlfn.IFNA(_xlfn.XLOOKUP(CONCATENATE(Z$4,$C166),Tabella1[CONC X VOTI IN TAB GIOC],Tabella1[Voto],""),"")</f>
        <v>5.5</v>
      </c>
      <c r="AA166" s="270">
        <f>_xlfn.IFNA(_xlfn.XLOOKUP(CONCATENATE(AA$4,$C166),Tabella1[CONC X VOTI IN TAB GIOC],Tabella1[Voto],""),"")</f>
        <v>6</v>
      </c>
      <c r="AB166" s="270">
        <f>_xlfn.IFNA(_xlfn.XLOOKUP(CONCATENATE(AB$4,$C166),Tabella1[CONC X VOTI IN TAB GIOC],Tabella1[Voto]),"")</f>
        <v>5.5</v>
      </c>
      <c r="AC166" s="270" cm="1">
        <f t="array" ref="AC166">_xlfn.IFNA(_xlfn.XLOOKUP(CONCATENATE(AC$4,$C166),INDEX(Tabella1[],0,MATCH("CONC X VOTI IN TAB GIOC",Tabella1[#Headers],0)),INDEX(Tabella1[],0,MATCH("Voto",Tabella1[#Headers],0))),"")</f>
        <v>6</v>
      </c>
      <c r="AD166" s="270" t="str">
        <f>_xlfn.IFNA(_xlfn.XLOOKUP(CONCATENATE(AD$4,$C166),Tabella1[CONC X VOTI IN TAB GIOC],Tabella1[Voto]),"")</f>
        <v/>
      </c>
      <c r="AE166" s="270" t="str">
        <f>_xlfn.IFNA(VLOOKUP(CONCATENATE(AE$4,$C166),'INSER DATA'!$A:$F,6,0),"")</f>
        <v/>
      </c>
      <c r="AF166" s="270" t="str">
        <f>_xlfn.IFNA(VLOOKUP(CONCATENATE(AF$4,$C166),'INSER DATA'!$A:$F,6,0),"")</f>
        <v/>
      </c>
      <c r="AG166" s="270" t="str">
        <f>_xlfn.IFNA(VLOOKUP(CONCATENATE(AG$4,$C166),'INSER DATA'!$A:$F,6,0),"")</f>
        <v/>
      </c>
      <c r="AH166" s="270" t="str">
        <f>_xlfn.IFNA(VLOOKUP(CONCATENATE(AH$4,$C166),'INSER DATA'!$A:$F,7,0),"")</f>
        <v/>
      </c>
      <c r="AI166" s="270" t="str">
        <f>_xlfn.IFNA(VLOOKUP(CONCATENATE(AI$4,$C166),'INSER DATA'!$A:$F,7,0),"")</f>
        <v/>
      </c>
      <c r="AJ166" s="270" t="str">
        <f>_xlfn.IFNA(VLOOKUP(CONCATENATE(AJ$4,$C166),'INSER DATA'!$A:$F,7,0),"")</f>
        <v/>
      </c>
      <c r="AK166" s="270" t="str">
        <f>_xlfn.IFNA(VLOOKUP(CONCATENATE(AK$4,$C166),'INSER DATA'!$A:$F,7,0),"")</f>
        <v/>
      </c>
      <c r="AL166" s="270" t="str">
        <f>_xlfn.IFNA(VLOOKUP(CONCATENATE(AL$4,$C166),'INSER DATA'!$A:$F,7,0),"")</f>
        <v/>
      </c>
      <c r="AM166" s="270" t="str">
        <f>_xlfn.IFNA(VLOOKUP(CONCATENATE(AM$4,$C166),'INSER DATA'!$A:$F,7,0),"")</f>
        <v/>
      </c>
      <c r="AN166" s="270" t="str">
        <f>_xlfn.IFNA(VLOOKUP(CONCATENATE(AN$4,$C166),'INSER DATA'!$A:$F,7,0),"")</f>
        <v/>
      </c>
      <c r="AO166" s="270" t="str">
        <f>_xlfn.IFNA(VLOOKUP(CONCATENATE(AO$4,$C166),'INSER DATA'!$A:$F,7,0),"")</f>
        <v/>
      </c>
      <c r="AP166" s="270" t="str">
        <f>_xlfn.IFNA(VLOOKUP(CONCATENATE(AP$4,$C166),'INSER DATA'!$A:$F,7,0),"")</f>
        <v/>
      </c>
      <c r="AQ166" s="270" t="str">
        <f>_xlfn.IFNA(VLOOKUP(CONCATENATE(AQ$4,$C166),'INSER DATA'!$A:$F,7,0),"")</f>
        <v/>
      </c>
      <c r="AR166" s="270" t="str">
        <f>_xlfn.IFNA(VLOOKUP(CONCATENATE(AR$4,$C166),'INSER DATA'!$A:$F,7,0),"")</f>
        <v/>
      </c>
      <c r="AS166" s="270" t="str">
        <f>_xlfn.IFNA(VLOOKUP(CONCATENATE(AS$4,$C166),'INSER DATA'!$A:$F,7,0),"")</f>
        <v/>
      </c>
      <c r="AT166" s="270" t="str">
        <f>_xlfn.IFNA(VLOOKUP(CONCATENATE(AT$4,$C166),'INSER DATA'!$A:$F,7,0),"")</f>
        <v/>
      </c>
      <c r="AU166" s="270" t="str">
        <f>_xlfn.IFNA(VLOOKUP(CONCATENATE(AU$4,$C166),'INSER DATA'!$A:$F,7,0),"")</f>
        <v/>
      </c>
      <c r="AV166" s="270" t="str">
        <f>_xlfn.IFNA(VLOOKUP(CONCATENATE(AV$4,$C166),'INSER DATA'!$A:$F,7,0),"")</f>
        <v/>
      </c>
      <c r="AW166" s="270" t="str">
        <f>_xlfn.IFNA(VLOOKUP(CONCATENATE(AW$4,$C166),'INSER DATA'!$A:$F,7,0),"")</f>
        <v/>
      </c>
      <c r="AX166" s="270" t="str">
        <f>_xlfn.IFNA(VLOOKUP(CONCATENATE(AX$4,$C166),'INSER DATA'!$A:$F,7,0),"")</f>
        <v/>
      </c>
      <c r="AY166" s="270" t="str">
        <f>_xlfn.IFNA(VLOOKUP(CONCATENATE(AY$4,$C166),'INSER DATA'!$A:$F,7,0),"")</f>
        <v/>
      </c>
      <c r="AZ166" s="270" t="str">
        <f>_xlfn.IFNA(VLOOKUP(CONCATENATE(AZ$4,$C166),'INSER DATA'!$A:$F,7,0),"")</f>
        <v/>
      </c>
      <c r="BA166" s="270" t="str">
        <f>_xlfn.IFNA(VLOOKUP(CONCATENATE(BA$4,$C166),'INSER DATA'!$A:$F,7,0),"")</f>
        <v/>
      </c>
      <c r="BB166" s="270" t="str">
        <f>_xlfn.IFNA(VLOOKUP(CONCATENATE(BB$4,$C166),'INSER DATA'!$A:$F,7,0),"")</f>
        <v/>
      </c>
      <c r="BC166" s="270" t="str">
        <f>_xlfn.IFNA(VLOOKUP(CONCATENATE(BC$4,$C166),'INSER DATA'!$A:$F,7,0),"")</f>
        <v/>
      </c>
      <c r="BD166" s="270" t="str">
        <f>_xlfn.IFNA(VLOOKUP(CONCATENATE(BD$4,$C166),'INSER DATA'!$A:$F,7,0),"")</f>
        <v/>
      </c>
      <c r="BE166" s="270" t="str">
        <f>_xlfn.IFNA(VLOOKUP(CONCATENATE(BE$4,$C166),'INSER DATA'!$A:$F,7,0),"")</f>
        <v/>
      </c>
      <c r="BF166" s="270" t="str">
        <f>_xlfn.IFNA(VLOOKUP(CONCATENATE(BF$4,$C166),'INSER DATA'!$A:$F,7,0),"")</f>
        <v/>
      </c>
      <c r="BG166" s="270" t="str">
        <f>_xlfn.IFNA(VLOOKUP(CONCATENATE(BG$4,$C166),'INSER DATA'!$A:$F,7,0),"")</f>
        <v/>
      </c>
      <c r="BH166" s="270" t="str">
        <f>_xlfn.IFNA(VLOOKUP(CONCATENATE(BH$4,$C166),'INSER DATA'!$A:$F,7,0),"")</f>
        <v/>
      </c>
      <c r="BI166" s="270" t="str">
        <f>_xlfn.IFNA(VLOOKUP(CONCATENATE(BI$4,$C166),'INSER DATA'!$A:$F,7,0),"")</f>
        <v/>
      </c>
      <c r="BJ166" s="270" t="str">
        <f>_xlfn.IFNA(VLOOKUP(CONCATENATE(BJ$4,$C166),'INSER DATA'!$A:$F,7,0),"")</f>
        <v/>
      </c>
      <c r="BK166" s="270" t="str">
        <f>_xlfn.IFNA(VLOOKUP(CONCATENATE(BK$4,$C166),'INSER DATA'!$A:$F,7,0),"")</f>
        <v/>
      </c>
      <c r="BL166" s="272"/>
    </row>
    <row r="167" spans="1:105" s="184" customFormat="1" ht="19.2" thickTop="1" thickBot="1" x14ac:dyDescent="0.4">
      <c r="C167" s="356" t="s">
        <v>227</v>
      </c>
      <c r="D167" s="357" t="s">
        <v>749</v>
      </c>
      <c r="E167" s="35" t="str">
        <f>_xlfn.XLOOKUP(Tabella4[[#This Row],[NOME]],'ROSE SQUADRE'!$N$3:$N$253,'ROSE SQUADRE'!$O$3:$O$253,"")</f>
        <v>PARTIZAN DEGRADO</v>
      </c>
      <c r="F167" s="36" t="s">
        <v>163</v>
      </c>
      <c r="G167" s="43">
        <v>11</v>
      </c>
      <c r="H167" s="43">
        <v>11</v>
      </c>
      <c r="I167" s="44">
        <f t="shared" si="13"/>
        <v>0</v>
      </c>
      <c r="J167" s="37">
        <f t="shared" si="14"/>
        <v>4</v>
      </c>
      <c r="K167" s="178">
        <f t="shared" si="15"/>
        <v>5.75</v>
      </c>
      <c r="L167" s="178">
        <f t="shared" si="16"/>
        <v>5.25</v>
      </c>
      <c r="M167" s="179">
        <f t="shared" si="17"/>
        <v>21</v>
      </c>
      <c r="N167" s="45">
        <f t="shared" ca="1" si="18"/>
        <v>0</v>
      </c>
      <c r="O167" s="40">
        <f>SUMIF(Tabella1[Nome],Tabella4[[#This Row],[NOME]],Tabella1[Gf])</f>
        <v>0</v>
      </c>
      <c r="P167" s="40">
        <f>-(SUMIF(Tabella1[Nome],Tabella4[[#This Row],[NOME]],Tabella1[Gs]))</f>
        <v>0</v>
      </c>
      <c r="Q167" s="40">
        <f>SUMIF(Tabella1[Nome],Tabella4[[#This Row],[NOME]],Tabella1[Rp])</f>
        <v>0</v>
      </c>
      <c r="R167" s="40">
        <f>SUMIF(Tabella1[Nome],Tabella4[[#This Row],[NOME]],Tabella1[Rs])</f>
        <v>1</v>
      </c>
      <c r="S167" s="40">
        <f>SUMIF(Tabella1[Nome],Tabella4[[#This Row],[NOME]],Tabella1[Rf])</f>
        <v>0</v>
      </c>
      <c r="T167" s="40">
        <f>SUMIF(Tabella1[Nome],Tabella4[[#This Row],[NOME]],Tabella1[Au])</f>
        <v>0</v>
      </c>
      <c r="U167" s="41">
        <f>SUMIF(Tabella1[Nome],Tabella4[[#This Row],[NOME]],Tabella1[Amm])</f>
        <v>0</v>
      </c>
      <c r="V167" s="42">
        <f>SUMIF(Tabella1[Nome],Tabella4[[#This Row],[NOME]],Tabella1[Esp])</f>
        <v>0</v>
      </c>
      <c r="W167" s="40">
        <f>SUMIF(Tabella1[Nome],Tabella4[[#This Row],[NOME]],Tabella1[Ass])</f>
        <v>1</v>
      </c>
      <c r="X167" s="40">
        <f>SUMIF(Tabella1[Nome],Tabella4[[#This Row],[NOME]],Tabella1[Gdv])</f>
        <v>0</v>
      </c>
      <c r="Y167" s="40">
        <f>SUMIF(Tabella1[Nome],Tabella4[[#This Row],[NOME]],Tabella1[cl sh])</f>
        <v>0</v>
      </c>
      <c r="Z167" s="270">
        <f>_xlfn.IFNA(_xlfn.XLOOKUP(CONCATENATE(Z$4,$C167),Tabella1[CONC X VOTI IN TAB GIOC],Tabella1[Voto],""),"")</f>
        <v>6</v>
      </c>
      <c r="AA167" s="270">
        <f>_xlfn.IFNA(_xlfn.XLOOKUP(CONCATENATE(AA$4,$C167),Tabella1[CONC X VOTI IN TAB GIOC],Tabella1[Voto],""),"")</f>
        <v>5.5</v>
      </c>
      <c r="AB167" s="270">
        <f>_xlfn.IFNA(_xlfn.XLOOKUP(CONCATENATE(AB$4,$C167),Tabella1[CONC X VOTI IN TAB GIOC],Tabella1[Voto]),"")</f>
        <v>6.5</v>
      </c>
      <c r="AC167" s="270" cm="1">
        <f t="array" ref="AC167">_xlfn.IFNA(_xlfn.XLOOKUP(CONCATENATE(AC$4,$C167),INDEX(Tabella1[],0,MATCH("CONC X VOTI IN TAB GIOC",Tabella1[#Headers],0)),INDEX(Tabella1[],0,MATCH("Voto",Tabella1[#Headers],0))),"")</f>
        <v>5</v>
      </c>
      <c r="AD167" s="270" t="str">
        <f>_xlfn.IFNA(_xlfn.XLOOKUP(CONCATENATE(AD$4,$C167),Tabella1[CONC X VOTI IN TAB GIOC],Tabella1[Voto]),"")</f>
        <v/>
      </c>
      <c r="AE167" s="270" t="str">
        <f>_xlfn.IFNA(VLOOKUP(CONCATENATE(AE$4,$C167),'INSER DATA'!$A:$F,6,0),"")</f>
        <v/>
      </c>
      <c r="AF167" s="270" t="str">
        <f>_xlfn.IFNA(VLOOKUP(CONCATENATE(AF$4,$C167),'INSER DATA'!$A:$F,6,0),"")</f>
        <v/>
      </c>
      <c r="AG167" s="270" t="str">
        <f>_xlfn.IFNA(VLOOKUP(CONCATENATE(AG$4,$C167),'INSER DATA'!$A:$F,6,0),"")</f>
        <v/>
      </c>
      <c r="AH167" s="270" t="str">
        <f>_xlfn.IFNA(VLOOKUP(CONCATENATE(AH$4,$C167),'INSER DATA'!$A:$F,7,0),"")</f>
        <v/>
      </c>
      <c r="AI167" s="270" t="str">
        <f>_xlfn.IFNA(VLOOKUP(CONCATENATE(AI$4,$C167),'INSER DATA'!$A:$F,7,0),"")</f>
        <v/>
      </c>
      <c r="AJ167" s="270" t="str">
        <f>_xlfn.IFNA(VLOOKUP(CONCATENATE(AJ$4,$C167),'INSER DATA'!$A:$F,7,0),"")</f>
        <v/>
      </c>
      <c r="AK167" s="270" t="str">
        <f>_xlfn.IFNA(VLOOKUP(CONCATENATE(AK$4,$C167),'INSER DATA'!$A:$F,7,0),"")</f>
        <v/>
      </c>
      <c r="AL167" s="270" t="str">
        <f>_xlfn.IFNA(VLOOKUP(CONCATENATE(AL$4,$C167),'INSER DATA'!$A:$F,7,0),"")</f>
        <v/>
      </c>
      <c r="AM167" s="270" t="str">
        <f>_xlfn.IFNA(VLOOKUP(CONCATENATE(AM$4,$C167),'INSER DATA'!$A:$F,7,0),"")</f>
        <v/>
      </c>
      <c r="AN167" s="270" t="str">
        <f>_xlfn.IFNA(VLOOKUP(CONCATENATE(AN$4,$C167),'INSER DATA'!$A:$F,7,0),"")</f>
        <v/>
      </c>
      <c r="AO167" s="270" t="str">
        <f>_xlfn.IFNA(VLOOKUP(CONCATENATE(AO$4,$C167),'INSER DATA'!$A:$F,7,0),"")</f>
        <v/>
      </c>
      <c r="AP167" s="270" t="str">
        <f>_xlfn.IFNA(VLOOKUP(CONCATENATE(AP$4,$C167),'INSER DATA'!$A:$F,7,0),"")</f>
        <v/>
      </c>
      <c r="AQ167" s="270" t="str">
        <f>_xlfn.IFNA(VLOOKUP(CONCATENATE(AQ$4,$C167),'INSER DATA'!$A:$F,7,0),"")</f>
        <v/>
      </c>
      <c r="AR167" s="270" t="str">
        <f>_xlfn.IFNA(VLOOKUP(CONCATENATE(AR$4,$C167),'INSER DATA'!$A:$F,7,0),"")</f>
        <v/>
      </c>
      <c r="AS167" s="270" t="str">
        <f>_xlfn.IFNA(VLOOKUP(CONCATENATE(AS$4,$C167),'INSER DATA'!$A:$F,7,0),"")</f>
        <v/>
      </c>
      <c r="AT167" s="270" t="str">
        <f>_xlfn.IFNA(VLOOKUP(CONCATENATE(AT$4,$C167),'INSER DATA'!$A:$F,7,0),"")</f>
        <v/>
      </c>
      <c r="AU167" s="270" t="str">
        <f>_xlfn.IFNA(VLOOKUP(CONCATENATE(AU$4,$C167),'INSER DATA'!$A:$F,7,0),"")</f>
        <v/>
      </c>
      <c r="AV167" s="270" t="str">
        <f>_xlfn.IFNA(VLOOKUP(CONCATENATE(AV$4,$C167),'INSER DATA'!$A:$F,7,0),"")</f>
        <v/>
      </c>
      <c r="AW167" s="270" t="str">
        <f>_xlfn.IFNA(VLOOKUP(CONCATENATE(AW$4,$C167),'INSER DATA'!$A:$F,7,0),"")</f>
        <v/>
      </c>
      <c r="AX167" s="270" t="str">
        <f>_xlfn.IFNA(VLOOKUP(CONCATENATE(AX$4,$C167),'INSER DATA'!$A:$F,7,0),"")</f>
        <v/>
      </c>
      <c r="AY167" s="270" t="str">
        <f>_xlfn.IFNA(VLOOKUP(CONCATENATE(AY$4,$C167),'INSER DATA'!$A:$F,7,0),"")</f>
        <v/>
      </c>
      <c r="AZ167" s="270" t="str">
        <f>_xlfn.IFNA(VLOOKUP(CONCATENATE(AZ$4,$C167),'INSER DATA'!$A:$F,7,0),"")</f>
        <v/>
      </c>
      <c r="BA167" s="270" t="str">
        <f>_xlfn.IFNA(VLOOKUP(CONCATENATE(BA$4,$C167),'INSER DATA'!$A:$F,7,0),"")</f>
        <v/>
      </c>
      <c r="BB167" s="270" t="str">
        <f>_xlfn.IFNA(VLOOKUP(CONCATENATE(BB$4,$C167),'INSER DATA'!$A:$F,7,0),"")</f>
        <v/>
      </c>
      <c r="BC167" s="270" t="str">
        <f>_xlfn.IFNA(VLOOKUP(CONCATENATE(BC$4,$C167),'INSER DATA'!$A:$F,7,0),"")</f>
        <v/>
      </c>
      <c r="BD167" s="270" t="str">
        <f>_xlfn.IFNA(VLOOKUP(CONCATENATE(BD$4,$C167),'INSER DATA'!$A:$F,7,0),"")</f>
        <v/>
      </c>
      <c r="BE167" s="270" t="str">
        <f>_xlfn.IFNA(VLOOKUP(CONCATENATE(BE$4,$C167),'INSER DATA'!$A:$F,7,0),"")</f>
        <v/>
      </c>
      <c r="BF167" s="270" t="str">
        <f>_xlfn.IFNA(VLOOKUP(CONCATENATE(BF$4,$C167),'INSER DATA'!$A:$F,7,0),"")</f>
        <v/>
      </c>
      <c r="BG167" s="270" t="str">
        <f>_xlfn.IFNA(VLOOKUP(CONCATENATE(BG$4,$C167),'INSER DATA'!$A:$F,7,0),"")</f>
        <v/>
      </c>
      <c r="BH167" s="270" t="str">
        <f>_xlfn.IFNA(VLOOKUP(CONCATENATE(BH$4,$C167),'INSER DATA'!$A:$F,7,0),"")</f>
        <v/>
      </c>
      <c r="BI167" s="270" t="str">
        <f>_xlfn.IFNA(VLOOKUP(CONCATENATE(BI$4,$C167),'INSER DATA'!$A:$F,7,0),"")</f>
        <v/>
      </c>
      <c r="BJ167" s="270" t="str">
        <f>_xlfn.IFNA(VLOOKUP(CONCATENATE(BJ$4,$C167),'INSER DATA'!$A:$F,7,0),"")</f>
        <v/>
      </c>
      <c r="BK167" s="270" t="str">
        <f>_xlfn.IFNA(VLOOKUP(CONCATENATE(BK$4,$C167),'INSER DATA'!$A:$F,7,0),"")</f>
        <v/>
      </c>
      <c r="BL167" s="272"/>
    </row>
    <row r="168" spans="1:105" s="184" customFormat="1" ht="19.2" thickTop="1" thickBot="1" x14ac:dyDescent="0.4">
      <c r="C168" s="356" t="s">
        <v>748</v>
      </c>
      <c r="D168" s="357" t="s">
        <v>749</v>
      </c>
      <c r="E168" s="35" t="str">
        <f>_xlfn.XLOOKUP(Tabella4[[#This Row],[NOME]],'ROSE SQUADRE'!$N$3:$N$253,'ROSE SQUADRE'!$O$3:$O$253,"")</f>
        <v>AS PIPPERIA</v>
      </c>
      <c r="F168" s="36" t="s">
        <v>5</v>
      </c>
      <c r="G168" s="43">
        <v>8</v>
      </c>
      <c r="H168" s="43">
        <v>8</v>
      </c>
      <c r="I168" s="44">
        <f t="shared" si="13"/>
        <v>0</v>
      </c>
      <c r="J168" s="37">
        <f t="shared" si="14"/>
        <v>4</v>
      </c>
      <c r="K168" s="38">
        <f t="shared" si="15"/>
        <v>5.75</v>
      </c>
      <c r="L168" s="38">
        <f t="shared" si="16"/>
        <v>3.75</v>
      </c>
      <c r="M168" s="39">
        <f t="shared" si="17"/>
        <v>15</v>
      </c>
      <c r="N168" s="45">
        <f t="shared" ca="1" si="18"/>
        <v>0</v>
      </c>
      <c r="O168" s="40">
        <f>SUMIF(Tabella1[Nome],Tabella4[[#This Row],[NOME]],Tabella1[Gf])</f>
        <v>0</v>
      </c>
      <c r="P168" s="40">
        <f>-(SUMIF(Tabella1[Nome],Tabella4[[#This Row],[NOME]],Tabella1[Gs]))</f>
        <v>-8</v>
      </c>
      <c r="Q168" s="40">
        <f>SUMIF(Tabella1[Nome],Tabella4[[#This Row],[NOME]],Tabella1[Rp])</f>
        <v>0</v>
      </c>
      <c r="R168" s="40">
        <f>SUMIF(Tabella1[Nome],Tabella4[[#This Row],[NOME]],Tabella1[Rs])</f>
        <v>0</v>
      </c>
      <c r="S168" s="40">
        <f>SUMIF(Tabella1[Nome],Tabella4[[#This Row],[NOME]],Tabella1[Rf])</f>
        <v>0</v>
      </c>
      <c r="T168" s="40">
        <f>SUMIF(Tabella1[Nome],Tabella4[[#This Row],[NOME]],Tabella1[Au])</f>
        <v>0</v>
      </c>
      <c r="U168" s="41">
        <f>SUMIF(Tabella1[Nome],Tabella4[[#This Row],[NOME]],Tabella1[Amm])</f>
        <v>0</v>
      </c>
      <c r="V168" s="42">
        <f>SUMIF(Tabella1[Nome],Tabella4[[#This Row],[NOME]],Tabella1[Esp])</f>
        <v>0</v>
      </c>
      <c r="W168" s="40">
        <f>SUMIF(Tabella1[Nome],Tabella4[[#This Row],[NOME]],Tabella1[Ass])</f>
        <v>0</v>
      </c>
      <c r="X168" s="40">
        <f>SUMIF(Tabella1[Nome],Tabella4[[#This Row],[NOME]],Tabella1[Gdv])</f>
        <v>0</v>
      </c>
      <c r="Y168" s="40">
        <f>SUMIF(Tabella1[Nome],Tabella4[[#This Row],[NOME]],Tabella1[cl sh])</f>
        <v>0</v>
      </c>
      <c r="Z168" s="270">
        <f>_xlfn.IFNA(_xlfn.XLOOKUP(CONCATENATE(Z$4,$C168),Tabella1[CONC X VOTI IN TAB GIOC],Tabella1[Voto],""),"")</f>
        <v>6</v>
      </c>
      <c r="AA168" s="270">
        <f>_xlfn.IFNA(_xlfn.XLOOKUP(CONCATENATE(AA$4,$C168),Tabella1[CONC X VOTI IN TAB GIOC],Tabella1[Voto],""),"")</f>
        <v>5</v>
      </c>
      <c r="AB168" s="270">
        <f>_xlfn.IFNA(_xlfn.XLOOKUP(CONCATENATE(AB$4,$C168),Tabella1[CONC X VOTI IN TAB GIOC],Tabella1[Voto]),"")</f>
        <v>5.5</v>
      </c>
      <c r="AC168" s="270" cm="1">
        <f t="array" ref="AC168">_xlfn.IFNA(_xlfn.XLOOKUP(CONCATENATE(AC$4,$C168),INDEX(Tabella1[],0,MATCH("CONC X VOTI IN TAB GIOC",Tabella1[#Headers],0)),INDEX(Tabella1[],0,MATCH("Voto",Tabella1[#Headers],0))),"")</f>
        <v>6.5</v>
      </c>
      <c r="AD168" s="270" t="str">
        <f>_xlfn.IFNA(_xlfn.XLOOKUP(CONCATENATE(AD$4,$C168),Tabella1[CONC X VOTI IN TAB GIOC],Tabella1[Voto]),"")</f>
        <v/>
      </c>
      <c r="AE168" s="270" t="str">
        <f>_xlfn.IFNA(VLOOKUP(CONCATENATE(AE$4,$C168),'INSER DATA'!$A:$F,6,0),"")</f>
        <v/>
      </c>
      <c r="AF168" s="270" t="str">
        <f>_xlfn.IFNA(VLOOKUP(CONCATENATE(AF$4,$C168),'INSER DATA'!$A:$F,6,0),"")</f>
        <v/>
      </c>
      <c r="AG168" s="270" t="str">
        <f>_xlfn.IFNA(VLOOKUP(CONCATENATE(AG$4,$C168),'INSER DATA'!$A:$F,6,0),"")</f>
        <v/>
      </c>
      <c r="AH168" s="270" t="str">
        <f>_xlfn.IFNA(VLOOKUP(CONCATENATE(AH$4,$C168),'INSER DATA'!$A:$F,7,0),"")</f>
        <v/>
      </c>
      <c r="AI168" s="270" t="str">
        <f>_xlfn.IFNA(VLOOKUP(CONCATENATE(AI$4,$C168),'INSER DATA'!$A:$F,7,0),"")</f>
        <v/>
      </c>
      <c r="AJ168" s="270" t="str">
        <f>_xlfn.IFNA(VLOOKUP(CONCATENATE(AJ$4,$C168),'INSER DATA'!$A:$F,7,0),"")</f>
        <v/>
      </c>
      <c r="AK168" s="270" t="str">
        <f>_xlfn.IFNA(VLOOKUP(CONCATENATE(AK$4,$C168),'INSER DATA'!$A:$F,7,0),"")</f>
        <v/>
      </c>
      <c r="AL168" s="270" t="str">
        <f>_xlfn.IFNA(VLOOKUP(CONCATENATE(AL$4,$C168),'INSER DATA'!$A:$F,7,0),"")</f>
        <v/>
      </c>
      <c r="AM168" s="270" t="str">
        <f>_xlfn.IFNA(VLOOKUP(CONCATENATE(AM$4,$C168),'INSER DATA'!$A:$F,7,0),"")</f>
        <v/>
      </c>
      <c r="AN168" s="270" t="str">
        <f>_xlfn.IFNA(VLOOKUP(CONCATENATE(AN$4,$C168),'INSER DATA'!$A:$F,7,0),"")</f>
        <v/>
      </c>
      <c r="AO168" s="270" t="str">
        <f>_xlfn.IFNA(VLOOKUP(CONCATENATE(AO$4,$C168),'INSER DATA'!$A:$F,7,0),"")</f>
        <v/>
      </c>
      <c r="AP168" s="270" t="str">
        <f>_xlfn.IFNA(VLOOKUP(CONCATENATE(AP$4,$C168),'INSER DATA'!$A:$F,7,0),"")</f>
        <v/>
      </c>
      <c r="AQ168" s="270" t="str">
        <f>_xlfn.IFNA(VLOOKUP(CONCATENATE(AQ$4,$C168),'INSER DATA'!$A:$F,7,0),"")</f>
        <v/>
      </c>
      <c r="AR168" s="270" t="str">
        <f>_xlfn.IFNA(VLOOKUP(CONCATENATE(AR$4,$C168),'INSER DATA'!$A:$F,7,0),"")</f>
        <v/>
      </c>
      <c r="AS168" s="270" t="str">
        <f>_xlfn.IFNA(VLOOKUP(CONCATENATE(AS$4,$C168),'INSER DATA'!$A:$F,7,0),"")</f>
        <v/>
      </c>
      <c r="AT168" s="270" t="str">
        <f>_xlfn.IFNA(VLOOKUP(CONCATENATE(AT$4,$C168),'INSER DATA'!$A:$F,7,0),"")</f>
        <v/>
      </c>
      <c r="AU168" s="270" t="str">
        <f>_xlfn.IFNA(VLOOKUP(CONCATENATE(AU$4,$C168),'INSER DATA'!$A:$F,7,0),"")</f>
        <v/>
      </c>
      <c r="AV168" s="270" t="str">
        <f>_xlfn.IFNA(VLOOKUP(CONCATENATE(AV$4,$C168),'INSER DATA'!$A:$F,7,0),"")</f>
        <v/>
      </c>
      <c r="AW168" s="270" t="str">
        <f>_xlfn.IFNA(VLOOKUP(CONCATENATE(AW$4,$C168),'INSER DATA'!$A:$F,7,0),"")</f>
        <v/>
      </c>
      <c r="AX168" s="270" t="str">
        <f>_xlfn.IFNA(VLOOKUP(CONCATENATE(AX$4,$C168),'INSER DATA'!$A:$F,7,0),"")</f>
        <v/>
      </c>
      <c r="AY168" s="270" t="str">
        <f>_xlfn.IFNA(VLOOKUP(CONCATENATE(AY$4,$C168),'INSER DATA'!$A:$F,7,0),"")</f>
        <v/>
      </c>
      <c r="AZ168" s="270" t="str">
        <f>_xlfn.IFNA(VLOOKUP(CONCATENATE(AZ$4,$C168),'INSER DATA'!$A:$F,7,0),"")</f>
        <v/>
      </c>
      <c r="BA168" s="270" t="str">
        <f>_xlfn.IFNA(VLOOKUP(CONCATENATE(BA$4,$C168),'INSER DATA'!$A:$F,7,0),"")</f>
        <v/>
      </c>
      <c r="BB168" s="270" t="str">
        <f>_xlfn.IFNA(VLOOKUP(CONCATENATE(BB$4,$C168),'INSER DATA'!$A:$F,7,0),"")</f>
        <v/>
      </c>
      <c r="BC168" s="270" t="str">
        <f>_xlfn.IFNA(VLOOKUP(CONCATENATE(BC$4,$C168),'INSER DATA'!$A:$F,7,0),"")</f>
        <v/>
      </c>
      <c r="BD168" s="270" t="str">
        <f>_xlfn.IFNA(VLOOKUP(CONCATENATE(BD$4,$C168),'INSER DATA'!$A:$F,7,0),"")</f>
        <v/>
      </c>
      <c r="BE168" s="270" t="str">
        <f>_xlfn.IFNA(VLOOKUP(CONCATENATE(BE$4,$C168),'INSER DATA'!$A:$F,7,0),"")</f>
        <v/>
      </c>
      <c r="BF168" s="270" t="str">
        <f>_xlfn.IFNA(VLOOKUP(CONCATENATE(BF$4,$C168),'INSER DATA'!$A:$F,7,0),"")</f>
        <v/>
      </c>
      <c r="BG168" s="270" t="str">
        <f>_xlfn.IFNA(VLOOKUP(CONCATENATE(BG$4,$C168),'INSER DATA'!$A:$F,7,0),"")</f>
        <v/>
      </c>
      <c r="BH168" s="270" t="str">
        <f>_xlfn.IFNA(VLOOKUP(CONCATENATE(BH$4,$C168),'INSER DATA'!$A:$F,7,0),"")</f>
        <v/>
      </c>
      <c r="BI168" s="270" t="str">
        <f>_xlfn.IFNA(VLOOKUP(CONCATENATE(BI$4,$C168),'INSER DATA'!$A:$F,7,0),"")</f>
        <v/>
      </c>
      <c r="BJ168" s="270" t="str">
        <f>_xlfn.IFNA(VLOOKUP(CONCATENATE(BJ$4,$C168),'INSER DATA'!$A:$F,7,0),"")</f>
        <v/>
      </c>
      <c r="BK168" s="270" t="str">
        <f>_xlfn.IFNA(VLOOKUP(CONCATENATE(BK$4,$C168),'INSER DATA'!$A:$F,7,0),"")</f>
        <v/>
      </c>
      <c r="BL168" s="272"/>
    </row>
    <row r="169" spans="1:105" ht="19.2" thickTop="1" thickBot="1" x14ac:dyDescent="0.4">
      <c r="A169" s="30"/>
      <c r="B169" s="30"/>
      <c r="C169" s="185" t="s">
        <v>588</v>
      </c>
      <c r="D169" s="46" t="s">
        <v>749</v>
      </c>
      <c r="E169" s="35" t="str">
        <f>_xlfn.XLOOKUP(Tabella4[[#This Row],[NOME]],'ROSE SQUADRE'!$N$3:$N$253,'ROSE SQUADRE'!$O$3:$O$253,"")</f>
        <v/>
      </c>
      <c r="F169" s="36" t="s">
        <v>162</v>
      </c>
      <c r="G169" s="43">
        <v>6</v>
      </c>
      <c r="H169" s="43">
        <v>6</v>
      </c>
      <c r="I169" s="44">
        <f t="shared" si="13"/>
        <v>0</v>
      </c>
      <c r="J169" s="37">
        <f t="shared" si="14"/>
        <v>4</v>
      </c>
      <c r="K169" s="38">
        <f t="shared" si="15"/>
        <v>5.625</v>
      </c>
      <c r="L169" s="38">
        <f t="shared" si="16"/>
        <v>5.625</v>
      </c>
      <c r="M169" s="39">
        <f t="shared" si="17"/>
        <v>22.5</v>
      </c>
      <c r="N169" s="45">
        <f t="shared" ca="1" si="18"/>
        <v>0</v>
      </c>
      <c r="O169" s="40">
        <f>SUMIF(Tabella1[Nome],Tabella4[[#This Row],[NOME]],Tabella1[Gf])</f>
        <v>0</v>
      </c>
      <c r="P169" s="40">
        <f>-(SUMIF(Tabella1[Nome],Tabella4[[#This Row],[NOME]],Tabella1[Gs]))</f>
        <v>0</v>
      </c>
      <c r="Q169" s="40">
        <f>SUMIF(Tabella1[Nome],Tabella4[[#This Row],[NOME]],Tabella1[Rp])</f>
        <v>0</v>
      </c>
      <c r="R169" s="40">
        <f>SUMIF(Tabella1[Nome],Tabella4[[#This Row],[NOME]],Tabella1[Rs])</f>
        <v>0</v>
      </c>
      <c r="S169" s="40">
        <f>SUMIF(Tabella1[Nome],Tabella4[[#This Row],[NOME]],Tabella1[Rf])</f>
        <v>0</v>
      </c>
      <c r="T169" s="40">
        <f>SUMIF(Tabella1[Nome],Tabella4[[#This Row],[NOME]],Tabella1[Au])</f>
        <v>0</v>
      </c>
      <c r="U169" s="41">
        <f>SUMIF(Tabella1[Nome],Tabella4[[#This Row],[NOME]],Tabella1[Amm])</f>
        <v>0</v>
      </c>
      <c r="V169" s="42">
        <f>SUMIF(Tabella1[Nome],Tabella4[[#This Row],[NOME]],Tabella1[Esp])</f>
        <v>0</v>
      </c>
      <c r="W169" s="40">
        <f>SUMIF(Tabella1[Nome],Tabella4[[#This Row],[NOME]],Tabella1[Ass])</f>
        <v>0</v>
      </c>
      <c r="X169" s="40">
        <f>SUMIF(Tabella1[Nome],Tabella4[[#This Row],[NOME]],Tabella1[Gdv])</f>
        <v>0</v>
      </c>
      <c r="Y169" s="40">
        <f>SUMIF(Tabella1[Nome],Tabella4[[#This Row],[NOME]],Tabella1[cl sh])</f>
        <v>0</v>
      </c>
      <c r="Z169" s="270">
        <f>_xlfn.IFNA(_xlfn.XLOOKUP(CONCATENATE(Z$4,$C169),Tabella1[CONC X VOTI IN TAB GIOC],Tabella1[Voto],""),"")</f>
        <v>5.5</v>
      </c>
      <c r="AA169" s="270">
        <f>_xlfn.IFNA(_xlfn.XLOOKUP(CONCATENATE(AA$4,$C169),Tabella1[CONC X VOTI IN TAB GIOC],Tabella1[Voto],""),"")</f>
        <v>5.5</v>
      </c>
      <c r="AB169" s="270">
        <f>_xlfn.IFNA(_xlfn.XLOOKUP(CONCATENATE(AB$4,$C169),Tabella1[CONC X VOTI IN TAB GIOC],Tabella1[Voto]),"")</f>
        <v>5.5</v>
      </c>
      <c r="AC169" s="270" cm="1">
        <f t="array" ref="AC169">_xlfn.IFNA(_xlfn.XLOOKUP(CONCATENATE(AC$4,$C169),INDEX(Tabella1[],0,MATCH("CONC X VOTI IN TAB GIOC",Tabella1[#Headers],0)),INDEX(Tabella1[],0,MATCH("Voto",Tabella1[#Headers],0))),"")</f>
        <v>6</v>
      </c>
      <c r="AD169" s="270" t="str">
        <f>_xlfn.IFNA(_xlfn.XLOOKUP(CONCATENATE(AD$4,$C169),Tabella1[CONC X VOTI IN TAB GIOC],Tabella1[Voto]),"")</f>
        <v/>
      </c>
      <c r="AE169" s="270" t="str">
        <f>_xlfn.IFNA(VLOOKUP(CONCATENATE(AE$4,$C169),'INSER DATA'!$A:$F,6,0),"")</f>
        <v/>
      </c>
      <c r="AF169" s="270" t="str">
        <f>_xlfn.IFNA(VLOOKUP(CONCATENATE(AF$4,$C169),'INSER DATA'!$A:$F,6,0),"")</f>
        <v/>
      </c>
      <c r="AG169" s="270" t="str">
        <f>_xlfn.IFNA(VLOOKUP(CONCATENATE(AG$4,$C169),'INSER DATA'!$A:$F,6,0),"")</f>
        <v/>
      </c>
      <c r="AH169" s="270" t="str">
        <f>_xlfn.IFNA(VLOOKUP(CONCATENATE(AH$4,$C169),'INSER DATA'!$A:$F,7,0),"")</f>
        <v/>
      </c>
      <c r="AI169" s="270" t="str">
        <f>_xlfn.IFNA(VLOOKUP(CONCATENATE(AI$4,$C169),'INSER DATA'!$A:$F,7,0),"")</f>
        <v/>
      </c>
      <c r="AJ169" s="270" t="str">
        <f>_xlfn.IFNA(VLOOKUP(CONCATENATE(AJ$4,$C169),'INSER DATA'!$A:$F,7,0),"")</f>
        <v/>
      </c>
      <c r="AK169" s="270" t="str">
        <f>_xlfn.IFNA(VLOOKUP(CONCATENATE(AK$4,$C169),'INSER DATA'!$A:$F,7,0),"")</f>
        <v/>
      </c>
      <c r="AL169" s="270" t="str">
        <f>_xlfn.IFNA(VLOOKUP(CONCATENATE(AL$4,$C169),'INSER DATA'!$A:$F,7,0),"")</f>
        <v/>
      </c>
      <c r="AM169" s="270" t="str">
        <f>_xlfn.IFNA(VLOOKUP(CONCATENATE(AM$4,$C169),'INSER DATA'!$A:$F,7,0),"")</f>
        <v/>
      </c>
      <c r="AN169" s="270" t="str">
        <f>_xlfn.IFNA(VLOOKUP(CONCATENATE(AN$4,$C169),'INSER DATA'!$A:$F,7,0),"")</f>
        <v/>
      </c>
      <c r="AO169" s="270" t="str">
        <f>_xlfn.IFNA(VLOOKUP(CONCATENATE(AO$4,$C169),'INSER DATA'!$A:$F,7,0),"")</f>
        <v/>
      </c>
      <c r="AP169" s="270" t="str">
        <f>_xlfn.IFNA(VLOOKUP(CONCATENATE(AP$4,$C169),'INSER DATA'!$A:$F,7,0),"")</f>
        <v/>
      </c>
      <c r="AQ169" s="270" t="str">
        <f>_xlfn.IFNA(VLOOKUP(CONCATENATE(AQ$4,$C169),'INSER DATA'!$A:$F,7,0),"")</f>
        <v/>
      </c>
      <c r="AR169" s="270" t="str">
        <f>_xlfn.IFNA(VLOOKUP(CONCATENATE(AR$4,$C169),'INSER DATA'!$A:$F,7,0),"")</f>
        <v/>
      </c>
      <c r="AS169" s="270" t="str">
        <f>_xlfn.IFNA(VLOOKUP(CONCATENATE(AS$4,$C169),'INSER DATA'!$A:$F,7,0),"")</f>
        <v/>
      </c>
      <c r="AT169" s="270" t="str">
        <f>_xlfn.IFNA(VLOOKUP(CONCATENATE(AT$4,$C169),'INSER DATA'!$A:$F,7,0),"")</f>
        <v/>
      </c>
      <c r="AU169" s="270" t="str">
        <f>_xlfn.IFNA(VLOOKUP(CONCATENATE(AU$4,$C169),'INSER DATA'!$A:$F,7,0),"")</f>
        <v/>
      </c>
      <c r="AV169" s="270" t="str">
        <f>_xlfn.IFNA(VLOOKUP(CONCATENATE(AV$4,$C169),'INSER DATA'!$A:$F,7,0),"")</f>
        <v/>
      </c>
      <c r="AW169" s="270" t="str">
        <f>_xlfn.IFNA(VLOOKUP(CONCATENATE(AW$4,$C169),'INSER DATA'!$A:$F,7,0),"")</f>
        <v/>
      </c>
      <c r="AX169" s="270" t="str">
        <f>_xlfn.IFNA(VLOOKUP(CONCATENATE(AX$4,$C169),'INSER DATA'!$A:$F,7,0),"")</f>
        <v/>
      </c>
      <c r="AY169" s="270" t="str">
        <f>_xlfn.IFNA(VLOOKUP(CONCATENATE(AY$4,$C169),'INSER DATA'!$A:$F,7,0),"")</f>
        <v/>
      </c>
      <c r="AZ169" s="270" t="str">
        <f>_xlfn.IFNA(VLOOKUP(CONCATENATE(AZ$4,$C169),'INSER DATA'!$A:$F,7,0),"")</f>
        <v/>
      </c>
      <c r="BA169" s="270" t="str">
        <f>_xlfn.IFNA(VLOOKUP(CONCATENATE(BA$4,$C169),'INSER DATA'!$A:$F,7,0),"")</f>
        <v/>
      </c>
      <c r="BB169" s="270" t="str">
        <f>_xlfn.IFNA(VLOOKUP(CONCATENATE(BB$4,$C169),'INSER DATA'!$A:$F,7,0),"")</f>
        <v/>
      </c>
      <c r="BC169" s="270" t="str">
        <f>_xlfn.IFNA(VLOOKUP(CONCATENATE(BC$4,$C169),'INSER DATA'!$A:$F,7,0),"")</f>
        <v/>
      </c>
      <c r="BD169" s="270" t="str">
        <f>_xlfn.IFNA(VLOOKUP(CONCATENATE(BD$4,$C169),'INSER DATA'!$A:$F,7,0),"")</f>
        <v/>
      </c>
      <c r="BE169" s="270" t="str">
        <f>_xlfn.IFNA(VLOOKUP(CONCATENATE(BE$4,$C169),'INSER DATA'!$A:$F,7,0),"")</f>
        <v/>
      </c>
      <c r="BF169" s="270" t="str">
        <f>_xlfn.IFNA(VLOOKUP(CONCATENATE(BF$4,$C169),'INSER DATA'!$A:$F,7,0),"")</f>
        <v/>
      </c>
      <c r="BG169" s="270" t="str">
        <f>_xlfn.IFNA(VLOOKUP(CONCATENATE(BG$4,$C169),'INSER DATA'!$A:$F,7,0),"")</f>
        <v/>
      </c>
      <c r="BH169" s="270" t="str">
        <f>_xlfn.IFNA(VLOOKUP(CONCATENATE(BH$4,$C169),'INSER DATA'!$A:$F,7,0),"")</f>
        <v/>
      </c>
      <c r="BI169" s="270" t="str">
        <f>_xlfn.IFNA(VLOOKUP(CONCATENATE(BI$4,$C169),'INSER DATA'!$A:$F,7,0),"")</f>
        <v/>
      </c>
      <c r="BJ169" s="270" t="str">
        <f>_xlfn.IFNA(VLOOKUP(CONCATENATE(BJ$4,$C169),'INSER DATA'!$A:$F,7,0),"")</f>
        <v/>
      </c>
      <c r="BK169" s="270" t="str">
        <f>_xlfn.IFNA(VLOOKUP(CONCATENATE(BK$4,$C169),'INSER DATA'!$A:$F,7,0),"")</f>
        <v/>
      </c>
      <c r="BL169" s="272"/>
      <c r="BM169" s="30"/>
      <c r="BN169" s="30"/>
      <c r="BO169" s="30"/>
      <c r="BP169" s="30"/>
      <c r="BQ169" s="30"/>
      <c r="BR169" s="30"/>
      <c r="BS169" s="30"/>
      <c r="BT169" s="30"/>
      <c r="BU169" s="30"/>
      <c r="BV169" s="30"/>
      <c r="BW169" s="30"/>
      <c r="BX169" s="30"/>
      <c r="BY169" s="30"/>
      <c r="BZ169" s="30"/>
      <c r="CA169" s="30"/>
      <c r="CB169" s="30"/>
      <c r="CC169" s="30"/>
      <c r="CD169" s="30"/>
      <c r="CE169" s="30"/>
      <c r="CF169" s="30"/>
      <c r="CG169" s="30"/>
      <c r="CH169" s="30"/>
      <c r="CI169" s="30"/>
      <c r="CJ169" s="30"/>
      <c r="CK169" s="30"/>
      <c r="CL169" s="30"/>
      <c r="CM169" s="30"/>
      <c r="CN169" s="30"/>
      <c r="CO169" s="30"/>
      <c r="CP169" s="30"/>
      <c r="CQ169" s="30"/>
      <c r="CR169" s="30"/>
      <c r="CS169" s="30"/>
      <c r="CT169" s="30"/>
      <c r="CU169" s="30"/>
      <c r="CV169" s="30"/>
      <c r="CW169" s="30"/>
      <c r="CX169" s="30"/>
      <c r="CY169" s="30"/>
      <c r="CZ169" s="30"/>
      <c r="DA169" s="30"/>
    </row>
    <row r="170" spans="1:105" ht="19.2" thickTop="1" thickBot="1" x14ac:dyDescent="0.4">
      <c r="A170" s="30"/>
      <c r="B170" s="30"/>
      <c r="C170" s="188" t="s">
        <v>760</v>
      </c>
      <c r="D170" s="46" t="s">
        <v>749</v>
      </c>
      <c r="E170" s="35" t="str">
        <f>_xlfn.XLOOKUP(Tabella4[[#This Row],[NOME]],'ROSE SQUADRE'!$N$3:$N$253,'ROSE SQUADRE'!$O$3:$O$253,"")</f>
        <v/>
      </c>
      <c r="F170" s="36" t="s">
        <v>162</v>
      </c>
      <c r="G170" s="43">
        <v>5</v>
      </c>
      <c r="H170" s="43">
        <v>5</v>
      </c>
      <c r="I170" s="44">
        <f t="shared" si="13"/>
        <v>0</v>
      </c>
      <c r="J170" s="37">
        <f t="shared" si="14"/>
        <v>2</v>
      </c>
      <c r="K170" s="38">
        <f t="shared" si="15"/>
        <v>5.5</v>
      </c>
      <c r="L170" s="38">
        <f t="shared" si="16"/>
        <v>5.5</v>
      </c>
      <c r="M170" s="39">
        <f t="shared" si="17"/>
        <v>11</v>
      </c>
      <c r="N170" s="45">
        <f t="shared" ca="1" si="18"/>
        <v>0</v>
      </c>
      <c r="O170" s="40">
        <f>SUMIF(Tabella1[Nome],Tabella4[[#This Row],[NOME]],Tabella1[Gf])</f>
        <v>0</v>
      </c>
      <c r="P170" s="40">
        <f>-(SUMIF(Tabella1[Nome],Tabella4[[#This Row],[NOME]],Tabella1[Gs]))</f>
        <v>0</v>
      </c>
      <c r="Q170" s="40">
        <f>SUMIF(Tabella1[Nome],Tabella4[[#This Row],[NOME]],Tabella1[Rp])</f>
        <v>0</v>
      </c>
      <c r="R170" s="40">
        <f>SUMIF(Tabella1[Nome],Tabella4[[#This Row],[NOME]],Tabella1[Rs])</f>
        <v>0</v>
      </c>
      <c r="S170" s="40">
        <f>SUMIF(Tabella1[Nome],Tabella4[[#This Row],[NOME]],Tabella1[Rf])</f>
        <v>0</v>
      </c>
      <c r="T170" s="40">
        <f>SUMIF(Tabella1[Nome],Tabella4[[#This Row],[NOME]],Tabella1[Au])</f>
        <v>0</v>
      </c>
      <c r="U170" s="41">
        <f>SUMIF(Tabella1[Nome],Tabella4[[#This Row],[NOME]],Tabella1[Amm])</f>
        <v>0</v>
      </c>
      <c r="V170" s="42">
        <f>SUMIF(Tabella1[Nome],Tabella4[[#This Row],[NOME]],Tabella1[Esp])</f>
        <v>0</v>
      </c>
      <c r="W170" s="40">
        <f>SUMIF(Tabella1[Nome],Tabella4[[#This Row],[NOME]],Tabella1[Ass])</f>
        <v>0</v>
      </c>
      <c r="X170" s="40">
        <f>SUMIF(Tabella1[Nome],Tabella4[[#This Row],[NOME]],Tabella1[Gdv])</f>
        <v>0</v>
      </c>
      <c r="Y170" s="40">
        <f>SUMIF(Tabella1[Nome],Tabella4[[#This Row],[NOME]],Tabella1[cl sh])</f>
        <v>0</v>
      </c>
      <c r="Z170" s="270">
        <f>_xlfn.IFNA(_xlfn.XLOOKUP(CONCATENATE(Z$4,$C170),Tabella1[CONC X VOTI IN TAB GIOC],Tabella1[Voto],""),"")</f>
        <v>5.5</v>
      </c>
      <c r="AA170" s="270">
        <f>_xlfn.IFNA(_xlfn.XLOOKUP(CONCATENATE(AA$4,$C170),Tabella1[CONC X VOTI IN TAB GIOC],Tabella1[Voto],""),"")</f>
        <v>5.5</v>
      </c>
      <c r="AB170" s="270" t="str">
        <f>_xlfn.IFNA(_xlfn.XLOOKUP(CONCATENATE(AB$4,$C170),Tabella1[CONC X VOTI IN TAB GIOC],Tabella1[Voto]),"")</f>
        <v/>
      </c>
      <c r="AC170" s="270" t="str" cm="1">
        <f t="array" ref="AC170">_xlfn.IFNA(_xlfn.XLOOKUP(CONCATENATE(AC$4,$C170),INDEX(Tabella1[],0,MATCH("CONC X VOTI IN TAB GIOC",Tabella1[#Headers],0)),INDEX(Tabella1[],0,MATCH("Voto",Tabella1[#Headers],0))),"")</f>
        <v/>
      </c>
      <c r="AD170" s="270" t="str">
        <f>_xlfn.IFNA(_xlfn.XLOOKUP(CONCATENATE(AD$4,$C170),Tabella1[CONC X VOTI IN TAB GIOC],Tabella1[Voto]),"")</f>
        <v/>
      </c>
      <c r="AE170" s="270" t="str">
        <f>_xlfn.IFNA(VLOOKUP(CONCATENATE(AE$4,$C170),'INSER DATA'!$A:$F,6,0),"")</f>
        <v/>
      </c>
      <c r="AF170" s="270" t="str">
        <f>_xlfn.IFNA(VLOOKUP(CONCATENATE(AF$4,$C170),'INSER DATA'!$A:$F,6,0),"")</f>
        <v/>
      </c>
      <c r="AG170" s="270" t="str">
        <f>_xlfn.IFNA(VLOOKUP(CONCATENATE(AG$4,$C170),'INSER DATA'!$A:$F,6,0),"")</f>
        <v/>
      </c>
      <c r="AH170" s="270" t="str">
        <f>_xlfn.IFNA(VLOOKUP(CONCATENATE(AH$4,$C170),'INSER DATA'!$A:$F,7,0),"")</f>
        <v/>
      </c>
      <c r="AI170" s="270" t="str">
        <f>_xlfn.IFNA(VLOOKUP(CONCATENATE(AI$4,$C170),'INSER DATA'!$A:$F,7,0),"")</f>
        <v/>
      </c>
      <c r="AJ170" s="270" t="str">
        <f>_xlfn.IFNA(VLOOKUP(CONCATENATE(AJ$4,$C170),'INSER DATA'!$A:$F,7,0),"")</f>
        <v/>
      </c>
      <c r="AK170" s="270" t="str">
        <f>_xlfn.IFNA(VLOOKUP(CONCATENATE(AK$4,$C170),'INSER DATA'!$A:$F,7,0),"")</f>
        <v/>
      </c>
      <c r="AL170" s="270" t="str">
        <f>_xlfn.IFNA(VLOOKUP(CONCATENATE(AL$4,$C170),'INSER DATA'!$A:$F,7,0),"")</f>
        <v/>
      </c>
      <c r="AM170" s="270" t="str">
        <f>_xlfn.IFNA(VLOOKUP(CONCATENATE(AM$4,$C170),'INSER DATA'!$A:$F,7,0),"")</f>
        <v/>
      </c>
      <c r="AN170" s="270" t="str">
        <f>_xlfn.IFNA(VLOOKUP(CONCATENATE(AN$4,$C170),'INSER DATA'!$A:$F,7,0),"")</f>
        <v/>
      </c>
      <c r="AO170" s="270" t="str">
        <f>_xlfn.IFNA(VLOOKUP(CONCATENATE(AO$4,$C170),'INSER DATA'!$A:$F,7,0),"")</f>
        <v/>
      </c>
      <c r="AP170" s="270" t="str">
        <f>_xlfn.IFNA(VLOOKUP(CONCATENATE(AP$4,$C170),'INSER DATA'!$A:$F,7,0),"")</f>
        <v/>
      </c>
      <c r="AQ170" s="270" t="str">
        <f>_xlfn.IFNA(VLOOKUP(CONCATENATE(AQ$4,$C170),'INSER DATA'!$A:$F,7,0),"")</f>
        <v/>
      </c>
      <c r="AR170" s="270" t="str">
        <f>_xlfn.IFNA(VLOOKUP(CONCATENATE(AR$4,$C170),'INSER DATA'!$A:$F,7,0),"")</f>
        <v/>
      </c>
      <c r="AS170" s="270" t="str">
        <f>_xlfn.IFNA(VLOOKUP(CONCATENATE(AS$4,$C170),'INSER DATA'!$A:$F,7,0),"")</f>
        <v/>
      </c>
      <c r="AT170" s="270" t="str">
        <f>_xlfn.IFNA(VLOOKUP(CONCATENATE(AT$4,$C170),'INSER DATA'!$A:$F,7,0),"")</f>
        <v/>
      </c>
      <c r="AU170" s="270" t="str">
        <f>_xlfn.IFNA(VLOOKUP(CONCATENATE(AU$4,$C170),'INSER DATA'!$A:$F,7,0),"")</f>
        <v/>
      </c>
      <c r="AV170" s="270" t="str">
        <f>_xlfn.IFNA(VLOOKUP(CONCATENATE(AV$4,$C170),'INSER DATA'!$A:$F,7,0),"")</f>
        <v/>
      </c>
      <c r="AW170" s="270" t="str">
        <f>_xlfn.IFNA(VLOOKUP(CONCATENATE(AW$4,$C170),'INSER DATA'!$A:$F,7,0),"")</f>
        <v/>
      </c>
      <c r="AX170" s="270" t="str">
        <f>_xlfn.IFNA(VLOOKUP(CONCATENATE(AX$4,$C170),'INSER DATA'!$A:$F,7,0),"")</f>
        <v/>
      </c>
      <c r="AY170" s="270" t="str">
        <f>_xlfn.IFNA(VLOOKUP(CONCATENATE(AY$4,$C170),'INSER DATA'!$A:$F,7,0),"")</f>
        <v/>
      </c>
      <c r="AZ170" s="270" t="str">
        <f>_xlfn.IFNA(VLOOKUP(CONCATENATE(AZ$4,$C170),'INSER DATA'!$A:$F,7,0),"")</f>
        <v/>
      </c>
      <c r="BA170" s="270" t="str">
        <f>_xlfn.IFNA(VLOOKUP(CONCATENATE(BA$4,$C170),'INSER DATA'!$A:$F,7,0),"")</f>
        <v/>
      </c>
      <c r="BB170" s="270" t="str">
        <f>_xlfn.IFNA(VLOOKUP(CONCATENATE(BB$4,$C170),'INSER DATA'!$A:$F,7,0),"")</f>
        <v/>
      </c>
      <c r="BC170" s="270" t="str">
        <f>_xlfn.IFNA(VLOOKUP(CONCATENATE(BC$4,$C170),'INSER DATA'!$A:$F,7,0),"")</f>
        <v/>
      </c>
      <c r="BD170" s="270" t="str">
        <f>_xlfn.IFNA(VLOOKUP(CONCATENATE(BD$4,$C170),'INSER DATA'!$A:$F,7,0),"")</f>
        <v/>
      </c>
      <c r="BE170" s="270" t="str">
        <f>_xlfn.IFNA(VLOOKUP(CONCATENATE(BE$4,$C170),'INSER DATA'!$A:$F,7,0),"")</f>
        <v/>
      </c>
      <c r="BF170" s="270" t="str">
        <f>_xlfn.IFNA(VLOOKUP(CONCATENATE(BF$4,$C170),'INSER DATA'!$A:$F,7,0),"")</f>
        <v/>
      </c>
      <c r="BG170" s="270" t="str">
        <f>_xlfn.IFNA(VLOOKUP(CONCATENATE(BG$4,$C170),'INSER DATA'!$A:$F,7,0),"")</f>
        <v/>
      </c>
      <c r="BH170" s="270" t="str">
        <f>_xlfn.IFNA(VLOOKUP(CONCATENATE(BH$4,$C170),'INSER DATA'!$A:$F,7,0),"")</f>
        <v/>
      </c>
      <c r="BI170" s="270" t="str">
        <f>_xlfn.IFNA(VLOOKUP(CONCATENATE(BI$4,$C170),'INSER DATA'!$A:$F,7,0),"")</f>
        <v/>
      </c>
      <c r="BJ170" s="270" t="str">
        <f>_xlfn.IFNA(VLOOKUP(CONCATENATE(BJ$4,$C170),'INSER DATA'!$A:$F,7,0),"")</f>
        <v/>
      </c>
      <c r="BK170" s="270" t="str">
        <f>_xlfn.IFNA(VLOOKUP(CONCATENATE(BK$4,$C170),'INSER DATA'!$A:$F,7,0),"")</f>
        <v/>
      </c>
      <c r="BL170" s="272"/>
      <c r="BM170" s="30"/>
      <c r="BN170" s="30"/>
      <c r="BO170" s="30"/>
      <c r="BP170" s="30"/>
      <c r="BQ170" s="30"/>
      <c r="BR170" s="30"/>
      <c r="BS170" s="30"/>
      <c r="BT170" s="30"/>
      <c r="BU170" s="30"/>
      <c r="BV170" s="30"/>
      <c r="BW170" s="30"/>
      <c r="BX170" s="30"/>
      <c r="BY170" s="30"/>
      <c r="BZ170" s="30"/>
      <c r="CA170" s="30"/>
      <c r="CB170" s="30"/>
      <c r="CC170" s="30"/>
      <c r="CD170" s="30"/>
      <c r="CE170" s="30"/>
      <c r="CF170" s="30"/>
      <c r="CG170" s="30"/>
      <c r="CH170" s="30"/>
      <c r="CI170" s="30"/>
      <c r="CJ170" s="30"/>
      <c r="CK170" s="30"/>
      <c r="CL170" s="30"/>
      <c r="CM170" s="30"/>
      <c r="CN170" s="30"/>
      <c r="CO170" s="30"/>
      <c r="CP170" s="30"/>
      <c r="CQ170" s="30"/>
      <c r="CR170" s="30"/>
      <c r="CS170" s="30"/>
      <c r="CT170" s="30"/>
      <c r="CU170" s="30"/>
      <c r="CV170" s="30"/>
      <c r="CW170" s="30"/>
      <c r="CX170" s="30"/>
      <c r="CY170" s="30"/>
      <c r="CZ170" s="30"/>
      <c r="DA170" s="30"/>
    </row>
    <row r="171" spans="1:105" ht="19.2" thickTop="1" thickBot="1" x14ac:dyDescent="0.4">
      <c r="A171" s="30"/>
      <c r="B171" s="30"/>
      <c r="C171" s="185" t="s">
        <v>529</v>
      </c>
      <c r="D171" s="46" t="s">
        <v>749</v>
      </c>
      <c r="E171" s="35" t="str">
        <f>_xlfn.XLOOKUP(Tabella4[[#This Row],[NOME]],'ROSE SQUADRE'!$N$3:$N$253,'ROSE SQUADRE'!$O$3:$O$253,"")</f>
        <v/>
      </c>
      <c r="F171" s="36" t="s">
        <v>163</v>
      </c>
      <c r="G171" s="43">
        <v>8</v>
      </c>
      <c r="H171" s="43">
        <v>8</v>
      </c>
      <c r="I171" s="44">
        <f t="shared" si="13"/>
        <v>0</v>
      </c>
      <c r="J171" s="37">
        <f t="shared" si="14"/>
        <v>4</v>
      </c>
      <c r="K171" s="178">
        <f t="shared" si="15"/>
        <v>5.625</v>
      </c>
      <c r="L171" s="178">
        <f t="shared" si="16"/>
        <v>5.625</v>
      </c>
      <c r="M171" s="179">
        <f t="shared" si="17"/>
        <v>22.5</v>
      </c>
      <c r="N171" s="45">
        <f t="shared" ca="1" si="18"/>
        <v>0</v>
      </c>
      <c r="O171" s="40">
        <f>SUMIF(Tabella1[Nome],Tabella4[[#This Row],[NOME]],Tabella1[Gf])</f>
        <v>0</v>
      </c>
      <c r="P171" s="40">
        <f>-(SUMIF(Tabella1[Nome],Tabella4[[#This Row],[NOME]],Tabella1[Gs]))</f>
        <v>0</v>
      </c>
      <c r="Q171" s="40">
        <f>SUMIF(Tabella1[Nome],Tabella4[[#This Row],[NOME]],Tabella1[Rp])</f>
        <v>0</v>
      </c>
      <c r="R171" s="40">
        <f>SUMIF(Tabella1[Nome],Tabella4[[#This Row],[NOME]],Tabella1[Rs])</f>
        <v>0</v>
      </c>
      <c r="S171" s="40">
        <f>SUMIF(Tabella1[Nome],Tabella4[[#This Row],[NOME]],Tabella1[Rf])</f>
        <v>0</v>
      </c>
      <c r="T171" s="40">
        <f>SUMIF(Tabella1[Nome],Tabella4[[#This Row],[NOME]],Tabella1[Au])</f>
        <v>0</v>
      </c>
      <c r="U171" s="41">
        <f>SUMIF(Tabella1[Nome],Tabella4[[#This Row],[NOME]],Tabella1[Amm])</f>
        <v>0</v>
      </c>
      <c r="V171" s="42">
        <f>SUMIF(Tabella1[Nome],Tabella4[[#This Row],[NOME]],Tabella1[Esp])</f>
        <v>0</v>
      </c>
      <c r="W171" s="40">
        <f>SUMIF(Tabella1[Nome],Tabella4[[#This Row],[NOME]],Tabella1[Ass])</f>
        <v>0</v>
      </c>
      <c r="X171" s="40">
        <f>SUMIF(Tabella1[Nome],Tabella4[[#This Row],[NOME]],Tabella1[Gdv])</f>
        <v>0</v>
      </c>
      <c r="Y171" s="40">
        <f>SUMIF(Tabella1[Nome],Tabella4[[#This Row],[NOME]],Tabella1[cl sh])</f>
        <v>0</v>
      </c>
      <c r="Z171" s="270">
        <f>_xlfn.IFNA(_xlfn.XLOOKUP(CONCATENATE(Z$4,$C171),Tabella1[CONC X VOTI IN TAB GIOC],Tabella1[Voto],""),"")</f>
        <v>5.5</v>
      </c>
      <c r="AA171" s="270">
        <f>_xlfn.IFNA(_xlfn.XLOOKUP(CONCATENATE(AA$4,$C171),Tabella1[CONC X VOTI IN TAB GIOC],Tabella1[Voto],""),"")</f>
        <v>5.5</v>
      </c>
      <c r="AB171" s="270">
        <f>_xlfn.IFNA(_xlfn.XLOOKUP(CONCATENATE(AB$4,$C171),Tabella1[CONC X VOTI IN TAB GIOC],Tabella1[Voto]),"")</f>
        <v>5.5</v>
      </c>
      <c r="AC171" s="270" cm="1">
        <f t="array" ref="AC171">_xlfn.IFNA(_xlfn.XLOOKUP(CONCATENATE(AC$4,$C171),INDEX(Tabella1[],0,MATCH("CONC X VOTI IN TAB GIOC",Tabella1[#Headers],0)),INDEX(Tabella1[],0,MATCH("Voto",Tabella1[#Headers],0))),"")</f>
        <v>6</v>
      </c>
      <c r="AD171" s="270" t="str">
        <f>_xlfn.IFNA(_xlfn.XLOOKUP(CONCATENATE(AD$4,$C171),Tabella1[CONC X VOTI IN TAB GIOC],Tabella1[Voto]),"")</f>
        <v/>
      </c>
      <c r="AE171" s="270" t="str">
        <f>_xlfn.IFNA(VLOOKUP(CONCATENATE(AE$4,$C171),'INSER DATA'!$A:$F,6,0),"")</f>
        <v/>
      </c>
      <c r="AF171" s="270" t="str">
        <f>_xlfn.IFNA(VLOOKUP(CONCATENATE(AF$4,$C171),'INSER DATA'!$A:$F,6,0),"")</f>
        <v/>
      </c>
      <c r="AG171" s="270" t="str">
        <f>_xlfn.IFNA(VLOOKUP(CONCATENATE(AG$4,$C171),'INSER DATA'!$A:$F,6,0),"")</f>
        <v/>
      </c>
      <c r="AH171" s="270" t="str">
        <f>_xlfn.IFNA(VLOOKUP(CONCATENATE(AH$4,$C171),'INSER DATA'!$A:$F,7,0),"")</f>
        <v/>
      </c>
      <c r="AI171" s="270" t="str">
        <f>_xlfn.IFNA(VLOOKUP(CONCATENATE(AI$4,$C171),'INSER DATA'!$A:$F,7,0),"")</f>
        <v/>
      </c>
      <c r="AJ171" s="270" t="str">
        <f>_xlfn.IFNA(VLOOKUP(CONCATENATE(AJ$4,$C171),'INSER DATA'!$A:$F,7,0),"")</f>
        <v/>
      </c>
      <c r="AK171" s="270" t="str">
        <f>_xlfn.IFNA(VLOOKUP(CONCATENATE(AK$4,$C171),'INSER DATA'!$A:$F,7,0),"")</f>
        <v/>
      </c>
      <c r="AL171" s="270" t="str">
        <f>_xlfn.IFNA(VLOOKUP(CONCATENATE(AL$4,$C171),'INSER DATA'!$A:$F,7,0),"")</f>
        <v/>
      </c>
      <c r="AM171" s="270" t="str">
        <f>_xlfn.IFNA(VLOOKUP(CONCATENATE(AM$4,$C171),'INSER DATA'!$A:$F,7,0),"")</f>
        <v/>
      </c>
      <c r="AN171" s="270" t="str">
        <f>_xlfn.IFNA(VLOOKUP(CONCATENATE(AN$4,$C171),'INSER DATA'!$A:$F,7,0),"")</f>
        <v/>
      </c>
      <c r="AO171" s="270" t="str">
        <f>_xlfn.IFNA(VLOOKUP(CONCATENATE(AO$4,$C171),'INSER DATA'!$A:$F,7,0),"")</f>
        <v/>
      </c>
      <c r="AP171" s="270" t="str">
        <f>_xlfn.IFNA(VLOOKUP(CONCATENATE(AP$4,$C171),'INSER DATA'!$A:$F,7,0),"")</f>
        <v/>
      </c>
      <c r="AQ171" s="270" t="str">
        <f>_xlfn.IFNA(VLOOKUP(CONCATENATE(AQ$4,$C171),'INSER DATA'!$A:$F,7,0),"")</f>
        <v/>
      </c>
      <c r="AR171" s="270" t="str">
        <f>_xlfn.IFNA(VLOOKUP(CONCATENATE(AR$4,$C171),'INSER DATA'!$A:$F,7,0),"")</f>
        <v/>
      </c>
      <c r="AS171" s="270" t="str">
        <f>_xlfn.IFNA(VLOOKUP(CONCATENATE(AS$4,$C171),'INSER DATA'!$A:$F,7,0),"")</f>
        <v/>
      </c>
      <c r="AT171" s="270" t="str">
        <f>_xlfn.IFNA(VLOOKUP(CONCATENATE(AT$4,$C171),'INSER DATA'!$A:$F,7,0),"")</f>
        <v/>
      </c>
      <c r="AU171" s="270" t="str">
        <f>_xlfn.IFNA(VLOOKUP(CONCATENATE(AU$4,$C171),'INSER DATA'!$A:$F,7,0),"")</f>
        <v/>
      </c>
      <c r="AV171" s="270" t="str">
        <f>_xlfn.IFNA(VLOOKUP(CONCATENATE(AV$4,$C171),'INSER DATA'!$A:$F,7,0),"")</f>
        <v/>
      </c>
      <c r="AW171" s="270" t="str">
        <f>_xlfn.IFNA(VLOOKUP(CONCATENATE(AW$4,$C171),'INSER DATA'!$A:$F,7,0),"")</f>
        <v/>
      </c>
      <c r="AX171" s="270" t="str">
        <f>_xlfn.IFNA(VLOOKUP(CONCATENATE(AX$4,$C171),'INSER DATA'!$A:$F,7,0),"")</f>
        <v/>
      </c>
      <c r="AY171" s="270" t="str">
        <f>_xlfn.IFNA(VLOOKUP(CONCATENATE(AY$4,$C171),'INSER DATA'!$A:$F,7,0),"")</f>
        <v/>
      </c>
      <c r="AZ171" s="270" t="str">
        <f>_xlfn.IFNA(VLOOKUP(CONCATENATE(AZ$4,$C171),'INSER DATA'!$A:$F,7,0),"")</f>
        <v/>
      </c>
      <c r="BA171" s="270" t="str">
        <f>_xlfn.IFNA(VLOOKUP(CONCATENATE(BA$4,$C171),'INSER DATA'!$A:$F,7,0),"")</f>
        <v/>
      </c>
      <c r="BB171" s="270" t="str">
        <f>_xlfn.IFNA(VLOOKUP(CONCATENATE(BB$4,$C171),'INSER DATA'!$A:$F,7,0),"")</f>
        <v/>
      </c>
      <c r="BC171" s="270" t="str">
        <f>_xlfn.IFNA(VLOOKUP(CONCATENATE(BC$4,$C171),'INSER DATA'!$A:$F,7,0),"")</f>
        <v/>
      </c>
      <c r="BD171" s="270" t="str">
        <f>_xlfn.IFNA(VLOOKUP(CONCATENATE(BD$4,$C171),'INSER DATA'!$A:$F,7,0),"")</f>
        <v/>
      </c>
      <c r="BE171" s="270" t="str">
        <f>_xlfn.IFNA(VLOOKUP(CONCATENATE(BE$4,$C171),'INSER DATA'!$A:$F,7,0),"")</f>
        <v/>
      </c>
      <c r="BF171" s="270" t="str">
        <f>_xlfn.IFNA(VLOOKUP(CONCATENATE(BF$4,$C171),'INSER DATA'!$A:$F,7,0),"")</f>
        <v/>
      </c>
      <c r="BG171" s="270" t="str">
        <f>_xlfn.IFNA(VLOOKUP(CONCATENATE(BG$4,$C171),'INSER DATA'!$A:$F,7,0),"")</f>
        <v/>
      </c>
      <c r="BH171" s="270" t="str">
        <f>_xlfn.IFNA(VLOOKUP(CONCATENATE(BH$4,$C171),'INSER DATA'!$A:$F,7,0),"")</f>
        <v/>
      </c>
      <c r="BI171" s="270" t="str">
        <f>_xlfn.IFNA(VLOOKUP(CONCATENATE(BI$4,$C171),'INSER DATA'!$A:$F,7,0),"")</f>
        <v/>
      </c>
      <c r="BJ171" s="270" t="str">
        <f>_xlfn.IFNA(VLOOKUP(CONCATENATE(BJ$4,$C171),'INSER DATA'!$A:$F,7,0),"")</f>
        <v/>
      </c>
      <c r="BK171" s="270" t="str">
        <f>_xlfn.IFNA(VLOOKUP(CONCATENATE(BK$4,$C171),'INSER DATA'!$A:$F,7,0),"")</f>
        <v/>
      </c>
      <c r="BL171" s="272"/>
      <c r="BM171" s="30"/>
      <c r="BN171" s="30"/>
      <c r="BO171" s="30"/>
      <c r="BP171" s="30"/>
      <c r="BQ171" s="30"/>
      <c r="BR171" s="30"/>
      <c r="BS171" s="30"/>
      <c r="BT171" s="30"/>
      <c r="BU171" s="30"/>
      <c r="BV171" s="30"/>
      <c r="BW171" s="30"/>
      <c r="BX171" s="30"/>
      <c r="BY171" s="30"/>
      <c r="BZ171" s="30"/>
      <c r="CA171" s="30"/>
      <c r="CB171" s="30"/>
      <c r="CC171" s="30"/>
      <c r="CD171" s="30"/>
      <c r="CE171" s="30"/>
      <c r="CF171" s="30"/>
      <c r="CG171" s="30"/>
      <c r="CH171" s="30"/>
      <c r="CI171" s="30"/>
      <c r="CJ171" s="30"/>
      <c r="CK171" s="30"/>
      <c r="CL171" s="30"/>
      <c r="CM171" s="30"/>
      <c r="CN171" s="30"/>
      <c r="CO171" s="30"/>
      <c r="CP171" s="30"/>
      <c r="CQ171" s="30"/>
      <c r="CR171" s="30"/>
      <c r="CS171" s="30"/>
      <c r="CT171" s="30"/>
      <c r="CU171" s="30"/>
      <c r="CV171" s="30"/>
      <c r="CW171" s="30"/>
      <c r="CX171" s="30"/>
      <c r="CY171" s="30"/>
      <c r="CZ171" s="30"/>
      <c r="DA171" s="30"/>
    </row>
    <row r="172" spans="1:105" ht="19.2" thickTop="1" thickBot="1" x14ac:dyDescent="0.4">
      <c r="A172" s="30"/>
      <c r="B172" s="30"/>
      <c r="C172" s="188" t="s">
        <v>1014</v>
      </c>
      <c r="D172" s="187" t="s">
        <v>749</v>
      </c>
      <c r="E172" s="35" t="str">
        <f>_xlfn.XLOOKUP(Tabella4[[#This Row],[NOME]],'ROSE SQUADRE'!$N$3:$N$253,'ROSE SQUADRE'!$O$3:$O$253,"")</f>
        <v>SAN GRIA</v>
      </c>
      <c r="F172" s="36" t="s">
        <v>163</v>
      </c>
      <c r="G172" s="43"/>
      <c r="H172" s="43"/>
      <c r="I172" s="44">
        <f t="shared" si="13"/>
        <v>0</v>
      </c>
      <c r="J172" s="37">
        <f t="shared" si="14"/>
        <v>3</v>
      </c>
      <c r="K172" s="38">
        <f t="shared" si="15"/>
        <v>5.666666666666667</v>
      </c>
      <c r="L172" s="38">
        <f t="shared" si="16"/>
        <v>6.666666666666667</v>
      </c>
      <c r="M172" s="39">
        <f t="shared" si="17"/>
        <v>20</v>
      </c>
      <c r="N172" s="45">
        <f t="shared" ca="1" si="18"/>
        <v>1</v>
      </c>
      <c r="O172" s="40">
        <f>SUMIF(Tabella1[Nome],Tabella4[[#This Row],[NOME]],Tabella1[Gf])</f>
        <v>1</v>
      </c>
      <c r="P172" s="40">
        <f>-(SUMIF(Tabella1[Nome],Tabella4[[#This Row],[NOME]],Tabella1[Gs]))</f>
        <v>0</v>
      </c>
      <c r="Q172" s="40">
        <f>SUMIF(Tabella1[Nome],Tabella4[[#This Row],[NOME]],Tabella1[Rp])</f>
        <v>0</v>
      </c>
      <c r="R172" s="40">
        <f>SUMIF(Tabella1[Nome],Tabella4[[#This Row],[NOME]],Tabella1[Rs])</f>
        <v>0</v>
      </c>
      <c r="S172" s="40">
        <f>SUMIF(Tabella1[Nome],Tabella4[[#This Row],[NOME]],Tabella1[Rf])</f>
        <v>0</v>
      </c>
      <c r="T172" s="40">
        <f>SUMIF(Tabella1[Nome],Tabella4[[#This Row],[NOME]],Tabella1[Au])</f>
        <v>0</v>
      </c>
      <c r="U172" s="41">
        <f>SUMIF(Tabella1[Nome],Tabella4[[#This Row],[NOME]],Tabella1[Amm])</f>
        <v>0</v>
      </c>
      <c r="V172" s="42">
        <f>SUMIF(Tabella1[Nome],Tabella4[[#This Row],[NOME]],Tabella1[Esp])</f>
        <v>0</v>
      </c>
      <c r="W172" s="40">
        <f>SUMIF(Tabella1[Nome],Tabella4[[#This Row],[NOME]],Tabella1[Ass])</f>
        <v>0</v>
      </c>
      <c r="X172" s="40">
        <f>SUMIF(Tabella1[Nome],Tabella4[[#This Row],[NOME]],Tabella1[Gdv])</f>
        <v>0</v>
      </c>
      <c r="Y172" s="40">
        <f>SUMIF(Tabella1[Nome],Tabella4[[#This Row],[NOME]],Tabella1[cl sh])</f>
        <v>0</v>
      </c>
      <c r="Z172" s="270" t="str">
        <f>_xlfn.IFNA(_xlfn.XLOOKUP(CONCATENATE(Z$4,$C172),Tabella1[CONC X VOTI IN TAB GIOC],Tabella1[Voto],""),"")</f>
        <v/>
      </c>
      <c r="AA172" s="270">
        <f>_xlfn.IFNA(_xlfn.XLOOKUP(CONCATENATE(AA$4,$C172),Tabella1[CONC X VOTI IN TAB GIOC],Tabella1[Voto],""),"")</f>
        <v>5.5</v>
      </c>
      <c r="AB172" s="400">
        <f>_xlfn.IFNA(_xlfn.XLOOKUP(CONCATENATE(AB$4,$C172),Tabella1[CONC X VOTI IN TAB GIOC],Tabella1[Voto]),"")</f>
        <v>6.5</v>
      </c>
      <c r="AC172" s="270" cm="1">
        <f t="array" ref="AC172">_xlfn.IFNA(_xlfn.XLOOKUP(CONCATENATE(AC$4,$C172),INDEX(Tabella1[],0,MATCH("CONC X VOTI IN TAB GIOC",Tabella1[#Headers],0)),INDEX(Tabella1[],0,MATCH("Voto",Tabella1[#Headers],0))),"")</f>
        <v>5</v>
      </c>
      <c r="AD172" s="270" t="str">
        <f>_xlfn.IFNA(_xlfn.XLOOKUP(CONCATENATE(AD$4,$C172),Tabella1[CONC X VOTI IN TAB GIOC],Tabella1[Voto]),"")</f>
        <v/>
      </c>
      <c r="AE172" s="270" t="str">
        <f>_xlfn.IFNA(VLOOKUP(CONCATENATE(AE$4,$C172),'INSER DATA'!$A:$F,6,0),"")</f>
        <v/>
      </c>
      <c r="AF172" s="270" t="str">
        <f>_xlfn.IFNA(VLOOKUP(CONCATENATE(AF$4,$C172),'INSER DATA'!$A:$F,6,0),"")</f>
        <v/>
      </c>
      <c r="AG172" s="270" t="str">
        <f>_xlfn.IFNA(VLOOKUP(CONCATENATE(AG$4,$C172),'INSER DATA'!$A:$F,6,0),"")</f>
        <v/>
      </c>
      <c r="AH172" s="270" t="str">
        <f>_xlfn.IFNA(VLOOKUP(CONCATENATE(AH$4,$C172),'INSER DATA'!$A:$F,7,0),"")</f>
        <v/>
      </c>
      <c r="AI172" s="270" t="str">
        <f>_xlfn.IFNA(VLOOKUP(CONCATENATE(AI$4,$C172),'INSER DATA'!$A:$F,7,0),"")</f>
        <v/>
      </c>
      <c r="AJ172" s="270" t="str">
        <f>_xlfn.IFNA(VLOOKUP(CONCATENATE(AJ$4,$C172),'INSER DATA'!$A:$F,7,0),"")</f>
        <v/>
      </c>
      <c r="AK172" s="270" t="str">
        <f>_xlfn.IFNA(VLOOKUP(CONCATENATE(AK$4,$C172),'INSER DATA'!$A:$F,7,0),"")</f>
        <v/>
      </c>
      <c r="AL172" s="270" t="str">
        <f>_xlfn.IFNA(VLOOKUP(CONCATENATE(AL$4,$C172),'INSER DATA'!$A:$F,7,0),"")</f>
        <v/>
      </c>
      <c r="AM172" s="270" t="str">
        <f>_xlfn.IFNA(VLOOKUP(CONCATENATE(AM$4,$C172),'INSER DATA'!$A:$F,7,0),"")</f>
        <v/>
      </c>
      <c r="AN172" s="270" t="str">
        <f>_xlfn.IFNA(VLOOKUP(CONCATENATE(AN$4,$C172),'INSER DATA'!$A:$F,7,0),"")</f>
        <v/>
      </c>
      <c r="AO172" s="270" t="str">
        <f>_xlfn.IFNA(VLOOKUP(CONCATENATE(AO$4,$C172),'INSER DATA'!$A:$F,7,0),"")</f>
        <v/>
      </c>
      <c r="AP172" s="270" t="str">
        <f>_xlfn.IFNA(VLOOKUP(CONCATENATE(AP$4,$C172),'INSER DATA'!$A:$F,7,0),"")</f>
        <v/>
      </c>
      <c r="AQ172" s="270" t="str">
        <f>_xlfn.IFNA(VLOOKUP(CONCATENATE(AQ$4,$C172),'INSER DATA'!$A:$F,7,0),"")</f>
        <v/>
      </c>
      <c r="AR172" s="270" t="str">
        <f>_xlfn.IFNA(VLOOKUP(CONCATENATE(AR$4,$C172),'INSER DATA'!$A:$F,7,0),"")</f>
        <v/>
      </c>
      <c r="AS172" s="270" t="str">
        <f>_xlfn.IFNA(VLOOKUP(CONCATENATE(AS$4,$C172),'INSER DATA'!$A:$F,7,0),"")</f>
        <v/>
      </c>
      <c r="AT172" s="270" t="str">
        <f>_xlfn.IFNA(VLOOKUP(CONCATENATE(AT$4,$C172),'INSER DATA'!$A:$F,7,0),"")</f>
        <v/>
      </c>
      <c r="AU172" s="270" t="str">
        <f>_xlfn.IFNA(VLOOKUP(CONCATENATE(AU$4,$C172),'INSER DATA'!$A:$F,7,0),"")</f>
        <v/>
      </c>
      <c r="AV172" s="270" t="str">
        <f>_xlfn.IFNA(VLOOKUP(CONCATENATE(AV$4,$C172),'INSER DATA'!$A:$F,7,0),"")</f>
        <v/>
      </c>
      <c r="AW172" s="270" t="str">
        <f>_xlfn.IFNA(VLOOKUP(CONCATENATE(AW$4,$C172),'INSER DATA'!$A:$F,7,0),"")</f>
        <v/>
      </c>
      <c r="AX172" s="270" t="str">
        <f>_xlfn.IFNA(VLOOKUP(CONCATENATE(AX$4,$C172),'INSER DATA'!$A:$F,7,0),"")</f>
        <v/>
      </c>
      <c r="AY172" s="270" t="str">
        <f>_xlfn.IFNA(VLOOKUP(CONCATENATE(AY$4,$C172),'INSER DATA'!$A:$F,7,0),"")</f>
        <v/>
      </c>
      <c r="AZ172" s="270" t="str">
        <f>_xlfn.IFNA(VLOOKUP(CONCATENATE(AZ$4,$C172),'INSER DATA'!$A:$F,7,0),"")</f>
        <v/>
      </c>
      <c r="BA172" s="270" t="str">
        <f>_xlfn.IFNA(VLOOKUP(CONCATENATE(BA$4,$C172),'INSER DATA'!$A:$F,7,0),"")</f>
        <v/>
      </c>
      <c r="BB172" s="270" t="str">
        <f>_xlfn.IFNA(VLOOKUP(CONCATENATE(BB$4,$C172),'INSER DATA'!$A:$F,7,0),"")</f>
        <v/>
      </c>
      <c r="BC172" s="270" t="str">
        <f>_xlfn.IFNA(VLOOKUP(CONCATENATE(BC$4,$C172),'INSER DATA'!$A:$F,7,0),"")</f>
        <v/>
      </c>
      <c r="BD172" s="270" t="str">
        <f>_xlfn.IFNA(VLOOKUP(CONCATENATE(BD$4,$C172),'INSER DATA'!$A:$F,7,0),"")</f>
        <v/>
      </c>
      <c r="BE172" s="270" t="str">
        <f>_xlfn.IFNA(VLOOKUP(CONCATENATE(BE$4,$C172),'INSER DATA'!$A:$F,7,0),"")</f>
        <v/>
      </c>
      <c r="BF172" s="270" t="str">
        <f>_xlfn.IFNA(VLOOKUP(CONCATENATE(BF$4,$C172),'INSER DATA'!$A:$F,7,0),"")</f>
        <v/>
      </c>
      <c r="BG172" s="270" t="str">
        <f>_xlfn.IFNA(VLOOKUP(CONCATENATE(BG$4,$C172),'INSER DATA'!$A:$F,7,0),"")</f>
        <v/>
      </c>
      <c r="BH172" s="270" t="str">
        <f>_xlfn.IFNA(VLOOKUP(CONCATENATE(BH$4,$C172),'INSER DATA'!$A:$F,7,0),"")</f>
        <v/>
      </c>
      <c r="BI172" s="270" t="str">
        <f>_xlfn.IFNA(VLOOKUP(CONCATENATE(BI$4,$C172),'INSER DATA'!$A:$F,7,0),"")</f>
        <v/>
      </c>
      <c r="BJ172" s="270" t="str">
        <f>_xlfn.IFNA(VLOOKUP(CONCATENATE(BJ$4,$C172),'INSER DATA'!$A:$F,7,0),"")</f>
        <v/>
      </c>
      <c r="BK172" s="270" t="str">
        <f>_xlfn.IFNA(VLOOKUP(CONCATENATE(BK$4,$C172),'INSER DATA'!$A:$F,7,0),"")</f>
        <v/>
      </c>
      <c r="BL172" s="272"/>
      <c r="BM172" s="30"/>
      <c r="BN172" s="30"/>
      <c r="BO172" s="30"/>
      <c r="BP172" s="30"/>
      <c r="BQ172" s="30"/>
      <c r="BR172" s="30"/>
      <c r="BS172" s="30"/>
      <c r="BT172" s="30"/>
      <c r="BU172" s="30"/>
      <c r="BV172" s="30"/>
      <c r="BW172" s="30"/>
      <c r="BX172" s="30"/>
      <c r="BY172" s="30"/>
      <c r="BZ172" s="30"/>
      <c r="CA172" s="30"/>
      <c r="CB172" s="30"/>
      <c r="CC172" s="30"/>
      <c r="CD172" s="30"/>
      <c r="CE172" s="30"/>
      <c r="CF172" s="30"/>
      <c r="CG172" s="30"/>
      <c r="CH172" s="30"/>
      <c r="CI172" s="30"/>
      <c r="CJ172" s="30"/>
      <c r="CK172" s="30"/>
      <c r="CL172" s="30"/>
      <c r="CM172" s="30"/>
      <c r="CN172" s="30"/>
      <c r="CO172" s="30"/>
      <c r="CP172" s="30"/>
      <c r="CQ172" s="30"/>
      <c r="CR172" s="30"/>
      <c r="CS172" s="30"/>
      <c r="CT172" s="30"/>
      <c r="CU172" s="30"/>
      <c r="CV172" s="30"/>
      <c r="CW172" s="30"/>
      <c r="CX172" s="30"/>
      <c r="CY172" s="30"/>
      <c r="CZ172" s="30"/>
      <c r="DA172" s="30"/>
    </row>
    <row r="173" spans="1:105" ht="19.2" thickTop="1" thickBot="1" x14ac:dyDescent="0.4">
      <c r="A173" s="30"/>
      <c r="B173" s="30"/>
      <c r="C173" s="185" t="s">
        <v>757</v>
      </c>
      <c r="D173" s="46" t="s">
        <v>749</v>
      </c>
      <c r="E173" s="35" t="str">
        <f>_xlfn.XLOOKUP(Tabella4[[#This Row],[NOME]],'ROSE SQUADRE'!$N$3:$N$253,'ROSE SQUADRE'!$O$3:$O$253,"")</f>
        <v/>
      </c>
      <c r="F173" s="36" t="s">
        <v>161</v>
      </c>
      <c r="G173" s="43">
        <v>2</v>
      </c>
      <c r="H173" s="43">
        <v>2</v>
      </c>
      <c r="I173" s="44">
        <f t="shared" si="13"/>
        <v>0</v>
      </c>
      <c r="J173" s="37">
        <f t="shared" si="14"/>
        <v>1</v>
      </c>
      <c r="K173" s="38">
        <f t="shared" si="15"/>
        <v>4.5</v>
      </c>
      <c r="L173" s="38">
        <f t="shared" si="16"/>
        <v>4.5</v>
      </c>
      <c r="M173" s="39">
        <f t="shared" si="17"/>
        <v>4.5</v>
      </c>
      <c r="N173" s="45">
        <f t="shared" ca="1" si="18"/>
        <v>0</v>
      </c>
      <c r="O173" s="40">
        <f>SUMIF(Tabella1[Nome],Tabella4[[#This Row],[NOME]],Tabella1[Gf])</f>
        <v>0</v>
      </c>
      <c r="P173" s="40">
        <f>-(SUMIF(Tabella1[Nome],Tabella4[[#This Row],[NOME]],Tabella1[Gs]))</f>
        <v>0</v>
      </c>
      <c r="Q173" s="40">
        <f>SUMIF(Tabella1[Nome],Tabella4[[#This Row],[NOME]],Tabella1[Rp])</f>
        <v>0</v>
      </c>
      <c r="R173" s="40">
        <f>SUMIF(Tabella1[Nome],Tabella4[[#This Row],[NOME]],Tabella1[Rs])</f>
        <v>0</v>
      </c>
      <c r="S173" s="40">
        <f>SUMIF(Tabella1[Nome],Tabella4[[#This Row],[NOME]],Tabella1[Rf])</f>
        <v>0</v>
      </c>
      <c r="T173" s="40">
        <f>SUMIF(Tabella1[Nome],Tabella4[[#This Row],[NOME]],Tabella1[Au])</f>
        <v>0</v>
      </c>
      <c r="U173" s="41">
        <f>SUMIF(Tabella1[Nome],Tabella4[[#This Row],[NOME]],Tabella1[Amm])</f>
        <v>0</v>
      </c>
      <c r="V173" s="42">
        <f>SUMIF(Tabella1[Nome],Tabella4[[#This Row],[NOME]],Tabella1[Esp])</f>
        <v>0</v>
      </c>
      <c r="W173" s="40">
        <f>SUMIF(Tabella1[Nome],Tabella4[[#This Row],[NOME]],Tabella1[Ass])</f>
        <v>0</v>
      </c>
      <c r="X173" s="40">
        <f>SUMIF(Tabella1[Nome],Tabella4[[#This Row],[NOME]],Tabella1[Gdv])</f>
        <v>0</v>
      </c>
      <c r="Y173" s="40">
        <f>SUMIF(Tabella1[Nome],Tabella4[[#This Row],[NOME]],Tabella1[cl sh])</f>
        <v>0</v>
      </c>
      <c r="Z173" s="270">
        <f>_xlfn.IFNA(_xlfn.XLOOKUP(CONCATENATE(Z$4,$C173),Tabella1[CONC X VOTI IN TAB GIOC],Tabella1[Voto],""),"")</f>
        <v>4.5</v>
      </c>
      <c r="AA173" s="270" t="str">
        <f>_xlfn.IFNA(_xlfn.XLOOKUP(CONCATENATE(AA$4,$C173),Tabella1[CONC X VOTI IN TAB GIOC],Tabella1[Voto],""),"")</f>
        <v/>
      </c>
      <c r="AB173" s="270" t="str">
        <f>_xlfn.IFNA(_xlfn.XLOOKUP(CONCATENATE(AB$4,$C173),Tabella1[CONC X VOTI IN TAB GIOC],Tabella1[Voto]),"")</f>
        <v/>
      </c>
      <c r="AC173" s="270" t="str" cm="1">
        <f t="array" ref="AC173">_xlfn.IFNA(_xlfn.XLOOKUP(CONCATENATE(AC$4,$C173),INDEX(Tabella1[],0,MATCH("CONC X VOTI IN TAB GIOC",Tabella1[#Headers],0)),INDEX(Tabella1[],0,MATCH("Voto",Tabella1[#Headers],0))),"")</f>
        <v/>
      </c>
      <c r="AD173" s="270" t="str">
        <f>_xlfn.IFNA(_xlfn.XLOOKUP(CONCATENATE(AD$4,$C173),Tabella1[CONC X VOTI IN TAB GIOC],Tabella1[Voto]),"")</f>
        <v/>
      </c>
      <c r="AE173" s="270" t="str">
        <f>_xlfn.IFNA(VLOOKUP(CONCATENATE(AE$4,$C173),'INSER DATA'!$A:$F,6,0),"")</f>
        <v/>
      </c>
      <c r="AF173" s="270" t="str">
        <f>_xlfn.IFNA(VLOOKUP(CONCATENATE(AF$4,$C173),'INSER DATA'!$A:$F,6,0),"")</f>
        <v/>
      </c>
      <c r="AG173" s="270" t="str">
        <f>_xlfn.IFNA(VLOOKUP(CONCATENATE(AG$4,$C173),'INSER DATA'!$A:$F,6,0),"")</f>
        <v/>
      </c>
      <c r="AH173" s="270" t="str">
        <f>_xlfn.IFNA(VLOOKUP(CONCATENATE(AH$4,$C173),'INSER DATA'!$A:$F,7,0),"")</f>
        <v/>
      </c>
      <c r="AI173" s="270" t="str">
        <f>_xlfn.IFNA(VLOOKUP(CONCATENATE(AI$4,$C173),'INSER DATA'!$A:$F,7,0),"")</f>
        <v/>
      </c>
      <c r="AJ173" s="270" t="str">
        <f>_xlfn.IFNA(VLOOKUP(CONCATENATE(AJ$4,$C173),'INSER DATA'!$A:$F,7,0),"")</f>
        <v/>
      </c>
      <c r="AK173" s="270" t="str">
        <f>_xlfn.IFNA(VLOOKUP(CONCATENATE(AK$4,$C173),'INSER DATA'!$A:$F,7,0),"")</f>
        <v/>
      </c>
      <c r="AL173" s="270" t="str">
        <f>_xlfn.IFNA(VLOOKUP(CONCATENATE(AL$4,$C173),'INSER DATA'!$A:$F,7,0),"")</f>
        <v/>
      </c>
      <c r="AM173" s="270" t="str">
        <f>_xlfn.IFNA(VLOOKUP(CONCATENATE(AM$4,$C173),'INSER DATA'!$A:$F,7,0),"")</f>
        <v/>
      </c>
      <c r="AN173" s="270" t="str">
        <f>_xlfn.IFNA(VLOOKUP(CONCATENATE(AN$4,$C173),'INSER DATA'!$A:$F,7,0),"")</f>
        <v/>
      </c>
      <c r="AO173" s="270" t="str">
        <f>_xlfn.IFNA(VLOOKUP(CONCATENATE(AO$4,$C173),'INSER DATA'!$A:$F,7,0),"")</f>
        <v/>
      </c>
      <c r="AP173" s="270" t="str">
        <f>_xlfn.IFNA(VLOOKUP(CONCATENATE(AP$4,$C173),'INSER DATA'!$A:$F,7,0),"")</f>
        <v/>
      </c>
      <c r="AQ173" s="270" t="str">
        <f>_xlfn.IFNA(VLOOKUP(CONCATENATE(AQ$4,$C173),'INSER DATA'!$A:$F,7,0),"")</f>
        <v/>
      </c>
      <c r="AR173" s="270" t="str">
        <f>_xlfn.IFNA(VLOOKUP(CONCATENATE(AR$4,$C173),'INSER DATA'!$A:$F,7,0),"")</f>
        <v/>
      </c>
      <c r="AS173" s="270" t="str">
        <f>_xlfn.IFNA(VLOOKUP(CONCATENATE(AS$4,$C173),'INSER DATA'!$A:$F,7,0),"")</f>
        <v/>
      </c>
      <c r="AT173" s="270" t="str">
        <f>_xlfn.IFNA(VLOOKUP(CONCATENATE(AT$4,$C173),'INSER DATA'!$A:$F,7,0),"")</f>
        <v/>
      </c>
      <c r="AU173" s="270" t="str">
        <f>_xlfn.IFNA(VLOOKUP(CONCATENATE(AU$4,$C173),'INSER DATA'!$A:$F,7,0),"")</f>
        <v/>
      </c>
      <c r="AV173" s="270" t="str">
        <f>_xlfn.IFNA(VLOOKUP(CONCATENATE(AV$4,$C173),'INSER DATA'!$A:$F,7,0),"")</f>
        <v/>
      </c>
      <c r="AW173" s="270" t="str">
        <f>_xlfn.IFNA(VLOOKUP(CONCATENATE(AW$4,$C173),'INSER DATA'!$A:$F,7,0),"")</f>
        <v/>
      </c>
      <c r="AX173" s="270" t="str">
        <f>_xlfn.IFNA(VLOOKUP(CONCATENATE(AX$4,$C173),'INSER DATA'!$A:$F,7,0),"")</f>
        <v/>
      </c>
      <c r="AY173" s="270" t="str">
        <f>_xlfn.IFNA(VLOOKUP(CONCATENATE(AY$4,$C173),'INSER DATA'!$A:$F,7,0),"")</f>
        <v/>
      </c>
      <c r="AZ173" s="270" t="str">
        <f>_xlfn.IFNA(VLOOKUP(CONCATENATE(AZ$4,$C173),'INSER DATA'!$A:$F,7,0),"")</f>
        <v/>
      </c>
      <c r="BA173" s="270" t="str">
        <f>_xlfn.IFNA(VLOOKUP(CONCATENATE(BA$4,$C173),'INSER DATA'!$A:$F,7,0),"")</f>
        <v/>
      </c>
      <c r="BB173" s="270" t="str">
        <f>_xlfn.IFNA(VLOOKUP(CONCATENATE(BB$4,$C173),'INSER DATA'!$A:$F,7,0),"")</f>
        <v/>
      </c>
      <c r="BC173" s="270" t="str">
        <f>_xlfn.IFNA(VLOOKUP(CONCATENATE(BC$4,$C173),'INSER DATA'!$A:$F,7,0),"")</f>
        <v/>
      </c>
      <c r="BD173" s="270" t="str">
        <f>_xlfn.IFNA(VLOOKUP(CONCATENATE(BD$4,$C173),'INSER DATA'!$A:$F,7,0),"")</f>
        <v/>
      </c>
      <c r="BE173" s="270" t="str">
        <f>_xlfn.IFNA(VLOOKUP(CONCATENATE(BE$4,$C173),'INSER DATA'!$A:$F,7,0),"")</f>
        <v/>
      </c>
      <c r="BF173" s="270" t="str">
        <f>_xlfn.IFNA(VLOOKUP(CONCATENATE(BF$4,$C173),'INSER DATA'!$A:$F,7,0),"")</f>
        <v/>
      </c>
      <c r="BG173" s="270" t="str">
        <f>_xlfn.IFNA(VLOOKUP(CONCATENATE(BG$4,$C173),'INSER DATA'!$A:$F,7,0),"")</f>
        <v/>
      </c>
      <c r="BH173" s="270" t="str">
        <f>_xlfn.IFNA(VLOOKUP(CONCATENATE(BH$4,$C173),'INSER DATA'!$A:$F,7,0),"")</f>
        <v/>
      </c>
      <c r="BI173" s="270" t="str">
        <f>_xlfn.IFNA(VLOOKUP(CONCATENATE(BI$4,$C173),'INSER DATA'!$A:$F,7,0),"")</f>
        <v/>
      </c>
      <c r="BJ173" s="270" t="str">
        <f>_xlfn.IFNA(VLOOKUP(CONCATENATE(BJ$4,$C173),'INSER DATA'!$A:$F,7,0),"")</f>
        <v/>
      </c>
      <c r="BK173" s="270" t="str">
        <f>_xlfn.IFNA(VLOOKUP(CONCATENATE(BK$4,$C173),'INSER DATA'!$A:$F,7,0),"")</f>
        <v/>
      </c>
      <c r="BL173" s="272"/>
      <c r="BM173" s="30"/>
      <c r="BN173" s="30"/>
      <c r="BO173" s="30"/>
      <c r="BP173" s="30"/>
      <c r="BQ173" s="30"/>
      <c r="BR173" s="30"/>
      <c r="BS173" s="30"/>
      <c r="BT173" s="30"/>
      <c r="BU173" s="30"/>
      <c r="BV173" s="30"/>
      <c r="BW173" s="30"/>
      <c r="BX173" s="30"/>
      <c r="BY173" s="30"/>
      <c r="BZ173" s="30"/>
      <c r="CA173" s="30"/>
      <c r="CB173" s="30"/>
      <c r="CC173" s="30"/>
      <c r="CD173" s="30"/>
      <c r="CE173" s="30"/>
      <c r="CF173" s="30"/>
      <c r="CG173" s="30"/>
      <c r="CH173" s="30"/>
      <c r="CI173" s="30"/>
      <c r="CJ173" s="30"/>
      <c r="CK173" s="30"/>
      <c r="CL173" s="30"/>
      <c r="CM173" s="30"/>
      <c r="CN173" s="30"/>
      <c r="CO173" s="30"/>
      <c r="CP173" s="30"/>
      <c r="CQ173" s="30"/>
      <c r="CR173" s="30"/>
      <c r="CS173" s="30"/>
      <c r="CT173" s="30"/>
      <c r="CU173" s="30"/>
      <c r="CV173" s="30"/>
      <c r="CW173" s="30"/>
      <c r="CX173" s="30"/>
      <c r="CY173" s="30"/>
      <c r="CZ173" s="30"/>
      <c r="DA173" s="30"/>
    </row>
    <row r="174" spans="1:105" ht="19.2" thickTop="1" thickBot="1" x14ac:dyDescent="0.4">
      <c r="A174" s="30"/>
      <c r="B174" s="30"/>
      <c r="C174" s="188" t="s">
        <v>750</v>
      </c>
      <c r="D174" s="46" t="s">
        <v>749</v>
      </c>
      <c r="E174" s="35" t="str">
        <f>_xlfn.XLOOKUP(Tabella4[[#This Row],[NOME]],'ROSE SQUADRE'!$N$3:$N$253,'ROSE SQUADRE'!$O$3:$O$253,"")</f>
        <v/>
      </c>
      <c r="F174" s="36" t="s">
        <v>5</v>
      </c>
      <c r="G174" s="43">
        <v>1</v>
      </c>
      <c r="H174" s="43">
        <v>1</v>
      </c>
      <c r="I174" s="44">
        <f t="shared" si="13"/>
        <v>0</v>
      </c>
      <c r="J174" s="37">
        <f t="shared" si="14"/>
        <v>0</v>
      </c>
      <c r="K174" s="38">
        <f t="shared" si="15"/>
        <v>0</v>
      </c>
      <c r="L174" s="38">
        <f t="shared" si="16"/>
        <v>0</v>
      </c>
      <c r="M174" s="39">
        <f t="shared" si="17"/>
        <v>0</v>
      </c>
      <c r="N174" s="45">
        <f t="shared" ca="1" si="18"/>
        <v>0</v>
      </c>
      <c r="O174" s="40">
        <f>SUMIF(Tabella1[Nome],Tabella4[[#This Row],[NOME]],Tabella1[Gf])</f>
        <v>0</v>
      </c>
      <c r="P174" s="40">
        <f>-(SUMIF(Tabella1[Nome],Tabella4[[#This Row],[NOME]],Tabella1[Gs]))</f>
        <v>0</v>
      </c>
      <c r="Q174" s="40">
        <f>SUMIF(Tabella1[Nome],Tabella4[[#This Row],[NOME]],Tabella1[Rp])</f>
        <v>0</v>
      </c>
      <c r="R174" s="40">
        <f>SUMIF(Tabella1[Nome],Tabella4[[#This Row],[NOME]],Tabella1[Rs])</f>
        <v>0</v>
      </c>
      <c r="S174" s="40">
        <f>SUMIF(Tabella1[Nome],Tabella4[[#This Row],[NOME]],Tabella1[Rf])</f>
        <v>0</v>
      </c>
      <c r="T174" s="40">
        <f>SUMIF(Tabella1[Nome],Tabella4[[#This Row],[NOME]],Tabella1[Au])</f>
        <v>0</v>
      </c>
      <c r="U174" s="41">
        <f>SUMIF(Tabella1[Nome],Tabella4[[#This Row],[NOME]],Tabella1[Amm])</f>
        <v>0</v>
      </c>
      <c r="V174" s="42">
        <f>SUMIF(Tabella1[Nome],Tabella4[[#This Row],[NOME]],Tabella1[Esp])</f>
        <v>0</v>
      </c>
      <c r="W174" s="40">
        <f>SUMIF(Tabella1[Nome],Tabella4[[#This Row],[NOME]],Tabella1[Ass])</f>
        <v>0</v>
      </c>
      <c r="X174" s="40">
        <f>SUMIF(Tabella1[Nome],Tabella4[[#This Row],[NOME]],Tabella1[Gdv])</f>
        <v>0</v>
      </c>
      <c r="Y174" s="40">
        <f>SUMIF(Tabella1[Nome],Tabella4[[#This Row],[NOME]],Tabella1[cl sh])</f>
        <v>0</v>
      </c>
      <c r="Z174" s="270" t="str">
        <f>_xlfn.IFNA(_xlfn.XLOOKUP(CONCATENATE(Z$4,$C174),Tabella1[CONC X VOTI IN TAB GIOC],Tabella1[Voto],""),"")</f>
        <v/>
      </c>
      <c r="AA174" s="270" t="str">
        <f>_xlfn.IFNA(_xlfn.XLOOKUP(CONCATENATE(AA$4,$C174),Tabella1[CONC X VOTI IN TAB GIOC],Tabella1[Voto],""),"")</f>
        <v/>
      </c>
      <c r="AB174" s="270" t="str">
        <f>_xlfn.IFNA(_xlfn.XLOOKUP(CONCATENATE(AB$4,$C174),Tabella1[CONC X VOTI IN TAB GIOC],Tabella1[Voto]),"")</f>
        <v/>
      </c>
      <c r="AC174" s="270" t="str" cm="1">
        <f t="array" ref="AC174">_xlfn.IFNA(_xlfn.XLOOKUP(CONCATENATE(AC$4,$C174),INDEX(Tabella1[],0,MATCH("CONC X VOTI IN TAB GIOC",Tabella1[#Headers],0)),INDEX(Tabella1[],0,MATCH("Voto",Tabella1[#Headers],0))),"")</f>
        <v/>
      </c>
      <c r="AD174" s="270" t="str">
        <f>_xlfn.IFNA(_xlfn.XLOOKUP(CONCATENATE(AD$4,$C174),Tabella1[CONC X VOTI IN TAB GIOC],Tabella1[Voto]),"")</f>
        <v/>
      </c>
      <c r="AE174" s="270" t="str">
        <f>_xlfn.IFNA(VLOOKUP(CONCATENATE(AE$4,$C174),'INSER DATA'!$A:$F,6,0),"")</f>
        <v/>
      </c>
      <c r="AF174" s="270" t="str">
        <f>_xlfn.IFNA(VLOOKUP(CONCATENATE(AF$4,$C174),'INSER DATA'!$A:$F,6,0),"")</f>
        <v/>
      </c>
      <c r="AG174" s="270" t="str">
        <f>_xlfn.IFNA(VLOOKUP(CONCATENATE(AG$4,$C174),'INSER DATA'!$A:$F,6,0),"")</f>
        <v/>
      </c>
      <c r="AH174" s="270" t="str">
        <f>_xlfn.IFNA(VLOOKUP(CONCATENATE(AH$4,$C174),'INSER DATA'!$A:$F,7,0),"")</f>
        <v/>
      </c>
      <c r="AI174" s="270" t="str">
        <f>_xlfn.IFNA(VLOOKUP(CONCATENATE(AI$4,$C174),'INSER DATA'!$A:$F,7,0),"")</f>
        <v/>
      </c>
      <c r="AJ174" s="270" t="str">
        <f>_xlfn.IFNA(VLOOKUP(CONCATENATE(AJ$4,$C174),'INSER DATA'!$A:$F,7,0),"")</f>
        <v/>
      </c>
      <c r="AK174" s="270" t="str">
        <f>_xlfn.IFNA(VLOOKUP(CONCATENATE(AK$4,$C174),'INSER DATA'!$A:$F,7,0),"")</f>
        <v/>
      </c>
      <c r="AL174" s="270" t="str">
        <f>_xlfn.IFNA(VLOOKUP(CONCATENATE(AL$4,$C174),'INSER DATA'!$A:$F,7,0),"")</f>
        <v/>
      </c>
      <c r="AM174" s="270" t="str">
        <f>_xlfn.IFNA(VLOOKUP(CONCATENATE(AM$4,$C174),'INSER DATA'!$A:$F,7,0),"")</f>
        <v/>
      </c>
      <c r="AN174" s="270" t="str">
        <f>_xlfn.IFNA(VLOOKUP(CONCATENATE(AN$4,$C174),'INSER DATA'!$A:$F,7,0),"")</f>
        <v/>
      </c>
      <c r="AO174" s="270" t="str">
        <f>_xlfn.IFNA(VLOOKUP(CONCATENATE(AO$4,$C174),'INSER DATA'!$A:$F,7,0),"")</f>
        <v/>
      </c>
      <c r="AP174" s="270" t="str">
        <f>_xlfn.IFNA(VLOOKUP(CONCATENATE(AP$4,$C174),'INSER DATA'!$A:$F,7,0),"")</f>
        <v/>
      </c>
      <c r="AQ174" s="270" t="str">
        <f>_xlfn.IFNA(VLOOKUP(CONCATENATE(AQ$4,$C174),'INSER DATA'!$A:$F,7,0),"")</f>
        <v/>
      </c>
      <c r="AR174" s="270" t="str">
        <f>_xlfn.IFNA(VLOOKUP(CONCATENATE(AR$4,$C174),'INSER DATA'!$A:$F,7,0),"")</f>
        <v/>
      </c>
      <c r="AS174" s="270" t="str">
        <f>_xlfn.IFNA(VLOOKUP(CONCATENATE(AS$4,$C174),'INSER DATA'!$A:$F,7,0),"")</f>
        <v/>
      </c>
      <c r="AT174" s="270" t="str">
        <f>_xlfn.IFNA(VLOOKUP(CONCATENATE(AT$4,$C174),'INSER DATA'!$A:$F,7,0),"")</f>
        <v/>
      </c>
      <c r="AU174" s="270" t="str">
        <f>_xlfn.IFNA(VLOOKUP(CONCATENATE(AU$4,$C174),'INSER DATA'!$A:$F,7,0),"")</f>
        <v/>
      </c>
      <c r="AV174" s="270" t="str">
        <f>_xlfn.IFNA(VLOOKUP(CONCATENATE(AV$4,$C174),'INSER DATA'!$A:$F,7,0),"")</f>
        <v/>
      </c>
      <c r="AW174" s="270" t="str">
        <f>_xlfn.IFNA(VLOOKUP(CONCATENATE(AW$4,$C174),'INSER DATA'!$A:$F,7,0),"")</f>
        <v/>
      </c>
      <c r="AX174" s="270" t="str">
        <f>_xlfn.IFNA(VLOOKUP(CONCATENATE(AX$4,$C174),'INSER DATA'!$A:$F,7,0),"")</f>
        <v/>
      </c>
      <c r="AY174" s="270" t="str">
        <f>_xlfn.IFNA(VLOOKUP(CONCATENATE(AY$4,$C174),'INSER DATA'!$A:$F,7,0),"")</f>
        <v/>
      </c>
      <c r="AZ174" s="270" t="str">
        <f>_xlfn.IFNA(VLOOKUP(CONCATENATE(AZ$4,$C174),'INSER DATA'!$A:$F,7,0),"")</f>
        <v/>
      </c>
      <c r="BA174" s="270" t="str">
        <f>_xlfn.IFNA(VLOOKUP(CONCATENATE(BA$4,$C174),'INSER DATA'!$A:$F,7,0),"")</f>
        <v/>
      </c>
      <c r="BB174" s="270" t="str">
        <f>_xlfn.IFNA(VLOOKUP(CONCATENATE(BB$4,$C174),'INSER DATA'!$A:$F,7,0),"")</f>
        <v/>
      </c>
      <c r="BC174" s="270" t="str">
        <f>_xlfn.IFNA(VLOOKUP(CONCATENATE(BC$4,$C174),'INSER DATA'!$A:$F,7,0),"")</f>
        <v/>
      </c>
      <c r="BD174" s="270" t="str">
        <f>_xlfn.IFNA(VLOOKUP(CONCATENATE(BD$4,$C174),'INSER DATA'!$A:$F,7,0),"")</f>
        <v/>
      </c>
      <c r="BE174" s="270" t="str">
        <f>_xlfn.IFNA(VLOOKUP(CONCATENATE(BE$4,$C174),'INSER DATA'!$A:$F,7,0),"")</f>
        <v/>
      </c>
      <c r="BF174" s="270" t="str">
        <f>_xlfn.IFNA(VLOOKUP(CONCATENATE(BF$4,$C174),'INSER DATA'!$A:$F,7,0),"")</f>
        <v/>
      </c>
      <c r="BG174" s="270" t="str">
        <f>_xlfn.IFNA(VLOOKUP(CONCATENATE(BG$4,$C174),'INSER DATA'!$A:$F,7,0),"")</f>
        <v/>
      </c>
      <c r="BH174" s="270" t="str">
        <f>_xlfn.IFNA(VLOOKUP(CONCATENATE(BH$4,$C174),'INSER DATA'!$A:$F,7,0),"")</f>
        <v/>
      </c>
      <c r="BI174" s="270" t="str">
        <f>_xlfn.IFNA(VLOOKUP(CONCATENATE(BI$4,$C174),'INSER DATA'!$A:$F,7,0),"")</f>
        <v/>
      </c>
      <c r="BJ174" s="270" t="str">
        <f>_xlfn.IFNA(VLOOKUP(CONCATENATE(BJ$4,$C174),'INSER DATA'!$A:$F,7,0),"")</f>
        <v/>
      </c>
      <c r="BK174" s="270" t="str">
        <f>_xlfn.IFNA(VLOOKUP(CONCATENATE(BK$4,$C174),'INSER DATA'!$A:$F,7,0),"")</f>
        <v/>
      </c>
      <c r="BL174" s="272"/>
      <c r="BM174" s="30"/>
      <c r="BN174" s="30"/>
      <c r="BO174" s="30"/>
      <c r="BP174" s="30"/>
      <c r="BQ174" s="30"/>
      <c r="BR174" s="30"/>
      <c r="BS174" s="30"/>
      <c r="BT174" s="30"/>
      <c r="BU174" s="30"/>
      <c r="BV174" s="30"/>
      <c r="BW174" s="30"/>
      <c r="BX174" s="30"/>
      <c r="BY174" s="30"/>
      <c r="BZ174" s="30"/>
      <c r="CA174" s="30"/>
      <c r="CB174" s="30"/>
      <c r="CC174" s="30"/>
      <c r="CD174" s="30"/>
      <c r="CE174" s="30"/>
      <c r="CF174" s="30"/>
      <c r="CG174" s="30"/>
      <c r="CH174" s="30"/>
      <c r="CI174" s="30"/>
      <c r="CJ174" s="30"/>
      <c r="CK174" s="30"/>
      <c r="CL174" s="30"/>
      <c r="CM174" s="30"/>
      <c r="CN174" s="30"/>
      <c r="CO174" s="30"/>
      <c r="CP174" s="30"/>
      <c r="CQ174" s="30"/>
      <c r="CR174" s="30"/>
      <c r="CS174" s="30"/>
      <c r="CT174" s="30"/>
      <c r="CU174" s="30"/>
      <c r="CV174" s="30"/>
      <c r="CW174" s="30"/>
      <c r="CX174" s="30"/>
      <c r="CY174" s="30"/>
      <c r="CZ174" s="30"/>
      <c r="DA174" s="30"/>
    </row>
    <row r="175" spans="1:105" ht="19.2" thickTop="1" thickBot="1" x14ac:dyDescent="0.4">
      <c r="A175" s="30"/>
      <c r="B175" s="30"/>
      <c r="C175" s="188" t="s">
        <v>751</v>
      </c>
      <c r="D175" s="46" t="s">
        <v>749</v>
      </c>
      <c r="E175" s="35" t="str">
        <f>_xlfn.XLOOKUP(Tabella4[[#This Row],[NOME]],'ROSE SQUADRE'!$N$3:$N$253,'ROSE SQUADRE'!$O$3:$O$253,"")</f>
        <v/>
      </c>
      <c r="F175" s="36" t="s">
        <v>5</v>
      </c>
      <c r="G175" s="43">
        <v>1</v>
      </c>
      <c r="H175" s="43">
        <v>1</v>
      </c>
      <c r="I175" s="44">
        <f t="shared" si="13"/>
        <v>0</v>
      </c>
      <c r="J175" s="37">
        <f t="shared" si="14"/>
        <v>0</v>
      </c>
      <c r="K175" s="38">
        <f t="shared" si="15"/>
        <v>0</v>
      </c>
      <c r="L175" s="38">
        <f t="shared" si="16"/>
        <v>0</v>
      </c>
      <c r="M175" s="39">
        <f t="shared" si="17"/>
        <v>0</v>
      </c>
      <c r="N175" s="45">
        <f t="shared" ca="1" si="18"/>
        <v>0</v>
      </c>
      <c r="O175" s="40">
        <f>SUMIF(Tabella1[Nome],Tabella4[[#This Row],[NOME]],Tabella1[Gf])</f>
        <v>0</v>
      </c>
      <c r="P175" s="40">
        <f>-(SUMIF(Tabella1[Nome],Tabella4[[#This Row],[NOME]],Tabella1[Gs]))</f>
        <v>0</v>
      </c>
      <c r="Q175" s="40">
        <f>SUMIF(Tabella1[Nome],Tabella4[[#This Row],[NOME]],Tabella1[Rp])</f>
        <v>0</v>
      </c>
      <c r="R175" s="40">
        <f>SUMIF(Tabella1[Nome],Tabella4[[#This Row],[NOME]],Tabella1[Rs])</f>
        <v>0</v>
      </c>
      <c r="S175" s="40">
        <f>SUMIF(Tabella1[Nome],Tabella4[[#This Row],[NOME]],Tabella1[Rf])</f>
        <v>0</v>
      </c>
      <c r="T175" s="40">
        <f>SUMIF(Tabella1[Nome],Tabella4[[#This Row],[NOME]],Tabella1[Au])</f>
        <v>0</v>
      </c>
      <c r="U175" s="41">
        <f>SUMIF(Tabella1[Nome],Tabella4[[#This Row],[NOME]],Tabella1[Amm])</f>
        <v>0</v>
      </c>
      <c r="V175" s="42">
        <f>SUMIF(Tabella1[Nome],Tabella4[[#This Row],[NOME]],Tabella1[Esp])</f>
        <v>0</v>
      </c>
      <c r="W175" s="40">
        <f>SUMIF(Tabella1[Nome],Tabella4[[#This Row],[NOME]],Tabella1[Ass])</f>
        <v>0</v>
      </c>
      <c r="X175" s="40">
        <f>SUMIF(Tabella1[Nome],Tabella4[[#This Row],[NOME]],Tabella1[Gdv])</f>
        <v>0</v>
      </c>
      <c r="Y175" s="40">
        <f>SUMIF(Tabella1[Nome],Tabella4[[#This Row],[NOME]],Tabella1[cl sh])</f>
        <v>0</v>
      </c>
      <c r="Z175" s="270" t="str">
        <f>_xlfn.IFNA(_xlfn.XLOOKUP(CONCATENATE(Z$4,$C175),Tabella1[CONC X VOTI IN TAB GIOC],Tabella1[Voto],""),"")</f>
        <v/>
      </c>
      <c r="AA175" s="270" t="str">
        <f>_xlfn.IFNA(_xlfn.XLOOKUP(CONCATENATE(AA$4,$C175),Tabella1[CONC X VOTI IN TAB GIOC],Tabella1[Voto],""),"")</f>
        <v/>
      </c>
      <c r="AB175" s="270" t="str">
        <f>_xlfn.IFNA(_xlfn.XLOOKUP(CONCATENATE(AB$4,$C175),Tabella1[CONC X VOTI IN TAB GIOC],Tabella1[Voto]),"")</f>
        <v/>
      </c>
      <c r="AC175" s="270" t="str" cm="1">
        <f t="array" ref="AC175">_xlfn.IFNA(_xlfn.XLOOKUP(CONCATENATE(AC$4,$C175),INDEX(Tabella1[],0,MATCH("CONC X VOTI IN TAB GIOC",Tabella1[#Headers],0)),INDEX(Tabella1[],0,MATCH("Voto",Tabella1[#Headers],0))),"")</f>
        <v/>
      </c>
      <c r="AD175" s="270" t="str">
        <f>_xlfn.IFNA(_xlfn.XLOOKUP(CONCATENATE(AD$4,$C175),Tabella1[CONC X VOTI IN TAB GIOC],Tabella1[Voto]),"")</f>
        <v/>
      </c>
      <c r="AE175" s="270" t="str">
        <f>_xlfn.IFNA(VLOOKUP(CONCATENATE(AE$4,$C175),'INSER DATA'!$A:$F,6,0),"")</f>
        <v/>
      </c>
      <c r="AF175" s="270" t="str">
        <f>_xlfn.IFNA(VLOOKUP(CONCATENATE(AF$4,$C175),'INSER DATA'!$A:$F,6,0),"")</f>
        <v/>
      </c>
      <c r="AG175" s="270" t="str">
        <f>_xlfn.IFNA(VLOOKUP(CONCATENATE(AG$4,$C175),'INSER DATA'!$A:$F,6,0),"")</f>
        <v/>
      </c>
      <c r="AH175" s="270" t="str">
        <f>_xlfn.IFNA(VLOOKUP(CONCATENATE(AH$4,$C175),'INSER DATA'!$A:$F,7,0),"")</f>
        <v/>
      </c>
      <c r="AI175" s="270" t="str">
        <f>_xlfn.IFNA(VLOOKUP(CONCATENATE(AI$4,$C175),'INSER DATA'!$A:$F,7,0),"")</f>
        <v/>
      </c>
      <c r="AJ175" s="270" t="str">
        <f>_xlfn.IFNA(VLOOKUP(CONCATENATE(AJ$4,$C175),'INSER DATA'!$A:$F,7,0),"")</f>
        <v/>
      </c>
      <c r="AK175" s="270" t="str">
        <f>_xlfn.IFNA(VLOOKUP(CONCATENATE(AK$4,$C175),'INSER DATA'!$A:$F,7,0),"")</f>
        <v/>
      </c>
      <c r="AL175" s="270" t="str">
        <f>_xlfn.IFNA(VLOOKUP(CONCATENATE(AL$4,$C175),'INSER DATA'!$A:$F,7,0),"")</f>
        <v/>
      </c>
      <c r="AM175" s="270" t="str">
        <f>_xlfn.IFNA(VLOOKUP(CONCATENATE(AM$4,$C175),'INSER DATA'!$A:$F,7,0),"")</f>
        <v/>
      </c>
      <c r="AN175" s="270" t="str">
        <f>_xlfn.IFNA(VLOOKUP(CONCATENATE(AN$4,$C175),'INSER DATA'!$A:$F,7,0),"")</f>
        <v/>
      </c>
      <c r="AO175" s="270" t="str">
        <f>_xlfn.IFNA(VLOOKUP(CONCATENATE(AO$4,$C175),'INSER DATA'!$A:$F,7,0),"")</f>
        <v/>
      </c>
      <c r="AP175" s="270" t="str">
        <f>_xlfn.IFNA(VLOOKUP(CONCATENATE(AP$4,$C175),'INSER DATA'!$A:$F,7,0),"")</f>
        <v/>
      </c>
      <c r="AQ175" s="270" t="str">
        <f>_xlfn.IFNA(VLOOKUP(CONCATENATE(AQ$4,$C175),'INSER DATA'!$A:$F,7,0),"")</f>
        <v/>
      </c>
      <c r="AR175" s="270" t="str">
        <f>_xlfn.IFNA(VLOOKUP(CONCATENATE(AR$4,$C175),'INSER DATA'!$A:$F,7,0),"")</f>
        <v/>
      </c>
      <c r="AS175" s="270" t="str">
        <f>_xlfn.IFNA(VLOOKUP(CONCATENATE(AS$4,$C175),'INSER DATA'!$A:$F,7,0),"")</f>
        <v/>
      </c>
      <c r="AT175" s="270" t="str">
        <f>_xlfn.IFNA(VLOOKUP(CONCATENATE(AT$4,$C175),'INSER DATA'!$A:$F,7,0),"")</f>
        <v/>
      </c>
      <c r="AU175" s="270" t="str">
        <f>_xlfn.IFNA(VLOOKUP(CONCATENATE(AU$4,$C175),'INSER DATA'!$A:$F,7,0),"")</f>
        <v/>
      </c>
      <c r="AV175" s="270" t="str">
        <f>_xlfn.IFNA(VLOOKUP(CONCATENATE(AV$4,$C175),'INSER DATA'!$A:$F,7,0),"")</f>
        <v/>
      </c>
      <c r="AW175" s="270" t="str">
        <f>_xlfn.IFNA(VLOOKUP(CONCATENATE(AW$4,$C175),'INSER DATA'!$A:$F,7,0),"")</f>
        <v/>
      </c>
      <c r="AX175" s="270" t="str">
        <f>_xlfn.IFNA(VLOOKUP(CONCATENATE(AX$4,$C175),'INSER DATA'!$A:$F,7,0),"")</f>
        <v/>
      </c>
      <c r="AY175" s="270" t="str">
        <f>_xlfn.IFNA(VLOOKUP(CONCATENATE(AY$4,$C175),'INSER DATA'!$A:$F,7,0),"")</f>
        <v/>
      </c>
      <c r="AZ175" s="270" t="str">
        <f>_xlfn.IFNA(VLOOKUP(CONCATENATE(AZ$4,$C175),'INSER DATA'!$A:$F,7,0),"")</f>
        <v/>
      </c>
      <c r="BA175" s="270" t="str">
        <f>_xlfn.IFNA(VLOOKUP(CONCATENATE(BA$4,$C175),'INSER DATA'!$A:$F,7,0),"")</f>
        <v/>
      </c>
      <c r="BB175" s="270" t="str">
        <f>_xlfn.IFNA(VLOOKUP(CONCATENATE(BB$4,$C175),'INSER DATA'!$A:$F,7,0),"")</f>
        <v/>
      </c>
      <c r="BC175" s="270" t="str">
        <f>_xlfn.IFNA(VLOOKUP(CONCATENATE(BC$4,$C175),'INSER DATA'!$A:$F,7,0),"")</f>
        <v/>
      </c>
      <c r="BD175" s="270" t="str">
        <f>_xlfn.IFNA(VLOOKUP(CONCATENATE(BD$4,$C175),'INSER DATA'!$A:$F,7,0),"")</f>
        <v/>
      </c>
      <c r="BE175" s="270" t="str">
        <f>_xlfn.IFNA(VLOOKUP(CONCATENATE(BE$4,$C175),'INSER DATA'!$A:$F,7,0),"")</f>
        <v/>
      </c>
      <c r="BF175" s="270" t="str">
        <f>_xlfn.IFNA(VLOOKUP(CONCATENATE(BF$4,$C175),'INSER DATA'!$A:$F,7,0),"")</f>
        <v/>
      </c>
      <c r="BG175" s="270" t="str">
        <f>_xlfn.IFNA(VLOOKUP(CONCATENATE(BG$4,$C175),'INSER DATA'!$A:$F,7,0),"")</f>
        <v/>
      </c>
      <c r="BH175" s="270" t="str">
        <f>_xlfn.IFNA(VLOOKUP(CONCATENATE(BH$4,$C175),'INSER DATA'!$A:$F,7,0),"")</f>
        <v/>
      </c>
      <c r="BI175" s="270" t="str">
        <f>_xlfn.IFNA(VLOOKUP(CONCATENATE(BI$4,$C175),'INSER DATA'!$A:$F,7,0),"")</f>
        <v/>
      </c>
      <c r="BJ175" s="270" t="str">
        <f>_xlfn.IFNA(VLOOKUP(CONCATENATE(BJ$4,$C175),'INSER DATA'!$A:$F,7,0),"")</f>
        <v/>
      </c>
      <c r="BK175" s="270" t="str">
        <f>_xlfn.IFNA(VLOOKUP(CONCATENATE(BK$4,$C175),'INSER DATA'!$A:$F,7,0),"")</f>
        <v/>
      </c>
      <c r="BL175" s="272"/>
      <c r="BM175" s="30"/>
      <c r="BN175" s="30"/>
      <c r="BO175" s="30"/>
      <c r="BP175" s="30"/>
      <c r="BQ175" s="30"/>
      <c r="BR175" s="30"/>
      <c r="BS175" s="30"/>
      <c r="BT175" s="30"/>
      <c r="BU175" s="30"/>
      <c r="BV175" s="30"/>
      <c r="BW175" s="30"/>
      <c r="BX175" s="30"/>
      <c r="BY175" s="30"/>
      <c r="BZ175" s="30"/>
      <c r="CA175" s="30"/>
      <c r="CB175" s="30"/>
      <c r="CC175" s="30"/>
      <c r="CD175" s="30"/>
      <c r="CE175" s="30"/>
      <c r="CF175" s="30"/>
      <c r="CG175" s="30"/>
      <c r="CH175" s="30"/>
      <c r="CI175" s="30"/>
      <c r="CJ175" s="30"/>
      <c r="CK175" s="30"/>
      <c r="CL175" s="30"/>
      <c r="CM175" s="30"/>
      <c r="CN175" s="30"/>
      <c r="CO175" s="30"/>
      <c r="CP175" s="30"/>
      <c r="CQ175" s="30"/>
      <c r="CR175" s="30"/>
      <c r="CS175" s="30"/>
      <c r="CT175" s="30"/>
      <c r="CU175" s="30"/>
      <c r="CV175" s="30"/>
      <c r="CW175" s="30"/>
      <c r="CX175" s="30"/>
      <c r="CY175" s="30"/>
      <c r="CZ175" s="30"/>
      <c r="DA175" s="30"/>
    </row>
    <row r="176" spans="1:105" ht="19.2" thickTop="1" thickBot="1" x14ac:dyDescent="0.4">
      <c r="A176" s="30"/>
      <c r="B176" s="30"/>
      <c r="C176" s="188" t="s">
        <v>442</v>
      </c>
      <c r="D176" s="46" t="s">
        <v>749</v>
      </c>
      <c r="E176" s="35" t="str">
        <f>_xlfn.XLOOKUP(Tabella4[[#This Row],[NOME]],'ROSE SQUADRE'!$N$3:$N$253,'ROSE SQUADRE'!$O$3:$O$253,"")</f>
        <v/>
      </c>
      <c r="F176" s="36" t="s">
        <v>161</v>
      </c>
      <c r="G176" s="43">
        <v>5</v>
      </c>
      <c r="H176" s="43">
        <v>5</v>
      </c>
      <c r="I176" s="44">
        <f t="shared" si="13"/>
        <v>0</v>
      </c>
      <c r="J176" s="37">
        <f t="shared" si="14"/>
        <v>0</v>
      </c>
      <c r="K176" s="178">
        <f t="shared" si="15"/>
        <v>0</v>
      </c>
      <c r="L176" s="178">
        <f t="shared" si="16"/>
        <v>0</v>
      </c>
      <c r="M176" s="179">
        <f t="shared" si="17"/>
        <v>0</v>
      </c>
      <c r="N176" s="45">
        <f t="shared" ca="1" si="18"/>
        <v>0</v>
      </c>
      <c r="O176" s="40">
        <f>SUMIF(Tabella1[Nome],Tabella4[[#This Row],[NOME]],Tabella1[Gf])</f>
        <v>0</v>
      </c>
      <c r="P176" s="40">
        <f>-(SUMIF(Tabella1[Nome],Tabella4[[#This Row],[NOME]],Tabella1[Gs]))</f>
        <v>0</v>
      </c>
      <c r="Q176" s="40">
        <f>SUMIF(Tabella1[Nome],Tabella4[[#This Row],[NOME]],Tabella1[Rp])</f>
        <v>0</v>
      </c>
      <c r="R176" s="40">
        <f>SUMIF(Tabella1[Nome],Tabella4[[#This Row],[NOME]],Tabella1[Rs])</f>
        <v>0</v>
      </c>
      <c r="S176" s="40">
        <f>SUMIF(Tabella1[Nome],Tabella4[[#This Row],[NOME]],Tabella1[Rf])</f>
        <v>0</v>
      </c>
      <c r="T176" s="40">
        <f>SUMIF(Tabella1[Nome],Tabella4[[#This Row],[NOME]],Tabella1[Au])</f>
        <v>0</v>
      </c>
      <c r="U176" s="41">
        <f>SUMIF(Tabella1[Nome],Tabella4[[#This Row],[NOME]],Tabella1[Amm])</f>
        <v>0</v>
      </c>
      <c r="V176" s="42">
        <f>SUMIF(Tabella1[Nome],Tabella4[[#This Row],[NOME]],Tabella1[Esp])</f>
        <v>0</v>
      </c>
      <c r="W176" s="40">
        <f>SUMIF(Tabella1[Nome],Tabella4[[#This Row],[NOME]],Tabella1[Ass])</f>
        <v>0</v>
      </c>
      <c r="X176" s="40">
        <f>SUMIF(Tabella1[Nome],Tabella4[[#This Row],[NOME]],Tabella1[Gdv])</f>
        <v>0</v>
      </c>
      <c r="Y176" s="40">
        <f>SUMIF(Tabella1[Nome],Tabella4[[#This Row],[NOME]],Tabella1[cl sh])</f>
        <v>0</v>
      </c>
      <c r="Z176" s="270" t="str">
        <f>_xlfn.IFNA(_xlfn.XLOOKUP(CONCATENATE(Z$4,$C176),Tabella1[CONC X VOTI IN TAB GIOC],Tabella1[Voto],""),"")</f>
        <v/>
      </c>
      <c r="AA176" s="270" t="str">
        <f>_xlfn.IFNA(_xlfn.XLOOKUP(CONCATENATE(AA$4,$C176),Tabella1[CONC X VOTI IN TAB GIOC],Tabella1[Voto],""),"")</f>
        <v/>
      </c>
      <c r="AB176" s="270" t="str">
        <f>_xlfn.IFNA(_xlfn.XLOOKUP(CONCATENATE(AB$4,$C176),Tabella1[CONC X VOTI IN TAB GIOC],Tabella1[Voto]),"")</f>
        <v/>
      </c>
      <c r="AC176" s="270" t="str" cm="1">
        <f t="array" ref="AC176">_xlfn.IFNA(_xlfn.XLOOKUP(CONCATENATE(AC$4,$C176),INDEX(Tabella1[],0,MATCH("CONC X VOTI IN TAB GIOC",Tabella1[#Headers],0)),INDEX(Tabella1[],0,MATCH("Voto",Tabella1[#Headers],0))),"")</f>
        <v/>
      </c>
      <c r="AD176" s="270" t="str">
        <f>_xlfn.IFNA(_xlfn.XLOOKUP(CONCATENATE(AD$4,$C176),Tabella1[CONC X VOTI IN TAB GIOC],Tabella1[Voto]),"")</f>
        <v/>
      </c>
      <c r="AE176" s="270" t="str">
        <f>_xlfn.IFNA(VLOOKUP(CONCATENATE(AE$4,$C176),'INSER DATA'!$A:$F,6,0),"")</f>
        <v/>
      </c>
      <c r="AF176" s="270" t="str">
        <f>_xlfn.IFNA(VLOOKUP(CONCATENATE(AF$4,$C176),'INSER DATA'!$A:$F,6,0),"")</f>
        <v/>
      </c>
      <c r="AG176" s="270" t="str">
        <f>_xlfn.IFNA(VLOOKUP(CONCATENATE(AG$4,$C176),'INSER DATA'!$A:$F,6,0),"")</f>
        <v/>
      </c>
      <c r="AH176" s="270" t="str">
        <f>_xlfn.IFNA(VLOOKUP(CONCATENATE(AH$4,$C176),'INSER DATA'!$A:$F,7,0),"")</f>
        <v/>
      </c>
      <c r="AI176" s="270" t="str">
        <f>_xlfn.IFNA(VLOOKUP(CONCATENATE(AI$4,$C176),'INSER DATA'!$A:$F,7,0),"")</f>
        <v/>
      </c>
      <c r="AJ176" s="270" t="str">
        <f>_xlfn.IFNA(VLOOKUP(CONCATENATE(AJ$4,$C176),'INSER DATA'!$A:$F,7,0),"")</f>
        <v/>
      </c>
      <c r="AK176" s="270" t="str">
        <f>_xlfn.IFNA(VLOOKUP(CONCATENATE(AK$4,$C176),'INSER DATA'!$A:$F,7,0),"")</f>
        <v/>
      </c>
      <c r="AL176" s="270" t="str">
        <f>_xlfn.IFNA(VLOOKUP(CONCATENATE(AL$4,$C176),'INSER DATA'!$A:$F,7,0),"")</f>
        <v/>
      </c>
      <c r="AM176" s="270" t="str">
        <f>_xlfn.IFNA(VLOOKUP(CONCATENATE(AM$4,$C176),'INSER DATA'!$A:$F,7,0),"")</f>
        <v/>
      </c>
      <c r="AN176" s="270" t="str">
        <f>_xlfn.IFNA(VLOOKUP(CONCATENATE(AN$4,$C176),'INSER DATA'!$A:$F,7,0),"")</f>
        <v/>
      </c>
      <c r="AO176" s="270" t="str">
        <f>_xlfn.IFNA(VLOOKUP(CONCATENATE(AO$4,$C176),'INSER DATA'!$A:$F,7,0),"")</f>
        <v/>
      </c>
      <c r="AP176" s="270" t="str">
        <f>_xlfn.IFNA(VLOOKUP(CONCATENATE(AP$4,$C176),'INSER DATA'!$A:$F,7,0),"")</f>
        <v/>
      </c>
      <c r="AQ176" s="270" t="str">
        <f>_xlfn.IFNA(VLOOKUP(CONCATENATE(AQ$4,$C176),'INSER DATA'!$A:$F,7,0),"")</f>
        <v/>
      </c>
      <c r="AR176" s="270" t="str">
        <f>_xlfn.IFNA(VLOOKUP(CONCATENATE(AR$4,$C176),'INSER DATA'!$A:$F,7,0),"")</f>
        <v/>
      </c>
      <c r="AS176" s="270" t="str">
        <f>_xlfn.IFNA(VLOOKUP(CONCATENATE(AS$4,$C176),'INSER DATA'!$A:$F,7,0),"")</f>
        <v/>
      </c>
      <c r="AT176" s="270" t="str">
        <f>_xlfn.IFNA(VLOOKUP(CONCATENATE(AT$4,$C176),'INSER DATA'!$A:$F,7,0),"")</f>
        <v/>
      </c>
      <c r="AU176" s="270" t="str">
        <f>_xlfn.IFNA(VLOOKUP(CONCATENATE(AU$4,$C176),'INSER DATA'!$A:$F,7,0),"")</f>
        <v/>
      </c>
      <c r="AV176" s="270" t="str">
        <f>_xlfn.IFNA(VLOOKUP(CONCATENATE(AV$4,$C176),'INSER DATA'!$A:$F,7,0),"")</f>
        <v/>
      </c>
      <c r="AW176" s="270" t="str">
        <f>_xlfn.IFNA(VLOOKUP(CONCATENATE(AW$4,$C176),'INSER DATA'!$A:$F,7,0),"")</f>
        <v/>
      </c>
      <c r="AX176" s="270" t="str">
        <f>_xlfn.IFNA(VLOOKUP(CONCATENATE(AX$4,$C176),'INSER DATA'!$A:$F,7,0),"")</f>
        <v/>
      </c>
      <c r="AY176" s="270" t="str">
        <f>_xlfn.IFNA(VLOOKUP(CONCATENATE(AY$4,$C176),'INSER DATA'!$A:$F,7,0),"")</f>
        <v/>
      </c>
      <c r="AZ176" s="270" t="str">
        <f>_xlfn.IFNA(VLOOKUP(CONCATENATE(AZ$4,$C176),'INSER DATA'!$A:$F,7,0),"")</f>
        <v/>
      </c>
      <c r="BA176" s="270" t="str">
        <f>_xlfn.IFNA(VLOOKUP(CONCATENATE(BA$4,$C176),'INSER DATA'!$A:$F,7,0),"")</f>
        <v/>
      </c>
      <c r="BB176" s="270" t="str">
        <f>_xlfn.IFNA(VLOOKUP(CONCATENATE(BB$4,$C176),'INSER DATA'!$A:$F,7,0),"")</f>
        <v/>
      </c>
      <c r="BC176" s="270" t="str">
        <f>_xlfn.IFNA(VLOOKUP(CONCATENATE(BC$4,$C176),'INSER DATA'!$A:$F,7,0),"")</f>
        <v/>
      </c>
      <c r="BD176" s="270" t="str">
        <f>_xlfn.IFNA(VLOOKUP(CONCATENATE(BD$4,$C176),'INSER DATA'!$A:$F,7,0),"")</f>
        <v/>
      </c>
      <c r="BE176" s="270" t="str">
        <f>_xlfn.IFNA(VLOOKUP(CONCATENATE(BE$4,$C176),'INSER DATA'!$A:$F,7,0),"")</f>
        <v/>
      </c>
      <c r="BF176" s="270" t="str">
        <f>_xlfn.IFNA(VLOOKUP(CONCATENATE(BF$4,$C176),'INSER DATA'!$A:$F,7,0),"")</f>
        <v/>
      </c>
      <c r="BG176" s="270" t="str">
        <f>_xlfn.IFNA(VLOOKUP(CONCATENATE(BG$4,$C176),'INSER DATA'!$A:$F,7,0),"")</f>
        <v/>
      </c>
      <c r="BH176" s="270" t="str">
        <f>_xlfn.IFNA(VLOOKUP(CONCATENATE(BH$4,$C176),'INSER DATA'!$A:$F,7,0),"")</f>
        <v/>
      </c>
      <c r="BI176" s="270" t="str">
        <f>_xlfn.IFNA(VLOOKUP(CONCATENATE(BI$4,$C176),'INSER DATA'!$A:$F,7,0),"")</f>
        <v/>
      </c>
      <c r="BJ176" s="270" t="str">
        <f>_xlfn.IFNA(VLOOKUP(CONCATENATE(BJ$4,$C176),'INSER DATA'!$A:$F,7,0),"")</f>
        <v/>
      </c>
      <c r="BK176" s="270" t="str">
        <f>_xlfn.IFNA(VLOOKUP(CONCATENATE(BK$4,$C176),'INSER DATA'!$A:$F,7,0),"")</f>
        <v/>
      </c>
      <c r="BL176" s="272"/>
      <c r="BM176" s="30"/>
      <c r="BN176" s="30"/>
      <c r="BO176" s="30"/>
      <c r="BP176" s="30"/>
      <c r="BQ176" s="30"/>
      <c r="BR176" s="30"/>
      <c r="BS176" s="30"/>
      <c r="BT176" s="30"/>
      <c r="BU176" s="30"/>
      <c r="BV176" s="30"/>
      <c r="BW176" s="30"/>
      <c r="BX176" s="30"/>
      <c r="BY176" s="30"/>
      <c r="BZ176" s="30"/>
      <c r="CA176" s="30"/>
      <c r="CB176" s="30"/>
      <c r="CC176" s="30"/>
      <c r="CD176" s="30"/>
      <c r="CE176" s="30"/>
      <c r="CF176" s="30"/>
      <c r="CG176" s="30"/>
      <c r="CH176" s="30"/>
      <c r="CI176" s="30"/>
      <c r="CJ176" s="30"/>
      <c r="CK176" s="30"/>
      <c r="CL176" s="30"/>
      <c r="CM176" s="30"/>
      <c r="CN176" s="30"/>
      <c r="CO176" s="30"/>
      <c r="CP176" s="30"/>
      <c r="CQ176" s="30"/>
      <c r="CR176" s="30"/>
      <c r="CS176" s="30"/>
      <c r="CT176" s="30"/>
      <c r="CU176" s="30"/>
      <c r="CV176" s="30"/>
      <c r="CW176" s="30"/>
      <c r="CX176" s="30"/>
      <c r="CY176" s="30"/>
      <c r="CZ176" s="30"/>
      <c r="DA176" s="30"/>
    </row>
    <row r="177" spans="1:105" ht="19.2" thickTop="1" thickBot="1" x14ac:dyDescent="0.4">
      <c r="A177" s="30"/>
      <c r="B177" s="30"/>
      <c r="C177" s="188" t="s">
        <v>753</v>
      </c>
      <c r="D177" s="46" t="s">
        <v>749</v>
      </c>
      <c r="E177" s="35" t="str">
        <f>_xlfn.XLOOKUP(Tabella4[[#This Row],[NOME]],'ROSE SQUADRE'!$N$3:$N$253,'ROSE SQUADRE'!$O$3:$O$253,"")</f>
        <v/>
      </c>
      <c r="F177" s="36" t="s">
        <v>161</v>
      </c>
      <c r="G177" s="43"/>
      <c r="H177" s="43"/>
      <c r="I177" s="44">
        <f t="shared" si="13"/>
        <v>0</v>
      </c>
      <c r="J177" s="37">
        <f t="shared" si="14"/>
        <v>0</v>
      </c>
      <c r="K177" s="38">
        <f t="shared" si="15"/>
        <v>0</v>
      </c>
      <c r="L177" s="38">
        <f t="shared" si="16"/>
        <v>0</v>
      </c>
      <c r="M177" s="39">
        <f t="shared" si="17"/>
        <v>0</v>
      </c>
      <c r="N177" s="45">
        <f t="shared" ca="1" si="18"/>
        <v>0</v>
      </c>
      <c r="O177" s="40">
        <f>SUMIF(Tabella1[Nome],Tabella4[[#This Row],[NOME]],Tabella1[Gf])</f>
        <v>0</v>
      </c>
      <c r="P177" s="40">
        <f>-(SUMIF(Tabella1[Nome],Tabella4[[#This Row],[NOME]],Tabella1[Gs]))</f>
        <v>0</v>
      </c>
      <c r="Q177" s="40">
        <f>SUMIF(Tabella1[Nome],Tabella4[[#This Row],[NOME]],Tabella1[Rp])</f>
        <v>0</v>
      </c>
      <c r="R177" s="40">
        <f>SUMIF(Tabella1[Nome],Tabella4[[#This Row],[NOME]],Tabella1[Rs])</f>
        <v>0</v>
      </c>
      <c r="S177" s="40">
        <f>SUMIF(Tabella1[Nome],Tabella4[[#This Row],[NOME]],Tabella1[Rf])</f>
        <v>0</v>
      </c>
      <c r="T177" s="40">
        <f>SUMIF(Tabella1[Nome],Tabella4[[#This Row],[NOME]],Tabella1[Au])</f>
        <v>0</v>
      </c>
      <c r="U177" s="41">
        <f>SUMIF(Tabella1[Nome],Tabella4[[#This Row],[NOME]],Tabella1[Amm])</f>
        <v>0</v>
      </c>
      <c r="V177" s="42">
        <f>SUMIF(Tabella1[Nome],Tabella4[[#This Row],[NOME]],Tabella1[Esp])</f>
        <v>0</v>
      </c>
      <c r="W177" s="40">
        <f>SUMIF(Tabella1[Nome],Tabella4[[#This Row],[NOME]],Tabella1[Ass])</f>
        <v>0</v>
      </c>
      <c r="X177" s="40">
        <f>SUMIF(Tabella1[Nome],Tabella4[[#This Row],[NOME]],Tabella1[Gdv])</f>
        <v>0</v>
      </c>
      <c r="Y177" s="40">
        <f>SUMIF(Tabella1[Nome],Tabella4[[#This Row],[NOME]],Tabella1[cl sh])</f>
        <v>0</v>
      </c>
      <c r="Z177" s="270" t="str">
        <f>_xlfn.IFNA(_xlfn.XLOOKUP(CONCATENATE(Z$4,$C177),Tabella1[CONC X VOTI IN TAB GIOC],Tabella1[Voto],""),"")</f>
        <v/>
      </c>
      <c r="AA177" s="270" t="str">
        <f>_xlfn.IFNA(_xlfn.XLOOKUP(CONCATENATE(AA$4,$C177),Tabella1[CONC X VOTI IN TAB GIOC],Tabella1[Voto],""),"")</f>
        <v/>
      </c>
      <c r="AB177" s="270" t="str">
        <f>_xlfn.IFNA(_xlfn.XLOOKUP(CONCATENATE(AB$4,$C177),Tabella1[CONC X VOTI IN TAB GIOC],Tabella1[Voto]),"")</f>
        <v/>
      </c>
      <c r="AC177" s="270" t="str" cm="1">
        <f t="array" ref="AC177">_xlfn.IFNA(_xlfn.XLOOKUP(CONCATENATE(AC$4,$C177),INDEX(Tabella1[],0,MATCH("CONC X VOTI IN TAB GIOC",Tabella1[#Headers],0)),INDEX(Tabella1[],0,MATCH("Voto",Tabella1[#Headers],0))),"")</f>
        <v/>
      </c>
      <c r="AD177" s="270" t="str">
        <f>_xlfn.IFNA(_xlfn.XLOOKUP(CONCATENATE(AD$4,$C177),Tabella1[CONC X VOTI IN TAB GIOC],Tabella1[Voto]),"")</f>
        <v/>
      </c>
      <c r="AE177" s="270" t="str">
        <f>_xlfn.IFNA(VLOOKUP(CONCATENATE(AE$4,$C177),'INSER DATA'!$A:$F,6,0),"")</f>
        <v/>
      </c>
      <c r="AF177" s="270" t="str">
        <f>_xlfn.IFNA(VLOOKUP(CONCATENATE(AF$4,$C177),'INSER DATA'!$A:$F,6,0),"")</f>
        <v/>
      </c>
      <c r="AG177" s="270" t="str">
        <f>_xlfn.IFNA(VLOOKUP(CONCATENATE(AG$4,$C177),'INSER DATA'!$A:$F,6,0),"")</f>
        <v/>
      </c>
      <c r="AH177" s="270" t="str">
        <f>_xlfn.IFNA(VLOOKUP(CONCATENATE(AH$4,$C177),'INSER DATA'!$A:$F,7,0),"")</f>
        <v/>
      </c>
      <c r="AI177" s="270" t="str">
        <f>_xlfn.IFNA(VLOOKUP(CONCATENATE(AI$4,$C177),'INSER DATA'!$A:$F,7,0),"")</f>
        <v/>
      </c>
      <c r="AJ177" s="270" t="str">
        <f>_xlfn.IFNA(VLOOKUP(CONCATENATE(AJ$4,$C177),'INSER DATA'!$A:$F,7,0),"")</f>
        <v/>
      </c>
      <c r="AK177" s="270" t="str">
        <f>_xlfn.IFNA(VLOOKUP(CONCATENATE(AK$4,$C177),'INSER DATA'!$A:$F,7,0),"")</f>
        <v/>
      </c>
      <c r="AL177" s="270" t="str">
        <f>_xlfn.IFNA(VLOOKUP(CONCATENATE(AL$4,$C177),'INSER DATA'!$A:$F,7,0),"")</f>
        <v/>
      </c>
      <c r="AM177" s="270" t="str">
        <f>_xlfn.IFNA(VLOOKUP(CONCATENATE(AM$4,$C177),'INSER DATA'!$A:$F,7,0),"")</f>
        <v/>
      </c>
      <c r="AN177" s="270" t="str">
        <f>_xlfn.IFNA(VLOOKUP(CONCATENATE(AN$4,$C177),'INSER DATA'!$A:$F,7,0),"")</f>
        <v/>
      </c>
      <c r="AO177" s="270" t="str">
        <f>_xlfn.IFNA(VLOOKUP(CONCATENATE(AO$4,$C177),'INSER DATA'!$A:$F,7,0),"")</f>
        <v/>
      </c>
      <c r="AP177" s="270" t="str">
        <f>_xlfn.IFNA(VLOOKUP(CONCATENATE(AP$4,$C177),'INSER DATA'!$A:$F,7,0),"")</f>
        <v/>
      </c>
      <c r="AQ177" s="270" t="str">
        <f>_xlfn.IFNA(VLOOKUP(CONCATENATE(AQ$4,$C177),'INSER DATA'!$A:$F,7,0),"")</f>
        <v/>
      </c>
      <c r="AR177" s="270" t="str">
        <f>_xlfn.IFNA(VLOOKUP(CONCATENATE(AR$4,$C177),'INSER DATA'!$A:$F,7,0),"")</f>
        <v/>
      </c>
      <c r="AS177" s="270" t="str">
        <f>_xlfn.IFNA(VLOOKUP(CONCATENATE(AS$4,$C177),'INSER DATA'!$A:$F,7,0),"")</f>
        <v/>
      </c>
      <c r="AT177" s="270" t="str">
        <f>_xlfn.IFNA(VLOOKUP(CONCATENATE(AT$4,$C177),'INSER DATA'!$A:$F,7,0),"")</f>
        <v/>
      </c>
      <c r="AU177" s="270" t="str">
        <f>_xlfn.IFNA(VLOOKUP(CONCATENATE(AU$4,$C177),'INSER DATA'!$A:$F,7,0),"")</f>
        <v/>
      </c>
      <c r="AV177" s="270" t="str">
        <f>_xlfn.IFNA(VLOOKUP(CONCATENATE(AV$4,$C177),'INSER DATA'!$A:$F,7,0),"")</f>
        <v/>
      </c>
      <c r="AW177" s="270" t="str">
        <f>_xlfn.IFNA(VLOOKUP(CONCATENATE(AW$4,$C177),'INSER DATA'!$A:$F,7,0),"")</f>
        <v/>
      </c>
      <c r="AX177" s="270" t="str">
        <f>_xlfn.IFNA(VLOOKUP(CONCATENATE(AX$4,$C177),'INSER DATA'!$A:$F,7,0),"")</f>
        <v/>
      </c>
      <c r="AY177" s="270" t="str">
        <f>_xlfn.IFNA(VLOOKUP(CONCATENATE(AY$4,$C177),'INSER DATA'!$A:$F,7,0),"")</f>
        <v/>
      </c>
      <c r="AZ177" s="270" t="str">
        <f>_xlfn.IFNA(VLOOKUP(CONCATENATE(AZ$4,$C177),'INSER DATA'!$A:$F,7,0),"")</f>
        <v/>
      </c>
      <c r="BA177" s="270" t="str">
        <f>_xlfn.IFNA(VLOOKUP(CONCATENATE(BA$4,$C177),'INSER DATA'!$A:$F,7,0),"")</f>
        <v/>
      </c>
      <c r="BB177" s="270" t="str">
        <f>_xlfn.IFNA(VLOOKUP(CONCATENATE(BB$4,$C177),'INSER DATA'!$A:$F,7,0),"")</f>
        <v/>
      </c>
      <c r="BC177" s="270" t="str">
        <f>_xlfn.IFNA(VLOOKUP(CONCATENATE(BC$4,$C177),'INSER DATA'!$A:$F,7,0),"")</f>
        <v/>
      </c>
      <c r="BD177" s="270" t="str">
        <f>_xlfn.IFNA(VLOOKUP(CONCATENATE(BD$4,$C177),'INSER DATA'!$A:$F,7,0),"")</f>
        <v/>
      </c>
      <c r="BE177" s="270" t="str">
        <f>_xlfn.IFNA(VLOOKUP(CONCATENATE(BE$4,$C177),'INSER DATA'!$A:$F,7,0),"")</f>
        <v/>
      </c>
      <c r="BF177" s="270" t="str">
        <f>_xlfn.IFNA(VLOOKUP(CONCATENATE(BF$4,$C177),'INSER DATA'!$A:$F,7,0),"")</f>
        <v/>
      </c>
      <c r="BG177" s="270" t="str">
        <f>_xlfn.IFNA(VLOOKUP(CONCATENATE(BG$4,$C177),'INSER DATA'!$A:$F,7,0),"")</f>
        <v/>
      </c>
      <c r="BH177" s="270" t="str">
        <f>_xlfn.IFNA(VLOOKUP(CONCATENATE(BH$4,$C177),'INSER DATA'!$A:$F,7,0),"")</f>
        <v/>
      </c>
      <c r="BI177" s="270" t="str">
        <f>_xlfn.IFNA(VLOOKUP(CONCATENATE(BI$4,$C177),'INSER DATA'!$A:$F,7,0),"")</f>
        <v/>
      </c>
      <c r="BJ177" s="270" t="str">
        <f>_xlfn.IFNA(VLOOKUP(CONCATENATE(BJ$4,$C177),'INSER DATA'!$A:$F,7,0),"")</f>
        <v/>
      </c>
      <c r="BK177" s="270" t="str">
        <f>_xlfn.IFNA(VLOOKUP(CONCATENATE(BK$4,$C177),'INSER DATA'!$A:$F,7,0),"")</f>
        <v/>
      </c>
      <c r="BL177" s="272"/>
      <c r="BM177" s="30"/>
      <c r="BN177" s="30"/>
      <c r="BO177" s="30"/>
      <c r="BP177" s="30"/>
      <c r="BQ177" s="30"/>
      <c r="BR177" s="30"/>
      <c r="BS177" s="30"/>
      <c r="BT177" s="30"/>
      <c r="BU177" s="30"/>
      <c r="BV177" s="30"/>
      <c r="BW177" s="30"/>
      <c r="BX177" s="30"/>
      <c r="BY177" s="30"/>
      <c r="BZ177" s="30"/>
      <c r="CA177" s="30"/>
      <c r="CB177" s="30"/>
      <c r="CC177" s="30"/>
      <c r="CD177" s="30"/>
      <c r="CE177" s="30"/>
      <c r="CF177" s="30"/>
      <c r="CG177" s="30"/>
      <c r="CH177" s="30"/>
      <c r="CI177" s="30"/>
      <c r="CJ177" s="30"/>
      <c r="CK177" s="30"/>
      <c r="CL177" s="30"/>
      <c r="CM177" s="30"/>
      <c r="CN177" s="30"/>
      <c r="CO177" s="30"/>
      <c r="CP177" s="30"/>
      <c r="CQ177" s="30"/>
      <c r="CR177" s="30"/>
      <c r="CS177" s="30"/>
      <c r="CT177" s="30"/>
      <c r="CU177" s="30"/>
      <c r="CV177" s="30"/>
      <c r="CW177" s="30"/>
      <c r="CX177" s="30"/>
      <c r="CY177" s="30"/>
      <c r="CZ177" s="30"/>
      <c r="DA177" s="30"/>
    </row>
    <row r="178" spans="1:105" ht="19.2" thickTop="1" thickBot="1" x14ac:dyDescent="0.4">
      <c r="A178" s="30"/>
      <c r="B178" s="30"/>
      <c r="C178" s="356" t="s">
        <v>754</v>
      </c>
      <c r="D178" s="357" t="s">
        <v>749</v>
      </c>
      <c r="E178" s="35" t="str">
        <f>_xlfn.XLOOKUP(Tabella4[[#This Row],[NOME]],'ROSE SQUADRE'!$N$3:$N$253,'ROSE SQUADRE'!$O$3:$O$253,"")</f>
        <v>SAN GRIA</v>
      </c>
      <c r="F178" s="36" t="s">
        <v>161</v>
      </c>
      <c r="G178" s="43">
        <v>4</v>
      </c>
      <c r="H178" s="43">
        <v>4</v>
      </c>
      <c r="I178" s="44">
        <f t="shared" si="13"/>
        <v>0</v>
      </c>
      <c r="J178" s="37">
        <f t="shared" si="14"/>
        <v>0</v>
      </c>
      <c r="K178" s="38">
        <f t="shared" si="15"/>
        <v>0</v>
      </c>
      <c r="L178" s="38">
        <f t="shared" si="16"/>
        <v>0</v>
      </c>
      <c r="M178" s="39">
        <f t="shared" si="17"/>
        <v>0</v>
      </c>
      <c r="N178" s="45">
        <f t="shared" ca="1" si="18"/>
        <v>0</v>
      </c>
      <c r="O178" s="40">
        <f>SUMIF(Tabella1[Nome],Tabella4[[#This Row],[NOME]],Tabella1[Gf])</f>
        <v>0</v>
      </c>
      <c r="P178" s="40">
        <f>-(SUMIF(Tabella1[Nome],Tabella4[[#This Row],[NOME]],Tabella1[Gs]))</f>
        <v>0</v>
      </c>
      <c r="Q178" s="40">
        <f>SUMIF(Tabella1[Nome],Tabella4[[#This Row],[NOME]],Tabella1[Rp])</f>
        <v>0</v>
      </c>
      <c r="R178" s="40">
        <f>SUMIF(Tabella1[Nome],Tabella4[[#This Row],[NOME]],Tabella1[Rs])</f>
        <v>0</v>
      </c>
      <c r="S178" s="40">
        <f>SUMIF(Tabella1[Nome],Tabella4[[#This Row],[NOME]],Tabella1[Rf])</f>
        <v>0</v>
      </c>
      <c r="T178" s="40">
        <f>SUMIF(Tabella1[Nome],Tabella4[[#This Row],[NOME]],Tabella1[Au])</f>
        <v>0</v>
      </c>
      <c r="U178" s="41">
        <f>SUMIF(Tabella1[Nome],Tabella4[[#This Row],[NOME]],Tabella1[Amm])</f>
        <v>0</v>
      </c>
      <c r="V178" s="42">
        <f>SUMIF(Tabella1[Nome],Tabella4[[#This Row],[NOME]],Tabella1[Esp])</f>
        <v>0</v>
      </c>
      <c r="W178" s="40">
        <f>SUMIF(Tabella1[Nome],Tabella4[[#This Row],[NOME]],Tabella1[Ass])</f>
        <v>0</v>
      </c>
      <c r="X178" s="40">
        <f>SUMIF(Tabella1[Nome],Tabella4[[#This Row],[NOME]],Tabella1[Gdv])</f>
        <v>0</v>
      </c>
      <c r="Y178" s="40">
        <f>SUMIF(Tabella1[Nome],Tabella4[[#This Row],[NOME]],Tabella1[cl sh])</f>
        <v>0</v>
      </c>
      <c r="Z178" s="270" t="str">
        <f>_xlfn.IFNA(_xlfn.XLOOKUP(CONCATENATE(Z$4,$C178),Tabella1[CONC X VOTI IN TAB GIOC],Tabella1[Voto],""),"")</f>
        <v/>
      </c>
      <c r="AA178" s="270" t="str">
        <f>_xlfn.IFNA(_xlfn.XLOOKUP(CONCATENATE(AA$4,$C178),Tabella1[CONC X VOTI IN TAB GIOC],Tabella1[Voto],""),"")</f>
        <v/>
      </c>
      <c r="AB178" s="270" t="str">
        <f>_xlfn.IFNA(_xlfn.XLOOKUP(CONCATENATE(AB$4,$C178),Tabella1[CONC X VOTI IN TAB GIOC],Tabella1[Voto]),"")</f>
        <v/>
      </c>
      <c r="AC178" s="270" t="str" cm="1">
        <f t="array" ref="AC178">_xlfn.IFNA(_xlfn.XLOOKUP(CONCATENATE(AC$4,$C178),INDEX(Tabella1[],0,MATCH("CONC X VOTI IN TAB GIOC",Tabella1[#Headers],0)),INDEX(Tabella1[],0,MATCH("Voto",Tabella1[#Headers],0))),"")</f>
        <v/>
      </c>
      <c r="AD178" s="270" t="str">
        <f>_xlfn.IFNA(_xlfn.XLOOKUP(CONCATENATE(AD$4,$C178),Tabella1[CONC X VOTI IN TAB GIOC],Tabella1[Voto]),"")</f>
        <v/>
      </c>
      <c r="AE178" s="270" t="str">
        <f>_xlfn.IFNA(VLOOKUP(CONCATENATE(AE$4,$C178),'INSER DATA'!$A:$F,6,0),"")</f>
        <v/>
      </c>
      <c r="AF178" s="270" t="str">
        <f>_xlfn.IFNA(VLOOKUP(CONCATENATE(AF$4,$C178),'INSER DATA'!$A:$F,6,0),"")</f>
        <v/>
      </c>
      <c r="AG178" s="270" t="str">
        <f>_xlfn.IFNA(VLOOKUP(CONCATENATE(AG$4,$C178),'INSER DATA'!$A:$F,6,0),"")</f>
        <v/>
      </c>
      <c r="AH178" s="270" t="str">
        <f>_xlfn.IFNA(VLOOKUP(CONCATENATE(AH$4,$C178),'INSER DATA'!$A:$F,7,0),"")</f>
        <v/>
      </c>
      <c r="AI178" s="270" t="str">
        <f>_xlfn.IFNA(VLOOKUP(CONCATENATE(AI$4,$C178),'INSER DATA'!$A:$F,7,0),"")</f>
        <v/>
      </c>
      <c r="AJ178" s="270" t="str">
        <f>_xlfn.IFNA(VLOOKUP(CONCATENATE(AJ$4,$C178),'INSER DATA'!$A:$F,7,0),"")</f>
        <v/>
      </c>
      <c r="AK178" s="270" t="str">
        <f>_xlfn.IFNA(VLOOKUP(CONCATENATE(AK$4,$C178),'INSER DATA'!$A:$F,7,0),"")</f>
        <v/>
      </c>
      <c r="AL178" s="270" t="str">
        <f>_xlfn.IFNA(VLOOKUP(CONCATENATE(AL$4,$C178),'INSER DATA'!$A:$F,7,0),"")</f>
        <v/>
      </c>
      <c r="AM178" s="270" t="str">
        <f>_xlfn.IFNA(VLOOKUP(CONCATENATE(AM$4,$C178),'INSER DATA'!$A:$F,7,0),"")</f>
        <v/>
      </c>
      <c r="AN178" s="270" t="str">
        <f>_xlfn.IFNA(VLOOKUP(CONCATENATE(AN$4,$C178),'INSER DATA'!$A:$F,7,0),"")</f>
        <v/>
      </c>
      <c r="AO178" s="270" t="str">
        <f>_xlfn.IFNA(VLOOKUP(CONCATENATE(AO$4,$C178),'INSER DATA'!$A:$F,7,0),"")</f>
        <v/>
      </c>
      <c r="AP178" s="270" t="str">
        <f>_xlfn.IFNA(VLOOKUP(CONCATENATE(AP$4,$C178),'INSER DATA'!$A:$F,7,0),"")</f>
        <v/>
      </c>
      <c r="AQ178" s="270" t="str">
        <f>_xlfn.IFNA(VLOOKUP(CONCATENATE(AQ$4,$C178),'INSER DATA'!$A:$F,7,0),"")</f>
        <v/>
      </c>
      <c r="AR178" s="270" t="str">
        <f>_xlfn.IFNA(VLOOKUP(CONCATENATE(AR$4,$C178),'INSER DATA'!$A:$F,7,0),"")</f>
        <v/>
      </c>
      <c r="AS178" s="270" t="str">
        <f>_xlfn.IFNA(VLOOKUP(CONCATENATE(AS$4,$C178),'INSER DATA'!$A:$F,7,0),"")</f>
        <v/>
      </c>
      <c r="AT178" s="270" t="str">
        <f>_xlfn.IFNA(VLOOKUP(CONCATENATE(AT$4,$C178),'INSER DATA'!$A:$F,7,0),"")</f>
        <v/>
      </c>
      <c r="AU178" s="270" t="str">
        <f>_xlfn.IFNA(VLOOKUP(CONCATENATE(AU$4,$C178),'INSER DATA'!$A:$F,7,0),"")</f>
        <v/>
      </c>
      <c r="AV178" s="270" t="str">
        <f>_xlfn.IFNA(VLOOKUP(CONCATENATE(AV$4,$C178),'INSER DATA'!$A:$F,7,0),"")</f>
        <v/>
      </c>
      <c r="AW178" s="270" t="str">
        <f>_xlfn.IFNA(VLOOKUP(CONCATENATE(AW$4,$C178),'INSER DATA'!$A:$F,7,0),"")</f>
        <v/>
      </c>
      <c r="AX178" s="270" t="str">
        <f>_xlfn.IFNA(VLOOKUP(CONCATENATE(AX$4,$C178),'INSER DATA'!$A:$F,7,0),"")</f>
        <v/>
      </c>
      <c r="AY178" s="270" t="str">
        <f>_xlfn.IFNA(VLOOKUP(CONCATENATE(AY$4,$C178),'INSER DATA'!$A:$F,7,0),"")</f>
        <v/>
      </c>
      <c r="AZ178" s="270" t="str">
        <f>_xlfn.IFNA(VLOOKUP(CONCATENATE(AZ$4,$C178),'INSER DATA'!$A:$F,7,0),"")</f>
        <v/>
      </c>
      <c r="BA178" s="270" t="str">
        <f>_xlfn.IFNA(VLOOKUP(CONCATENATE(BA$4,$C178),'INSER DATA'!$A:$F,7,0),"")</f>
        <v/>
      </c>
      <c r="BB178" s="270" t="str">
        <f>_xlfn.IFNA(VLOOKUP(CONCATENATE(BB$4,$C178),'INSER DATA'!$A:$F,7,0),"")</f>
        <v/>
      </c>
      <c r="BC178" s="270" t="str">
        <f>_xlfn.IFNA(VLOOKUP(CONCATENATE(BC$4,$C178),'INSER DATA'!$A:$F,7,0),"")</f>
        <v/>
      </c>
      <c r="BD178" s="270" t="str">
        <f>_xlfn.IFNA(VLOOKUP(CONCATENATE(BD$4,$C178),'INSER DATA'!$A:$F,7,0),"")</f>
        <v/>
      </c>
      <c r="BE178" s="270" t="str">
        <f>_xlfn.IFNA(VLOOKUP(CONCATENATE(BE$4,$C178),'INSER DATA'!$A:$F,7,0),"")</f>
        <v/>
      </c>
      <c r="BF178" s="270" t="str">
        <f>_xlfn.IFNA(VLOOKUP(CONCATENATE(BF$4,$C178),'INSER DATA'!$A:$F,7,0),"")</f>
        <v/>
      </c>
      <c r="BG178" s="270" t="str">
        <f>_xlfn.IFNA(VLOOKUP(CONCATENATE(BG$4,$C178),'INSER DATA'!$A:$F,7,0),"")</f>
        <v/>
      </c>
      <c r="BH178" s="270" t="str">
        <f>_xlfn.IFNA(VLOOKUP(CONCATENATE(BH$4,$C178),'INSER DATA'!$A:$F,7,0),"")</f>
        <v/>
      </c>
      <c r="BI178" s="270" t="str">
        <f>_xlfn.IFNA(VLOOKUP(CONCATENATE(BI$4,$C178),'INSER DATA'!$A:$F,7,0),"")</f>
        <v/>
      </c>
      <c r="BJ178" s="270" t="str">
        <f>_xlfn.IFNA(VLOOKUP(CONCATENATE(BJ$4,$C178),'INSER DATA'!$A:$F,7,0),"")</f>
        <v/>
      </c>
      <c r="BK178" s="270" t="str">
        <f>_xlfn.IFNA(VLOOKUP(CONCATENATE(BK$4,$C178),'INSER DATA'!$A:$F,7,0),"")</f>
        <v/>
      </c>
      <c r="BL178" s="272"/>
      <c r="BM178" s="30"/>
      <c r="BN178" s="30"/>
      <c r="BO178" s="30"/>
      <c r="BP178" s="30"/>
      <c r="BQ178" s="30"/>
      <c r="BR178" s="30"/>
      <c r="BS178" s="30"/>
      <c r="BT178" s="30"/>
      <c r="BU178" s="30"/>
      <c r="BV178" s="30"/>
      <c r="BW178" s="30"/>
      <c r="BX178" s="30"/>
      <c r="BY178" s="30"/>
      <c r="BZ178" s="30"/>
      <c r="CA178" s="30"/>
      <c r="CB178" s="30"/>
      <c r="CC178" s="30"/>
      <c r="CD178" s="30"/>
      <c r="CE178" s="30"/>
      <c r="CF178" s="30"/>
      <c r="CG178" s="30"/>
      <c r="CH178" s="30"/>
      <c r="CI178" s="30"/>
      <c r="CJ178" s="30"/>
      <c r="CK178" s="30"/>
      <c r="CL178" s="30"/>
      <c r="CM178" s="30"/>
      <c r="CN178" s="30"/>
      <c r="CO178" s="30"/>
      <c r="CP178" s="30"/>
      <c r="CQ178" s="30"/>
      <c r="CR178" s="30"/>
      <c r="CS178" s="30"/>
      <c r="CT178" s="30"/>
      <c r="CU178" s="30"/>
      <c r="CV178" s="30"/>
      <c r="CW178" s="30"/>
      <c r="CX178" s="30"/>
      <c r="CY178" s="30"/>
      <c r="CZ178" s="30"/>
      <c r="DA178" s="30"/>
    </row>
    <row r="179" spans="1:105" ht="19.2" thickTop="1" thickBot="1" x14ac:dyDescent="0.4">
      <c r="A179" s="30"/>
      <c r="B179" s="30"/>
      <c r="C179" s="188" t="s">
        <v>758</v>
      </c>
      <c r="D179" s="46" t="s">
        <v>749</v>
      </c>
      <c r="E179" s="35" t="str">
        <f>_xlfn.XLOOKUP(Tabella4[[#This Row],[NOME]],'ROSE SQUADRE'!$N$3:$N$253,'ROSE SQUADRE'!$O$3:$O$253,"")</f>
        <v/>
      </c>
      <c r="F179" s="36" t="s">
        <v>161</v>
      </c>
      <c r="G179" s="43">
        <v>2</v>
      </c>
      <c r="H179" s="43">
        <v>2</v>
      </c>
      <c r="I179" s="44">
        <f t="shared" si="13"/>
        <v>0</v>
      </c>
      <c r="J179" s="37">
        <f t="shared" si="14"/>
        <v>0</v>
      </c>
      <c r="K179" s="178">
        <f t="shared" si="15"/>
        <v>0</v>
      </c>
      <c r="L179" s="178">
        <f t="shared" si="16"/>
        <v>0</v>
      </c>
      <c r="M179" s="179">
        <f t="shared" si="17"/>
        <v>0</v>
      </c>
      <c r="N179" s="45">
        <f t="shared" ca="1" si="18"/>
        <v>0</v>
      </c>
      <c r="O179" s="40">
        <f>SUMIF(Tabella1[Nome],Tabella4[[#This Row],[NOME]],Tabella1[Gf])</f>
        <v>0</v>
      </c>
      <c r="P179" s="40">
        <f>-(SUMIF(Tabella1[Nome],Tabella4[[#This Row],[NOME]],Tabella1[Gs]))</f>
        <v>0</v>
      </c>
      <c r="Q179" s="40">
        <f>SUMIF(Tabella1[Nome],Tabella4[[#This Row],[NOME]],Tabella1[Rp])</f>
        <v>0</v>
      </c>
      <c r="R179" s="40">
        <f>SUMIF(Tabella1[Nome],Tabella4[[#This Row],[NOME]],Tabella1[Rs])</f>
        <v>0</v>
      </c>
      <c r="S179" s="40">
        <f>SUMIF(Tabella1[Nome],Tabella4[[#This Row],[NOME]],Tabella1[Rf])</f>
        <v>0</v>
      </c>
      <c r="T179" s="40">
        <f>SUMIF(Tabella1[Nome],Tabella4[[#This Row],[NOME]],Tabella1[Au])</f>
        <v>0</v>
      </c>
      <c r="U179" s="41">
        <f>SUMIF(Tabella1[Nome],Tabella4[[#This Row],[NOME]],Tabella1[Amm])</f>
        <v>0</v>
      </c>
      <c r="V179" s="42">
        <f>SUMIF(Tabella1[Nome],Tabella4[[#This Row],[NOME]],Tabella1[Esp])</f>
        <v>0</v>
      </c>
      <c r="W179" s="40">
        <f>SUMIF(Tabella1[Nome],Tabella4[[#This Row],[NOME]],Tabella1[Ass])</f>
        <v>0</v>
      </c>
      <c r="X179" s="40">
        <f>SUMIF(Tabella1[Nome],Tabella4[[#This Row],[NOME]],Tabella1[Gdv])</f>
        <v>0</v>
      </c>
      <c r="Y179" s="40">
        <f>SUMIF(Tabella1[Nome],Tabella4[[#This Row],[NOME]],Tabella1[cl sh])</f>
        <v>0</v>
      </c>
      <c r="Z179" s="270" t="str">
        <f>_xlfn.IFNA(_xlfn.XLOOKUP(CONCATENATE(Z$4,$C179),Tabella1[CONC X VOTI IN TAB GIOC],Tabella1[Voto],""),"")</f>
        <v/>
      </c>
      <c r="AA179" s="270" t="str">
        <f>_xlfn.IFNA(_xlfn.XLOOKUP(CONCATENATE(AA$4,$C179),Tabella1[CONC X VOTI IN TAB GIOC],Tabella1[Voto],""),"")</f>
        <v/>
      </c>
      <c r="AB179" s="270" t="str">
        <f>_xlfn.IFNA(_xlfn.XLOOKUP(CONCATENATE(AB$4,$C179),Tabella1[CONC X VOTI IN TAB GIOC],Tabella1[Voto]),"")</f>
        <v/>
      </c>
      <c r="AC179" s="270" t="str" cm="1">
        <f t="array" ref="AC179">_xlfn.IFNA(_xlfn.XLOOKUP(CONCATENATE(AC$4,$C179),INDEX(Tabella1[],0,MATCH("CONC X VOTI IN TAB GIOC",Tabella1[#Headers],0)),INDEX(Tabella1[],0,MATCH("Voto",Tabella1[#Headers],0))),"")</f>
        <v/>
      </c>
      <c r="AD179" s="270" t="str">
        <f>_xlfn.IFNA(_xlfn.XLOOKUP(CONCATENATE(AD$4,$C179),Tabella1[CONC X VOTI IN TAB GIOC],Tabella1[Voto]),"")</f>
        <v/>
      </c>
      <c r="AE179" s="270" t="str">
        <f>_xlfn.IFNA(VLOOKUP(CONCATENATE(AE$4,$C179),'INSER DATA'!$A:$F,6,0),"")</f>
        <v/>
      </c>
      <c r="AF179" s="270" t="str">
        <f>_xlfn.IFNA(VLOOKUP(CONCATENATE(AF$4,$C179),'INSER DATA'!$A:$F,6,0),"")</f>
        <v/>
      </c>
      <c r="AG179" s="270" t="str">
        <f>_xlfn.IFNA(VLOOKUP(CONCATENATE(AG$4,$C179),'INSER DATA'!$A:$F,6,0),"")</f>
        <v/>
      </c>
      <c r="AH179" s="270" t="str">
        <f>_xlfn.IFNA(VLOOKUP(CONCATENATE(AH$4,$C179),'INSER DATA'!$A:$F,7,0),"")</f>
        <v/>
      </c>
      <c r="AI179" s="270" t="str">
        <f>_xlfn.IFNA(VLOOKUP(CONCATENATE(AI$4,$C179),'INSER DATA'!$A:$F,7,0),"")</f>
        <v/>
      </c>
      <c r="AJ179" s="270" t="str">
        <f>_xlfn.IFNA(VLOOKUP(CONCATENATE(AJ$4,$C179),'INSER DATA'!$A:$F,7,0),"")</f>
        <v/>
      </c>
      <c r="AK179" s="270" t="str">
        <f>_xlfn.IFNA(VLOOKUP(CONCATENATE(AK$4,$C179),'INSER DATA'!$A:$F,7,0),"")</f>
        <v/>
      </c>
      <c r="AL179" s="270" t="str">
        <f>_xlfn.IFNA(VLOOKUP(CONCATENATE(AL$4,$C179),'INSER DATA'!$A:$F,7,0),"")</f>
        <v/>
      </c>
      <c r="AM179" s="270" t="str">
        <f>_xlfn.IFNA(VLOOKUP(CONCATENATE(AM$4,$C179),'INSER DATA'!$A:$F,7,0),"")</f>
        <v/>
      </c>
      <c r="AN179" s="270" t="str">
        <f>_xlfn.IFNA(VLOOKUP(CONCATENATE(AN$4,$C179),'INSER DATA'!$A:$F,7,0),"")</f>
        <v/>
      </c>
      <c r="AO179" s="270" t="str">
        <f>_xlfn.IFNA(VLOOKUP(CONCATENATE(AO$4,$C179),'INSER DATA'!$A:$F,7,0),"")</f>
        <v/>
      </c>
      <c r="AP179" s="270" t="str">
        <f>_xlfn.IFNA(VLOOKUP(CONCATENATE(AP$4,$C179),'INSER DATA'!$A:$F,7,0),"")</f>
        <v/>
      </c>
      <c r="AQ179" s="270" t="str">
        <f>_xlfn.IFNA(VLOOKUP(CONCATENATE(AQ$4,$C179),'INSER DATA'!$A:$F,7,0),"")</f>
        <v/>
      </c>
      <c r="AR179" s="270" t="str">
        <f>_xlfn.IFNA(VLOOKUP(CONCATENATE(AR$4,$C179),'INSER DATA'!$A:$F,7,0),"")</f>
        <v/>
      </c>
      <c r="AS179" s="270" t="str">
        <f>_xlfn.IFNA(VLOOKUP(CONCATENATE(AS$4,$C179),'INSER DATA'!$A:$F,7,0),"")</f>
        <v/>
      </c>
      <c r="AT179" s="270" t="str">
        <f>_xlfn.IFNA(VLOOKUP(CONCATENATE(AT$4,$C179),'INSER DATA'!$A:$F,7,0),"")</f>
        <v/>
      </c>
      <c r="AU179" s="270" t="str">
        <f>_xlfn.IFNA(VLOOKUP(CONCATENATE(AU$4,$C179),'INSER DATA'!$A:$F,7,0),"")</f>
        <v/>
      </c>
      <c r="AV179" s="270" t="str">
        <f>_xlfn.IFNA(VLOOKUP(CONCATENATE(AV$4,$C179),'INSER DATA'!$A:$F,7,0),"")</f>
        <v/>
      </c>
      <c r="AW179" s="270" t="str">
        <f>_xlfn.IFNA(VLOOKUP(CONCATENATE(AW$4,$C179),'INSER DATA'!$A:$F,7,0),"")</f>
        <v/>
      </c>
      <c r="AX179" s="270" t="str">
        <f>_xlfn.IFNA(VLOOKUP(CONCATENATE(AX$4,$C179),'INSER DATA'!$A:$F,7,0),"")</f>
        <v/>
      </c>
      <c r="AY179" s="270" t="str">
        <f>_xlfn.IFNA(VLOOKUP(CONCATENATE(AY$4,$C179),'INSER DATA'!$A:$F,7,0),"")</f>
        <v/>
      </c>
      <c r="AZ179" s="270" t="str">
        <f>_xlfn.IFNA(VLOOKUP(CONCATENATE(AZ$4,$C179),'INSER DATA'!$A:$F,7,0),"")</f>
        <v/>
      </c>
      <c r="BA179" s="270" t="str">
        <f>_xlfn.IFNA(VLOOKUP(CONCATENATE(BA$4,$C179),'INSER DATA'!$A:$F,7,0),"")</f>
        <v/>
      </c>
      <c r="BB179" s="270" t="str">
        <f>_xlfn.IFNA(VLOOKUP(CONCATENATE(BB$4,$C179),'INSER DATA'!$A:$F,7,0),"")</f>
        <v/>
      </c>
      <c r="BC179" s="270" t="str">
        <f>_xlfn.IFNA(VLOOKUP(CONCATENATE(BC$4,$C179),'INSER DATA'!$A:$F,7,0),"")</f>
        <v/>
      </c>
      <c r="BD179" s="270" t="str">
        <f>_xlfn.IFNA(VLOOKUP(CONCATENATE(BD$4,$C179),'INSER DATA'!$A:$F,7,0),"")</f>
        <v/>
      </c>
      <c r="BE179" s="270" t="str">
        <f>_xlfn.IFNA(VLOOKUP(CONCATENATE(BE$4,$C179),'INSER DATA'!$A:$F,7,0),"")</f>
        <v/>
      </c>
      <c r="BF179" s="270" t="str">
        <f>_xlfn.IFNA(VLOOKUP(CONCATENATE(BF$4,$C179),'INSER DATA'!$A:$F,7,0),"")</f>
        <v/>
      </c>
      <c r="BG179" s="270" t="str">
        <f>_xlfn.IFNA(VLOOKUP(CONCATENATE(BG$4,$C179),'INSER DATA'!$A:$F,7,0),"")</f>
        <v/>
      </c>
      <c r="BH179" s="270" t="str">
        <f>_xlfn.IFNA(VLOOKUP(CONCATENATE(BH$4,$C179),'INSER DATA'!$A:$F,7,0),"")</f>
        <v/>
      </c>
      <c r="BI179" s="270" t="str">
        <f>_xlfn.IFNA(VLOOKUP(CONCATENATE(BI$4,$C179),'INSER DATA'!$A:$F,7,0),"")</f>
        <v/>
      </c>
      <c r="BJ179" s="270" t="str">
        <f>_xlfn.IFNA(VLOOKUP(CONCATENATE(BJ$4,$C179),'INSER DATA'!$A:$F,7,0),"")</f>
        <v/>
      </c>
      <c r="BK179" s="270" t="str">
        <f>_xlfn.IFNA(VLOOKUP(CONCATENATE(BK$4,$C179),'INSER DATA'!$A:$F,7,0),"")</f>
        <v/>
      </c>
      <c r="BL179" s="272"/>
      <c r="BM179" s="30"/>
      <c r="BN179" s="30"/>
      <c r="BO179" s="30"/>
      <c r="BP179" s="30"/>
      <c r="BQ179" s="30"/>
      <c r="BR179" s="30"/>
      <c r="BS179" s="30"/>
      <c r="BT179" s="30"/>
      <c r="BU179" s="30"/>
      <c r="BV179" s="30"/>
      <c r="BW179" s="30"/>
      <c r="BX179" s="30"/>
      <c r="BY179" s="30"/>
      <c r="BZ179" s="30"/>
      <c r="CA179" s="30"/>
      <c r="CB179" s="30"/>
      <c r="CC179" s="30"/>
      <c r="CD179" s="30"/>
      <c r="CE179" s="30"/>
      <c r="CF179" s="30"/>
      <c r="CG179" s="30"/>
      <c r="CH179" s="30"/>
      <c r="CI179" s="30"/>
      <c r="CJ179" s="30"/>
      <c r="CK179" s="30"/>
      <c r="CL179" s="30"/>
      <c r="CM179" s="30"/>
      <c r="CN179" s="30"/>
      <c r="CO179" s="30"/>
      <c r="CP179" s="30"/>
      <c r="CQ179" s="30"/>
      <c r="CR179" s="30"/>
      <c r="CS179" s="30"/>
      <c r="CT179" s="30"/>
      <c r="CU179" s="30"/>
      <c r="CV179" s="30"/>
      <c r="CW179" s="30"/>
      <c r="CX179" s="30"/>
      <c r="CY179" s="30"/>
      <c r="CZ179" s="30"/>
      <c r="DA179" s="30"/>
    </row>
    <row r="180" spans="1:105" ht="19.2" thickTop="1" thickBot="1" x14ac:dyDescent="0.4">
      <c r="A180" s="30"/>
      <c r="B180" s="30"/>
      <c r="C180" s="185" t="s">
        <v>444</v>
      </c>
      <c r="D180" s="46" t="s">
        <v>749</v>
      </c>
      <c r="E180" s="35" t="str">
        <f>_xlfn.XLOOKUP(Tabella4[[#This Row],[NOME]],'ROSE SQUADRE'!$N$3:$N$253,'ROSE SQUADRE'!$O$3:$O$253,"")</f>
        <v/>
      </c>
      <c r="F180" s="36" t="s">
        <v>161</v>
      </c>
      <c r="G180" s="43">
        <v>2</v>
      </c>
      <c r="H180" s="43">
        <v>2</v>
      </c>
      <c r="I180" s="44">
        <f t="shared" si="13"/>
        <v>0</v>
      </c>
      <c r="J180" s="37">
        <f t="shared" si="14"/>
        <v>1</v>
      </c>
      <c r="K180" s="178">
        <f t="shared" si="15"/>
        <v>5</v>
      </c>
      <c r="L180" s="178">
        <f t="shared" si="16"/>
        <v>5</v>
      </c>
      <c r="M180" s="179">
        <f t="shared" si="17"/>
        <v>5</v>
      </c>
      <c r="N180" s="45">
        <f t="shared" ca="1" si="18"/>
        <v>0</v>
      </c>
      <c r="O180" s="40">
        <f>SUMIF(Tabella1[Nome],Tabella4[[#This Row],[NOME]],Tabella1[Gf])</f>
        <v>0</v>
      </c>
      <c r="P180" s="40">
        <f>-(SUMIF(Tabella1[Nome],Tabella4[[#This Row],[NOME]],Tabella1[Gs]))</f>
        <v>0</v>
      </c>
      <c r="Q180" s="40">
        <f>SUMIF(Tabella1[Nome],Tabella4[[#This Row],[NOME]],Tabella1[Rp])</f>
        <v>0</v>
      </c>
      <c r="R180" s="40">
        <f>SUMIF(Tabella1[Nome],Tabella4[[#This Row],[NOME]],Tabella1[Rs])</f>
        <v>0</v>
      </c>
      <c r="S180" s="40">
        <f>SUMIF(Tabella1[Nome],Tabella4[[#This Row],[NOME]],Tabella1[Rf])</f>
        <v>0</v>
      </c>
      <c r="T180" s="40">
        <f>SUMIF(Tabella1[Nome],Tabella4[[#This Row],[NOME]],Tabella1[Au])</f>
        <v>0</v>
      </c>
      <c r="U180" s="41">
        <f>SUMIF(Tabella1[Nome],Tabella4[[#This Row],[NOME]],Tabella1[Amm])</f>
        <v>0</v>
      </c>
      <c r="V180" s="42">
        <f>SUMIF(Tabella1[Nome],Tabella4[[#This Row],[NOME]],Tabella1[Esp])</f>
        <v>0</v>
      </c>
      <c r="W180" s="40">
        <f>SUMIF(Tabella1[Nome],Tabella4[[#This Row],[NOME]],Tabella1[Ass])</f>
        <v>0</v>
      </c>
      <c r="X180" s="40">
        <f>SUMIF(Tabella1[Nome],Tabella4[[#This Row],[NOME]],Tabella1[Gdv])</f>
        <v>0</v>
      </c>
      <c r="Y180" s="40">
        <f>SUMIF(Tabella1[Nome],Tabella4[[#This Row],[NOME]],Tabella1[cl sh])</f>
        <v>0</v>
      </c>
      <c r="Z180" s="270" t="str">
        <f>_xlfn.IFNA(_xlfn.XLOOKUP(CONCATENATE(Z$4,$C180),Tabella1[CONC X VOTI IN TAB GIOC],Tabella1[Voto],""),"")</f>
        <v/>
      </c>
      <c r="AA180" s="270" t="str">
        <f>_xlfn.IFNA(_xlfn.XLOOKUP(CONCATENATE(AA$4,$C180),Tabella1[CONC X VOTI IN TAB GIOC],Tabella1[Voto],""),"")</f>
        <v/>
      </c>
      <c r="AB180" s="270">
        <f>_xlfn.IFNA(_xlfn.XLOOKUP(CONCATENATE(AB$4,$C180),Tabella1[CONC X VOTI IN TAB GIOC],Tabella1[Voto]),"")</f>
        <v>5</v>
      </c>
      <c r="AC180" s="270" t="str" cm="1">
        <f t="array" ref="AC180">_xlfn.IFNA(_xlfn.XLOOKUP(CONCATENATE(AC$4,$C180),INDEX(Tabella1[],0,MATCH("CONC X VOTI IN TAB GIOC",Tabella1[#Headers],0)),INDEX(Tabella1[],0,MATCH("Voto",Tabella1[#Headers],0))),"")</f>
        <v/>
      </c>
      <c r="AD180" s="270" t="str">
        <f>_xlfn.IFNA(_xlfn.XLOOKUP(CONCATENATE(AD$4,$C180),Tabella1[CONC X VOTI IN TAB GIOC],Tabella1[Voto]),"")</f>
        <v/>
      </c>
      <c r="AE180" s="270" t="str">
        <f>_xlfn.IFNA(VLOOKUP(CONCATENATE(AE$4,$C180),'INSER DATA'!$A:$F,6,0),"")</f>
        <v/>
      </c>
      <c r="AF180" s="270" t="str">
        <f>_xlfn.IFNA(VLOOKUP(CONCATENATE(AF$4,$C180),'INSER DATA'!$A:$F,6,0),"")</f>
        <v/>
      </c>
      <c r="AG180" s="270" t="str">
        <f>_xlfn.IFNA(VLOOKUP(CONCATENATE(AG$4,$C180),'INSER DATA'!$A:$F,6,0),"")</f>
        <v/>
      </c>
      <c r="AH180" s="270" t="str">
        <f>_xlfn.IFNA(VLOOKUP(CONCATENATE(AH$4,$C180),'INSER DATA'!$A:$F,7,0),"")</f>
        <v/>
      </c>
      <c r="AI180" s="270" t="str">
        <f>_xlfn.IFNA(VLOOKUP(CONCATENATE(AI$4,$C180),'INSER DATA'!$A:$F,7,0),"")</f>
        <v/>
      </c>
      <c r="AJ180" s="270" t="str">
        <f>_xlfn.IFNA(VLOOKUP(CONCATENATE(AJ$4,$C180),'INSER DATA'!$A:$F,7,0),"")</f>
        <v/>
      </c>
      <c r="AK180" s="270" t="str">
        <f>_xlfn.IFNA(VLOOKUP(CONCATENATE(AK$4,$C180),'INSER DATA'!$A:$F,7,0),"")</f>
        <v/>
      </c>
      <c r="AL180" s="270" t="str">
        <f>_xlfn.IFNA(VLOOKUP(CONCATENATE(AL$4,$C180),'INSER DATA'!$A:$F,7,0),"")</f>
        <v/>
      </c>
      <c r="AM180" s="270" t="str">
        <f>_xlfn.IFNA(VLOOKUP(CONCATENATE(AM$4,$C180),'INSER DATA'!$A:$F,7,0),"")</f>
        <v/>
      </c>
      <c r="AN180" s="270" t="str">
        <f>_xlfn.IFNA(VLOOKUP(CONCATENATE(AN$4,$C180),'INSER DATA'!$A:$F,7,0),"")</f>
        <v/>
      </c>
      <c r="AO180" s="270" t="str">
        <f>_xlfn.IFNA(VLOOKUP(CONCATENATE(AO$4,$C180),'INSER DATA'!$A:$F,7,0),"")</f>
        <v/>
      </c>
      <c r="AP180" s="270" t="str">
        <f>_xlfn.IFNA(VLOOKUP(CONCATENATE(AP$4,$C180),'INSER DATA'!$A:$F,7,0),"")</f>
        <v/>
      </c>
      <c r="AQ180" s="270" t="str">
        <f>_xlfn.IFNA(VLOOKUP(CONCATENATE(AQ$4,$C180),'INSER DATA'!$A:$F,7,0),"")</f>
        <v/>
      </c>
      <c r="AR180" s="270" t="str">
        <f>_xlfn.IFNA(VLOOKUP(CONCATENATE(AR$4,$C180),'INSER DATA'!$A:$F,7,0),"")</f>
        <v/>
      </c>
      <c r="AS180" s="270" t="str">
        <f>_xlfn.IFNA(VLOOKUP(CONCATENATE(AS$4,$C180),'INSER DATA'!$A:$F,7,0),"")</f>
        <v/>
      </c>
      <c r="AT180" s="270" t="str">
        <f>_xlfn.IFNA(VLOOKUP(CONCATENATE(AT$4,$C180),'INSER DATA'!$A:$F,7,0),"")</f>
        <v/>
      </c>
      <c r="AU180" s="270" t="str">
        <f>_xlfn.IFNA(VLOOKUP(CONCATENATE(AU$4,$C180),'INSER DATA'!$A:$F,7,0),"")</f>
        <v/>
      </c>
      <c r="AV180" s="270" t="str">
        <f>_xlfn.IFNA(VLOOKUP(CONCATENATE(AV$4,$C180),'INSER DATA'!$A:$F,7,0),"")</f>
        <v/>
      </c>
      <c r="AW180" s="270" t="str">
        <f>_xlfn.IFNA(VLOOKUP(CONCATENATE(AW$4,$C180),'INSER DATA'!$A:$F,7,0),"")</f>
        <v/>
      </c>
      <c r="AX180" s="270" t="str">
        <f>_xlfn.IFNA(VLOOKUP(CONCATENATE(AX$4,$C180),'INSER DATA'!$A:$F,7,0),"")</f>
        <v/>
      </c>
      <c r="AY180" s="270" t="str">
        <f>_xlfn.IFNA(VLOOKUP(CONCATENATE(AY$4,$C180),'INSER DATA'!$A:$F,7,0),"")</f>
        <v/>
      </c>
      <c r="AZ180" s="270" t="str">
        <f>_xlfn.IFNA(VLOOKUP(CONCATENATE(AZ$4,$C180),'INSER DATA'!$A:$F,7,0),"")</f>
        <v/>
      </c>
      <c r="BA180" s="270" t="str">
        <f>_xlfn.IFNA(VLOOKUP(CONCATENATE(BA$4,$C180),'INSER DATA'!$A:$F,7,0),"")</f>
        <v/>
      </c>
      <c r="BB180" s="270" t="str">
        <f>_xlfn.IFNA(VLOOKUP(CONCATENATE(BB$4,$C180),'INSER DATA'!$A:$F,7,0),"")</f>
        <v/>
      </c>
      <c r="BC180" s="270" t="str">
        <f>_xlfn.IFNA(VLOOKUP(CONCATENATE(BC$4,$C180),'INSER DATA'!$A:$F,7,0),"")</f>
        <v/>
      </c>
      <c r="BD180" s="270" t="str">
        <f>_xlfn.IFNA(VLOOKUP(CONCATENATE(BD$4,$C180),'INSER DATA'!$A:$F,7,0),"")</f>
        <v/>
      </c>
      <c r="BE180" s="270" t="str">
        <f>_xlfn.IFNA(VLOOKUP(CONCATENATE(BE$4,$C180),'INSER DATA'!$A:$F,7,0),"")</f>
        <v/>
      </c>
      <c r="BF180" s="270" t="str">
        <f>_xlfn.IFNA(VLOOKUP(CONCATENATE(BF$4,$C180),'INSER DATA'!$A:$F,7,0),"")</f>
        <v/>
      </c>
      <c r="BG180" s="270" t="str">
        <f>_xlfn.IFNA(VLOOKUP(CONCATENATE(BG$4,$C180),'INSER DATA'!$A:$F,7,0),"")</f>
        <v/>
      </c>
      <c r="BH180" s="270" t="str">
        <f>_xlfn.IFNA(VLOOKUP(CONCATENATE(BH$4,$C180),'INSER DATA'!$A:$F,7,0),"")</f>
        <v/>
      </c>
      <c r="BI180" s="270" t="str">
        <f>_xlfn.IFNA(VLOOKUP(CONCATENATE(BI$4,$C180),'INSER DATA'!$A:$F,7,0),"")</f>
        <v/>
      </c>
      <c r="BJ180" s="270" t="str">
        <f>_xlfn.IFNA(VLOOKUP(CONCATENATE(BJ$4,$C180),'INSER DATA'!$A:$F,7,0),"")</f>
        <v/>
      </c>
      <c r="BK180" s="270" t="str">
        <f>_xlfn.IFNA(VLOOKUP(CONCATENATE(BK$4,$C180),'INSER DATA'!$A:$F,7,0),"")</f>
        <v/>
      </c>
      <c r="BL180" s="272"/>
      <c r="BM180" s="30"/>
      <c r="BN180" s="30"/>
      <c r="BO180" s="30"/>
      <c r="BP180" s="30"/>
      <c r="BQ180" s="30"/>
      <c r="BR180" s="30"/>
      <c r="BS180" s="30"/>
      <c r="BT180" s="30"/>
      <c r="BU180" s="30"/>
      <c r="BV180" s="30"/>
      <c r="BW180" s="30"/>
      <c r="BX180" s="30"/>
      <c r="BY180" s="30"/>
      <c r="BZ180" s="30"/>
      <c r="CA180" s="30"/>
      <c r="CB180" s="30"/>
      <c r="CC180" s="30"/>
      <c r="CD180" s="30"/>
      <c r="CE180" s="30"/>
      <c r="CF180" s="30"/>
      <c r="CG180" s="30"/>
      <c r="CH180" s="30"/>
      <c r="CI180" s="30"/>
      <c r="CJ180" s="30"/>
      <c r="CK180" s="30"/>
      <c r="CL180" s="30"/>
      <c r="CM180" s="30"/>
      <c r="CN180" s="30"/>
      <c r="CO180" s="30"/>
      <c r="CP180" s="30"/>
      <c r="CQ180" s="30"/>
      <c r="CR180" s="30"/>
      <c r="CS180" s="30"/>
      <c r="CT180" s="30"/>
      <c r="CU180" s="30"/>
      <c r="CV180" s="30"/>
      <c r="CW180" s="30"/>
      <c r="CX180" s="30"/>
      <c r="CY180" s="30"/>
      <c r="CZ180" s="30"/>
      <c r="DA180" s="30"/>
    </row>
    <row r="181" spans="1:105" ht="19.2" thickTop="1" thickBot="1" x14ac:dyDescent="0.4">
      <c r="A181" s="30"/>
      <c r="B181" s="30"/>
      <c r="C181" s="185" t="s">
        <v>762</v>
      </c>
      <c r="D181" s="46" t="s">
        <v>749</v>
      </c>
      <c r="E181" s="35" t="str">
        <f>_xlfn.XLOOKUP(Tabella4[[#This Row],[NOME]],'ROSE SQUADRE'!$N$3:$N$253,'ROSE SQUADRE'!$O$3:$O$253,"")</f>
        <v/>
      </c>
      <c r="F181" s="36" t="s">
        <v>162</v>
      </c>
      <c r="G181" s="43">
        <v>5</v>
      </c>
      <c r="H181" s="43">
        <v>5</v>
      </c>
      <c r="I181" s="44">
        <f t="shared" si="13"/>
        <v>0</v>
      </c>
      <c r="J181" s="37">
        <f t="shared" si="14"/>
        <v>0</v>
      </c>
      <c r="K181" s="38">
        <f t="shared" si="15"/>
        <v>0</v>
      </c>
      <c r="L181" s="38">
        <f t="shared" si="16"/>
        <v>0</v>
      </c>
      <c r="M181" s="39">
        <f t="shared" si="17"/>
        <v>0</v>
      </c>
      <c r="N181" s="45">
        <f t="shared" ca="1" si="18"/>
        <v>0</v>
      </c>
      <c r="O181" s="40">
        <f>SUMIF(Tabella1[Nome],Tabella4[[#This Row],[NOME]],Tabella1[Gf])</f>
        <v>0</v>
      </c>
      <c r="P181" s="40">
        <f>-(SUMIF(Tabella1[Nome],Tabella4[[#This Row],[NOME]],Tabella1[Gs]))</f>
        <v>0</v>
      </c>
      <c r="Q181" s="40">
        <f>SUMIF(Tabella1[Nome],Tabella4[[#This Row],[NOME]],Tabella1[Rp])</f>
        <v>0</v>
      </c>
      <c r="R181" s="40">
        <f>SUMIF(Tabella1[Nome],Tabella4[[#This Row],[NOME]],Tabella1[Rs])</f>
        <v>0</v>
      </c>
      <c r="S181" s="40">
        <f>SUMIF(Tabella1[Nome],Tabella4[[#This Row],[NOME]],Tabella1[Rf])</f>
        <v>0</v>
      </c>
      <c r="T181" s="40">
        <f>SUMIF(Tabella1[Nome],Tabella4[[#This Row],[NOME]],Tabella1[Au])</f>
        <v>0</v>
      </c>
      <c r="U181" s="41">
        <f>SUMIF(Tabella1[Nome],Tabella4[[#This Row],[NOME]],Tabella1[Amm])</f>
        <v>0</v>
      </c>
      <c r="V181" s="42">
        <f>SUMIF(Tabella1[Nome],Tabella4[[#This Row],[NOME]],Tabella1[Esp])</f>
        <v>0</v>
      </c>
      <c r="W181" s="40">
        <f>SUMIF(Tabella1[Nome],Tabella4[[#This Row],[NOME]],Tabella1[Ass])</f>
        <v>0</v>
      </c>
      <c r="X181" s="40">
        <f>SUMIF(Tabella1[Nome],Tabella4[[#This Row],[NOME]],Tabella1[Gdv])</f>
        <v>0</v>
      </c>
      <c r="Y181" s="40">
        <f>SUMIF(Tabella1[Nome],Tabella4[[#This Row],[NOME]],Tabella1[cl sh])</f>
        <v>0</v>
      </c>
      <c r="Z181" s="270" t="str">
        <f>_xlfn.IFNA(_xlfn.XLOOKUP(CONCATENATE(Z$4,$C181),Tabella1[CONC X VOTI IN TAB GIOC],Tabella1[Voto],""),"")</f>
        <v/>
      </c>
      <c r="AA181" s="270" t="str">
        <f>_xlfn.IFNA(_xlfn.XLOOKUP(CONCATENATE(AA$4,$C181),Tabella1[CONC X VOTI IN TAB GIOC],Tabella1[Voto],""),"")</f>
        <v/>
      </c>
      <c r="AB181" s="270" t="str">
        <f>_xlfn.IFNA(_xlfn.XLOOKUP(CONCATENATE(AB$4,$C181),Tabella1[CONC X VOTI IN TAB GIOC],Tabella1[Voto]),"")</f>
        <v/>
      </c>
      <c r="AC181" s="270" t="str" cm="1">
        <f t="array" ref="AC181">_xlfn.IFNA(_xlfn.XLOOKUP(CONCATENATE(AC$4,$C181),INDEX(Tabella1[],0,MATCH("CONC X VOTI IN TAB GIOC",Tabella1[#Headers],0)),INDEX(Tabella1[],0,MATCH("Voto",Tabella1[#Headers],0))),"")</f>
        <v/>
      </c>
      <c r="AD181" s="270" t="str">
        <f>_xlfn.IFNA(_xlfn.XLOOKUP(CONCATENATE(AD$4,$C181),Tabella1[CONC X VOTI IN TAB GIOC],Tabella1[Voto]),"")</f>
        <v/>
      </c>
      <c r="AE181" s="270" t="str">
        <f>_xlfn.IFNA(VLOOKUP(CONCATENATE(AE$4,$C181),'INSER DATA'!$A:$F,6,0),"")</f>
        <v/>
      </c>
      <c r="AF181" s="270" t="str">
        <f>_xlfn.IFNA(VLOOKUP(CONCATENATE(AF$4,$C181),'INSER DATA'!$A:$F,6,0),"")</f>
        <v/>
      </c>
      <c r="AG181" s="270" t="str">
        <f>_xlfn.IFNA(VLOOKUP(CONCATENATE(AG$4,$C181),'INSER DATA'!$A:$F,6,0),"")</f>
        <v/>
      </c>
      <c r="AH181" s="270" t="str">
        <f>_xlfn.IFNA(VLOOKUP(CONCATENATE(AH$4,$C181),'INSER DATA'!$A:$F,7,0),"")</f>
        <v/>
      </c>
      <c r="AI181" s="270" t="str">
        <f>_xlfn.IFNA(VLOOKUP(CONCATENATE(AI$4,$C181),'INSER DATA'!$A:$F,7,0),"")</f>
        <v/>
      </c>
      <c r="AJ181" s="270" t="str">
        <f>_xlfn.IFNA(VLOOKUP(CONCATENATE(AJ$4,$C181),'INSER DATA'!$A:$F,7,0),"")</f>
        <v/>
      </c>
      <c r="AK181" s="270" t="str">
        <f>_xlfn.IFNA(VLOOKUP(CONCATENATE(AK$4,$C181),'INSER DATA'!$A:$F,7,0),"")</f>
        <v/>
      </c>
      <c r="AL181" s="270" t="str">
        <f>_xlfn.IFNA(VLOOKUP(CONCATENATE(AL$4,$C181),'INSER DATA'!$A:$F,7,0),"")</f>
        <v/>
      </c>
      <c r="AM181" s="270" t="str">
        <f>_xlfn.IFNA(VLOOKUP(CONCATENATE(AM$4,$C181),'INSER DATA'!$A:$F,7,0),"")</f>
        <v/>
      </c>
      <c r="AN181" s="270" t="str">
        <f>_xlfn.IFNA(VLOOKUP(CONCATENATE(AN$4,$C181),'INSER DATA'!$A:$F,7,0),"")</f>
        <v/>
      </c>
      <c r="AO181" s="270" t="str">
        <f>_xlfn.IFNA(VLOOKUP(CONCATENATE(AO$4,$C181),'INSER DATA'!$A:$F,7,0),"")</f>
        <v/>
      </c>
      <c r="AP181" s="270" t="str">
        <f>_xlfn.IFNA(VLOOKUP(CONCATENATE(AP$4,$C181),'INSER DATA'!$A:$F,7,0),"")</f>
        <v/>
      </c>
      <c r="AQ181" s="270" t="str">
        <f>_xlfn.IFNA(VLOOKUP(CONCATENATE(AQ$4,$C181),'INSER DATA'!$A:$F,7,0),"")</f>
        <v/>
      </c>
      <c r="AR181" s="270" t="str">
        <f>_xlfn.IFNA(VLOOKUP(CONCATENATE(AR$4,$C181),'INSER DATA'!$A:$F,7,0),"")</f>
        <v/>
      </c>
      <c r="AS181" s="270" t="str">
        <f>_xlfn.IFNA(VLOOKUP(CONCATENATE(AS$4,$C181),'INSER DATA'!$A:$F,7,0),"")</f>
        <v/>
      </c>
      <c r="AT181" s="270" t="str">
        <f>_xlfn.IFNA(VLOOKUP(CONCATENATE(AT$4,$C181),'INSER DATA'!$A:$F,7,0),"")</f>
        <v/>
      </c>
      <c r="AU181" s="270" t="str">
        <f>_xlfn.IFNA(VLOOKUP(CONCATENATE(AU$4,$C181),'INSER DATA'!$A:$F,7,0),"")</f>
        <v/>
      </c>
      <c r="AV181" s="270" t="str">
        <f>_xlfn.IFNA(VLOOKUP(CONCATENATE(AV$4,$C181),'INSER DATA'!$A:$F,7,0),"")</f>
        <v/>
      </c>
      <c r="AW181" s="270" t="str">
        <f>_xlfn.IFNA(VLOOKUP(CONCATENATE(AW$4,$C181),'INSER DATA'!$A:$F,7,0),"")</f>
        <v/>
      </c>
      <c r="AX181" s="270" t="str">
        <f>_xlfn.IFNA(VLOOKUP(CONCATENATE(AX$4,$C181),'INSER DATA'!$A:$F,7,0),"")</f>
        <v/>
      </c>
      <c r="AY181" s="270" t="str">
        <f>_xlfn.IFNA(VLOOKUP(CONCATENATE(AY$4,$C181),'INSER DATA'!$A:$F,7,0),"")</f>
        <v/>
      </c>
      <c r="AZ181" s="270" t="str">
        <f>_xlfn.IFNA(VLOOKUP(CONCATENATE(AZ$4,$C181),'INSER DATA'!$A:$F,7,0),"")</f>
        <v/>
      </c>
      <c r="BA181" s="270" t="str">
        <f>_xlfn.IFNA(VLOOKUP(CONCATENATE(BA$4,$C181),'INSER DATA'!$A:$F,7,0),"")</f>
        <v/>
      </c>
      <c r="BB181" s="270" t="str">
        <f>_xlfn.IFNA(VLOOKUP(CONCATENATE(BB$4,$C181),'INSER DATA'!$A:$F,7,0),"")</f>
        <v/>
      </c>
      <c r="BC181" s="270" t="str">
        <f>_xlfn.IFNA(VLOOKUP(CONCATENATE(BC$4,$C181),'INSER DATA'!$A:$F,7,0),"")</f>
        <v/>
      </c>
      <c r="BD181" s="270" t="str">
        <f>_xlfn.IFNA(VLOOKUP(CONCATENATE(BD$4,$C181),'INSER DATA'!$A:$F,7,0),"")</f>
        <v/>
      </c>
      <c r="BE181" s="270" t="str">
        <f>_xlfn.IFNA(VLOOKUP(CONCATENATE(BE$4,$C181),'INSER DATA'!$A:$F,7,0),"")</f>
        <v/>
      </c>
      <c r="BF181" s="270" t="str">
        <f>_xlfn.IFNA(VLOOKUP(CONCATENATE(BF$4,$C181),'INSER DATA'!$A:$F,7,0),"")</f>
        <v/>
      </c>
      <c r="BG181" s="270" t="str">
        <f>_xlfn.IFNA(VLOOKUP(CONCATENATE(BG$4,$C181),'INSER DATA'!$A:$F,7,0),"")</f>
        <v/>
      </c>
      <c r="BH181" s="270" t="str">
        <f>_xlfn.IFNA(VLOOKUP(CONCATENATE(BH$4,$C181),'INSER DATA'!$A:$F,7,0),"")</f>
        <v/>
      </c>
      <c r="BI181" s="270" t="str">
        <f>_xlfn.IFNA(VLOOKUP(CONCATENATE(BI$4,$C181),'INSER DATA'!$A:$F,7,0),"")</f>
        <v/>
      </c>
      <c r="BJ181" s="270" t="str">
        <f>_xlfn.IFNA(VLOOKUP(CONCATENATE(BJ$4,$C181),'INSER DATA'!$A:$F,7,0),"")</f>
        <v/>
      </c>
      <c r="BK181" s="270" t="str">
        <f>_xlfn.IFNA(VLOOKUP(CONCATENATE(BK$4,$C181),'INSER DATA'!$A:$F,7,0),"")</f>
        <v/>
      </c>
      <c r="BL181" s="272"/>
      <c r="BM181" s="30"/>
      <c r="BN181" s="30"/>
      <c r="BO181" s="30"/>
      <c r="BP181" s="30"/>
      <c r="BQ181" s="30"/>
      <c r="BR181" s="30"/>
      <c r="BS181" s="30"/>
      <c r="BT181" s="30"/>
      <c r="BU181" s="30"/>
      <c r="BV181" s="30"/>
      <c r="BW181" s="30"/>
      <c r="BX181" s="30"/>
      <c r="BY181" s="30"/>
      <c r="BZ181" s="30"/>
      <c r="CA181" s="30"/>
      <c r="CB181" s="30"/>
      <c r="CC181" s="30"/>
      <c r="CD181" s="30"/>
      <c r="CE181" s="30"/>
      <c r="CF181" s="30"/>
      <c r="CG181" s="30"/>
      <c r="CH181" s="30"/>
      <c r="CI181" s="30"/>
      <c r="CJ181" s="30"/>
      <c r="CK181" s="30"/>
      <c r="CL181" s="30"/>
      <c r="CM181" s="30"/>
      <c r="CN181" s="30"/>
      <c r="CO181" s="30"/>
      <c r="CP181" s="30"/>
      <c r="CQ181" s="30"/>
      <c r="CR181" s="30"/>
      <c r="CS181" s="30"/>
      <c r="CT181" s="30"/>
      <c r="CU181" s="30"/>
      <c r="CV181" s="30"/>
      <c r="CW181" s="30"/>
      <c r="CX181" s="30"/>
      <c r="CY181" s="30"/>
      <c r="CZ181" s="30"/>
      <c r="DA181" s="30"/>
    </row>
    <row r="182" spans="1:105" ht="19.2" thickTop="1" thickBot="1" x14ac:dyDescent="0.4">
      <c r="A182" s="30"/>
      <c r="B182" s="30"/>
      <c r="C182" s="188" t="s">
        <v>763</v>
      </c>
      <c r="D182" s="46" t="s">
        <v>749</v>
      </c>
      <c r="E182" s="35" t="str">
        <f>_xlfn.XLOOKUP(Tabella4[[#This Row],[NOME]],'ROSE SQUADRE'!$N$3:$N$253,'ROSE SQUADRE'!$O$3:$O$253,"")</f>
        <v/>
      </c>
      <c r="F182" s="36" t="s">
        <v>162</v>
      </c>
      <c r="G182" s="43">
        <v>2</v>
      </c>
      <c r="H182" s="43">
        <v>2</v>
      </c>
      <c r="I182" s="44">
        <f t="shared" si="13"/>
        <v>0</v>
      </c>
      <c r="J182" s="37">
        <f t="shared" si="14"/>
        <v>0</v>
      </c>
      <c r="K182" s="38">
        <f t="shared" si="15"/>
        <v>0</v>
      </c>
      <c r="L182" s="38">
        <f t="shared" si="16"/>
        <v>0</v>
      </c>
      <c r="M182" s="39">
        <f t="shared" si="17"/>
        <v>0</v>
      </c>
      <c r="N182" s="45">
        <f t="shared" ca="1" si="18"/>
        <v>0</v>
      </c>
      <c r="O182" s="40">
        <f>SUMIF(Tabella1[Nome],Tabella4[[#This Row],[NOME]],Tabella1[Gf])</f>
        <v>0</v>
      </c>
      <c r="P182" s="40">
        <f>-(SUMIF(Tabella1[Nome],Tabella4[[#This Row],[NOME]],Tabella1[Gs]))</f>
        <v>0</v>
      </c>
      <c r="Q182" s="40">
        <f>SUMIF(Tabella1[Nome],Tabella4[[#This Row],[NOME]],Tabella1[Rp])</f>
        <v>0</v>
      </c>
      <c r="R182" s="40">
        <f>SUMIF(Tabella1[Nome],Tabella4[[#This Row],[NOME]],Tabella1[Rs])</f>
        <v>0</v>
      </c>
      <c r="S182" s="40">
        <f>SUMIF(Tabella1[Nome],Tabella4[[#This Row],[NOME]],Tabella1[Rf])</f>
        <v>0</v>
      </c>
      <c r="T182" s="40">
        <f>SUMIF(Tabella1[Nome],Tabella4[[#This Row],[NOME]],Tabella1[Au])</f>
        <v>0</v>
      </c>
      <c r="U182" s="41">
        <f>SUMIF(Tabella1[Nome],Tabella4[[#This Row],[NOME]],Tabella1[Amm])</f>
        <v>0</v>
      </c>
      <c r="V182" s="42">
        <f>SUMIF(Tabella1[Nome],Tabella4[[#This Row],[NOME]],Tabella1[Esp])</f>
        <v>0</v>
      </c>
      <c r="W182" s="40">
        <f>SUMIF(Tabella1[Nome],Tabella4[[#This Row],[NOME]],Tabella1[Ass])</f>
        <v>0</v>
      </c>
      <c r="X182" s="40">
        <f>SUMIF(Tabella1[Nome],Tabella4[[#This Row],[NOME]],Tabella1[Gdv])</f>
        <v>0</v>
      </c>
      <c r="Y182" s="40">
        <f>SUMIF(Tabella1[Nome],Tabella4[[#This Row],[NOME]],Tabella1[cl sh])</f>
        <v>0</v>
      </c>
      <c r="Z182" s="270" t="str">
        <f>_xlfn.IFNA(_xlfn.XLOOKUP(CONCATENATE(Z$4,$C182),Tabella1[CONC X VOTI IN TAB GIOC],Tabella1[Voto],""),"")</f>
        <v/>
      </c>
      <c r="AA182" s="270" t="str">
        <f>_xlfn.IFNA(_xlfn.XLOOKUP(CONCATENATE(AA$4,$C182),Tabella1[CONC X VOTI IN TAB GIOC],Tabella1[Voto],""),"")</f>
        <v/>
      </c>
      <c r="AB182" s="270" t="str">
        <f>_xlfn.IFNA(_xlfn.XLOOKUP(CONCATENATE(AB$4,$C182),Tabella1[CONC X VOTI IN TAB GIOC],Tabella1[Voto]),"")</f>
        <v/>
      </c>
      <c r="AC182" s="270" t="str" cm="1">
        <f t="array" ref="AC182">_xlfn.IFNA(_xlfn.XLOOKUP(CONCATENATE(AC$4,$C182),INDEX(Tabella1[],0,MATCH("CONC X VOTI IN TAB GIOC",Tabella1[#Headers],0)),INDEX(Tabella1[],0,MATCH("Voto",Tabella1[#Headers],0))),"")</f>
        <v/>
      </c>
      <c r="AD182" s="270" t="str">
        <f>_xlfn.IFNA(_xlfn.XLOOKUP(CONCATENATE(AD$4,$C182),Tabella1[CONC X VOTI IN TAB GIOC],Tabella1[Voto]),"")</f>
        <v/>
      </c>
      <c r="AE182" s="270" t="str">
        <f>_xlfn.IFNA(VLOOKUP(CONCATENATE(AE$4,$C182),'INSER DATA'!$A:$F,6,0),"")</f>
        <v/>
      </c>
      <c r="AF182" s="270" t="str">
        <f>_xlfn.IFNA(VLOOKUP(CONCATENATE(AF$4,$C182),'INSER DATA'!$A:$F,6,0),"")</f>
        <v/>
      </c>
      <c r="AG182" s="270" t="str">
        <f>_xlfn.IFNA(VLOOKUP(CONCATENATE(AG$4,$C182),'INSER DATA'!$A:$F,6,0),"")</f>
        <v/>
      </c>
      <c r="AH182" s="270" t="str">
        <f>_xlfn.IFNA(VLOOKUP(CONCATENATE(AH$4,$C182),'INSER DATA'!$A:$F,7,0),"")</f>
        <v/>
      </c>
      <c r="AI182" s="270" t="str">
        <f>_xlfn.IFNA(VLOOKUP(CONCATENATE(AI$4,$C182),'INSER DATA'!$A:$F,7,0),"")</f>
        <v/>
      </c>
      <c r="AJ182" s="270" t="str">
        <f>_xlfn.IFNA(VLOOKUP(CONCATENATE(AJ$4,$C182),'INSER DATA'!$A:$F,7,0),"")</f>
        <v/>
      </c>
      <c r="AK182" s="270" t="str">
        <f>_xlfn.IFNA(VLOOKUP(CONCATENATE(AK$4,$C182),'INSER DATA'!$A:$F,7,0),"")</f>
        <v/>
      </c>
      <c r="AL182" s="270" t="str">
        <f>_xlfn.IFNA(VLOOKUP(CONCATENATE(AL$4,$C182),'INSER DATA'!$A:$F,7,0),"")</f>
        <v/>
      </c>
      <c r="AM182" s="270" t="str">
        <f>_xlfn.IFNA(VLOOKUP(CONCATENATE(AM$4,$C182),'INSER DATA'!$A:$F,7,0),"")</f>
        <v/>
      </c>
      <c r="AN182" s="270" t="str">
        <f>_xlfn.IFNA(VLOOKUP(CONCATENATE(AN$4,$C182),'INSER DATA'!$A:$F,7,0),"")</f>
        <v/>
      </c>
      <c r="AO182" s="270" t="str">
        <f>_xlfn.IFNA(VLOOKUP(CONCATENATE(AO$4,$C182),'INSER DATA'!$A:$F,7,0),"")</f>
        <v/>
      </c>
      <c r="AP182" s="270" t="str">
        <f>_xlfn.IFNA(VLOOKUP(CONCATENATE(AP$4,$C182),'INSER DATA'!$A:$F,7,0),"")</f>
        <v/>
      </c>
      <c r="AQ182" s="270" t="str">
        <f>_xlfn.IFNA(VLOOKUP(CONCATENATE(AQ$4,$C182),'INSER DATA'!$A:$F,7,0),"")</f>
        <v/>
      </c>
      <c r="AR182" s="270" t="str">
        <f>_xlfn.IFNA(VLOOKUP(CONCATENATE(AR$4,$C182),'INSER DATA'!$A:$F,7,0),"")</f>
        <v/>
      </c>
      <c r="AS182" s="270" t="str">
        <f>_xlfn.IFNA(VLOOKUP(CONCATENATE(AS$4,$C182),'INSER DATA'!$A:$F,7,0),"")</f>
        <v/>
      </c>
      <c r="AT182" s="270" t="str">
        <f>_xlfn.IFNA(VLOOKUP(CONCATENATE(AT$4,$C182),'INSER DATA'!$A:$F,7,0),"")</f>
        <v/>
      </c>
      <c r="AU182" s="270" t="str">
        <f>_xlfn.IFNA(VLOOKUP(CONCATENATE(AU$4,$C182),'INSER DATA'!$A:$F,7,0),"")</f>
        <v/>
      </c>
      <c r="AV182" s="270" t="str">
        <f>_xlfn.IFNA(VLOOKUP(CONCATENATE(AV$4,$C182),'INSER DATA'!$A:$F,7,0),"")</f>
        <v/>
      </c>
      <c r="AW182" s="270" t="str">
        <f>_xlfn.IFNA(VLOOKUP(CONCATENATE(AW$4,$C182),'INSER DATA'!$A:$F,7,0),"")</f>
        <v/>
      </c>
      <c r="AX182" s="270" t="str">
        <f>_xlfn.IFNA(VLOOKUP(CONCATENATE(AX$4,$C182),'INSER DATA'!$A:$F,7,0),"")</f>
        <v/>
      </c>
      <c r="AY182" s="270" t="str">
        <f>_xlfn.IFNA(VLOOKUP(CONCATENATE(AY$4,$C182),'INSER DATA'!$A:$F,7,0),"")</f>
        <v/>
      </c>
      <c r="AZ182" s="270" t="str">
        <f>_xlfn.IFNA(VLOOKUP(CONCATENATE(AZ$4,$C182),'INSER DATA'!$A:$F,7,0),"")</f>
        <v/>
      </c>
      <c r="BA182" s="270" t="str">
        <f>_xlfn.IFNA(VLOOKUP(CONCATENATE(BA$4,$C182),'INSER DATA'!$A:$F,7,0),"")</f>
        <v/>
      </c>
      <c r="BB182" s="270" t="str">
        <f>_xlfn.IFNA(VLOOKUP(CONCATENATE(BB$4,$C182),'INSER DATA'!$A:$F,7,0),"")</f>
        <v/>
      </c>
      <c r="BC182" s="270" t="str">
        <f>_xlfn.IFNA(VLOOKUP(CONCATENATE(BC$4,$C182),'INSER DATA'!$A:$F,7,0),"")</f>
        <v/>
      </c>
      <c r="BD182" s="270" t="str">
        <f>_xlfn.IFNA(VLOOKUP(CONCATENATE(BD$4,$C182),'INSER DATA'!$A:$F,7,0),"")</f>
        <v/>
      </c>
      <c r="BE182" s="270" t="str">
        <f>_xlfn.IFNA(VLOOKUP(CONCATENATE(BE$4,$C182),'INSER DATA'!$A:$F,7,0),"")</f>
        <v/>
      </c>
      <c r="BF182" s="270" t="str">
        <f>_xlfn.IFNA(VLOOKUP(CONCATENATE(BF$4,$C182),'INSER DATA'!$A:$F,7,0),"")</f>
        <v/>
      </c>
      <c r="BG182" s="270" t="str">
        <f>_xlfn.IFNA(VLOOKUP(CONCATENATE(BG$4,$C182),'INSER DATA'!$A:$F,7,0),"")</f>
        <v/>
      </c>
      <c r="BH182" s="270" t="str">
        <f>_xlfn.IFNA(VLOOKUP(CONCATENATE(BH$4,$C182),'INSER DATA'!$A:$F,7,0),"")</f>
        <v/>
      </c>
      <c r="BI182" s="270" t="str">
        <f>_xlfn.IFNA(VLOOKUP(CONCATENATE(BI$4,$C182),'INSER DATA'!$A:$F,7,0),"")</f>
        <v/>
      </c>
      <c r="BJ182" s="270" t="str">
        <f>_xlfn.IFNA(VLOOKUP(CONCATENATE(BJ$4,$C182),'INSER DATA'!$A:$F,7,0),"")</f>
        <v/>
      </c>
      <c r="BK182" s="270" t="str">
        <f>_xlfn.IFNA(VLOOKUP(CONCATENATE(BK$4,$C182),'INSER DATA'!$A:$F,7,0),"")</f>
        <v/>
      </c>
      <c r="BL182" s="272"/>
      <c r="BM182" s="30"/>
      <c r="BN182" s="30"/>
      <c r="BO182" s="30"/>
      <c r="BP182" s="30"/>
      <c r="BQ182" s="30"/>
      <c r="BR182" s="30"/>
      <c r="BS182" s="30"/>
      <c r="BT182" s="30"/>
      <c r="BU182" s="30"/>
      <c r="BV182" s="30"/>
      <c r="BW182" s="30"/>
      <c r="BX182" s="30"/>
      <c r="BY182" s="30"/>
      <c r="BZ182" s="30"/>
      <c r="CA182" s="30"/>
      <c r="CB182" s="30"/>
      <c r="CC182" s="30"/>
      <c r="CD182" s="30"/>
      <c r="CE182" s="30"/>
      <c r="CF182" s="30"/>
      <c r="CG182" s="30"/>
      <c r="CH182" s="30"/>
      <c r="CI182" s="30"/>
      <c r="CJ182" s="30"/>
      <c r="CK182" s="30"/>
      <c r="CL182" s="30"/>
      <c r="CM182" s="30"/>
      <c r="CN182" s="30"/>
      <c r="CO182" s="30"/>
      <c r="CP182" s="30"/>
      <c r="CQ182" s="30"/>
      <c r="CR182" s="30"/>
      <c r="CS182" s="30"/>
      <c r="CT182" s="30"/>
      <c r="CU182" s="30"/>
      <c r="CV182" s="30"/>
      <c r="CW182" s="30"/>
      <c r="CX182" s="30"/>
      <c r="CY182" s="30"/>
      <c r="CZ182" s="30"/>
      <c r="DA182" s="30"/>
    </row>
    <row r="183" spans="1:105" ht="19.2" thickTop="1" thickBot="1" x14ac:dyDescent="0.4">
      <c r="A183" s="30"/>
      <c r="B183" s="30"/>
      <c r="C183" s="185" t="s">
        <v>764</v>
      </c>
      <c r="D183" s="46" t="s">
        <v>749</v>
      </c>
      <c r="E183" s="35" t="str">
        <f>_xlfn.XLOOKUP(Tabella4[[#This Row],[NOME]],'ROSE SQUADRE'!$N$3:$N$253,'ROSE SQUADRE'!$O$3:$O$253,"")</f>
        <v/>
      </c>
      <c r="F183" s="36" t="s">
        <v>163</v>
      </c>
      <c r="G183" s="43">
        <v>4</v>
      </c>
      <c r="H183" s="43">
        <v>4</v>
      </c>
      <c r="I183" s="44">
        <f t="shared" si="13"/>
        <v>0</v>
      </c>
      <c r="J183" s="37">
        <f t="shared" si="14"/>
        <v>0</v>
      </c>
      <c r="K183" s="38">
        <f t="shared" si="15"/>
        <v>0</v>
      </c>
      <c r="L183" s="38">
        <f t="shared" si="16"/>
        <v>0</v>
      </c>
      <c r="M183" s="39">
        <f t="shared" si="17"/>
        <v>0</v>
      </c>
      <c r="N183" s="45">
        <f t="shared" ca="1" si="18"/>
        <v>0</v>
      </c>
      <c r="O183" s="40">
        <f>SUMIF(Tabella1[Nome],Tabella4[[#This Row],[NOME]],Tabella1[Gf])</f>
        <v>0</v>
      </c>
      <c r="P183" s="40">
        <f>-(SUMIF(Tabella1[Nome],Tabella4[[#This Row],[NOME]],Tabella1[Gs]))</f>
        <v>0</v>
      </c>
      <c r="Q183" s="40">
        <f>SUMIF(Tabella1[Nome],Tabella4[[#This Row],[NOME]],Tabella1[Rp])</f>
        <v>0</v>
      </c>
      <c r="R183" s="40">
        <f>SUMIF(Tabella1[Nome],Tabella4[[#This Row],[NOME]],Tabella1[Rs])</f>
        <v>0</v>
      </c>
      <c r="S183" s="40">
        <f>SUMIF(Tabella1[Nome],Tabella4[[#This Row],[NOME]],Tabella1[Rf])</f>
        <v>0</v>
      </c>
      <c r="T183" s="40">
        <f>SUMIF(Tabella1[Nome],Tabella4[[#This Row],[NOME]],Tabella1[Au])</f>
        <v>0</v>
      </c>
      <c r="U183" s="41">
        <f>SUMIF(Tabella1[Nome],Tabella4[[#This Row],[NOME]],Tabella1[Amm])</f>
        <v>0</v>
      </c>
      <c r="V183" s="42">
        <f>SUMIF(Tabella1[Nome],Tabella4[[#This Row],[NOME]],Tabella1[Esp])</f>
        <v>0</v>
      </c>
      <c r="W183" s="40">
        <f>SUMIF(Tabella1[Nome],Tabella4[[#This Row],[NOME]],Tabella1[Ass])</f>
        <v>0</v>
      </c>
      <c r="X183" s="40">
        <f>SUMIF(Tabella1[Nome],Tabella4[[#This Row],[NOME]],Tabella1[Gdv])</f>
        <v>0</v>
      </c>
      <c r="Y183" s="40">
        <f>SUMIF(Tabella1[Nome],Tabella4[[#This Row],[NOME]],Tabella1[cl sh])</f>
        <v>0</v>
      </c>
      <c r="Z183" s="270" t="str">
        <f>_xlfn.IFNA(_xlfn.XLOOKUP(CONCATENATE(Z$4,$C183),Tabella1[CONC X VOTI IN TAB GIOC],Tabella1[Voto],""),"")</f>
        <v/>
      </c>
      <c r="AA183" s="270" t="str">
        <f>_xlfn.IFNA(_xlfn.XLOOKUP(CONCATENATE(AA$4,$C183),Tabella1[CONC X VOTI IN TAB GIOC],Tabella1[Voto],""),"")</f>
        <v/>
      </c>
      <c r="AB183" s="270" t="str">
        <f>_xlfn.IFNA(_xlfn.XLOOKUP(CONCATENATE(AB$4,$C183),Tabella1[CONC X VOTI IN TAB GIOC],Tabella1[Voto]),"")</f>
        <v/>
      </c>
      <c r="AC183" s="270" t="str" cm="1">
        <f t="array" ref="AC183">_xlfn.IFNA(_xlfn.XLOOKUP(CONCATENATE(AC$4,$C183),INDEX(Tabella1[],0,MATCH("CONC X VOTI IN TAB GIOC",Tabella1[#Headers],0)),INDEX(Tabella1[],0,MATCH("Voto",Tabella1[#Headers],0))),"")</f>
        <v/>
      </c>
      <c r="AD183" s="270" t="str">
        <f>_xlfn.IFNA(_xlfn.XLOOKUP(CONCATENATE(AD$4,$C183),Tabella1[CONC X VOTI IN TAB GIOC],Tabella1[Voto]),"")</f>
        <v/>
      </c>
      <c r="AE183" s="270" t="str">
        <f>_xlfn.IFNA(VLOOKUP(CONCATENATE(AE$4,$C183),'INSER DATA'!$A:$F,6,0),"")</f>
        <v/>
      </c>
      <c r="AF183" s="270" t="str">
        <f>_xlfn.IFNA(VLOOKUP(CONCATENATE(AF$4,$C183),'INSER DATA'!$A:$F,6,0),"")</f>
        <v/>
      </c>
      <c r="AG183" s="270" t="str">
        <f>_xlfn.IFNA(VLOOKUP(CONCATENATE(AG$4,$C183),'INSER DATA'!$A:$F,6,0),"")</f>
        <v/>
      </c>
      <c r="AH183" s="270" t="str">
        <f>_xlfn.IFNA(VLOOKUP(CONCATENATE(AH$4,$C183),'INSER DATA'!$A:$F,7,0),"")</f>
        <v/>
      </c>
      <c r="AI183" s="270" t="str">
        <f>_xlfn.IFNA(VLOOKUP(CONCATENATE(AI$4,$C183),'INSER DATA'!$A:$F,7,0),"")</f>
        <v/>
      </c>
      <c r="AJ183" s="270" t="str">
        <f>_xlfn.IFNA(VLOOKUP(CONCATENATE(AJ$4,$C183),'INSER DATA'!$A:$F,7,0),"")</f>
        <v/>
      </c>
      <c r="AK183" s="270" t="str">
        <f>_xlfn.IFNA(VLOOKUP(CONCATENATE(AK$4,$C183),'INSER DATA'!$A:$F,7,0),"")</f>
        <v/>
      </c>
      <c r="AL183" s="270" t="str">
        <f>_xlfn.IFNA(VLOOKUP(CONCATENATE(AL$4,$C183),'INSER DATA'!$A:$F,7,0),"")</f>
        <v/>
      </c>
      <c r="AM183" s="270" t="str">
        <f>_xlfn.IFNA(VLOOKUP(CONCATENATE(AM$4,$C183),'INSER DATA'!$A:$F,7,0),"")</f>
        <v/>
      </c>
      <c r="AN183" s="270" t="str">
        <f>_xlfn.IFNA(VLOOKUP(CONCATENATE(AN$4,$C183),'INSER DATA'!$A:$F,7,0),"")</f>
        <v/>
      </c>
      <c r="AO183" s="270" t="str">
        <f>_xlfn.IFNA(VLOOKUP(CONCATENATE(AO$4,$C183),'INSER DATA'!$A:$F,7,0),"")</f>
        <v/>
      </c>
      <c r="AP183" s="270" t="str">
        <f>_xlfn.IFNA(VLOOKUP(CONCATENATE(AP$4,$C183),'INSER DATA'!$A:$F,7,0),"")</f>
        <v/>
      </c>
      <c r="AQ183" s="270" t="str">
        <f>_xlfn.IFNA(VLOOKUP(CONCATENATE(AQ$4,$C183),'INSER DATA'!$A:$F,7,0),"")</f>
        <v/>
      </c>
      <c r="AR183" s="270" t="str">
        <f>_xlfn.IFNA(VLOOKUP(CONCATENATE(AR$4,$C183),'INSER DATA'!$A:$F,7,0),"")</f>
        <v/>
      </c>
      <c r="AS183" s="270" t="str">
        <f>_xlfn.IFNA(VLOOKUP(CONCATENATE(AS$4,$C183),'INSER DATA'!$A:$F,7,0),"")</f>
        <v/>
      </c>
      <c r="AT183" s="270" t="str">
        <f>_xlfn.IFNA(VLOOKUP(CONCATENATE(AT$4,$C183),'INSER DATA'!$A:$F,7,0),"")</f>
        <v/>
      </c>
      <c r="AU183" s="270" t="str">
        <f>_xlfn.IFNA(VLOOKUP(CONCATENATE(AU$4,$C183),'INSER DATA'!$A:$F,7,0),"")</f>
        <v/>
      </c>
      <c r="AV183" s="270" t="str">
        <f>_xlfn.IFNA(VLOOKUP(CONCATENATE(AV$4,$C183),'INSER DATA'!$A:$F,7,0),"")</f>
        <v/>
      </c>
      <c r="AW183" s="270" t="str">
        <f>_xlfn.IFNA(VLOOKUP(CONCATENATE(AW$4,$C183),'INSER DATA'!$A:$F,7,0),"")</f>
        <v/>
      </c>
      <c r="AX183" s="270" t="str">
        <f>_xlfn.IFNA(VLOOKUP(CONCATENATE(AX$4,$C183),'INSER DATA'!$A:$F,7,0),"")</f>
        <v/>
      </c>
      <c r="AY183" s="270" t="str">
        <f>_xlfn.IFNA(VLOOKUP(CONCATENATE(AY$4,$C183),'INSER DATA'!$A:$F,7,0),"")</f>
        <v/>
      </c>
      <c r="AZ183" s="270" t="str">
        <f>_xlfn.IFNA(VLOOKUP(CONCATENATE(AZ$4,$C183),'INSER DATA'!$A:$F,7,0),"")</f>
        <v/>
      </c>
      <c r="BA183" s="270" t="str">
        <f>_xlfn.IFNA(VLOOKUP(CONCATENATE(BA$4,$C183),'INSER DATA'!$A:$F,7,0),"")</f>
        <v/>
      </c>
      <c r="BB183" s="270" t="str">
        <f>_xlfn.IFNA(VLOOKUP(CONCATENATE(BB$4,$C183),'INSER DATA'!$A:$F,7,0),"")</f>
        <v/>
      </c>
      <c r="BC183" s="270" t="str">
        <f>_xlfn.IFNA(VLOOKUP(CONCATENATE(BC$4,$C183),'INSER DATA'!$A:$F,7,0),"")</f>
        <v/>
      </c>
      <c r="BD183" s="270" t="str">
        <f>_xlfn.IFNA(VLOOKUP(CONCATENATE(BD$4,$C183),'INSER DATA'!$A:$F,7,0),"")</f>
        <v/>
      </c>
      <c r="BE183" s="270" t="str">
        <f>_xlfn.IFNA(VLOOKUP(CONCATENATE(BE$4,$C183),'INSER DATA'!$A:$F,7,0),"")</f>
        <v/>
      </c>
      <c r="BF183" s="270" t="str">
        <f>_xlfn.IFNA(VLOOKUP(CONCATENATE(BF$4,$C183),'INSER DATA'!$A:$F,7,0),"")</f>
        <v/>
      </c>
      <c r="BG183" s="270" t="str">
        <f>_xlfn.IFNA(VLOOKUP(CONCATENATE(BG$4,$C183),'INSER DATA'!$A:$F,7,0),"")</f>
        <v/>
      </c>
      <c r="BH183" s="270" t="str">
        <f>_xlfn.IFNA(VLOOKUP(CONCATENATE(BH$4,$C183),'INSER DATA'!$A:$F,7,0),"")</f>
        <v/>
      </c>
      <c r="BI183" s="270" t="str">
        <f>_xlfn.IFNA(VLOOKUP(CONCATENATE(BI$4,$C183),'INSER DATA'!$A:$F,7,0),"")</f>
        <v/>
      </c>
      <c r="BJ183" s="270" t="str">
        <f>_xlfn.IFNA(VLOOKUP(CONCATENATE(BJ$4,$C183),'INSER DATA'!$A:$F,7,0),"")</f>
        <v/>
      </c>
      <c r="BK183" s="270" t="str">
        <f>_xlfn.IFNA(VLOOKUP(CONCATENATE(BK$4,$C183),'INSER DATA'!$A:$F,7,0),"")</f>
        <v/>
      </c>
      <c r="BL183" s="272"/>
      <c r="BM183" s="30"/>
      <c r="BN183" s="30"/>
      <c r="BO183" s="30"/>
      <c r="BP183" s="30"/>
      <c r="BQ183" s="30"/>
      <c r="BR183" s="30"/>
      <c r="BS183" s="30"/>
      <c r="BT183" s="30"/>
      <c r="BU183" s="30"/>
      <c r="BV183" s="30"/>
      <c r="BW183" s="30"/>
      <c r="BX183" s="30"/>
      <c r="BY183" s="30"/>
      <c r="BZ183" s="30"/>
      <c r="CA183" s="30"/>
      <c r="CB183" s="30"/>
      <c r="CC183" s="30"/>
      <c r="CD183" s="30"/>
      <c r="CE183" s="30"/>
      <c r="CF183" s="30"/>
      <c r="CG183" s="30"/>
      <c r="CH183" s="30"/>
      <c r="CI183" s="30"/>
      <c r="CJ183" s="30"/>
      <c r="CK183" s="30"/>
      <c r="CL183" s="30"/>
      <c r="CM183" s="30"/>
      <c r="CN183" s="30"/>
      <c r="CO183" s="30"/>
      <c r="CP183" s="30"/>
      <c r="CQ183" s="30"/>
      <c r="CR183" s="30"/>
      <c r="CS183" s="30"/>
      <c r="CT183" s="30"/>
      <c r="CU183" s="30"/>
      <c r="CV183" s="30"/>
      <c r="CW183" s="30"/>
      <c r="CX183" s="30"/>
      <c r="CY183" s="30"/>
      <c r="CZ183" s="30"/>
      <c r="DA183" s="30"/>
    </row>
    <row r="184" spans="1:105" ht="19.2" thickTop="1" thickBot="1" x14ac:dyDescent="0.4">
      <c r="A184" s="30"/>
      <c r="B184" s="30"/>
      <c r="C184" s="360" t="s">
        <v>218</v>
      </c>
      <c r="D184" s="359" t="s">
        <v>766</v>
      </c>
      <c r="E184" s="35" t="str">
        <f>_xlfn.XLOOKUP(Tabella4[[#This Row],[NOME]],'ROSE SQUADRE'!$N$3:$N$253,'ROSE SQUADRE'!$O$3:$O$253,"")</f>
        <v>TRICCHETRACHT</v>
      </c>
      <c r="F184" s="36" t="s">
        <v>162</v>
      </c>
      <c r="G184" s="43">
        <v>27</v>
      </c>
      <c r="H184" s="43">
        <v>28</v>
      </c>
      <c r="I184" s="44">
        <f t="shared" si="13"/>
        <v>1</v>
      </c>
      <c r="J184" s="37">
        <f t="shared" si="14"/>
        <v>3</v>
      </c>
      <c r="K184" s="38">
        <f t="shared" si="15"/>
        <v>6.666666666666667</v>
      </c>
      <c r="L184" s="38">
        <f t="shared" si="16"/>
        <v>8.8333333333333339</v>
      </c>
      <c r="M184" s="39">
        <f t="shared" si="17"/>
        <v>26.5</v>
      </c>
      <c r="N184" s="45">
        <f t="shared" ca="1" si="18"/>
        <v>1</v>
      </c>
      <c r="O184" s="40">
        <f>SUMIF(Tabella1[Nome],Tabella4[[#This Row],[NOME]],Tabella1[Gf])</f>
        <v>2</v>
      </c>
      <c r="P184" s="40">
        <f>-(SUMIF(Tabella1[Nome],Tabella4[[#This Row],[NOME]],Tabella1[Gs]))</f>
        <v>0</v>
      </c>
      <c r="Q184" s="40">
        <f>SUMIF(Tabella1[Nome],Tabella4[[#This Row],[NOME]],Tabella1[Rp])</f>
        <v>0</v>
      </c>
      <c r="R184" s="40">
        <f>SUMIF(Tabella1[Nome],Tabella4[[#This Row],[NOME]],Tabella1[Rs])</f>
        <v>0</v>
      </c>
      <c r="S184" s="40">
        <f>SUMIF(Tabella1[Nome],Tabella4[[#This Row],[NOME]],Tabella1[Rf])</f>
        <v>0</v>
      </c>
      <c r="T184" s="40">
        <f>SUMIF(Tabella1[Nome],Tabella4[[#This Row],[NOME]],Tabella1[Au])</f>
        <v>0</v>
      </c>
      <c r="U184" s="41">
        <f>SUMIF(Tabella1[Nome],Tabella4[[#This Row],[NOME]],Tabella1[Amm])</f>
        <v>1</v>
      </c>
      <c r="V184" s="42">
        <f>SUMIF(Tabella1[Nome],Tabella4[[#This Row],[NOME]],Tabella1[Esp])</f>
        <v>0</v>
      </c>
      <c r="W184" s="40">
        <f>SUMIF(Tabella1[Nome],Tabella4[[#This Row],[NOME]],Tabella1[Ass])</f>
        <v>0</v>
      </c>
      <c r="X184" s="40">
        <f>SUMIF(Tabella1[Nome],Tabella4[[#This Row],[NOME]],Tabella1[Gdv])</f>
        <v>1</v>
      </c>
      <c r="Y184" s="40">
        <f>SUMIF(Tabella1[Nome],Tabella4[[#This Row],[NOME]],Tabella1[cl sh])</f>
        <v>0</v>
      </c>
      <c r="Z184" s="270">
        <f>_xlfn.IFNA(_xlfn.XLOOKUP(CONCATENATE(Z$4,$C184),Tabella1[CONC X VOTI IN TAB GIOC],Tabella1[Voto],""),"")</f>
        <v>7</v>
      </c>
      <c r="AA184" s="270">
        <f>_xlfn.IFNA(_xlfn.XLOOKUP(CONCATENATE(AA$4,$C184),Tabella1[CONC X VOTI IN TAB GIOC],Tabella1[Voto],""),"")</f>
        <v>7</v>
      </c>
      <c r="AB184" s="400">
        <f>_xlfn.IFNA(_xlfn.XLOOKUP(CONCATENATE(AB$4,$C184),Tabella1[CONC X VOTI IN TAB GIOC],Tabella1[Voto]),"")</f>
        <v>6</v>
      </c>
      <c r="AC184" s="270" t="str" cm="1">
        <f t="array" ref="AC184">_xlfn.IFNA(_xlfn.XLOOKUP(CONCATENATE(AC$4,$C184),INDEX(Tabella1[],0,MATCH("CONC X VOTI IN TAB GIOC",Tabella1[#Headers],0)),INDEX(Tabella1[],0,MATCH("Voto",Tabella1[#Headers],0))),"")</f>
        <v/>
      </c>
      <c r="AD184" s="270" t="str">
        <f>_xlfn.IFNA(_xlfn.XLOOKUP(CONCATENATE(AD$4,$C184),Tabella1[CONC X VOTI IN TAB GIOC],Tabella1[Voto]),"")</f>
        <v/>
      </c>
      <c r="AE184" s="270" t="str">
        <f>_xlfn.IFNA(VLOOKUP(CONCATENATE(AE$4,$C184),'INSER DATA'!$A:$F,6,0),"")</f>
        <v/>
      </c>
      <c r="AF184" s="270" t="str">
        <f>_xlfn.IFNA(VLOOKUP(CONCATENATE(AF$4,$C184),'INSER DATA'!$A:$F,6,0),"")</f>
        <v/>
      </c>
      <c r="AG184" s="270" t="str">
        <f>_xlfn.IFNA(VLOOKUP(CONCATENATE(AG$4,$C184),'INSER DATA'!$A:$F,6,0),"")</f>
        <v/>
      </c>
      <c r="AH184" s="270" t="str">
        <f>_xlfn.IFNA(VLOOKUP(CONCATENATE(AH$4,$C184),'INSER DATA'!$A:$F,7,0),"")</f>
        <v/>
      </c>
      <c r="AI184" s="270" t="str">
        <f>_xlfn.IFNA(VLOOKUP(CONCATENATE(AI$4,$C184),'INSER DATA'!$A:$F,7,0),"")</f>
        <v/>
      </c>
      <c r="AJ184" s="270" t="str">
        <f>_xlfn.IFNA(VLOOKUP(CONCATENATE(AJ$4,$C184),'INSER DATA'!$A:$F,7,0),"")</f>
        <v/>
      </c>
      <c r="AK184" s="270" t="str">
        <f>_xlfn.IFNA(VLOOKUP(CONCATENATE(AK$4,$C184),'INSER DATA'!$A:$F,7,0),"")</f>
        <v/>
      </c>
      <c r="AL184" s="270" t="str">
        <f>_xlfn.IFNA(VLOOKUP(CONCATENATE(AL$4,$C184),'INSER DATA'!$A:$F,7,0),"")</f>
        <v/>
      </c>
      <c r="AM184" s="270" t="str">
        <f>_xlfn.IFNA(VLOOKUP(CONCATENATE(AM$4,$C184),'INSER DATA'!$A:$F,7,0),"")</f>
        <v/>
      </c>
      <c r="AN184" s="270" t="str">
        <f>_xlfn.IFNA(VLOOKUP(CONCATENATE(AN$4,$C184),'INSER DATA'!$A:$F,7,0),"")</f>
        <v/>
      </c>
      <c r="AO184" s="270" t="str">
        <f>_xlfn.IFNA(VLOOKUP(CONCATENATE(AO$4,$C184),'INSER DATA'!$A:$F,7,0),"")</f>
        <v/>
      </c>
      <c r="AP184" s="270" t="str">
        <f>_xlfn.IFNA(VLOOKUP(CONCATENATE(AP$4,$C184),'INSER DATA'!$A:$F,7,0),"")</f>
        <v/>
      </c>
      <c r="AQ184" s="270" t="str">
        <f>_xlfn.IFNA(VLOOKUP(CONCATENATE(AQ$4,$C184),'INSER DATA'!$A:$F,7,0),"")</f>
        <v/>
      </c>
      <c r="AR184" s="270" t="str">
        <f>_xlfn.IFNA(VLOOKUP(CONCATENATE(AR$4,$C184),'INSER DATA'!$A:$F,7,0),"")</f>
        <v/>
      </c>
      <c r="AS184" s="270" t="str">
        <f>_xlfn.IFNA(VLOOKUP(CONCATENATE(AS$4,$C184),'INSER DATA'!$A:$F,7,0),"")</f>
        <v/>
      </c>
      <c r="AT184" s="270" t="str">
        <f>_xlfn.IFNA(VLOOKUP(CONCATENATE(AT$4,$C184),'INSER DATA'!$A:$F,7,0),"")</f>
        <v/>
      </c>
      <c r="AU184" s="270" t="str">
        <f>_xlfn.IFNA(VLOOKUP(CONCATENATE(AU$4,$C184),'INSER DATA'!$A:$F,7,0),"")</f>
        <v/>
      </c>
      <c r="AV184" s="270" t="str">
        <f>_xlfn.IFNA(VLOOKUP(CONCATENATE(AV$4,$C184),'INSER DATA'!$A:$F,7,0),"")</f>
        <v/>
      </c>
      <c r="AW184" s="270" t="str">
        <f>_xlfn.IFNA(VLOOKUP(CONCATENATE(AW$4,$C184),'INSER DATA'!$A:$F,7,0),"")</f>
        <v/>
      </c>
      <c r="AX184" s="270" t="str">
        <f>_xlfn.IFNA(VLOOKUP(CONCATENATE(AX$4,$C184),'INSER DATA'!$A:$F,7,0),"")</f>
        <v/>
      </c>
      <c r="AY184" s="270" t="str">
        <f>_xlfn.IFNA(VLOOKUP(CONCATENATE(AY$4,$C184),'INSER DATA'!$A:$F,7,0),"")</f>
        <v/>
      </c>
      <c r="AZ184" s="270" t="str">
        <f>_xlfn.IFNA(VLOOKUP(CONCATENATE(AZ$4,$C184),'INSER DATA'!$A:$F,7,0),"")</f>
        <v/>
      </c>
      <c r="BA184" s="270" t="str">
        <f>_xlfn.IFNA(VLOOKUP(CONCATENATE(BA$4,$C184),'INSER DATA'!$A:$F,7,0),"")</f>
        <v/>
      </c>
      <c r="BB184" s="270" t="str">
        <f>_xlfn.IFNA(VLOOKUP(CONCATENATE(BB$4,$C184),'INSER DATA'!$A:$F,7,0),"")</f>
        <v/>
      </c>
      <c r="BC184" s="270" t="str">
        <f>_xlfn.IFNA(VLOOKUP(CONCATENATE(BC$4,$C184),'INSER DATA'!$A:$F,7,0),"")</f>
        <v/>
      </c>
      <c r="BD184" s="270" t="str">
        <f>_xlfn.IFNA(VLOOKUP(CONCATENATE(BD$4,$C184),'INSER DATA'!$A:$F,7,0),"")</f>
        <v/>
      </c>
      <c r="BE184" s="270" t="str">
        <f>_xlfn.IFNA(VLOOKUP(CONCATENATE(BE$4,$C184),'INSER DATA'!$A:$F,7,0),"")</f>
        <v/>
      </c>
      <c r="BF184" s="270" t="str">
        <f>_xlfn.IFNA(VLOOKUP(CONCATENATE(BF$4,$C184),'INSER DATA'!$A:$F,7,0),"")</f>
        <v/>
      </c>
      <c r="BG184" s="270" t="str">
        <f>_xlfn.IFNA(VLOOKUP(CONCATENATE(BG$4,$C184),'INSER DATA'!$A:$F,7,0),"")</f>
        <v/>
      </c>
      <c r="BH184" s="270" t="str">
        <f>_xlfn.IFNA(VLOOKUP(CONCATENATE(BH$4,$C184),'INSER DATA'!$A:$F,7,0),"")</f>
        <v/>
      </c>
      <c r="BI184" s="270" t="str">
        <f>_xlfn.IFNA(VLOOKUP(CONCATENATE(BI$4,$C184),'INSER DATA'!$A:$F,7,0),"")</f>
        <v/>
      </c>
      <c r="BJ184" s="270" t="str">
        <f>_xlfn.IFNA(VLOOKUP(CONCATENATE(BJ$4,$C184),'INSER DATA'!$A:$F,7,0),"")</f>
        <v/>
      </c>
      <c r="BK184" s="270" t="str">
        <f>_xlfn.IFNA(VLOOKUP(CONCATENATE(BK$4,$C184),'INSER DATA'!$A:$F,7,0),"")</f>
        <v/>
      </c>
      <c r="BL184" s="272"/>
      <c r="BM184" s="30"/>
      <c r="BN184" s="30"/>
      <c r="BO184" s="30"/>
      <c r="BP184" s="30"/>
      <c r="BQ184" s="30"/>
      <c r="BR184" s="30"/>
      <c r="BS184" s="30"/>
      <c r="BT184" s="30"/>
      <c r="BU184" s="30"/>
      <c r="BV184" s="30"/>
      <c r="BW184" s="30"/>
      <c r="BX184" s="30"/>
      <c r="BY184" s="30"/>
      <c r="BZ184" s="30"/>
      <c r="CA184" s="30"/>
      <c r="CB184" s="30"/>
      <c r="CC184" s="30"/>
      <c r="CD184" s="30"/>
      <c r="CE184" s="30"/>
      <c r="CF184" s="30"/>
      <c r="CG184" s="30"/>
      <c r="CH184" s="30"/>
      <c r="CI184" s="30"/>
      <c r="CJ184" s="30"/>
      <c r="CK184" s="30"/>
      <c r="CL184" s="30"/>
      <c r="CM184" s="30"/>
      <c r="CN184" s="30"/>
      <c r="CO184" s="30"/>
      <c r="CP184" s="30"/>
      <c r="CQ184" s="30"/>
      <c r="CR184" s="30"/>
      <c r="CS184" s="30"/>
      <c r="CT184" s="30"/>
      <c r="CU184" s="30"/>
      <c r="CV184" s="30"/>
      <c r="CW184" s="30"/>
      <c r="CX184" s="30"/>
      <c r="CY184" s="30"/>
      <c r="CZ184" s="30"/>
      <c r="DA184" s="30"/>
    </row>
    <row r="185" spans="1:105" ht="19.2" thickTop="1" thickBot="1" x14ac:dyDescent="0.4">
      <c r="A185" s="30"/>
      <c r="B185" s="30"/>
      <c r="C185" s="356" t="s">
        <v>771</v>
      </c>
      <c r="D185" s="357" t="s">
        <v>766</v>
      </c>
      <c r="E185" s="35" t="str">
        <f>_xlfn.XLOOKUP(Tabella4[[#This Row],[NOME]],'ROSE SQUADRE'!$N$3:$N$253,'ROSE SQUADRE'!$O$3:$O$253,"")</f>
        <v>PARTIZAN DEGRADO</v>
      </c>
      <c r="F185" s="36" t="s">
        <v>162</v>
      </c>
      <c r="G185" s="43">
        <v>8</v>
      </c>
      <c r="H185" s="43">
        <v>9</v>
      </c>
      <c r="I185" s="44">
        <f t="shared" si="13"/>
        <v>1</v>
      </c>
      <c r="J185" s="37">
        <f t="shared" si="14"/>
        <v>3</v>
      </c>
      <c r="K185" s="38">
        <f t="shared" si="15"/>
        <v>6.5</v>
      </c>
      <c r="L185" s="38">
        <f t="shared" si="16"/>
        <v>7.5</v>
      </c>
      <c r="M185" s="39">
        <f t="shared" si="17"/>
        <v>22.5</v>
      </c>
      <c r="N185" s="45">
        <f t="shared" ca="1" si="18"/>
        <v>0</v>
      </c>
      <c r="O185" s="40">
        <f>SUMIF(Tabella1[Nome],Tabella4[[#This Row],[NOME]],Tabella1[Gf])</f>
        <v>0</v>
      </c>
      <c r="P185" s="40">
        <f>-(SUMIF(Tabella1[Nome],Tabella4[[#This Row],[NOME]],Tabella1[Gs]))</f>
        <v>0</v>
      </c>
      <c r="Q185" s="40">
        <f>SUMIF(Tabella1[Nome],Tabella4[[#This Row],[NOME]],Tabella1[Rp])</f>
        <v>0</v>
      </c>
      <c r="R185" s="40">
        <f>SUMIF(Tabella1[Nome],Tabella4[[#This Row],[NOME]],Tabella1[Rs])</f>
        <v>0</v>
      </c>
      <c r="S185" s="40">
        <f>SUMIF(Tabella1[Nome],Tabella4[[#This Row],[NOME]],Tabella1[Rf])</f>
        <v>0</v>
      </c>
      <c r="T185" s="40">
        <f>SUMIF(Tabella1[Nome],Tabella4[[#This Row],[NOME]],Tabella1[Au])</f>
        <v>0</v>
      </c>
      <c r="U185" s="41">
        <f>SUMIF(Tabella1[Nome],Tabella4[[#This Row],[NOME]],Tabella1[Amm])</f>
        <v>0</v>
      </c>
      <c r="V185" s="42">
        <f>SUMIF(Tabella1[Nome],Tabella4[[#This Row],[NOME]],Tabella1[Esp])</f>
        <v>0</v>
      </c>
      <c r="W185" s="40">
        <f>SUMIF(Tabella1[Nome],Tabella4[[#This Row],[NOME]],Tabella1[Ass])</f>
        <v>3</v>
      </c>
      <c r="X185" s="40">
        <f>SUMIF(Tabella1[Nome],Tabella4[[#This Row],[NOME]],Tabella1[Gdv])</f>
        <v>0</v>
      </c>
      <c r="Y185" s="40">
        <f>SUMIF(Tabella1[Nome],Tabella4[[#This Row],[NOME]],Tabella1[cl sh])</f>
        <v>0</v>
      </c>
      <c r="Z185" s="270">
        <f>_xlfn.IFNA(_xlfn.XLOOKUP(CONCATENATE(Z$4,$C185),Tabella1[CONC X VOTI IN TAB GIOC],Tabella1[Voto],""),"")</f>
        <v>7</v>
      </c>
      <c r="AA185" s="270" t="str">
        <f>_xlfn.IFNA(_xlfn.XLOOKUP(CONCATENATE(AA$4,$C185),Tabella1[CONC X VOTI IN TAB GIOC],Tabella1[Voto],""),"")</f>
        <v/>
      </c>
      <c r="AB185" s="270">
        <f>_xlfn.IFNA(_xlfn.XLOOKUP(CONCATENATE(AB$4,$C185),Tabella1[CONC X VOTI IN TAB GIOC],Tabella1[Voto]),"")</f>
        <v>6</v>
      </c>
      <c r="AC185" s="270" cm="1">
        <f t="array" ref="AC185">_xlfn.IFNA(_xlfn.XLOOKUP(CONCATENATE(AC$4,$C185),INDEX(Tabella1[],0,MATCH("CONC X VOTI IN TAB GIOC",Tabella1[#Headers],0)),INDEX(Tabella1[],0,MATCH("Voto",Tabella1[#Headers],0))),"")</f>
        <v>6.5</v>
      </c>
      <c r="AD185" s="270" t="str">
        <f>_xlfn.IFNA(_xlfn.XLOOKUP(CONCATENATE(AD$4,$C185),Tabella1[CONC X VOTI IN TAB GIOC],Tabella1[Voto]),"")</f>
        <v/>
      </c>
      <c r="AE185" s="270" t="str">
        <f>_xlfn.IFNA(VLOOKUP(CONCATENATE(AE$4,$C185),'INSER DATA'!$A:$F,6,0),"")</f>
        <v/>
      </c>
      <c r="AF185" s="270" t="str">
        <f>_xlfn.IFNA(VLOOKUP(CONCATENATE(AF$4,$C185),'INSER DATA'!$A:$F,6,0),"")</f>
        <v/>
      </c>
      <c r="AG185" s="270" t="str">
        <f>_xlfn.IFNA(VLOOKUP(CONCATENATE(AG$4,$C185),'INSER DATA'!$A:$F,6,0),"")</f>
        <v/>
      </c>
      <c r="AH185" s="270" t="str">
        <f>_xlfn.IFNA(VLOOKUP(CONCATENATE(AH$4,$C185),'INSER DATA'!$A:$F,7,0),"")</f>
        <v/>
      </c>
      <c r="AI185" s="270" t="str">
        <f>_xlfn.IFNA(VLOOKUP(CONCATENATE(AI$4,$C185),'INSER DATA'!$A:$F,7,0),"")</f>
        <v/>
      </c>
      <c r="AJ185" s="270" t="str">
        <f>_xlfn.IFNA(VLOOKUP(CONCATENATE(AJ$4,$C185),'INSER DATA'!$A:$F,7,0),"")</f>
        <v/>
      </c>
      <c r="AK185" s="270" t="str">
        <f>_xlfn.IFNA(VLOOKUP(CONCATENATE(AK$4,$C185),'INSER DATA'!$A:$F,7,0),"")</f>
        <v/>
      </c>
      <c r="AL185" s="270" t="str">
        <f>_xlfn.IFNA(VLOOKUP(CONCATENATE(AL$4,$C185),'INSER DATA'!$A:$F,7,0),"")</f>
        <v/>
      </c>
      <c r="AM185" s="270" t="str">
        <f>_xlfn.IFNA(VLOOKUP(CONCATENATE(AM$4,$C185),'INSER DATA'!$A:$F,7,0),"")</f>
        <v/>
      </c>
      <c r="AN185" s="270" t="str">
        <f>_xlfn.IFNA(VLOOKUP(CONCATENATE(AN$4,$C185),'INSER DATA'!$A:$F,7,0),"")</f>
        <v/>
      </c>
      <c r="AO185" s="270" t="str">
        <f>_xlfn.IFNA(VLOOKUP(CONCATENATE(AO$4,$C185),'INSER DATA'!$A:$F,7,0),"")</f>
        <v/>
      </c>
      <c r="AP185" s="270" t="str">
        <f>_xlfn.IFNA(VLOOKUP(CONCATENATE(AP$4,$C185),'INSER DATA'!$A:$F,7,0),"")</f>
        <v/>
      </c>
      <c r="AQ185" s="270" t="str">
        <f>_xlfn.IFNA(VLOOKUP(CONCATENATE(AQ$4,$C185),'INSER DATA'!$A:$F,7,0),"")</f>
        <v/>
      </c>
      <c r="AR185" s="270" t="str">
        <f>_xlfn.IFNA(VLOOKUP(CONCATENATE(AR$4,$C185),'INSER DATA'!$A:$F,7,0),"")</f>
        <v/>
      </c>
      <c r="AS185" s="270" t="str">
        <f>_xlfn.IFNA(VLOOKUP(CONCATENATE(AS$4,$C185),'INSER DATA'!$A:$F,7,0),"")</f>
        <v/>
      </c>
      <c r="AT185" s="270" t="str">
        <f>_xlfn.IFNA(VLOOKUP(CONCATENATE(AT$4,$C185),'INSER DATA'!$A:$F,7,0),"")</f>
        <v/>
      </c>
      <c r="AU185" s="270" t="str">
        <f>_xlfn.IFNA(VLOOKUP(CONCATENATE(AU$4,$C185),'INSER DATA'!$A:$F,7,0),"")</f>
        <v/>
      </c>
      <c r="AV185" s="270" t="str">
        <f>_xlfn.IFNA(VLOOKUP(CONCATENATE(AV$4,$C185),'INSER DATA'!$A:$F,7,0),"")</f>
        <v/>
      </c>
      <c r="AW185" s="270" t="str">
        <f>_xlfn.IFNA(VLOOKUP(CONCATENATE(AW$4,$C185),'INSER DATA'!$A:$F,7,0),"")</f>
        <v/>
      </c>
      <c r="AX185" s="270" t="str">
        <f>_xlfn.IFNA(VLOOKUP(CONCATENATE(AX$4,$C185),'INSER DATA'!$A:$F,7,0),"")</f>
        <v/>
      </c>
      <c r="AY185" s="270" t="str">
        <f>_xlfn.IFNA(VLOOKUP(CONCATENATE(AY$4,$C185),'INSER DATA'!$A:$F,7,0),"")</f>
        <v/>
      </c>
      <c r="AZ185" s="270" t="str">
        <f>_xlfn.IFNA(VLOOKUP(CONCATENATE(AZ$4,$C185),'INSER DATA'!$A:$F,7,0),"")</f>
        <v/>
      </c>
      <c r="BA185" s="270" t="str">
        <f>_xlfn.IFNA(VLOOKUP(CONCATENATE(BA$4,$C185),'INSER DATA'!$A:$F,7,0),"")</f>
        <v/>
      </c>
      <c r="BB185" s="270" t="str">
        <f>_xlfn.IFNA(VLOOKUP(CONCATENATE(BB$4,$C185),'INSER DATA'!$A:$F,7,0),"")</f>
        <v/>
      </c>
      <c r="BC185" s="270" t="str">
        <f>_xlfn.IFNA(VLOOKUP(CONCATENATE(BC$4,$C185),'INSER DATA'!$A:$F,7,0),"")</f>
        <v/>
      </c>
      <c r="BD185" s="270" t="str">
        <f>_xlfn.IFNA(VLOOKUP(CONCATENATE(BD$4,$C185),'INSER DATA'!$A:$F,7,0),"")</f>
        <v/>
      </c>
      <c r="BE185" s="270" t="str">
        <f>_xlfn.IFNA(VLOOKUP(CONCATENATE(BE$4,$C185),'INSER DATA'!$A:$F,7,0),"")</f>
        <v/>
      </c>
      <c r="BF185" s="270" t="str">
        <f>_xlfn.IFNA(VLOOKUP(CONCATENATE(BF$4,$C185),'INSER DATA'!$A:$F,7,0),"")</f>
        <v/>
      </c>
      <c r="BG185" s="270" t="str">
        <f>_xlfn.IFNA(VLOOKUP(CONCATENATE(BG$4,$C185),'INSER DATA'!$A:$F,7,0),"")</f>
        <v/>
      </c>
      <c r="BH185" s="270" t="str">
        <f>_xlfn.IFNA(VLOOKUP(CONCATENATE(BH$4,$C185),'INSER DATA'!$A:$F,7,0),"")</f>
        <v/>
      </c>
      <c r="BI185" s="270" t="str">
        <f>_xlfn.IFNA(VLOOKUP(CONCATENATE(BI$4,$C185),'INSER DATA'!$A:$F,7,0),"")</f>
        <v/>
      </c>
      <c r="BJ185" s="270" t="str">
        <f>_xlfn.IFNA(VLOOKUP(CONCATENATE(BJ$4,$C185),'INSER DATA'!$A:$F,7,0),"")</f>
        <v/>
      </c>
      <c r="BK185" s="270" t="str">
        <f>_xlfn.IFNA(VLOOKUP(CONCATENATE(BK$4,$C185),'INSER DATA'!$A:$F,7,0),"")</f>
        <v/>
      </c>
      <c r="BL185" s="272"/>
      <c r="BM185" s="30"/>
      <c r="BN185" s="30"/>
      <c r="BO185" s="30"/>
      <c r="BP185" s="30"/>
      <c r="BQ185" s="30"/>
      <c r="BR185" s="30"/>
      <c r="BS185" s="30"/>
      <c r="BT185" s="30"/>
      <c r="BU185" s="30"/>
      <c r="BV185" s="30"/>
      <c r="BW185" s="30"/>
      <c r="BX185" s="30"/>
      <c r="BY185" s="30"/>
      <c r="BZ185" s="30"/>
      <c r="CA185" s="30"/>
      <c r="CB185" s="30"/>
      <c r="CC185" s="30"/>
      <c r="CD185" s="30"/>
      <c r="CE185" s="30"/>
      <c r="CF185" s="30"/>
      <c r="CG185" s="30"/>
      <c r="CH185" s="30"/>
      <c r="CI185" s="30"/>
      <c r="CJ185" s="30"/>
      <c r="CK185" s="30"/>
      <c r="CL185" s="30"/>
      <c r="CM185" s="30"/>
      <c r="CN185" s="30"/>
      <c r="CO185" s="30"/>
      <c r="CP185" s="30"/>
      <c r="CQ185" s="30"/>
      <c r="CR185" s="30"/>
      <c r="CS185" s="30"/>
      <c r="CT185" s="30"/>
      <c r="CU185" s="30"/>
      <c r="CV185" s="30"/>
      <c r="CW185" s="30"/>
      <c r="CX185" s="30"/>
      <c r="CY185" s="30"/>
      <c r="CZ185" s="30"/>
      <c r="DA185" s="30"/>
    </row>
    <row r="186" spans="1:105" ht="19.2" thickTop="1" thickBot="1" x14ac:dyDescent="0.4">
      <c r="A186" s="30"/>
      <c r="B186" s="30"/>
      <c r="C186" s="356" t="s">
        <v>776</v>
      </c>
      <c r="D186" s="355" t="s">
        <v>766</v>
      </c>
      <c r="E186" s="35" t="str">
        <f>_xlfn.XLOOKUP(Tabella4[[#This Row],[NOME]],'ROSE SQUADRE'!$N$3:$N$253,'ROSE SQUADRE'!$O$3:$O$253,"")</f>
        <v>ATL. IMPROVVISATO</v>
      </c>
      <c r="F186" s="36" t="s">
        <v>163</v>
      </c>
      <c r="G186" s="43">
        <v>16</v>
      </c>
      <c r="H186" s="43">
        <v>17</v>
      </c>
      <c r="I186" s="44">
        <f t="shared" si="13"/>
        <v>1</v>
      </c>
      <c r="J186" s="37">
        <f t="shared" si="14"/>
        <v>4</v>
      </c>
      <c r="K186" s="178">
        <f t="shared" si="15"/>
        <v>6.75</v>
      </c>
      <c r="L186" s="178">
        <f t="shared" si="16"/>
        <v>9</v>
      </c>
      <c r="M186" s="179">
        <f t="shared" si="17"/>
        <v>36</v>
      </c>
      <c r="N186" s="45">
        <f t="shared" ca="1" si="18"/>
        <v>0</v>
      </c>
      <c r="O186" s="40">
        <f>SUMIF(Tabella1[Nome],Tabella4[[#This Row],[NOME]],Tabella1[Gf])</f>
        <v>2</v>
      </c>
      <c r="P186" s="40">
        <f>-(SUMIF(Tabella1[Nome],Tabella4[[#This Row],[NOME]],Tabella1[Gs]))</f>
        <v>0</v>
      </c>
      <c r="Q186" s="40">
        <f>SUMIF(Tabella1[Nome],Tabella4[[#This Row],[NOME]],Tabella1[Rp])</f>
        <v>0</v>
      </c>
      <c r="R186" s="40">
        <f>SUMIF(Tabella1[Nome],Tabella4[[#This Row],[NOME]],Tabella1[Rs])</f>
        <v>0</v>
      </c>
      <c r="S186" s="40">
        <f>SUMIF(Tabella1[Nome],Tabella4[[#This Row],[NOME]],Tabella1[Rf])</f>
        <v>0</v>
      </c>
      <c r="T186" s="40">
        <f>SUMIF(Tabella1[Nome],Tabella4[[#This Row],[NOME]],Tabella1[Au])</f>
        <v>0</v>
      </c>
      <c r="U186" s="41">
        <f>SUMIF(Tabella1[Nome],Tabella4[[#This Row],[NOME]],Tabella1[Amm])</f>
        <v>0</v>
      </c>
      <c r="V186" s="42">
        <f>SUMIF(Tabella1[Nome],Tabella4[[#This Row],[NOME]],Tabella1[Esp])</f>
        <v>0</v>
      </c>
      <c r="W186" s="40">
        <f>SUMIF(Tabella1[Nome],Tabella4[[#This Row],[NOME]],Tabella1[Ass])</f>
        <v>1</v>
      </c>
      <c r="X186" s="40">
        <f>SUMIF(Tabella1[Nome],Tabella4[[#This Row],[NOME]],Tabella1[Gdv])</f>
        <v>2</v>
      </c>
      <c r="Y186" s="40">
        <f>SUMIF(Tabella1[Nome],Tabella4[[#This Row],[NOME]],Tabella1[cl sh])</f>
        <v>0</v>
      </c>
      <c r="Z186" s="270">
        <f>_xlfn.IFNA(_xlfn.XLOOKUP(CONCATENATE(Z$4,$C186),Tabella1[CONC X VOTI IN TAB GIOC],Tabella1[Voto],""),"")</f>
        <v>7.5</v>
      </c>
      <c r="AA186" s="270">
        <f>_xlfn.IFNA(_xlfn.XLOOKUP(CONCATENATE(AA$4,$C186),Tabella1[CONC X VOTI IN TAB GIOC],Tabella1[Voto],""),"")</f>
        <v>6.5</v>
      </c>
      <c r="AB186" s="270">
        <f>_xlfn.IFNA(_xlfn.XLOOKUP(CONCATENATE(AB$4,$C186),Tabella1[CONC X VOTI IN TAB GIOC],Tabella1[Voto]),"")</f>
        <v>6</v>
      </c>
      <c r="AC186" s="270" cm="1">
        <f t="array" ref="AC186">_xlfn.IFNA(_xlfn.XLOOKUP(CONCATENATE(AC$4,$C186),INDEX(Tabella1[],0,MATCH("CONC X VOTI IN TAB GIOC",Tabella1[#Headers],0)),INDEX(Tabella1[],0,MATCH("Voto",Tabella1[#Headers],0))),"")</f>
        <v>7</v>
      </c>
      <c r="AD186" s="270" t="str">
        <f>_xlfn.IFNA(_xlfn.XLOOKUP(CONCATENATE(AD$4,$C186),Tabella1[CONC X VOTI IN TAB GIOC],Tabella1[Voto]),"")</f>
        <v/>
      </c>
      <c r="AE186" s="270" t="str">
        <f>_xlfn.IFNA(VLOOKUP(CONCATENATE(AE$4,$C186),'INSER DATA'!$A:$F,6,0),"")</f>
        <v/>
      </c>
      <c r="AF186" s="270" t="str">
        <f>_xlfn.IFNA(VLOOKUP(CONCATENATE(AF$4,$C186),'INSER DATA'!$A:$F,6,0),"")</f>
        <v/>
      </c>
      <c r="AG186" s="270" t="str">
        <f>_xlfn.IFNA(VLOOKUP(CONCATENATE(AG$4,$C186),'INSER DATA'!$A:$F,6,0),"")</f>
        <v/>
      </c>
      <c r="AH186" s="270" t="str">
        <f>_xlfn.IFNA(VLOOKUP(CONCATENATE(AH$4,$C186),'INSER DATA'!$A:$F,7,0),"")</f>
        <v/>
      </c>
      <c r="AI186" s="270" t="str">
        <f>_xlfn.IFNA(VLOOKUP(CONCATENATE(AI$4,$C186),'INSER DATA'!$A:$F,7,0),"")</f>
        <v/>
      </c>
      <c r="AJ186" s="270" t="str">
        <f>_xlfn.IFNA(VLOOKUP(CONCATENATE(AJ$4,$C186),'INSER DATA'!$A:$F,7,0),"")</f>
        <v/>
      </c>
      <c r="AK186" s="270" t="str">
        <f>_xlfn.IFNA(VLOOKUP(CONCATENATE(AK$4,$C186),'INSER DATA'!$A:$F,7,0),"")</f>
        <v/>
      </c>
      <c r="AL186" s="270" t="str">
        <f>_xlfn.IFNA(VLOOKUP(CONCATENATE(AL$4,$C186),'INSER DATA'!$A:$F,7,0),"")</f>
        <v/>
      </c>
      <c r="AM186" s="270" t="str">
        <f>_xlfn.IFNA(VLOOKUP(CONCATENATE(AM$4,$C186),'INSER DATA'!$A:$F,7,0),"")</f>
        <v/>
      </c>
      <c r="AN186" s="270" t="str">
        <f>_xlfn.IFNA(VLOOKUP(CONCATENATE(AN$4,$C186),'INSER DATA'!$A:$F,7,0),"")</f>
        <v/>
      </c>
      <c r="AO186" s="270" t="str">
        <f>_xlfn.IFNA(VLOOKUP(CONCATENATE(AO$4,$C186),'INSER DATA'!$A:$F,7,0),"")</f>
        <v/>
      </c>
      <c r="AP186" s="270" t="str">
        <f>_xlfn.IFNA(VLOOKUP(CONCATENATE(AP$4,$C186),'INSER DATA'!$A:$F,7,0),"")</f>
        <v/>
      </c>
      <c r="AQ186" s="270" t="str">
        <f>_xlfn.IFNA(VLOOKUP(CONCATENATE(AQ$4,$C186),'INSER DATA'!$A:$F,7,0),"")</f>
        <v/>
      </c>
      <c r="AR186" s="270" t="str">
        <f>_xlfn.IFNA(VLOOKUP(CONCATENATE(AR$4,$C186),'INSER DATA'!$A:$F,7,0),"")</f>
        <v/>
      </c>
      <c r="AS186" s="270" t="str">
        <f>_xlfn.IFNA(VLOOKUP(CONCATENATE(AS$4,$C186),'INSER DATA'!$A:$F,7,0),"")</f>
        <v/>
      </c>
      <c r="AT186" s="270" t="str">
        <f>_xlfn.IFNA(VLOOKUP(CONCATENATE(AT$4,$C186),'INSER DATA'!$A:$F,7,0),"")</f>
        <v/>
      </c>
      <c r="AU186" s="270" t="str">
        <f>_xlfn.IFNA(VLOOKUP(CONCATENATE(AU$4,$C186),'INSER DATA'!$A:$F,7,0),"")</f>
        <v/>
      </c>
      <c r="AV186" s="270" t="str">
        <f>_xlfn.IFNA(VLOOKUP(CONCATENATE(AV$4,$C186),'INSER DATA'!$A:$F,7,0),"")</f>
        <v/>
      </c>
      <c r="AW186" s="270" t="str">
        <f>_xlfn.IFNA(VLOOKUP(CONCATENATE(AW$4,$C186),'INSER DATA'!$A:$F,7,0),"")</f>
        <v/>
      </c>
      <c r="AX186" s="270" t="str">
        <f>_xlfn.IFNA(VLOOKUP(CONCATENATE(AX$4,$C186),'INSER DATA'!$A:$F,7,0),"")</f>
        <v/>
      </c>
      <c r="AY186" s="270" t="str">
        <f>_xlfn.IFNA(VLOOKUP(CONCATENATE(AY$4,$C186),'INSER DATA'!$A:$F,7,0),"")</f>
        <v/>
      </c>
      <c r="AZ186" s="270" t="str">
        <f>_xlfn.IFNA(VLOOKUP(CONCATENATE(AZ$4,$C186),'INSER DATA'!$A:$F,7,0),"")</f>
        <v/>
      </c>
      <c r="BA186" s="270" t="str">
        <f>_xlfn.IFNA(VLOOKUP(CONCATENATE(BA$4,$C186),'INSER DATA'!$A:$F,7,0),"")</f>
        <v/>
      </c>
      <c r="BB186" s="270" t="str">
        <f>_xlfn.IFNA(VLOOKUP(CONCATENATE(BB$4,$C186),'INSER DATA'!$A:$F,7,0),"")</f>
        <v/>
      </c>
      <c r="BC186" s="270" t="str">
        <f>_xlfn.IFNA(VLOOKUP(CONCATENATE(BC$4,$C186),'INSER DATA'!$A:$F,7,0),"")</f>
        <v/>
      </c>
      <c r="BD186" s="270" t="str">
        <f>_xlfn.IFNA(VLOOKUP(CONCATENATE(BD$4,$C186),'INSER DATA'!$A:$F,7,0),"")</f>
        <v/>
      </c>
      <c r="BE186" s="270" t="str">
        <f>_xlfn.IFNA(VLOOKUP(CONCATENATE(BE$4,$C186),'INSER DATA'!$A:$F,7,0),"")</f>
        <v/>
      </c>
      <c r="BF186" s="270" t="str">
        <f>_xlfn.IFNA(VLOOKUP(CONCATENATE(BF$4,$C186),'INSER DATA'!$A:$F,7,0),"")</f>
        <v/>
      </c>
      <c r="BG186" s="270" t="str">
        <f>_xlfn.IFNA(VLOOKUP(CONCATENATE(BG$4,$C186),'INSER DATA'!$A:$F,7,0),"")</f>
        <v/>
      </c>
      <c r="BH186" s="270" t="str">
        <f>_xlfn.IFNA(VLOOKUP(CONCATENATE(BH$4,$C186),'INSER DATA'!$A:$F,7,0),"")</f>
        <v/>
      </c>
      <c r="BI186" s="270" t="str">
        <f>_xlfn.IFNA(VLOOKUP(CONCATENATE(BI$4,$C186),'INSER DATA'!$A:$F,7,0),"")</f>
        <v/>
      </c>
      <c r="BJ186" s="270" t="str">
        <f>_xlfn.IFNA(VLOOKUP(CONCATENATE(BJ$4,$C186),'INSER DATA'!$A:$F,7,0),"")</f>
        <v/>
      </c>
      <c r="BK186" s="270" t="str">
        <f>_xlfn.IFNA(VLOOKUP(CONCATENATE(BK$4,$C186),'INSER DATA'!$A:$F,7,0),"")</f>
        <v/>
      </c>
      <c r="BL186" s="272"/>
      <c r="BM186" s="30"/>
      <c r="BN186" s="30"/>
      <c r="BO186" s="30"/>
      <c r="BP186" s="30"/>
      <c r="BQ186" s="30"/>
      <c r="BR186" s="30"/>
      <c r="BS186" s="30"/>
      <c r="BT186" s="30"/>
      <c r="BU186" s="30"/>
      <c r="BV186" s="30"/>
      <c r="BW186" s="30"/>
      <c r="BX186" s="30"/>
      <c r="BY186" s="30"/>
      <c r="BZ186" s="30"/>
      <c r="CA186" s="30"/>
      <c r="CB186" s="30"/>
      <c r="CC186" s="30"/>
      <c r="CD186" s="30"/>
      <c r="CE186" s="30"/>
      <c r="CF186" s="30"/>
      <c r="CG186" s="30"/>
      <c r="CH186" s="30"/>
      <c r="CI186" s="30"/>
      <c r="CJ186" s="30"/>
      <c r="CK186" s="30"/>
      <c r="CL186" s="30"/>
      <c r="CM186" s="30"/>
      <c r="CN186" s="30"/>
      <c r="CO186" s="30"/>
      <c r="CP186" s="30"/>
      <c r="CQ186" s="30"/>
      <c r="CR186" s="30"/>
      <c r="CS186" s="30"/>
      <c r="CT186" s="30"/>
      <c r="CU186" s="30"/>
      <c r="CV186" s="30"/>
      <c r="CW186" s="30"/>
      <c r="CX186" s="30"/>
      <c r="CY186" s="30"/>
      <c r="CZ186" s="30"/>
      <c r="DA186" s="30"/>
    </row>
    <row r="187" spans="1:105" ht="19.2" thickTop="1" thickBot="1" x14ac:dyDescent="0.4">
      <c r="A187" s="30"/>
      <c r="B187" s="30"/>
      <c r="C187" s="354" t="s">
        <v>451</v>
      </c>
      <c r="D187" s="357" t="s">
        <v>766</v>
      </c>
      <c r="E187" s="35" t="str">
        <f>_xlfn.XLOOKUP(Tabella4[[#This Row],[NOME]],'ROSE SQUADRE'!$N$3:$N$253,'ROSE SQUADRE'!$O$3:$O$253,"")</f>
        <v>ATL. IMPROVVISATO</v>
      </c>
      <c r="F187" s="36" t="s">
        <v>161</v>
      </c>
      <c r="G187" s="43">
        <v>11</v>
      </c>
      <c r="H187" s="43">
        <v>12</v>
      </c>
      <c r="I187" s="44">
        <f t="shared" si="13"/>
        <v>1</v>
      </c>
      <c r="J187" s="37">
        <f t="shared" si="14"/>
        <v>3</v>
      </c>
      <c r="K187" s="178">
        <f t="shared" si="15"/>
        <v>6.666666666666667</v>
      </c>
      <c r="L187" s="178">
        <f t="shared" si="16"/>
        <v>7.666666666666667</v>
      </c>
      <c r="M187" s="179">
        <f t="shared" si="17"/>
        <v>23</v>
      </c>
      <c r="N187" s="45">
        <f t="shared" ca="1" si="18"/>
        <v>0</v>
      </c>
      <c r="O187" s="40">
        <f>SUMIF(Tabella1[Nome],Tabella4[[#This Row],[NOME]],Tabella1[Gf])</f>
        <v>1</v>
      </c>
      <c r="P187" s="40">
        <f>-(SUMIF(Tabella1[Nome],Tabella4[[#This Row],[NOME]],Tabella1[Gs]))</f>
        <v>0</v>
      </c>
      <c r="Q187" s="40">
        <f>SUMIF(Tabella1[Nome],Tabella4[[#This Row],[NOME]],Tabella1[Rp])</f>
        <v>0</v>
      </c>
      <c r="R187" s="40">
        <f>SUMIF(Tabella1[Nome],Tabella4[[#This Row],[NOME]],Tabella1[Rs])</f>
        <v>0</v>
      </c>
      <c r="S187" s="40">
        <f>SUMIF(Tabella1[Nome],Tabella4[[#This Row],[NOME]],Tabella1[Rf])</f>
        <v>0</v>
      </c>
      <c r="T187" s="40">
        <f>SUMIF(Tabella1[Nome],Tabella4[[#This Row],[NOME]],Tabella1[Au])</f>
        <v>0</v>
      </c>
      <c r="U187" s="41">
        <f>SUMIF(Tabella1[Nome],Tabella4[[#This Row],[NOME]],Tabella1[Amm])</f>
        <v>0</v>
      </c>
      <c r="V187" s="42">
        <f>SUMIF(Tabella1[Nome],Tabella4[[#This Row],[NOME]],Tabella1[Esp])</f>
        <v>0</v>
      </c>
      <c r="W187" s="40">
        <f>SUMIF(Tabella1[Nome],Tabella4[[#This Row],[NOME]],Tabella1[Ass])</f>
        <v>0</v>
      </c>
      <c r="X187" s="40">
        <f>SUMIF(Tabella1[Nome],Tabella4[[#This Row],[NOME]],Tabella1[Gdv])</f>
        <v>0</v>
      </c>
      <c r="Y187" s="40">
        <f>SUMIF(Tabella1[Nome],Tabella4[[#This Row],[NOME]],Tabella1[cl sh])</f>
        <v>0</v>
      </c>
      <c r="Z187" s="270">
        <f>_xlfn.IFNA(_xlfn.XLOOKUP(CONCATENATE(Z$4,$C187),Tabella1[CONC X VOTI IN TAB GIOC],Tabella1[Voto],""),"")</f>
        <v>7</v>
      </c>
      <c r="AA187" s="270">
        <f>_xlfn.IFNA(_xlfn.XLOOKUP(CONCATENATE(AA$4,$C187),Tabella1[CONC X VOTI IN TAB GIOC],Tabella1[Voto],""),"")</f>
        <v>6.5</v>
      </c>
      <c r="AB187" s="270">
        <f>_xlfn.IFNA(_xlfn.XLOOKUP(CONCATENATE(AB$4,$C187),Tabella1[CONC X VOTI IN TAB GIOC],Tabella1[Voto]),"")</f>
        <v>6.5</v>
      </c>
      <c r="AC187" s="270" t="str" cm="1">
        <f t="array" ref="AC187">_xlfn.IFNA(_xlfn.XLOOKUP(CONCATENATE(AC$4,$C187),INDEX(Tabella1[],0,MATCH("CONC X VOTI IN TAB GIOC",Tabella1[#Headers],0)),INDEX(Tabella1[],0,MATCH("Voto",Tabella1[#Headers],0))),"")</f>
        <v/>
      </c>
      <c r="AD187" s="270" t="str">
        <f>_xlfn.IFNA(_xlfn.XLOOKUP(CONCATENATE(AD$4,$C187),Tabella1[CONC X VOTI IN TAB GIOC],Tabella1[Voto]),"")</f>
        <v/>
      </c>
      <c r="AE187" s="270" t="str">
        <f>_xlfn.IFNA(VLOOKUP(CONCATENATE(AE$4,$C187),'INSER DATA'!$A:$F,6,0),"")</f>
        <v/>
      </c>
      <c r="AF187" s="270" t="str">
        <f>_xlfn.IFNA(VLOOKUP(CONCATENATE(AF$4,$C187),'INSER DATA'!$A:$F,6,0),"")</f>
        <v/>
      </c>
      <c r="AG187" s="270" t="str">
        <f>_xlfn.IFNA(VLOOKUP(CONCATENATE(AG$4,$C187),'INSER DATA'!$A:$F,6,0),"")</f>
        <v/>
      </c>
      <c r="AH187" s="270" t="str">
        <f>_xlfn.IFNA(VLOOKUP(CONCATENATE(AH$4,$C187),'INSER DATA'!$A:$F,7,0),"")</f>
        <v/>
      </c>
      <c r="AI187" s="270" t="str">
        <f>_xlfn.IFNA(VLOOKUP(CONCATENATE(AI$4,$C187),'INSER DATA'!$A:$F,7,0),"")</f>
        <v/>
      </c>
      <c r="AJ187" s="270" t="str">
        <f>_xlfn.IFNA(VLOOKUP(CONCATENATE(AJ$4,$C187),'INSER DATA'!$A:$F,7,0),"")</f>
        <v/>
      </c>
      <c r="AK187" s="270" t="str">
        <f>_xlfn.IFNA(VLOOKUP(CONCATENATE(AK$4,$C187),'INSER DATA'!$A:$F,7,0),"")</f>
        <v/>
      </c>
      <c r="AL187" s="270" t="str">
        <f>_xlfn.IFNA(VLOOKUP(CONCATENATE(AL$4,$C187),'INSER DATA'!$A:$F,7,0),"")</f>
        <v/>
      </c>
      <c r="AM187" s="270" t="str">
        <f>_xlfn.IFNA(VLOOKUP(CONCATENATE(AM$4,$C187),'INSER DATA'!$A:$F,7,0),"")</f>
        <v/>
      </c>
      <c r="AN187" s="270" t="str">
        <f>_xlfn.IFNA(VLOOKUP(CONCATENATE(AN$4,$C187),'INSER DATA'!$A:$F,7,0),"")</f>
        <v/>
      </c>
      <c r="AO187" s="270" t="str">
        <f>_xlfn.IFNA(VLOOKUP(CONCATENATE(AO$4,$C187),'INSER DATA'!$A:$F,7,0),"")</f>
        <v/>
      </c>
      <c r="AP187" s="270" t="str">
        <f>_xlfn.IFNA(VLOOKUP(CONCATENATE(AP$4,$C187),'INSER DATA'!$A:$F,7,0),"")</f>
        <v/>
      </c>
      <c r="AQ187" s="270" t="str">
        <f>_xlfn.IFNA(VLOOKUP(CONCATENATE(AQ$4,$C187),'INSER DATA'!$A:$F,7,0),"")</f>
        <v/>
      </c>
      <c r="AR187" s="270" t="str">
        <f>_xlfn.IFNA(VLOOKUP(CONCATENATE(AR$4,$C187),'INSER DATA'!$A:$F,7,0),"")</f>
        <v/>
      </c>
      <c r="AS187" s="270" t="str">
        <f>_xlfn.IFNA(VLOOKUP(CONCATENATE(AS$4,$C187),'INSER DATA'!$A:$F,7,0),"")</f>
        <v/>
      </c>
      <c r="AT187" s="270" t="str">
        <f>_xlfn.IFNA(VLOOKUP(CONCATENATE(AT$4,$C187),'INSER DATA'!$A:$F,7,0),"")</f>
        <v/>
      </c>
      <c r="AU187" s="270" t="str">
        <f>_xlfn.IFNA(VLOOKUP(CONCATENATE(AU$4,$C187),'INSER DATA'!$A:$F,7,0),"")</f>
        <v/>
      </c>
      <c r="AV187" s="270" t="str">
        <f>_xlfn.IFNA(VLOOKUP(CONCATENATE(AV$4,$C187),'INSER DATA'!$A:$F,7,0),"")</f>
        <v/>
      </c>
      <c r="AW187" s="270" t="str">
        <f>_xlfn.IFNA(VLOOKUP(CONCATENATE(AW$4,$C187),'INSER DATA'!$A:$F,7,0),"")</f>
        <v/>
      </c>
      <c r="AX187" s="270" t="str">
        <f>_xlfn.IFNA(VLOOKUP(CONCATENATE(AX$4,$C187),'INSER DATA'!$A:$F,7,0),"")</f>
        <v/>
      </c>
      <c r="AY187" s="270" t="str">
        <f>_xlfn.IFNA(VLOOKUP(CONCATENATE(AY$4,$C187),'INSER DATA'!$A:$F,7,0),"")</f>
        <v/>
      </c>
      <c r="AZ187" s="270" t="str">
        <f>_xlfn.IFNA(VLOOKUP(CONCATENATE(AZ$4,$C187),'INSER DATA'!$A:$F,7,0),"")</f>
        <v/>
      </c>
      <c r="BA187" s="270" t="str">
        <f>_xlfn.IFNA(VLOOKUP(CONCATENATE(BA$4,$C187),'INSER DATA'!$A:$F,7,0),"")</f>
        <v/>
      </c>
      <c r="BB187" s="270" t="str">
        <f>_xlfn.IFNA(VLOOKUP(CONCATENATE(BB$4,$C187),'INSER DATA'!$A:$F,7,0),"")</f>
        <v/>
      </c>
      <c r="BC187" s="270" t="str">
        <f>_xlfn.IFNA(VLOOKUP(CONCATENATE(BC$4,$C187),'INSER DATA'!$A:$F,7,0),"")</f>
        <v/>
      </c>
      <c r="BD187" s="270" t="str">
        <f>_xlfn.IFNA(VLOOKUP(CONCATENATE(BD$4,$C187),'INSER DATA'!$A:$F,7,0),"")</f>
        <v/>
      </c>
      <c r="BE187" s="270" t="str">
        <f>_xlfn.IFNA(VLOOKUP(CONCATENATE(BE$4,$C187),'INSER DATA'!$A:$F,7,0),"")</f>
        <v/>
      </c>
      <c r="BF187" s="270" t="str">
        <f>_xlfn.IFNA(VLOOKUP(CONCATENATE(BF$4,$C187),'INSER DATA'!$A:$F,7,0),"")</f>
        <v/>
      </c>
      <c r="BG187" s="270" t="str">
        <f>_xlfn.IFNA(VLOOKUP(CONCATENATE(BG$4,$C187),'INSER DATA'!$A:$F,7,0),"")</f>
        <v/>
      </c>
      <c r="BH187" s="270" t="str">
        <f>_xlfn.IFNA(VLOOKUP(CONCATENATE(BH$4,$C187),'INSER DATA'!$A:$F,7,0),"")</f>
        <v/>
      </c>
      <c r="BI187" s="270" t="str">
        <f>_xlfn.IFNA(VLOOKUP(CONCATENATE(BI$4,$C187),'INSER DATA'!$A:$F,7,0),"")</f>
        <v/>
      </c>
      <c r="BJ187" s="270" t="str">
        <f>_xlfn.IFNA(VLOOKUP(CONCATENATE(BJ$4,$C187),'INSER DATA'!$A:$F,7,0),"")</f>
        <v/>
      </c>
      <c r="BK187" s="270" t="str">
        <f>_xlfn.IFNA(VLOOKUP(CONCATENATE(BK$4,$C187),'INSER DATA'!$A:$F,7,0),"")</f>
        <v/>
      </c>
      <c r="BL187" s="272"/>
      <c r="BM187" s="30"/>
      <c r="BN187" s="30"/>
      <c r="BO187" s="30"/>
      <c r="BP187" s="30"/>
      <c r="BQ187" s="30"/>
      <c r="BR187" s="30"/>
      <c r="BS187" s="30"/>
      <c r="BT187" s="30"/>
      <c r="BU187" s="30"/>
      <c r="BV187" s="30"/>
      <c r="BW187" s="30"/>
      <c r="BX187" s="30"/>
      <c r="BY187" s="30"/>
      <c r="BZ187" s="30"/>
      <c r="CA187" s="30"/>
      <c r="CB187" s="30"/>
      <c r="CC187" s="30"/>
      <c r="CD187" s="30"/>
      <c r="CE187" s="30"/>
      <c r="CF187" s="30"/>
      <c r="CG187" s="30"/>
      <c r="CH187" s="30"/>
      <c r="CI187" s="30"/>
      <c r="CJ187" s="30"/>
      <c r="CK187" s="30"/>
      <c r="CL187" s="30"/>
      <c r="CM187" s="30"/>
      <c r="CN187" s="30"/>
      <c r="CO187" s="30"/>
      <c r="CP187" s="30"/>
      <c r="CQ187" s="30"/>
      <c r="CR187" s="30"/>
      <c r="CS187" s="30"/>
      <c r="CT187" s="30"/>
      <c r="CU187" s="30"/>
      <c r="CV187" s="30"/>
      <c r="CW187" s="30"/>
      <c r="CX187" s="30"/>
      <c r="CY187" s="30"/>
      <c r="CZ187" s="30"/>
      <c r="DA187" s="30"/>
    </row>
    <row r="188" spans="1:105" ht="19.2" thickTop="1" thickBot="1" x14ac:dyDescent="0.4">
      <c r="A188" s="30"/>
      <c r="B188" s="30"/>
      <c r="C188" s="356" t="s">
        <v>775</v>
      </c>
      <c r="D188" s="357" t="s">
        <v>766</v>
      </c>
      <c r="E188" s="35" t="str">
        <f>_xlfn.XLOOKUP(Tabella4[[#This Row],[NOME]],'ROSE SQUADRE'!$N$3:$N$253,'ROSE SQUADRE'!$O$3:$O$253,"")</f>
        <v>ATL. IMPROVVISATO</v>
      </c>
      <c r="F188" s="36" t="s">
        <v>162</v>
      </c>
      <c r="G188" s="43">
        <v>10</v>
      </c>
      <c r="H188" s="43">
        <v>11</v>
      </c>
      <c r="I188" s="44">
        <f t="shared" si="13"/>
        <v>1</v>
      </c>
      <c r="J188" s="37">
        <f t="shared" si="14"/>
        <v>4</v>
      </c>
      <c r="K188" s="178">
        <f t="shared" si="15"/>
        <v>6.75</v>
      </c>
      <c r="L188" s="178">
        <f t="shared" si="16"/>
        <v>7.75</v>
      </c>
      <c r="M188" s="179">
        <f t="shared" si="17"/>
        <v>31</v>
      </c>
      <c r="N188" s="45">
        <f t="shared" ca="1" si="18"/>
        <v>0</v>
      </c>
      <c r="O188" s="40">
        <f>SUMIF(Tabella1[Nome],Tabella4[[#This Row],[NOME]],Tabella1[Gf])</f>
        <v>1</v>
      </c>
      <c r="P188" s="40">
        <f>-(SUMIF(Tabella1[Nome],Tabella4[[#This Row],[NOME]],Tabella1[Gs]))</f>
        <v>0</v>
      </c>
      <c r="Q188" s="40">
        <f>SUMIF(Tabella1[Nome],Tabella4[[#This Row],[NOME]],Tabella1[Rp])</f>
        <v>0</v>
      </c>
      <c r="R188" s="40">
        <f>SUMIF(Tabella1[Nome],Tabella4[[#This Row],[NOME]],Tabella1[Rs])</f>
        <v>0</v>
      </c>
      <c r="S188" s="40">
        <f>SUMIF(Tabella1[Nome],Tabella4[[#This Row],[NOME]],Tabella1[Rf])</f>
        <v>0</v>
      </c>
      <c r="T188" s="40">
        <f>SUMIF(Tabella1[Nome],Tabella4[[#This Row],[NOME]],Tabella1[Au])</f>
        <v>0</v>
      </c>
      <c r="U188" s="41">
        <f>SUMIF(Tabella1[Nome],Tabella4[[#This Row],[NOME]],Tabella1[Amm])</f>
        <v>0</v>
      </c>
      <c r="V188" s="42">
        <f>SUMIF(Tabella1[Nome],Tabella4[[#This Row],[NOME]],Tabella1[Esp])</f>
        <v>0</v>
      </c>
      <c r="W188" s="40">
        <f>SUMIF(Tabella1[Nome],Tabella4[[#This Row],[NOME]],Tabella1[Ass])</f>
        <v>1</v>
      </c>
      <c r="X188" s="40">
        <f>SUMIF(Tabella1[Nome],Tabella4[[#This Row],[NOME]],Tabella1[Gdv])</f>
        <v>0</v>
      </c>
      <c r="Y188" s="40">
        <f>SUMIF(Tabella1[Nome],Tabella4[[#This Row],[NOME]],Tabella1[cl sh])</f>
        <v>0</v>
      </c>
      <c r="Z188" s="270">
        <f>_xlfn.IFNA(_xlfn.XLOOKUP(CONCATENATE(Z$4,$C188),Tabella1[CONC X VOTI IN TAB GIOC],Tabella1[Voto],""),"")</f>
        <v>7</v>
      </c>
      <c r="AA188" s="270">
        <f>_xlfn.IFNA(_xlfn.XLOOKUP(CONCATENATE(AA$4,$C188),Tabella1[CONC X VOTI IN TAB GIOC],Tabella1[Voto],""),"")</f>
        <v>6.5</v>
      </c>
      <c r="AB188" s="270">
        <f>_xlfn.IFNA(_xlfn.XLOOKUP(CONCATENATE(AB$4,$C188),Tabella1[CONC X VOTI IN TAB GIOC],Tabella1[Voto]),"")</f>
        <v>6.5</v>
      </c>
      <c r="AC188" s="270" cm="1">
        <f t="array" ref="AC188">_xlfn.IFNA(_xlfn.XLOOKUP(CONCATENATE(AC$4,$C188),INDEX(Tabella1[],0,MATCH("CONC X VOTI IN TAB GIOC",Tabella1[#Headers],0)),INDEX(Tabella1[],0,MATCH("Voto",Tabella1[#Headers],0))),"")</f>
        <v>7</v>
      </c>
      <c r="AD188" s="270" t="str">
        <f>_xlfn.IFNA(_xlfn.XLOOKUP(CONCATENATE(AD$4,$C188),Tabella1[CONC X VOTI IN TAB GIOC],Tabella1[Voto]),"")</f>
        <v/>
      </c>
      <c r="AE188" s="270" t="str">
        <f>_xlfn.IFNA(VLOOKUP(CONCATENATE(AE$4,$C188),'INSER DATA'!$A:$F,6,0),"")</f>
        <v/>
      </c>
      <c r="AF188" s="270" t="str">
        <f>_xlfn.IFNA(VLOOKUP(CONCATENATE(AF$4,$C188),'INSER DATA'!$A:$F,6,0),"")</f>
        <v/>
      </c>
      <c r="AG188" s="270" t="str">
        <f>_xlfn.IFNA(VLOOKUP(CONCATENATE(AG$4,$C188),'INSER DATA'!$A:$F,6,0),"")</f>
        <v/>
      </c>
      <c r="AH188" s="270" t="str">
        <f>_xlfn.IFNA(VLOOKUP(CONCATENATE(AH$4,$C188),'INSER DATA'!$A:$F,7,0),"")</f>
        <v/>
      </c>
      <c r="AI188" s="270" t="str">
        <f>_xlfn.IFNA(VLOOKUP(CONCATENATE(AI$4,$C188),'INSER DATA'!$A:$F,7,0),"")</f>
        <v/>
      </c>
      <c r="AJ188" s="270" t="str">
        <f>_xlfn.IFNA(VLOOKUP(CONCATENATE(AJ$4,$C188),'INSER DATA'!$A:$F,7,0),"")</f>
        <v/>
      </c>
      <c r="AK188" s="270" t="str">
        <f>_xlfn.IFNA(VLOOKUP(CONCATENATE(AK$4,$C188),'INSER DATA'!$A:$F,7,0),"")</f>
        <v/>
      </c>
      <c r="AL188" s="270" t="str">
        <f>_xlfn.IFNA(VLOOKUP(CONCATENATE(AL$4,$C188),'INSER DATA'!$A:$F,7,0),"")</f>
        <v/>
      </c>
      <c r="AM188" s="270" t="str">
        <f>_xlfn.IFNA(VLOOKUP(CONCATENATE(AM$4,$C188),'INSER DATA'!$A:$F,7,0),"")</f>
        <v/>
      </c>
      <c r="AN188" s="270" t="str">
        <f>_xlfn.IFNA(VLOOKUP(CONCATENATE(AN$4,$C188),'INSER DATA'!$A:$F,7,0),"")</f>
        <v/>
      </c>
      <c r="AO188" s="270" t="str">
        <f>_xlfn.IFNA(VLOOKUP(CONCATENATE(AO$4,$C188),'INSER DATA'!$A:$F,7,0),"")</f>
        <v/>
      </c>
      <c r="AP188" s="270" t="str">
        <f>_xlfn.IFNA(VLOOKUP(CONCATENATE(AP$4,$C188),'INSER DATA'!$A:$F,7,0),"")</f>
        <v/>
      </c>
      <c r="AQ188" s="270" t="str">
        <f>_xlfn.IFNA(VLOOKUP(CONCATENATE(AQ$4,$C188),'INSER DATA'!$A:$F,7,0),"")</f>
        <v/>
      </c>
      <c r="AR188" s="270" t="str">
        <f>_xlfn.IFNA(VLOOKUP(CONCATENATE(AR$4,$C188),'INSER DATA'!$A:$F,7,0),"")</f>
        <v/>
      </c>
      <c r="AS188" s="270" t="str">
        <f>_xlfn.IFNA(VLOOKUP(CONCATENATE(AS$4,$C188),'INSER DATA'!$A:$F,7,0),"")</f>
        <v/>
      </c>
      <c r="AT188" s="270" t="str">
        <f>_xlfn.IFNA(VLOOKUP(CONCATENATE(AT$4,$C188),'INSER DATA'!$A:$F,7,0),"")</f>
        <v/>
      </c>
      <c r="AU188" s="270" t="str">
        <f>_xlfn.IFNA(VLOOKUP(CONCATENATE(AU$4,$C188),'INSER DATA'!$A:$F,7,0),"")</f>
        <v/>
      </c>
      <c r="AV188" s="270" t="str">
        <f>_xlfn.IFNA(VLOOKUP(CONCATENATE(AV$4,$C188),'INSER DATA'!$A:$F,7,0),"")</f>
        <v/>
      </c>
      <c r="AW188" s="270" t="str">
        <f>_xlfn.IFNA(VLOOKUP(CONCATENATE(AW$4,$C188),'INSER DATA'!$A:$F,7,0),"")</f>
        <v/>
      </c>
      <c r="AX188" s="270" t="str">
        <f>_xlfn.IFNA(VLOOKUP(CONCATENATE(AX$4,$C188),'INSER DATA'!$A:$F,7,0),"")</f>
        <v/>
      </c>
      <c r="AY188" s="270" t="str">
        <f>_xlfn.IFNA(VLOOKUP(CONCATENATE(AY$4,$C188),'INSER DATA'!$A:$F,7,0),"")</f>
        <v/>
      </c>
      <c r="AZ188" s="270" t="str">
        <f>_xlfn.IFNA(VLOOKUP(CONCATENATE(AZ$4,$C188),'INSER DATA'!$A:$F,7,0),"")</f>
        <v/>
      </c>
      <c r="BA188" s="270" t="str">
        <f>_xlfn.IFNA(VLOOKUP(CONCATENATE(BA$4,$C188),'INSER DATA'!$A:$F,7,0),"")</f>
        <v/>
      </c>
      <c r="BB188" s="270" t="str">
        <f>_xlfn.IFNA(VLOOKUP(CONCATENATE(BB$4,$C188),'INSER DATA'!$A:$F,7,0),"")</f>
        <v/>
      </c>
      <c r="BC188" s="270" t="str">
        <f>_xlfn.IFNA(VLOOKUP(CONCATENATE(BC$4,$C188),'INSER DATA'!$A:$F,7,0),"")</f>
        <v/>
      </c>
      <c r="BD188" s="270" t="str">
        <f>_xlfn.IFNA(VLOOKUP(CONCATENATE(BD$4,$C188),'INSER DATA'!$A:$F,7,0),"")</f>
        <v/>
      </c>
      <c r="BE188" s="270" t="str">
        <f>_xlfn.IFNA(VLOOKUP(CONCATENATE(BE$4,$C188),'INSER DATA'!$A:$F,7,0),"")</f>
        <v/>
      </c>
      <c r="BF188" s="270" t="str">
        <f>_xlfn.IFNA(VLOOKUP(CONCATENATE(BF$4,$C188),'INSER DATA'!$A:$F,7,0),"")</f>
        <v/>
      </c>
      <c r="BG188" s="270" t="str">
        <f>_xlfn.IFNA(VLOOKUP(CONCATENATE(BG$4,$C188),'INSER DATA'!$A:$F,7,0),"")</f>
        <v/>
      </c>
      <c r="BH188" s="270" t="str">
        <f>_xlfn.IFNA(VLOOKUP(CONCATENATE(BH$4,$C188),'INSER DATA'!$A:$F,7,0),"")</f>
        <v/>
      </c>
      <c r="BI188" s="270" t="str">
        <f>_xlfn.IFNA(VLOOKUP(CONCATENATE(BI$4,$C188),'INSER DATA'!$A:$F,7,0),"")</f>
        <v/>
      </c>
      <c r="BJ188" s="270" t="str">
        <f>_xlfn.IFNA(VLOOKUP(CONCATENATE(BJ$4,$C188),'INSER DATA'!$A:$F,7,0),"")</f>
        <v/>
      </c>
      <c r="BK188" s="270" t="str">
        <f>_xlfn.IFNA(VLOOKUP(CONCATENATE(BK$4,$C188),'INSER DATA'!$A:$F,7,0),"")</f>
        <v/>
      </c>
      <c r="BL188" s="272"/>
      <c r="BM188" s="30"/>
      <c r="BN188" s="30"/>
      <c r="BO188" s="30"/>
      <c r="BP188" s="30"/>
      <c r="BQ188" s="30"/>
      <c r="BR188" s="30"/>
      <c r="BS188" s="30"/>
      <c r="BT188" s="30"/>
      <c r="BU188" s="30"/>
      <c r="BV188" s="30"/>
      <c r="BW188" s="30"/>
      <c r="BX188" s="30"/>
      <c r="BY188" s="30"/>
      <c r="BZ188" s="30"/>
      <c r="CA188" s="30"/>
      <c r="CB188" s="30"/>
      <c r="CC188" s="30"/>
      <c r="CD188" s="30"/>
      <c r="CE188" s="30"/>
      <c r="CF188" s="30"/>
      <c r="CG188" s="30"/>
      <c r="CH188" s="30"/>
      <c r="CI188" s="30"/>
      <c r="CJ188" s="30"/>
      <c r="CK188" s="30"/>
      <c r="CL188" s="30"/>
      <c r="CM188" s="30"/>
      <c r="CN188" s="30"/>
      <c r="CO188" s="30"/>
      <c r="CP188" s="30"/>
      <c r="CQ188" s="30"/>
      <c r="CR188" s="30"/>
      <c r="CS188" s="30"/>
      <c r="CT188" s="30"/>
      <c r="CU188" s="30"/>
      <c r="CV188" s="30"/>
      <c r="CW188" s="30"/>
      <c r="CX188" s="30"/>
      <c r="CY188" s="30"/>
      <c r="CZ188" s="30"/>
      <c r="DA188" s="30"/>
    </row>
    <row r="189" spans="1:105" ht="19.2" thickTop="1" thickBot="1" x14ac:dyDescent="0.4">
      <c r="A189" s="30"/>
      <c r="B189" s="30"/>
      <c r="C189" s="356" t="s">
        <v>276</v>
      </c>
      <c r="D189" s="357" t="s">
        <v>766</v>
      </c>
      <c r="E189" s="35" t="str">
        <f>_xlfn.XLOOKUP(Tabella4[[#This Row],[NOME]],'ROSE SQUADRE'!$N$3:$N$253,'ROSE SQUADRE'!$O$3:$O$253,"")</f>
        <v>PESCICULINI</v>
      </c>
      <c r="F189" s="36" t="s">
        <v>162</v>
      </c>
      <c r="G189" s="43">
        <v>17</v>
      </c>
      <c r="H189" s="43">
        <v>17</v>
      </c>
      <c r="I189" s="44">
        <f t="shared" si="13"/>
        <v>0</v>
      </c>
      <c r="J189" s="37">
        <f t="shared" si="14"/>
        <v>4</v>
      </c>
      <c r="K189" s="38">
        <f t="shared" si="15"/>
        <v>6.5</v>
      </c>
      <c r="L189" s="38">
        <f t="shared" si="16"/>
        <v>7.5</v>
      </c>
      <c r="M189" s="39">
        <f t="shared" si="17"/>
        <v>30</v>
      </c>
      <c r="N189" s="45">
        <f t="shared" ca="1" si="18"/>
        <v>0</v>
      </c>
      <c r="O189" s="40">
        <f>SUMIF(Tabella1[Nome],Tabella4[[#This Row],[NOME]],Tabella1[Gf])</f>
        <v>1</v>
      </c>
      <c r="P189" s="40">
        <f>-(SUMIF(Tabella1[Nome],Tabella4[[#This Row],[NOME]],Tabella1[Gs]))</f>
        <v>0</v>
      </c>
      <c r="Q189" s="40">
        <f>SUMIF(Tabella1[Nome],Tabella4[[#This Row],[NOME]],Tabella1[Rp])</f>
        <v>0</v>
      </c>
      <c r="R189" s="40">
        <f>SUMIF(Tabella1[Nome],Tabella4[[#This Row],[NOME]],Tabella1[Rs])</f>
        <v>0</v>
      </c>
      <c r="S189" s="40">
        <f>SUMIF(Tabella1[Nome],Tabella4[[#This Row],[NOME]],Tabella1[Rf])</f>
        <v>0</v>
      </c>
      <c r="T189" s="40">
        <f>SUMIF(Tabella1[Nome],Tabella4[[#This Row],[NOME]],Tabella1[Au])</f>
        <v>0</v>
      </c>
      <c r="U189" s="41">
        <f>SUMIF(Tabella1[Nome],Tabella4[[#This Row],[NOME]],Tabella1[Amm])</f>
        <v>0</v>
      </c>
      <c r="V189" s="42">
        <f>SUMIF(Tabella1[Nome],Tabella4[[#This Row],[NOME]],Tabella1[Esp])</f>
        <v>0</v>
      </c>
      <c r="W189" s="40">
        <f>SUMIF(Tabella1[Nome],Tabella4[[#This Row],[NOME]],Tabella1[Ass])</f>
        <v>1</v>
      </c>
      <c r="X189" s="40">
        <f>SUMIF(Tabella1[Nome],Tabella4[[#This Row],[NOME]],Tabella1[Gdv])</f>
        <v>0</v>
      </c>
      <c r="Y189" s="40">
        <f>SUMIF(Tabella1[Nome],Tabella4[[#This Row],[NOME]],Tabella1[cl sh])</f>
        <v>0</v>
      </c>
      <c r="Z189" s="270">
        <f>_xlfn.IFNA(_xlfn.XLOOKUP(CONCATENATE(Z$4,$C189),Tabella1[CONC X VOTI IN TAB GIOC],Tabella1[Voto],""),"")</f>
        <v>6</v>
      </c>
      <c r="AA189" s="270">
        <f>_xlfn.IFNA(_xlfn.XLOOKUP(CONCATENATE(AA$4,$C189),Tabella1[CONC X VOTI IN TAB GIOC],Tabella1[Voto],""),"")</f>
        <v>7</v>
      </c>
      <c r="AB189" s="270">
        <f>_xlfn.IFNA(_xlfn.XLOOKUP(CONCATENATE(AB$4,$C189),Tabella1[CONC X VOTI IN TAB GIOC],Tabella1[Voto]),"")</f>
        <v>5.5</v>
      </c>
      <c r="AC189" s="270" cm="1">
        <f t="array" ref="AC189">_xlfn.IFNA(_xlfn.XLOOKUP(CONCATENATE(AC$4,$C189),INDEX(Tabella1[],0,MATCH("CONC X VOTI IN TAB GIOC",Tabella1[#Headers],0)),INDEX(Tabella1[],0,MATCH("Voto",Tabella1[#Headers],0))),"")</f>
        <v>7.5</v>
      </c>
      <c r="AD189" s="270" t="str">
        <f>_xlfn.IFNA(_xlfn.XLOOKUP(CONCATENATE(AD$4,$C189),Tabella1[CONC X VOTI IN TAB GIOC],Tabella1[Voto]),"")</f>
        <v/>
      </c>
      <c r="AE189" s="270" t="str">
        <f>_xlfn.IFNA(VLOOKUP(CONCATENATE(AE$4,$C189),'INSER DATA'!$A:$F,6,0),"")</f>
        <v/>
      </c>
      <c r="AF189" s="270" t="str">
        <f>_xlfn.IFNA(VLOOKUP(CONCATENATE(AF$4,$C189),'INSER DATA'!$A:$F,6,0),"")</f>
        <v/>
      </c>
      <c r="AG189" s="270" t="str">
        <f>_xlfn.IFNA(VLOOKUP(CONCATENATE(AG$4,$C189),'INSER DATA'!$A:$F,6,0),"")</f>
        <v/>
      </c>
      <c r="AH189" s="270" t="str">
        <f>_xlfn.IFNA(VLOOKUP(CONCATENATE(AH$4,$C189),'INSER DATA'!$A:$F,7,0),"")</f>
        <v/>
      </c>
      <c r="AI189" s="270" t="str">
        <f>_xlfn.IFNA(VLOOKUP(CONCATENATE(AI$4,$C189),'INSER DATA'!$A:$F,7,0),"")</f>
        <v/>
      </c>
      <c r="AJ189" s="270" t="str">
        <f>_xlfn.IFNA(VLOOKUP(CONCATENATE(AJ$4,$C189),'INSER DATA'!$A:$F,7,0),"")</f>
        <v/>
      </c>
      <c r="AK189" s="270" t="str">
        <f>_xlfn.IFNA(VLOOKUP(CONCATENATE(AK$4,$C189),'INSER DATA'!$A:$F,7,0),"")</f>
        <v/>
      </c>
      <c r="AL189" s="270" t="str">
        <f>_xlfn.IFNA(VLOOKUP(CONCATENATE(AL$4,$C189),'INSER DATA'!$A:$F,7,0),"")</f>
        <v/>
      </c>
      <c r="AM189" s="270" t="str">
        <f>_xlfn.IFNA(VLOOKUP(CONCATENATE(AM$4,$C189),'INSER DATA'!$A:$F,7,0),"")</f>
        <v/>
      </c>
      <c r="AN189" s="270" t="str">
        <f>_xlfn.IFNA(VLOOKUP(CONCATENATE(AN$4,$C189),'INSER DATA'!$A:$F,7,0),"")</f>
        <v/>
      </c>
      <c r="AO189" s="270" t="str">
        <f>_xlfn.IFNA(VLOOKUP(CONCATENATE(AO$4,$C189),'INSER DATA'!$A:$F,7,0),"")</f>
        <v/>
      </c>
      <c r="AP189" s="270" t="str">
        <f>_xlfn.IFNA(VLOOKUP(CONCATENATE(AP$4,$C189),'INSER DATA'!$A:$F,7,0),"")</f>
        <v/>
      </c>
      <c r="AQ189" s="270" t="str">
        <f>_xlfn.IFNA(VLOOKUP(CONCATENATE(AQ$4,$C189),'INSER DATA'!$A:$F,7,0),"")</f>
        <v/>
      </c>
      <c r="AR189" s="270" t="str">
        <f>_xlfn.IFNA(VLOOKUP(CONCATENATE(AR$4,$C189),'INSER DATA'!$A:$F,7,0),"")</f>
        <v/>
      </c>
      <c r="AS189" s="270" t="str">
        <f>_xlfn.IFNA(VLOOKUP(CONCATENATE(AS$4,$C189),'INSER DATA'!$A:$F,7,0),"")</f>
        <v/>
      </c>
      <c r="AT189" s="270" t="str">
        <f>_xlfn.IFNA(VLOOKUP(CONCATENATE(AT$4,$C189),'INSER DATA'!$A:$F,7,0),"")</f>
        <v/>
      </c>
      <c r="AU189" s="270" t="str">
        <f>_xlfn.IFNA(VLOOKUP(CONCATENATE(AU$4,$C189),'INSER DATA'!$A:$F,7,0),"")</f>
        <v/>
      </c>
      <c r="AV189" s="270" t="str">
        <f>_xlfn.IFNA(VLOOKUP(CONCATENATE(AV$4,$C189),'INSER DATA'!$A:$F,7,0),"")</f>
        <v/>
      </c>
      <c r="AW189" s="270" t="str">
        <f>_xlfn.IFNA(VLOOKUP(CONCATENATE(AW$4,$C189),'INSER DATA'!$A:$F,7,0),"")</f>
        <v/>
      </c>
      <c r="AX189" s="270" t="str">
        <f>_xlfn.IFNA(VLOOKUP(CONCATENATE(AX$4,$C189),'INSER DATA'!$A:$F,7,0),"")</f>
        <v/>
      </c>
      <c r="AY189" s="270" t="str">
        <f>_xlfn.IFNA(VLOOKUP(CONCATENATE(AY$4,$C189),'INSER DATA'!$A:$F,7,0),"")</f>
        <v/>
      </c>
      <c r="AZ189" s="270" t="str">
        <f>_xlfn.IFNA(VLOOKUP(CONCATENATE(AZ$4,$C189),'INSER DATA'!$A:$F,7,0),"")</f>
        <v/>
      </c>
      <c r="BA189" s="270" t="str">
        <f>_xlfn.IFNA(VLOOKUP(CONCATENATE(BA$4,$C189),'INSER DATA'!$A:$F,7,0),"")</f>
        <v/>
      </c>
      <c r="BB189" s="270" t="str">
        <f>_xlfn.IFNA(VLOOKUP(CONCATENATE(BB$4,$C189),'INSER DATA'!$A:$F,7,0),"")</f>
        <v/>
      </c>
      <c r="BC189" s="270" t="str">
        <f>_xlfn.IFNA(VLOOKUP(CONCATENATE(BC$4,$C189),'INSER DATA'!$A:$F,7,0),"")</f>
        <v/>
      </c>
      <c r="BD189" s="270" t="str">
        <f>_xlfn.IFNA(VLOOKUP(CONCATENATE(BD$4,$C189),'INSER DATA'!$A:$F,7,0),"")</f>
        <v/>
      </c>
      <c r="BE189" s="270" t="str">
        <f>_xlfn.IFNA(VLOOKUP(CONCATENATE(BE$4,$C189),'INSER DATA'!$A:$F,7,0),"")</f>
        <v/>
      </c>
      <c r="BF189" s="270" t="str">
        <f>_xlfn.IFNA(VLOOKUP(CONCATENATE(BF$4,$C189),'INSER DATA'!$A:$F,7,0),"")</f>
        <v/>
      </c>
      <c r="BG189" s="270" t="str">
        <f>_xlfn.IFNA(VLOOKUP(CONCATENATE(BG$4,$C189),'INSER DATA'!$A:$F,7,0),"")</f>
        <v/>
      </c>
      <c r="BH189" s="270" t="str">
        <f>_xlfn.IFNA(VLOOKUP(CONCATENATE(BH$4,$C189),'INSER DATA'!$A:$F,7,0),"")</f>
        <v/>
      </c>
      <c r="BI189" s="270" t="str">
        <f>_xlfn.IFNA(VLOOKUP(CONCATENATE(BI$4,$C189),'INSER DATA'!$A:$F,7,0),"")</f>
        <v/>
      </c>
      <c r="BJ189" s="270" t="str">
        <f>_xlfn.IFNA(VLOOKUP(CONCATENATE(BJ$4,$C189),'INSER DATA'!$A:$F,7,0),"")</f>
        <v/>
      </c>
      <c r="BK189" s="270" t="str">
        <f>_xlfn.IFNA(VLOOKUP(CONCATENATE(BK$4,$C189),'INSER DATA'!$A:$F,7,0),"")</f>
        <v/>
      </c>
      <c r="BL189" s="272"/>
      <c r="BM189" s="30"/>
      <c r="BN189" s="30"/>
      <c r="BO189" s="30"/>
      <c r="BP189" s="30"/>
      <c r="BQ189" s="30"/>
      <c r="BR189" s="30"/>
      <c r="BS189" s="30"/>
      <c r="BT189" s="30"/>
      <c r="BU189" s="30"/>
      <c r="BV189" s="30"/>
      <c r="BW189" s="30"/>
      <c r="BX189" s="30"/>
      <c r="BY189" s="30"/>
      <c r="BZ189" s="30"/>
      <c r="CA189" s="30"/>
      <c r="CB189" s="30"/>
      <c r="CC189" s="30"/>
      <c r="CD189" s="30"/>
      <c r="CE189" s="30"/>
      <c r="CF189" s="30"/>
      <c r="CG189" s="30"/>
      <c r="CH189" s="30"/>
      <c r="CI189" s="30"/>
      <c r="CJ189" s="30"/>
      <c r="CK189" s="30"/>
      <c r="CL189" s="30"/>
      <c r="CM189" s="30"/>
      <c r="CN189" s="30"/>
      <c r="CO189" s="30"/>
      <c r="CP189" s="30"/>
      <c r="CQ189" s="30"/>
      <c r="CR189" s="30"/>
      <c r="CS189" s="30"/>
      <c r="CT189" s="30"/>
      <c r="CU189" s="30"/>
      <c r="CV189" s="30"/>
      <c r="CW189" s="30"/>
      <c r="CX189" s="30"/>
      <c r="CY189" s="30"/>
      <c r="CZ189" s="30"/>
      <c r="DA189" s="30"/>
    </row>
    <row r="190" spans="1:105" ht="19.2" thickTop="1" thickBot="1" x14ac:dyDescent="0.4">
      <c r="A190" s="30"/>
      <c r="B190" s="30"/>
      <c r="C190" s="356" t="s">
        <v>774</v>
      </c>
      <c r="D190" s="357" t="s">
        <v>766</v>
      </c>
      <c r="E190" s="35" t="str">
        <f>_xlfn.XLOOKUP(Tabella4[[#This Row],[NOME]],'ROSE SQUADRE'!$N$3:$N$253,'ROSE SQUADRE'!$O$3:$O$253,"")</f>
        <v>AC ASPARAGHESE</v>
      </c>
      <c r="F190" s="36" t="s">
        <v>162</v>
      </c>
      <c r="G190" s="43">
        <v>8</v>
      </c>
      <c r="H190" s="43">
        <v>8</v>
      </c>
      <c r="I190" s="44">
        <f t="shared" si="13"/>
        <v>0</v>
      </c>
      <c r="J190" s="37">
        <f t="shared" si="14"/>
        <v>3</v>
      </c>
      <c r="K190" s="178">
        <f t="shared" si="15"/>
        <v>6.166666666666667</v>
      </c>
      <c r="L190" s="178">
        <f t="shared" si="16"/>
        <v>6.166666666666667</v>
      </c>
      <c r="M190" s="179">
        <f t="shared" si="17"/>
        <v>18.5</v>
      </c>
      <c r="N190" s="45">
        <f t="shared" ca="1" si="18"/>
        <v>0</v>
      </c>
      <c r="O190" s="40">
        <f>SUMIF(Tabella1[Nome],Tabella4[[#This Row],[NOME]],Tabella1[Gf])</f>
        <v>0</v>
      </c>
      <c r="P190" s="40">
        <f>-(SUMIF(Tabella1[Nome],Tabella4[[#This Row],[NOME]],Tabella1[Gs]))</f>
        <v>0</v>
      </c>
      <c r="Q190" s="40">
        <f>SUMIF(Tabella1[Nome],Tabella4[[#This Row],[NOME]],Tabella1[Rp])</f>
        <v>0</v>
      </c>
      <c r="R190" s="40">
        <f>SUMIF(Tabella1[Nome],Tabella4[[#This Row],[NOME]],Tabella1[Rs])</f>
        <v>0</v>
      </c>
      <c r="S190" s="40">
        <f>SUMIF(Tabella1[Nome],Tabella4[[#This Row],[NOME]],Tabella1[Rf])</f>
        <v>0</v>
      </c>
      <c r="T190" s="40">
        <f>SUMIF(Tabella1[Nome],Tabella4[[#This Row],[NOME]],Tabella1[Au])</f>
        <v>0</v>
      </c>
      <c r="U190" s="41">
        <f>SUMIF(Tabella1[Nome],Tabella4[[#This Row],[NOME]],Tabella1[Amm])</f>
        <v>0</v>
      </c>
      <c r="V190" s="42">
        <f>SUMIF(Tabella1[Nome],Tabella4[[#This Row],[NOME]],Tabella1[Esp])</f>
        <v>0</v>
      </c>
      <c r="W190" s="40">
        <f>SUMIF(Tabella1[Nome],Tabella4[[#This Row],[NOME]],Tabella1[Ass])</f>
        <v>0</v>
      </c>
      <c r="X190" s="40">
        <f>SUMIF(Tabella1[Nome],Tabella4[[#This Row],[NOME]],Tabella1[Gdv])</f>
        <v>0</v>
      </c>
      <c r="Y190" s="40">
        <f>SUMIF(Tabella1[Nome],Tabella4[[#This Row],[NOME]],Tabella1[cl sh])</f>
        <v>0</v>
      </c>
      <c r="Z190" s="270">
        <f>_xlfn.IFNA(_xlfn.XLOOKUP(CONCATENATE(Z$4,$C190),Tabella1[CONC X VOTI IN TAB GIOC],Tabella1[Voto],""),"")</f>
        <v>6.5</v>
      </c>
      <c r="AA190" s="270">
        <f>_xlfn.IFNA(_xlfn.XLOOKUP(CONCATENATE(AA$4,$C190),Tabella1[CONC X VOTI IN TAB GIOC],Tabella1[Voto],""),"")</f>
        <v>6.5</v>
      </c>
      <c r="AB190" s="270">
        <f>_xlfn.IFNA(_xlfn.XLOOKUP(CONCATENATE(AB$4,$C190),Tabella1[CONC X VOTI IN TAB GIOC],Tabella1[Voto]),"")</f>
        <v>5.5</v>
      </c>
      <c r="AC190" s="270" t="str" cm="1">
        <f t="array" ref="AC190">_xlfn.IFNA(_xlfn.XLOOKUP(CONCATENATE(AC$4,$C190),INDEX(Tabella1[],0,MATCH("CONC X VOTI IN TAB GIOC",Tabella1[#Headers],0)),INDEX(Tabella1[],0,MATCH("Voto",Tabella1[#Headers],0))),"")</f>
        <v/>
      </c>
      <c r="AD190" s="270" t="str">
        <f>_xlfn.IFNA(_xlfn.XLOOKUP(CONCATENATE(AD$4,$C190),Tabella1[CONC X VOTI IN TAB GIOC],Tabella1[Voto]),"")</f>
        <v/>
      </c>
      <c r="AE190" s="270" t="str">
        <f>_xlfn.IFNA(VLOOKUP(CONCATENATE(AE$4,$C190),'INSER DATA'!$A:$F,6,0),"")</f>
        <v/>
      </c>
      <c r="AF190" s="270" t="str">
        <f>_xlfn.IFNA(VLOOKUP(CONCATENATE(AF$4,$C190),'INSER DATA'!$A:$F,6,0),"")</f>
        <v/>
      </c>
      <c r="AG190" s="270" t="str">
        <f>_xlfn.IFNA(VLOOKUP(CONCATENATE(AG$4,$C190),'INSER DATA'!$A:$F,6,0),"")</f>
        <v/>
      </c>
      <c r="AH190" s="270" t="str">
        <f>_xlfn.IFNA(VLOOKUP(CONCATENATE(AH$4,$C190),'INSER DATA'!$A:$F,7,0),"")</f>
        <v/>
      </c>
      <c r="AI190" s="270" t="str">
        <f>_xlfn.IFNA(VLOOKUP(CONCATENATE(AI$4,$C190),'INSER DATA'!$A:$F,7,0),"")</f>
        <v/>
      </c>
      <c r="AJ190" s="270" t="str">
        <f>_xlfn.IFNA(VLOOKUP(CONCATENATE(AJ$4,$C190),'INSER DATA'!$A:$F,7,0),"")</f>
        <v/>
      </c>
      <c r="AK190" s="270" t="str">
        <f>_xlfn.IFNA(VLOOKUP(CONCATENATE(AK$4,$C190),'INSER DATA'!$A:$F,7,0),"")</f>
        <v/>
      </c>
      <c r="AL190" s="270" t="str">
        <f>_xlfn.IFNA(VLOOKUP(CONCATENATE(AL$4,$C190),'INSER DATA'!$A:$F,7,0),"")</f>
        <v/>
      </c>
      <c r="AM190" s="270" t="str">
        <f>_xlfn.IFNA(VLOOKUP(CONCATENATE(AM$4,$C190),'INSER DATA'!$A:$F,7,0),"")</f>
        <v/>
      </c>
      <c r="AN190" s="270" t="str">
        <f>_xlfn.IFNA(VLOOKUP(CONCATENATE(AN$4,$C190),'INSER DATA'!$A:$F,7,0),"")</f>
        <v/>
      </c>
      <c r="AO190" s="270" t="str">
        <f>_xlfn.IFNA(VLOOKUP(CONCATENATE(AO$4,$C190),'INSER DATA'!$A:$F,7,0),"")</f>
        <v/>
      </c>
      <c r="AP190" s="270" t="str">
        <f>_xlfn.IFNA(VLOOKUP(CONCATENATE(AP$4,$C190),'INSER DATA'!$A:$F,7,0),"")</f>
        <v/>
      </c>
      <c r="AQ190" s="270" t="str">
        <f>_xlfn.IFNA(VLOOKUP(CONCATENATE(AQ$4,$C190),'INSER DATA'!$A:$F,7,0),"")</f>
        <v/>
      </c>
      <c r="AR190" s="270" t="str">
        <f>_xlfn.IFNA(VLOOKUP(CONCATENATE(AR$4,$C190),'INSER DATA'!$A:$F,7,0),"")</f>
        <v/>
      </c>
      <c r="AS190" s="270" t="str">
        <f>_xlfn.IFNA(VLOOKUP(CONCATENATE(AS$4,$C190),'INSER DATA'!$A:$F,7,0),"")</f>
        <v/>
      </c>
      <c r="AT190" s="270" t="str">
        <f>_xlfn.IFNA(VLOOKUP(CONCATENATE(AT$4,$C190),'INSER DATA'!$A:$F,7,0),"")</f>
        <v/>
      </c>
      <c r="AU190" s="270" t="str">
        <f>_xlfn.IFNA(VLOOKUP(CONCATENATE(AU$4,$C190),'INSER DATA'!$A:$F,7,0),"")</f>
        <v/>
      </c>
      <c r="AV190" s="270" t="str">
        <f>_xlfn.IFNA(VLOOKUP(CONCATENATE(AV$4,$C190),'INSER DATA'!$A:$F,7,0),"")</f>
        <v/>
      </c>
      <c r="AW190" s="270" t="str">
        <f>_xlfn.IFNA(VLOOKUP(CONCATENATE(AW$4,$C190),'INSER DATA'!$A:$F,7,0),"")</f>
        <v/>
      </c>
      <c r="AX190" s="270" t="str">
        <f>_xlfn.IFNA(VLOOKUP(CONCATENATE(AX$4,$C190),'INSER DATA'!$A:$F,7,0),"")</f>
        <v/>
      </c>
      <c r="AY190" s="270" t="str">
        <f>_xlfn.IFNA(VLOOKUP(CONCATENATE(AY$4,$C190),'INSER DATA'!$A:$F,7,0),"")</f>
        <v/>
      </c>
      <c r="AZ190" s="270" t="str">
        <f>_xlfn.IFNA(VLOOKUP(CONCATENATE(AZ$4,$C190),'INSER DATA'!$A:$F,7,0),"")</f>
        <v/>
      </c>
      <c r="BA190" s="270" t="str">
        <f>_xlfn.IFNA(VLOOKUP(CONCATENATE(BA$4,$C190),'INSER DATA'!$A:$F,7,0),"")</f>
        <v/>
      </c>
      <c r="BB190" s="270" t="str">
        <f>_xlfn.IFNA(VLOOKUP(CONCATENATE(BB$4,$C190),'INSER DATA'!$A:$F,7,0),"")</f>
        <v/>
      </c>
      <c r="BC190" s="270" t="str">
        <f>_xlfn.IFNA(VLOOKUP(CONCATENATE(BC$4,$C190),'INSER DATA'!$A:$F,7,0),"")</f>
        <v/>
      </c>
      <c r="BD190" s="270" t="str">
        <f>_xlfn.IFNA(VLOOKUP(CONCATENATE(BD$4,$C190),'INSER DATA'!$A:$F,7,0),"")</f>
        <v/>
      </c>
      <c r="BE190" s="270" t="str">
        <f>_xlfn.IFNA(VLOOKUP(CONCATENATE(BE$4,$C190),'INSER DATA'!$A:$F,7,0),"")</f>
        <v/>
      </c>
      <c r="BF190" s="270" t="str">
        <f>_xlfn.IFNA(VLOOKUP(CONCATENATE(BF$4,$C190),'INSER DATA'!$A:$F,7,0),"")</f>
        <v/>
      </c>
      <c r="BG190" s="270" t="str">
        <f>_xlfn.IFNA(VLOOKUP(CONCATENATE(BG$4,$C190),'INSER DATA'!$A:$F,7,0),"")</f>
        <v/>
      </c>
      <c r="BH190" s="270" t="str">
        <f>_xlfn.IFNA(VLOOKUP(CONCATENATE(BH$4,$C190),'INSER DATA'!$A:$F,7,0),"")</f>
        <v/>
      </c>
      <c r="BI190" s="270" t="str">
        <f>_xlfn.IFNA(VLOOKUP(CONCATENATE(BI$4,$C190),'INSER DATA'!$A:$F,7,0),"")</f>
        <v/>
      </c>
      <c r="BJ190" s="270" t="str">
        <f>_xlfn.IFNA(VLOOKUP(CONCATENATE(BJ$4,$C190),'INSER DATA'!$A:$F,7,0),"")</f>
        <v/>
      </c>
      <c r="BK190" s="270" t="str">
        <f>_xlfn.IFNA(VLOOKUP(CONCATENATE(BK$4,$C190),'INSER DATA'!$A:$F,7,0),"")</f>
        <v/>
      </c>
      <c r="BL190" s="272"/>
      <c r="BM190" s="30"/>
      <c r="BN190" s="30"/>
      <c r="BO190" s="30"/>
      <c r="BP190" s="30"/>
      <c r="BQ190" s="30"/>
      <c r="BR190" s="30"/>
      <c r="BS190" s="30"/>
      <c r="BT190" s="30"/>
      <c r="BU190" s="30"/>
      <c r="BV190" s="30"/>
      <c r="BW190" s="30"/>
      <c r="BX190" s="30"/>
      <c r="BY190" s="30"/>
      <c r="BZ190" s="30"/>
      <c r="CA190" s="30"/>
      <c r="CB190" s="30"/>
      <c r="CC190" s="30"/>
      <c r="CD190" s="30"/>
      <c r="CE190" s="30"/>
      <c r="CF190" s="30"/>
      <c r="CG190" s="30"/>
      <c r="CH190" s="30"/>
      <c r="CI190" s="30"/>
      <c r="CJ190" s="30"/>
      <c r="CK190" s="30"/>
      <c r="CL190" s="30"/>
      <c r="CM190" s="30"/>
      <c r="CN190" s="30"/>
      <c r="CO190" s="30"/>
      <c r="CP190" s="30"/>
      <c r="CQ190" s="30"/>
      <c r="CR190" s="30"/>
      <c r="CS190" s="30"/>
      <c r="CT190" s="30"/>
      <c r="CU190" s="30"/>
      <c r="CV190" s="30"/>
      <c r="CW190" s="30"/>
      <c r="CX190" s="30"/>
      <c r="CY190" s="30"/>
      <c r="CZ190" s="30"/>
      <c r="DA190" s="30"/>
    </row>
    <row r="191" spans="1:105" s="184" customFormat="1" ht="19.2" thickTop="1" thickBot="1" x14ac:dyDescent="0.4">
      <c r="C191" s="356" t="s">
        <v>243</v>
      </c>
      <c r="D191" s="357" t="s">
        <v>766</v>
      </c>
      <c r="E191" s="35" t="str">
        <f>_xlfn.XLOOKUP(Tabella4[[#This Row],[NOME]],'ROSE SQUADRE'!$N$3:$N$253,'ROSE SQUADRE'!$O$3:$O$253,"")</f>
        <v>SAN GRIA</v>
      </c>
      <c r="F191" s="36" t="s">
        <v>161</v>
      </c>
      <c r="G191" s="43">
        <v>14</v>
      </c>
      <c r="H191" s="43">
        <v>14</v>
      </c>
      <c r="I191" s="44">
        <f t="shared" si="13"/>
        <v>0</v>
      </c>
      <c r="J191" s="37">
        <f t="shared" si="14"/>
        <v>4</v>
      </c>
      <c r="K191" s="178">
        <f t="shared" si="15"/>
        <v>6.125</v>
      </c>
      <c r="L191" s="178">
        <f t="shared" si="16"/>
        <v>6.125</v>
      </c>
      <c r="M191" s="179">
        <f t="shared" si="17"/>
        <v>24.5</v>
      </c>
      <c r="N191" s="45">
        <f t="shared" ca="1" si="18"/>
        <v>1</v>
      </c>
      <c r="O191" s="40">
        <f>SUMIF(Tabella1[Nome],Tabella4[[#This Row],[NOME]],Tabella1[Gf])</f>
        <v>0</v>
      </c>
      <c r="P191" s="40">
        <f>-(SUMIF(Tabella1[Nome],Tabella4[[#This Row],[NOME]],Tabella1[Gs]))</f>
        <v>0</v>
      </c>
      <c r="Q191" s="40">
        <f>SUMIF(Tabella1[Nome],Tabella4[[#This Row],[NOME]],Tabella1[Rp])</f>
        <v>0</v>
      </c>
      <c r="R191" s="40">
        <f>SUMIF(Tabella1[Nome],Tabella4[[#This Row],[NOME]],Tabella1[Rs])</f>
        <v>0</v>
      </c>
      <c r="S191" s="40">
        <f>SUMIF(Tabella1[Nome],Tabella4[[#This Row],[NOME]],Tabella1[Rf])</f>
        <v>0</v>
      </c>
      <c r="T191" s="40">
        <f>SUMIF(Tabella1[Nome],Tabella4[[#This Row],[NOME]],Tabella1[Au])</f>
        <v>0</v>
      </c>
      <c r="U191" s="41">
        <f>SUMIF(Tabella1[Nome],Tabella4[[#This Row],[NOME]],Tabella1[Amm])</f>
        <v>0</v>
      </c>
      <c r="V191" s="42">
        <f>SUMIF(Tabella1[Nome],Tabella4[[#This Row],[NOME]],Tabella1[Esp])</f>
        <v>0</v>
      </c>
      <c r="W191" s="40">
        <f>SUMIF(Tabella1[Nome],Tabella4[[#This Row],[NOME]],Tabella1[Ass])</f>
        <v>0</v>
      </c>
      <c r="X191" s="40">
        <f>SUMIF(Tabella1[Nome],Tabella4[[#This Row],[NOME]],Tabella1[Gdv])</f>
        <v>0</v>
      </c>
      <c r="Y191" s="40">
        <f>SUMIF(Tabella1[Nome],Tabella4[[#This Row],[NOME]],Tabella1[cl sh])</f>
        <v>0</v>
      </c>
      <c r="Z191" s="270">
        <f>_xlfn.IFNA(_xlfn.XLOOKUP(CONCATENATE(Z$4,$C191),Tabella1[CONC X VOTI IN TAB GIOC],Tabella1[Voto],""),"")</f>
        <v>6</v>
      </c>
      <c r="AA191" s="270">
        <f>_xlfn.IFNA(_xlfn.XLOOKUP(CONCATENATE(AA$4,$C191),Tabella1[CONC X VOTI IN TAB GIOC],Tabella1[Voto],""),"")</f>
        <v>6.5</v>
      </c>
      <c r="AB191" s="400">
        <f>_xlfn.IFNA(_xlfn.XLOOKUP(CONCATENATE(AB$4,$C191),Tabella1[CONC X VOTI IN TAB GIOC],Tabella1[Voto]),"")</f>
        <v>5.5</v>
      </c>
      <c r="AC191" s="270" cm="1">
        <f t="array" ref="AC191">_xlfn.IFNA(_xlfn.XLOOKUP(CONCATENATE(AC$4,$C191),INDEX(Tabella1[],0,MATCH("CONC X VOTI IN TAB GIOC",Tabella1[#Headers],0)),INDEX(Tabella1[],0,MATCH("Voto",Tabella1[#Headers],0))),"")</f>
        <v>6.5</v>
      </c>
      <c r="AD191" s="270" t="str">
        <f>_xlfn.IFNA(_xlfn.XLOOKUP(CONCATENATE(AD$4,$C191),Tabella1[CONC X VOTI IN TAB GIOC],Tabella1[Voto]),"")</f>
        <v/>
      </c>
      <c r="AE191" s="270" t="str">
        <f>_xlfn.IFNA(VLOOKUP(CONCATENATE(AE$4,$C191),'INSER DATA'!$A:$F,6,0),"")</f>
        <v/>
      </c>
      <c r="AF191" s="270" t="str">
        <f>_xlfn.IFNA(VLOOKUP(CONCATENATE(AF$4,$C191),'INSER DATA'!$A:$F,6,0),"")</f>
        <v/>
      </c>
      <c r="AG191" s="270" t="str">
        <f>_xlfn.IFNA(VLOOKUP(CONCATENATE(AG$4,$C191),'INSER DATA'!$A:$F,6,0),"")</f>
        <v/>
      </c>
      <c r="AH191" s="270" t="str">
        <f>_xlfn.IFNA(VLOOKUP(CONCATENATE(AH$4,$C191),'INSER DATA'!$A:$F,7,0),"")</f>
        <v/>
      </c>
      <c r="AI191" s="270" t="str">
        <f>_xlfn.IFNA(VLOOKUP(CONCATENATE(AI$4,$C191),'INSER DATA'!$A:$F,7,0),"")</f>
        <v/>
      </c>
      <c r="AJ191" s="270" t="str">
        <f>_xlfn.IFNA(VLOOKUP(CONCATENATE(AJ$4,$C191),'INSER DATA'!$A:$F,7,0),"")</f>
        <v/>
      </c>
      <c r="AK191" s="270" t="str">
        <f>_xlfn.IFNA(VLOOKUP(CONCATENATE(AK$4,$C191),'INSER DATA'!$A:$F,7,0),"")</f>
        <v/>
      </c>
      <c r="AL191" s="270" t="str">
        <f>_xlfn.IFNA(VLOOKUP(CONCATENATE(AL$4,$C191),'INSER DATA'!$A:$F,7,0),"")</f>
        <v/>
      </c>
      <c r="AM191" s="270" t="str">
        <f>_xlfn.IFNA(VLOOKUP(CONCATENATE(AM$4,$C191),'INSER DATA'!$A:$F,7,0),"")</f>
        <v/>
      </c>
      <c r="AN191" s="270" t="str">
        <f>_xlfn.IFNA(VLOOKUP(CONCATENATE(AN$4,$C191),'INSER DATA'!$A:$F,7,0),"")</f>
        <v/>
      </c>
      <c r="AO191" s="270" t="str">
        <f>_xlfn.IFNA(VLOOKUP(CONCATENATE(AO$4,$C191),'INSER DATA'!$A:$F,7,0),"")</f>
        <v/>
      </c>
      <c r="AP191" s="270" t="str">
        <f>_xlfn.IFNA(VLOOKUP(CONCATENATE(AP$4,$C191),'INSER DATA'!$A:$F,7,0),"")</f>
        <v/>
      </c>
      <c r="AQ191" s="270" t="str">
        <f>_xlfn.IFNA(VLOOKUP(CONCATENATE(AQ$4,$C191),'INSER DATA'!$A:$F,7,0),"")</f>
        <v/>
      </c>
      <c r="AR191" s="270" t="str">
        <f>_xlfn.IFNA(VLOOKUP(CONCATENATE(AR$4,$C191),'INSER DATA'!$A:$F,7,0),"")</f>
        <v/>
      </c>
      <c r="AS191" s="270" t="str">
        <f>_xlfn.IFNA(VLOOKUP(CONCATENATE(AS$4,$C191),'INSER DATA'!$A:$F,7,0),"")</f>
        <v/>
      </c>
      <c r="AT191" s="270" t="str">
        <f>_xlfn.IFNA(VLOOKUP(CONCATENATE(AT$4,$C191),'INSER DATA'!$A:$F,7,0),"")</f>
        <v/>
      </c>
      <c r="AU191" s="270" t="str">
        <f>_xlfn.IFNA(VLOOKUP(CONCATENATE(AU$4,$C191),'INSER DATA'!$A:$F,7,0),"")</f>
        <v/>
      </c>
      <c r="AV191" s="270" t="str">
        <f>_xlfn.IFNA(VLOOKUP(CONCATENATE(AV$4,$C191),'INSER DATA'!$A:$F,7,0),"")</f>
        <v/>
      </c>
      <c r="AW191" s="270" t="str">
        <f>_xlfn.IFNA(VLOOKUP(CONCATENATE(AW$4,$C191),'INSER DATA'!$A:$F,7,0),"")</f>
        <v/>
      </c>
      <c r="AX191" s="270" t="str">
        <f>_xlfn.IFNA(VLOOKUP(CONCATENATE(AX$4,$C191),'INSER DATA'!$A:$F,7,0),"")</f>
        <v/>
      </c>
      <c r="AY191" s="270" t="str">
        <f>_xlfn.IFNA(VLOOKUP(CONCATENATE(AY$4,$C191),'INSER DATA'!$A:$F,7,0),"")</f>
        <v/>
      </c>
      <c r="AZ191" s="270" t="str">
        <f>_xlfn.IFNA(VLOOKUP(CONCATENATE(AZ$4,$C191),'INSER DATA'!$A:$F,7,0),"")</f>
        <v/>
      </c>
      <c r="BA191" s="270" t="str">
        <f>_xlfn.IFNA(VLOOKUP(CONCATENATE(BA$4,$C191),'INSER DATA'!$A:$F,7,0),"")</f>
        <v/>
      </c>
      <c r="BB191" s="270" t="str">
        <f>_xlfn.IFNA(VLOOKUP(CONCATENATE(BB$4,$C191),'INSER DATA'!$A:$F,7,0),"")</f>
        <v/>
      </c>
      <c r="BC191" s="270" t="str">
        <f>_xlfn.IFNA(VLOOKUP(CONCATENATE(BC$4,$C191),'INSER DATA'!$A:$F,7,0),"")</f>
        <v/>
      </c>
      <c r="BD191" s="270" t="str">
        <f>_xlfn.IFNA(VLOOKUP(CONCATENATE(BD$4,$C191),'INSER DATA'!$A:$F,7,0),"")</f>
        <v/>
      </c>
      <c r="BE191" s="270" t="str">
        <f>_xlfn.IFNA(VLOOKUP(CONCATENATE(BE$4,$C191),'INSER DATA'!$A:$F,7,0),"")</f>
        <v/>
      </c>
      <c r="BF191" s="270" t="str">
        <f>_xlfn.IFNA(VLOOKUP(CONCATENATE(BF$4,$C191),'INSER DATA'!$A:$F,7,0),"")</f>
        <v/>
      </c>
      <c r="BG191" s="270" t="str">
        <f>_xlfn.IFNA(VLOOKUP(CONCATENATE(BG$4,$C191),'INSER DATA'!$A:$F,7,0),"")</f>
        <v/>
      </c>
      <c r="BH191" s="270" t="str">
        <f>_xlfn.IFNA(VLOOKUP(CONCATENATE(BH$4,$C191),'INSER DATA'!$A:$F,7,0),"")</f>
        <v/>
      </c>
      <c r="BI191" s="270" t="str">
        <f>_xlfn.IFNA(VLOOKUP(CONCATENATE(BI$4,$C191),'INSER DATA'!$A:$F,7,0),"")</f>
        <v/>
      </c>
      <c r="BJ191" s="270" t="str">
        <f>_xlfn.IFNA(VLOOKUP(CONCATENATE(BJ$4,$C191),'INSER DATA'!$A:$F,7,0),"")</f>
        <v/>
      </c>
      <c r="BK191" s="270" t="str">
        <f>_xlfn.IFNA(VLOOKUP(CONCATENATE(BK$4,$C191),'INSER DATA'!$A:$F,7,0),"")</f>
        <v/>
      </c>
      <c r="BL191" s="272"/>
    </row>
    <row r="192" spans="1:105" ht="19.2" thickTop="1" thickBot="1" x14ac:dyDescent="0.4">
      <c r="A192" s="30"/>
      <c r="B192" s="30"/>
      <c r="C192" s="358" t="s">
        <v>275</v>
      </c>
      <c r="D192" s="359" t="s">
        <v>766</v>
      </c>
      <c r="E192" s="35" t="str">
        <f>_xlfn.XLOOKUP(Tabella4[[#This Row],[NOME]],'ROSE SQUADRE'!$N$3:$N$253,'ROSE SQUADRE'!$O$3:$O$253,"")</f>
        <v>TRICCHETRACHT</v>
      </c>
      <c r="F192" s="36" t="s">
        <v>161</v>
      </c>
      <c r="G192" s="43">
        <v>32</v>
      </c>
      <c r="H192" s="43">
        <v>31</v>
      </c>
      <c r="I192" s="44">
        <f t="shared" si="13"/>
        <v>-1</v>
      </c>
      <c r="J192" s="37">
        <f t="shared" si="14"/>
        <v>4</v>
      </c>
      <c r="K192" s="38">
        <f t="shared" si="15"/>
        <v>6.25</v>
      </c>
      <c r="L192" s="38">
        <f t="shared" si="16"/>
        <v>6.5</v>
      </c>
      <c r="M192" s="39">
        <f t="shared" si="17"/>
        <v>26</v>
      </c>
      <c r="N192" s="45">
        <f t="shared" ca="1" si="18"/>
        <v>1</v>
      </c>
      <c r="O192" s="40">
        <f>SUMIF(Tabella1[Nome],Tabella4[[#This Row],[NOME]],Tabella1[Gf])</f>
        <v>0</v>
      </c>
      <c r="P192" s="40">
        <f>-(SUMIF(Tabella1[Nome],Tabella4[[#This Row],[NOME]],Tabella1[Gs]))</f>
        <v>0</v>
      </c>
      <c r="Q192" s="40">
        <f>SUMIF(Tabella1[Nome],Tabella4[[#This Row],[NOME]],Tabella1[Rp])</f>
        <v>0</v>
      </c>
      <c r="R192" s="40">
        <f>SUMIF(Tabella1[Nome],Tabella4[[#This Row],[NOME]],Tabella1[Rs])</f>
        <v>0</v>
      </c>
      <c r="S192" s="40">
        <f>SUMIF(Tabella1[Nome],Tabella4[[#This Row],[NOME]],Tabella1[Rf])</f>
        <v>0</v>
      </c>
      <c r="T192" s="40">
        <f>SUMIF(Tabella1[Nome],Tabella4[[#This Row],[NOME]],Tabella1[Au])</f>
        <v>0</v>
      </c>
      <c r="U192" s="41">
        <f>SUMIF(Tabella1[Nome],Tabella4[[#This Row],[NOME]],Tabella1[Amm])</f>
        <v>0</v>
      </c>
      <c r="V192" s="42">
        <f>SUMIF(Tabella1[Nome],Tabella4[[#This Row],[NOME]],Tabella1[Esp])</f>
        <v>0</v>
      </c>
      <c r="W192" s="40">
        <f>SUMIF(Tabella1[Nome],Tabella4[[#This Row],[NOME]],Tabella1[Ass])</f>
        <v>1</v>
      </c>
      <c r="X192" s="40">
        <f>SUMIF(Tabella1[Nome],Tabella4[[#This Row],[NOME]],Tabella1[Gdv])</f>
        <v>0</v>
      </c>
      <c r="Y192" s="40">
        <f>SUMIF(Tabella1[Nome],Tabella4[[#This Row],[NOME]],Tabella1[cl sh])</f>
        <v>0</v>
      </c>
      <c r="Z192" s="270">
        <f>_xlfn.IFNA(_xlfn.XLOOKUP(CONCATENATE(Z$4,$C192),Tabella1[CONC X VOTI IN TAB GIOC],Tabella1[Voto],""),"")</f>
        <v>6</v>
      </c>
      <c r="AA192" s="270">
        <f>_xlfn.IFNA(_xlfn.XLOOKUP(CONCATENATE(AA$4,$C192),Tabella1[CONC X VOTI IN TAB GIOC],Tabella1[Voto],""),"")</f>
        <v>6.5</v>
      </c>
      <c r="AB192" s="400">
        <f>_xlfn.IFNA(_xlfn.XLOOKUP(CONCATENATE(AB$4,$C192),Tabella1[CONC X VOTI IN TAB GIOC],Tabella1[Voto]),"")</f>
        <v>6.5</v>
      </c>
      <c r="AC192" s="270" cm="1">
        <f t="array" ref="AC192">_xlfn.IFNA(_xlfn.XLOOKUP(CONCATENATE(AC$4,$C192),INDEX(Tabella1[],0,MATCH("CONC X VOTI IN TAB GIOC",Tabella1[#Headers],0)),INDEX(Tabella1[],0,MATCH("Voto",Tabella1[#Headers],0))),"")</f>
        <v>6</v>
      </c>
      <c r="AD192" s="270" t="str">
        <f>_xlfn.IFNA(_xlfn.XLOOKUP(CONCATENATE(AD$4,$C192),Tabella1[CONC X VOTI IN TAB GIOC],Tabella1[Voto]),"")</f>
        <v/>
      </c>
      <c r="AE192" s="270" t="str">
        <f>_xlfn.IFNA(VLOOKUP(CONCATENATE(AE$4,$C192),'INSER DATA'!$A:$F,6,0),"")</f>
        <v/>
      </c>
      <c r="AF192" s="270" t="str">
        <f>_xlfn.IFNA(VLOOKUP(CONCATENATE(AF$4,$C192),'INSER DATA'!$A:$F,6,0),"")</f>
        <v/>
      </c>
      <c r="AG192" s="270" t="str">
        <f>_xlfn.IFNA(VLOOKUP(CONCATENATE(AG$4,$C192),'INSER DATA'!$A:$F,6,0),"")</f>
        <v/>
      </c>
      <c r="AH192" s="270" t="str">
        <f>_xlfn.IFNA(VLOOKUP(CONCATENATE(AH$4,$C192),'INSER DATA'!$A:$F,7,0),"")</f>
        <v/>
      </c>
      <c r="AI192" s="270" t="str">
        <f>_xlfn.IFNA(VLOOKUP(CONCATENATE(AI$4,$C192),'INSER DATA'!$A:$F,7,0),"")</f>
        <v/>
      </c>
      <c r="AJ192" s="270" t="str">
        <f>_xlfn.IFNA(VLOOKUP(CONCATENATE(AJ$4,$C192),'INSER DATA'!$A:$F,7,0),"")</f>
        <v/>
      </c>
      <c r="AK192" s="270" t="str">
        <f>_xlfn.IFNA(VLOOKUP(CONCATENATE(AK$4,$C192),'INSER DATA'!$A:$F,7,0),"")</f>
        <v/>
      </c>
      <c r="AL192" s="270" t="str">
        <f>_xlfn.IFNA(VLOOKUP(CONCATENATE(AL$4,$C192),'INSER DATA'!$A:$F,7,0),"")</f>
        <v/>
      </c>
      <c r="AM192" s="270" t="str">
        <f>_xlfn.IFNA(VLOOKUP(CONCATENATE(AM$4,$C192),'INSER DATA'!$A:$F,7,0),"")</f>
        <v/>
      </c>
      <c r="AN192" s="270" t="str">
        <f>_xlfn.IFNA(VLOOKUP(CONCATENATE(AN$4,$C192),'INSER DATA'!$A:$F,7,0),"")</f>
        <v/>
      </c>
      <c r="AO192" s="270" t="str">
        <f>_xlfn.IFNA(VLOOKUP(CONCATENATE(AO$4,$C192),'INSER DATA'!$A:$F,7,0),"")</f>
        <v/>
      </c>
      <c r="AP192" s="270" t="str">
        <f>_xlfn.IFNA(VLOOKUP(CONCATENATE(AP$4,$C192),'INSER DATA'!$A:$F,7,0),"")</f>
        <v/>
      </c>
      <c r="AQ192" s="270" t="str">
        <f>_xlfn.IFNA(VLOOKUP(CONCATENATE(AQ$4,$C192),'INSER DATA'!$A:$F,7,0),"")</f>
        <v/>
      </c>
      <c r="AR192" s="270" t="str">
        <f>_xlfn.IFNA(VLOOKUP(CONCATENATE(AR$4,$C192),'INSER DATA'!$A:$F,7,0),"")</f>
        <v/>
      </c>
      <c r="AS192" s="270" t="str">
        <f>_xlfn.IFNA(VLOOKUP(CONCATENATE(AS$4,$C192),'INSER DATA'!$A:$F,7,0),"")</f>
        <v/>
      </c>
      <c r="AT192" s="270" t="str">
        <f>_xlfn.IFNA(VLOOKUP(CONCATENATE(AT$4,$C192),'INSER DATA'!$A:$F,7,0),"")</f>
        <v/>
      </c>
      <c r="AU192" s="270" t="str">
        <f>_xlfn.IFNA(VLOOKUP(CONCATENATE(AU$4,$C192),'INSER DATA'!$A:$F,7,0),"")</f>
        <v/>
      </c>
      <c r="AV192" s="270" t="str">
        <f>_xlfn.IFNA(VLOOKUP(CONCATENATE(AV$4,$C192),'INSER DATA'!$A:$F,7,0),"")</f>
        <v/>
      </c>
      <c r="AW192" s="270" t="str">
        <f>_xlfn.IFNA(VLOOKUP(CONCATENATE(AW$4,$C192),'INSER DATA'!$A:$F,7,0),"")</f>
        <v/>
      </c>
      <c r="AX192" s="270" t="str">
        <f>_xlfn.IFNA(VLOOKUP(CONCATENATE(AX$4,$C192),'INSER DATA'!$A:$F,7,0),"")</f>
        <v/>
      </c>
      <c r="AY192" s="270" t="str">
        <f>_xlfn.IFNA(VLOOKUP(CONCATENATE(AY$4,$C192),'INSER DATA'!$A:$F,7,0),"")</f>
        <v/>
      </c>
      <c r="AZ192" s="270" t="str">
        <f>_xlfn.IFNA(VLOOKUP(CONCATENATE(AZ$4,$C192),'INSER DATA'!$A:$F,7,0),"")</f>
        <v/>
      </c>
      <c r="BA192" s="270" t="str">
        <f>_xlfn.IFNA(VLOOKUP(CONCATENATE(BA$4,$C192),'INSER DATA'!$A:$F,7,0),"")</f>
        <v/>
      </c>
      <c r="BB192" s="270" t="str">
        <f>_xlfn.IFNA(VLOOKUP(CONCATENATE(BB$4,$C192),'INSER DATA'!$A:$F,7,0),"")</f>
        <v/>
      </c>
      <c r="BC192" s="270" t="str">
        <f>_xlfn.IFNA(VLOOKUP(CONCATENATE(BC$4,$C192),'INSER DATA'!$A:$F,7,0),"")</f>
        <v/>
      </c>
      <c r="BD192" s="270" t="str">
        <f>_xlfn.IFNA(VLOOKUP(CONCATENATE(BD$4,$C192),'INSER DATA'!$A:$F,7,0),"")</f>
        <v/>
      </c>
      <c r="BE192" s="270" t="str">
        <f>_xlfn.IFNA(VLOOKUP(CONCATENATE(BE$4,$C192),'INSER DATA'!$A:$F,7,0),"")</f>
        <v/>
      </c>
      <c r="BF192" s="270" t="str">
        <f>_xlfn.IFNA(VLOOKUP(CONCATENATE(BF$4,$C192),'INSER DATA'!$A:$F,7,0),"")</f>
        <v/>
      </c>
      <c r="BG192" s="270" t="str">
        <f>_xlfn.IFNA(VLOOKUP(CONCATENATE(BG$4,$C192),'INSER DATA'!$A:$F,7,0),"")</f>
        <v/>
      </c>
      <c r="BH192" s="270" t="str">
        <f>_xlfn.IFNA(VLOOKUP(CONCATENATE(BH$4,$C192),'INSER DATA'!$A:$F,7,0),"")</f>
        <v/>
      </c>
      <c r="BI192" s="270" t="str">
        <f>_xlfn.IFNA(VLOOKUP(CONCATENATE(BI$4,$C192),'INSER DATA'!$A:$F,7,0),"")</f>
        <v/>
      </c>
      <c r="BJ192" s="270" t="str">
        <f>_xlfn.IFNA(VLOOKUP(CONCATENATE(BJ$4,$C192),'INSER DATA'!$A:$F,7,0),"")</f>
        <v/>
      </c>
      <c r="BK192" s="270" t="str">
        <f>_xlfn.IFNA(VLOOKUP(CONCATENATE(BK$4,$C192),'INSER DATA'!$A:$F,7,0),"")</f>
        <v/>
      </c>
      <c r="BL192" s="272"/>
      <c r="BM192" s="30"/>
      <c r="BN192" s="30"/>
      <c r="BO192" s="30"/>
      <c r="BP192" s="30"/>
      <c r="BQ192" s="30"/>
      <c r="BR192" s="30"/>
      <c r="BS192" s="30"/>
      <c r="BT192" s="30"/>
      <c r="BU192" s="30"/>
      <c r="BV192" s="30"/>
      <c r="BW192" s="30"/>
      <c r="BX192" s="30"/>
      <c r="BY192" s="30"/>
      <c r="BZ192" s="30"/>
      <c r="CA192" s="30"/>
      <c r="CB192" s="30"/>
      <c r="CC192" s="30"/>
      <c r="CD192" s="30"/>
      <c r="CE192" s="30"/>
      <c r="CF192" s="30"/>
      <c r="CG192" s="30"/>
      <c r="CH192" s="30"/>
      <c r="CI192" s="30"/>
      <c r="CJ192" s="30"/>
      <c r="CK192" s="30"/>
      <c r="CL192" s="30"/>
      <c r="CM192" s="30"/>
      <c r="CN192" s="30"/>
      <c r="CO192" s="30"/>
      <c r="CP192" s="30"/>
      <c r="CQ192" s="30"/>
      <c r="CR192" s="30"/>
      <c r="CS192" s="30"/>
      <c r="CT192" s="30"/>
      <c r="CU192" s="30"/>
      <c r="CV192" s="30"/>
      <c r="CW192" s="30"/>
      <c r="CX192" s="30"/>
      <c r="CY192" s="30"/>
      <c r="CZ192" s="30"/>
      <c r="DA192" s="30"/>
    </row>
    <row r="193" spans="1:105" ht="19.2" thickTop="1" thickBot="1" x14ac:dyDescent="0.4">
      <c r="A193" s="30"/>
      <c r="B193" s="30"/>
      <c r="C193" s="356" t="s">
        <v>767</v>
      </c>
      <c r="D193" s="357" t="s">
        <v>766</v>
      </c>
      <c r="E193" s="35" t="str">
        <f>_xlfn.XLOOKUP(Tabella4[[#This Row],[NOME]],'ROSE SQUADRE'!$N$3:$N$253,'ROSE SQUADRE'!$O$3:$O$253,"")</f>
        <v>FC INTERNAZIOANALE</v>
      </c>
      <c r="F193" s="36" t="s">
        <v>5</v>
      </c>
      <c r="G193" s="43">
        <v>17</v>
      </c>
      <c r="H193" s="43">
        <v>17</v>
      </c>
      <c r="I193" s="44">
        <f t="shared" si="13"/>
        <v>0</v>
      </c>
      <c r="J193" s="37">
        <f t="shared" si="14"/>
        <v>4</v>
      </c>
      <c r="K193" s="38">
        <f t="shared" si="15"/>
        <v>5.875</v>
      </c>
      <c r="L193" s="38">
        <f t="shared" si="16"/>
        <v>4.625</v>
      </c>
      <c r="M193" s="39">
        <f t="shared" si="17"/>
        <v>18.5</v>
      </c>
      <c r="N193" s="45">
        <f t="shared" ca="1" si="18"/>
        <v>0</v>
      </c>
      <c r="O193" s="40">
        <f>SUMIF(Tabella1[Nome],Tabella4[[#This Row],[NOME]],Tabella1[Gf])</f>
        <v>0</v>
      </c>
      <c r="P193" s="40">
        <f>-(SUMIF(Tabella1[Nome],Tabella4[[#This Row],[NOME]],Tabella1[Gs]))</f>
        <v>-6</v>
      </c>
      <c r="Q193" s="40">
        <f>SUMIF(Tabella1[Nome],Tabella4[[#This Row],[NOME]],Tabella1[Rp])</f>
        <v>0</v>
      </c>
      <c r="R193" s="40">
        <f>SUMIF(Tabella1[Nome],Tabella4[[#This Row],[NOME]],Tabella1[Rs])</f>
        <v>0</v>
      </c>
      <c r="S193" s="40">
        <f>SUMIF(Tabella1[Nome],Tabella4[[#This Row],[NOME]],Tabella1[Rf])</f>
        <v>0</v>
      </c>
      <c r="T193" s="40">
        <f>SUMIF(Tabella1[Nome],Tabella4[[#This Row],[NOME]],Tabella1[Au])</f>
        <v>0</v>
      </c>
      <c r="U193" s="41">
        <f>SUMIF(Tabella1[Nome],Tabella4[[#This Row],[NOME]],Tabella1[Amm])</f>
        <v>0</v>
      </c>
      <c r="V193" s="42">
        <f>SUMIF(Tabella1[Nome],Tabella4[[#This Row],[NOME]],Tabella1[Esp])</f>
        <v>0</v>
      </c>
      <c r="W193" s="40">
        <f>SUMIF(Tabella1[Nome],Tabella4[[#This Row],[NOME]],Tabella1[Ass])</f>
        <v>0</v>
      </c>
      <c r="X193" s="40">
        <f>SUMIF(Tabella1[Nome],Tabella4[[#This Row],[NOME]],Tabella1[Gdv])</f>
        <v>0</v>
      </c>
      <c r="Y193" s="40">
        <f>SUMIF(Tabella1[Nome],Tabella4[[#This Row],[NOME]],Tabella1[cl sh])</f>
        <v>1</v>
      </c>
      <c r="Z193" s="270">
        <f>_xlfn.IFNA(_xlfn.XLOOKUP(CONCATENATE(Z$4,$C193),Tabella1[CONC X VOTI IN TAB GIOC],Tabella1[Voto],""),"")</f>
        <v>6</v>
      </c>
      <c r="AA193" s="270">
        <f>_xlfn.IFNA(_xlfn.XLOOKUP(CONCATENATE(AA$4,$C193),Tabella1[CONC X VOTI IN TAB GIOC],Tabella1[Voto],""),"")</f>
        <v>6</v>
      </c>
      <c r="AB193" s="270">
        <f>_xlfn.IFNA(_xlfn.XLOOKUP(CONCATENATE(AB$4,$C193),Tabella1[CONC X VOTI IN TAB GIOC],Tabella1[Voto]),"")</f>
        <v>6.5</v>
      </c>
      <c r="AC193" s="270" cm="1">
        <f t="array" ref="AC193">_xlfn.IFNA(_xlfn.XLOOKUP(CONCATENATE(AC$4,$C193),INDEX(Tabella1[],0,MATCH("CONC X VOTI IN TAB GIOC",Tabella1[#Headers],0)),INDEX(Tabella1[],0,MATCH("Voto",Tabella1[#Headers],0))),"")</f>
        <v>5</v>
      </c>
      <c r="AD193" s="270" t="str">
        <f>_xlfn.IFNA(_xlfn.XLOOKUP(CONCATENATE(AD$4,$C193),Tabella1[CONC X VOTI IN TAB GIOC],Tabella1[Voto]),"")</f>
        <v/>
      </c>
      <c r="AE193" s="270" t="str">
        <f>_xlfn.IFNA(VLOOKUP(CONCATENATE(AE$4,$C193),'INSER DATA'!$A:$F,6,0),"")</f>
        <v/>
      </c>
      <c r="AF193" s="270" t="str">
        <f>_xlfn.IFNA(VLOOKUP(CONCATENATE(AF$4,$C193),'INSER DATA'!$A:$F,6,0),"")</f>
        <v/>
      </c>
      <c r="AG193" s="270" t="str">
        <f>_xlfn.IFNA(VLOOKUP(CONCATENATE(AG$4,$C193),'INSER DATA'!$A:$F,6,0),"")</f>
        <v/>
      </c>
      <c r="AH193" s="270" t="str">
        <f>_xlfn.IFNA(VLOOKUP(CONCATENATE(AH$4,$C193),'INSER DATA'!$A:$F,7,0),"")</f>
        <v/>
      </c>
      <c r="AI193" s="270" t="str">
        <f>_xlfn.IFNA(VLOOKUP(CONCATENATE(AI$4,$C193),'INSER DATA'!$A:$F,7,0),"")</f>
        <v/>
      </c>
      <c r="AJ193" s="270" t="str">
        <f>_xlfn.IFNA(VLOOKUP(CONCATENATE(AJ$4,$C193),'INSER DATA'!$A:$F,7,0),"")</f>
        <v/>
      </c>
      <c r="AK193" s="270" t="str">
        <f>_xlfn.IFNA(VLOOKUP(CONCATENATE(AK$4,$C193),'INSER DATA'!$A:$F,7,0),"")</f>
        <v/>
      </c>
      <c r="AL193" s="270" t="str">
        <f>_xlfn.IFNA(VLOOKUP(CONCATENATE(AL$4,$C193),'INSER DATA'!$A:$F,7,0),"")</f>
        <v/>
      </c>
      <c r="AM193" s="270" t="str">
        <f>_xlfn.IFNA(VLOOKUP(CONCATENATE(AM$4,$C193),'INSER DATA'!$A:$F,7,0),"")</f>
        <v/>
      </c>
      <c r="AN193" s="270" t="str">
        <f>_xlfn.IFNA(VLOOKUP(CONCATENATE(AN$4,$C193),'INSER DATA'!$A:$F,7,0),"")</f>
        <v/>
      </c>
      <c r="AO193" s="270" t="str">
        <f>_xlfn.IFNA(VLOOKUP(CONCATENATE(AO$4,$C193),'INSER DATA'!$A:$F,7,0),"")</f>
        <v/>
      </c>
      <c r="AP193" s="270" t="str">
        <f>_xlfn.IFNA(VLOOKUP(CONCATENATE(AP$4,$C193),'INSER DATA'!$A:$F,7,0),"")</f>
        <v/>
      </c>
      <c r="AQ193" s="270" t="str">
        <f>_xlfn.IFNA(VLOOKUP(CONCATENATE(AQ$4,$C193),'INSER DATA'!$A:$F,7,0),"")</f>
        <v/>
      </c>
      <c r="AR193" s="270" t="str">
        <f>_xlfn.IFNA(VLOOKUP(CONCATENATE(AR$4,$C193),'INSER DATA'!$A:$F,7,0),"")</f>
        <v/>
      </c>
      <c r="AS193" s="270" t="str">
        <f>_xlfn.IFNA(VLOOKUP(CONCATENATE(AS$4,$C193),'INSER DATA'!$A:$F,7,0),"")</f>
        <v/>
      </c>
      <c r="AT193" s="270" t="str">
        <f>_xlfn.IFNA(VLOOKUP(CONCATENATE(AT$4,$C193),'INSER DATA'!$A:$F,7,0),"")</f>
        <v/>
      </c>
      <c r="AU193" s="270" t="str">
        <f>_xlfn.IFNA(VLOOKUP(CONCATENATE(AU$4,$C193),'INSER DATA'!$A:$F,7,0),"")</f>
        <v/>
      </c>
      <c r="AV193" s="270" t="str">
        <f>_xlfn.IFNA(VLOOKUP(CONCATENATE(AV$4,$C193),'INSER DATA'!$A:$F,7,0),"")</f>
        <v/>
      </c>
      <c r="AW193" s="270" t="str">
        <f>_xlfn.IFNA(VLOOKUP(CONCATENATE(AW$4,$C193),'INSER DATA'!$A:$F,7,0),"")</f>
        <v/>
      </c>
      <c r="AX193" s="270" t="str">
        <f>_xlfn.IFNA(VLOOKUP(CONCATENATE(AX$4,$C193),'INSER DATA'!$A:$F,7,0),"")</f>
        <v/>
      </c>
      <c r="AY193" s="270" t="str">
        <f>_xlfn.IFNA(VLOOKUP(CONCATENATE(AY$4,$C193),'INSER DATA'!$A:$F,7,0),"")</f>
        <v/>
      </c>
      <c r="AZ193" s="270" t="str">
        <f>_xlfn.IFNA(VLOOKUP(CONCATENATE(AZ$4,$C193),'INSER DATA'!$A:$F,7,0),"")</f>
        <v/>
      </c>
      <c r="BA193" s="270" t="str">
        <f>_xlfn.IFNA(VLOOKUP(CONCATENATE(BA$4,$C193),'INSER DATA'!$A:$F,7,0),"")</f>
        <v/>
      </c>
      <c r="BB193" s="270" t="str">
        <f>_xlfn.IFNA(VLOOKUP(CONCATENATE(BB$4,$C193),'INSER DATA'!$A:$F,7,0),"")</f>
        <v/>
      </c>
      <c r="BC193" s="270" t="str">
        <f>_xlfn.IFNA(VLOOKUP(CONCATENATE(BC$4,$C193),'INSER DATA'!$A:$F,7,0),"")</f>
        <v/>
      </c>
      <c r="BD193" s="270" t="str">
        <f>_xlfn.IFNA(VLOOKUP(CONCATENATE(BD$4,$C193),'INSER DATA'!$A:$F,7,0),"")</f>
        <v/>
      </c>
      <c r="BE193" s="270" t="str">
        <f>_xlfn.IFNA(VLOOKUP(CONCATENATE(BE$4,$C193),'INSER DATA'!$A:$F,7,0),"")</f>
        <v/>
      </c>
      <c r="BF193" s="270" t="str">
        <f>_xlfn.IFNA(VLOOKUP(CONCATENATE(BF$4,$C193),'INSER DATA'!$A:$F,7,0),"")</f>
        <v/>
      </c>
      <c r="BG193" s="270" t="str">
        <f>_xlfn.IFNA(VLOOKUP(CONCATENATE(BG$4,$C193),'INSER DATA'!$A:$F,7,0),"")</f>
        <v/>
      </c>
      <c r="BH193" s="270" t="str">
        <f>_xlfn.IFNA(VLOOKUP(CONCATENATE(BH$4,$C193),'INSER DATA'!$A:$F,7,0),"")</f>
        <v/>
      </c>
      <c r="BI193" s="270" t="str">
        <f>_xlfn.IFNA(VLOOKUP(CONCATENATE(BI$4,$C193),'INSER DATA'!$A:$F,7,0),"")</f>
        <v/>
      </c>
      <c r="BJ193" s="270" t="str">
        <f>_xlfn.IFNA(VLOOKUP(CONCATENATE(BJ$4,$C193),'INSER DATA'!$A:$F,7,0),"")</f>
        <v/>
      </c>
      <c r="BK193" s="270" t="str">
        <f>_xlfn.IFNA(VLOOKUP(CONCATENATE(BK$4,$C193),'INSER DATA'!$A:$F,7,0),"")</f>
        <v/>
      </c>
      <c r="BL193" s="272"/>
      <c r="BM193" s="30"/>
      <c r="BN193" s="30"/>
      <c r="BO193" s="30"/>
      <c r="BP193" s="30"/>
      <c r="BQ193" s="30"/>
      <c r="BR193" s="30"/>
      <c r="BS193" s="30"/>
      <c r="BT193" s="30"/>
      <c r="BU193" s="30"/>
      <c r="BV193" s="30"/>
      <c r="BW193" s="30"/>
      <c r="BX193" s="30"/>
      <c r="BY193" s="30"/>
      <c r="BZ193" s="30"/>
      <c r="CA193" s="30"/>
      <c r="CB193" s="30"/>
      <c r="CC193" s="30"/>
      <c r="CD193" s="30"/>
      <c r="CE193" s="30"/>
      <c r="CF193" s="30"/>
      <c r="CG193" s="30"/>
      <c r="CH193" s="30"/>
      <c r="CI193" s="30"/>
      <c r="CJ193" s="30"/>
      <c r="CK193" s="30"/>
      <c r="CL193" s="30"/>
      <c r="CM193" s="30"/>
      <c r="CN193" s="30"/>
      <c r="CO193" s="30"/>
      <c r="CP193" s="30"/>
      <c r="CQ193" s="30"/>
      <c r="CR193" s="30"/>
      <c r="CS193" s="30"/>
      <c r="CT193" s="30"/>
      <c r="CU193" s="30"/>
      <c r="CV193" s="30"/>
      <c r="CW193" s="30"/>
      <c r="CX193" s="30"/>
      <c r="CY193" s="30"/>
      <c r="CZ193" s="30"/>
      <c r="DA193" s="30"/>
    </row>
    <row r="194" spans="1:105" ht="19.2" thickTop="1" thickBot="1" x14ac:dyDescent="0.4">
      <c r="A194" s="30"/>
      <c r="B194" s="30"/>
      <c r="C194" s="356" t="s">
        <v>612</v>
      </c>
      <c r="D194" s="357" t="s">
        <v>766</v>
      </c>
      <c r="E194" s="35" t="str">
        <f>_xlfn.XLOOKUP(Tabella4[[#This Row],[NOME]],'ROSE SQUADRE'!$N$3:$N$253,'ROSE SQUADRE'!$O$3:$O$253,"")</f>
        <v>ATL. IMPROVVISATO</v>
      </c>
      <c r="F194" s="36" t="s">
        <v>161</v>
      </c>
      <c r="G194" s="43">
        <v>6</v>
      </c>
      <c r="H194" s="43">
        <v>6</v>
      </c>
      <c r="I194" s="44">
        <f t="shared" si="13"/>
        <v>0</v>
      </c>
      <c r="J194" s="37">
        <f t="shared" si="14"/>
        <v>2</v>
      </c>
      <c r="K194" s="178">
        <f t="shared" si="15"/>
        <v>5.75</v>
      </c>
      <c r="L194" s="178">
        <f t="shared" si="16"/>
        <v>5.75</v>
      </c>
      <c r="M194" s="179">
        <f t="shared" si="17"/>
        <v>11.5</v>
      </c>
      <c r="N194" s="45">
        <f t="shared" ca="1" si="18"/>
        <v>0</v>
      </c>
      <c r="O194" s="40">
        <f>SUMIF(Tabella1[Nome],Tabella4[[#This Row],[NOME]],Tabella1[Gf])</f>
        <v>0</v>
      </c>
      <c r="P194" s="40">
        <f>-(SUMIF(Tabella1[Nome],Tabella4[[#This Row],[NOME]],Tabella1[Gs]))</f>
        <v>0</v>
      </c>
      <c r="Q194" s="40">
        <f>SUMIF(Tabella1[Nome],Tabella4[[#This Row],[NOME]],Tabella1[Rp])</f>
        <v>0</v>
      </c>
      <c r="R194" s="40">
        <f>SUMIF(Tabella1[Nome],Tabella4[[#This Row],[NOME]],Tabella1[Rs])</f>
        <v>0</v>
      </c>
      <c r="S194" s="40">
        <f>SUMIF(Tabella1[Nome],Tabella4[[#This Row],[NOME]],Tabella1[Rf])</f>
        <v>0</v>
      </c>
      <c r="T194" s="40">
        <f>SUMIF(Tabella1[Nome],Tabella4[[#This Row],[NOME]],Tabella1[Au])</f>
        <v>0</v>
      </c>
      <c r="U194" s="41">
        <f>SUMIF(Tabella1[Nome],Tabella4[[#This Row],[NOME]],Tabella1[Amm])</f>
        <v>0</v>
      </c>
      <c r="V194" s="42">
        <f>SUMIF(Tabella1[Nome],Tabella4[[#This Row],[NOME]],Tabella1[Esp])</f>
        <v>0</v>
      </c>
      <c r="W194" s="40">
        <f>SUMIF(Tabella1[Nome],Tabella4[[#This Row],[NOME]],Tabella1[Ass])</f>
        <v>0</v>
      </c>
      <c r="X194" s="40">
        <f>SUMIF(Tabella1[Nome],Tabella4[[#This Row],[NOME]],Tabella1[Gdv])</f>
        <v>0</v>
      </c>
      <c r="Y194" s="40">
        <f>SUMIF(Tabella1[Nome],Tabella4[[#This Row],[NOME]],Tabella1[cl sh])</f>
        <v>0</v>
      </c>
      <c r="Z194" s="270" t="str">
        <f>_xlfn.IFNA(_xlfn.XLOOKUP(CONCATENATE(Z$4,$C194),Tabella1[CONC X VOTI IN TAB GIOC],Tabella1[Voto],""),"")</f>
        <v/>
      </c>
      <c r="AA194" s="270">
        <f>_xlfn.IFNA(_xlfn.XLOOKUP(CONCATENATE(AA$4,$C194),Tabella1[CONC X VOTI IN TAB GIOC],Tabella1[Voto],""),"")</f>
        <v>6</v>
      </c>
      <c r="AB194" s="270" t="str">
        <f>_xlfn.IFNA(_xlfn.XLOOKUP(CONCATENATE(AB$4,$C194),Tabella1[CONC X VOTI IN TAB GIOC],Tabella1[Voto]),"")</f>
        <v/>
      </c>
      <c r="AC194" s="270" cm="1">
        <f t="array" ref="AC194">_xlfn.IFNA(_xlfn.XLOOKUP(CONCATENATE(AC$4,$C194),INDEX(Tabella1[],0,MATCH("CONC X VOTI IN TAB GIOC",Tabella1[#Headers],0)),INDEX(Tabella1[],0,MATCH("Voto",Tabella1[#Headers],0))),"")</f>
        <v>5.5</v>
      </c>
      <c r="AD194" s="270" t="str">
        <f>_xlfn.IFNA(_xlfn.XLOOKUP(CONCATENATE(AD$4,$C194),Tabella1[CONC X VOTI IN TAB GIOC],Tabella1[Voto]),"")</f>
        <v/>
      </c>
      <c r="AE194" s="270" t="str">
        <f>_xlfn.IFNA(VLOOKUP(CONCATENATE(AE$4,$C194),'INSER DATA'!$A:$F,6,0),"")</f>
        <v/>
      </c>
      <c r="AF194" s="270" t="str">
        <f>_xlfn.IFNA(VLOOKUP(CONCATENATE(AF$4,$C194),'INSER DATA'!$A:$F,6,0),"")</f>
        <v/>
      </c>
      <c r="AG194" s="270" t="str">
        <f>_xlfn.IFNA(VLOOKUP(CONCATENATE(AG$4,$C194),'INSER DATA'!$A:$F,6,0),"")</f>
        <v/>
      </c>
      <c r="AH194" s="270" t="str">
        <f>_xlfn.IFNA(VLOOKUP(CONCATENATE(AH$4,$C194),'INSER DATA'!$A:$F,7,0),"")</f>
        <v/>
      </c>
      <c r="AI194" s="270" t="str">
        <f>_xlfn.IFNA(VLOOKUP(CONCATENATE(AI$4,$C194),'INSER DATA'!$A:$F,7,0),"")</f>
        <v/>
      </c>
      <c r="AJ194" s="270" t="str">
        <f>_xlfn.IFNA(VLOOKUP(CONCATENATE(AJ$4,$C194),'INSER DATA'!$A:$F,7,0),"")</f>
        <v/>
      </c>
      <c r="AK194" s="270" t="str">
        <f>_xlfn.IFNA(VLOOKUP(CONCATENATE(AK$4,$C194),'INSER DATA'!$A:$F,7,0),"")</f>
        <v/>
      </c>
      <c r="AL194" s="270" t="str">
        <f>_xlfn.IFNA(VLOOKUP(CONCATENATE(AL$4,$C194),'INSER DATA'!$A:$F,7,0),"")</f>
        <v/>
      </c>
      <c r="AM194" s="270" t="str">
        <f>_xlfn.IFNA(VLOOKUP(CONCATENATE(AM$4,$C194),'INSER DATA'!$A:$F,7,0),"")</f>
        <v/>
      </c>
      <c r="AN194" s="270" t="str">
        <f>_xlfn.IFNA(VLOOKUP(CONCATENATE(AN$4,$C194),'INSER DATA'!$A:$F,7,0),"")</f>
        <v/>
      </c>
      <c r="AO194" s="270" t="str">
        <f>_xlfn.IFNA(VLOOKUP(CONCATENATE(AO$4,$C194),'INSER DATA'!$A:$F,7,0),"")</f>
        <v/>
      </c>
      <c r="AP194" s="270" t="str">
        <f>_xlfn.IFNA(VLOOKUP(CONCATENATE(AP$4,$C194),'INSER DATA'!$A:$F,7,0),"")</f>
        <v/>
      </c>
      <c r="AQ194" s="270" t="str">
        <f>_xlfn.IFNA(VLOOKUP(CONCATENATE(AQ$4,$C194),'INSER DATA'!$A:$F,7,0),"")</f>
        <v/>
      </c>
      <c r="AR194" s="270" t="str">
        <f>_xlfn.IFNA(VLOOKUP(CONCATENATE(AR$4,$C194),'INSER DATA'!$A:$F,7,0),"")</f>
        <v/>
      </c>
      <c r="AS194" s="270" t="str">
        <f>_xlfn.IFNA(VLOOKUP(CONCATENATE(AS$4,$C194),'INSER DATA'!$A:$F,7,0),"")</f>
        <v/>
      </c>
      <c r="AT194" s="270" t="str">
        <f>_xlfn.IFNA(VLOOKUP(CONCATENATE(AT$4,$C194),'INSER DATA'!$A:$F,7,0),"")</f>
        <v/>
      </c>
      <c r="AU194" s="270" t="str">
        <f>_xlfn.IFNA(VLOOKUP(CONCATENATE(AU$4,$C194),'INSER DATA'!$A:$F,7,0),"")</f>
        <v/>
      </c>
      <c r="AV194" s="270" t="str">
        <f>_xlfn.IFNA(VLOOKUP(CONCATENATE(AV$4,$C194),'INSER DATA'!$A:$F,7,0),"")</f>
        <v/>
      </c>
      <c r="AW194" s="270" t="str">
        <f>_xlfn.IFNA(VLOOKUP(CONCATENATE(AW$4,$C194),'INSER DATA'!$A:$F,7,0),"")</f>
        <v/>
      </c>
      <c r="AX194" s="270" t="str">
        <f>_xlfn.IFNA(VLOOKUP(CONCATENATE(AX$4,$C194),'INSER DATA'!$A:$F,7,0),"")</f>
        <v/>
      </c>
      <c r="AY194" s="270" t="str">
        <f>_xlfn.IFNA(VLOOKUP(CONCATENATE(AY$4,$C194),'INSER DATA'!$A:$F,7,0),"")</f>
        <v/>
      </c>
      <c r="AZ194" s="270" t="str">
        <f>_xlfn.IFNA(VLOOKUP(CONCATENATE(AZ$4,$C194),'INSER DATA'!$A:$F,7,0),"")</f>
        <v/>
      </c>
      <c r="BA194" s="270" t="str">
        <f>_xlfn.IFNA(VLOOKUP(CONCATENATE(BA$4,$C194),'INSER DATA'!$A:$F,7,0),"")</f>
        <v/>
      </c>
      <c r="BB194" s="270" t="str">
        <f>_xlfn.IFNA(VLOOKUP(CONCATENATE(BB$4,$C194),'INSER DATA'!$A:$F,7,0),"")</f>
        <v/>
      </c>
      <c r="BC194" s="270" t="str">
        <f>_xlfn.IFNA(VLOOKUP(CONCATENATE(BC$4,$C194),'INSER DATA'!$A:$F,7,0),"")</f>
        <v/>
      </c>
      <c r="BD194" s="270" t="str">
        <f>_xlfn.IFNA(VLOOKUP(CONCATENATE(BD$4,$C194),'INSER DATA'!$A:$F,7,0),"")</f>
        <v/>
      </c>
      <c r="BE194" s="270" t="str">
        <f>_xlfn.IFNA(VLOOKUP(CONCATENATE(BE$4,$C194),'INSER DATA'!$A:$F,7,0),"")</f>
        <v/>
      </c>
      <c r="BF194" s="270" t="str">
        <f>_xlfn.IFNA(VLOOKUP(CONCATENATE(BF$4,$C194),'INSER DATA'!$A:$F,7,0),"")</f>
        <v/>
      </c>
      <c r="BG194" s="270" t="str">
        <f>_xlfn.IFNA(VLOOKUP(CONCATENATE(BG$4,$C194),'INSER DATA'!$A:$F,7,0),"")</f>
        <v/>
      </c>
      <c r="BH194" s="270" t="str">
        <f>_xlfn.IFNA(VLOOKUP(CONCATENATE(BH$4,$C194),'INSER DATA'!$A:$F,7,0),"")</f>
        <v/>
      </c>
      <c r="BI194" s="270" t="str">
        <f>_xlfn.IFNA(VLOOKUP(CONCATENATE(BI$4,$C194),'INSER DATA'!$A:$F,7,0),"")</f>
        <v/>
      </c>
      <c r="BJ194" s="270" t="str">
        <f>_xlfn.IFNA(VLOOKUP(CONCATENATE(BJ$4,$C194),'INSER DATA'!$A:$F,7,0),"")</f>
        <v/>
      </c>
      <c r="BK194" s="270" t="str">
        <f>_xlfn.IFNA(VLOOKUP(CONCATENATE(BK$4,$C194),'INSER DATA'!$A:$F,7,0),"")</f>
        <v/>
      </c>
      <c r="BL194" s="272"/>
      <c r="BM194" s="30"/>
      <c r="BN194" s="30"/>
      <c r="BO194" s="30"/>
      <c r="BP194" s="30"/>
      <c r="BQ194" s="30"/>
      <c r="BR194" s="30"/>
      <c r="BS194" s="30"/>
      <c r="BT194" s="30"/>
      <c r="BU194" s="30"/>
      <c r="BV194" s="30"/>
      <c r="BW194" s="30"/>
      <c r="BX194" s="30"/>
      <c r="BY194" s="30"/>
      <c r="BZ194" s="30"/>
      <c r="CA194" s="30"/>
      <c r="CB194" s="30"/>
      <c r="CC194" s="30"/>
      <c r="CD194" s="30"/>
      <c r="CE194" s="30"/>
      <c r="CF194" s="30"/>
      <c r="CG194" s="30"/>
      <c r="CH194" s="30"/>
      <c r="CI194" s="30"/>
      <c r="CJ194" s="30"/>
      <c r="CK194" s="30"/>
      <c r="CL194" s="30"/>
      <c r="CM194" s="30"/>
      <c r="CN194" s="30"/>
      <c r="CO194" s="30"/>
      <c r="CP194" s="30"/>
      <c r="CQ194" s="30"/>
      <c r="CR194" s="30"/>
      <c r="CS194" s="30"/>
      <c r="CT194" s="30"/>
      <c r="CU194" s="30"/>
      <c r="CV194" s="30"/>
      <c r="CW194" s="30"/>
      <c r="CX194" s="30"/>
      <c r="CY194" s="30"/>
      <c r="CZ194" s="30"/>
      <c r="DA194" s="30"/>
    </row>
    <row r="195" spans="1:105" ht="19.2" thickTop="1" thickBot="1" x14ac:dyDescent="0.4">
      <c r="A195" s="30"/>
      <c r="B195" s="30"/>
      <c r="C195" s="354" t="s">
        <v>770</v>
      </c>
      <c r="D195" s="357" t="s">
        <v>766</v>
      </c>
      <c r="E195" s="35" t="str">
        <f>_xlfn.XLOOKUP(Tabella4[[#This Row],[NOME]],'ROSE SQUADRE'!$N$3:$N$253,'ROSE SQUADRE'!$O$3:$O$253,"")</f>
        <v>SHARK</v>
      </c>
      <c r="F195" s="36" t="s">
        <v>161</v>
      </c>
      <c r="G195" s="43">
        <v>12</v>
      </c>
      <c r="H195" s="43">
        <v>12</v>
      </c>
      <c r="I195" s="44">
        <f t="shared" si="13"/>
        <v>0</v>
      </c>
      <c r="J195" s="37">
        <f t="shared" si="14"/>
        <v>3</v>
      </c>
      <c r="K195" s="178">
        <f t="shared" si="15"/>
        <v>5.833333333333333</v>
      </c>
      <c r="L195" s="178">
        <f t="shared" si="16"/>
        <v>5.833333333333333</v>
      </c>
      <c r="M195" s="179">
        <f t="shared" si="17"/>
        <v>17.5</v>
      </c>
      <c r="N195" s="45">
        <f t="shared" ca="1" si="18"/>
        <v>0</v>
      </c>
      <c r="O195" s="40">
        <f>SUMIF(Tabella1[Nome],Tabella4[[#This Row],[NOME]],Tabella1[Gf])</f>
        <v>0</v>
      </c>
      <c r="P195" s="40">
        <f>-(SUMIF(Tabella1[Nome],Tabella4[[#This Row],[NOME]],Tabella1[Gs]))</f>
        <v>0</v>
      </c>
      <c r="Q195" s="40">
        <f>SUMIF(Tabella1[Nome],Tabella4[[#This Row],[NOME]],Tabella1[Rp])</f>
        <v>0</v>
      </c>
      <c r="R195" s="40">
        <f>SUMIF(Tabella1[Nome],Tabella4[[#This Row],[NOME]],Tabella1[Rs])</f>
        <v>0</v>
      </c>
      <c r="S195" s="40">
        <f>SUMIF(Tabella1[Nome],Tabella4[[#This Row],[NOME]],Tabella1[Rf])</f>
        <v>0</v>
      </c>
      <c r="T195" s="40">
        <f>SUMIF(Tabella1[Nome],Tabella4[[#This Row],[NOME]],Tabella1[Au])</f>
        <v>0</v>
      </c>
      <c r="U195" s="41">
        <f>SUMIF(Tabella1[Nome],Tabella4[[#This Row],[NOME]],Tabella1[Amm])</f>
        <v>0</v>
      </c>
      <c r="V195" s="42">
        <f>SUMIF(Tabella1[Nome],Tabella4[[#This Row],[NOME]],Tabella1[Esp])</f>
        <v>0</v>
      </c>
      <c r="W195" s="40">
        <f>SUMIF(Tabella1[Nome],Tabella4[[#This Row],[NOME]],Tabella1[Ass])</f>
        <v>0</v>
      </c>
      <c r="X195" s="40">
        <f>SUMIF(Tabella1[Nome],Tabella4[[#This Row],[NOME]],Tabella1[Gdv])</f>
        <v>0</v>
      </c>
      <c r="Y195" s="40">
        <f>SUMIF(Tabella1[Nome],Tabella4[[#This Row],[NOME]],Tabella1[cl sh])</f>
        <v>0</v>
      </c>
      <c r="Z195" s="270">
        <f>_xlfn.IFNA(_xlfn.XLOOKUP(CONCATENATE(Z$4,$C195),Tabella1[CONC X VOTI IN TAB GIOC],Tabella1[Voto],""),"")</f>
        <v>6</v>
      </c>
      <c r="AA195" s="270">
        <f>_xlfn.IFNA(_xlfn.XLOOKUP(CONCATENATE(AA$4,$C195),Tabella1[CONC X VOTI IN TAB GIOC],Tabella1[Voto],""),"")</f>
        <v>6</v>
      </c>
      <c r="AB195" s="270" t="str">
        <f>_xlfn.IFNA(_xlfn.XLOOKUP(CONCATENATE(AB$4,$C195),Tabella1[CONC X VOTI IN TAB GIOC],Tabella1[Voto]),"")</f>
        <v/>
      </c>
      <c r="AC195" s="270" cm="1">
        <f t="array" ref="AC195">_xlfn.IFNA(_xlfn.XLOOKUP(CONCATENATE(AC$4,$C195),INDEX(Tabella1[],0,MATCH("CONC X VOTI IN TAB GIOC",Tabella1[#Headers],0)),INDEX(Tabella1[],0,MATCH("Voto",Tabella1[#Headers],0))),"")</f>
        <v>5.5</v>
      </c>
      <c r="AD195" s="270" t="str">
        <f>_xlfn.IFNA(_xlfn.XLOOKUP(CONCATENATE(AD$4,$C195),Tabella1[CONC X VOTI IN TAB GIOC],Tabella1[Voto]),"")</f>
        <v/>
      </c>
      <c r="AE195" s="270" t="str">
        <f>_xlfn.IFNA(VLOOKUP(CONCATENATE(AE$4,$C195),'INSER DATA'!$A:$F,6,0),"")</f>
        <v/>
      </c>
      <c r="AF195" s="270" t="str">
        <f>_xlfn.IFNA(VLOOKUP(CONCATENATE(AF$4,$C195),'INSER DATA'!$A:$F,6,0),"")</f>
        <v/>
      </c>
      <c r="AG195" s="270" t="str">
        <f>_xlfn.IFNA(VLOOKUP(CONCATENATE(AG$4,$C195),'INSER DATA'!$A:$F,6,0),"")</f>
        <v/>
      </c>
      <c r="AH195" s="270" t="str">
        <f>_xlfn.IFNA(VLOOKUP(CONCATENATE(AH$4,$C195),'INSER DATA'!$A:$F,7,0),"")</f>
        <v/>
      </c>
      <c r="AI195" s="270" t="str">
        <f>_xlfn.IFNA(VLOOKUP(CONCATENATE(AI$4,$C195),'INSER DATA'!$A:$F,7,0),"")</f>
        <v/>
      </c>
      <c r="AJ195" s="270" t="str">
        <f>_xlfn.IFNA(VLOOKUP(CONCATENATE(AJ$4,$C195),'INSER DATA'!$A:$F,7,0),"")</f>
        <v/>
      </c>
      <c r="AK195" s="270" t="str">
        <f>_xlfn.IFNA(VLOOKUP(CONCATENATE(AK$4,$C195),'INSER DATA'!$A:$F,7,0),"")</f>
        <v/>
      </c>
      <c r="AL195" s="270" t="str">
        <f>_xlfn.IFNA(VLOOKUP(CONCATENATE(AL$4,$C195),'INSER DATA'!$A:$F,7,0),"")</f>
        <v/>
      </c>
      <c r="AM195" s="270" t="str">
        <f>_xlfn.IFNA(VLOOKUP(CONCATENATE(AM$4,$C195),'INSER DATA'!$A:$F,7,0),"")</f>
        <v/>
      </c>
      <c r="AN195" s="270" t="str">
        <f>_xlfn.IFNA(VLOOKUP(CONCATENATE(AN$4,$C195),'INSER DATA'!$A:$F,7,0),"")</f>
        <v/>
      </c>
      <c r="AO195" s="270" t="str">
        <f>_xlfn.IFNA(VLOOKUP(CONCATENATE(AO$4,$C195),'INSER DATA'!$A:$F,7,0),"")</f>
        <v/>
      </c>
      <c r="AP195" s="270" t="str">
        <f>_xlfn.IFNA(VLOOKUP(CONCATENATE(AP$4,$C195),'INSER DATA'!$A:$F,7,0),"")</f>
        <v/>
      </c>
      <c r="AQ195" s="270" t="str">
        <f>_xlfn.IFNA(VLOOKUP(CONCATENATE(AQ$4,$C195),'INSER DATA'!$A:$F,7,0),"")</f>
        <v/>
      </c>
      <c r="AR195" s="270" t="str">
        <f>_xlfn.IFNA(VLOOKUP(CONCATENATE(AR$4,$C195),'INSER DATA'!$A:$F,7,0),"")</f>
        <v/>
      </c>
      <c r="AS195" s="270" t="str">
        <f>_xlfn.IFNA(VLOOKUP(CONCATENATE(AS$4,$C195),'INSER DATA'!$A:$F,7,0),"")</f>
        <v/>
      </c>
      <c r="AT195" s="270" t="str">
        <f>_xlfn.IFNA(VLOOKUP(CONCATENATE(AT$4,$C195),'INSER DATA'!$A:$F,7,0),"")</f>
        <v/>
      </c>
      <c r="AU195" s="270" t="str">
        <f>_xlfn.IFNA(VLOOKUP(CONCATENATE(AU$4,$C195),'INSER DATA'!$A:$F,7,0),"")</f>
        <v/>
      </c>
      <c r="AV195" s="270" t="str">
        <f>_xlfn.IFNA(VLOOKUP(CONCATENATE(AV$4,$C195),'INSER DATA'!$A:$F,7,0),"")</f>
        <v/>
      </c>
      <c r="AW195" s="270" t="str">
        <f>_xlfn.IFNA(VLOOKUP(CONCATENATE(AW$4,$C195),'INSER DATA'!$A:$F,7,0),"")</f>
        <v/>
      </c>
      <c r="AX195" s="270" t="str">
        <f>_xlfn.IFNA(VLOOKUP(CONCATENATE(AX$4,$C195),'INSER DATA'!$A:$F,7,0),"")</f>
        <v/>
      </c>
      <c r="AY195" s="270" t="str">
        <f>_xlfn.IFNA(VLOOKUP(CONCATENATE(AY$4,$C195),'INSER DATA'!$A:$F,7,0),"")</f>
        <v/>
      </c>
      <c r="AZ195" s="270" t="str">
        <f>_xlfn.IFNA(VLOOKUP(CONCATENATE(AZ$4,$C195),'INSER DATA'!$A:$F,7,0),"")</f>
        <v/>
      </c>
      <c r="BA195" s="270" t="str">
        <f>_xlfn.IFNA(VLOOKUP(CONCATENATE(BA$4,$C195),'INSER DATA'!$A:$F,7,0),"")</f>
        <v/>
      </c>
      <c r="BB195" s="270" t="str">
        <f>_xlfn.IFNA(VLOOKUP(CONCATENATE(BB$4,$C195),'INSER DATA'!$A:$F,7,0),"")</f>
        <v/>
      </c>
      <c r="BC195" s="270" t="str">
        <f>_xlfn.IFNA(VLOOKUP(CONCATENATE(BC$4,$C195),'INSER DATA'!$A:$F,7,0),"")</f>
        <v/>
      </c>
      <c r="BD195" s="270" t="str">
        <f>_xlfn.IFNA(VLOOKUP(CONCATENATE(BD$4,$C195),'INSER DATA'!$A:$F,7,0),"")</f>
        <v/>
      </c>
      <c r="BE195" s="270" t="str">
        <f>_xlfn.IFNA(VLOOKUP(CONCATENATE(BE$4,$C195),'INSER DATA'!$A:$F,7,0),"")</f>
        <v/>
      </c>
      <c r="BF195" s="270" t="str">
        <f>_xlfn.IFNA(VLOOKUP(CONCATENATE(BF$4,$C195),'INSER DATA'!$A:$F,7,0),"")</f>
        <v/>
      </c>
      <c r="BG195" s="270" t="str">
        <f>_xlfn.IFNA(VLOOKUP(CONCATENATE(BG$4,$C195),'INSER DATA'!$A:$F,7,0),"")</f>
        <v/>
      </c>
      <c r="BH195" s="270" t="str">
        <f>_xlfn.IFNA(VLOOKUP(CONCATENATE(BH$4,$C195),'INSER DATA'!$A:$F,7,0),"")</f>
        <v/>
      </c>
      <c r="BI195" s="270" t="str">
        <f>_xlfn.IFNA(VLOOKUP(CONCATENATE(BI$4,$C195),'INSER DATA'!$A:$F,7,0),"")</f>
        <v/>
      </c>
      <c r="BJ195" s="270" t="str">
        <f>_xlfn.IFNA(VLOOKUP(CONCATENATE(BJ$4,$C195),'INSER DATA'!$A:$F,7,0),"")</f>
        <v/>
      </c>
      <c r="BK195" s="270" t="str">
        <f>_xlfn.IFNA(VLOOKUP(CONCATENATE(BK$4,$C195),'INSER DATA'!$A:$F,7,0),"")</f>
        <v/>
      </c>
      <c r="BL195" s="272"/>
      <c r="BM195" s="30"/>
      <c r="BN195" s="30"/>
      <c r="BO195" s="30"/>
      <c r="BP195" s="30"/>
      <c r="BQ195" s="30"/>
      <c r="BR195" s="30"/>
      <c r="BS195" s="30"/>
      <c r="BT195" s="30"/>
      <c r="BU195" s="30"/>
      <c r="BV195" s="30"/>
      <c r="BW195" s="30"/>
      <c r="BX195" s="30"/>
      <c r="BY195" s="30"/>
      <c r="BZ195" s="30"/>
      <c r="CA195" s="30"/>
      <c r="CB195" s="30"/>
      <c r="CC195" s="30"/>
      <c r="CD195" s="30"/>
      <c r="CE195" s="30"/>
      <c r="CF195" s="30"/>
      <c r="CG195" s="30"/>
      <c r="CH195" s="30"/>
      <c r="CI195" s="30"/>
      <c r="CJ195" s="30"/>
      <c r="CK195" s="30"/>
      <c r="CL195" s="30"/>
      <c r="CM195" s="30"/>
      <c r="CN195" s="30"/>
      <c r="CO195" s="30"/>
      <c r="CP195" s="30"/>
      <c r="CQ195" s="30"/>
      <c r="CR195" s="30"/>
      <c r="CS195" s="30"/>
      <c r="CT195" s="30"/>
      <c r="CU195" s="30"/>
      <c r="CV195" s="30"/>
      <c r="CW195" s="30"/>
      <c r="CX195" s="30"/>
      <c r="CY195" s="30"/>
      <c r="CZ195" s="30"/>
      <c r="DA195" s="30"/>
    </row>
    <row r="196" spans="1:105" ht="19.2" thickTop="1" thickBot="1" x14ac:dyDescent="0.4">
      <c r="A196" s="30"/>
      <c r="B196" s="30"/>
      <c r="C196" s="188" t="s">
        <v>772</v>
      </c>
      <c r="D196" s="46" t="s">
        <v>766</v>
      </c>
      <c r="E196" s="35" t="str">
        <f>_xlfn.XLOOKUP(Tabella4[[#This Row],[NOME]],'ROSE SQUADRE'!$N$3:$N$253,'ROSE SQUADRE'!$O$3:$O$253,"")</f>
        <v/>
      </c>
      <c r="F196" s="36" t="s">
        <v>162</v>
      </c>
      <c r="G196" s="43">
        <v>4</v>
      </c>
      <c r="H196" s="43">
        <v>4</v>
      </c>
      <c r="I196" s="44">
        <f t="shared" si="13"/>
        <v>0</v>
      </c>
      <c r="J196" s="37">
        <f t="shared" si="14"/>
        <v>2</v>
      </c>
      <c r="K196" s="178">
        <f t="shared" si="15"/>
        <v>6</v>
      </c>
      <c r="L196" s="178">
        <f t="shared" si="16"/>
        <v>6</v>
      </c>
      <c r="M196" s="179">
        <f t="shared" si="17"/>
        <v>12</v>
      </c>
      <c r="N196" s="45">
        <f t="shared" ca="1" si="18"/>
        <v>0</v>
      </c>
      <c r="O196" s="40">
        <f>SUMIF(Tabella1[Nome],Tabella4[[#This Row],[NOME]],Tabella1[Gf])</f>
        <v>0</v>
      </c>
      <c r="P196" s="40">
        <f>-(SUMIF(Tabella1[Nome],Tabella4[[#This Row],[NOME]],Tabella1[Gs]))</f>
        <v>0</v>
      </c>
      <c r="Q196" s="40">
        <f>SUMIF(Tabella1[Nome],Tabella4[[#This Row],[NOME]],Tabella1[Rp])</f>
        <v>0</v>
      </c>
      <c r="R196" s="40">
        <f>SUMIF(Tabella1[Nome],Tabella4[[#This Row],[NOME]],Tabella1[Rs])</f>
        <v>0</v>
      </c>
      <c r="S196" s="40">
        <f>SUMIF(Tabella1[Nome],Tabella4[[#This Row],[NOME]],Tabella1[Rf])</f>
        <v>0</v>
      </c>
      <c r="T196" s="40">
        <f>SUMIF(Tabella1[Nome],Tabella4[[#This Row],[NOME]],Tabella1[Au])</f>
        <v>0</v>
      </c>
      <c r="U196" s="41">
        <f>SUMIF(Tabella1[Nome],Tabella4[[#This Row],[NOME]],Tabella1[Amm])</f>
        <v>0</v>
      </c>
      <c r="V196" s="42">
        <f>SUMIF(Tabella1[Nome],Tabella4[[#This Row],[NOME]],Tabella1[Esp])</f>
        <v>0</v>
      </c>
      <c r="W196" s="40">
        <f>SUMIF(Tabella1[Nome],Tabella4[[#This Row],[NOME]],Tabella1[Ass])</f>
        <v>0</v>
      </c>
      <c r="X196" s="40">
        <f>SUMIF(Tabella1[Nome],Tabella4[[#This Row],[NOME]],Tabella1[Gdv])</f>
        <v>0</v>
      </c>
      <c r="Y196" s="40">
        <f>SUMIF(Tabella1[Nome],Tabella4[[#This Row],[NOME]],Tabella1[cl sh])</f>
        <v>0</v>
      </c>
      <c r="Z196" s="270">
        <f>_xlfn.IFNA(_xlfn.XLOOKUP(CONCATENATE(Z$4,$C196),Tabella1[CONC X VOTI IN TAB GIOC],Tabella1[Voto],""),"")</f>
        <v>6</v>
      </c>
      <c r="AA196" s="270">
        <f>_xlfn.IFNA(_xlfn.XLOOKUP(CONCATENATE(AA$4,$C196),Tabella1[CONC X VOTI IN TAB GIOC],Tabella1[Voto],""),"")</f>
        <v>6</v>
      </c>
      <c r="AB196" s="270" t="str">
        <f>_xlfn.IFNA(_xlfn.XLOOKUP(CONCATENATE(AB$4,$C196),Tabella1[CONC X VOTI IN TAB GIOC],Tabella1[Voto]),"")</f>
        <v/>
      </c>
      <c r="AC196" s="270" t="str" cm="1">
        <f t="array" ref="AC196">_xlfn.IFNA(_xlfn.XLOOKUP(CONCATENATE(AC$4,$C196),INDEX(Tabella1[],0,MATCH("CONC X VOTI IN TAB GIOC",Tabella1[#Headers],0)),INDEX(Tabella1[],0,MATCH("Voto",Tabella1[#Headers],0))),"")</f>
        <v/>
      </c>
      <c r="AD196" s="270" t="str">
        <f>_xlfn.IFNA(_xlfn.XLOOKUP(CONCATENATE(AD$4,$C196),Tabella1[CONC X VOTI IN TAB GIOC],Tabella1[Voto]),"")</f>
        <v/>
      </c>
      <c r="AE196" s="270" t="str">
        <f>_xlfn.IFNA(VLOOKUP(CONCATENATE(AE$4,$C196),'INSER DATA'!$A:$F,6,0),"")</f>
        <v/>
      </c>
      <c r="AF196" s="270" t="str">
        <f>_xlfn.IFNA(VLOOKUP(CONCATENATE(AF$4,$C196),'INSER DATA'!$A:$F,6,0),"")</f>
        <v/>
      </c>
      <c r="AG196" s="270" t="str">
        <f>_xlfn.IFNA(VLOOKUP(CONCATENATE(AG$4,$C196),'INSER DATA'!$A:$F,6,0),"")</f>
        <v/>
      </c>
      <c r="AH196" s="270" t="str">
        <f>_xlfn.IFNA(VLOOKUP(CONCATENATE(AH$4,$C196),'INSER DATA'!$A:$F,7,0),"")</f>
        <v/>
      </c>
      <c r="AI196" s="270" t="str">
        <f>_xlfn.IFNA(VLOOKUP(CONCATENATE(AI$4,$C196),'INSER DATA'!$A:$F,7,0),"")</f>
        <v/>
      </c>
      <c r="AJ196" s="270" t="str">
        <f>_xlfn.IFNA(VLOOKUP(CONCATENATE(AJ$4,$C196),'INSER DATA'!$A:$F,7,0),"")</f>
        <v/>
      </c>
      <c r="AK196" s="270" t="str">
        <f>_xlfn.IFNA(VLOOKUP(CONCATENATE(AK$4,$C196),'INSER DATA'!$A:$F,7,0),"")</f>
        <v/>
      </c>
      <c r="AL196" s="270" t="str">
        <f>_xlfn.IFNA(VLOOKUP(CONCATENATE(AL$4,$C196),'INSER DATA'!$A:$F,7,0),"")</f>
        <v/>
      </c>
      <c r="AM196" s="270" t="str">
        <f>_xlfn.IFNA(VLOOKUP(CONCATENATE(AM$4,$C196),'INSER DATA'!$A:$F,7,0),"")</f>
        <v/>
      </c>
      <c r="AN196" s="270" t="str">
        <f>_xlfn.IFNA(VLOOKUP(CONCATENATE(AN$4,$C196),'INSER DATA'!$A:$F,7,0),"")</f>
        <v/>
      </c>
      <c r="AO196" s="270" t="str">
        <f>_xlfn.IFNA(VLOOKUP(CONCATENATE(AO$4,$C196),'INSER DATA'!$A:$F,7,0),"")</f>
        <v/>
      </c>
      <c r="AP196" s="270" t="str">
        <f>_xlfn.IFNA(VLOOKUP(CONCATENATE(AP$4,$C196),'INSER DATA'!$A:$F,7,0),"")</f>
        <v/>
      </c>
      <c r="AQ196" s="270" t="str">
        <f>_xlfn.IFNA(VLOOKUP(CONCATENATE(AQ$4,$C196),'INSER DATA'!$A:$F,7,0),"")</f>
        <v/>
      </c>
      <c r="AR196" s="270" t="str">
        <f>_xlfn.IFNA(VLOOKUP(CONCATENATE(AR$4,$C196),'INSER DATA'!$A:$F,7,0),"")</f>
        <v/>
      </c>
      <c r="AS196" s="270" t="str">
        <f>_xlfn.IFNA(VLOOKUP(CONCATENATE(AS$4,$C196),'INSER DATA'!$A:$F,7,0),"")</f>
        <v/>
      </c>
      <c r="AT196" s="270" t="str">
        <f>_xlfn.IFNA(VLOOKUP(CONCATENATE(AT$4,$C196),'INSER DATA'!$A:$F,7,0),"")</f>
        <v/>
      </c>
      <c r="AU196" s="270" t="str">
        <f>_xlfn.IFNA(VLOOKUP(CONCATENATE(AU$4,$C196),'INSER DATA'!$A:$F,7,0),"")</f>
        <v/>
      </c>
      <c r="AV196" s="270" t="str">
        <f>_xlfn.IFNA(VLOOKUP(CONCATENATE(AV$4,$C196),'INSER DATA'!$A:$F,7,0),"")</f>
        <v/>
      </c>
      <c r="AW196" s="270" t="str">
        <f>_xlfn.IFNA(VLOOKUP(CONCATENATE(AW$4,$C196),'INSER DATA'!$A:$F,7,0),"")</f>
        <v/>
      </c>
      <c r="AX196" s="270" t="str">
        <f>_xlfn.IFNA(VLOOKUP(CONCATENATE(AX$4,$C196),'INSER DATA'!$A:$F,7,0),"")</f>
        <v/>
      </c>
      <c r="AY196" s="270" t="str">
        <f>_xlfn.IFNA(VLOOKUP(CONCATENATE(AY$4,$C196),'INSER DATA'!$A:$F,7,0),"")</f>
        <v/>
      </c>
      <c r="AZ196" s="270" t="str">
        <f>_xlfn.IFNA(VLOOKUP(CONCATENATE(AZ$4,$C196),'INSER DATA'!$A:$F,7,0),"")</f>
        <v/>
      </c>
      <c r="BA196" s="270" t="str">
        <f>_xlfn.IFNA(VLOOKUP(CONCATENATE(BA$4,$C196),'INSER DATA'!$A:$F,7,0),"")</f>
        <v/>
      </c>
      <c r="BB196" s="270" t="str">
        <f>_xlfn.IFNA(VLOOKUP(CONCATENATE(BB$4,$C196),'INSER DATA'!$A:$F,7,0),"")</f>
        <v/>
      </c>
      <c r="BC196" s="270" t="str">
        <f>_xlfn.IFNA(VLOOKUP(CONCATENATE(BC$4,$C196),'INSER DATA'!$A:$F,7,0),"")</f>
        <v/>
      </c>
      <c r="BD196" s="270" t="str">
        <f>_xlfn.IFNA(VLOOKUP(CONCATENATE(BD$4,$C196),'INSER DATA'!$A:$F,7,0),"")</f>
        <v/>
      </c>
      <c r="BE196" s="270" t="str">
        <f>_xlfn.IFNA(VLOOKUP(CONCATENATE(BE$4,$C196),'INSER DATA'!$A:$F,7,0),"")</f>
        <v/>
      </c>
      <c r="BF196" s="270" t="str">
        <f>_xlfn.IFNA(VLOOKUP(CONCATENATE(BF$4,$C196),'INSER DATA'!$A:$F,7,0),"")</f>
        <v/>
      </c>
      <c r="BG196" s="270" t="str">
        <f>_xlfn.IFNA(VLOOKUP(CONCATENATE(BG$4,$C196),'INSER DATA'!$A:$F,7,0),"")</f>
        <v/>
      </c>
      <c r="BH196" s="270" t="str">
        <f>_xlfn.IFNA(VLOOKUP(CONCATENATE(BH$4,$C196),'INSER DATA'!$A:$F,7,0),"")</f>
        <v/>
      </c>
      <c r="BI196" s="270" t="str">
        <f>_xlfn.IFNA(VLOOKUP(CONCATENATE(BI$4,$C196),'INSER DATA'!$A:$F,7,0),"")</f>
        <v/>
      </c>
      <c r="BJ196" s="270" t="str">
        <f>_xlfn.IFNA(VLOOKUP(CONCATENATE(BJ$4,$C196),'INSER DATA'!$A:$F,7,0),"")</f>
        <v/>
      </c>
      <c r="BK196" s="270" t="str">
        <f>_xlfn.IFNA(VLOOKUP(CONCATENATE(BK$4,$C196),'INSER DATA'!$A:$F,7,0),"")</f>
        <v/>
      </c>
      <c r="BL196" s="272"/>
      <c r="BM196" s="30"/>
      <c r="BN196" s="30"/>
      <c r="BO196" s="30"/>
      <c r="BP196" s="30"/>
      <c r="BQ196" s="30"/>
      <c r="BR196" s="30"/>
      <c r="BS196" s="30"/>
      <c r="BT196" s="30"/>
      <c r="BU196" s="30"/>
      <c r="BV196" s="30"/>
      <c r="BW196" s="30"/>
      <c r="BX196" s="30"/>
      <c r="BY196" s="30"/>
      <c r="BZ196" s="30"/>
      <c r="CA196" s="30"/>
      <c r="CB196" s="30"/>
      <c r="CC196" s="30"/>
      <c r="CD196" s="30"/>
      <c r="CE196" s="30"/>
      <c r="CF196" s="30"/>
      <c r="CG196" s="30"/>
      <c r="CH196" s="30"/>
      <c r="CI196" s="30"/>
      <c r="CJ196" s="30"/>
      <c r="CK196" s="30"/>
      <c r="CL196" s="30"/>
      <c r="CM196" s="30"/>
      <c r="CN196" s="30"/>
      <c r="CO196" s="30"/>
      <c r="CP196" s="30"/>
      <c r="CQ196" s="30"/>
      <c r="CR196" s="30"/>
      <c r="CS196" s="30"/>
      <c r="CT196" s="30"/>
      <c r="CU196" s="30"/>
      <c r="CV196" s="30"/>
      <c r="CW196" s="30"/>
      <c r="CX196" s="30"/>
      <c r="CY196" s="30"/>
      <c r="CZ196" s="30"/>
      <c r="DA196" s="30"/>
    </row>
    <row r="197" spans="1:105" ht="19.2" thickTop="1" thickBot="1" x14ac:dyDescent="0.4">
      <c r="A197" s="30"/>
      <c r="B197" s="30"/>
      <c r="C197" s="354" t="s">
        <v>565</v>
      </c>
      <c r="D197" s="357" t="s">
        <v>766</v>
      </c>
      <c r="E197" s="35" t="str">
        <f>_xlfn.XLOOKUP(Tabella4[[#This Row],[NOME]],'ROSE SQUADRE'!$N$3:$N$253,'ROSE SQUADRE'!$O$3:$O$253,"")</f>
        <v>ATL. IMPROVVISATO</v>
      </c>
      <c r="F197" s="36" t="s">
        <v>163</v>
      </c>
      <c r="G197" s="43">
        <v>7</v>
      </c>
      <c r="H197" s="43">
        <v>7</v>
      </c>
      <c r="I197" s="44">
        <f t="shared" ref="I197:I260" si="19">SUM(H197-G197)</f>
        <v>0</v>
      </c>
      <c r="J197" s="37">
        <f t="shared" ref="J197:J260" si="20">COUNT(Z197:CJ197)</f>
        <v>2</v>
      </c>
      <c r="K197" s="38">
        <f t="shared" ref="K197:K260" si="21">IF(J197=0,0,AVERAGE(Z197:CJ197))</f>
        <v>6.5</v>
      </c>
      <c r="L197" s="38">
        <f t="shared" ref="L197:L260" si="22">IF(J197=0,0,M197/J197)</f>
        <v>8</v>
      </c>
      <c r="M197" s="39">
        <f t="shared" ref="M197:M260" si="23">SUM(Z197:CJ197)+(O197*3)+P197+(Q197*3)-(R197*3)-(T197*2)-(U197/2)-V197+W197+X197+Y197</f>
        <v>16</v>
      </c>
      <c r="N197" s="45">
        <f t="shared" ca="1" si="18"/>
        <v>0</v>
      </c>
      <c r="O197" s="40">
        <f>SUMIF(Tabella1[Nome],Tabella4[[#This Row],[NOME]],Tabella1[Gf])</f>
        <v>1</v>
      </c>
      <c r="P197" s="40">
        <f>-(SUMIF(Tabella1[Nome],Tabella4[[#This Row],[NOME]],Tabella1[Gs]))</f>
        <v>0</v>
      </c>
      <c r="Q197" s="40">
        <f>SUMIF(Tabella1[Nome],Tabella4[[#This Row],[NOME]],Tabella1[Rp])</f>
        <v>0</v>
      </c>
      <c r="R197" s="40">
        <f>SUMIF(Tabella1[Nome],Tabella4[[#This Row],[NOME]],Tabella1[Rs])</f>
        <v>0</v>
      </c>
      <c r="S197" s="40">
        <f>SUMIF(Tabella1[Nome],Tabella4[[#This Row],[NOME]],Tabella1[Rf])</f>
        <v>0</v>
      </c>
      <c r="T197" s="40">
        <f>SUMIF(Tabella1[Nome],Tabella4[[#This Row],[NOME]],Tabella1[Au])</f>
        <v>0</v>
      </c>
      <c r="U197" s="41">
        <f>SUMIF(Tabella1[Nome],Tabella4[[#This Row],[NOME]],Tabella1[Amm])</f>
        <v>0</v>
      </c>
      <c r="V197" s="42">
        <f>SUMIF(Tabella1[Nome],Tabella4[[#This Row],[NOME]],Tabella1[Esp])</f>
        <v>0</v>
      </c>
      <c r="W197" s="40">
        <f>SUMIF(Tabella1[Nome],Tabella4[[#This Row],[NOME]],Tabella1[Ass])</f>
        <v>0</v>
      </c>
      <c r="X197" s="40">
        <f>SUMIF(Tabella1[Nome],Tabella4[[#This Row],[NOME]],Tabella1[Gdv])</f>
        <v>0</v>
      </c>
      <c r="Y197" s="40">
        <f>SUMIF(Tabella1[Nome],Tabella4[[#This Row],[NOME]],Tabella1[cl sh])</f>
        <v>0</v>
      </c>
      <c r="Z197" s="270">
        <f>_xlfn.IFNA(_xlfn.XLOOKUP(CONCATENATE(Z$4,$C197),Tabella1[CONC X VOTI IN TAB GIOC],Tabella1[Voto],""),"")</f>
        <v>6</v>
      </c>
      <c r="AA197" s="270" t="str">
        <f>_xlfn.IFNA(_xlfn.XLOOKUP(CONCATENATE(AA$4,$C197),Tabella1[CONC X VOTI IN TAB GIOC],Tabella1[Voto],""),"")</f>
        <v/>
      </c>
      <c r="AB197" s="270" t="str">
        <f>_xlfn.IFNA(_xlfn.XLOOKUP(CONCATENATE(AB$4,$C197),Tabella1[CONC X VOTI IN TAB GIOC],Tabella1[Voto]),"")</f>
        <v/>
      </c>
      <c r="AC197" s="270" cm="1">
        <f t="array" ref="AC197">_xlfn.IFNA(_xlfn.XLOOKUP(CONCATENATE(AC$4,$C197),INDEX(Tabella1[],0,MATCH("CONC X VOTI IN TAB GIOC",Tabella1[#Headers],0)),INDEX(Tabella1[],0,MATCH("Voto",Tabella1[#Headers],0))),"")</f>
        <v>7</v>
      </c>
      <c r="AD197" s="270" t="str">
        <f>_xlfn.IFNA(_xlfn.XLOOKUP(CONCATENATE(AD$4,$C197),Tabella1[CONC X VOTI IN TAB GIOC],Tabella1[Voto]),"")</f>
        <v/>
      </c>
      <c r="AE197" s="270" t="str">
        <f>_xlfn.IFNA(VLOOKUP(CONCATENATE(AE$4,$C197),'INSER DATA'!$A:$F,6,0),"")</f>
        <v/>
      </c>
      <c r="AF197" s="270" t="str">
        <f>_xlfn.IFNA(VLOOKUP(CONCATENATE(AF$4,$C197),'INSER DATA'!$A:$F,6,0),"")</f>
        <v/>
      </c>
      <c r="AG197" s="270" t="str">
        <f>_xlfn.IFNA(VLOOKUP(CONCATENATE(AG$4,$C197),'INSER DATA'!$A:$F,6,0),"")</f>
        <v/>
      </c>
      <c r="AH197" s="270" t="str">
        <f>_xlfn.IFNA(VLOOKUP(CONCATENATE(AH$4,$C197),'INSER DATA'!$A:$F,7,0),"")</f>
        <v/>
      </c>
      <c r="AI197" s="270" t="str">
        <f>_xlfn.IFNA(VLOOKUP(CONCATENATE(AI$4,$C197),'INSER DATA'!$A:$F,7,0),"")</f>
        <v/>
      </c>
      <c r="AJ197" s="270" t="str">
        <f>_xlfn.IFNA(VLOOKUP(CONCATENATE(AJ$4,$C197),'INSER DATA'!$A:$F,7,0),"")</f>
        <v/>
      </c>
      <c r="AK197" s="270" t="str">
        <f>_xlfn.IFNA(VLOOKUP(CONCATENATE(AK$4,$C197),'INSER DATA'!$A:$F,7,0),"")</f>
        <v/>
      </c>
      <c r="AL197" s="270" t="str">
        <f>_xlfn.IFNA(VLOOKUP(CONCATENATE(AL$4,$C197),'INSER DATA'!$A:$F,7,0),"")</f>
        <v/>
      </c>
      <c r="AM197" s="270" t="str">
        <f>_xlfn.IFNA(VLOOKUP(CONCATENATE(AM$4,$C197),'INSER DATA'!$A:$F,7,0),"")</f>
        <v/>
      </c>
      <c r="AN197" s="270" t="str">
        <f>_xlfn.IFNA(VLOOKUP(CONCATENATE(AN$4,$C197),'INSER DATA'!$A:$F,7,0),"")</f>
        <v/>
      </c>
      <c r="AO197" s="270" t="str">
        <f>_xlfn.IFNA(VLOOKUP(CONCATENATE(AO$4,$C197),'INSER DATA'!$A:$F,7,0),"")</f>
        <v/>
      </c>
      <c r="AP197" s="270" t="str">
        <f>_xlfn.IFNA(VLOOKUP(CONCATENATE(AP$4,$C197),'INSER DATA'!$A:$F,7,0),"")</f>
        <v/>
      </c>
      <c r="AQ197" s="270" t="str">
        <f>_xlfn.IFNA(VLOOKUP(CONCATENATE(AQ$4,$C197),'INSER DATA'!$A:$F,7,0),"")</f>
        <v/>
      </c>
      <c r="AR197" s="270" t="str">
        <f>_xlfn.IFNA(VLOOKUP(CONCATENATE(AR$4,$C197),'INSER DATA'!$A:$F,7,0),"")</f>
        <v/>
      </c>
      <c r="AS197" s="270" t="str">
        <f>_xlfn.IFNA(VLOOKUP(CONCATENATE(AS$4,$C197),'INSER DATA'!$A:$F,7,0),"")</f>
        <v/>
      </c>
      <c r="AT197" s="270" t="str">
        <f>_xlfn.IFNA(VLOOKUP(CONCATENATE(AT$4,$C197),'INSER DATA'!$A:$F,7,0),"")</f>
        <v/>
      </c>
      <c r="AU197" s="270" t="str">
        <f>_xlfn.IFNA(VLOOKUP(CONCATENATE(AU$4,$C197),'INSER DATA'!$A:$F,7,0),"")</f>
        <v/>
      </c>
      <c r="AV197" s="270" t="str">
        <f>_xlfn.IFNA(VLOOKUP(CONCATENATE(AV$4,$C197),'INSER DATA'!$A:$F,7,0),"")</f>
        <v/>
      </c>
      <c r="AW197" s="270" t="str">
        <f>_xlfn.IFNA(VLOOKUP(CONCATENATE(AW$4,$C197),'INSER DATA'!$A:$F,7,0),"")</f>
        <v/>
      </c>
      <c r="AX197" s="270" t="str">
        <f>_xlfn.IFNA(VLOOKUP(CONCATENATE(AX$4,$C197),'INSER DATA'!$A:$F,7,0),"")</f>
        <v/>
      </c>
      <c r="AY197" s="270" t="str">
        <f>_xlfn.IFNA(VLOOKUP(CONCATENATE(AY$4,$C197),'INSER DATA'!$A:$F,7,0),"")</f>
        <v/>
      </c>
      <c r="AZ197" s="270" t="str">
        <f>_xlfn.IFNA(VLOOKUP(CONCATENATE(AZ$4,$C197),'INSER DATA'!$A:$F,7,0),"")</f>
        <v/>
      </c>
      <c r="BA197" s="270" t="str">
        <f>_xlfn.IFNA(VLOOKUP(CONCATENATE(BA$4,$C197),'INSER DATA'!$A:$F,7,0),"")</f>
        <v/>
      </c>
      <c r="BB197" s="270" t="str">
        <f>_xlfn.IFNA(VLOOKUP(CONCATENATE(BB$4,$C197),'INSER DATA'!$A:$F,7,0),"")</f>
        <v/>
      </c>
      <c r="BC197" s="270" t="str">
        <f>_xlfn.IFNA(VLOOKUP(CONCATENATE(BC$4,$C197),'INSER DATA'!$A:$F,7,0),"")</f>
        <v/>
      </c>
      <c r="BD197" s="270" t="str">
        <f>_xlfn.IFNA(VLOOKUP(CONCATENATE(BD$4,$C197),'INSER DATA'!$A:$F,7,0),"")</f>
        <v/>
      </c>
      <c r="BE197" s="270" t="str">
        <f>_xlfn.IFNA(VLOOKUP(CONCATENATE(BE$4,$C197),'INSER DATA'!$A:$F,7,0),"")</f>
        <v/>
      </c>
      <c r="BF197" s="270" t="str">
        <f>_xlfn.IFNA(VLOOKUP(CONCATENATE(BF$4,$C197),'INSER DATA'!$A:$F,7,0),"")</f>
        <v/>
      </c>
      <c r="BG197" s="270" t="str">
        <f>_xlfn.IFNA(VLOOKUP(CONCATENATE(BG$4,$C197),'INSER DATA'!$A:$F,7,0),"")</f>
        <v/>
      </c>
      <c r="BH197" s="270" t="str">
        <f>_xlfn.IFNA(VLOOKUP(CONCATENATE(BH$4,$C197),'INSER DATA'!$A:$F,7,0),"")</f>
        <v/>
      </c>
      <c r="BI197" s="270" t="str">
        <f>_xlfn.IFNA(VLOOKUP(CONCATENATE(BI$4,$C197),'INSER DATA'!$A:$F,7,0),"")</f>
        <v/>
      </c>
      <c r="BJ197" s="270" t="str">
        <f>_xlfn.IFNA(VLOOKUP(CONCATENATE(BJ$4,$C197),'INSER DATA'!$A:$F,7,0),"")</f>
        <v/>
      </c>
      <c r="BK197" s="270" t="str">
        <f>_xlfn.IFNA(VLOOKUP(CONCATENATE(BK$4,$C197),'INSER DATA'!$A:$F,7,0),"")</f>
        <v/>
      </c>
      <c r="BL197" s="272"/>
      <c r="BM197" s="30"/>
      <c r="BN197" s="30"/>
      <c r="BO197" s="30"/>
      <c r="BP197" s="30"/>
      <c r="BQ197" s="30"/>
      <c r="BR197" s="30"/>
      <c r="BS197" s="30"/>
      <c r="BT197" s="30"/>
      <c r="BU197" s="30"/>
      <c r="BV197" s="30"/>
      <c r="BW197" s="30"/>
      <c r="BX197" s="30"/>
      <c r="BY197" s="30"/>
      <c r="BZ197" s="30"/>
      <c r="CA197" s="30"/>
      <c r="CB197" s="30"/>
      <c r="CC197" s="30"/>
      <c r="CD197" s="30"/>
      <c r="CE197" s="30"/>
      <c r="CF197" s="30"/>
      <c r="CG197" s="30"/>
      <c r="CH197" s="30"/>
      <c r="CI197" s="30"/>
      <c r="CJ197" s="30"/>
      <c r="CK197" s="30"/>
      <c r="CL197" s="30"/>
      <c r="CM197" s="30"/>
      <c r="CN197" s="30"/>
      <c r="CO197" s="30"/>
      <c r="CP197" s="30"/>
      <c r="CQ197" s="30"/>
      <c r="CR197" s="30"/>
      <c r="CS197" s="30"/>
      <c r="CT197" s="30"/>
      <c r="CU197" s="30"/>
      <c r="CV197" s="30"/>
      <c r="CW197" s="30"/>
      <c r="CX197" s="30"/>
      <c r="CY197" s="30"/>
      <c r="CZ197" s="30"/>
      <c r="DA197" s="30"/>
    </row>
    <row r="198" spans="1:105" s="184" customFormat="1" ht="19.2" thickTop="1" thickBot="1" x14ac:dyDescent="0.4">
      <c r="C198" s="188" t="s">
        <v>1015</v>
      </c>
      <c r="D198" s="187" t="s">
        <v>766</v>
      </c>
      <c r="E198" s="35" t="str">
        <f>_xlfn.XLOOKUP(Tabella4[[#This Row],[NOME]],'ROSE SQUADRE'!$N$3:$N$253,'ROSE SQUADRE'!$O$3:$O$253,"")</f>
        <v>PARTIZAN DEGRADO</v>
      </c>
      <c r="F198" s="36" t="s">
        <v>162</v>
      </c>
      <c r="G198" s="43"/>
      <c r="H198" s="43"/>
      <c r="I198" s="44">
        <f t="shared" si="19"/>
        <v>0</v>
      </c>
      <c r="J198" s="37">
        <f t="shared" si="20"/>
        <v>3</v>
      </c>
      <c r="K198" s="38">
        <f t="shared" si="21"/>
        <v>6.166666666666667</v>
      </c>
      <c r="L198" s="38">
        <f t="shared" si="22"/>
        <v>6.166666666666667</v>
      </c>
      <c r="M198" s="39">
        <f t="shared" si="23"/>
        <v>18.5</v>
      </c>
      <c r="N198" s="45">
        <f t="shared" ca="1" si="18"/>
        <v>0</v>
      </c>
      <c r="O198" s="40">
        <f>SUMIF(Tabella1[Nome],Tabella4[[#This Row],[NOME]],Tabella1[Gf])</f>
        <v>0</v>
      </c>
      <c r="P198" s="40">
        <f>-(SUMIF(Tabella1[Nome],Tabella4[[#This Row],[NOME]],Tabella1[Gs]))</f>
        <v>0</v>
      </c>
      <c r="Q198" s="40">
        <f>SUMIF(Tabella1[Nome],Tabella4[[#This Row],[NOME]],Tabella1[Rp])</f>
        <v>0</v>
      </c>
      <c r="R198" s="40">
        <f>SUMIF(Tabella1[Nome],Tabella4[[#This Row],[NOME]],Tabella1[Rs])</f>
        <v>0</v>
      </c>
      <c r="S198" s="40">
        <f>SUMIF(Tabella1[Nome],Tabella4[[#This Row],[NOME]],Tabella1[Rf])</f>
        <v>0</v>
      </c>
      <c r="T198" s="40">
        <f>SUMIF(Tabella1[Nome],Tabella4[[#This Row],[NOME]],Tabella1[Au])</f>
        <v>0</v>
      </c>
      <c r="U198" s="41">
        <f>SUMIF(Tabella1[Nome],Tabella4[[#This Row],[NOME]],Tabella1[Amm])</f>
        <v>0</v>
      </c>
      <c r="V198" s="42">
        <f>SUMIF(Tabella1[Nome],Tabella4[[#This Row],[NOME]],Tabella1[Esp])</f>
        <v>0</v>
      </c>
      <c r="W198" s="40">
        <f>SUMIF(Tabella1[Nome],Tabella4[[#This Row],[NOME]],Tabella1[Ass])</f>
        <v>0</v>
      </c>
      <c r="X198" s="40">
        <f>SUMIF(Tabella1[Nome],Tabella4[[#This Row],[NOME]],Tabella1[Gdv])</f>
        <v>0</v>
      </c>
      <c r="Y198" s="40">
        <f>SUMIF(Tabella1[Nome],Tabella4[[#This Row],[NOME]],Tabella1[cl sh])</f>
        <v>0</v>
      </c>
      <c r="Z198" s="270" t="str">
        <f>_xlfn.IFNA(_xlfn.XLOOKUP(CONCATENATE(Z$4,$C198),Tabella1[CONC X VOTI IN TAB GIOC],Tabella1[Voto],""),"")</f>
        <v/>
      </c>
      <c r="AA198" s="270">
        <f>_xlfn.IFNA(_xlfn.XLOOKUP(CONCATENATE(AA$4,$C198),Tabella1[CONC X VOTI IN TAB GIOC],Tabella1[Voto],""),"")</f>
        <v>6</v>
      </c>
      <c r="AB198" s="270">
        <f>_xlfn.IFNA(_xlfn.XLOOKUP(CONCATENATE(AB$4,$C198),Tabella1[CONC X VOTI IN TAB GIOC],Tabella1[Voto]),"")</f>
        <v>6</v>
      </c>
      <c r="AC198" s="270" cm="1">
        <f t="array" ref="AC198">_xlfn.IFNA(_xlfn.XLOOKUP(CONCATENATE(AC$4,$C198),INDEX(Tabella1[],0,MATCH("CONC X VOTI IN TAB GIOC",Tabella1[#Headers],0)),INDEX(Tabella1[],0,MATCH("Voto",Tabella1[#Headers],0))),"")</f>
        <v>6.5</v>
      </c>
      <c r="AD198" s="270" t="str">
        <f>_xlfn.IFNA(_xlfn.XLOOKUP(CONCATENATE(AD$4,$C198),Tabella1[CONC X VOTI IN TAB GIOC],Tabella1[Voto]),"")</f>
        <v/>
      </c>
      <c r="AE198" s="270" t="str">
        <f>_xlfn.IFNA(VLOOKUP(CONCATENATE(AE$4,$C198),'INSER DATA'!$A:$F,6,0),"")</f>
        <v/>
      </c>
      <c r="AF198" s="270" t="str">
        <f>_xlfn.IFNA(VLOOKUP(CONCATENATE(AF$4,$C198),'INSER DATA'!$A:$F,6,0),"")</f>
        <v/>
      </c>
      <c r="AG198" s="270" t="str">
        <f>_xlfn.IFNA(VLOOKUP(CONCATENATE(AG$4,$C198),'INSER DATA'!$A:$F,6,0),"")</f>
        <v/>
      </c>
      <c r="AH198" s="270" t="str">
        <f>_xlfn.IFNA(VLOOKUP(CONCATENATE(AH$4,$C198),'INSER DATA'!$A:$F,7,0),"")</f>
        <v/>
      </c>
      <c r="AI198" s="270" t="str">
        <f>_xlfn.IFNA(VLOOKUP(CONCATENATE(AI$4,$C198),'INSER DATA'!$A:$F,7,0),"")</f>
        <v/>
      </c>
      <c r="AJ198" s="270" t="str">
        <f>_xlfn.IFNA(VLOOKUP(CONCATENATE(AJ$4,$C198),'INSER DATA'!$A:$F,7,0),"")</f>
        <v/>
      </c>
      <c r="AK198" s="270" t="str">
        <f>_xlfn.IFNA(VLOOKUP(CONCATENATE(AK$4,$C198),'INSER DATA'!$A:$F,7,0),"")</f>
        <v/>
      </c>
      <c r="AL198" s="270" t="str">
        <f>_xlfn.IFNA(VLOOKUP(CONCATENATE(AL$4,$C198),'INSER DATA'!$A:$F,7,0),"")</f>
        <v/>
      </c>
      <c r="AM198" s="270" t="str">
        <f>_xlfn.IFNA(VLOOKUP(CONCATENATE(AM$4,$C198),'INSER DATA'!$A:$F,7,0),"")</f>
        <v/>
      </c>
      <c r="AN198" s="270" t="str">
        <f>_xlfn.IFNA(VLOOKUP(CONCATENATE(AN$4,$C198),'INSER DATA'!$A:$F,7,0),"")</f>
        <v/>
      </c>
      <c r="AO198" s="270" t="str">
        <f>_xlfn.IFNA(VLOOKUP(CONCATENATE(AO$4,$C198),'INSER DATA'!$A:$F,7,0),"")</f>
        <v/>
      </c>
      <c r="AP198" s="270" t="str">
        <f>_xlfn.IFNA(VLOOKUP(CONCATENATE(AP$4,$C198),'INSER DATA'!$A:$F,7,0),"")</f>
        <v/>
      </c>
      <c r="AQ198" s="270" t="str">
        <f>_xlfn.IFNA(VLOOKUP(CONCATENATE(AQ$4,$C198),'INSER DATA'!$A:$F,7,0),"")</f>
        <v/>
      </c>
      <c r="AR198" s="270" t="str">
        <f>_xlfn.IFNA(VLOOKUP(CONCATENATE(AR$4,$C198),'INSER DATA'!$A:$F,7,0),"")</f>
        <v/>
      </c>
      <c r="AS198" s="270" t="str">
        <f>_xlfn.IFNA(VLOOKUP(CONCATENATE(AS$4,$C198),'INSER DATA'!$A:$F,7,0),"")</f>
        <v/>
      </c>
      <c r="AT198" s="270" t="str">
        <f>_xlfn.IFNA(VLOOKUP(CONCATENATE(AT$4,$C198),'INSER DATA'!$A:$F,7,0),"")</f>
        <v/>
      </c>
      <c r="AU198" s="270" t="str">
        <f>_xlfn.IFNA(VLOOKUP(CONCATENATE(AU$4,$C198),'INSER DATA'!$A:$F,7,0),"")</f>
        <v/>
      </c>
      <c r="AV198" s="270" t="str">
        <f>_xlfn.IFNA(VLOOKUP(CONCATENATE(AV$4,$C198),'INSER DATA'!$A:$F,7,0),"")</f>
        <v/>
      </c>
      <c r="AW198" s="270" t="str">
        <f>_xlfn.IFNA(VLOOKUP(CONCATENATE(AW$4,$C198),'INSER DATA'!$A:$F,7,0),"")</f>
        <v/>
      </c>
      <c r="AX198" s="270" t="str">
        <f>_xlfn.IFNA(VLOOKUP(CONCATENATE(AX$4,$C198),'INSER DATA'!$A:$F,7,0),"")</f>
        <v/>
      </c>
      <c r="AY198" s="270" t="str">
        <f>_xlfn.IFNA(VLOOKUP(CONCATENATE(AY$4,$C198),'INSER DATA'!$A:$F,7,0),"")</f>
        <v/>
      </c>
      <c r="AZ198" s="270" t="str">
        <f>_xlfn.IFNA(VLOOKUP(CONCATENATE(AZ$4,$C198),'INSER DATA'!$A:$F,7,0),"")</f>
        <v/>
      </c>
      <c r="BA198" s="270" t="str">
        <f>_xlfn.IFNA(VLOOKUP(CONCATENATE(BA$4,$C198),'INSER DATA'!$A:$F,7,0),"")</f>
        <v/>
      </c>
      <c r="BB198" s="270" t="str">
        <f>_xlfn.IFNA(VLOOKUP(CONCATENATE(BB$4,$C198),'INSER DATA'!$A:$F,7,0),"")</f>
        <v/>
      </c>
      <c r="BC198" s="270" t="str">
        <f>_xlfn.IFNA(VLOOKUP(CONCATENATE(BC$4,$C198),'INSER DATA'!$A:$F,7,0),"")</f>
        <v/>
      </c>
      <c r="BD198" s="270" t="str">
        <f>_xlfn.IFNA(VLOOKUP(CONCATENATE(BD$4,$C198),'INSER DATA'!$A:$F,7,0),"")</f>
        <v/>
      </c>
      <c r="BE198" s="270" t="str">
        <f>_xlfn.IFNA(VLOOKUP(CONCATENATE(BE$4,$C198),'INSER DATA'!$A:$F,7,0),"")</f>
        <v/>
      </c>
      <c r="BF198" s="270" t="str">
        <f>_xlfn.IFNA(VLOOKUP(CONCATENATE(BF$4,$C198),'INSER DATA'!$A:$F,7,0),"")</f>
        <v/>
      </c>
      <c r="BG198" s="270" t="str">
        <f>_xlfn.IFNA(VLOOKUP(CONCATENATE(BG$4,$C198),'INSER DATA'!$A:$F,7,0),"")</f>
        <v/>
      </c>
      <c r="BH198" s="270" t="str">
        <f>_xlfn.IFNA(VLOOKUP(CONCATENATE(BH$4,$C198),'INSER DATA'!$A:$F,7,0),"")</f>
        <v/>
      </c>
      <c r="BI198" s="270" t="str">
        <f>_xlfn.IFNA(VLOOKUP(CONCATENATE(BI$4,$C198),'INSER DATA'!$A:$F,7,0),"")</f>
        <v/>
      </c>
      <c r="BJ198" s="270" t="str">
        <f>_xlfn.IFNA(VLOOKUP(CONCATENATE(BJ$4,$C198),'INSER DATA'!$A:$F,7,0),"")</f>
        <v/>
      </c>
      <c r="BK198" s="270" t="str">
        <f>_xlfn.IFNA(VLOOKUP(CONCATENATE(BK$4,$C198),'INSER DATA'!$A:$F,7,0),"")</f>
        <v/>
      </c>
      <c r="BL198" s="272"/>
    </row>
    <row r="199" spans="1:105" s="184" customFormat="1" ht="19.2" thickTop="1" thickBot="1" x14ac:dyDescent="0.4">
      <c r="C199" s="358" t="s">
        <v>233</v>
      </c>
      <c r="D199" s="361" t="s">
        <v>766</v>
      </c>
      <c r="E199" s="35" t="str">
        <f>_xlfn.XLOOKUP(Tabella4[[#This Row],[NOME]],'ROSE SQUADRE'!$N$3:$N$253,'ROSE SQUADRE'!$O$3:$O$253,"")</f>
        <v>TRICCHETRACHT</v>
      </c>
      <c r="F199" s="36" t="s">
        <v>163</v>
      </c>
      <c r="G199" s="43">
        <v>35</v>
      </c>
      <c r="H199" s="43">
        <v>34</v>
      </c>
      <c r="I199" s="44">
        <f t="shared" si="19"/>
        <v>-1</v>
      </c>
      <c r="J199" s="37">
        <f t="shared" si="20"/>
        <v>3</v>
      </c>
      <c r="K199" s="178">
        <f t="shared" si="21"/>
        <v>6.333333333333333</v>
      </c>
      <c r="L199" s="178">
        <f t="shared" si="22"/>
        <v>8.3333333333333339</v>
      </c>
      <c r="M199" s="179">
        <f t="shared" si="23"/>
        <v>25</v>
      </c>
      <c r="N199" s="45">
        <f t="shared" ca="1" si="18"/>
        <v>1</v>
      </c>
      <c r="O199" s="40">
        <f>SUMIF(Tabella1[Nome],Tabella4[[#This Row],[NOME]],Tabella1[Gf])</f>
        <v>2</v>
      </c>
      <c r="P199" s="40">
        <f>-(SUMIF(Tabella1[Nome],Tabella4[[#This Row],[NOME]],Tabella1[Gs]))</f>
        <v>0</v>
      </c>
      <c r="Q199" s="40">
        <f>SUMIF(Tabella1[Nome],Tabella4[[#This Row],[NOME]],Tabella1[Rp])</f>
        <v>0</v>
      </c>
      <c r="R199" s="40">
        <f>SUMIF(Tabella1[Nome],Tabella4[[#This Row],[NOME]],Tabella1[Rs])</f>
        <v>0</v>
      </c>
      <c r="S199" s="40">
        <f>SUMIF(Tabella1[Nome],Tabella4[[#This Row],[NOME]],Tabella1[Rf])</f>
        <v>0</v>
      </c>
      <c r="T199" s="40">
        <f>SUMIF(Tabella1[Nome],Tabella4[[#This Row],[NOME]],Tabella1[Au])</f>
        <v>0</v>
      </c>
      <c r="U199" s="41">
        <f>SUMIF(Tabella1[Nome],Tabella4[[#This Row],[NOME]],Tabella1[Amm])</f>
        <v>2</v>
      </c>
      <c r="V199" s="42">
        <f>SUMIF(Tabella1[Nome],Tabella4[[#This Row],[NOME]],Tabella1[Esp])</f>
        <v>0</v>
      </c>
      <c r="W199" s="40">
        <f>SUMIF(Tabella1[Nome],Tabella4[[#This Row],[NOME]],Tabella1[Ass])</f>
        <v>0</v>
      </c>
      <c r="X199" s="40">
        <f>SUMIF(Tabella1[Nome],Tabella4[[#This Row],[NOME]],Tabella1[Gdv])</f>
        <v>1</v>
      </c>
      <c r="Y199" s="40">
        <f>SUMIF(Tabella1[Nome],Tabella4[[#This Row],[NOME]],Tabella1[cl sh])</f>
        <v>0</v>
      </c>
      <c r="Z199" s="270">
        <f>_xlfn.IFNA(_xlfn.XLOOKUP(CONCATENATE(Z$4,$C199),Tabella1[CONC X VOTI IN TAB GIOC],Tabella1[Voto],""),"")</f>
        <v>5.5</v>
      </c>
      <c r="AA199" s="270">
        <f>_xlfn.IFNA(_xlfn.XLOOKUP(CONCATENATE(AA$4,$C199),Tabella1[CONC X VOTI IN TAB GIOC],Tabella1[Voto],""),"")</f>
        <v>6</v>
      </c>
      <c r="AB199" s="400">
        <f>_xlfn.IFNA(_xlfn.XLOOKUP(CONCATENATE(AB$4,$C199),Tabella1[CONC X VOTI IN TAB GIOC],Tabella1[Voto]),"")</f>
        <v>7.5</v>
      </c>
      <c r="AC199" s="270" t="str" cm="1">
        <f t="array" ref="AC199">_xlfn.IFNA(_xlfn.XLOOKUP(CONCATENATE(AC$4,$C199),INDEX(Tabella1[],0,MATCH("CONC X VOTI IN TAB GIOC",Tabella1[#Headers],0)),INDEX(Tabella1[],0,MATCH("Voto",Tabella1[#Headers],0))),"")</f>
        <v/>
      </c>
      <c r="AD199" s="270" t="str">
        <f>_xlfn.IFNA(_xlfn.XLOOKUP(CONCATENATE(AD$4,$C199),Tabella1[CONC X VOTI IN TAB GIOC],Tabella1[Voto]),"")</f>
        <v/>
      </c>
      <c r="AE199" s="270" t="str">
        <f>_xlfn.IFNA(VLOOKUP(CONCATENATE(AE$4,$C199),'INSER DATA'!$A:$F,6,0),"")</f>
        <v/>
      </c>
      <c r="AF199" s="270" t="str">
        <f>_xlfn.IFNA(VLOOKUP(CONCATENATE(AF$4,$C199),'INSER DATA'!$A:$F,6,0),"")</f>
        <v/>
      </c>
      <c r="AG199" s="270" t="str">
        <f>_xlfn.IFNA(VLOOKUP(CONCATENATE(AG$4,$C199),'INSER DATA'!$A:$F,6,0),"")</f>
        <v/>
      </c>
      <c r="AH199" s="270" t="str">
        <f>_xlfn.IFNA(VLOOKUP(CONCATENATE(AH$4,$C199),'INSER DATA'!$A:$F,7,0),"")</f>
        <v/>
      </c>
      <c r="AI199" s="270" t="str">
        <f>_xlfn.IFNA(VLOOKUP(CONCATENATE(AI$4,$C199),'INSER DATA'!$A:$F,7,0),"")</f>
        <v/>
      </c>
      <c r="AJ199" s="270" t="str">
        <f>_xlfn.IFNA(VLOOKUP(CONCATENATE(AJ$4,$C199),'INSER DATA'!$A:$F,7,0),"")</f>
        <v/>
      </c>
      <c r="AK199" s="270" t="str">
        <f>_xlfn.IFNA(VLOOKUP(CONCATENATE(AK$4,$C199),'INSER DATA'!$A:$F,7,0),"")</f>
        <v/>
      </c>
      <c r="AL199" s="270" t="str">
        <f>_xlfn.IFNA(VLOOKUP(CONCATENATE(AL$4,$C199),'INSER DATA'!$A:$F,7,0),"")</f>
        <v/>
      </c>
      <c r="AM199" s="270" t="str">
        <f>_xlfn.IFNA(VLOOKUP(CONCATENATE(AM$4,$C199),'INSER DATA'!$A:$F,7,0),"")</f>
        <v/>
      </c>
      <c r="AN199" s="270" t="str">
        <f>_xlfn.IFNA(VLOOKUP(CONCATENATE(AN$4,$C199),'INSER DATA'!$A:$F,7,0),"")</f>
        <v/>
      </c>
      <c r="AO199" s="270" t="str">
        <f>_xlfn.IFNA(VLOOKUP(CONCATENATE(AO$4,$C199),'INSER DATA'!$A:$F,7,0),"")</f>
        <v/>
      </c>
      <c r="AP199" s="270" t="str">
        <f>_xlfn.IFNA(VLOOKUP(CONCATENATE(AP$4,$C199),'INSER DATA'!$A:$F,7,0),"")</f>
        <v/>
      </c>
      <c r="AQ199" s="270" t="str">
        <f>_xlfn.IFNA(VLOOKUP(CONCATENATE(AQ$4,$C199),'INSER DATA'!$A:$F,7,0),"")</f>
        <v/>
      </c>
      <c r="AR199" s="270" t="str">
        <f>_xlfn.IFNA(VLOOKUP(CONCATENATE(AR$4,$C199),'INSER DATA'!$A:$F,7,0),"")</f>
        <v/>
      </c>
      <c r="AS199" s="270" t="str">
        <f>_xlfn.IFNA(VLOOKUP(CONCATENATE(AS$4,$C199),'INSER DATA'!$A:$F,7,0),"")</f>
        <v/>
      </c>
      <c r="AT199" s="270" t="str">
        <f>_xlfn.IFNA(VLOOKUP(CONCATENATE(AT$4,$C199),'INSER DATA'!$A:$F,7,0),"")</f>
        <v/>
      </c>
      <c r="AU199" s="270" t="str">
        <f>_xlfn.IFNA(VLOOKUP(CONCATENATE(AU$4,$C199),'INSER DATA'!$A:$F,7,0),"")</f>
        <v/>
      </c>
      <c r="AV199" s="270" t="str">
        <f>_xlfn.IFNA(VLOOKUP(CONCATENATE(AV$4,$C199),'INSER DATA'!$A:$F,7,0),"")</f>
        <v/>
      </c>
      <c r="AW199" s="270" t="str">
        <f>_xlfn.IFNA(VLOOKUP(CONCATENATE(AW$4,$C199),'INSER DATA'!$A:$F,7,0),"")</f>
        <v/>
      </c>
      <c r="AX199" s="270" t="str">
        <f>_xlfn.IFNA(VLOOKUP(CONCATENATE(AX$4,$C199),'INSER DATA'!$A:$F,7,0),"")</f>
        <v/>
      </c>
      <c r="AY199" s="270" t="str">
        <f>_xlfn.IFNA(VLOOKUP(CONCATENATE(AY$4,$C199),'INSER DATA'!$A:$F,7,0),"")</f>
        <v/>
      </c>
      <c r="AZ199" s="270" t="str">
        <f>_xlfn.IFNA(VLOOKUP(CONCATENATE(AZ$4,$C199),'INSER DATA'!$A:$F,7,0),"")</f>
        <v/>
      </c>
      <c r="BA199" s="270" t="str">
        <f>_xlfn.IFNA(VLOOKUP(CONCATENATE(BA$4,$C199),'INSER DATA'!$A:$F,7,0),"")</f>
        <v/>
      </c>
      <c r="BB199" s="270" t="str">
        <f>_xlfn.IFNA(VLOOKUP(CONCATENATE(BB$4,$C199),'INSER DATA'!$A:$F,7,0),"")</f>
        <v/>
      </c>
      <c r="BC199" s="270" t="str">
        <f>_xlfn.IFNA(VLOOKUP(CONCATENATE(BC$4,$C199),'INSER DATA'!$A:$F,7,0),"")</f>
        <v/>
      </c>
      <c r="BD199" s="270" t="str">
        <f>_xlfn.IFNA(VLOOKUP(CONCATENATE(BD$4,$C199),'INSER DATA'!$A:$F,7,0),"")</f>
        <v/>
      </c>
      <c r="BE199" s="270" t="str">
        <f>_xlfn.IFNA(VLOOKUP(CONCATENATE(BE$4,$C199),'INSER DATA'!$A:$F,7,0),"")</f>
        <v/>
      </c>
      <c r="BF199" s="270" t="str">
        <f>_xlfn.IFNA(VLOOKUP(CONCATENATE(BF$4,$C199),'INSER DATA'!$A:$F,7,0),"")</f>
        <v/>
      </c>
      <c r="BG199" s="270" t="str">
        <f>_xlfn.IFNA(VLOOKUP(CONCATENATE(BG$4,$C199),'INSER DATA'!$A:$F,7,0),"")</f>
        <v/>
      </c>
      <c r="BH199" s="270" t="str">
        <f>_xlfn.IFNA(VLOOKUP(CONCATENATE(BH$4,$C199),'INSER DATA'!$A:$F,7,0),"")</f>
        <v/>
      </c>
      <c r="BI199" s="270" t="str">
        <f>_xlfn.IFNA(VLOOKUP(CONCATENATE(BI$4,$C199),'INSER DATA'!$A:$F,7,0),"")</f>
        <v/>
      </c>
      <c r="BJ199" s="270" t="str">
        <f>_xlfn.IFNA(VLOOKUP(CONCATENATE(BJ$4,$C199),'INSER DATA'!$A:$F,7,0),"")</f>
        <v/>
      </c>
      <c r="BK199" s="270" t="str">
        <f>_xlfn.IFNA(VLOOKUP(CONCATENATE(BK$4,$C199),'INSER DATA'!$A:$F,7,0),"")</f>
        <v/>
      </c>
      <c r="BL199" s="272"/>
    </row>
    <row r="200" spans="1:105" ht="19.2" thickTop="1" thickBot="1" x14ac:dyDescent="0.4">
      <c r="A200" s="30"/>
      <c r="B200" s="30"/>
      <c r="C200" s="356" t="s">
        <v>768</v>
      </c>
      <c r="D200" s="357" t="s">
        <v>766</v>
      </c>
      <c r="E200" s="35" t="str">
        <f>_xlfn.XLOOKUP(Tabella4[[#This Row],[NOME]],'ROSE SQUADRE'!$N$3:$N$253,'ROSE SQUADRE'!$O$3:$O$253,"")</f>
        <v>SHARK</v>
      </c>
      <c r="F200" s="36" t="s">
        <v>161</v>
      </c>
      <c r="G200" s="43">
        <v>16</v>
      </c>
      <c r="H200" s="43">
        <v>16</v>
      </c>
      <c r="I200" s="44">
        <f t="shared" si="19"/>
        <v>0</v>
      </c>
      <c r="J200" s="37">
        <f t="shared" si="20"/>
        <v>4</v>
      </c>
      <c r="K200" s="38">
        <f t="shared" si="21"/>
        <v>5.75</v>
      </c>
      <c r="L200" s="38">
        <f t="shared" si="22"/>
        <v>5.875</v>
      </c>
      <c r="M200" s="39">
        <f t="shared" si="23"/>
        <v>23.5</v>
      </c>
      <c r="N200" s="45">
        <f t="shared" ca="1" si="18"/>
        <v>0</v>
      </c>
      <c r="O200" s="40">
        <f>SUMIF(Tabella1[Nome],Tabella4[[#This Row],[NOME]],Tabella1[Gf])</f>
        <v>0</v>
      </c>
      <c r="P200" s="40">
        <f>-(SUMIF(Tabella1[Nome],Tabella4[[#This Row],[NOME]],Tabella1[Gs]))</f>
        <v>0</v>
      </c>
      <c r="Q200" s="40">
        <f>SUMIF(Tabella1[Nome],Tabella4[[#This Row],[NOME]],Tabella1[Rp])</f>
        <v>0</v>
      </c>
      <c r="R200" s="40">
        <f>SUMIF(Tabella1[Nome],Tabella4[[#This Row],[NOME]],Tabella1[Rs])</f>
        <v>0</v>
      </c>
      <c r="S200" s="40">
        <f>SUMIF(Tabella1[Nome],Tabella4[[#This Row],[NOME]],Tabella1[Rf])</f>
        <v>0</v>
      </c>
      <c r="T200" s="40">
        <f>SUMIF(Tabella1[Nome],Tabella4[[#This Row],[NOME]],Tabella1[Au])</f>
        <v>0</v>
      </c>
      <c r="U200" s="41">
        <f>SUMIF(Tabella1[Nome],Tabella4[[#This Row],[NOME]],Tabella1[Amm])</f>
        <v>1</v>
      </c>
      <c r="V200" s="42">
        <f>SUMIF(Tabella1[Nome],Tabella4[[#This Row],[NOME]],Tabella1[Esp])</f>
        <v>0</v>
      </c>
      <c r="W200" s="40">
        <f>SUMIF(Tabella1[Nome],Tabella4[[#This Row],[NOME]],Tabella1[Ass])</f>
        <v>1</v>
      </c>
      <c r="X200" s="40">
        <f>SUMIF(Tabella1[Nome],Tabella4[[#This Row],[NOME]],Tabella1[Gdv])</f>
        <v>0</v>
      </c>
      <c r="Y200" s="40">
        <f>SUMIF(Tabella1[Nome],Tabella4[[#This Row],[NOME]],Tabella1[cl sh])</f>
        <v>0</v>
      </c>
      <c r="Z200" s="270">
        <f>_xlfn.IFNA(_xlfn.XLOOKUP(CONCATENATE(Z$4,$C200),Tabella1[CONC X VOTI IN TAB GIOC],Tabella1[Voto],""),"")</f>
        <v>5.5</v>
      </c>
      <c r="AA200" s="270">
        <f>_xlfn.IFNA(_xlfn.XLOOKUP(CONCATENATE(AA$4,$C200),Tabella1[CONC X VOTI IN TAB GIOC],Tabella1[Voto],""),"")</f>
        <v>5.5</v>
      </c>
      <c r="AB200" s="270">
        <f>_xlfn.IFNA(_xlfn.XLOOKUP(CONCATENATE(AB$4,$C200),Tabella1[CONC X VOTI IN TAB GIOC],Tabella1[Voto]),"")</f>
        <v>6.5</v>
      </c>
      <c r="AC200" s="270" cm="1">
        <f t="array" ref="AC200">_xlfn.IFNA(_xlfn.XLOOKUP(CONCATENATE(AC$4,$C200),INDEX(Tabella1[],0,MATCH("CONC X VOTI IN TAB GIOC",Tabella1[#Headers],0)),INDEX(Tabella1[],0,MATCH("Voto",Tabella1[#Headers],0))),"")</f>
        <v>5.5</v>
      </c>
      <c r="AD200" s="270" t="str">
        <f>_xlfn.IFNA(_xlfn.XLOOKUP(CONCATENATE(AD$4,$C200),Tabella1[CONC X VOTI IN TAB GIOC],Tabella1[Voto]),"")</f>
        <v/>
      </c>
      <c r="AE200" s="270" t="str">
        <f>_xlfn.IFNA(VLOOKUP(CONCATENATE(AE$4,$C200),'INSER DATA'!$A:$F,6,0),"")</f>
        <v/>
      </c>
      <c r="AF200" s="270" t="str">
        <f>_xlfn.IFNA(VLOOKUP(CONCATENATE(AF$4,$C200),'INSER DATA'!$A:$F,6,0),"")</f>
        <v/>
      </c>
      <c r="AG200" s="270" t="str">
        <f>_xlfn.IFNA(VLOOKUP(CONCATENATE(AG$4,$C200),'INSER DATA'!$A:$F,6,0),"")</f>
        <v/>
      </c>
      <c r="AH200" s="270" t="str">
        <f>_xlfn.IFNA(VLOOKUP(CONCATENATE(AH$4,$C200),'INSER DATA'!$A:$F,7,0),"")</f>
        <v/>
      </c>
      <c r="AI200" s="270" t="str">
        <f>_xlfn.IFNA(VLOOKUP(CONCATENATE(AI$4,$C200),'INSER DATA'!$A:$F,7,0),"")</f>
        <v/>
      </c>
      <c r="AJ200" s="270" t="str">
        <f>_xlfn.IFNA(VLOOKUP(CONCATENATE(AJ$4,$C200),'INSER DATA'!$A:$F,7,0),"")</f>
        <v/>
      </c>
      <c r="AK200" s="270" t="str">
        <f>_xlfn.IFNA(VLOOKUP(CONCATENATE(AK$4,$C200),'INSER DATA'!$A:$F,7,0),"")</f>
        <v/>
      </c>
      <c r="AL200" s="270" t="str">
        <f>_xlfn.IFNA(VLOOKUP(CONCATENATE(AL$4,$C200),'INSER DATA'!$A:$F,7,0),"")</f>
        <v/>
      </c>
      <c r="AM200" s="270" t="str">
        <f>_xlfn.IFNA(VLOOKUP(CONCATENATE(AM$4,$C200),'INSER DATA'!$A:$F,7,0),"")</f>
        <v/>
      </c>
      <c r="AN200" s="270" t="str">
        <f>_xlfn.IFNA(VLOOKUP(CONCATENATE(AN$4,$C200),'INSER DATA'!$A:$F,7,0),"")</f>
        <v/>
      </c>
      <c r="AO200" s="270" t="str">
        <f>_xlfn.IFNA(VLOOKUP(CONCATENATE(AO$4,$C200),'INSER DATA'!$A:$F,7,0),"")</f>
        <v/>
      </c>
      <c r="AP200" s="270" t="str">
        <f>_xlfn.IFNA(VLOOKUP(CONCATENATE(AP$4,$C200),'INSER DATA'!$A:$F,7,0),"")</f>
        <v/>
      </c>
      <c r="AQ200" s="270" t="str">
        <f>_xlfn.IFNA(VLOOKUP(CONCATENATE(AQ$4,$C200),'INSER DATA'!$A:$F,7,0),"")</f>
        <v/>
      </c>
      <c r="AR200" s="270" t="str">
        <f>_xlfn.IFNA(VLOOKUP(CONCATENATE(AR$4,$C200),'INSER DATA'!$A:$F,7,0),"")</f>
        <v/>
      </c>
      <c r="AS200" s="270" t="str">
        <f>_xlfn.IFNA(VLOOKUP(CONCATENATE(AS$4,$C200),'INSER DATA'!$A:$F,7,0),"")</f>
        <v/>
      </c>
      <c r="AT200" s="270" t="str">
        <f>_xlfn.IFNA(VLOOKUP(CONCATENATE(AT$4,$C200),'INSER DATA'!$A:$F,7,0),"")</f>
        <v/>
      </c>
      <c r="AU200" s="270" t="str">
        <f>_xlfn.IFNA(VLOOKUP(CONCATENATE(AU$4,$C200),'INSER DATA'!$A:$F,7,0),"")</f>
        <v/>
      </c>
      <c r="AV200" s="270" t="str">
        <f>_xlfn.IFNA(VLOOKUP(CONCATENATE(AV$4,$C200),'INSER DATA'!$A:$F,7,0),"")</f>
        <v/>
      </c>
      <c r="AW200" s="270" t="str">
        <f>_xlfn.IFNA(VLOOKUP(CONCATENATE(AW$4,$C200),'INSER DATA'!$A:$F,7,0),"")</f>
        <v/>
      </c>
      <c r="AX200" s="270" t="str">
        <f>_xlfn.IFNA(VLOOKUP(CONCATENATE(AX$4,$C200),'INSER DATA'!$A:$F,7,0),"")</f>
        <v/>
      </c>
      <c r="AY200" s="270" t="str">
        <f>_xlfn.IFNA(VLOOKUP(CONCATENATE(AY$4,$C200),'INSER DATA'!$A:$F,7,0),"")</f>
        <v/>
      </c>
      <c r="AZ200" s="270" t="str">
        <f>_xlfn.IFNA(VLOOKUP(CONCATENATE(AZ$4,$C200),'INSER DATA'!$A:$F,7,0),"")</f>
        <v/>
      </c>
      <c r="BA200" s="270" t="str">
        <f>_xlfn.IFNA(VLOOKUP(CONCATENATE(BA$4,$C200),'INSER DATA'!$A:$F,7,0),"")</f>
        <v/>
      </c>
      <c r="BB200" s="270" t="str">
        <f>_xlfn.IFNA(VLOOKUP(CONCATENATE(BB$4,$C200),'INSER DATA'!$A:$F,7,0),"")</f>
        <v/>
      </c>
      <c r="BC200" s="270" t="str">
        <f>_xlfn.IFNA(VLOOKUP(CONCATENATE(BC$4,$C200),'INSER DATA'!$A:$F,7,0),"")</f>
        <v/>
      </c>
      <c r="BD200" s="270" t="str">
        <f>_xlfn.IFNA(VLOOKUP(CONCATENATE(BD$4,$C200),'INSER DATA'!$A:$F,7,0),"")</f>
        <v/>
      </c>
      <c r="BE200" s="270" t="str">
        <f>_xlfn.IFNA(VLOOKUP(CONCATENATE(BE$4,$C200),'INSER DATA'!$A:$F,7,0),"")</f>
        <v/>
      </c>
      <c r="BF200" s="270" t="str">
        <f>_xlfn.IFNA(VLOOKUP(CONCATENATE(BF$4,$C200),'INSER DATA'!$A:$F,7,0),"")</f>
        <v/>
      </c>
      <c r="BG200" s="270" t="str">
        <f>_xlfn.IFNA(VLOOKUP(CONCATENATE(BG$4,$C200),'INSER DATA'!$A:$F,7,0),"")</f>
        <v/>
      </c>
      <c r="BH200" s="270" t="str">
        <f>_xlfn.IFNA(VLOOKUP(CONCATENATE(BH$4,$C200),'INSER DATA'!$A:$F,7,0),"")</f>
        <v/>
      </c>
      <c r="BI200" s="270" t="str">
        <f>_xlfn.IFNA(VLOOKUP(CONCATENATE(BI$4,$C200),'INSER DATA'!$A:$F,7,0),"")</f>
        <v/>
      </c>
      <c r="BJ200" s="270" t="str">
        <f>_xlfn.IFNA(VLOOKUP(CONCATENATE(BJ$4,$C200),'INSER DATA'!$A:$F,7,0),"")</f>
        <v/>
      </c>
      <c r="BK200" s="270" t="str">
        <f>_xlfn.IFNA(VLOOKUP(CONCATENATE(BK$4,$C200),'INSER DATA'!$A:$F,7,0),"")</f>
        <v/>
      </c>
      <c r="BL200" s="272"/>
      <c r="BM200" s="30"/>
      <c r="BN200" s="30"/>
      <c r="BO200" s="30"/>
      <c r="BP200" s="30"/>
      <c r="BQ200" s="30"/>
      <c r="BR200" s="30"/>
      <c r="BS200" s="30"/>
      <c r="BT200" s="30"/>
      <c r="BU200" s="30"/>
      <c r="BV200" s="30"/>
      <c r="BW200" s="30"/>
      <c r="BX200" s="30"/>
      <c r="BY200" s="30"/>
      <c r="BZ200" s="30"/>
      <c r="CA200" s="30"/>
      <c r="CB200" s="30"/>
      <c r="CC200" s="30"/>
      <c r="CD200" s="30"/>
      <c r="CE200" s="30"/>
      <c r="CF200" s="30"/>
      <c r="CG200" s="30"/>
      <c r="CH200" s="30"/>
      <c r="CI200" s="30"/>
      <c r="CJ200" s="30"/>
      <c r="CK200" s="30"/>
      <c r="CL200" s="30"/>
      <c r="CM200" s="30"/>
      <c r="CN200" s="30"/>
      <c r="CO200" s="30"/>
      <c r="CP200" s="30"/>
      <c r="CQ200" s="30"/>
      <c r="CR200" s="30"/>
      <c r="CS200" s="30"/>
      <c r="CT200" s="30"/>
      <c r="CU200" s="30"/>
      <c r="CV200" s="30"/>
      <c r="CW200" s="30"/>
      <c r="CX200" s="30"/>
      <c r="CY200" s="30"/>
      <c r="CZ200" s="30"/>
      <c r="DA200" s="30"/>
    </row>
    <row r="201" spans="1:105" ht="19.2" thickTop="1" thickBot="1" x14ac:dyDescent="0.4">
      <c r="A201" s="30"/>
      <c r="B201" s="30"/>
      <c r="C201" s="354" t="s">
        <v>453</v>
      </c>
      <c r="D201" s="355" t="s">
        <v>766</v>
      </c>
      <c r="E201" s="35" t="str">
        <f>_xlfn.XLOOKUP(Tabella4[[#This Row],[NOME]],'ROSE SQUADRE'!$N$3:$N$253,'ROSE SQUADRE'!$O$3:$O$253,"")</f>
        <v>FC INTERNAZIOANALE</v>
      </c>
      <c r="F201" s="36" t="s">
        <v>163</v>
      </c>
      <c r="G201" s="43">
        <v>29</v>
      </c>
      <c r="H201" s="43">
        <v>28</v>
      </c>
      <c r="I201" s="44">
        <f t="shared" si="19"/>
        <v>-1</v>
      </c>
      <c r="J201" s="37">
        <f t="shared" si="20"/>
        <v>3</v>
      </c>
      <c r="K201" s="38">
        <f t="shared" si="21"/>
        <v>6.666666666666667</v>
      </c>
      <c r="L201" s="38">
        <f t="shared" si="22"/>
        <v>9</v>
      </c>
      <c r="M201" s="39">
        <f t="shared" si="23"/>
        <v>27</v>
      </c>
      <c r="N201" s="45">
        <f t="shared" ca="1" si="18"/>
        <v>0</v>
      </c>
      <c r="O201" s="40">
        <f>SUMIF(Tabella1[Nome],Tabella4[[#This Row],[NOME]],Tabella1[Gf])</f>
        <v>2</v>
      </c>
      <c r="P201" s="40">
        <f>-(SUMIF(Tabella1[Nome],Tabella4[[#This Row],[NOME]],Tabella1[Gs]))</f>
        <v>0</v>
      </c>
      <c r="Q201" s="40">
        <f>SUMIF(Tabella1[Nome],Tabella4[[#This Row],[NOME]],Tabella1[Rp])</f>
        <v>0</v>
      </c>
      <c r="R201" s="40">
        <f>SUMIF(Tabella1[Nome],Tabella4[[#This Row],[NOME]],Tabella1[Rs])</f>
        <v>0</v>
      </c>
      <c r="S201" s="40">
        <f>SUMIF(Tabella1[Nome],Tabella4[[#This Row],[NOME]],Tabella1[Rf])</f>
        <v>0</v>
      </c>
      <c r="T201" s="40">
        <f>SUMIF(Tabella1[Nome],Tabella4[[#This Row],[NOME]],Tabella1[Au])</f>
        <v>0</v>
      </c>
      <c r="U201" s="41">
        <f>SUMIF(Tabella1[Nome],Tabella4[[#This Row],[NOME]],Tabella1[Amm])</f>
        <v>0</v>
      </c>
      <c r="V201" s="42">
        <f>SUMIF(Tabella1[Nome],Tabella4[[#This Row],[NOME]],Tabella1[Esp])</f>
        <v>0</v>
      </c>
      <c r="W201" s="40">
        <f>SUMIF(Tabella1[Nome],Tabella4[[#This Row],[NOME]],Tabella1[Ass])</f>
        <v>1</v>
      </c>
      <c r="X201" s="40">
        <f>SUMIF(Tabella1[Nome],Tabella4[[#This Row],[NOME]],Tabella1[Gdv])</f>
        <v>0</v>
      </c>
      <c r="Y201" s="40">
        <f>SUMIF(Tabella1[Nome],Tabella4[[#This Row],[NOME]],Tabella1[cl sh])</f>
        <v>0</v>
      </c>
      <c r="Z201" s="270" t="str">
        <f>_xlfn.IFNA(_xlfn.XLOOKUP(CONCATENATE(Z$4,$C201),Tabella1[CONC X VOTI IN TAB GIOC],Tabella1[Voto],""),"")</f>
        <v/>
      </c>
      <c r="AA201" s="270">
        <f>_xlfn.IFNA(_xlfn.XLOOKUP(CONCATENATE(AA$4,$C201),Tabella1[CONC X VOTI IN TAB GIOC],Tabella1[Voto],""),"")</f>
        <v>5.5</v>
      </c>
      <c r="AB201" s="270">
        <f>_xlfn.IFNA(_xlfn.XLOOKUP(CONCATENATE(AB$4,$C201),Tabella1[CONC X VOTI IN TAB GIOC],Tabella1[Voto]),"")</f>
        <v>7</v>
      </c>
      <c r="AC201" s="270" cm="1">
        <f t="array" ref="AC201">_xlfn.IFNA(_xlfn.XLOOKUP(CONCATENATE(AC$4,$C201),INDEX(Tabella1[],0,MATCH("CONC X VOTI IN TAB GIOC",Tabella1[#Headers],0)),INDEX(Tabella1[],0,MATCH("Voto",Tabella1[#Headers],0))),"")</f>
        <v>7.5</v>
      </c>
      <c r="AD201" s="270" t="str">
        <f>_xlfn.IFNA(_xlfn.XLOOKUP(CONCATENATE(AD$4,$C201),Tabella1[CONC X VOTI IN TAB GIOC],Tabella1[Voto]),"")</f>
        <v/>
      </c>
      <c r="AE201" s="270" t="str">
        <f>_xlfn.IFNA(VLOOKUP(CONCATENATE(AE$4,$C201),'INSER DATA'!$A:$F,6,0),"")</f>
        <v/>
      </c>
      <c r="AF201" s="270" t="str">
        <f>_xlfn.IFNA(VLOOKUP(CONCATENATE(AF$4,$C201),'INSER DATA'!$A:$F,6,0),"")</f>
        <v/>
      </c>
      <c r="AG201" s="270" t="str">
        <f>_xlfn.IFNA(VLOOKUP(CONCATENATE(AG$4,$C201),'INSER DATA'!$A:$F,6,0),"")</f>
        <v/>
      </c>
      <c r="AH201" s="270" t="str">
        <f>_xlfn.IFNA(VLOOKUP(CONCATENATE(AH$4,$C201),'INSER DATA'!$A:$F,7,0),"")</f>
        <v/>
      </c>
      <c r="AI201" s="270" t="str">
        <f>_xlfn.IFNA(VLOOKUP(CONCATENATE(AI$4,$C201),'INSER DATA'!$A:$F,7,0),"")</f>
        <v/>
      </c>
      <c r="AJ201" s="270" t="str">
        <f>_xlfn.IFNA(VLOOKUP(CONCATENATE(AJ$4,$C201),'INSER DATA'!$A:$F,7,0),"")</f>
        <v/>
      </c>
      <c r="AK201" s="270" t="str">
        <f>_xlfn.IFNA(VLOOKUP(CONCATENATE(AK$4,$C201),'INSER DATA'!$A:$F,7,0),"")</f>
        <v/>
      </c>
      <c r="AL201" s="270" t="str">
        <f>_xlfn.IFNA(VLOOKUP(CONCATENATE(AL$4,$C201),'INSER DATA'!$A:$F,7,0),"")</f>
        <v/>
      </c>
      <c r="AM201" s="270" t="str">
        <f>_xlfn.IFNA(VLOOKUP(CONCATENATE(AM$4,$C201),'INSER DATA'!$A:$F,7,0),"")</f>
        <v/>
      </c>
      <c r="AN201" s="270" t="str">
        <f>_xlfn.IFNA(VLOOKUP(CONCATENATE(AN$4,$C201),'INSER DATA'!$A:$F,7,0),"")</f>
        <v/>
      </c>
      <c r="AO201" s="270" t="str">
        <f>_xlfn.IFNA(VLOOKUP(CONCATENATE(AO$4,$C201),'INSER DATA'!$A:$F,7,0),"")</f>
        <v/>
      </c>
      <c r="AP201" s="270" t="str">
        <f>_xlfn.IFNA(VLOOKUP(CONCATENATE(AP$4,$C201),'INSER DATA'!$A:$F,7,0),"")</f>
        <v/>
      </c>
      <c r="AQ201" s="270" t="str">
        <f>_xlfn.IFNA(VLOOKUP(CONCATENATE(AQ$4,$C201),'INSER DATA'!$A:$F,7,0),"")</f>
        <v/>
      </c>
      <c r="AR201" s="270" t="str">
        <f>_xlfn.IFNA(VLOOKUP(CONCATENATE(AR$4,$C201),'INSER DATA'!$A:$F,7,0),"")</f>
        <v/>
      </c>
      <c r="AS201" s="270" t="str">
        <f>_xlfn.IFNA(VLOOKUP(CONCATENATE(AS$4,$C201),'INSER DATA'!$A:$F,7,0),"")</f>
        <v/>
      </c>
      <c r="AT201" s="270" t="str">
        <f>_xlfn.IFNA(VLOOKUP(CONCATENATE(AT$4,$C201),'INSER DATA'!$A:$F,7,0),"")</f>
        <v/>
      </c>
      <c r="AU201" s="270" t="str">
        <f>_xlfn.IFNA(VLOOKUP(CONCATENATE(AU$4,$C201),'INSER DATA'!$A:$F,7,0),"")</f>
        <v/>
      </c>
      <c r="AV201" s="270" t="str">
        <f>_xlfn.IFNA(VLOOKUP(CONCATENATE(AV$4,$C201),'INSER DATA'!$A:$F,7,0),"")</f>
        <v/>
      </c>
      <c r="AW201" s="270" t="str">
        <f>_xlfn.IFNA(VLOOKUP(CONCATENATE(AW$4,$C201),'INSER DATA'!$A:$F,7,0),"")</f>
        <v/>
      </c>
      <c r="AX201" s="270" t="str">
        <f>_xlfn.IFNA(VLOOKUP(CONCATENATE(AX$4,$C201),'INSER DATA'!$A:$F,7,0),"")</f>
        <v/>
      </c>
      <c r="AY201" s="270" t="str">
        <f>_xlfn.IFNA(VLOOKUP(CONCATENATE(AY$4,$C201),'INSER DATA'!$A:$F,7,0),"")</f>
        <v/>
      </c>
      <c r="AZ201" s="270" t="str">
        <f>_xlfn.IFNA(VLOOKUP(CONCATENATE(AZ$4,$C201),'INSER DATA'!$A:$F,7,0),"")</f>
        <v/>
      </c>
      <c r="BA201" s="270" t="str">
        <f>_xlfn.IFNA(VLOOKUP(CONCATENATE(BA$4,$C201),'INSER DATA'!$A:$F,7,0),"")</f>
        <v/>
      </c>
      <c r="BB201" s="270" t="str">
        <f>_xlfn.IFNA(VLOOKUP(CONCATENATE(BB$4,$C201),'INSER DATA'!$A:$F,7,0),"")</f>
        <v/>
      </c>
      <c r="BC201" s="270" t="str">
        <f>_xlfn.IFNA(VLOOKUP(CONCATENATE(BC$4,$C201),'INSER DATA'!$A:$F,7,0),"")</f>
        <v/>
      </c>
      <c r="BD201" s="270" t="str">
        <f>_xlfn.IFNA(VLOOKUP(CONCATENATE(BD$4,$C201),'INSER DATA'!$A:$F,7,0),"")</f>
        <v/>
      </c>
      <c r="BE201" s="270" t="str">
        <f>_xlfn.IFNA(VLOOKUP(CONCATENATE(BE$4,$C201),'INSER DATA'!$A:$F,7,0),"")</f>
        <v/>
      </c>
      <c r="BF201" s="270" t="str">
        <f>_xlfn.IFNA(VLOOKUP(CONCATENATE(BF$4,$C201),'INSER DATA'!$A:$F,7,0),"")</f>
        <v/>
      </c>
      <c r="BG201" s="270" t="str">
        <f>_xlfn.IFNA(VLOOKUP(CONCATENATE(BG$4,$C201),'INSER DATA'!$A:$F,7,0),"")</f>
        <v/>
      </c>
      <c r="BH201" s="270" t="str">
        <f>_xlfn.IFNA(VLOOKUP(CONCATENATE(BH$4,$C201),'INSER DATA'!$A:$F,7,0),"")</f>
        <v/>
      </c>
      <c r="BI201" s="270" t="str">
        <f>_xlfn.IFNA(VLOOKUP(CONCATENATE(BI$4,$C201),'INSER DATA'!$A:$F,7,0),"")</f>
        <v/>
      </c>
      <c r="BJ201" s="270" t="str">
        <f>_xlfn.IFNA(VLOOKUP(CONCATENATE(BJ$4,$C201),'INSER DATA'!$A:$F,7,0),"")</f>
        <v/>
      </c>
      <c r="BK201" s="270" t="str">
        <f>_xlfn.IFNA(VLOOKUP(CONCATENATE(BK$4,$C201),'INSER DATA'!$A:$F,7,0),"")</f>
        <v/>
      </c>
      <c r="BL201" s="272"/>
      <c r="BM201" s="30"/>
      <c r="BN201" s="30"/>
      <c r="BO201" s="30"/>
      <c r="BP201" s="30"/>
      <c r="BQ201" s="30"/>
      <c r="BR201" s="30"/>
      <c r="BS201" s="30"/>
      <c r="BT201" s="30"/>
      <c r="BU201" s="30"/>
      <c r="BV201" s="30"/>
      <c r="BW201" s="30"/>
      <c r="BX201" s="30"/>
      <c r="BY201" s="30"/>
      <c r="BZ201" s="30"/>
      <c r="CA201" s="30"/>
      <c r="CB201" s="30"/>
      <c r="CC201" s="30"/>
      <c r="CD201" s="30"/>
      <c r="CE201" s="30"/>
      <c r="CF201" s="30"/>
      <c r="CG201" s="30"/>
      <c r="CH201" s="30"/>
      <c r="CI201" s="30"/>
      <c r="CJ201" s="30"/>
      <c r="CK201" s="30"/>
      <c r="CL201" s="30"/>
      <c r="CM201" s="30"/>
      <c r="CN201" s="30"/>
      <c r="CO201" s="30"/>
      <c r="CP201" s="30"/>
      <c r="CQ201" s="30"/>
      <c r="CR201" s="30"/>
      <c r="CS201" s="30"/>
      <c r="CT201" s="30"/>
      <c r="CU201" s="30"/>
      <c r="CV201" s="30"/>
      <c r="CW201" s="30"/>
      <c r="CX201" s="30"/>
      <c r="CY201" s="30"/>
      <c r="CZ201" s="30"/>
      <c r="DA201" s="30"/>
    </row>
    <row r="202" spans="1:105" ht="19.2" thickTop="1" thickBot="1" x14ac:dyDescent="0.4">
      <c r="A202" s="30"/>
      <c r="B202" s="30"/>
      <c r="C202" s="356" t="s">
        <v>765</v>
      </c>
      <c r="D202" s="357" t="s">
        <v>766</v>
      </c>
      <c r="E202" s="35" t="str">
        <f>_xlfn.XLOOKUP(Tabella4[[#This Row],[NOME]],'ROSE SQUADRE'!$N$3:$N$253,'ROSE SQUADRE'!$O$3:$O$253,"")</f>
        <v>FC INTERNAZIOANALE</v>
      </c>
      <c r="F202" s="36" t="s">
        <v>5</v>
      </c>
      <c r="G202" s="43">
        <v>1</v>
      </c>
      <c r="H202" s="43">
        <v>1</v>
      </c>
      <c r="I202" s="44">
        <f t="shared" si="19"/>
        <v>0</v>
      </c>
      <c r="J202" s="37">
        <f t="shared" si="20"/>
        <v>0</v>
      </c>
      <c r="K202" s="178">
        <f t="shared" si="21"/>
        <v>0</v>
      </c>
      <c r="L202" s="178">
        <f t="shared" si="22"/>
        <v>0</v>
      </c>
      <c r="M202" s="179">
        <f t="shared" si="23"/>
        <v>0</v>
      </c>
      <c r="N202" s="45">
        <f t="shared" ca="1" si="18"/>
        <v>0</v>
      </c>
      <c r="O202" s="40">
        <f>SUMIF(Tabella1[Nome],Tabella4[[#This Row],[NOME]],Tabella1[Gf])</f>
        <v>0</v>
      </c>
      <c r="P202" s="40">
        <f>-(SUMIF(Tabella1[Nome],Tabella4[[#This Row],[NOME]],Tabella1[Gs]))</f>
        <v>0</v>
      </c>
      <c r="Q202" s="40">
        <f>SUMIF(Tabella1[Nome],Tabella4[[#This Row],[NOME]],Tabella1[Rp])</f>
        <v>0</v>
      </c>
      <c r="R202" s="40">
        <f>SUMIF(Tabella1[Nome],Tabella4[[#This Row],[NOME]],Tabella1[Rs])</f>
        <v>0</v>
      </c>
      <c r="S202" s="40">
        <f>SUMIF(Tabella1[Nome],Tabella4[[#This Row],[NOME]],Tabella1[Rf])</f>
        <v>0</v>
      </c>
      <c r="T202" s="40">
        <f>SUMIF(Tabella1[Nome],Tabella4[[#This Row],[NOME]],Tabella1[Au])</f>
        <v>0</v>
      </c>
      <c r="U202" s="41">
        <f>SUMIF(Tabella1[Nome],Tabella4[[#This Row],[NOME]],Tabella1[Amm])</f>
        <v>0</v>
      </c>
      <c r="V202" s="42">
        <f>SUMIF(Tabella1[Nome],Tabella4[[#This Row],[NOME]],Tabella1[Esp])</f>
        <v>0</v>
      </c>
      <c r="W202" s="40">
        <f>SUMIF(Tabella1[Nome],Tabella4[[#This Row],[NOME]],Tabella1[Ass])</f>
        <v>0</v>
      </c>
      <c r="X202" s="40">
        <f>SUMIF(Tabella1[Nome],Tabella4[[#This Row],[NOME]],Tabella1[Gdv])</f>
        <v>0</v>
      </c>
      <c r="Y202" s="40">
        <f>SUMIF(Tabella1[Nome],Tabella4[[#This Row],[NOME]],Tabella1[cl sh])</f>
        <v>0</v>
      </c>
      <c r="Z202" s="270" t="str">
        <f>_xlfn.IFNA(_xlfn.XLOOKUP(CONCATENATE(Z$4,$C202),Tabella1[CONC X VOTI IN TAB GIOC],Tabella1[Voto],""),"")</f>
        <v/>
      </c>
      <c r="AA202" s="270" t="str">
        <f>_xlfn.IFNA(_xlfn.XLOOKUP(CONCATENATE(AA$4,$C202),Tabella1[CONC X VOTI IN TAB GIOC],Tabella1[Voto],""),"")</f>
        <v/>
      </c>
      <c r="AB202" s="270" t="str">
        <f>_xlfn.IFNA(_xlfn.XLOOKUP(CONCATENATE(AB$4,$C202),Tabella1[CONC X VOTI IN TAB GIOC],Tabella1[Voto]),"")</f>
        <v/>
      </c>
      <c r="AC202" s="270" t="str" cm="1">
        <f t="array" ref="AC202">_xlfn.IFNA(_xlfn.XLOOKUP(CONCATENATE(AC$4,$C202),INDEX(Tabella1[],0,MATCH("CONC X VOTI IN TAB GIOC",Tabella1[#Headers],0)),INDEX(Tabella1[],0,MATCH("Voto",Tabella1[#Headers],0))),"")</f>
        <v/>
      </c>
      <c r="AD202" s="270" t="str">
        <f>_xlfn.IFNA(_xlfn.XLOOKUP(CONCATENATE(AD$4,$C202),Tabella1[CONC X VOTI IN TAB GIOC],Tabella1[Voto]),"")</f>
        <v/>
      </c>
      <c r="AE202" s="270" t="str">
        <f>_xlfn.IFNA(VLOOKUP(CONCATENATE(AE$4,$C202),'INSER DATA'!$A:$F,6,0),"")</f>
        <v/>
      </c>
      <c r="AF202" s="270" t="str">
        <f>_xlfn.IFNA(VLOOKUP(CONCATENATE(AF$4,$C202),'INSER DATA'!$A:$F,6,0),"")</f>
        <v/>
      </c>
      <c r="AG202" s="270" t="str">
        <f>_xlfn.IFNA(VLOOKUP(CONCATENATE(AG$4,$C202),'INSER DATA'!$A:$F,6,0),"")</f>
        <v/>
      </c>
      <c r="AH202" s="270" t="str">
        <f>_xlfn.IFNA(VLOOKUP(CONCATENATE(AH$4,$C202),'INSER DATA'!$A:$F,7,0),"")</f>
        <v/>
      </c>
      <c r="AI202" s="270" t="str">
        <f>_xlfn.IFNA(VLOOKUP(CONCATENATE(AI$4,$C202),'INSER DATA'!$A:$F,7,0),"")</f>
        <v/>
      </c>
      <c r="AJ202" s="270" t="str">
        <f>_xlfn.IFNA(VLOOKUP(CONCATENATE(AJ$4,$C202),'INSER DATA'!$A:$F,7,0),"")</f>
        <v/>
      </c>
      <c r="AK202" s="270" t="str">
        <f>_xlfn.IFNA(VLOOKUP(CONCATENATE(AK$4,$C202),'INSER DATA'!$A:$F,7,0),"")</f>
        <v/>
      </c>
      <c r="AL202" s="270" t="str">
        <f>_xlfn.IFNA(VLOOKUP(CONCATENATE(AL$4,$C202),'INSER DATA'!$A:$F,7,0),"")</f>
        <v/>
      </c>
      <c r="AM202" s="270" t="str">
        <f>_xlfn.IFNA(VLOOKUP(CONCATENATE(AM$4,$C202),'INSER DATA'!$A:$F,7,0),"")</f>
        <v/>
      </c>
      <c r="AN202" s="270" t="str">
        <f>_xlfn.IFNA(VLOOKUP(CONCATENATE(AN$4,$C202),'INSER DATA'!$A:$F,7,0),"")</f>
        <v/>
      </c>
      <c r="AO202" s="270" t="str">
        <f>_xlfn.IFNA(VLOOKUP(CONCATENATE(AO$4,$C202),'INSER DATA'!$A:$F,7,0),"")</f>
        <v/>
      </c>
      <c r="AP202" s="270" t="str">
        <f>_xlfn.IFNA(VLOOKUP(CONCATENATE(AP$4,$C202),'INSER DATA'!$A:$F,7,0),"")</f>
        <v/>
      </c>
      <c r="AQ202" s="270" t="str">
        <f>_xlfn.IFNA(VLOOKUP(CONCATENATE(AQ$4,$C202),'INSER DATA'!$A:$F,7,0),"")</f>
        <v/>
      </c>
      <c r="AR202" s="270" t="str">
        <f>_xlfn.IFNA(VLOOKUP(CONCATENATE(AR$4,$C202),'INSER DATA'!$A:$F,7,0),"")</f>
        <v/>
      </c>
      <c r="AS202" s="270" t="str">
        <f>_xlfn.IFNA(VLOOKUP(CONCATENATE(AS$4,$C202),'INSER DATA'!$A:$F,7,0),"")</f>
        <v/>
      </c>
      <c r="AT202" s="270" t="str">
        <f>_xlfn.IFNA(VLOOKUP(CONCATENATE(AT$4,$C202),'INSER DATA'!$A:$F,7,0),"")</f>
        <v/>
      </c>
      <c r="AU202" s="270" t="str">
        <f>_xlfn.IFNA(VLOOKUP(CONCATENATE(AU$4,$C202),'INSER DATA'!$A:$F,7,0),"")</f>
        <v/>
      </c>
      <c r="AV202" s="270" t="str">
        <f>_xlfn.IFNA(VLOOKUP(CONCATENATE(AV$4,$C202),'INSER DATA'!$A:$F,7,0),"")</f>
        <v/>
      </c>
      <c r="AW202" s="270" t="str">
        <f>_xlfn.IFNA(VLOOKUP(CONCATENATE(AW$4,$C202),'INSER DATA'!$A:$F,7,0),"")</f>
        <v/>
      </c>
      <c r="AX202" s="270" t="str">
        <f>_xlfn.IFNA(VLOOKUP(CONCATENATE(AX$4,$C202),'INSER DATA'!$A:$F,7,0),"")</f>
        <v/>
      </c>
      <c r="AY202" s="270" t="str">
        <f>_xlfn.IFNA(VLOOKUP(CONCATENATE(AY$4,$C202),'INSER DATA'!$A:$F,7,0),"")</f>
        <v/>
      </c>
      <c r="AZ202" s="270" t="str">
        <f>_xlfn.IFNA(VLOOKUP(CONCATENATE(AZ$4,$C202),'INSER DATA'!$A:$F,7,0),"")</f>
        <v/>
      </c>
      <c r="BA202" s="270" t="str">
        <f>_xlfn.IFNA(VLOOKUP(CONCATENATE(BA$4,$C202),'INSER DATA'!$A:$F,7,0),"")</f>
        <v/>
      </c>
      <c r="BB202" s="270" t="str">
        <f>_xlfn.IFNA(VLOOKUP(CONCATENATE(BB$4,$C202),'INSER DATA'!$A:$F,7,0),"")</f>
        <v/>
      </c>
      <c r="BC202" s="270" t="str">
        <f>_xlfn.IFNA(VLOOKUP(CONCATENATE(BC$4,$C202),'INSER DATA'!$A:$F,7,0),"")</f>
        <v/>
      </c>
      <c r="BD202" s="270" t="str">
        <f>_xlfn.IFNA(VLOOKUP(CONCATENATE(BD$4,$C202),'INSER DATA'!$A:$F,7,0),"")</f>
        <v/>
      </c>
      <c r="BE202" s="270" t="str">
        <f>_xlfn.IFNA(VLOOKUP(CONCATENATE(BE$4,$C202),'INSER DATA'!$A:$F,7,0),"")</f>
        <v/>
      </c>
      <c r="BF202" s="270" t="str">
        <f>_xlfn.IFNA(VLOOKUP(CONCATENATE(BF$4,$C202),'INSER DATA'!$A:$F,7,0),"")</f>
        <v/>
      </c>
      <c r="BG202" s="270" t="str">
        <f>_xlfn.IFNA(VLOOKUP(CONCATENATE(BG$4,$C202),'INSER DATA'!$A:$F,7,0),"")</f>
        <v/>
      </c>
      <c r="BH202" s="270" t="str">
        <f>_xlfn.IFNA(VLOOKUP(CONCATENATE(BH$4,$C202),'INSER DATA'!$A:$F,7,0),"")</f>
        <v/>
      </c>
      <c r="BI202" s="270" t="str">
        <f>_xlfn.IFNA(VLOOKUP(CONCATENATE(BI$4,$C202),'INSER DATA'!$A:$F,7,0),"")</f>
        <v/>
      </c>
      <c r="BJ202" s="270" t="str">
        <f>_xlfn.IFNA(VLOOKUP(CONCATENATE(BJ$4,$C202),'INSER DATA'!$A:$F,7,0),"")</f>
        <v/>
      </c>
      <c r="BK202" s="270" t="str">
        <f>_xlfn.IFNA(VLOOKUP(CONCATENATE(BK$4,$C202),'INSER DATA'!$A:$F,7,0),"")</f>
        <v/>
      </c>
      <c r="BL202" s="272"/>
      <c r="BM202" s="30"/>
      <c r="BN202" s="30"/>
      <c r="BO202" s="30"/>
      <c r="BP202" s="30"/>
      <c r="BQ202" s="30"/>
      <c r="BR202" s="30"/>
      <c r="BS202" s="30"/>
      <c r="BT202" s="30"/>
      <c r="BU202" s="30"/>
      <c r="BV202" s="30"/>
      <c r="BW202" s="30"/>
      <c r="BX202" s="30"/>
      <c r="BY202" s="30"/>
      <c r="BZ202" s="30"/>
      <c r="CA202" s="30"/>
      <c r="CB202" s="30"/>
      <c r="CC202" s="30"/>
      <c r="CD202" s="30"/>
      <c r="CE202" s="30"/>
      <c r="CF202" s="30"/>
      <c r="CG202" s="30"/>
      <c r="CH202" s="30"/>
      <c r="CI202" s="30"/>
      <c r="CJ202" s="30"/>
      <c r="CK202" s="30"/>
      <c r="CL202" s="30"/>
      <c r="CM202" s="30"/>
      <c r="CN202" s="30"/>
      <c r="CO202" s="30"/>
      <c r="CP202" s="30"/>
      <c r="CQ202" s="30"/>
      <c r="CR202" s="30"/>
      <c r="CS202" s="30"/>
      <c r="CT202" s="30"/>
      <c r="CU202" s="30"/>
      <c r="CV202" s="30"/>
      <c r="CW202" s="30"/>
      <c r="CX202" s="30"/>
      <c r="CY202" s="30"/>
      <c r="CZ202" s="30"/>
      <c r="DA202" s="30"/>
    </row>
    <row r="203" spans="1:105" ht="19.2" thickTop="1" thickBot="1" x14ac:dyDescent="0.4">
      <c r="A203" s="30"/>
      <c r="B203" s="30"/>
      <c r="C203" s="356" t="s">
        <v>279</v>
      </c>
      <c r="D203" s="357" t="s">
        <v>766</v>
      </c>
      <c r="E203" s="35" t="str">
        <f>_xlfn.XLOOKUP(Tabella4[[#This Row],[NOME]],'ROSE SQUADRE'!$N$3:$N$253,'ROSE SQUADRE'!$O$3:$O$253,"")</f>
        <v>FC INTERNAZIOANALE</v>
      </c>
      <c r="F203" s="36" t="s">
        <v>5</v>
      </c>
      <c r="G203" s="43">
        <v>2</v>
      </c>
      <c r="H203" s="43">
        <v>2</v>
      </c>
      <c r="I203" s="44">
        <f t="shared" si="19"/>
        <v>0</v>
      </c>
      <c r="J203" s="37">
        <f t="shared" si="20"/>
        <v>0</v>
      </c>
      <c r="K203" s="178">
        <f t="shared" si="21"/>
        <v>0</v>
      </c>
      <c r="L203" s="178">
        <f t="shared" si="22"/>
        <v>0</v>
      </c>
      <c r="M203" s="179">
        <f t="shared" si="23"/>
        <v>0</v>
      </c>
      <c r="N203" s="45">
        <f t="shared" ref="N203:N266" ca="1" si="24">ContaCellePerColore(Z203:BK203,$C$3)</f>
        <v>0</v>
      </c>
      <c r="O203" s="40">
        <f>SUMIF(Tabella1[Nome],Tabella4[[#This Row],[NOME]],Tabella1[Gf])</f>
        <v>0</v>
      </c>
      <c r="P203" s="40">
        <f>-(SUMIF(Tabella1[Nome],Tabella4[[#This Row],[NOME]],Tabella1[Gs]))</f>
        <v>0</v>
      </c>
      <c r="Q203" s="40">
        <f>SUMIF(Tabella1[Nome],Tabella4[[#This Row],[NOME]],Tabella1[Rp])</f>
        <v>0</v>
      </c>
      <c r="R203" s="40">
        <f>SUMIF(Tabella1[Nome],Tabella4[[#This Row],[NOME]],Tabella1[Rs])</f>
        <v>0</v>
      </c>
      <c r="S203" s="40">
        <f>SUMIF(Tabella1[Nome],Tabella4[[#This Row],[NOME]],Tabella1[Rf])</f>
        <v>0</v>
      </c>
      <c r="T203" s="40">
        <f>SUMIF(Tabella1[Nome],Tabella4[[#This Row],[NOME]],Tabella1[Au])</f>
        <v>0</v>
      </c>
      <c r="U203" s="41">
        <f>SUMIF(Tabella1[Nome],Tabella4[[#This Row],[NOME]],Tabella1[Amm])</f>
        <v>0</v>
      </c>
      <c r="V203" s="42">
        <f>SUMIF(Tabella1[Nome],Tabella4[[#This Row],[NOME]],Tabella1[Esp])</f>
        <v>0</v>
      </c>
      <c r="W203" s="40">
        <f>SUMIF(Tabella1[Nome],Tabella4[[#This Row],[NOME]],Tabella1[Ass])</f>
        <v>0</v>
      </c>
      <c r="X203" s="40">
        <f>SUMIF(Tabella1[Nome],Tabella4[[#This Row],[NOME]],Tabella1[Gdv])</f>
        <v>0</v>
      </c>
      <c r="Y203" s="40">
        <f>SUMIF(Tabella1[Nome],Tabella4[[#This Row],[NOME]],Tabella1[cl sh])</f>
        <v>0</v>
      </c>
      <c r="Z203" s="270" t="str">
        <f>_xlfn.IFNA(_xlfn.XLOOKUP(CONCATENATE(Z$4,$C203),Tabella1[CONC X VOTI IN TAB GIOC],Tabella1[Voto],""),"")</f>
        <v/>
      </c>
      <c r="AA203" s="270" t="str">
        <f>_xlfn.IFNA(_xlfn.XLOOKUP(CONCATENATE(AA$4,$C203),Tabella1[CONC X VOTI IN TAB GIOC],Tabella1[Voto],""),"")</f>
        <v/>
      </c>
      <c r="AB203" s="270" t="str">
        <f>_xlfn.IFNA(_xlfn.XLOOKUP(CONCATENATE(AB$4,$C203),Tabella1[CONC X VOTI IN TAB GIOC],Tabella1[Voto]),"")</f>
        <v/>
      </c>
      <c r="AC203" s="270" t="str" cm="1">
        <f t="array" ref="AC203">_xlfn.IFNA(_xlfn.XLOOKUP(CONCATENATE(AC$4,$C203),INDEX(Tabella1[],0,MATCH("CONC X VOTI IN TAB GIOC",Tabella1[#Headers],0)),INDEX(Tabella1[],0,MATCH("Voto",Tabella1[#Headers],0))),"")</f>
        <v/>
      </c>
      <c r="AD203" s="270" t="str">
        <f>_xlfn.IFNA(_xlfn.XLOOKUP(CONCATENATE(AD$4,$C203),Tabella1[CONC X VOTI IN TAB GIOC],Tabella1[Voto]),"")</f>
        <v/>
      </c>
      <c r="AE203" s="270" t="str">
        <f>_xlfn.IFNA(VLOOKUP(CONCATENATE(AE$4,$C203),'INSER DATA'!$A:$F,6,0),"")</f>
        <v/>
      </c>
      <c r="AF203" s="270" t="str">
        <f>_xlfn.IFNA(VLOOKUP(CONCATENATE(AF$4,$C203),'INSER DATA'!$A:$F,6,0),"")</f>
        <v/>
      </c>
      <c r="AG203" s="270" t="str">
        <f>_xlfn.IFNA(VLOOKUP(CONCATENATE(AG$4,$C203),'INSER DATA'!$A:$F,6,0),"")</f>
        <v/>
      </c>
      <c r="AH203" s="270" t="str">
        <f>_xlfn.IFNA(VLOOKUP(CONCATENATE(AH$4,$C203),'INSER DATA'!$A:$F,7,0),"")</f>
        <v/>
      </c>
      <c r="AI203" s="270" t="str">
        <f>_xlfn.IFNA(VLOOKUP(CONCATENATE(AI$4,$C203),'INSER DATA'!$A:$F,7,0),"")</f>
        <v/>
      </c>
      <c r="AJ203" s="270" t="str">
        <f>_xlfn.IFNA(VLOOKUP(CONCATENATE(AJ$4,$C203),'INSER DATA'!$A:$F,7,0),"")</f>
        <v/>
      </c>
      <c r="AK203" s="270" t="str">
        <f>_xlfn.IFNA(VLOOKUP(CONCATENATE(AK$4,$C203),'INSER DATA'!$A:$F,7,0),"")</f>
        <v/>
      </c>
      <c r="AL203" s="270" t="str">
        <f>_xlfn.IFNA(VLOOKUP(CONCATENATE(AL$4,$C203),'INSER DATA'!$A:$F,7,0),"")</f>
        <v/>
      </c>
      <c r="AM203" s="270" t="str">
        <f>_xlfn.IFNA(VLOOKUP(CONCATENATE(AM$4,$C203),'INSER DATA'!$A:$F,7,0),"")</f>
        <v/>
      </c>
      <c r="AN203" s="270" t="str">
        <f>_xlfn.IFNA(VLOOKUP(CONCATENATE(AN$4,$C203),'INSER DATA'!$A:$F,7,0),"")</f>
        <v/>
      </c>
      <c r="AO203" s="270" t="str">
        <f>_xlfn.IFNA(VLOOKUP(CONCATENATE(AO$4,$C203),'INSER DATA'!$A:$F,7,0),"")</f>
        <v/>
      </c>
      <c r="AP203" s="270" t="str">
        <f>_xlfn.IFNA(VLOOKUP(CONCATENATE(AP$4,$C203),'INSER DATA'!$A:$F,7,0),"")</f>
        <v/>
      </c>
      <c r="AQ203" s="270" t="str">
        <f>_xlfn.IFNA(VLOOKUP(CONCATENATE(AQ$4,$C203),'INSER DATA'!$A:$F,7,0),"")</f>
        <v/>
      </c>
      <c r="AR203" s="270" t="str">
        <f>_xlfn.IFNA(VLOOKUP(CONCATENATE(AR$4,$C203),'INSER DATA'!$A:$F,7,0),"")</f>
        <v/>
      </c>
      <c r="AS203" s="270" t="str">
        <f>_xlfn.IFNA(VLOOKUP(CONCATENATE(AS$4,$C203),'INSER DATA'!$A:$F,7,0),"")</f>
        <v/>
      </c>
      <c r="AT203" s="270" t="str">
        <f>_xlfn.IFNA(VLOOKUP(CONCATENATE(AT$4,$C203),'INSER DATA'!$A:$F,7,0),"")</f>
        <v/>
      </c>
      <c r="AU203" s="270" t="str">
        <f>_xlfn.IFNA(VLOOKUP(CONCATENATE(AU$4,$C203),'INSER DATA'!$A:$F,7,0),"")</f>
        <v/>
      </c>
      <c r="AV203" s="270" t="str">
        <f>_xlfn.IFNA(VLOOKUP(CONCATENATE(AV$4,$C203),'INSER DATA'!$A:$F,7,0),"")</f>
        <v/>
      </c>
      <c r="AW203" s="270" t="str">
        <f>_xlfn.IFNA(VLOOKUP(CONCATENATE(AW$4,$C203),'INSER DATA'!$A:$F,7,0),"")</f>
        <v/>
      </c>
      <c r="AX203" s="270" t="str">
        <f>_xlfn.IFNA(VLOOKUP(CONCATENATE(AX$4,$C203),'INSER DATA'!$A:$F,7,0),"")</f>
        <v/>
      </c>
      <c r="AY203" s="270" t="str">
        <f>_xlfn.IFNA(VLOOKUP(CONCATENATE(AY$4,$C203),'INSER DATA'!$A:$F,7,0),"")</f>
        <v/>
      </c>
      <c r="AZ203" s="270" t="str">
        <f>_xlfn.IFNA(VLOOKUP(CONCATENATE(AZ$4,$C203),'INSER DATA'!$A:$F,7,0),"")</f>
        <v/>
      </c>
      <c r="BA203" s="270" t="str">
        <f>_xlfn.IFNA(VLOOKUP(CONCATENATE(BA$4,$C203),'INSER DATA'!$A:$F,7,0),"")</f>
        <v/>
      </c>
      <c r="BB203" s="270" t="str">
        <f>_xlfn.IFNA(VLOOKUP(CONCATENATE(BB$4,$C203),'INSER DATA'!$A:$F,7,0),"")</f>
        <v/>
      </c>
      <c r="BC203" s="270" t="str">
        <f>_xlfn.IFNA(VLOOKUP(CONCATENATE(BC$4,$C203),'INSER DATA'!$A:$F,7,0),"")</f>
        <v/>
      </c>
      <c r="BD203" s="270" t="str">
        <f>_xlfn.IFNA(VLOOKUP(CONCATENATE(BD$4,$C203),'INSER DATA'!$A:$F,7,0),"")</f>
        <v/>
      </c>
      <c r="BE203" s="270" t="str">
        <f>_xlfn.IFNA(VLOOKUP(CONCATENATE(BE$4,$C203),'INSER DATA'!$A:$F,7,0),"")</f>
        <v/>
      </c>
      <c r="BF203" s="270" t="str">
        <f>_xlfn.IFNA(VLOOKUP(CONCATENATE(BF$4,$C203),'INSER DATA'!$A:$F,7,0),"")</f>
        <v/>
      </c>
      <c r="BG203" s="270" t="str">
        <f>_xlfn.IFNA(VLOOKUP(CONCATENATE(BG$4,$C203),'INSER DATA'!$A:$F,7,0),"")</f>
        <v/>
      </c>
      <c r="BH203" s="270" t="str">
        <f>_xlfn.IFNA(VLOOKUP(CONCATENATE(BH$4,$C203),'INSER DATA'!$A:$F,7,0),"")</f>
        <v/>
      </c>
      <c r="BI203" s="270" t="str">
        <f>_xlfn.IFNA(VLOOKUP(CONCATENATE(BI$4,$C203),'INSER DATA'!$A:$F,7,0),"")</f>
        <v/>
      </c>
      <c r="BJ203" s="270" t="str">
        <f>_xlfn.IFNA(VLOOKUP(CONCATENATE(BJ$4,$C203),'INSER DATA'!$A:$F,7,0),"")</f>
        <v/>
      </c>
      <c r="BK203" s="270" t="str">
        <f>_xlfn.IFNA(VLOOKUP(CONCATENATE(BK$4,$C203),'INSER DATA'!$A:$F,7,0),"")</f>
        <v/>
      </c>
      <c r="BL203" s="272"/>
      <c r="BM203" s="30"/>
      <c r="BN203" s="30"/>
      <c r="BO203" s="30"/>
      <c r="BP203" s="30"/>
      <c r="BQ203" s="30"/>
      <c r="BR203" s="30"/>
      <c r="BS203" s="30"/>
      <c r="BT203" s="30"/>
      <c r="BU203" s="30"/>
      <c r="BV203" s="30"/>
      <c r="BW203" s="30"/>
      <c r="BX203" s="30"/>
      <c r="BY203" s="30"/>
      <c r="BZ203" s="30"/>
      <c r="CA203" s="30"/>
      <c r="CB203" s="30"/>
      <c r="CC203" s="30"/>
      <c r="CD203" s="30"/>
      <c r="CE203" s="30"/>
      <c r="CF203" s="30"/>
      <c r="CG203" s="30"/>
      <c r="CH203" s="30"/>
      <c r="CI203" s="30"/>
      <c r="CJ203" s="30"/>
      <c r="CK203" s="30"/>
      <c r="CL203" s="30"/>
      <c r="CM203" s="30"/>
      <c r="CN203" s="30"/>
      <c r="CO203" s="30"/>
      <c r="CP203" s="30"/>
      <c r="CQ203" s="30"/>
      <c r="CR203" s="30"/>
      <c r="CS203" s="30"/>
      <c r="CT203" s="30"/>
      <c r="CU203" s="30"/>
      <c r="CV203" s="30"/>
      <c r="CW203" s="30"/>
      <c r="CX203" s="30"/>
      <c r="CY203" s="30"/>
      <c r="CZ203" s="30"/>
      <c r="DA203" s="30"/>
    </row>
    <row r="204" spans="1:105" ht="19.2" thickTop="1" thickBot="1" x14ac:dyDescent="0.4">
      <c r="A204" s="30"/>
      <c r="B204" s="30"/>
      <c r="C204" s="356" t="s">
        <v>251</v>
      </c>
      <c r="D204" s="357" t="s">
        <v>766</v>
      </c>
      <c r="E204" s="35" t="str">
        <f>_xlfn.XLOOKUP(Tabella4[[#This Row],[NOME]],'ROSE SQUADRE'!$N$3:$N$253,'ROSE SQUADRE'!$O$3:$O$253,"")</f>
        <v>PESCICULINI</v>
      </c>
      <c r="F204" s="36" t="s">
        <v>161</v>
      </c>
      <c r="G204" s="43">
        <v>7</v>
      </c>
      <c r="H204" s="43">
        <v>7</v>
      </c>
      <c r="I204" s="44">
        <f t="shared" si="19"/>
        <v>0</v>
      </c>
      <c r="J204" s="37">
        <f t="shared" si="20"/>
        <v>2</v>
      </c>
      <c r="K204" s="38">
        <f t="shared" si="21"/>
        <v>7</v>
      </c>
      <c r="L204" s="38">
        <f t="shared" si="22"/>
        <v>9</v>
      </c>
      <c r="M204" s="39">
        <f t="shared" si="23"/>
        <v>18</v>
      </c>
      <c r="N204" s="45">
        <f t="shared" ca="1" si="24"/>
        <v>0</v>
      </c>
      <c r="O204" s="40">
        <f>SUMIF(Tabella1[Nome],Tabella4[[#This Row],[NOME]],Tabella1[Gf])</f>
        <v>1</v>
      </c>
      <c r="P204" s="40">
        <f>-(SUMIF(Tabella1[Nome],Tabella4[[#This Row],[NOME]],Tabella1[Gs]))</f>
        <v>0</v>
      </c>
      <c r="Q204" s="40">
        <f>SUMIF(Tabella1[Nome],Tabella4[[#This Row],[NOME]],Tabella1[Rp])</f>
        <v>0</v>
      </c>
      <c r="R204" s="40">
        <f>SUMIF(Tabella1[Nome],Tabella4[[#This Row],[NOME]],Tabella1[Rs])</f>
        <v>0</v>
      </c>
      <c r="S204" s="40">
        <f>SUMIF(Tabella1[Nome],Tabella4[[#This Row],[NOME]],Tabella1[Rf])</f>
        <v>0</v>
      </c>
      <c r="T204" s="40">
        <f>SUMIF(Tabella1[Nome],Tabella4[[#This Row],[NOME]],Tabella1[Au])</f>
        <v>0</v>
      </c>
      <c r="U204" s="41">
        <f>SUMIF(Tabella1[Nome],Tabella4[[#This Row],[NOME]],Tabella1[Amm])</f>
        <v>0</v>
      </c>
      <c r="V204" s="42">
        <f>SUMIF(Tabella1[Nome],Tabella4[[#This Row],[NOME]],Tabella1[Esp])</f>
        <v>0</v>
      </c>
      <c r="W204" s="40">
        <f>SUMIF(Tabella1[Nome],Tabella4[[#This Row],[NOME]],Tabella1[Ass])</f>
        <v>1</v>
      </c>
      <c r="X204" s="40">
        <f>SUMIF(Tabella1[Nome],Tabella4[[#This Row],[NOME]],Tabella1[Gdv])</f>
        <v>0</v>
      </c>
      <c r="Y204" s="40">
        <f>SUMIF(Tabella1[Nome],Tabella4[[#This Row],[NOME]],Tabella1[cl sh])</f>
        <v>0</v>
      </c>
      <c r="Z204" s="270" t="str">
        <f>_xlfn.IFNA(_xlfn.XLOOKUP(CONCATENATE(Z$4,$C204),Tabella1[CONC X VOTI IN TAB GIOC],Tabella1[Voto],""),"")</f>
        <v/>
      </c>
      <c r="AA204" s="270" t="str">
        <f>_xlfn.IFNA(_xlfn.XLOOKUP(CONCATENATE(AA$4,$C204),Tabella1[CONC X VOTI IN TAB GIOC],Tabella1[Voto],""),"")</f>
        <v/>
      </c>
      <c r="AB204" s="270">
        <f>_xlfn.IFNA(_xlfn.XLOOKUP(CONCATENATE(AB$4,$C204),Tabella1[CONC X VOTI IN TAB GIOC],Tabella1[Voto]),"")</f>
        <v>6.5</v>
      </c>
      <c r="AC204" s="270" cm="1">
        <f t="array" ref="AC204">_xlfn.IFNA(_xlfn.XLOOKUP(CONCATENATE(AC$4,$C204),INDEX(Tabella1[],0,MATCH("CONC X VOTI IN TAB GIOC",Tabella1[#Headers],0)),INDEX(Tabella1[],0,MATCH("Voto",Tabella1[#Headers],0))),"")</f>
        <v>7.5</v>
      </c>
      <c r="AD204" s="270" t="str">
        <f>_xlfn.IFNA(_xlfn.XLOOKUP(CONCATENATE(AD$4,$C204),Tabella1[CONC X VOTI IN TAB GIOC],Tabella1[Voto]),"")</f>
        <v/>
      </c>
      <c r="AE204" s="270" t="str">
        <f>_xlfn.IFNA(VLOOKUP(CONCATENATE(AE$4,$C204),'INSER DATA'!$A:$F,6,0),"")</f>
        <v/>
      </c>
      <c r="AF204" s="270" t="str">
        <f>_xlfn.IFNA(VLOOKUP(CONCATENATE(AF$4,$C204),'INSER DATA'!$A:$F,6,0),"")</f>
        <v/>
      </c>
      <c r="AG204" s="270" t="str">
        <f>_xlfn.IFNA(VLOOKUP(CONCATENATE(AG$4,$C204),'INSER DATA'!$A:$F,6,0),"")</f>
        <v/>
      </c>
      <c r="AH204" s="270" t="str">
        <f>_xlfn.IFNA(VLOOKUP(CONCATENATE(AH$4,$C204),'INSER DATA'!$A:$F,7,0),"")</f>
        <v/>
      </c>
      <c r="AI204" s="270" t="str">
        <f>_xlfn.IFNA(VLOOKUP(CONCATENATE(AI$4,$C204),'INSER DATA'!$A:$F,7,0),"")</f>
        <v/>
      </c>
      <c r="AJ204" s="270" t="str">
        <f>_xlfn.IFNA(VLOOKUP(CONCATENATE(AJ$4,$C204),'INSER DATA'!$A:$F,7,0),"")</f>
        <v/>
      </c>
      <c r="AK204" s="270" t="str">
        <f>_xlfn.IFNA(VLOOKUP(CONCATENATE(AK$4,$C204),'INSER DATA'!$A:$F,7,0),"")</f>
        <v/>
      </c>
      <c r="AL204" s="270" t="str">
        <f>_xlfn.IFNA(VLOOKUP(CONCATENATE(AL$4,$C204),'INSER DATA'!$A:$F,7,0),"")</f>
        <v/>
      </c>
      <c r="AM204" s="270" t="str">
        <f>_xlfn.IFNA(VLOOKUP(CONCATENATE(AM$4,$C204),'INSER DATA'!$A:$F,7,0),"")</f>
        <v/>
      </c>
      <c r="AN204" s="270" t="str">
        <f>_xlfn.IFNA(VLOOKUP(CONCATENATE(AN$4,$C204),'INSER DATA'!$A:$F,7,0),"")</f>
        <v/>
      </c>
      <c r="AO204" s="270" t="str">
        <f>_xlfn.IFNA(VLOOKUP(CONCATENATE(AO$4,$C204),'INSER DATA'!$A:$F,7,0),"")</f>
        <v/>
      </c>
      <c r="AP204" s="270" t="str">
        <f>_xlfn.IFNA(VLOOKUP(CONCATENATE(AP$4,$C204),'INSER DATA'!$A:$F,7,0),"")</f>
        <v/>
      </c>
      <c r="AQ204" s="270" t="str">
        <f>_xlfn.IFNA(VLOOKUP(CONCATENATE(AQ$4,$C204),'INSER DATA'!$A:$F,7,0),"")</f>
        <v/>
      </c>
      <c r="AR204" s="270" t="str">
        <f>_xlfn.IFNA(VLOOKUP(CONCATENATE(AR$4,$C204),'INSER DATA'!$A:$F,7,0),"")</f>
        <v/>
      </c>
      <c r="AS204" s="270" t="str">
        <f>_xlfn.IFNA(VLOOKUP(CONCATENATE(AS$4,$C204),'INSER DATA'!$A:$F,7,0),"")</f>
        <v/>
      </c>
      <c r="AT204" s="270" t="str">
        <f>_xlfn.IFNA(VLOOKUP(CONCATENATE(AT$4,$C204),'INSER DATA'!$A:$F,7,0),"")</f>
        <v/>
      </c>
      <c r="AU204" s="270" t="str">
        <f>_xlfn.IFNA(VLOOKUP(CONCATENATE(AU$4,$C204),'INSER DATA'!$A:$F,7,0),"")</f>
        <v/>
      </c>
      <c r="AV204" s="270" t="str">
        <f>_xlfn.IFNA(VLOOKUP(CONCATENATE(AV$4,$C204),'INSER DATA'!$A:$F,7,0),"")</f>
        <v/>
      </c>
      <c r="AW204" s="270" t="str">
        <f>_xlfn.IFNA(VLOOKUP(CONCATENATE(AW$4,$C204),'INSER DATA'!$A:$F,7,0),"")</f>
        <v/>
      </c>
      <c r="AX204" s="270" t="str">
        <f>_xlfn.IFNA(VLOOKUP(CONCATENATE(AX$4,$C204),'INSER DATA'!$A:$F,7,0),"")</f>
        <v/>
      </c>
      <c r="AY204" s="270" t="str">
        <f>_xlfn.IFNA(VLOOKUP(CONCATENATE(AY$4,$C204),'INSER DATA'!$A:$F,7,0),"")</f>
        <v/>
      </c>
      <c r="AZ204" s="270" t="str">
        <f>_xlfn.IFNA(VLOOKUP(CONCATENATE(AZ$4,$C204),'INSER DATA'!$A:$F,7,0),"")</f>
        <v/>
      </c>
      <c r="BA204" s="270" t="str">
        <f>_xlfn.IFNA(VLOOKUP(CONCATENATE(BA$4,$C204),'INSER DATA'!$A:$F,7,0),"")</f>
        <v/>
      </c>
      <c r="BB204" s="270" t="str">
        <f>_xlfn.IFNA(VLOOKUP(CONCATENATE(BB$4,$C204),'INSER DATA'!$A:$F,7,0),"")</f>
        <v/>
      </c>
      <c r="BC204" s="270" t="str">
        <f>_xlfn.IFNA(VLOOKUP(CONCATENATE(BC$4,$C204),'INSER DATA'!$A:$F,7,0),"")</f>
        <v/>
      </c>
      <c r="BD204" s="270" t="str">
        <f>_xlfn.IFNA(VLOOKUP(CONCATENATE(BD$4,$C204),'INSER DATA'!$A:$F,7,0),"")</f>
        <v/>
      </c>
      <c r="BE204" s="270" t="str">
        <f>_xlfn.IFNA(VLOOKUP(CONCATENATE(BE$4,$C204),'INSER DATA'!$A:$F,7,0),"")</f>
        <v/>
      </c>
      <c r="BF204" s="270" t="str">
        <f>_xlfn.IFNA(VLOOKUP(CONCATENATE(BF$4,$C204),'INSER DATA'!$A:$F,7,0),"")</f>
        <v/>
      </c>
      <c r="BG204" s="270" t="str">
        <f>_xlfn.IFNA(VLOOKUP(CONCATENATE(BG$4,$C204),'INSER DATA'!$A:$F,7,0),"")</f>
        <v/>
      </c>
      <c r="BH204" s="270" t="str">
        <f>_xlfn.IFNA(VLOOKUP(CONCATENATE(BH$4,$C204),'INSER DATA'!$A:$F,7,0),"")</f>
        <v/>
      </c>
      <c r="BI204" s="270" t="str">
        <f>_xlfn.IFNA(VLOOKUP(CONCATENATE(BI$4,$C204),'INSER DATA'!$A:$F,7,0),"")</f>
        <v/>
      </c>
      <c r="BJ204" s="270" t="str">
        <f>_xlfn.IFNA(VLOOKUP(CONCATENATE(BJ$4,$C204),'INSER DATA'!$A:$F,7,0),"")</f>
        <v/>
      </c>
      <c r="BK204" s="270" t="str">
        <f>_xlfn.IFNA(VLOOKUP(CONCATENATE(BK$4,$C204),'INSER DATA'!$A:$F,7,0),"")</f>
        <v/>
      </c>
      <c r="BL204" s="272"/>
      <c r="BM204" s="30"/>
      <c r="BN204" s="30"/>
      <c r="BO204" s="30"/>
      <c r="BP204" s="30"/>
      <c r="BQ204" s="30"/>
      <c r="BR204" s="30"/>
      <c r="BS204" s="30"/>
      <c r="BT204" s="30"/>
      <c r="BU204" s="30"/>
      <c r="BV204" s="30"/>
      <c r="BW204" s="30"/>
      <c r="BX204" s="30"/>
      <c r="BY204" s="30"/>
      <c r="BZ204" s="30"/>
      <c r="CA204" s="30"/>
      <c r="CB204" s="30"/>
      <c r="CC204" s="30"/>
      <c r="CD204" s="30"/>
      <c r="CE204" s="30"/>
      <c r="CF204" s="30"/>
      <c r="CG204" s="30"/>
      <c r="CH204" s="30"/>
      <c r="CI204" s="30"/>
      <c r="CJ204" s="30"/>
      <c r="CK204" s="30"/>
      <c r="CL204" s="30"/>
      <c r="CM204" s="30"/>
      <c r="CN204" s="30"/>
      <c r="CO204" s="30"/>
      <c r="CP204" s="30"/>
      <c r="CQ204" s="30"/>
      <c r="CR204" s="30"/>
      <c r="CS204" s="30"/>
      <c r="CT204" s="30"/>
      <c r="CU204" s="30"/>
      <c r="CV204" s="30"/>
      <c r="CW204" s="30"/>
      <c r="CX204" s="30"/>
      <c r="CY204" s="30"/>
      <c r="CZ204" s="30"/>
      <c r="DA204" s="30"/>
    </row>
    <row r="205" spans="1:105" ht="19.2" thickTop="1" thickBot="1" x14ac:dyDescent="0.4">
      <c r="A205" s="30"/>
      <c r="B205" s="30"/>
      <c r="C205" s="356" t="s">
        <v>769</v>
      </c>
      <c r="D205" s="357" t="s">
        <v>766</v>
      </c>
      <c r="E205" s="35" t="str">
        <f>_xlfn.XLOOKUP(Tabella4[[#This Row],[NOME]],'ROSE SQUADRE'!$N$3:$N$253,'ROSE SQUADRE'!$O$3:$O$253,"")</f>
        <v>SHARK</v>
      </c>
      <c r="F205" s="36" t="s">
        <v>161</v>
      </c>
      <c r="G205" s="43">
        <v>12</v>
      </c>
      <c r="H205" s="43">
        <v>12</v>
      </c>
      <c r="I205" s="44">
        <f t="shared" si="19"/>
        <v>0</v>
      </c>
      <c r="J205" s="37">
        <f t="shared" si="20"/>
        <v>0</v>
      </c>
      <c r="K205" s="38">
        <f t="shared" si="21"/>
        <v>0</v>
      </c>
      <c r="L205" s="38">
        <f t="shared" si="22"/>
        <v>0</v>
      </c>
      <c r="M205" s="39">
        <f t="shared" si="23"/>
        <v>0</v>
      </c>
      <c r="N205" s="45">
        <f t="shared" ca="1" si="24"/>
        <v>0</v>
      </c>
      <c r="O205" s="40">
        <f>SUMIF(Tabella1[Nome],Tabella4[[#This Row],[NOME]],Tabella1[Gf])</f>
        <v>0</v>
      </c>
      <c r="P205" s="40">
        <f>-(SUMIF(Tabella1[Nome],Tabella4[[#This Row],[NOME]],Tabella1[Gs]))</f>
        <v>0</v>
      </c>
      <c r="Q205" s="40">
        <f>SUMIF(Tabella1[Nome],Tabella4[[#This Row],[NOME]],Tabella1[Rp])</f>
        <v>0</v>
      </c>
      <c r="R205" s="40">
        <f>SUMIF(Tabella1[Nome],Tabella4[[#This Row],[NOME]],Tabella1[Rs])</f>
        <v>0</v>
      </c>
      <c r="S205" s="40">
        <f>SUMIF(Tabella1[Nome],Tabella4[[#This Row],[NOME]],Tabella1[Rf])</f>
        <v>0</v>
      </c>
      <c r="T205" s="40">
        <f>SUMIF(Tabella1[Nome],Tabella4[[#This Row],[NOME]],Tabella1[Au])</f>
        <v>0</v>
      </c>
      <c r="U205" s="41">
        <f>SUMIF(Tabella1[Nome],Tabella4[[#This Row],[NOME]],Tabella1[Amm])</f>
        <v>0</v>
      </c>
      <c r="V205" s="42">
        <f>SUMIF(Tabella1[Nome],Tabella4[[#This Row],[NOME]],Tabella1[Esp])</f>
        <v>0</v>
      </c>
      <c r="W205" s="40">
        <f>SUMIF(Tabella1[Nome],Tabella4[[#This Row],[NOME]],Tabella1[Ass])</f>
        <v>0</v>
      </c>
      <c r="X205" s="40">
        <f>SUMIF(Tabella1[Nome],Tabella4[[#This Row],[NOME]],Tabella1[Gdv])</f>
        <v>0</v>
      </c>
      <c r="Y205" s="40">
        <f>SUMIF(Tabella1[Nome],Tabella4[[#This Row],[NOME]],Tabella1[cl sh])</f>
        <v>0</v>
      </c>
      <c r="Z205" s="270" t="str">
        <f>_xlfn.IFNA(_xlfn.XLOOKUP(CONCATENATE(Z$4,$C205),Tabella1[CONC X VOTI IN TAB GIOC],Tabella1[Voto],""),"")</f>
        <v/>
      </c>
      <c r="AA205" s="270" t="str">
        <f>_xlfn.IFNA(_xlfn.XLOOKUP(CONCATENATE(AA$4,$C205),Tabella1[CONC X VOTI IN TAB GIOC],Tabella1[Voto],""),"")</f>
        <v/>
      </c>
      <c r="AB205" s="270" t="str">
        <f>_xlfn.IFNA(_xlfn.XLOOKUP(CONCATENATE(AB$4,$C205),Tabella1[CONC X VOTI IN TAB GIOC],Tabella1[Voto]),"")</f>
        <v/>
      </c>
      <c r="AC205" s="270" t="str" cm="1">
        <f t="array" ref="AC205">_xlfn.IFNA(_xlfn.XLOOKUP(CONCATENATE(AC$4,$C205),INDEX(Tabella1[],0,MATCH("CONC X VOTI IN TAB GIOC",Tabella1[#Headers],0)),INDEX(Tabella1[],0,MATCH("Voto",Tabella1[#Headers],0))),"")</f>
        <v/>
      </c>
      <c r="AD205" s="270" t="str">
        <f>_xlfn.IFNA(_xlfn.XLOOKUP(CONCATENATE(AD$4,$C205),Tabella1[CONC X VOTI IN TAB GIOC],Tabella1[Voto]),"")</f>
        <v/>
      </c>
      <c r="AE205" s="270" t="str">
        <f>_xlfn.IFNA(VLOOKUP(CONCATENATE(AE$4,$C205),'INSER DATA'!$A:$F,6,0),"")</f>
        <v/>
      </c>
      <c r="AF205" s="270" t="str">
        <f>_xlfn.IFNA(VLOOKUP(CONCATENATE(AF$4,$C205),'INSER DATA'!$A:$F,6,0),"")</f>
        <v/>
      </c>
      <c r="AG205" s="270" t="str">
        <f>_xlfn.IFNA(VLOOKUP(CONCATENATE(AG$4,$C205),'INSER DATA'!$A:$F,6,0),"")</f>
        <v/>
      </c>
      <c r="AH205" s="270" t="str">
        <f>_xlfn.IFNA(VLOOKUP(CONCATENATE(AH$4,$C205),'INSER DATA'!$A:$F,7,0),"")</f>
        <v/>
      </c>
      <c r="AI205" s="270" t="str">
        <f>_xlfn.IFNA(VLOOKUP(CONCATENATE(AI$4,$C205),'INSER DATA'!$A:$F,7,0),"")</f>
        <v/>
      </c>
      <c r="AJ205" s="270" t="str">
        <f>_xlfn.IFNA(VLOOKUP(CONCATENATE(AJ$4,$C205),'INSER DATA'!$A:$F,7,0),"")</f>
        <v/>
      </c>
      <c r="AK205" s="270" t="str">
        <f>_xlfn.IFNA(VLOOKUP(CONCATENATE(AK$4,$C205),'INSER DATA'!$A:$F,7,0),"")</f>
        <v/>
      </c>
      <c r="AL205" s="270" t="str">
        <f>_xlfn.IFNA(VLOOKUP(CONCATENATE(AL$4,$C205),'INSER DATA'!$A:$F,7,0),"")</f>
        <v/>
      </c>
      <c r="AM205" s="270" t="str">
        <f>_xlfn.IFNA(VLOOKUP(CONCATENATE(AM$4,$C205),'INSER DATA'!$A:$F,7,0),"")</f>
        <v/>
      </c>
      <c r="AN205" s="270" t="str">
        <f>_xlfn.IFNA(VLOOKUP(CONCATENATE(AN$4,$C205),'INSER DATA'!$A:$F,7,0),"")</f>
        <v/>
      </c>
      <c r="AO205" s="270" t="str">
        <f>_xlfn.IFNA(VLOOKUP(CONCATENATE(AO$4,$C205),'INSER DATA'!$A:$F,7,0),"")</f>
        <v/>
      </c>
      <c r="AP205" s="270" t="str">
        <f>_xlfn.IFNA(VLOOKUP(CONCATENATE(AP$4,$C205),'INSER DATA'!$A:$F,7,0),"")</f>
        <v/>
      </c>
      <c r="AQ205" s="270" t="str">
        <f>_xlfn.IFNA(VLOOKUP(CONCATENATE(AQ$4,$C205),'INSER DATA'!$A:$F,7,0),"")</f>
        <v/>
      </c>
      <c r="AR205" s="270" t="str">
        <f>_xlfn.IFNA(VLOOKUP(CONCATENATE(AR$4,$C205),'INSER DATA'!$A:$F,7,0),"")</f>
        <v/>
      </c>
      <c r="AS205" s="270" t="str">
        <f>_xlfn.IFNA(VLOOKUP(CONCATENATE(AS$4,$C205),'INSER DATA'!$A:$F,7,0),"")</f>
        <v/>
      </c>
      <c r="AT205" s="270" t="str">
        <f>_xlfn.IFNA(VLOOKUP(CONCATENATE(AT$4,$C205),'INSER DATA'!$A:$F,7,0),"")</f>
        <v/>
      </c>
      <c r="AU205" s="270" t="str">
        <f>_xlfn.IFNA(VLOOKUP(CONCATENATE(AU$4,$C205),'INSER DATA'!$A:$F,7,0),"")</f>
        <v/>
      </c>
      <c r="AV205" s="270" t="str">
        <f>_xlfn.IFNA(VLOOKUP(CONCATENATE(AV$4,$C205),'INSER DATA'!$A:$F,7,0),"")</f>
        <v/>
      </c>
      <c r="AW205" s="270" t="str">
        <f>_xlfn.IFNA(VLOOKUP(CONCATENATE(AW$4,$C205),'INSER DATA'!$A:$F,7,0),"")</f>
        <v/>
      </c>
      <c r="AX205" s="270" t="str">
        <f>_xlfn.IFNA(VLOOKUP(CONCATENATE(AX$4,$C205),'INSER DATA'!$A:$F,7,0),"")</f>
        <v/>
      </c>
      <c r="AY205" s="270" t="str">
        <f>_xlfn.IFNA(VLOOKUP(CONCATENATE(AY$4,$C205),'INSER DATA'!$A:$F,7,0),"")</f>
        <v/>
      </c>
      <c r="AZ205" s="270" t="str">
        <f>_xlfn.IFNA(VLOOKUP(CONCATENATE(AZ$4,$C205),'INSER DATA'!$A:$F,7,0),"")</f>
        <v/>
      </c>
      <c r="BA205" s="270" t="str">
        <f>_xlfn.IFNA(VLOOKUP(CONCATENATE(BA$4,$C205),'INSER DATA'!$A:$F,7,0),"")</f>
        <v/>
      </c>
      <c r="BB205" s="270" t="str">
        <f>_xlfn.IFNA(VLOOKUP(CONCATENATE(BB$4,$C205),'INSER DATA'!$A:$F,7,0),"")</f>
        <v/>
      </c>
      <c r="BC205" s="270" t="str">
        <f>_xlfn.IFNA(VLOOKUP(CONCATENATE(BC$4,$C205),'INSER DATA'!$A:$F,7,0),"")</f>
        <v/>
      </c>
      <c r="BD205" s="270" t="str">
        <f>_xlfn.IFNA(VLOOKUP(CONCATENATE(BD$4,$C205),'INSER DATA'!$A:$F,7,0),"")</f>
        <v/>
      </c>
      <c r="BE205" s="270" t="str">
        <f>_xlfn.IFNA(VLOOKUP(CONCATENATE(BE$4,$C205),'INSER DATA'!$A:$F,7,0),"")</f>
        <v/>
      </c>
      <c r="BF205" s="270" t="str">
        <f>_xlfn.IFNA(VLOOKUP(CONCATENATE(BF$4,$C205),'INSER DATA'!$A:$F,7,0),"")</f>
        <v/>
      </c>
      <c r="BG205" s="270" t="str">
        <f>_xlfn.IFNA(VLOOKUP(CONCATENATE(BG$4,$C205),'INSER DATA'!$A:$F,7,0),"")</f>
        <v/>
      </c>
      <c r="BH205" s="270" t="str">
        <f>_xlfn.IFNA(VLOOKUP(CONCATENATE(BH$4,$C205),'INSER DATA'!$A:$F,7,0),"")</f>
        <v/>
      </c>
      <c r="BI205" s="270" t="str">
        <f>_xlfn.IFNA(VLOOKUP(CONCATENATE(BI$4,$C205),'INSER DATA'!$A:$F,7,0),"")</f>
        <v/>
      </c>
      <c r="BJ205" s="270" t="str">
        <f>_xlfn.IFNA(VLOOKUP(CONCATENATE(BJ$4,$C205),'INSER DATA'!$A:$F,7,0),"")</f>
        <v/>
      </c>
      <c r="BK205" s="270" t="str">
        <f>_xlfn.IFNA(VLOOKUP(CONCATENATE(BK$4,$C205),'INSER DATA'!$A:$F,7,0),"")</f>
        <v/>
      </c>
      <c r="BL205" s="272"/>
      <c r="BM205" s="30"/>
      <c r="BN205" s="30"/>
      <c r="BO205" s="30"/>
      <c r="BP205" s="30"/>
      <c r="BQ205" s="30"/>
      <c r="BR205" s="30"/>
      <c r="BS205" s="30"/>
      <c r="BT205" s="30"/>
      <c r="BU205" s="30"/>
      <c r="BV205" s="30"/>
      <c r="BW205" s="30"/>
      <c r="BX205" s="30"/>
      <c r="BY205" s="30"/>
      <c r="BZ205" s="30"/>
      <c r="CA205" s="30"/>
      <c r="CB205" s="30"/>
      <c r="CC205" s="30"/>
      <c r="CD205" s="30"/>
      <c r="CE205" s="30"/>
      <c r="CF205" s="30"/>
      <c r="CG205" s="30"/>
      <c r="CH205" s="30"/>
      <c r="CI205" s="30"/>
      <c r="CJ205" s="30"/>
      <c r="CK205" s="30"/>
      <c r="CL205" s="30"/>
      <c r="CM205" s="30"/>
      <c r="CN205" s="30"/>
      <c r="CO205" s="30"/>
      <c r="CP205" s="30"/>
      <c r="CQ205" s="30"/>
      <c r="CR205" s="30"/>
      <c r="CS205" s="30"/>
      <c r="CT205" s="30"/>
      <c r="CU205" s="30"/>
      <c r="CV205" s="30"/>
      <c r="CW205" s="30"/>
      <c r="CX205" s="30"/>
      <c r="CY205" s="30"/>
      <c r="CZ205" s="30"/>
      <c r="DA205" s="30"/>
    </row>
    <row r="206" spans="1:105" ht="19.2" thickTop="1" thickBot="1" x14ac:dyDescent="0.4">
      <c r="A206" s="30"/>
      <c r="B206" s="30"/>
      <c r="C206" s="188" t="s">
        <v>219</v>
      </c>
      <c r="D206" s="46" t="s">
        <v>766</v>
      </c>
      <c r="E206" s="35" t="str">
        <f>_xlfn.XLOOKUP(Tabella4[[#This Row],[NOME]],'ROSE SQUADRE'!$N$3:$N$253,'ROSE SQUADRE'!$O$3:$O$253,"")</f>
        <v/>
      </c>
      <c r="F206" s="36" t="s">
        <v>162</v>
      </c>
      <c r="G206" s="43">
        <v>5</v>
      </c>
      <c r="H206" s="43">
        <v>5</v>
      </c>
      <c r="I206" s="44">
        <f t="shared" si="19"/>
        <v>0</v>
      </c>
      <c r="J206" s="37">
        <f t="shared" si="20"/>
        <v>1</v>
      </c>
      <c r="K206" s="38">
        <f t="shared" si="21"/>
        <v>6</v>
      </c>
      <c r="L206" s="38">
        <f t="shared" si="22"/>
        <v>5.5</v>
      </c>
      <c r="M206" s="39">
        <f t="shared" si="23"/>
        <v>5.5</v>
      </c>
      <c r="N206" s="45">
        <f t="shared" ca="1" si="24"/>
        <v>0</v>
      </c>
      <c r="O206" s="40">
        <f>SUMIF(Tabella1[Nome],Tabella4[[#This Row],[NOME]],Tabella1[Gf])</f>
        <v>0</v>
      </c>
      <c r="P206" s="40">
        <f>-(SUMIF(Tabella1[Nome],Tabella4[[#This Row],[NOME]],Tabella1[Gs]))</f>
        <v>0</v>
      </c>
      <c r="Q206" s="40">
        <f>SUMIF(Tabella1[Nome],Tabella4[[#This Row],[NOME]],Tabella1[Rp])</f>
        <v>0</v>
      </c>
      <c r="R206" s="40">
        <f>SUMIF(Tabella1[Nome],Tabella4[[#This Row],[NOME]],Tabella1[Rs])</f>
        <v>0</v>
      </c>
      <c r="S206" s="40">
        <f>SUMIF(Tabella1[Nome],Tabella4[[#This Row],[NOME]],Tabella1[Rf])</f>
        <v>0</v>
      </c>
      <c r="T206" s="40">
        <f>SUMIF(Tabella1[Nome],Tabella4[[#This Row],[NOME]],Tabella1[Au])</f>
        <v>0</v>
      </c>
      <c r="U206" s="41">
        <f>SUMIF(Tabella1[Nome],Tabella4[[#This Row],[NOME]],Tabella1[Amm])</f>
        <v>1</v>
      </c>
      <c r="V206" s="42">
        <f>SUMIF(Tabella1[Nome],Tabella4[[#This Row],[NOME]],Tabella1[Esp])</f>
        <v>0</v>
      </c>
      <c r="W206" s="40">
        <f>SUMIF(Tabella1[Nome],Tabella4[[#This Row],[NOME]],Tabella1[Ass])</f>
        <v>0</v>
      </c>
      <c r="X206" s="40">
        <f>SUMIF(Tabella1[Nome],Tabella4[[#This Row],[NOME]],Tabella1[Gdv])</f>
        <v>0</v>
      </c>
      <c r="Y206" s="40">
        <f>SUMIF(Tabella1[Nome],Tabella4[[#This Row],[NOME]],Tabella1[cl sh])</f>
        <v>0</v>
      </c>
      <c r="Z206" s="270" t="str">
        <f>_xlfn.IFNA(_xlfn.XLOOKUP(CONCATENATE(Z$4,$C206),Tabella1[CONC X VOTI IN TAB GIOC],Tabella1[Voto],""),"")</f>
        <v/>
      </c>
      <c r="AA206" s="270" t="str">
        <f>_xlfn.IFNA(_xlfn.XLOOKUP(CONCATENATE(AA$4,$C206),Tabella1[CONC X VOTI IN TAB GIOC],Tabella1[Voto],""),"")</f>
        <v/>
      </c>
      <c r="AB206" s="270" t="str">
        <f>_xlfn.IFNA(_xlfn.XLOOKUP(CONCATENATE(AB$4,$C206),Tabella1[CONC X VOTI IN TAB GIOC],Tabella1[Voto]),"")</f>
        <v/>
      </c>
      <c r="AC206" s="270" cm="1">
        <f t="array" ref="AC206">_xlfn.IFNA(_xlfn.XLOOKUP(CONCATENATE(AC$4,$C206),INDEX(Tabella1[],0,MATCH("CONC X VOTI IN TAB GIOC",Tabella1[#Headers],0)),INDEX(Tabella1[],0,MATCH("Voto",Tabella1[#Headers],0))),"")</f>
        <v>6</v>
      </c>
      <c r="AD206" s="270" t="str">
        <f>_xlfn.IFNA(_xlfn.XLOOKUP(CONCATENATE(AD$4,$C206),Tabella1[CONC X VOTI IN TAB GIOC],Tabella1[Voto]),"")</f>
        <v/>
      </c>
      <c r="AE206" s="270" t="str">
        <f>_xlfn.IFNA(VLOOKUP(CONCATENATE(AE$4,$C206),'INSER DATA'!$A:$F,6,0),"")</f>
        <v/>
      </c>
      <c r="AF206" s="270" t="str">
        <f>_xlfn.IFNA(VLOOKUP(CONCATENATE(AF$4,$C206),'INSER DATA'!$A:$F,6,0),"")</f>
        <v/>
      </c>
      <c r="AG206" s="270" t="str">
        <f>_xlfn.IFNA(VLOOKUP(CONCATENATE(AG$4,$C206),'INSER DATA'!$A:$F,6,0),"")</f>
        <v/>
      </c>
      <c r="AH206" s="270" t="str">
        <f>_xlfn.IFNA(VLOOKUP(CONCATENATE(AH$4,$C206),'INSER DATA'!$A:$F,7,0),"")</f>
        <v/>
      </c>
      <c r="AI206" s="270" t="str">
        <f>_xlfn.IFNA(VLOOKUP(CONCATENATE(AI$4,$C206),'INSER DATA'!$A:$F,7,0),"")</f>
        <v/>
      </c>
      <c r="AJ206" s="270" t="str">
        <f>_xlfn.IFNA(VLOOKUP(CONCATENATE(AJ$4,$C206),'INSER DATA'!$A:$F,7,0),"")</f>
        <v/>
      </c>
      <c r="AK206" s="270" t="str">
        <f>_xlfn.IFNA(VLOOKUP(CONCATENATE(AK$4,$C206),'INSER DATA'!$A:$F,7,0),"")</f>
        <v/>
      </c>
      <c r="AL206" s="270" t="str">
        <f>_xlfn.IFNA(VLOOKUP(CONCATENATE(AL$4,$C206),'INSER DATA'!$A:$F,7,0),"")</f>
        <v/>
      </c>
      <c r="AM206" s="270" t="str">
        <f>_xlfn.IFNA(VLOOKUP(CONCATENATE(AM$4,$C206),'INSER DATA'!$A:$F,7,0),"")</f>
        <v/>
      </c>
      <c r="AN206" s="270" t="str">
        <f>_xlfn.IFNA(VLOOKUP(CONCATENATE(AN$4,$C206),'INSER DATA'!$A:$F,7,0),"")</f>
        <v/>
      </c>
      <c r="AO206" s="270" t="str">
        <f>_xlfn.IFNA(VLOOKUP(CONCATENATE(AO$4,$C206),'INSER DATA'!$A:$F,7,0),"")</f>
        <v/>
      </c>
      <c r="AP206" s="270" t="str">
        <f>_xlfn.IFNA(VLOOKUP(CONCATENATE(AP$4,$C206),'INSER DATA'!$A:$F,7,0),"")</f>
        <v/>
      </c>
      <c r="AQ206" s="270" t="str">
        <f>_xlfn.IFNA(VLOOKUP(CONCATENATE(AQ$4,$C206),'INSER DATA'!$A:$F,7,0),"")</f>
        <v/>
      </c>
      <c r="AR206" s="270" t="str">
        <f>_xlfn.IFNA(VLOOKUP(CONCATENATE(AR$4,$C206),'INSER DATA'!$A:$F,7,0),"")</f>
        <v/>
      </c>
      <c r="AS206" s="270" t="str">
        <f>_xlfn.IFNA(VLOOKUP(CONCATENATE(AS$4,$C206),'INSER DATA'!$A:$F,7,0),"")</f>
        <v/>
      </c>
      <c r="AT206" s="270" t="str">
        <f>_xlfn.IFNA(VLOOKUP(CONCATENATE(AT$4,$C206),'INSER DATA'!$A:$F,7,0),"")</f>
        <v/>
      </c>
      <c r="AU206" s="270" t="str">
        <f>_xlfn.IFNA(VLOOKUP(CONCATENATE(AU$4,$C206),'INSER DATA'!$A:$F,7,0),"")</f>
        <v/>
      </c>
      <c r="AV206" s="270" t="str">
        <f>_xlfn.IFNA(VLOOKUP(CONCATENATE(AV$4,$C206),'INSER DATA'!$A:$F,7,0),"")</f>
        <v/>
      </c>
      <c r="AW206" s="270" t="str">
        <f>_xlfn.IFNA(VLOOKUP(CONCATENATE(AW$4,$C206),'INSER DATA'!$A:$F,7,0),"")</f>
        <v/>
      </c>
      <c r="AX206" s="270" t="str">
        <f>_xlfn.IFNA(VLOOKUP(CONCATENATE(AX$4,$C206),'INSER DATA'!$A:$F,7,0),"")</f>
        <v/>
      </c>
      <c r="AY206" s="270" t="str">
        <f>_xlfn.IFNA(VLOOKUP(CONCATENATE(AY$4,$C206),'INSER DATA'!$A:$F,7,0),"")</f>
        <v/>
      </c>
      <c r="AZ206" s="270" t="str">
        <f>_xlfn.IFNA(VLOOKUP(CONCATENATE(AZ$4,$C206),'INSER DATA'!$A:$F,7,0),"")</f>
        <v/>
      </c>
      <c r="BA206" s="270" t="str">
        <f>_xlfn.IFNA(VLOOKUP(CONCATENATE(BA$4,$C206),'INSER DATA'!$A:$F,7,0),"")</f>
        <v/>
      </c>
      <c r="BB206" s="270" t="str">
        <f>_xlfn.IFNA(VLOOKUP(CONCATENATE(BB$4,$C206),'INSER DATA'!$A:$F,7,0),"")</f>
        <v/>
      </c>
      <c r="BC206" s="270" t="str">
        <f>_xlfn.IFNA(VLOOKUP(CONCATENATE(BC$4,$C206),'INSER DATA'!$A:$F,7,0),"")</f>
        <v/>
      </c>
      <c r="BD206" s="270" t="str">
        <f>_xlfn.IFNA(VLOOKUP(CONCATENATE(BD$4,$C206),'INSER DATA'!$A:$F,7,0),"")</f>
        <v/>
      </c>
      <c r="BE206" s="270" t="str">
        <f>_xlfn.IFNA(VLOOKUP(CONCATENATE(BE$4,$C206),'INSER DATA'!$A:$F,7,0),"")</f>
        <v/>
      </c>
      <c r="BF206" s="270" t="str">
        <f>_xlfn.IFNA(VLOOKUP(CONCATENATE(BF$4,$C206),'INSER DATA'!$A:$F,7,0),"")</f>
        <v/>
      </c>
      <c r="BG206" s="270" t="str">
        <f>_xlfn.IFNA(VLOOKUP(CONCATENATE(BG$4,$C206),'INSER DATA'!$A:$F,7,0),"")</f>
        <v/>
      </c>
      <c r="BH206" s="270" t="str">
        <f>_xlfn.IFNA(VLOOKUP(CONCATENATE(BH$4,$C206),'INSER DATA'!$A:$F,7,0),"")</f>
        <v/>
      </c>
      <c r="BI206" s="270" t="str">
        <f>_xlfn.IFNA(VLOOKUP(CONCATENATE(BI$4,$C206),'INSER DATA'!$A:$F,7,0),"")</f>
        <v/>
      </c>
      <c r="BJ206" s="270" t="str">
        <f>_xlfn.IFNA(VLOOKUP(CONCATENATE(BJ$4,$C206),'INSER DATA'!$A:$F,7,0),"")</f>
        <v/>
      </c>
      <c r="BK206" s="270" t="str">
        <f>_xlfn.IFNA(VLOOKUP(CONCATENATE(BK$4,$C206),'INSER DATA'!$A:$F,7,0),"")</f>
        <v/>
      </c>
      <c r="BL206" s="272"/>
      <c r="BM206" s="30"/>
      <c r="BN206" s="30"/>
      <c r="BO206" s="30"/>
      <c r="BP206" s="30"/>
      <c r="BQ206" s="30"/>
      <c r="BR206" s="30"/>
      <c r="BS206" s="30"/>
      <c r="BT206" s="30"/>
      <c r="BU206" s="30"/>
      <c r="BV206" s="30"/>
      <c r="BW206" s="30"/>
      <c r="BX206" s="30"/>
      <c r="BY206" s="30"/>
      <c r="BZ206" s="30"/>
      <c r="CA206" s="30"/>
      <c r="CB206" s="30"/>
      <c r="CC206" s="30"/>
      <c r="CD206" s="30"/>
      <c r="CE206" s="30"/>
      <c r="CF206" s="30"/>
      <c r="CG206" s="30"/>
      <c r="CH206" s="30"/>
      <c r="CI206" s="30"/>
      <c r="CJ206" s="30"/>
      <c r="CK206" s="30"/>
      <c r="CL206" s="30"/>
      <c r="CM206" s="30"/>
      <c r="CN206" s="30"/>
      <c r="CO206" s="30"/>
      <c r="CP206" s="30"/>
      <c r="CQ206" s="30"/>
      <c r="CR206" s="30"/>
      <c r="CS206" s="30"/>
      <c r="CT206" s="30"/>
      <c r="CU206" s="30"/>
      <c r="CV206" s="30"/>
      <c r="CW206" s="30"/>
      <c r="CX206" s="30"/>
      <c r="CY206" s="30"/>
      <c r="CZ206" s="30"/>
      <c r="DA206" s="30"/>
    </row>
    <row r="207" spans="1:105" s="184" customFormat="1" ht="19.2" thickTop="1" thickBot="1" x14ac:dyDescent="0.4">
      <c r="C207" s="356" t="s">
        <v>773</v>
      </c>
      <c r="D207" s="357" t="s">
        <v>766</v>
      </c>
      <c r="E207" s="35" t="str">
        <f>_xlfn.XLOOKUP(Tabella4[[#This Row],[NOME]],'ROSE SQUADRE'!$N$3:$N$253,'ROSE SQUADRE'!$O$3:$O$253,"")</f>
        <v>PESCICULINI</v>
      </c>
      <c r="F207" s="36" t="s">
        <v>162</v>
      </c>
      <c r="G207" s="43">
        <v>3</v>
      </c>
      <c r="H207" s="43">
        <v>3</v>
      </c>
      <c r="I207" s="44">
        <f t="shared" si="19"/>
        <v>0</v>
      </c>
      <c r="J207" s="37">
        <f t="shared" si="20"/>
        <v>0</v>
      </c>
      <c r="K207" s="38">
        <f t="shared" si="21"/>
        <v>0</v>
      </c>
      <c r="L207" s="38">
        <f t="shared" si="22"/>
        <v>0</v>
      </c>
      <c r="M207" s="39">
        <f t="shared" si="23"/>
        <v>0</v>
      </c>
      <c r="N207" s="45">
        <f t="shared" ca="1" si="24"/>
        <v>0</v>
      </c>
      <c r="O207" s="40">
        <f>SUMIF(Tabella1[Nome],Tabella4[[#This Row],[NOME]],Tabella1[Gf])</f>
        <v>0</v>
      </c>
      <c r="P207" s="40">
        <f>-(SUMIF(Tabella1[Nome],Tabella4[[#This Row],[NOME]],Tabella1[Gs]))</f>
        <v>0</v>
      </c>
      <c r="Q207" s="40">
        <f>SUMIF(Tabella1[Nome],Tabella4[[#This Row],[NOME]],Tabella1[Rp])</f>
        <v>0</v>
      </c>
      <c r="R207" s="40">
        <f>SUMIF(Tabella1[Nome],Tabella4[[#This Row],[NOME]],Tabella1[Rs])</f>
        <v>0</v>
      </c>
      <c r="S207" s="40">
        <f>SUMIF(Tabella1[Nome],Tabella4[[#This Row],[NOME]],Tabella1[Rf])</f>
        <v>0</v>
      </c>
      <c r="T207" s="40">
        <f>SUMIF(Tabella1[Nome],Tabella4[[#This Row],[NOME]],Tabella1[Au])</f>
        <v>0</v>
      </c>
      <c r="U207" s="41">
        <f>SUMIF(Tabella1[Nome],Tabella4[[#This Row],[NOME]],Tabella1[Amm])</f>
        <v>0</v>
      </c>
      <c r="V207" s="42">
        <f>SUMIF(Tabella1[Nome],Tabella4[[#This Row],[NOME]],Tabella1[Esp])</f>
        <v>0</v>
      </c>
      <c r="W207" s="40">
        <f>SUMIF(Tabella1[Nome],Tabella4[[#This Row],[NOME]],Tabella1[Ass])</f>
        <v>0</v>
      </c>
      <c r="X207" s="40">
        <f>SUMIF(Tabella1[Nome],Tabella4[[#This Row],[NOME]],Tabella1[Gdv])</f>
        <v>0</v>
      </c>
      <c r="Y207" s="40">
        <f>SUMIF(Tabella1[Nome],Tabella4[[#This Row],[NOME]],Tabella1[cl sh])</f>
        <v>0</v>
      </c>
      <c r="Z207" s="270" t="str">
        <f>_xlfn.IFNA(_xlfn.XLOOKUP(CONCATENATE(Z$4,$C207),Tabella1[CONC X VOTI IN TAB GIOC],Tabella1[Voto],""),"")</f>
        <v/>
      </c>
      <c r="AA207" s="270" t="str">
        <f>_xlfn.IFNA(_xlfn.XLOOKUP(CONCATENATE(AA$4,$C207),Tabella1[CONC X VOTI IN TAB GIOC],Tabella1[Voto],""),"")</f>
        <v/>
      </c>
      <c r="AB207" s="270" t="str">
        <f>_xlfn.IFNA(_xlfn.XLOOKUP(CONCATENATE(AB$4,$C207),Tabella1[CONC X VOTI IN TAB GIOC],Tabella1[Voto]),"")</f>
        <v/>
      </c>
      <c r="AC207" s="270" t="str" cm="1">
        <f t="array" ref="AC207">_xlfn.IFNA(_xlfn.XLOOKUP(CONCATENATE(AC$4,$C207),INDEX(Tabella1[],0,MATCH("CONC X VOTI IN TAB GIOC",Tabella1[#Headers],0)),INDEX(Tabella1[],0,MATCH("Voto",Tabella1[#Headers],0))),"")</f>
        <v/>
      </c>
      <c r="AD207" s="270" t="str">
        <f>_xlfn.IFNA(_xlfn.XLOOKUP(CONCATENATE(AD$4,$C207),Tabella1[CONC X VOTI IN TAB GIOC],Tabella1[Voto]),"")</f>
        <v/>
      </c>
      <c r="AE207" s="270" t="str">
        <f>_xlfn.IFNA(VLOOKUP(CONCATENATE(AE$4,$C207),'INSER DATA'!$A:$F,6,0),"")</f>
        <v/>
      </c>
      <c r="AF207" s="270" t="str">
        <f>_xlfn.IFNA(VLOOKUP(CONCATENATE(AF$4,$C207),'INSER DATA'!$A:$F,6,0),"")</f>
        <v/>
      </c>
      <c r="AG207" s="270" t="str">
        <f>_xlfn.IFNA(VLOOKUP(CONCATENATE(AG$4,$C207),'INSER DATA'!$A:$F,6,0),"")</f>
        <v/>
      </c>
      <c r="AH207" s="270" t="str">
        <f>_xlfn.IFNA(VLOOKUP(CONCATENATE(AH$4,$C207),'INSER DATA'!$A:$F,7,0),"")</f>
        <v/>
      </c>
      <c r="AI207" s="270" t="str">
        <f>_xlfn.IFNA(VLOOKUP(CONCATENATE(AI$4,$C207),'INSER DATA'!$A:$F,7,0),"")</f>
        <v/>
      </c>
      <c r="AJ207" s="270" t="str">
        <f>_xlfn.IFNA(VLOOKUP(CONCATENATE(AJ$4,$C207),'INSER DATA'!$A:$F,7,0),"")</f>
        <v/>
      </c>
      <c r="AK207" s="270" t="str">
        <f>_xlfn.IFNA(VLOOKUP(CONCATENATE(AK$4,$C207),'INSER DATA'!$A:$F,7,0),"")</f>
        <v/>
      </c>
      <c r="AL207" s="270" t="str">
        <f>_xlfn.IFNA(VLOOKUP(CONCATENATE(AL$4,$C207),'INSER DATA'!$A:$F,7,0),"")</f>
        <v/>
      </c>
      <c r="AM207" s="270" t="str">
        <f>_xlfn.IFNA(VLOOKUP(CONCATENATE(AM$4,$C207),'INSER DATA'!$A:$F,7,0),"")</f>
        <v/>
      </c>
      <c r="AN207" s="270" t="str">
        <f>_xlfn.IFNA(VLOOKUP(CONCATENATE(AN$4,$C207),'INSER DATA'!$A:$F,7,0),"")</f>
        <v/>
      </c>
      <c r="AO207" s="270" t="str">
        <f>_xlfn.IFNA(VLOOKUP(CONCATENATE(AO$4,$C207),'INSER DATA'!$A:$F,7,0),"")</f>
        <v/>
      </c>
      <c r="AP207" s="270" t="str">
        <f>_xlfn.IFNA(VLOOKUP(CONCATENATE(AP$4,$C207),'INSER DATA'!$A:$F,7,0),"")</f>
        <v/>
      </c>
      <c r="AQ207" s="270" t="str">
        <f>_xlfn.IFNA(VLOOKUP(CONCATENATE(AQ$4,$C207),'INSER DATA'!$A:$F,7,0),"")</f>
        <v/>
      </c>
      <c r="AR207" s="270" t="str">
        <f>_xlfn.IFNA(VLOOKUP(CONCATENATE(AR$4,$C207),'INSER DATA'!$A:$F,7,0),"")</f>
        <v/>
      </c>
      <c r="AS207" s="270" t="str">
        <f>_xlfn.IFNA(VLOOKUP(CONCATENATE(AS$4,$C207),'INSER DATA'!$A:$F,7,0),"")</f>
        <v/>
      </c>
      <c r="AT207" s="270" t="str">
        <f>_xlfn.IFNA(VLOOKUP(CONCATENATE(AT$4,$C207),'INSER DATA'!$A:$F,7,0),"")</f>
        <v/>
      </c>
      <c r="AU207" s="270" t="str">
        <f>_xlfn.IFNA(VLOOKUP(CONCATENATE(AU$4,$C207),'INSER DATA'!$A:$F,7,0),"")</f>
        <v/>
      </c>
      <c r="AV207" s="270" t="str">
        <f>_xlfn.IFNA(VLOOKUP(CONCATENATE(AV$4,$C207),'INSER DATA'!$A:$F,7,0),"")</f>
        <v/>
      </c>
      <c r="AW207" s="270" t="str">
        <f>_xlfn.IFNA(VLOOKUP(CONCATENATE(AW$4,$C207),'INSER DATA'!$A:$F,7,0),"")</f>
        <v/>
      </c>
      <c r="AX207" s="270" t="str">
        <f>_xlfn.IFNA(VLOOKUP(CONCATENATE(AX$4,$C207),'INSER DATA'!$A:$F,7,0),"")</f>
        <v/>
      </c>
      <c r="AY207" s="270" t="str">
        <f>_xlfn.IFNA(VLOOKUP(CONCATENATE(AY$4,$C207),'INSER DATA'!$A:$F,7,0),"")</f>
        <v/>
      </c>
      <c r="AZ207" s="270" t="str">
        <f>_xlfn.IFNA(VLOOKUP(CONCATENATE(AZ$4,$C207),'INSER DATA'!$A:$F,7,0),"")</f>
        <v/>
      </c>
      <c r="BA207" s="270" t="str">
        <f>_xlfn.IFNA(VLOOKUP(CONCATENATE(BA$4,$C207),'INSER DATA'!$A:$F,7,0),"")</f>
        <v/>
      </c>
      <c r="BB207" s="270" t="str">
        <f>_xlfn.IFNA(VLOOKUP(CONCATENATE(BB$4,$C207),'INSER DATA'!$A:$F,7,0),"")</f>
        <v/>
      </c>
      <c r="BC207" s="270" t="str">
        <f>_xlfn.IFNA(VLOOKUP(CONCATENATE(BC$4,$C207),'INSER DATA'!$A:$F,7,0),"")</f>
        <v/>
      </c>
      <c r="BD207" s="270" t="str">
        <f>_xlfn.IFNA(VLOOKUP(CONCATENATE(BD$4,$C207),'INSER DATA'!$A:$F,7,0),"")</f>
        <v/>
      </c>
      <c r="BE207" s="270" t="str">
        <f>_xlfn.IFNA(VLOOKUP(CONCATENATE(BE$4,$C207),'INSER DATA'!$A:$F,7,0),"")</f>
        <v/>
      </c>
      <c r="BF207" s="270" t="str">
        <f>_xlfn.IFNA(VLOOKUP(CONCATENATE(BF$4,$C207),'INSER DATA'!$A:$F,7,0),"")</f>
        <v/>
      </c>
      <c r="BG207" s="270" t="str">
        <f>_xlfn.IFNA(VLOOKUP(CONCATENATE(BG$4,$C207),'INSER DATA'!$A:$F,7,0),"")</f>
        <v/>
      </c>
      <c r="BH207" s="270" t="str">
        <f>_xlfn.IFNA(VLOOKUP(CONCATENATE(BH$4,$C207),'INSER DATA'!$A:$F,7,0),"")</f>
        <v/>
      </c>
      <c r="BI207" s="270" t="str">
        <f>_xlfn.IFNA(VLOOKUP(CONCATENATE(BI$4,$C207),'INSER DATA'!$A:$F,7,0),"")</f>
        <v/>
      </c>
      <c r="BJ207" s="270" t="str">
        <f>_xlfn.IFNA(VLOOKUP(CONCATENATE(BJ$4,$C207),'INSER DATA'!$A:$F,7,0),"")</f>
        <v/>
      </c>
      <c r="BK207" s="270" t="str">
        <f>_xlfn.IFNA(VLOOKUP(CONCATENATE(BK$4,$C207),'INSER DATA'!$A:$F,7,0),"")</f>
        <v/>
      </c>
      <c r="BL207" s="272"/>
    </row>
    <row r="208" spans="1:105" s="184" customFormat="1" ht="19.2" thickTop="1" thickBot="1" x14ac:dyDescent="0.4">
      <c r="C208" s="188" t="s">
        <v>1016</v>
      </c>
      <c r="D208" s="187" t="s">
        <v>777</v>
      </c>
      <c r="E208" s="35" t="str">
        <f>_xlfn.XLOOKUP(Tabella4[[#This Row],[NOME]],'ROSE SQUADRE'!$N$3:$N$253,'ROSE SQUADRE'!$O$3:$O$253,"")</f>
        <v>SESTO ASENSIO</v>
      </c>
      <c r="F208" s="36" t="s">
        <v>162</v>
      </c>
      <c r="G208" s="43"/>
      <c r="H208" s="43"/>
      <c r="I208" s="44">
        <f t="shared" si="19"/>
        <v>0</v>
      </c>
      <c r="J208" s="37">
        <f t="shared" si="20"/>
        <v>3</v>
      </c>
      <c r="K208" s="38">
        <f t="shared" si="21"/>
        <v>6.833333333333333</v>
      </c>
      <c r="L208" s="38">
        <f t="shared" si="22"/>
        <v>8.1666666666666661</v>
      </c>
      <c r="M208" s="39">
        <f t="shared" si="23"/>
        <v>24.5</v>
      </c>
      <c r="N208" s="45">
        <f t="shared" ca="1" si="24"/>
        <v>0</v>
      </c>
      <c r="O208" s="40">
        <f>SUMIF(Tabella1[Nome],Tabella4[[#This Row],[NOME]],Tabella1[Gf])</f>
        <v>1</v>
      </c>
      <c r="P208" s="40">
        <f>-(SUMIF(Tabella1[Nome],Tabella4[[#This Row],[NOME]],Tabella1[Gs]))</f>
        <v>0</v>
      </c>
      <c r="Q208" s="40">
        <f>SUMIF(Tabella1[Nome],Tabella4[[#This Row],[NOME]],Tabella1[Rp])</f>
        <v>0</v>
      </c>
      <c r="R208" s="40">
        <f>SUMIF(Tabella1[Nome],Tabella4[[#This Row],[NOME]],Tabella1[Rs])</f>
        <v>0</v>
      </c>
      <c r="S208" s="40">
        <f>SUMIF(Tabella1[Nome],Tabella4[[#This Row],[NOME]],Tabella1[Rf])</f>
        <v>0</v>
      </c>
      <c r="T208" s="40">
        <f>SUMIF(Tabella1[Nome],Tabella4[[#This Row],[NOME]],Tabella1[Au])</f>
        <v>0</v>
      </c>
      <c r="U208" s="41">
        <f>SUMIF(Tabella1[Nome],Tabella4[[#This Row],[NOME]],Tabella1[Amm])</f>
        <v>0</v>
      </c>
      <c r="V208" s="42">
        <f>SUMIF(Tabella1[Nome],Tabella4[[#This Row],[NOME]],Tabella1[Esp])</f>
        <v>0</v>
      </c>
      <c r="W208" s="40">
        <f>SUMIF(Tabella1[Nome],Tabella4[[#This Row],[NOME]],Tabella1[Ass])</f>
        <v>0</v>
      </c>
      <c r="X208" s="40">
        <f>SUMIF(Tabella1[Nome],Tabella4[[#This Row],[NOME]],Tabella1[Gdv])</f>
        <v>1</v>
      </c>
      <c r="Y208" s="40">
        <f>SUMIF(Tabella1[Nome],Tabella4[[#This Row],[NOME]],Tabella1[cl sh])</f>
        <v>0</v>
      </c>
      <c r="Z208" s="270" t="str">
        <f>_xlfn.IFNA(_xlfn.XLOOKUP(CONCATENATE(Z$4,$C208),Tabella1[CONC X VOTI IN TAB GIOC],Tabella1[Voto],""),"")</f>
        <v/>
      </c>
      <c r="AA208" s="270">
        <f>_xlfn.IFNA(_xlfn.XLOOKUP(CONCATENATE(AA$4,$C208),Tabella1[CONC X VOTI IN TAB GIOC],Tabella1[Voto],""),"")</f>
        <v>7.5</v>
      </c>
      <c r="AB208" s="270">
        <f>_xlfn.IFNA(_xlfn.XLOOKUP(CONCATENATE(AB$4,$C208),Tabella1[CONC X VOTI IN TAB GIOC],Tabella1[Voto]),"")</f>
        <v>6.5</v>
      </c>
      <c r="AC208" s="270" cm="1">
        <f t="array" ref="AC208">_xlfn.IFNA(_xlfn.XLOOKUP(CONCATENATE(AC$4,$C208),INDEX(Tabella1[],0,MATCH("CONC X VOTI IN TAB GIOC",Tabella1[#Headers],0)),INDEX(Tabella1[],0,MATCH("Voto",Tabella1[#Headers],0))),"")</f>
        <v>6.5</v>
      </c>
      <c r="AD208" s="270" t="str">
        <f>_xlfn.IFNA(_xlfn.XLOOKUP(CONCATENATE(AD$4,$C208),Tabella1[CONC X VOTI IN TAB GIOC],Tabella1[Voto]),"")</f>
        <v/>
      </c>
      <c r="AE208" s="270" t="str">
        <f>_xlfn.IFNA(VLOOKUP(CONCATENATE(AE$4,$C208),'INSER DATA'!$A:$F,6,0),"")</f>
        <v/>
      </c>
      <c r="AF208" s="270" t="str">
        <f>_xlfn.IFNA(VLOOKUP(CONCATENATE(AF$4,$C208),'INSER DATA'!$A:$F,6,0),"")</f>
        <v/>
      </c>
      <c r="AG208" s="270" t="str">
        <f>_xlfn.IFNA(VLOOKUP(CONCATENATE(AG$4,$C208),'INSER DATA'!$A:$F,6,0),"")</f>
        <v/>
      </c>
      <c r="AH208" s="270" t="str">
        <f>_xlfn.IFNA(VLOOKUP(CONCATENATE(AH$4,$C208),'INSER DATA'!$A:$F,7,0),"")</f>
        <v/>
      </c>
      <c r="AI208" s="270" t="str">
        <f>_xlfn.IFNA(VLOOKUP(CONCATENATE(AI$4,$C208),'INSER DATA'!$A:$F,7,0),"")</f>
        <v/>
      </c>
      <c r="AJ208" s="270" t="str">
        <f>_xlfn.IFNA(VLOOKUP(CONCATENATE(AJ$4,$C208),'INSER DATA'!$A:$F,7,0),"")</f>
        <v/>
      </c>
      <c r="AK208" s="270" t="str">
        <f>_xlfn.IFNA(VLOOKUP(CONCATENATE(AK$4,$C208),'INSER DATA'!$A:$F,7,0),"")</f>
        <v/>
      </c>
      <c r="AL208" s="270" t="str">
        <f>_xlfn.IFNA(VLOOKUP(CONCATENATE(AL$4,$C208),'INSER DATA'!$A:$F,7,0),"")</f>
        <v/>
      </c>
      <c r="AM208" s="270" t="str">
        <f>_xlfn.IFNA(VLOOKUP(CONCATENATE(AM$4,$C208),'INSER DATA'!$A:$F,7,0),"")</f>
        <v/>
      </c>
      <c r="AN208" s="270" t="str">
        <f>_xlfn.IFNA(VLOOKUP(CONCATENATE(AN$4,$C208),'INSER DATA'!$A:$F,7,0),"")</f>
        <v/>
      </c>
      <c r="AO208" s="270" t="str">
        <f>_xlfn.IFNA(VLOOKUP(CONCATENATE(AO$4,$C208),'INSER DATA'!$A:$F,7,0),"")</f>
        <v/>
      </c>
      <c r="AP208" s="270" t="str">
        <f>_xlfn.IFNA(VLOOKUP(CONCATENATE(AP$4,$C208),'INSER DATA'!$A:$F,7,0),"")</f>
        <v/>
      </c>
      <c r="AQ208" s="270" t="str">
        <f>_xlfn.IFNA(VLOOKUP(CONCATENATE(AQ$4,$C208),'INSER DATA'!$A:$F,7,0),"")</f>
        <v/>
      </c>
      <c r="AR208" s="270" t="str">
        <f>_xlfn.IFNA(VLOOKUP(CONCATENATE(AR$4,$C208),'INSER DATA'!$A:$F,7,0),"")</f>
        <v/>
      </c>
      <c r="AS208" s="270" t="str">
        <f>_xlfn.IFNA(VLOOKUP(CONCATENATE(AS$4,$C208),'INSER DATA'!$A:$F,7,0),"")</f>
        <v/>
      </c>
      <c r="AT208" s="270" t="str">
        <f>_xlfn.IFNA(VLOOKUP(CONCATENATE(AT$4,$C208),'INSER DATA'!$A:$F,7,0),"")</f>
        <v/>
      </c>
      <c r="AU208" s="270" t="str">
        <f>_xlfn.IFNA(VLOOKUP(CONCATENATE(AU$4,$C208),'INSER DATA'!$A:$F,7,0),"")</f>
        <v/>
      </c>
      <c r="AV208" s="270" t="str">
        <f>_xlfn.IFNA(VLOOKUP(CONCATENATE(AV$4,$C208),'INSER DATA'!$A:$F,7,0),"")</f>
        <v/>
      </c>
      <c r="AW208" s="270" t="str">
        <f>_xlfn.IFNA(VLOOKUP(CONCATENATE(AW$4,$C208),'INSER DATA'!$A:$F,7,0),"")</f>
        <v/>
      </c>
      <c r="AX208" s="270" t="str">
        <f>_xlfn.IFNA(VLOOKUP(CONCATENATE(AX$4,$C208),'INSER DATA'!$A:$F,7,0),"")</f>
        <v/>
      </c>
      <c r="AY208" s="270" t="str">
        <f>_xlfn.IFNA(VLOOKUP(CONCATENATE(AY$4,$C208),'INSER DATA'!$A:$F,7,0),"")</f>
        <v/>
      </c>
      <c r="AZ208" s="270" t="str">
        <f>_xlfn.IFNA(VLOOKUP(CONCATENATE(AZ$4,$C208),'INSER DATA'!$A:$F,7,0),"")</f>
        <v/>
      </c>
      <c r="BA208" s="270" t="str">
        <f>_xlfn.IFNA(VLOOKUP(CONCATENATE(BA$4,$C208),'INSER DATA'!$A:$F,7,0),"")</f>
        <v/>
      </c>
      <c r="BB208" s="270" t="str">
        <f>_xlfn.IFNA(VLOOKUP(CONCATENATE(BB$4,$C208),'INSER DATA'!$A:$F,7,0),"")</f>
        <v/>
      </c>
      <c r="BC208" s="270" t="str">
        <f>_xlfn.IFNA(VLOOKUP(CONCATENATE(BC$4,$C208),'INSER DATA'!$A:$F,7,0),"")</f>
        <v/>
      </c>
      <c r="BD208" s="270" t="str">
        <f>_xlfn.IFNA(VLOOKUP(CONCATENATE(BD$4,$C208),'INSER DATA'!$A:$F,7,0),"")</f>
        <v/>
      </c>
      <c r="BE208" s="270" t="str">
        <f>_xlfn.IFNA(VLOOKUP(CONCATENATE(BE$4,$C208),'INSER DATA'!$A:$F,7,0),"")</f>
        <v/>
      </c>
      <c r="BF208" s="270" t="str">
        <f>_xlfn.IFNA(VLOOKUP(CONCATENATE(BF$4,$C208),'INSER DATA'!$A:$F,7,0),"")</f>
        <v/>
      </c>
      <c r="BG208" s="270" t="str">
        <f>_xlfn.IFNA(VLOOKUP(CONCATENATE(BG$4,$C208),'INSER DATA'!$A:$F,7,0),"")</f>
        <v/>
      </c>
      <c r="BH208" s="270" t="str">
        <f>_xlfn.IFNA(VLOOKUP(CONCATENATE(BH$4,$C208),'INSER DATA'!$A:$F,7,0),"")</f>
        <v/>
      </c>
      <c r="BI208" s="270" t="str">
        <f>_xlfn.IFNA(VLOOKUP(CONCATENATE(BI$4,$C208),'INSER DATA'!$A:$F,7,0),"")</f>
        <v/>
      </c>
      <c r="BJ208" s="270" t="str">
        <f>_xlfn.IFNA(VLOOKUP(CONCATENATE(BJ$4,$C208),'INSER DATA'!$A:$F,7,0),"")</f>
        <v/>
      </c>
      <c r="BK208" s="270" t="str">
        <f>_xlfn.IFNA(VLOOKUP(CONCATENATE(BK$4,$C208),'INSER DATA'!$A:$F,7,0),"")</f>
        <v/>
      </c>
      <c r="BL208" s="272"/>
    </row>
    <row r="209" spans="1:105" s="184" customFormat="1" ht="19.2" thickTop="1" thickBot="1" x14ac:dyDescent="0.4">
      <c r="C209" s="354" t="s">
        <v>244</v>
      </c>
      <c r="D209" s="355" t="s">
        <v>777</v>
      </c>
      <c r="E209" s="35" t="str">
        <f>_xlfn.XLOOKUP(Tabella4[[#This Row],[NOME]],'ROSE SQUADRE'!$N$3:$N$253,'ROSE SQUADRE'!$O$3:$O$253,"")</f>
        <v>SESTO ASENSIO</v>
      </c>
      <c r="F209" s="36" t="s">
        <v>161</v>
      </c>
      <c r="G209" s="43">
        <v>15</v>
      </c>
      <c r="H209" s="43">
        <v>16</v>
      </c>
      <c r="I209" s="44">
        <f t="shared" si="19"/>
        <v>1</v>
      </c>
      <c r="J209" s="37">
        <f t="shared" si="20"/>
        <v>4</v>
      </c>
      <c r="K209" s="178">
        <f t="shared" si="21"/>
        <v>6.25</v>
      </c>
      <c r="L209" s="178">
        <f t="shared" si="22"/>
        <v>7.25</v>
      </c>
      <c r="M209" s="179">
        <f t="shared" si="23"/>
        <v>29</v>
      </c>
      <c r="N209" s="45">
        <f t="shared" ca="1" si="24"/>
        <v>0</v>
      </c>
      <c r="O209" s="40">
        <f>SUMIF(Tabella1[Nome],Tabella4[[#This Row],[NOME]],Tabella1[Gf])</f>
        <v>1</v>
      </c>
      <c r="P209" s="40">
        <f>-(SUMIF(Tabella1[Nome],Tabella4[[#This Row],[NOME]],Tabella1[Gs]))</f>
        <v>0</v>
      </c>
      <c r="Q209" s="40">
        <f>SUMIF(Tabella1[Nome],Tabella4[[#This Row],[NOME]],Tabella1[Rp])</f>
        <v>0</v>
      </c>
      <c r="R209" s="40">
        <f>SUMIF(Tabella1[Nome],Tabella4[[#This Row],[NOME]],Tabella1[Rs])</f>
        <v>0</v>
      </c>
      <c r="S209" s="40">
        <f>SUMIF(Tabella1[Nome],Tabella4[[#This Row],[NOME]],Tabella1[Rf])</f>
        <v>0</v>
      </c>
      <c r="T209" s="40">
        <f>SUMIF(Tabella1[Nome],Tabella4[[#This Row],[NOME]],Tabella1[Au])</f>
        <v>0</v>
      </c>
      <c r="U209" s="41">
        <f>SUMIF(Tabella1[Nome],Tabella4[[#This Row],[NOME]],Tabella1[Amm])</f>
        <v>0</v>
      </c>
      <c r="V209" s="42">
        <f>SUMIF(Tabella1[Nome],Tabella4[[#This Row],[NOME]],Tabella1[Esp])</f>
        <v>0</v>
      </c>
      <c r="W209" s="40">
        <f>SUMIF(Tabella1[Nome],Tabella4[[#This Row],[NOME]],Tabella1[Ass])</f>
        <v>0</v>
      </c>
      <c r="X209" s="40">
        <f>SUMIF(Tabella1[Nome],Tabella4[[#This Row],[NOME]],Tabella1[Gdv])</f>
        <v>1</v>
      </c>
      <c r="Y209" s="40">
        <f>SUMIF(Tabella1[Nome],Tabella4[[#This Row],[NOME]],Tabella1[cl sh])</f>
        <v>0</v>
      </c>
      <c r="Z209" s="270">
        <f>_xlfn.IFNA(_xlfn.XLOOKUP(CONCATENATE(Z$4,$C209),Tabella1[CONC X VOTI IN TAB GIOC],Tabella1[Voto],""),"")</f>
        <v>7.5</v>
      </c>
      <c r="AA209" s="270">
        <f>_xlfn.IFNA(_xlfn.XLOOKUP(CONCATENATE(AA$4,$C209),Tabella1[CONC X VOTI IN TAB GIOC],Tabella1[Voto],""),"")</f>
        <v>6.5</v>
      </c>
      <c r="AB209" s="270">
        <f>_xlfn.IFNA(_xlfn.XLOOKUP(CONCATENATE(AB$4,$C209),Tabella1[CONC X VOTI IN TAB GIOC],Tabella1[Voto]),"")</f>
        <v>6</v>
      </c>
      <c r="AC209" s="270" cm="1">
        <f t="array" ref="AC209">_xlfn.IFNA(_xlfn.XLOOKUP(CONCATENATE(AC$4,$C209),INDEX(Tabella1[],0,MATCH("CONC X VOTI IN TAB GIOC",Tabella1[#Headers],0)),INDEX(Tabella1[],0,MATCH("Voto",Tabella1[#Headers],0))),"")</f>
        <v>5</v>
      </c>
      <c r="AD209" s="270" t="str">
        <f>_xlfn.IFNA(_xlfn.XLOOKUP(CONCATENATE(AD$4,$C209),Tabella1[CONC X VOTI IN TAB GIOC],Tabella1[Voto]),"")</f>
        <v/>
      </c>
      <c r="AE209" s="270" t="str">
        <f>_xlfn.IFNA(VLOOKUP(CONCATENATE(AE$4,$C209),'INSER DATA'!$A:$F,6,0),"")</f>
        <v/>
      </c>
      <c r="AF209" s="270" t="str">
        <f>_xlfn.IFNA(VLOOKUP(CONCATENATE(AF$4,$C209),'INSER DATA'!$A:$F,6,0),"")</f>
        <v/>
      </c>
      <c r="AG209" s="270" t="str">
        <f>_xlfn.IFNA(VLOOKUP(CONCATENATE(AG$4,$C209),'INSER DATA'!$A:$F,6,0),"")</f>
        <v/>
      </c>
      <c r="AH209" s="270" t="str">
        <f>_xlfn.IFNA(VLOOKUP(CONCATENATE(AH$4,$C209),'INSER DATA'!$A:$F,7,0),"")</f>
        <v/>
      </c>
      <c r="AI209" s="270" t="str">
        <f>_xlfn.IFNA(VLOOKUP(CONCATENATE(AI$4,$C209),'INSER DATA'!$A:$F,7,0),"")</f>
        <v/>
      </c>
      <c r="AJ209" s="270" t="str">
        <f>_xlfn.IFNA(VLOOKUP(CONCATENATE(AJ$4,$C209),'INSER DATA'!$A:$F,7,0),"")</f>
        <v/>
      </c>
      <c r="AK209" s="270" t="str">
        <f>_xlfn.IFNA(VLOOKUP(CONCATENATE(AK$4,$C209),'INSER DATA'!$A:$F,7,0),"")</f>
        <v/>
      </c>
      <c r="AL209" s="270" t="str">
        <f>_xlfn.IFNA(VLOOKUP(CONCATENATE(AL$4,$C209),'INSER DATA'!$A:$F,7,0),"")</f>
        <v/>
      </c>
      <c r="AM209" s="270" t="str">
        <f>_xlfn.IFNA(VLOOKUP(CONCATENATE(AM$4,$C209),'INSER DATA'!$A:$F,7,0),"")</f>
        <v/>
      </c>
      <c r="AN209" s="270" t="str">
        <f>_xlfn.IFNA(VLOOKUP(CONCATENATE(AN$4,$C209),'INSER DATA'!$A:$F,7,0),"")</f>
        <v/>
      </c>
      <c r="AO209" s="270" t="str">
        <f>_xlfn.IFNA(VLOOKUP(CONCATENATE(AO$4,$C209),'INSER DATA'!$A:$F,7,0),"")</f>
        <v/>
      </c>
      <c r="AP209" s="270" t="str">
        <f>_xlfn.IFNA(VLOOKUP(CONCATENATE(AP$4,$C209),'INSER DATA'!$A:$F,7,0),"")</f>
        <v/>
      </c>
      <c r="AQ209" s="270" t="str">
        <f>_xlfn.IFNA(VLOOKUP(CONCATENATE(AQ$4,$C209),'INSER DATA'!$A:$F,7,0),"")</f>
        <v/>
      </c>
      <c r="AR209" s="270" t="str">
        <f>_xlfn.IFNA(VLOOKUP(CONCATENATE(AR$4,$C209),'INSER DATA'!$A:$F,7,0),"")</f>
        <v/>
      </c>
      <c r="AS209" s="270" t="str">
        <f>_xlfn.IFNA(VLOOKUP(CONCATENATE(AS$4,$C209),'INSER DATA'!$A:$F,7,0),"")</f>
        <v/>
      </c>
      <c r="AT209" s="270" t="str">
        <f>_xlfn.IFNA(VLOOKUP(CONCATENATE(AT$4,$C209),'INSER DATA'!$A:$F,7,0),"")</f>
        <v/>
      </c>
      <c r="AU209" s="270" t="str">
        <f>_xlfn.IFNA(VLOOKUP(CONCATENATE(AU$4,$C209),'INSER DATA'!$A:$F,7,0),"")</f>
        <v/>
      </c>
      <c r="AV209" s="270" t="str">
        <f>_xlfn.IFNA(VLOOKUP(CONCATENATE(AV$4,$C209),'INSER DATA'!$A:$F,7,0),"")</f>
        <v/>
      </c>
      <c r="AW209" s="270" t="str">
        <f>_xlfn.IFNA(VLOOKUP(CONCATENATE(AW$4,$C209),'INSER DATA'!$A:$F,7,0),"")</f>
        <v/>
      </c>
      <c r="AX209" s="270" t="str">
        <f>_xlfn.IFNA(VLOOKUP(CONCATENATE(AX$4,$C209),'INSER DATA'!$A:$F,7,0),"")</f>
        <v/>
      </c>
      <c r="AY209" s="270" t="str">
        <f>_xlfn.IFNA(VLOOKUP(CONCATENATE(AY$4,$C209),'INSER DATA'!$A:$F,7,0),"")</f>
        <v/>
      </c>
      <c r="AZ209" s="270" t="str">
        <f>_xlfn.IFNA(VLOOKUP(CONCATENATE(AZ$4,$C209),'INSER DATA'!$A:$F,7,0),"")</f>
        <v/>
      </c>
      <c r="BA209" s="270" t="str">
        <f>_xlfn.IFNA(VLOOKUP(CONCATENATE(BA$4,$C209),'INSER DATA'!$A:$F,7,0),"")</f>
        <v/>
      </c>
      <c r="BB209" s="270" t="str">
        <f>_xlfn.IFNA(VLOOKUP(CONCATENATE(BB$4,$C209),'INSER DATA'!$A:$F,7,0),"")</f>
        <v/>
      </c>
      <c r="BC209" s="270" t="str">
        <f>_xlfn.IFNA(VLOOKUP(CONCATENATE(BC$4,$C209),'INSER DATA'!$A:$F,7,0),"")</f>
        <v/>
      </c>
      <c r="BD209" s="270" t="str">
        <f>_xlfn.IFNA(VLOOKUP(CONCATENATE(BD$4,$C209),'INSER DATA'!$A:$F,7,0),"")</f>
        <v/>
      </c>
      <c r="BE209" s="270" t="str">
        <f>_xlfn.IFNA(VLOOKUP(CONCATENATE(BE$4,$C209),'INSER DATA'!$A:$F,7,0),"")</f>
        <v/>
      </c>
      <c r="BF209" s="270" t="str">
        <f>_xlfn.IFNA(VLOOKUP(CONCATENATE(BF$4,$C209),'INSER DATA'!$A:$F,7,0),"")</f>
        <v/>
      </c>
      <c r="BG209" s="270" t="str">
        <f>_xlfn.IFNA(VLOOKUP(CONCATENATE(BG$4,$C209),'INSER DATA'!$A:$F,7,0),"")</f>
        <v/>
      </c>
      <c r="BH209" s="270" t="str">
        <f>_xlfn.IFNA(VLOOKUP(CONCATENATE(BH$4,$C209),'INSER DATA'!$A:$F,7,0),"")</f>
        <v/>
      </c>
      <c r="BI209" s="270" t="str">
        <f>_xlfn.IFNA(VLOOKUP(CONCATENATE(BI$4,$C209),'INSER DATA'!$A:$F,7,0),"")</f>
        <v/>
      </c>
      <c r="BJ209" s="270" t="str">
        <f>_xlfn.IFNA(VLOOKUP(CONCATENATE(BJ$4,$C209),'INSER DATA'!$A:$F,7,0),"")</f>
        <v/>
      </c>
      <c r="BK209" s="270" t="str">
        <f>_xlfn.IFNA(VLOOKUP(CONCATENATE(BK$4,$C209),'INSER DATA'!$A:$F,7,0),"")</f>
        <v/>
      </c>
      <c r="BL209" s="272"/>
    </row>
    <row r="210" spans="1:105" ht="19.2" thickTop="1" thickBot="1" x14ac:dyDescent="0.4">
      <c r="A210" s="30"/>
      <c r="B210" s="30"/>
      <c r="C210" s="354" t="s">
        <v>787</v>
      </c>
      <c r="D210" s="357" t="s">
        <v>777</v>
      </c>
      <c r="E210" s="35" t="str">
        <f>_xlfn.XLOOKUP(Tabella4[[#This Row],[NOME]],'ROSE SQUADRE'!$N$3:$N$253,'ROSE SQUADRE'!$O$3:$O$253,"")</f>
        <v>SESTO ASENSIO</v>
      </c>
      <c r="F210" s="36" t="s">
        <v>162</v>
      </c>
      <c r="G210" s="43">
        <v>5</v>
      </c>
      <c r="H210" s="43">
        <v>5</v>
      </c>
      <c r="I210" s="44">
        <f t="shared" si="19"/>
        <v>0</v>
      </c>
      <c r="J210" s="37">
        <f t="shared" si="20"/>
        <v>3</v>
      </c>
      <c r="K210" s="38">
        <f t="shared" si="21"/>
        <v>6.333333333333333</v>
      </c>
      <c r="L210" s="38">
        <f t="shared" si="22"/>
        <v>7.666666666666667</v>
      </c>
      <c r="M210" s="39">
        <f t="shared" si="23"/>
        <v>23</v>
      </c>
      <c r="N210" s="45">
        <f t="shared" ca="1" si="24"/>
        <v>0</v>
      </c>
      <c r="O210" s="40">
        <f>SUMIF(Tabella1[Nome],Tabella4[[#This Row],[NOME]],Tabella1[Gf])</f>
        <v>1</v>
      </c>
      <c r="P210" s="40">
        <f>-(SUMIF(Tabella1[Nome],Tabella4[[#This Row],[NOME]],Tabella1[Gs]))</f>
        <v>0</v>
      </c>
      <c r="Q210" s="40">
        <f>SUMIF(Tabella1[Nome],Tabella4[[#This Row],[NOME]],Tabella1[Rp])</f>
        <v>0</v>
      </c>
      <c r="R210" s="40">
        <f>SUMIF(Tabella1[Nome],Tabella4[[#This Row],[NOME]],Tabella1[Rs])</f>
        <v>0</v>
      </c>
      <c r="S210" s="40">
        <f>SUMIF(Tabella1[Nome],Tabella4[[#This Row],[NOME]],Tabella1[Rf])</f>
        <v>0</v>
      </c>
      <c r="T210" s="40">
        <f>SUMIF(Tabella1[Nome],Tabella4[[#This Row],[NOME]],Tabella1[Au])</f>
        <v>0</v>
      </c>
      <c r="U210" s="41">
        <f>SUMIF(Tabella1[Nome],Tabella4[[#This Row],[NOME]],Tabella1[Amm])</f>
        <v>0</v>
      </c>
      <c r="V210" s="42">
        <f>SUMIF(Tabella1[Nome],Tabella4[[#This Row],[NOME]],Tabella1[Esp])</f>
        <v>0</v>
      </c>
      <c r="W210" s="40">
        <f>SUMIF(Tabella1[Nome],Tabella4[[#This Row],[NOME]],Tabella1[Ass])</f>
        <v>1</v>
      </c>
      <c r="X210" s="40">
        <f>SUMIF(Tabella1[Nome],Tabella4[[#This Row],[NOME]],Tabella1[Gdv])</f>
        <v>0</v>
      </c>
      <c r="Y210" s="40">
        <f>SUMIF(Tabella1[Nome],Tabella4[[#This Row],[NOME]],Tabella1[cl sh])</f>
        <v>0</v>
      </c>
      <c r="Z210" s="270" t="str">
        <f>_xlfn.IFNA(_xlfn.XLOOKUP(CONCATENATE(Z$4,$C210),Tabella1[CONC X VOTI IN TAB GIOC],Tabella1[Voto],""),"")</f>
        <v/>
      </c>
      <c r="AA210" s="270">
        <f>_xlfn.IFNA(_xlfn.XLOOKUP(CONCATENATE(AA$4,$C210),Tabella1[CONC X VOTI IN TAB GIOC],Tabella1[Voto],""),"")</f>
        <v>7</v>
      </c>
      <c r="AB210" s="270">
        <f>_xlfn.IFNA(_xlfn.XLOOKUP(CONCATENATE(AB$4,$C210),Tabella1[CONC X VOTI IN TAB GIOC],Tabella1[Voto]),"")</f>
        <v>6.5</v>
      </c>
      <c r="AC210" s="270" cm="1">
        <f t="array" ref="AC210">_xlfn.IFNA(_xlfn.XLOOKUP(CONCATENATE(AC$4,$C210),INDEX(Tabella1[],0,MATCH("CONC X VOTI IN TAB GIOC",Tabella1[#Headers],0)),INDEX(Tabella1[],0,MATCH("Voto",Tabella1[#Headers],0))),"")</f>
        <v>5.5</v>
      </c>
      <c r="AD210" s="270" t="str">
        <f>_xlfn.IFNA(_xlfn.XLOOKUP(CONCATENATE(AD$4,$C210),Tabella1[CONC X VOTI IN TAB GIOC],Tabella1[Voto]),"")</f>
        <v/>
      </c>
      <c r="AE210" s="270" t="str">
        <f>_xlfn.IFNA(VLOOKUP(CONCATENATE(AE$4,$C210),'INSER DATA'!$A:$F,6,0),"")</f>
        <v/>
      </c>
      <c r="AF210" s="270" t="str">
        <f>_xlfn.IFNA(VLOOKUP(CONCATENATE(AF$4,$C210),'INSER DATA'!$A:$F,6,0),"")</f>
        <v/>
      </c>
      <c r="AG210" s="270" t="str">
        <f>_xlfn.IFNA(VLOOKUP(CONCATENATE(AG$4,$C210),'INSER DATA'!$A:$F,6,0),"")</f>
        <v/>
      </c>
      <c r="AH210" s="270" t="str">
        <f>_xlfn.IFNA(VLOOKUP(CONCATENATE(AH$4,$C210),'INSER DATA'!$A:$F,7,0),"")</f>
        <v/>
      </c>
      <c r="AI210" s="270" t="str">
        <f>_xlfn.IFNA(VLOOKUP(CONCATENATE(AI$4,$C210),'INSER DATA'!$A:$F,7,0),"")</f>
        <v/>
      </c>
      <c r="AJ210" s="270" t="str">
        <f>_xlfn.IFNA(VLOOKUP(CONCATENATE(AJ$4,$C210),'INSER DATA'!$A:$F,7,0),"")</f>
        <v/>
      </c>
      <c r="AK210" s="270" t="str">
        <f>_xlfn.IFNA(VLOOKUP(CONCATENATE(AK$4,$C210),'INSER DATA'!$A:$F,7,0),"")</f>
        <v/>
      </c>
      <c r="AL210" s="270" t="str">
        <f>_xlfn.IFNA(VLOOKUP(CONCATENATE(AL$4,$C210),'INSER DATA'!$A:$F,7,0),"")</f>
        <v/>
      </c>
      <c r="AM210" s="270" t="str">
        <f>_xlfn.IFNA(VLOOKUP(CONCATENATE(AM$4,$C210),'INSER DATA'!$A:$F,7,0),"")</f>
        <v/>
      </c>
      <c r="AN210" s="270" t="str">
        <f>_xlfn.IFNA(VLOOKUP(CONCATENATE(AN$4,$C210),'INSER DATA'!$A:$F,7,0),"")</f>
        <v/>
      </c>
      <c r="AO210" s="270" t="str">
        <f>_xlfn.IFNA(VLOOKUP(CONCATENATE(AO$4,$C210),'INSER DATA'!$A:$F,7,0),"")</f>
        <v/>
      </c>
      <c r="AP210" s="270" t="str">
        <f>_xlfn.IFNA(VLOOKUP(CONCATENATE(AP$4,$C210),'INSER DATA'!$A:$F,7,0),"")</f>
        <v/>
      </c>
      <c r="AQ210" s="270" t="str">
        <f>_xlfn.IFNA(VLOOKUP(CONCATENATE(AQ$4,$C210),'INSER DATA'!$A:$F,7,0),"")</f>
        <v/>
      </c>
      <c r="AR210" s="270" t="str">
        <f>_xlfn.IFNA(VLOOKUP(CONCATENATE(AR$4,$C210),'INSER DATA'!$A:$F,7,0),"")</f>
        <v/>
      </c>
      <c r="AS210" s="270" t="str">
        <f>_xlfn.IFNA(VLOOKUP(CONCATENATE(AS$4,$C210),'INSER DATA'!$A:$F,7,0),"")</f>
        <v/>
      </c>
      <c r="AT210" s="270" t="str">
        <f>_xlfn.IFNA(VLOOKUP(CONCATENATE(AT$4,$C210),'INSER DATA'!$A:$F,7,0),"")</f>
        <v/>
      </c>
      <c r="AU210" s="270" t="str">
        <f>_xlfn.IFNA(VLOOKUP(CONCATENATE(AU$4,$C210),'INSER DATA'!$A:$F,7,0),"")</f>
        <v/>
      </c>
      <c r="AV210" s="270" t="str">
        <f>_xlfn.IFNA(VLOOKUP(CONCATENATE(AV$4,$C210),'INSER DATA'!$A:$F,7,0),"")</f>
        <v/>
      </c>
      <c r="AW210" s="270" t="str">
        <f>_xlfn.IFNA(VLOOKUP(CONCATENATE(AW$4,$C210),'INSER DATA'!$A:$F,7,0),"")</f>
        <v/>
      </c>
      <c r="AX210" s="270" t="str">
        <f>_xlfn.IFNA(VLOOKUP(CONCATENATE(AX$4,$C210),'INSER DATA'!$A:$F,7,0),"")</f>
        <v/>
      </c>
      <c r="AY210" s="270" t="str">
        <f>_xlfn.IFNA(VLOOKUP(CONCATENATE(AY$4,$C210),'INSER DATA'!$A:$F,7,0),"")</f>
        <v/>
      </c>
      <c r="AZ210" s="270" t="str">
        <f>_xlfn.IFNA(VLOOKUP(CONCATENATE(AZ$4,$C210),'INSER DATA'!$A:$F,7,0),"")</f>
        <v/>
      </c>
      <c r="BA210" s="270" t="str">
        <f>_xlfn.IFNA(VLOOKUP(CONCATENATE(BA$4,$C210),'INSER DATA'!$A:$F,7,0),"")</f>
        <v/>
      </c>
      <c r="BB210" s="270" t="str">
        <f>_xlfn.IFNA(VLOOKUP(CONCATENATE(BB$4,$C210),'INSER DATA'!$A:$F,7,0),"")</f>
        <v/>
      </c>
      <c r="BC210" s="270" t="str">
        <f>_xlfn.IFNA(VLOOKUP(CONCATENATE(BC$4,$C210),'INSER DATA'!$A:$F,7,0),"")</f>
        <v/>
      </c>
      <c r="BD210" s="270" t="str">
        <f>_xlfn.IFNA(VLOOKUP(CONCATENATE(BD$4,$C210),'INSER DATA'!$A:$F,7,0),"")</f>
        <v/>
      </c>
      <c r="BE210" s="270" t="str">
        <f>_xlfn.IFNA(VLOOKUP(CONCATENATE(BE$4,$C210),'INSER DATA'!$A:$F,7,0),"")</f>
        <v/>
      </c>
      <c r="BF210" s="270" t="str">
        <f>_xlfn.IFNA(VLOOKUP(CONCATENATE(BF$4,$C210),'INSER DATA'!$A:$F,7,0),"")</f>
        <v/>
      </c>
      <c r="BG210" s="270" t="str">
        <f>_xlfn.IFNA(VLOOKUP(CONCATENATE(BG$4,$C210),'INSER DATA'!$A:$F,7,0),"")</f>
        <v/>
      </c>
      <c r="BH210" s="270" t="str">
        <f>_xlfn.IFNA(VLOOKUP(CONCATENATE(BH$4,$C210),'INSER DATA'!$A:$F,7,0),"")</f>
        <v/>
      </c>
      <c r="BI210" s="270" t="str">
        <f>_xlfn.IFNA(VLOOKUP(CONCATENATE(BI$4,$C210),'INSER DATA'!$A:$F,7,0),"")</f>
        <v/>
      </c>
      <c r="BJ210" s="270" t="str">
        <f>_xlfn.IFNA(VLOOKUP(CONCATENATE(BJ$4,$C210),'INSER DATA'!$A:$F,7,0),"")</f>
        <v/>
      </c>
      <c r="BK210" s="270" t="str">
        <f>_xlfn.IFNA(VLOOKUP(CONCATENATE(BK$4,$C210),'INSER DATA'!$A:$F,7,0),"")</f>
        <v/>
      </c>
      <c r="BL210" s="272"/>
      <c r="BM210" s="30"/>
      <c r="BN210" s="30"/>
      <c r="BO210" s="30"/>
      <c r="BP210" s="30"/>
      <c r="BQ210" s="30"/>
      <c r="BR210" s="30"/>
      <c r="BS210" s="30"/>
      <c r="BT210" s="30"/>
      <c r="BU210" s="30"/>
      <c r="BV210" s="30"/>
      <c r="BW210" s="30"/>
      <c r="BX210" s="30"/>
      <c r="BY210" s="30"/>
      <c r="BZ210" s="30"/>
      <c r="CA210" s="30"/>
      <c r="CB210" s="30"/>
      <c r="CC210" s="30"/>
      <c r="CD210" s="30"/>
      <c r="CE210" s="30"/>
      <c r="CF210" s="30"/>
      <c r="CG210" s="30"/>
      <c r="CH210" s="30"/>
      <c r="CI210" s="30"/>
      <c r="CJ210" s="30"/>
      <c r="CK210" s="30"/>
      <c r="CL210" s="30"/>
      <c r="CM210" s="30"/>
      <c r="CN210" s="30"/>
      <c r="CO210" s="30"/>
      <c r="CP210" s="30"/>
      <c r="CQ210" s="30"/>
      <c r="CR210" s="30"/>
      <c r="CS210" s="30"/>
      <c r="CT210" s="30"/>
      <c r="CU210" s="30"/>
      <c r="CV210" s="30"/>
      <c r="CW210" s="30"/>
      <c r="CX210" s="30"/>
      <c r="CY210" s="30"/>
      <c r="CZ210" s="30"/>
      <c r="DA210" s="30"/>
    </row>
    <row r="211" spans="1:105" s="184" customFormat="1" ht="19.2" thickTop="1" thickBot="1" x14ac:dyDescent="0.4">
      <c r="C211" s="354" t="s">
        <v>781</v>
      </c>
      <c r="D211" s="355" t="s">
        <v>777</v>
      </c>
      <c r="E211" s="35" t="str">
        <f>_xlfn.XLOOKUP(Tabella4[[#This Row],[NOME]],'ROSE SQUADRE'!$N$3:$N$253,'ROSE SQUADRE'!$O$3:$O$253,"")</f>
        <v>AC ASPARAGHESE</v>
      </c>
      <c r="F211" s="36" t="s">
        <v>161</v>
      </c>
      <c r="G211" s="43">
        <v>13</v>
      </c>
      <c r="H211" s="43">
        <v>13</v>
      </c>
      <c r="I211" s="44">
        <f t="shared" si="19"/>
        <v>0</v>
      </c>
      <c r="J211" s="37">
        <f t="shared" si="20"/>
        <v>4</v>
      </c>
      <c r="K211" s="38">
        <f t="shared" si="21"/>
        <v>6.125</v>
      </c>
      <c r="L211" s="38">
        <f t="shared" si="22"/>
        <v>6.125</v>
      </c>
      <c r="M211" s="39">
        <f t="shared" si="23"/>
        <v>24.5</v>
      </c>
      <c r="N211" s="45">
        <f t="shared" ca="1" si="24"/>
        <v>0</v>
      </c>
      <c r="O211" s="40">
        <f>SUMIF(Tabella1[Nome],Tabella4[[#This Row],[NOME]],Tabella1[Gf])</f>
        <v>0</v>
      </c>
      <c r="P211" s="40">
        <f>-(SUMIF(Tabella1[Nome],Tabella4[[#This Row],[NOME]],Tabella1[Gs]))</f>
        <v>0</v>
      </c>
      <c r="Q211" s="40">
        <f>SUMIF(Tabella1[Nome],Tabella4[[#This Row],[NOME]],Tabella1[Rp])</f>
        <v>0</v>
      </c>
      <c r="R211" s="40">
        <f>SUMIF(Tabella1[Nome],Tabella4[[#This Row],[NOME]],Tabella1[Rs])</f>
        <v>0</v>
      </c>
      <c r="S211" s="40">
        <f>SUMIF(Tabella1[Nome],Tabella4[[#This Row],[NOME]],Tabella1[Rf])</f>
        <v>0</v>
      </c>
      <c r="T211" s="40">
        <f>SUMIF(Tabella1[Nome],Tabella4[[#This Row],[NOME]],Tabella1[Au])</f>
        <v>0</v>
      </c>
      <c r="U211" s="41">
        <f>SUMIF(Tabella1[Nome],Tabella4[[#This Row],[NOME]],Tabella1[Amm])</f>
        <v>0</v>
      </c>
      <c r="V211" s="42">
        <f>SUMIF(Tabella1[Nome],Tabella4[[#This Row],[NOME]],Tabella1[Esp])</f>
        <v>0</v>
      </c>
      <c r="W211" s="40">
        <f>SUMIF(Tabella1[Nome],Tabella4[[#This Row],[NOME]],Tabella1[Ass])</f>
        <v>0</v>
      </c>
      <c r="X211" s="40">
        <f>SUMIF(Tabella1[Nome],Tabella4[[#This Row],[NOME]],Tabella1[Gdv])</f>
        <v>0</v>
      </c>
      <c r="Y211" s="40">
        <f>SUMIF(Tabella1[Nome],Tabella4[[#This Row],[NOME]],Tabella1[cl sh])</f>
        <v>0</v>
      </c>
      <c r="Z211" s="270">
        <f>_xlfn.IFNA(_xlfn.XLOOKUP(CONCATENATE(Z$4,$C211),Tabella1[CONC X VOTI IN TAB GIOC],Tabella1[Voto],""),"")</f>
        <v>6.5</v>
      </c>
      <c r="AA211" s="270">
        <f>_xlfn.IFNA(_xlfn.XLOOKUP(CONCATENATE(AA$4,$C211),Tabella1[CONC X VOTI IN TAB GIOC],Tabella1[Voto],""),"")</f>
        <v>6.5</v>
      </c>
      <c r="AB211" s="270">
        <f>_xlfn.IFNA(_xlfn.XLOOKUP(CONCATENATE(AB$4,$C211),Tabella1[CONC X VOTI IN TAB GIOC],Tabella1[Voto]),"")</f>
        <v>6.5</v>
      </c>
      <c r="AC211" s="270" cm="1">
        <f t="array" ref="AC211">_xlfn.IFNA(_xlfn.XLOOKUP(CONCATENATE(AC$4,$C211),INDEX(Tabella1[],0,MATCH("CONC X VOTI IN TAB GIOC",Tabella1[#Headers],0)),INDEX(Tabella1[],0,MATCH("Voto",Tabella1[#Headers],0))),"")</f>
        <v>5</v>
      </c>
      <c r="AD211" s="270" t="str">
        <f>_xlfn.IFNA(_xlfn.XLOOKUP(CONCATENATE(AD$4,$C211),Tabella1[CONC X VOTI IN TAB GIOC],Tabella1[Voto]),"")</f>
        <v/>
      </c>
      <c r="AE211" s="270" t="str">
        <f>_xlfn.IFNA(VLOOKUP(CONCATENATE(AE$4,$C211),'INSER DATA'!$A:$F,6,0),"")</f>
        <v/>
      </c>
      <c r="AF211" s="270" t="str">
        <f>_xlfn.IFNA(VLOOKUP(CONCATENATE(AF$4,$C211),'INSER DATA'!$A:$F,6,0),"")</f>
        <v/>
      </c>
      <c r="AG211" s="270" t="str">
        <f>_xlfn.IFNA(VLOOKUP(CONCATENATE(AG$4,$C211),'INSER DATA'!$A:$F,6,0),"")</f>
        <v/>
      </c>
      <c r="AH211" s="270" t="str">
        <f>_xlfn.IFNA(VLOOKUP(CONCATENATE(AH$4,$C211),'INSER DATA'!$A:$F,7,0),"")</f>
        <v/>
      </c>
      <c r="AI211" s="270" t="str">
        <f>_xlfn.IFNA(VLOOKUP(CONCATENATE(AI$4,$C211),'INSER DATA'!$A:$F,7,0),"")</f>
        <v/>
      </c>
      <c r="AJ211" s="270" t="str">
        <f>_xlfn.IFNA(VLOOKUP(CONCATENATE(AJ$4,$C211),'INSER DATA'!$A:$F,7,0),"")</f>
        <v/>
      </c>
      <c r="AK211" s="270" t="str">
        <f>_xlfn.IFNA(VLOOKUP(CONCATENATE(AK$4,$C211),'INSER DATA'!$A:$F,7,0),"")</f>
        <v/>
      </c>
      <c r="AL211" s="270" t="str">
        <f>_xlfn.IFNA(VLOOKUP(CONCATENATE(AL$4,$C211),'INSER DATA'!$A:$F,7,0),"")</f>
        <v/>
      </c>
      <c r="AM211" s="270" t="str">
        <f>_xlfn.IFNA(VLOOKUP(CONCATENATE(AM$4,$C211),'INSER DATA'!$A:$F,7,0),"")</f>
        <v/>
      </c>
      <c r="AN211" s="270" t="str">
        <f>_xlfn.IFNA(VLOOKUP(CONCATENATE(AN$4,$C211),'INSER DATA'!$A:$F,7,0),"")</f>
        <v/>
      </c>
      <c r="AO211" s="270" t="str">
        <f>_xlfn.IFNA(VLOOKUP(CONCATENATE(AO$4,$C211),'INSER DATA'!$A:$F,7,0),"")</f>
        <v/>
      </c>
      <c r="AP211" s="270" t="str">
        <f>_xlfn.IFNA(VLOOKUP(CONCATENATE(AP$4,$C211),'INSER DATA'!$A:$F,7,0),"")</f>
        <v/>
      </c>
      <c r="AQ211" s="270" t="str">
        <f>_xlfn.IFNA(VLOOKUP(CONCATENATE(AQ$4,$C211),'INSER DATA'!$A:$F,7,0),"")</f>
        <v/>
      </c>
      <c r="AR211" s="270" t="str">
        <f>_xlfn.IFNA(VLOOKUP(CONCATENATE(AR$4,$C211),'INSER DATA'!$A:$F,7,0),"")</f>
        <v/>
      </c>
      <c r="AS211" s="270" t="str">
        <f>_xlfn.IFNA(VLOOKUP(CONCATENATE(AS$4,$C211),'INSER DATA'!$A:$F,7,0),"")</f>
        <v/>
      </c>
      <c r="AT211" s="270" t="str">
        <f>_xlfn.IFNA(VLOOKUP(CONCATENATE(AT$4,$C211),'INSER DATA'!$A:$F,7,0),"")</f>
        <v/>
      </c>
      <c r="AU211" s="270" t="str">
        <f>_xlfn.IFNA(VLOOKUP(CONCATENATE(AU$4,$C211),'INSER DATA'!$A:$F,7,0),"")</f>
        <v/>
      </c>
      <c r="AV211" s="270" t="str">
        <f>_xlfn.IFNA(VLOOKUP(CONCATENATE(AV$4,$C211),'INSER DATA'!$A:$F,7,0),"")</f>
        <v/>
      </c>
      <c r="AW211" s="270" t="str">
        <f>_xlfn.IFNA(VLOOKUP(CONCATENATE(AW$4,$C211),'INSER DATA'!$A:$F,7,0),"")</f>
        <v/>
      </c>
      <c r="AX211" s="270" t="str">
        <f>_xlfn.IFNA(VLOOKUP(CONCATENATE(AX$4,$C211),'INSER DATA'!$A:$F,7,0),"")</f>
        <v/>
      </c>
      <c r="AY211" s="270" t="str">
        <f>_xlfn.IFNA(VLOOKUP(CONCATENATE(AY$4,$C211),'INSER DATA'!$A:$F,7,0),"")</f>
        <v/>
      </c>
      <c r="AZ211" s="270" t="str">
        <f>_xlfn.IFNA(VLOOKUP(CONCATENATE(AZ$4,$C211),'INSER DATA'!$A:$F,7,0),"")</f>
        <v/>
      </c>
      <c r="BA211" s="270" t="str">
        <f>_xlfn.IFNA(VLOOKUP(CONCATENATE(BA$4,$C211),'INSER DATA'!$A:$F,7,0),"")</f>
        <v/>
      </c>
      <c r="BB211" s="270" t="str">
        <f>_xlfn.IFNA(VLOOKUP(CONCATENATE(BB$4,$C211),'INSER DATA'!$A:$F,7,0),"")</f>
        <v/>
      </c>
      <c r="BC211" s="270" t="str">
        <f>_xlfn.IFNA(VLOOKUP(CONCATENATE(BC$4,$C211),'INSER DATA'!$A:$F,7,0),"")</f>
        <v/>
      </c>
      <c r="BD211" s="270" t="str">
        <f>_xlfn.IFNA(VLOOKUP(CONCATENATE(BD$4,$C211),'INSER DATA'!$A:$F,7,0),"")</f>
        <v/>
      </c>
      <c r="BE211" s="270" t="str">
        <f>_xlfn.IFNA(VLOOKUP(CONCATENATE(BE$4,$C211),'INSER DATA'!$A:$F,7,0),"")</f>
        <v/>
      </c>
      <c r="BF211" s="270" t="str">
        <f>_xlfn.IFNA(VLOOKUP(CONCATENATE(BF$4,$C211),'INSER DATA'!$A:$F,7,0),"")</f>
        <v/>
      </c>
      <c r="BG211" s="270" t="str">
        <f>_xlfn.IFNA(VLOOKUP(CONCATENATE(BG$4,$C211),'INSER DATA'!$A:$F,7,0),"")</f>
        <v/>
      </c>
      <c r="BH211" s="270" t="str">
        <f>_xlfn.IFNA(VLOOKUP(CONCATENATE(BH$4,$C211),'INSER DATA'!$A:$F,7,0),"")</f>
        <v/>
      </c>
      <c r="BI211" s="270" t="str">
        <f>_xlfn.IFNA(VLOOKUP(CONCATENATE(BI$4,$C211),'INSER DATA'!$A:$F,7,0),"")</f>
        <v/>
      </c>
      <c r="BJ211" s="270" t="str">
        <f>_xlfn.IFNA(VLOOKUP(CONCATENATE(BJ$4,$C211),'INSER DATA'!$A:$F,7,0),"")</f>
        <v/>
      </c>
      <c r="BK211" s="270" t="str">
        <f>_xlfn.IFNA(VLOOKUP(CONCATENATE(BK$4,$C211),'INSER DATA'!$A:$F,7,0),"")</f>
        <v/>
      </c>
      <c r="BL211" s="272"/>
    </row>
    <row r="212" spans="1:105" ht="19.2" thickTop="1" thickBot="1" x14ac:dyDescent="0.4">
      <c r="A212" s="30"/>
      <c r="B212" s="30"/>
      <c r="C212" s="354" t="s">
        <v>786</v>
      </c>
      <c r="D212" s="357" t="s">
        <v>777</v>
      </c>
      <c r="E212" s="35" t="str">
        <f>_xlfn.XLOOKUP(Tabella4[[#This Row],[NOME]],'ROSE SQUADRE'!$N$3:$N$253,'ROSE SQUADRE'!$O$3:$O$253,"")</f>
        <v>SAN GRIA</v>
      </c>
      <c r="F212" s="36" t="s">
        <v>162</v>
      </c>
      <c r="G212" s="43">
        <v>12</v>
      </c>
      <c r="H212" s="43">
        <v>12</v>
      </c>
      <c r="I212" s="44">
        <f t="shared" si="19"/>
        <v>0</v>
      </c>
      <c r="J212" s="37">
        <f t="shared" si="20"/>
        <v>4</v>
      </c>
      <c r="K212" s="38">
        <f t="shared" si="21"/>
        <v>6.25</v>
      </c>
      <c r="L212" s="38">
        <f t="shared" si="22"/>
        <v>6.5</v>
      </c>
      <c r="M212" s="39">
        <f t="shared" si="23"/>
        <v>26</v>
      </c>
      <c r="N212" s="45">
        <f t="shared" ca="1" si="24"/>
        <v>1</v>
      </c>
      <c r="O212" s="40">
        <f>SUMIF(Tabella1[Nome],Tabella4[[#This Row],[NOME]],Tabella1[Gf])</f>
        <v>0</v>
      </c>
      <c r="P212" s="40">
        <f>-(SUMIF(Tabella1[Nome],Tabella4[[#This Row],[NOME]],Tabella1[Gs]))</f>
        <v>0</v>
      </c>
      <c r="Q212" s="40">
        <f>SUMIF(Tabella1[Nome],Tabella4[[#This Row],[NOME]],Tabella1[Rp])</f>
        <v>0</v>
      </c>
      <c r="R212" s="40">
        <f>SUMIF(Tabella1[Nome],Tabella4[[#This Row],[NOME]],Tabella1[Rs])</f>
        <v>0</v>
      </c>
      <c r="S212" s="40">
        <f>SUMIF(Tabella1[Nome],Tabella4[[#This Row],[NOME]],Tabella1[Rf])</f>
        <v>0</v>
      </c>
      <c r="T212" s="40">
        <f>SUMIF(Tabella1[Nome],Tabella4[[#This Row],[NOME]],Tabella1[Au])</f>
        <v>0</v>
      </c>
      <c r="U212" s="41">
        <f>SUMIF(Tabella1[Nome],Tabella4[[#This Row],[NOME]],Tabella1[Amm])</f>
        <v>0</v>
      </c>
      <c r="V212" s="42">
        <f>SUMIF(Tabella1[Nome],Tabella4[[#This Row],[NOME]],Tabella1[Esp])</f>
        <v>0</v>
      </c>
      <c r="W212" s="40">
        <f>SUMIF(Tabella1[Nome],Tabella4[[#This Row],[NOME]],Tabella1[Ass])</f>
        <v>1</v>
      </c>
      <c r="X212" s="40">
        <f>SUMIF(Tabella1[Nome],Tabella4[[#This Row],[NOME]],Tabella1[Gdv])</f>
        <v>0</v>
      </c>
      <c r="Y212" s="40">
        <f>SUMIF(Tabella1[Nome],Tabella4[[#This Row],[NOME]],Tabella1[cl sh])</f>
        <v>0</v>
      </c>
      <c r="Z212" s="270">
        <f>_xlfn.IFNA(_xlfn.XLOOKUP(CONCATENATE(Z$4,$C212),Tabella1[CONC X VOTI IN TAB GIOC],Tabella1[Voto],""),"")</f>
        <v>6.5</v>
      </c>
      <c r="AA212" s="270">
        <f>_xlfn.IFNA(_xlfn.XLOOKUP(CONCATENATE(AA$4,$C212),Tabella1[CONC X VOTI IN TAB GIOC],Tabella1[Voto],""),"")</f>
        <v>6.5</v>
      </c>
      <c r="AB212" s="400">
        <f>_xlfn.IFNA(_xlfn.XLOOKUP(CONCATENATE(AB$4,$C212),Tabella1[CONC X VOTI IN TAB GIOC],Tabella1[Voto]),"")</f>
        <v>6.5</v>
      </c>
      <c r="AC212" s="270" cm="1">
        <f t="array" ref="AC212">_xlfn.IFNA(_xlfn.XLOOKUP(CONCATENATE(AC$4,$C212),INDEX(Tabella1[],0,MATCH("CONC X VOTI IN TAB GIOC",Tabella1[#Headers],0)),INDEX(Tabella1[],0,MATCH("Voto",Tabella1[#Headers],0))),"")</f>
        <v>5.5</v>
      </c>
      <c r="AD212" s="270" t="str">
        <f>_xlfn.IFNA(_xlfn.XLOOKUP(CONCATENATE(AD$4,$C212),Tabella1[CONC X VOTI IN TAB GIOC],Tabella1[Voto]),"")</f>
        <v/>
      </c>
      <c r="AE212" s="270" t="str">
        <f>_xlfn.IFNA(VLOOKUP(CONCATENATE(AE$4,$C212),'INSER DATA'!$A:$F,6,0),"")</f>
        <v/>
      </c>
      <c r="AF212" s="270" t="str">
        <f>_xlfn.IFNA(VLOOKUP(CONCATENATE(AF$4,$C212),'INSER DATA'!$A:$F,6,0),"")</f>
        <v/>
      </c>
      <c r="AG212" s="270" t="str">
        <f>_xlfn.IFNA(VLOOKUP(CONCATENATE(AG$4,$C212),'INSER DATA'!$A:$F,6,0),"")</f>
        <v/>
      </c>
      <c r="AH212" s="270" t="str">
        <f>_xlfn.IFNA(VLOOKUP(CONCATENATE(AH$4,$C212),'INSER DATA'!$A:$F,7,0),"")</f>
        <v/>
      </c>
      <c r="AI212" s="270" t="str">
        <f>_xlfn.IFNA(VLOOKUP(CONCATENATE(AI$4,$C212),'INSER DATA'!$A:$F,7,0),"")</f>
        <v/>
      </c>
      <c r="AJ212" s="270" t="str">
        <f>_xlfn.IFNA(VLOOKUP(CONCATENATE(AJ$4,$C212),'INSER DATA'!$A:$F,7,0),"")</f>
        <v/>
      </c>
      <c r="AK212" s="270" t="str">
        <f>_xlfn.IFNA(VLOOKUP(CONCATENATE(AK$4,$C212),'INSER DATA'!$A:$F,7,0),"")</f>
        <v/>
      </c>
      <c r="AL212" s="270" t="str">
        <f>_xlfn.IFNA(VLOOKUP(CONCATENATE(AL$4,$C212),'INSER DATA'!$A:$F,7,0),"")</f>
        <v/>
      </c>
      <c r="AM212" s="270" t="str">
        <f>_xlfn.IFNA(VLOOKUP(CONCATENATE(AM$4,$C212),'INSER DATA'!$A:$F,7,0),"")</f>
        <v/>
      </c>
      <c r="AN212" s="270" t="str">
        <f>_xlfn.IFNA(VLOOKUP(CONCATENATE(AN$4,$C212),'INSER DATA'!$A:$F,7,0),"")</f>
        <v/>
      </c>
      <c r="AO212" s="270" t="str">
        <f>_xlfn.IFNA(VLOOKUP(CONCATENATE(AO$4,$C212),'INSER DATA'!$A:$F,7,0),"")</f>
        <v/>
      </c>
      <c r="AP212" s="270" t="str">
        <f>_xlfn.IFNA(VLOOKUP(CONCATENATE(AP$4,$C212),'INSER DATA'!$A:$F,7,0),"")</f>
        <v/>
      </c>
      <c r="AQ212" s="270" t="str">
        <f>_xlfn.IFNA(VLOOKUP(CONCATENATE(AQ$4,$C212),'INSER DATA'!$A:$F,7,0),"")</f>
        <v/>
      </c>
      <c r="AR212" s="270" t="str">
        <f>_xlfn.IFNA(VLOOKUP(CONCATENATE(AR$4,$C212),'INSER DATA'!$A:$F,7,0),"")</f>
        <v/>
      </c>
      <c r="AS212" s="270" t="str">
        <f>_xlfn.IFNA(VLOOKUP(CONCATENATE(AS$4,$C212),'INSER DATA'!$A:$F,7,0),"")</f>
        <v/>
      </c>
      <c r="AT212" s="270" t="str">
        <f>_xlfn.IFNA(VLOOKUP(CONCATENATE(AT$4,$C212),'INSER DATA'!$A:$F,7,0),"")</f>
        <v/>
      </c>
      <c r="AU212" s="270" t="str">
        <f>_xlfn.IFNA(VLOOKUP(CONCATENATE(AU$4,$C212),'INSER DATA'!$A:$F,7,0),"")</f>
        <v/>
      </c>
      <c r="AV212" s="270" t="str">
        <f>_xlfn.IFNA(VLOOKUP(CONCATENATE(AV$4,$C212),'INSER DATA'!$A:$F,7,0),"")</f>
        <v/>
      </c>
      <c r="AW212" s="270" t="str">
        <f>_xlfn.IFNA(VLOOKUP(CONCATENATE(AW$4,$C212),'INSER DATA'!$A:$F,7,0),"")</f>
        <v/>
      </c>
      <c r="AX212" s="270" t="str">
        <f>_xlfn.IFNA(VLOOKUP(CONCATENATE(AX$4,$C212),'INSER DATA'!$A:$F,7,0),"")</f>
        <v/>
      </c>
      <c r="AY212" s="270" t="str">
        <f>_xlfn.IFNA(VLOOKUP(CONCATENATE(AY$4,$C212),'INSER DATA'!$A:$F,7,0),"")</f>
        <v/>
      </c>
      <c r="AZ212" s="270" t="str">
        <f>_xlfn.IFNA(VLOOKUP(CONCATENATE(AZ$4,$C212),'INSER DATA'!$A:$F,7,0),"")</f>
        <v/>
      </c>
      <c r="BA212" s="270" t="str">
        <f>_xlfn.IFNA(VLOOKUP(CONCATENATE(BA$4,$C212),'INSER DATA'!$A:$F,7,0),"")</f>
        <v/>
      </c>
      <c r="BB212" s="270" t="str">
        <f>_xlfn.IFNA(VLOOKUP(CONCATENATE(BB$4,$C212),'INSER DATA'!$A:$F,7,0),"")</f>
        <v/>
      </c>
      <c r="BC212" s="270" t="str">
        <f>_xlfn.IFNA(VLOOKUP(CONCATENATE(BC$4,$C212),'INSER DATA'!$A:$F,7,0),"")</f>
        <v/>
      </c>
      <c r="BD212" s="270" t="str">
        <f>_xlfn.IFNA(VLOOKUP(CONCATENATE(BD$4,$C212),'INSER DATA'!$A:$F,7,0),"")</f>
        <v/>
      </c>
      <c r="BE212" s="270" t="str">
        <f>_xlfn.IFNA(VLOOKUP(CONCATENATE(BE$4,$C212),'INSER DATA'!$A:$F,7,0),"")</f>
        <v/>
      </c>
      <c r="BF212" s="270" t="str">
        <f>_xlfn.IFNA(VLOOKUP(CONCATENATE(BF$4,$C212),'INSER DATA'!$A:$F,7,0),"")</f>
        <v/>
      </c>
      <c r="BG212" s="270" t="str">
        <f>_xlfn.IFNA(VLOOKUP(CONCATENATE(BG$4,$C212),'INSER DATA'!$A:$F,7,0),"")</f>
        <v/>
      </c>
      <c r="BH212" s="270" t="str">
        <f>_xlfn.IFNA(VLOOKUP(CONCATENATE(BH$4,$C212),'INSER DATA'!$A:$F,7,0),"")</f>
        <v/>
      </c>
      <c r="BI212" s="270" t="str">
        <f>_xlfn.IFNA(VLOOKUP(CONCATENATE(BI$4,$C212),'INSER DATA'!$A:$F,7,0),"")</f>
        <v/>
      </c>
      <c r="BJ212" s="270" t="str">
        <f>_xlfn.IFNA(VLOOKUP(CONCATENATE(BJ$4,$C212),'INSER DATA'!$A:$F,7,0),"")</f>
        <v/>
      </c>
      <c r="BK212" s="270" t="str">
        <f>_xlfn.IFNA(VLOOKUP(CONCATENATE(BK$4,$C212),'INSER DATA'!$A:$F,7,0),"")</f>
        <v/>
      </c>
      <c r="BL212" s="272"/>
      <c r="BM212" s="30"/>
      <c r="BN212" s="30"/>
      <c r="BO212" s="30"/>
      <c r="BP212" s="30"/>
      <c r="BQ212" s="30"/>
      <c r="BR212" s="30"/>
      <c r="BS212" s="30"/>
      <c r="BT212" s="30"/>
      <c r="BU212" s="30"/>
      <c r="BV212" s="30"/>
      <c r="BW212" s="30"/>
      <c r="BX212" s="30"/>
      <c r="BY212" s="30"/>
      <c r="BZ212" s="30"/>
      <c r="CA212" s="30"/>
      <c r="CB212" s="30"/>
      <c r="CC212" s="30"/>
      <c r="CD212" s="30"/>
      <c r="CE212" s="30"/>
      <c r="CF212" s="30"/>
      <c r="CG212" s="30"/>
      <c r="CH212" s="30"/>
      <c r="CI212" s="30"/>
      <c r="CJ212" s="30"/>
      <c r="CK212" s="30"/>
      <c r="CL212" s="30"/>
      <c r="CM212" s="30"/>
      <c r="CN212" s="30"/>
      <c r="CO212" s="30"/>
      <c r="CP212" s="30"/>
      <c r="CQ212" s="30"/>
      <c r="CR212" s="30"/>
      <c r="CS212" s="30"/>
      <c r="CT212" s="30"/>
      <c r="CU212" s="30"/>
      <c r="CV212" s="30"/>
      <c r="CW212" s="30"/>
      <c r="CX212" s="30"/>
      <c r="CY212" s="30"/>
      <c r="CZ212" s="30"/>
      <c r="DA212" s="30"/>
    </row>
    <row r="213" spans="1:105" ht="19.2" thickTop="1" thickBot="1" x14ac:dyDescent="0.4">
      <c r="A213" s="30"/>
      <c r="B213" s="30"/>
      <c r="C213" s="356" t="s">
        <v>263</v>
      </c>
      <c r="D213" s="357" t="s">
        <v>777</v>
      </c>
      <c r="E213" s="35" t="str">
        <f>_xlfn.XLOOKUP(Tabella4[[#This Row],[NOME]],'ROSE SQUADRE'!$N$3:$N$253,'ROSE SQUADRE'!$O$3:$O$253,"")</f>
        <v>ATL. IMPROVVISATO</v>
      </c>
      <c r="F213" s="36" t="s">
        <v>162</v>
      </c>
      <c r="G213" s="43">
        <v>8</v>
      </c>
      <c r="H213" s="43">
        <v>8</v>
      </c>
      <c r="I213" s="44">
        <f t="shared" si="19"/>
        <v>0</v>
      </c>
      <c r="J213" s="37">
        <f t="shared" si="20"/>
        <v>3</v>
      </c>
      <c r="K213" s="38">
        <f t="shared" si="21"/>
        <v>6.166666666666667</v>
      </c>
      <c r="L213" s="38">
        <f t="shared" si="22"/>
        <v>6.333333333333333</v>
      </c>
      <c r="M213" s="39">
        <f t="shared" si="23"/>
        <v>19</v>
      </c>
      <c r="N213" s="45">
        <f t="shared" ca="1" si="24"/>
        <v>0</v>
      </c>
      <c r="O213" s="40">
        <f>SUMIF(Tabella1[Nome],Tabella4[[#This Row],[NOME]],Tabella1[Gf])</f>
        <v>0</v>
      </c>
      <c r="P213" s="40">
        <f>-(SUMIF(Tabella1[Nome],Tabella4[[#This Row],[NOME]],Tabella1[Gs]))</f>
        <v>0</v>
      </c>
      <c r="Q213" s="40">
        <f>SUMIF(Tabella1[Nome],Tabella4[[#This Row],[NOME]],Tabella1[Rp])</f>
        <v>0</v>
      </c>
      <c r="R213" s="40">
        <f>SUMIF(Tabella1[Nome],Tabella4[[#This Row],[NOME]],Tabella1[Rs])</f>
        <v>0</v>
      </c>
      <c r="S213" s="40">
        <f>SUMIF(Tabella1[Nome],Tabella4[[#This Row],[NOME]],Tabella1[Rf])</f>
        <v>0</v>
      </c>
      <c r="T213" s="40">
        <f>SUMIF(Tabella1[Nome],Tabella4[[#This Row],[NOME]],Tabella1[Au])</f>
        <v>0</v>
      </c>
      <c r="U213" s="41">
        <f>SUMIF(Tabella1[Nome],Tabella4[[#This Row],[NOME]],Tabella1[Amm])</f>
        <v>1</v>
      </c>
      <c r="V213" s="42">
        <f>SUMIF(Tabella1[Nome],Tabella4[[#This Row],[NOME]],Tabella1[Esp])</f>
        <v>0</v>
      </c>
      <c r="W213" s="40">
        <f>SUMIF(Tabella1[Nome],Tabella4[[#This Row],[NOME]],Tabella1[Ass])</f>
        <v>1</v>
      </c>
      <c r="X213" s="40">
        <f>SUMIF(Tabella1[Nome],Tabella4[[#This Row],[NOME]],Tabella1[Gdv])</f>
        <v>0</v>
      </c>
      <c r="Y213" s="40">
        <f>SUMIF(Tabella1[Nome],Tabella4[[#This Row],[NOME]],Tabella1[cl sh])</f>
        <v>0</v>
      </c>
      <c r="Z213" s="270">
        <f>_xlfn.IFNA(_xlfn.XLOOKUP(CONCATENATE(Z$4,$C213),Tabella1[CONC X VOTI IN TAB GIOC],Tabella1[Voto],""),"")</f>
        <v>6</v>
      </c>
      <c r="AA213" s="270">
        <f>_xlfn.IFNA(_xlfn.XLOOKUP(CONCATENATE(AA$4,$C213),Tabella1[CONC X VOTI IN TAB GIOC],Tabella1[Voto],""),"")</f>
        <v>7</v>
      </c>
      <c r="AB213" s="270">
        <f>_xlfn.IFNA(_xlfn.XLOOKUP(CONCATENATE(AB$4,$C213),Tabella1[CONC X VOTI IN TAB GIOC],Tabella1[Voto]),"")</f>
        <v>5.5</v>
      </c>
      <c r="AC213" s="270" t="str" cm="1">
        <f t="array" ref="AC213">_xlfn.IFNA(_xlfn.XLOOKUP(CONCATENATE(AC$4,$C213),INDEX(Tabella1[],0,MATCH("CONC X VOTI IN TAB GIOC",Tabella1[#Headers],0)),INDEX(Tabella1[],0,MATCH("Voto",Tabella1[#Headers],0))),"")</f>
        <v/>
      </c>
      <c r="AD213" s="270" t="str">
        <f>_xlfn.IFNA(_xlfn.XLOOKUP(CONCATENATE(AD$4,$C213),Tabella1[CONC X VOTI IN TAB GIOC],Tabella1[Voto]),"")</f>
        <v/>
      </c>
      <c r="AE213" s="270" t="str">
        <f>_xlfn.IFNA(VLOOKUP(CONCATENATE(AE$4,$C213),'INSER DATA'!$A:$F,6,0),"")</f>
        <v/>
      </c>
      <c r="AF213" s="270" t="str">
        <f>_xlfn.IFNA(VLOOKUP(CONCATENATE(AF$4,$C213),'INSER DATA'!$A:$F,6,0),"")</f>
        <v/>
      </c>
      <c r="AG213" s="270" t="str">
        <f>_xlfn.IFNA(VLOOKUP(CONCATENATE(AG$4,$C213),'INSER DATA'!$A:$F,6,0),"")</f>
        <v/>
      </c>
      <c r="AH213" s="270" t="str">
        <f>_xlfn.IFNA(VLOOKUP(CONCATENATE(AH$4,$C213),'INSER DATA'!$A:$F,7,0),"")</f>
        <v/>
      </c>
      <c r="AI213" s="270" t="str">
        <f>_xlfn.IFNA(VLOOKUP(CONCATENATE(AI$4,$C213),'INSER DATA'!$A:$F,7,0),"")</f>
        <v/>
      </c>
      <c r="AJ213" s="270" t="str">
        <f>_xlfn.IFNA(VLOOKUP(CONCATENATE(AJ$4,$C213),'INSER DATA'!$A:$F,7,0),"")</f>
        <v/>
      </c>
      <c r="AK213" s="270" t="str">
        <f>_xlfn.IFNA(VLOOKUP(CONCATENATE(AK$4,$C213),'INSER DATA'!$A:$F,7,0),"")</f>
        <v/>
      </c>
      <c r="AL213" s="270" t="str">
        <f>_xlfn.IFNA(VLOOKUP(CONCATENATE(AL$4,$C213),'INSER DATA'!$A:$F,7,0),"")</f>
        <v/>
      </c>
      <c r="AM213" s="270" t="str">
        <f>_xlfn.IFNA(VLOOKUP(CONCATENATE(AM$4,$C213),'INSER DATA'!$A:$F,7,0),"")</f>
        <v/>
      </c>
      <c r="AN213" s="270" t="str">
        <f>_xlfn.IFNA(VLOOKUP(CONCATENATE(AN$4,$C213),'INSER DATA'!$A:$F,7,0),"")</f>
        <v/>
      </c>
      <c r="AO213" s="270" t="str">
        <f>_xlfn.IFNA(VLOOKUP(CONCATENATE(AO$4,$C213),'INSER DATA'!$A:$F,7,0),"")</f>
        <v/>
      </c>
      <c r="AP213" s="270" t="str">
        <f>_xlfn.IFNA(VLOOKUP(CONCATENATE(AP$4,$C213),'INSER DATA'!$A:$F,7,0),"")</f>
        <v/>
      </c>
      <c r="AQ213" s="270" t="str">
        <f>_xlfn.IFNA(VLOOKUP(CONCATENATE(AQ$4,$C213),'INSER DATA'!$A:$F,7,0),"")</f>
        <v/>
      </c>
      <c r="AR213" s="270" t="str">
        <f>_xlfn.IFNA(VLOOKUP(CONCATENATE(AR$4,$C213),'INSER DATA'!$A:$F,7,0),"")</f>
        <v/>
      </c>
      <c r="AS213" s="270" t="str">
        <f>_xlfn.IFNA(VLOOKUP(CONCATENATE(AS$4,$C213),'INSER DATA'!$A:$F,7,0),"")</f>
        <v/>
      </c>
      <c r="AT213" s="270" t="str">
        <f>_xlfn.IFNA(VLOOKUP(CONCATENATE(AT$4,$C213),'INSER DATA'!$A:$F,7,0),"")</f>
        <v/>
      </c>
      <c r="AU213" s="270" t="str">
        <f>_xlfn.IFNA(VLOOKUP(CONCATENATE(AU$4,$C213),'INSER DATA'!$A:$F,7,0),"")</f>
        <v/>
      </c>
      <c r="AV213" s="270" t="str">
        <f>_xlfn.IFNA(VLOOKUP(CONCATENATE(AV$4,$C213),'INSER DATA'!$A:$F,7,0),"")</f>
        <v/>
      </c>
      <c r="AW213" s="270" t="str">
        <f>_xlfn.IFNA(VLOOKUP(CONCATENATE(AW$4,$C213),'INSER DATA'!$A:$F,7,0),"")</f>
        <v/>
      </c>
      <c r="AX213" s="270" t="str">
        <f>_xlfn.IFNA(VLOOKUP(CONCATENATE(AX$4,$C213),'INSER DATA'!$A:$F,7,0),"")</f>
        <v/>
      </c>
      <c r="AY213" s="270" t="str">
        <f>_xlfn.IFNA(VLOOKUP(CONCATENATE(AY$4,$C213),'INSER DATA'!$A:$F,7,0),"")</f>
        <v/>
      </c>
      <c r="AZ213" s="270" t="str">
        <f>_xlfn.IFNA(VLOOKUP(CONCATENATE(AZ$4,$C213),'INSER DATA'!$A:$F,7,0),"")</f>
        <v/>
      </c>
      <c r="BA213" s="270" t="str">
        <f>_xlfn.IFNA(VLOOKUP(CONCATENATE(BA$4,$C213),'INSER DATA'!$A:$F,7,0),"")</f>
        <v/>
      </c>
      <c r="BB213" s="270" t="str">
        <f>_xlfn.IFNA(VLOOKUP(CONCATENATE(BB$4,$C213),'INSER DATA'!$A:$F,7,0),"")</f>
        <v/>
      </c>
      <c r="BC213" s="270" t="str">
        <f>_xlfn.IFNA(VLOOKUP(CONCATENATE(BC$4,$C213),'INSER DATA'!$A:$F,7,0),"")</f>
        <v/>
      </c>
      <c r="BD213" s="270" t="str">
        <f>_xlfn.IFNA(VLOOKUP(CONCATENATE(BD$4,$C213),'INSER DATA'!$A:$F,7,0),"")</f>
        <v/>
      </c>
      <c r="BE213" s="270" t="str">
        <f>_xlfn.IFNA(VLOOKUP(CONCATENATE(BE$4,$C213),'INSER DATA'!$A:$F,7,0),"")</f>
        <v/>
      </c>
      <c r="BF213" s="270" t="str">
        <f>_xlfn.IFNA(VLOOKUP(CONCATENATE(BF$4,$C213),'INSER DATA'!$A:$F,7,0),"")</f>
        <v/>
      </c>
      <c r="BG213" s="270" t="str">
        <f>_xlfn.IFNA(VLOOKUP(CONCATENATE(BG$4,$C213),'INSER DATA'!$A:$F,7,0),"")</f>
        <v/>
      </c>
      <c r="BH213" s="270" t="str">
        <f>_xlfn.IFNA(VLOOKUP(CONCATENATE(BH$4,$C213),'INSER DATA'!$A:$F,7,0),"")</f>
        <v/>
      </c>
      <c r="BI213" s="270" t="str">
        <f>_xlfn.IFNA(VLOOKUP(CONCATENATE(BI$4,$C213),'INSER DATA'!$A:$F,7,0),"")</f>
        <v/>
      </c>
      <c r="BJ213" s="270" t="str">
        <f>_xlfn.IFNA(VLOOKUP(CONCATENATE(BJ$4,$C213),'INSER DATA'!$A:$F,7,0),"")</f>
        <v/>
      </c>
      <c r="BK213" s="270" t="str">
        <f>_xlfn.IFNA(VLOOKUP(CONCATENATE(BK$4,$C213),'INSER DATA'!$A:$F,7,0),"")</f>
        <v/>
      </c>
      <c r="BL213" s="272"/>
      <c r="BM213" s="30"/>
      <c r="BN213" s="30"/>
      <c r="BO213" s="30"/>
      <c r="BP213" s="30"/>
      <c r="BQ213" s="30"/>
      <c r="BR213" s="30"/>
      <c r="BS213" s="30"/>
      <c r="BT213" s="30"/>
      <c r="BU213" s="30"/>
      <c r="BV213" s="30"/>
      <c r="BW213" s="30"/>
      <c r="BX213" s="30"/>
      <c r="BY213" s="30"/>
      <c r="BZ213" s="30"/>
      <c r="CA213" s="30"/>
      <c r="CB213" s="30"/>
      <c r="CC213" s="30"/>
      <c r="CD213" s="30"/>
      <c r="CE213" s="30"/>
      <c r="CF213" s="30"/>
      <c r="CG213" s="30"/>
      <c r="CH213" s="30"/>
      <c r="CI213" s="30"/>
      <c r="CJ213" s="30"/>
      <c r="CK213" s="30"/>
      <c r="CL213" s="30"/>
      <c r="CM213" s="30"/>
      <c r="CN213" s="30"/>
      <c r="CO213" s="30"/>
      <c r="CP213" s="30"/>
      <c r="CQ213" s="30"/>
      <c r="CR213" s="30"/>
      <c r="CS213" s="30"/>
      <c r="CT213" s="30"/>
      <c r="CU213" s="30"/>
      <c r="CV213" s="30"/>
      <c r="CW213" s="30"/>
      <c r="CX213" s="30"/>
      <c r="CY213" s="30"/>
      <c r="CZ213" s="30"/>
      <c r="DA213" s="30"/>
    </row>
    <row r="214" spans="1:105" ht="19.2" thickTop="1" thickBot="1" x14ac:dyDescent="0.4">
      <c r="A214" s="30"/>
      <c r="B214" s="30"/>
      <c r="C214" s="358" t="s">
        <v>780</v>
      </c>
      <c r="D214" s="361" t="s">
        <v>777</v>
      </c>
      <c r="E214" s="35" t="str">
        <f>_xlfn.XLOOKUP(Tabella4[[#This Row],[NOME]],'ROSE SQUADRE'!$N$3:$N$253,'ROSE SQUADRE'!$O$3:$O$253,"")</f>
        <v>TRICCHETRACHT</v>
      </c>
      <c r="F214" s="36" t="s">
        <v>5</v>
      </c>
      <c r="G214" s="43">
        <v>16</v>
      </c>
      <c r="H214" s="43">
        <v>16</v>
      </c>
      <c r="I214" s="44">
        <f t="shared" si="19"/>
        <v>0</v>
      </c>
      <c r="J214" s="37">
        <f t="shared" si="20"/>
        <v>4</v>
      </c>
      <c r="K214" s="38">
        <f t="shared" si="21"/>
        <v>6.125</v>
      </c>
      <c r="L214" s="38">
        <f t="shared" si="22"/>
        <v>5.625</v>
      </c>
      <c r="M214" s="39">
        <f t="shared" si="23"/>
        <v>22.5</v>
      </c>
      <c r="N214" s="45">
        <f t="shared" ca="1" si="24"/>
        <v>0</v>
      </c>
      <c r="O214" s="40">
        <f>SUMIF(Tabella1[Nome],Tabella4[[#This Row],[NOME]],Tabella1[Gf])</f>
        <v>0</v>
      </c>
      <c r="P214" s="40">
        <f>-(SUMIF(Tabella1[Nome],Tabella4[[#This Row],[NOME]],Tabella1[Gs]))</f>
        <v>-4</v>
      </c>
      <c r="Q214" s="40">
        <f>SUMIF(Tabella1[Nome],Tabella4[[#This Row],[NOME]],Tabella1[Rp])</f>
        <v>0</v>
      </c>
      <c r="R214" s="40">
        <f>SUMIF(Tabella1[Nome],Tabella4[[#This Row],[NOME]],Tabella1[Rs])</f>
        <v>0</v>
      </c>
      <c r="S214" s="40">
        <f>SUMIF(Tabella1[Nome],Tabella4[[#This Row],[NOME]],Tabella1[Rf])</f>
        <v>0</v>
      </c>
      <c r="T214" s="40">
        <f>SUMIF(Tabella1[Nome],Tabella4[[#This Row],[NOME]],Tabella1[Au])</f>
        <v>0</v>
      </c>
      <c r="U214" s="41">
        <f>SUMIF(Tabella1[Nome],Tabella4[[#This Row],[NOME]],Tabella1[Amm])</f>
        <v>0</v>
      </c>
      <c r="V214" s="42">
        <f>SUMIF(Tabella1[Nome],Tabella4[[#This Row],[NOME]],Tabella1[Esp])</f>
        <v>0</v>
      </c>
      <c r="W214" s="40">
        <f>SUMIF(Tabella1[Nome],Tabella4[[#This Row],[NOME]],Tabella1[Ass])</f>
        <v>0</v>
      </c>
      <c r="X214" s="40">
        <f>SUMIF(Tabella1[Nome],Tabella4[[#This Row],[NOME]],Tabella1[Gdv])</f>
        <v>0</v>
      </c>
      <c r="Y214" s="40">
        <f>SUMIF(Tabella1[Nome],Tabella4[[#This Row],[NOME]],Tabella1[cl sh])</f>
        <v>2</v>
      </c>
      <c r="Z214" s="270">
        <f>_xlfn.IFNA(_xlfn.XLOOKUP(CONCATENATE(Z$4,$C214),Tabella1[CONC X VOTI IN TAB GIOC],Tabella1[Voto],""),"")</f>
        <v>6</v>
      </c>
      <c r="AA214" s="270">
        <f>_xlfn.IFNA(_xlfn.XLOOKUP(CONCATENATE(AA$4,$C214),Tabella1[CONC X VOTI IN TAB GIOC],Tabella1[Voto],""),"")</f>
        <v>6.5</v>
      </c>
      <c r="AB214" s="270">
        <f>_xlfn.IFNA(_xlfn.XLOOKUP(CONCATENATE(AB$4,$C214),Tabella1[CONC X VOTI IN TAB GIOC],Tabella1[Voto]),"")</f>
        <v>6</v>
      </c>
      <c r="AC214" s="270" cm="1">
        <f t="array" ref="AC214">_xlfn.IFNA(_xlfn.XLOOKUP(CONCATENATE(AC$4,$C214),INDEX(Tabella1[],0,MATCH("CONC X VOTI IN TAB GIOC",Tabella1[#Headers],0)),INDEX(Tabella1[],0,MATCH("Voto",Tabella1[#Headers],0))),"")</f>
        <v>6</v>
      </c>
      <c r="AD214" s="270" t="str">
        <f>_xlfn.IFNA(_xlfn.XLOOKUP(CONCATENATE(AD$4,$C214),Tabella1[CONC X VOTI IN TAB GIOC],Tabella1[Voto]),"")</f>
        <v/>
      </c>
      <c r="AE214" s="270" t="str">
        <f>_xlfn.IFNA(VLOOKUP(CONCATENATE(AE$4,$C214),'INSER DATA'!$A:$F,6,0),"")</f>
        <v/>
      </c>
      <c r="AF214" s="270" t="str">
        <f>_xlfn.IFNA(VLOOKUP(CONCATENATE(AF$4,$C214),'INSER DATA'!$A:$F,6,0),"")</f>
        <v/>
      </c>
      <c r="AG214" s="270" t="str">
        <f>_xlfn.IFNA(VLOOKUP(CONCATENATE(AG$4,$C214),'INSER DATA'!$A:$F,6,0),"")</f>
        <v/>
      </c>
      <c r="AH214" s="270" t="str">
        <f>_xlfn.IFNA(VLOOKUP(CONCATENATE(AH$4,$C214),'INSER DATA'!$A:$F,7,0),"")</f>
        <v/>
      </c>
      <c r="AI214" s="270" t="str">
        <f>_xlfn.IFNA(VLOOKUP(CONCATENATE(AI$4,$C214),'INSER DATA'!$A:$F,7,0),"")</f>
        <v/>
      </c>
      <c r="AJ214" s="270" t="str">
        <f>_xlfn.IFNA(VLOOKUP(CONCATENATE(AJ$4,$C214),'INSER DATA'!$A:$F,7,0),"")</f>
        <v/>
      </c>
      <c r="AK214" s="270" t="str">
        <f>_xlfn.IFNA(VLOOKUP(CONCATENATE(AK$4,$C214),'INSER DATA'!$A:$F,7,0),"")</f>
        <v/>
      </c>
      <c r="AL214" s="270" t="str">
        <f>_xlfn.IFNA(VLOOKUP(CONCATENATE(AL$4,$C214),'INSER DATA'!$A:$F,7,0),"")</f>
        <v/>
      </c>
      <c r="AM214" s="270" t="str">
        <f>_xlfn.IFNA(VLOOKUP(CONCATENATE(AM$4,$C214),'INSER DATA'!$A:$F,7,0),"")</f>
        <v/>
      </c>
      <c r="AN214" s="270" t="str">
        <f>_xlfn.IFNA(VLOOKUP(CONCATENATE(AN$4,$C214),'INSER DATA'!$A:$F,7,0),"")</f>
        <v/>
      </c>
      <c r="AO214" s="270" t="str">
        <f>_xlfn.IFNA(VLOOKUP(CONCATENATE(AO$4,$C214),'INSER DATA'!$A:$F,7,0),"")</f>
        <v/>
      </c>
      <c r="AP214" s="270" t="str">
        <f>_xlfn.IFNA(VLOOKUP(CONCATENATE(AP$4,$C214),'INSER DATA'!$A:$F,7,0),"")</f>
        <v/>
      </c>
      <c r="AQ214" s="270" t="str">
        <f>_xlfn.IFNA(VLOOKUP(CONCATENATE(AQ$4,$C214),'INSER DATA'!$A:$F,7,0),"")</f>
        <v/>
      </c>
      <c r="AR214" s="270" t="str">
        <f>_xlfn.IFNA(VLOOKUP(CONCATENATE(AR$4,$C214),'INSER DATA'!$A:$F,7,0),"")</f>
        <v/>
      </c>
      <c r="AS214" s="270" t="str">
        <f>_xlfn.IFNA(VLOOKUP(CONCATENATE(AS$4,$C214),'INSER DATA'!$A:$F,7,0),"")</f>
        <v/>
      </c>
      <c r="AT214" s="270" t="str">
        <f>_xlfn.IFNA(VLOOKUP(CONCATENATE(AT$4,$C214),'INSER DATA'!$A:$F,7,0),"")</f>
        <v/>
      </c>
      <c r="AU214" s="270" t="str">
        <f>_xlfn.IFNA(VLOOKUP(CONCATENATE(AU$4,$C214),'INSER DATA'!$A:$F,7,0),"")</f>
        <v/>
      </c>
      <c r="AV214" s="270" t="str">
        <f>_xlfn.IFNA(VLOOKUP(CONCATENATE(AV$4,$C214),'INSER DATA'!$A:$F,7,0),"")</f>
        <v/>
      </c>
      <c r="AW214" s="270" t="str">
        <f>_xlfn.IFNA(VLOOKUP(CONCATENATE(AW$4,$C214),'INSER DATA'!$A:$F,7,0),"")</f>
        <v/>
      </c>
      <c r="AX214" s="270" t="str">
        <f>_xlfn.IFNA(VLOOKUP(CONCATENATE(AX$4,$C214),'INSER DATA'!$A:$F,7,0),"")</f>
        <v/>
      </c>
      <c r="AY214" s="270" t="str">
        <f>_xlfn.IFNA(VLOOKUP(CONCATENATE(AY$4,$C214),'INSER DATA'!$A:$F,7,0),"")</f>
        <v/>
      </c>
      <c r="AZ214" s="270" t="str">
        <f>_xlfn.IFNA(VLOOKUP(CONCATENATE(AZ$4,$C214),'INSER DATA'!$A:$F,7,0),"")</f>
        <v/>
      </c>
      <c r="BA214" s="270" t="str">
        <f>_xlfn.IFNA(VLOOKUP(CONCATENATE(BA$4,$C214),'INSER DATA'!$A:$F,7,0),"")</f>
        <v/>
      </c>
      <c r="BB214" s="270" t="str">
        <f>_xlfn.IFNA(VLOOKUP(CONCATENATE(BB$4,$C214),'INSER DATA'!$A:$F,7,0),"")</f>
        <v/>
      </c>
      <c r="BC214" s="270" t="str">
        <f>_xlfn.IFNA(VLOOKUP(CONCATENATE(BC$4,$C214),'INSER DATA'!$A:$F,7,0),"")</f>
        <v/>
      </c>
      <c r="BD214" s="270" t="str">
        <f>_xlfn.IFNA(VLOOKUP(CONCATENATE(BD$4,$C214),'INSER DATA'!$A:$F,7,0),"")</f>
        <v/>
      </c>
      <c r="BE214" s="270" t="str">
        <f>_xlfn.IFNA(VLOOKUP(CONCATENATE(BE$4,$C214),'INSER DATA'!$A:$F,7,0),"")</f>
        <v/>
      </c>
      <c r="BF214" s="270" t="str">
        <f>_xlfn.IFNA(VLOOKUP(CONCATENATE(BF$4,$C214),'INSER DATA'!$A:$F,7,0),"")</f>
        <v/>
      </c>
      <c r="BG214" s="270" t="str">
        <f>_xlfn.IFNA(VLOOKUP(CONCATENATE(BG$4,$C214),'INSER DATA'!$A:$F,7,0),"")</f>
        <v/>
      </c>
      <c r="BH214" s="270" t="str">
        <f>_xlfn.IFNA(VLOOKUP(CONCATENATE(BH$4,$C214),'INSER DATA'!$A:$F,7,0),"")</f>
        <v/>
      </c>
      <c r="BI214" s="270" t="str">
        <f>_xlfn.IFNA(VLOOKUP(CONCATENATE(BI$4,$C214),'INSER DATA'!$A:$F,7,0),"")</f>
        <v/>
      </c>
      <c r="BJ214" s="270" t="str">
        <f>_xlfn.IFNA(VLOOKUP(CONCATENATE(BJ$4,$C214),'INSER DATA'!$A:$F,7,0),"")</f>
        <v/>
      </c>
      <c r="BK214" s="270" t="str">
        <f>_xlfn.IFNA(VLOOKUP(CONCATENATE(BK$4,$C214),'INSER DATA'!$A:$F,7,0),"")</f>
        <v/>
      </c>
      <c r="BL214" s="272"/>
      <c r="BM214" s="30"/>
      <c r="BN214" s="30"/>
      <c r="BO214" s="30"/>
      <c r="BP214" s="30"/>
      <c r="BQ214" s="30"/>
      <c r="BR214" s="30"/>
      <c r="BS214" s="30"/>
      <c r="BT214" s="30"/>
      <c r="BU214" s="30"/>
      <c r="BV214" s="30"/>
      <c r="BW214" s="30"/>
      <c r="BX214" s="30"/>
      <c r="BY214" s="30"/>
      <c r="BZ214" s="30"/>
      <c r="CA214" s="30"/>
      <c r="CB214" s="30"/>
      <c r="CC214" s="30"/>
      <c r="CD214" s="30"/>
      <c r="CE214" s="30"/>
      <c r="CF214" s="30"/>
      <c r="CG214" s="30"/>
      <c r="CH214" s="30"/>
      <c r="CI214" s="30"/>
      <c r="CJ214" s="30"/>
      <c r="CK214" s="30"/>
      <c r="CL214" s="30"/>
      <c r="CM214" s="30"/>
      <c r="CN214" s="30"/>
      <c r="CO214" s="30"/>
      <c r="CP214" s="30"/>
      <c r="CQ214" s="30"/>
      <c r="CR214" s="30"/>
      <c r="CS214" s="30"/>
      <c r="CT214" s="30"/>
      <c r="CU214" s="30"/>
      <c r="CV214" s="30"/>
      <c r="CW214" s="30"/>
      <c r="CX214" s="30"/>
      <c r="CY214" s="30"/>
      <c r="CZ214" s="30"/>
      <c r="DA214" s="30"/>
    </row>
    <row r="215" spans="1:105" ht="19.2" thickTop="1" thickBot="1" x14ac:dyDescent="0.4">
      <c r="A215" s="30"/>
      <c r="B215" s="30"/>
      <c r="C215" s="356" t="s">
        <v>228</v>
      </c>
      <c r="D215" s="355" t="s">
        <v>777</v>
      </c>
      <c r="E215" s="35" t="str">
        <f>_xlfn.XLOOKUP(Tabella4[[#This Row],[NOME]],'ROSE SQUADRE'!$N$3:$N$253,'ROSE SQUADRE'!$O$3:$O$253,"")</f>
        <v>ATL. IMPROVVISATO</v>
      </c>
      <c r="F215" s="36" t="s">
        <v>161</v>
      </c>
      <c r="G215" s="43">
        <v>9</v>
      </c>
      <c r="H215" s="43">
        <v>9</v>
      </c>
      <c r="I215" s="44">
        <f t="shared" si="19"/>
        <v>0</v>
      </c>
      <c r="J215" s="37">
        <f t="shared" si="20"/>
        <v>1</v>
      </c>
      <c r="K215" s="38">
        <f t="shared" si="21"/>
        <v>6</v>
      </c>
      <c r="L215" s="38">
        <f t="shared" si="22"/>
        <v>5.5</v>
      </c>
      <c r="M215" s="39">
        <f t="shared" si="23"/>
        <v>5.5</v>
      </c>
      <c r="N215" s="45">
        <f t="shared" ca="1" si="24"/>
        <v>0</v>
      </c>
      <c r="O215" s="40">
        <f>SUMIF(Tabella1[Nome],Tabella4[[#This Row],[NOME]],Tabella1[Gf])</f>
        <v>0</v>
      </c>
      <c r="P215" s="40">
        <f>-(SUMIF(Tabella1[Nome],Tabella4[[#This Row],[NOME]],Tabella1[Gs]))</f>
        <v>0</v>
      </c>
      <c r="Q215" s="40">
        <f>SUMIF(Tabella1[Nome],Tabella4[[#This Row],[NOME]],Tabella1[Rp])</f>
        <v>0</v>
      </c>
      <c r="R215" s="40">
        <f>SUMIF(Tabella1[Nome],Tabella4[[#This Row],[NOME]],Tabella1[Rs])</f>
        <v>0</v>
      </c>
      <c r="S215" s="40">
        <f>SUMIF(Tabella1[Nome],Tabella4[[#This Row],[NOME]],Tabella1[Rf])</f>
        <v>0</v>
      </c>
      <c r="T215" s="40">
        <f>SUMIF(Tabella1[Nome],Tabella4[[#This Row],[NOME]],Tabella1[Au])</f>
        <v>0</v>
      </c>
      <c r="U215" s="41">
        <f>SUMIF(Tabella1[Nome],Tabella4[[#This Row],[NOME]],Tabella1[Amm])</f>
        <v>1</v>
      </c>
      <c r="V215" s="42">
        <f>SUMIF(Tabella1[Nome],Tabella4[[#This Row],[NOME]],Tabella1[Esp])</f>
        <v>0</v>
      </c>
      <c r="W215" s="40">
        <f>SUMIF(Tabella1[Nome],Tabella4[[#This Row],[NOME]],Tabella1[Ass])</f>
        <v>0</v>
      </c>
      <c r="X215" s="40">
        <f>SUMIF(Tabella1[Nome],Tabella4[[#This Row],[NOME]],Tabella1[Gdv])</f>
        <v>0</v>
      </c>
      <c r="Y215" s="40">
        <f>SUMIF(Tabella1[Nome],Tabella4[[#This Row],[NOME]],Tabella1[cl sh])</f>
        <v>0</v>
      </c>
      <c r="Z215" s="270">
        <f>_xlfn.IFNA(_xlfn.XLOOKUP(CONCATENATE(Z$4,$C215),Tabella1[CONC X VOTI IN TAB GIOC],Tabella1[Voto],""),"")</f>
        <v>6</v>
      </c>
      <c r="AA215" s="270" t="str">
        <f>_xlfn.IFNA(_xlfn.XLOOKUP(CONCATENATE(AA$4,$C215),Tabella1[CONC X VOTI IN TAB GIOC],Tabella1[Voto],""),"")</f>
        <v/>
      </c>
      <c r="AB215" s="270" t="str">
        <f>_xlfn.IFNA(_xlfn.XLOOKUP(CONCATENATE(AB$4,$C215),Tabella1[CONC X VOTI IN TAB GIOC],Tabella1[Voto]),"")</f>
        <v/>
      </c>
      <c r="AC215" s="270" t="str" cm="1">
        <f t="array" ref="AC215">_xlfn.IFNA(_xlfn.XLOOKUP(CONCATENATE(AC$4,$C215),INDEX(Tabella1[],0,MATCH("CONC X VOTI IN TAB GIOC",Tabella1[#Headers],0)),INDEX(Tabella1[],0,MATCH("Voto",Tabella1[#Headers],0))),"")</f>
        <v/>
      </c>
      <c r="AD215" s="270" t="str">
        <f>_xlfn.IFNA(_xlfn.XLOOKUP(CONCATENATE(AD$4,$C215),Tabella1[CONC X VOTI IN TAB GIOC],Tabella1[Voto]),"")</f>
        <v/>
      </c>
      <c r="AE215" s="270" t="str">
        <f>_xlfn.IFNA(VLOOKUP(CONCATENATE(AE$4,$C215),'INSER DATA'!$A:$F,6,0),"")</f>
        <v/>
      </c>
      <c r="AF215" s="270" t="str">
        <f>_xlfn.IFNA(VLOOKUP(CONCATENATE(AF$4,$C215),'INSER DATA'!$A:$F,6,0),"")</f>
        <v/>
      </c>
      <c r="AG215" s="270" t="str">
        <f>_xlfn.IFNA(VLOOKUP(CONCATENATE(AG$4,$C215),'INSER DATA'!$A:$F,6,0),"")</f>
        <v/>
      </c>
      <c r="AH215" s="270" t="str">
        <f>_xlfn.IFNA(VLOOKUP(CONCATENATE(AH$4,$C215),'INSER DATA'!$A:$F,7,0),"")</f>
        <v/>
      </c>
      <c r="AI215" s="270" t="str">
        <f>_xlfn.IFNA(VLOOKUP(CONCATENATE(AI$4,$C215),'INSER DATA'!$A:$F,7,0),"")</f>
        <v/>
      </c>
      <c r="AJ215" s="270" t="str">
        <f>_xlfn.IFNA(VLOOKUP(CONCATENATE(AJ$4,$C215),'INSER DATA'!$A:$F,7,0),"")</f>
        <v/>
      </c>
      <c r="AK215" s="270" t="str">
        <f>_xlfn.IFNA(VLOOKUP(CONCATENATE(AK$4,$C215),'INSER DATA'!$A:$F,7,0),"")</f>
        <v/>
      </c>
      <c r="AL215" s="270" t="str">
        <f>_xlfn.IFNA(VLOOKUP(CONCATENATE(AL$4,$C215),'INSER DATA'!$A:$F,7,0),"")</f>
        <v/>
      </c>
      <c r="AM215" s="270" t="str">
        <f>_xlfn.IFNA(VLOOKUP(CONCATENATE(AM$4,$C215),'INSER DATA'!$A:$F,7,0),"")</f>
        <v/>
      </c>
      <c r="AN215" s="270" t="str">
        <f>_xlfn.IFNA(VLOOKUP(CONCATENATE(AN$4,$C215),'INSER DATA'!$A:$F,7,0),"")</f>
        <v/>
      </c>
      <c r="AO215" s="270" t="str">
        <f>_xlfn.IFNA(VLOOKUP(CONCATENATE(AO$4,$C215),'INSER DATA'!$A:$F,7,0),"")</f>
        <v/>
      </c>
      <c r="AP215" s="270" t="str">
        <f>_xlfn.IFNA(VLOOKUP(CONCATENATE(AP$4,$C215),'INSER DATA'!$A:$F,7,0),"")</f>
        <v/>
      </c>
      <c r="AQ215" s="270" t="str">
        <f>_xlfn.IFNA(VLOOKUP(CONCATENATE(AQ$4,$C215),'INSER DATA'!$A:$F,7,0),"")</f>
        <v/>
      </c>
      <c r="AR215" s="270" t="str">
        <f>_xlfn.IFNA(VLOOKUP(CONCATENATE(AR$4,$C215),'INSER DATA'!$A:$F,7,0),"")</f>
        <v/>
      </c>
      <c r="AS215" s="270" t="str">
        <f>_xlfn.IFNA(VLOOKUP(CONCATENATE(AS$4,$C215),'INSER DATA'!$A:$F,7,0),"")</f>
        <v/>
      </c>
      <c r="AT215" s="270" t="str">
        <f>_xlfn.IFNA(VLOOKUP(CONCATENATE(AT$4,$C215),'INSER DATA'!$A:$F,7,0),"")</f>
        <v/>
      </c>
      <c r="AU215" s="270" t="str">
        <f>_xlfn.IFNA(VLOOKUP(CONCATENATE(AU$4,$C215),'INSER DATA'!$A:$F,7,0),"")</f>
        <v/>
      </c>
      <c r="AV215" s="270" t="str">
        <f>_xlfn.IFNA(VLOOKUP(CONCATENATE(AV$4,$C215),'INSER DATA'!$A:$F,7,0),"")</f>
        <v/>
      </c>
      <c r="AW215" s="270" t="str">
        <f>_xlfn.IFNA(VLOOKUP(CONCATENATE(AW$4,$C215),'INSER DATA'!$A:$F,7,0),"")</f>
        <v/>
      </c>
      <c r="AX215" s="270" t="str">
        <f>_xlfn.IFNA(VLOOKUP(CONCATENATE(AX$4,$C215),'INSER DATA'!$A:$F,7,0),"")</f>
        <v/>
      </c>
      <c r="AY215" s="270" t="str">
        <f>_xlfn.IFNA(VLOOKUP(CONCATENATE(AY$4,$C215),'INSER DATA'!$A:$F,7,0),"")</f>
        <v/>
      </c>
      <c r="AZ215" s="270" t="str">
        <f>_xlfn.IFNA(VLOOKUP(CONCATENATE(AZ$4,$C215),'INSER DATA'!$A:$F,7,0),"")</f>
        <v/>
      </c>
      <c r="BA215" s="270" t="str">
        <f>_xlfn.IFNA(VLOOKUP(CONCATENATE(BA$4,$C215),'INSER DATA'!$A:$F,7,0),"")</f>
        <v/>
      </c>
      <c r="BB215" s="270" t="str">
        <f>_xlfn.IFNA(VLOOKUP(CONCATENATE(BB$4,$C215),'INSER DATA'!$A:$F,7,0),"")</f>
        <v/>
      </c>
      <c r="BC215" s="270" t="str">
        <f>_xlfn.IFNA(VLOOKUP(CONCATENATE(BC$4,$C215),'INSER DATA'!$A:$F,7,0),"")</f>
        <v/>
      </c>
      <c r="BD215" s="270" t="str">
        <f>_xlfn.IFNA(VLOOKUP(CONCATENATE(BD$4,$C215),'INSER DATA'!$A:$F,7,0),"")</f>
        <v/>
      </c>
      <c r="BE215" s="270" t="str">
        <f>_xlfn.IFNA(VLOOKUP(CONCATENATE(BE$4,$C215),'INSER DATA'!$A:$F,7,0),"")</f>
        <v/>
      </c>
      <c r="BF215" s="270" t="str">
        <f>_xlfn.IFNA(VLOOKUP(CONCATENATE(BF$4,$C215),'INSER DATA'!$A:$F,7,0),"")</f>
        <v/>
      </c>
      <c r="BG215" s="270" t="str">
        <f>_xlfn.IFNA(VLOOKUP(CONCATENATE(BG$4,$C215),'INSER DATA'!$A:$F,7,0),"")</f>
        <v/>
      </c>
      <c r="BH215" s="270" t="str">
        <f>_xlfn.IFNA(VLOOKUP(CONCATENATE(BH$4,$C215),'INSER DATA'!$A:$F,7,0),"")</f>
        <v/>
      </c>
      <c r="BI215" s="270" t="str">
        <f>_xlfn.IFNA(VLOOKUP(CONCATENATE(BI$4,$C215),'INSER DATA'!$A:$F,7,0),"")</f>
        <v/>
      </c>
      <c r="BJ215" s="270" t="str">
        <f>_xlfn.IFNA(VLOOKUP(CONCATENATE(BJ$4,$C215),'INSER DATA'!$A:$F,7,0),"")</f>
        <v/>
      </c>
      <c r="BK215" s="270" t="str">
        <f>_xlfn.IFNA(VLOOKUP(CONCATENATE(BK$4,$C215),'INSER DATA'!$A:$F,7,0),"")</f>
        <v/>
      </c>
      <c r="BL215" s="272"/>
      <c r="BM215" s="30"/>
      <c r="BN215" s="30"/>
      <c r="BO215" s="30"/>
      <c r="BP215" s="30"/>
      <c r="BQ215" s="30"/>
      <c r="BR215" s="30"/>
      <c r="BS215" s="30"/>
      <c r="BT215" s="30"/>
      <c r="BU215" s="30"/>
      <c r="BV215" s="30"/>
      <c r="BW215" s="30"/>
      <c r="BX215" s="30"/>
      <c r="BY215" s="30"/>
      <c r="BZ215" s="30"/>
      <c r="CA215" s="30"/>
      <c r="CB215" s="30"/>
      <c r="CC215" s="30"/>
      <c r="CD215" s="30"/>
      <c r="CE215" s="30"/>
      <c r="CF215" s="30"/>
      <c r="CG215" s="30"/>
      <c r="CH215" s="30"/>
      <c r="CI215" s="30"/>
      <c r="CJ215" s="30"/>
      <c r="CK215" s="30"/>
      <c r="CL215" s="30"/>
      <c r="CM215" s="30"/>
      <c r="CN215" s="30"/>
      <c r="CO215" s="30"/>
      <c r="CP215" s="30"/>
      <c r="CQ215" s="30"/>
      <c r="CR215" s="30"/>
      <c r="CS215" s="30"/>
      <c r="CT215" s="30"/>
      <c r="CU215" s="30"/>
      <c r="CV215" s="30"/>
      <c r="CW215" s="30"/>
      <c r="CX215" s="30"/>
      <c r="CY215" s="30"/>
      <c r="CZ215" s="30"/>
      <c r="DA215" s="30"/>
    </row>
    <row r="216" spans="1:105" ht="19.2" thickTop="1" thickBot="1" x14ac:dyDescent="0.4">
      <c r="A216" s="30"/>
      <c r="B216" s="30"/>
      <c r="C216" s="354" t="s">
        <v>321</v>
      </c>
      <c r="D216" s="355" t="s">
        <v>777</v>
      </c>
      <c r="E216" s="35" t="str">
        <f>_xlfn.XLOOKUP(Tabella4[[#This Row],[NOME]],'ROSE SQUADRE'!$N$3:$N$253,'ROSE SQUADRE'!$O$3:$O$253,"")</f>
        <v>FC INTERNAZIOANALE</v>
      </c>
      <c r="F216" s="36" t="s">
        <v>161</v>
      </c>
      <c r="G216" s="43">
        <v>8</v>
      </c>
      <c r="H216" s="43">
        <v>8</v>
      </c>
      <c r="I216" s="44">
        <f t="shared" si="19"/>
        <v>0</v>
      </c>
      <c r="J216" s="37">
        <f t="shared" si="20"/>
        <v>4</v>
      </c>
      <c r="K216" s="38">
        <f t="shared" si="21"/>
        <v>5.75</v>
      </c>
      <c r="L216" s="38">
        <f t="shared" si="22"/>
        <v>5.625</v>
      </c>
      <c r="M216" s="39">
        <f t="shared" si="23"/>
        <v>22.5</v>
      </c>
      <c r="N216" s="45">
        <f t="shared" ca="1" si="24"/>
        <v>0</v>
      </c>
      <c r="O216" s="40">
        <f>SUMIF(Tabella1[Nome],Tabella4[[#This Row],[NOME]],Tabella1[Gf])</f>
        <v>0</v>
      </c>
      <c r="P216" s="40">
        <f>-(SUMIF(Tabella1[Nome],Tabella4[[#This Row],[NOME]],Tabella1[Gs]))</f>
        <v>0</v>
      </c>
      <c r="Q216" s="40">
        <f>SUMIF(Tabella1[Nome],Tabella4[[#This Row],[NOME]],Tabella1[Rp])</f>
        <v>0</v>
      </c>
      <c r="R216" s="40">
        <f>SUMIF(Tabella1[Nome],Tabella4[[#This Row],[NOME]],Tabella1[Rs])</f>
        <v>0</v>
      </c>
      <c r="S216" s="40">
        <f>SUMIF(Tabella1[Nome],Tabella4[[#This Row],[NOME]],Tabella1[Rf])</f>
        <v>0</v>
      </c>
      <c r="T216" s="40">
        <f>SUMIF(Tabella1[Nome],Tabella4[[#This Row],[NOME]],Tabella1[Au])</f>
        <v>0</v>
      </c>
      <c r="U216" s="41">
        <f>SUMIF(Tabella1[Nome],Tabella4[[#This Row],[NOME]],Tabella1[Amm])</f>
        <v>1</v>
      </c>
      <c r="V216" s="42">
        <f>SUMIF(Tabella1[Nome],Tabella4[[#This Row],[NOME]],Tabella1[Esp])</f>
        <v>0</v>
      </c>
      <c r="W216" s="40">
        <f>SUMIF(Tabella1[Nome],Tabella4[[#This Row],[NOME]],Tabella1[Ass])</f>
        <v>0</v>
      </c>
      <c r="X216" s="40">
        <f>SUMIF(Tabella1[Nome],Tabella4[[#This Row],[NOME]],Tabella1[Gdv])</f>
        <v>0</v>
      </c>
      <c r="Y216" s="40">
        <f>SUMIF(Tabella1[Nome],Tabella4[[#This Row],[NOME]],Tabella1[cl sh])</f>
        <v>0</v>
      </c>
      <c r="Z216" s="270">
        <f>_xlfn.IFNA(_xlfn.XLOOKUP(CONCATENATE(Z$4,$C216),Tabella1[CONC X VOTI IN TAB GIOC],Tabella1[Voto],""),"")</f>
        <v>6</v>
      </c>
      <c r="AA216" s="270">
        <f>_xlfn.IFNA(_xlfn.XLOOKUP(CONCATENATE(AA$4,$C216),Tabella1[CONC X VOTI IN TAB GIOC],Tabella1[Voto],""),"")</f>
        <v>6</v>
      </c>
      <c r="AB216" s="270">
        <f>_xlfn.IFNA(_xlfn.XLOOKUP(CONCATENATE(AB$4,$C216),Tabella1[CONC X VOTI IN TAB GIOC],Tabella1[Voto]),"")</f>
        <v>5.5</v>
      </c>
      <c r="AC216" s="270" cm="1">
        <f t="array" ref="AC216">_xlfn.IFNA(_xlfn.XLOOKUP(CONCATENATE(AC$4,$C216),INDEX(Tabella1[],0,MATCH("CONC X VOTI IN TAB GIOC",Tabella1[#Headers],0)),INDEX(Tabella1[],0,MATCH("Voto",Tabella1[#Headers],0))),"")</f>
        <v>5.5</v>
      </c>
      <c r="AD216" s="270" t="str">
        <f>_xlfn.IFNA(_xlfn.XLOOKUP(CONCATENATE(AD$4,$C216),Tabella1[CONC X VOTI IN TAB GIOC],Tabella1[Voto]),"")</f>
        <v/>
      </c>
      <c r="AE216" s="270" t="str">
        <f>_xlfn.IFNA(VLOOKUP(CONCATENATE(AE$4,$C216),'INSER DATA'!$A:$F,6,0),"")</f>
        <v/>
      </c>
      <c r="AF216" s="270" t="str">
        <f>_xlfn.IFNA(VLOOKUP(CONCATENATE(AF$4,$C216),'INSER DATA'!$A:$F,6,0),"")</f>
        <v/>
      </c>
      <c r="AG216" s="270" t="str">
        <f>_xlfn.IFNA(VLOOKUP(CONCATENATE(AG$4,$C216),'INSER DATA'!$A:$F,6,0),"")</f>
        <v/>
      </c>
      <c r="AH216" s="270" t="str">
        <f>_xlfn.IFNA(VLOOKUP(CONCATENATE(AH$4,$C216),'INSER DATA'!$A:$F,7,0),"")</f>
        <v/>
      </c>
      <c r="AI216" s="270" t="str">
        <f>_xlfn.IFNA(VLOOKUP(CONCATENATE(AI$4,$C216),'INSER DATA'!$A:$F,7,0),"")</f>
        <v/>
      </c>
      <c r="AJ216" s="270" t="str">
        <f>_xlfn.IFNA(VLOOKUP(CONCATENATE(AJ$4,$C216),'INSER DATA'!$A:$F,7,0),"")</f>
        <v/>
      </c>
      <c r="AK216" s="270" t="str">
        <f>_xlfn.IFNA(VLOOKUP(CONCATENATE(AK$4,$C216),'INSER DATA'!$A:$F,7,0),"")</f>
        <v/>
      </c>
      <c r="AL216" s="270" t="str">
        <f>_xlfn.IFNA(VLOOKUP(CONCATENATE(AL$4,$C216),'INSER DATA'!$A:$F,7,0),"")</f>
        <v/>
      </c>
      <c r="AM216" s="270" t="str">
        <f>_xlfn.IFNA(VLOOKUP(CONCATENATE(AM$4,$C216),'INSER DATA'!$A:$F,7,0),"")</f>
        <v/>
      </c>
      <c r="AN216" s="270" t="str">
        <f>_xlfn.IFNA(VLOOKUP(CONCATENATE(AN$4,$C216),'INSER DATA'!$A:$F,7,0),"")</f>
        <v/>
      </c>
      <c r="AO216" s="270" t="str">
        <f>_xlfn.IFNA(VLOOKUP(CONCATENATE(AO$4,$C216),'INSER DATA'!$A:$F,7,0),"")</f>
        <v/>
      </c>
      <c r="AP216" s="270" t="str">
        <f>_xlfn.IFNA(VLOOKUP(CONCATENATE(AP$4,$C216),'INSER DATA'!$A:$F,7,0),"")</f>
        <v/>
      </c>
      <c r="AQ216" s="270" t="str">
        <f>_xlfn.IFNA(VLOOKUP(CONCATENATE(AQ$4,$C216),'INSER DATA'!$A:$F,7,0),"")</f>
        <v/>
      </c>
      <c r="AR216" s="270" t="str">
        <f>_xlfn.IFNA(VLOOKUP(CONCATENATE(AR$4,$C216),'INSER DATA'!$A:$F,7,0),"")</f>
        <v/>
      </c>
      <c r="AS216" s="270" t="str">
        <f>_xlfn.IFNA(VLOOKUP(CONCATENATE(AS$4,$C216),'INSER DATA'!$A:$F,7,0),"")</f>
        <v/>
      </c>
      <c r="AT216" s="270" t="str">
        <f>_xlfn.IFNA(VLOOKUP(CONCATENATE(AT$4,$C216),'INSER DATA'!$A:$F,7,0),"")</f>
        <v/>
      </c>
      <c r="AU216" s="270" t="str">
        <f>_xlfn.IFNA(VLOOKUP(CONCATENATE(AU$4,$C216),'INSER DATA'!$A:$F,7,0),"")</f>
        <v/>
      </c>
      <c r="AV216" s="270" t="str">
        <f>_xlfn.IFNA(VLOOKUP(CONCATENATE(AV$4,$C216),'INSER DATA'!$A:$F,7,0),"")</f>
        <v/>
      </c>
      <c r="AW216" s="270" t="str">
        <f>_xlfn.IFNA(VLOOKUP(CONCATENATE(AW$4,$C216),'INSER DATA'!$A:$F,7,0),"")</f>
        <v/>
      </c>
      <c r="AX216" s="270" t="str">
        <f>_xlfn.IFNA(VLOOKUP(CONCATENATE(AX$4,$C216),'INSER DATA'!$A:$F,7,0),"")</f>
        <v/>
      </c>
      <c r="AY216" s="270" t="str">
        <f>_xlfn.IFNA(VLOOKUP(CONCATENATE(AY$4,$C216),'INSER DATA'!$A:$F,7,0),"")</f>
        <v/>
      </c>
      <c r="AZ216" s="270" t="str">
        <f>_xlfn.IFNA(VLOOKUP(CONCATENATE(AZ$4,$C216),'INSER DATA'!$A:$F,7,0),"")</f>
        <v/>
      </c>
      <c r="BA216" s="270" t="str">
        <f>_xlfn.IFNA(VLOOKUP(CONCATENATE(BA$4,$C216),'INSER DATA'!$A:$F,7,0),"")</f>
        <v/>
      </c>
      <c r="BB216" s="270" t="str">
        <f>_xlfn.IFNA(VLOOKUP(CONCATENATE(BB$4,$C216),'INSER DATA'!$A:$F,7,0),"")</f>
        <v/>
      </c>
      <c r="BC216" s="270" t="str">
        <f>_xlfn.IFNA(VLOOKUP(CONCATENATE(BC$4,$C216),'INSER DATA'!$A:$F,7,0),"")</f>
        <v/>
      </c>
      <c r="BD216" s="270" t="str">
        <f>_xlfn.IFNA(VLOOKUP(CONCATENATE(BD$4,$C216),'INSER DATA'!$A:$F,7,0),"")</f>
        <v/>
      </c>
      <c r="BE216" s="270" t="str">
        <f>_xlfn.IFNA(VLOOKUP(CONCATENATE(BE$4,$C216),'INSER DATA'!$A:$F,7,0),"")</f>
        <v/>
      </c>
      <c r="BF216" s="270" t="str">
        <f>_xlfn.IFNA(VLOOKUP(CONCATENATE(BF$4,$C216),'INSER DATA'!$A:$F,7,0),"")</f>
        <v/>
      </c>
      <c r="BG216" s="270" t="str">
        <f>_xlfn.IFNA(VLOOKUP(CONCATENATE(BG$4,$C216),'INSER DATA'!$A:$F,7,0),"")</f>
        <v/>
      </c>
      <c r="BH216" s="270" t="str">
        <f>_xlfn.IFNA(VLOOKUP(CONCATENATE(BH$4,$C216),'INSER DATA'!$A:$F,7,0),"")</f>
        <v/>
      </c>
      <c r="BI216" s="270" t="str">
        <f>_xlfn.IFNA(VLOOKUP(CONCATENATE(BI$4,$C216),'INSER DATA'!$A:$F,7,0),"")</f>
        <v/>
      </c>
      <c r="BJ216" s="270" t="str">
        <f>_xlfn.IFNA(VLOOKUP(CONCATENATE(BJ$4,$C216),'INSER DATA'!$A:$F,7,0),"")</f>
        <v/>
      </c>
      <c r="BK216" s="270" t="str">
        <f>_xlfn.IFNA(VLOOKUP(CONCATENATE(BK$4,$C216),'INSER DATA'!$A:$F,7,0),"")</f>
        <v/>
      </c>
      <c r="BL216" s="272"/>
      <c r="BM216" s="30"/>
      <c r="BN216" s="30"/>
      <c r="BO216" s="30"/>
      <c r="BP216" s="30"/>
      <c r="BQ216" s="30"/>
      <c r="BR216" s="30"/>
      <c r="BS216" s="30"/>
      <c r="BT216" s="30"/>
      <c r="BU216" s="30"/>
      <c r="BV216" s="30"/>
      <c r="BW216" s="30"/>
      <c r="BX216" s="30"/>
      <c r="BY216" s="30"/>
      <c r="BZ216" s="30"/>
      <c r="CA216" s="30"/>
      <c r="CB216" s="30"/>
      <c r="CC216" s="30"/>
      <c r="CD216" s="30"/>
      <c r="CE216" s="30"/>
      <c r="CF216" s="30"/>
      <c r="CG216" s="30"/>
      <c r="CH216" s="30"/>
      <c r="CI216" s="30"/>
      <c r="CJ216" s="30"/>
      <c r="CK216" s="30"/>
      <c r="CL216" s="30"/>
      <c r="CM216" s="30"/>
      <c r="CN216" s="30"/>
      <c r="CO216" s="30"/>
      <c r="CP216" s="30"/>
      <c r="CQ216" s="30"/>
      <c r="CR216" s="30"/>
      <c r="CS216" s="30"/>
      <c r="CT216" s="30"/>
      <c r="CU216" s="30"/>
      <c r="CV216" s="30"/>
      <c r="CW216" s="30"/>
      <c r="CX216" s="30"/>
      <c r="CY216" s="30"/>
      <c r="CZ216" s="30"/>
      <c r="DA216" s="30"/>
    </row>
    <row r="217" spans="1:105" ht="19.2" thickTop="1" thickBot="1" x14ac:dyDescent="0.4">
      <c r="A217" s="30"/>
      <c r="B217" s="30"/>
      <c r="C217" s="354" t="s">
        <v>788</v>
      </c>
      <c r="D217" s="357" t="s">
        <v>777</v>
      </c>
      <c r="E217" s="35" t="str">
        <f>_xlfn.XLOOKUP(Tabella4[[#This Row],[NOME]],'ROSE SQUADRE'!$N$3:$N$253,'ROSE SQUADRE'!$O$3:$O$253,"")</f>
        <v>AS PIPPERIA</v>
      </c>
      <c r="F217" s="36" t="s">
        <v>162</v>
      </c>
      <c r="G217" s="43">
        <v>17</v>
      </c>
      <c r="H217" s="43">
        <v>17</v>
      </c>
      <c r="I217" s="44">
        <f t="shared" si="19"/>
        <v>0</v>
      </c>
      <c r="J217" s="37">
        <f t="shared" si="20"/>
        <v>1</v>
      </c>
      <c r="K217" s="38">
        <f t="shared" si="21"/>
        <v>6</v>
      </c>
      <c r="L217" s="38">
        <f t="shared" si="22"/>
        <v>6</v>
      </c>
      <c r="M217" s="39">
        <f t="shared" si="23"/>
        <v>6</v>
      </c>
      <c r="N217" s="45">
        <f t="shared" ca="1" si="24"/>
        <v>0</v>
      </c>
      <c r="O217" s="40">
        <f>SUMIF(Tabella1[Nome],Tabella4[[#This Row],[NOME]],Tabella1[Gf])</f>
        <v>0</v>
      </c>
      <c r="P217" s="40">
        <f>-(SUMIF(Tabella1[Nome],Tabella4[[#This Row],[NOME]],Tabella1[Gs]))</f>
        <v>0</v>
      </c>
      <c r="Q217" s="40">
        <f>SUMIF(Tabella1[Nome],Tabella4[[#This Row],[NOME]],Tabella1[Rp])</f>
        <v>0</v>
      </c>
      <c r="R217" s="40">
        <f>SUMIF(Tabella1[Nome],Tabella4[[#This Row],[NOME]],Tabella1[Rs])</f>
        <v>0</v>
      </c>
      <c r="S217" s="40">
        <f>SUMIF(Tabella1[Nome],Tabella4[[#This Row],[NOME]],Tabella1[Rf])</f>
        <v>0</v>
      </c>
      <c r="T217" s="40">
        <f>SUMIF(Tabella1[Nome],Tabella4[[#This Row],[NOME]],Tabella1[Au])</f>
        <v>0</v>
      </c>
      <c r="U217" s="41">
        <f>SUMIF(Tabella1[Nome],Tabella4[[#This Row],[NOME]],Tabella1[Amm])</f>
        <v>0</v>
      </c>
      <c r="V217" s="42">
        <f>SUMIF(Tabella1[Nome],Tabella4[[#This Row],[NOME]],Tabella1[Esp])</f>
        <v>0</v>
      </c>
      <c r="W217" s="40">
        <f>SUMIF(Tabella1[Nome],Tabella4[[#This Row],[NOME]],Tabella1[Ass])</f>
        <v>0</v>
      </c>
      <c r="X217" s="40">
        <f>SUMIF(Tabella1[Nome],Tabella4[[#This Row],[NOME]],Tabella1[Gdv])</f>
        <v>0</v>
      </c>
      <c r="Y217" s="40">
        <f>SUMIF(Tabella1[Nome],Tabella4[[#This Row],[NOME]],Tabella1[cl sh])</f>
        <v>0</v>
      </c>
      <c r="Z217" s="270">
        <f>_xlfn.IFNA(_xlfn.XLOOKUP(CONCATENATE(Z$4,$C217),Tabella1[CONC X VOTI IN TAB GIOC],Tabella1[Voto],""),"")</f>
        <v>6</v>
      </c>
      <c r="AA217" s="270" t="str">
        <f>_xlfn.IFNA(_xlfn.XLOOKUP(CONCATENATE(AA$4,$C217),Tabella1[CONC X VOTI IN TAB GIOC],Tabella1[Voto],""),"")</f>
        <v/>
      </c>
      <c r="AB217" s="270" t="str">
        <f>_xlfn.IFNA(_xlfn.XLOOKUP(CONCATENATE(AB$4,$C217),Tabella1[CONC X VOTI IN TAB GIOC],Tabella1[Voto]),"")</f>
        <v/>
      </c>
      <c r="AC217" s="270" t="str" cm="1">
        <f t="array" ref="AC217">_xlfn.IFNA(_xlfn.XLOOKUP(CONCATENATE(AC$4,$C217),INDEX(Tabella1[],0,MATCH("CONC X VOTI IN TAB GIOC",Tabella1[#Headers],0)),INDEX(Tabella1[],0,MATCH("Voto",Tabella1[#Headers],0))),"")</f>
        <v/>
      </c>
      <c r="AD217" s="270" t="str">
        <f>_xlfn.IFNA(_xlfn.XLOOKUP(CONCATENATE(AD$4,$C217),Tabella1[CONC X VOTI IN TAB GIOC],Tabella1[Voto]),"")</f>
        <v/>
      </c>
      <c r="AE217" s="270" t="str">
        <f>_xlfn.IFNA(VLOOKUP(CONCATENATE(AE$4,$C217),'INSER DATA'!$A:$F,6,0),"")</f>
        <v/>
      </c>
      <c r="AF217" s="270" t="str">
        <f>_xlfn.IFNA(VLOOKUP(CONCATENATE(AF$4,$C217),'INSER DATA'!$A:$F,6,0),"")</f>
        <v/>
      </c>
      <c r="AG217" s="270" t="str">
        <f>_xlfn.IFNA(VLOOKUP(CONCATENATE(AG$4,$C217),'INSER DATA'!$A:$F,6,0),"")</f>
        <v/>
      </c>
      <c r="AH217" s="270" t="str">
        <f>_xlfn.IFNA(VLOOKUP(CONCATENATE(AH$4,$C217),'INSER DATA'!$A:$F,7,0),"")</f>
        <v/>
      </c>
      <c r="AI217" s="270" t="str">
        <f>_xlfn.IFNA(VLOOKUP(CONCATENATE(AI$4,$C217),'INSER DATA'!$A:$F,7,0),"")</f>
        <v/>
      </c>
      <c r="AJ217" s="270" t="str">
        <f>_xlfn.IFNA(VLOOKUP(CONCATENATE(AJ$4,$C217),'INSER DATA'!$A:$F,7,0),"")</f>
        <v/>
      </c>
      <c r="AK217" s="270" t="str">
        <f>_xlfn.IFNA(VLOOKUP(CONCATENATE(AK$4,$C217),'INSER DATA'!$A:$F,7,0),"")</f>
        <v/>
      </c>
      <c r="AL217" s="270" t="str">
        <f>_xlfn.IFNA(VLOOKUP(CONCATENATE(AL$4,$C217),'INSER DATA'!$A:$F,7,0),"")</f>
        <v/>
      </c>
      <c r="AM217" s="270" t="str">
        <f>_xlfn.IFNA(VLOOKUP(CONCATENATE(AM$4,$C217),'INSER DATA'!$A:$F,7,0),"")</f>
        <v/>
      </c>
      <c r="AN217" s="270" t="str">
        <f>_xlfn.IFNA(VLOOKUP(CONCATENATE(AN$4,$C217),'INSER DATA'!$A:$F,7,0),"")</f>
        <v/>
      </c>
      <c r="AO217" s="270" t="str">
        <f>_xlfn.IFNA(VLOOKUP(CONCATENATE(AO$4,$C217),'INSER DATA'!$A:$F,7,0),"")</f>
        <v/>
      </c>
      <c r="AP217" s="270" t="str">
        <f>_xlfn.IFNA(VLOOKUP(CONCATENATE(AP$4,$C217),'INSER DATA'!$A:$F,7,0),"")</f>
        <v/>
      </c>
      <c r="AQ217" s="270" t="str">
        <f>_xlfn.IFNA(VLOOKUP(CONCATENATE(AQ$4,$C217),'INSER DATA'!$A:$F,7,0),"")</f>
        <v/>
      </c>
      <c r="AR217" s="270" t="str">
        <f>_xlfn.IFNA(VLOOKUP(CONCATENATE(AR$4,$C217),'INSER DATA'!$A:$F,7,0),"")</f>
        <v/>
      </c>
      <c r="AS217" s="270" t="str">
        <f>_xlfn.IFNA(VLOOKUP(CONCATENATE(AS$4,$C217),'INSER DATA'!$A:$F,7,0),"")</f>
        <v/>
      </c>
      <c r="AT217" s="270" t="str">
        <f>_xlfn.IFNA(VLOOKUP(CONCATENATE(AT$4,$C217),'INSER DATA'!$A:$F,7,0),"")</f>
        <v/>
      </c>
      <c r="AU217" s="270" t="str">
        <f>_xlfn.IFNA(VLOOKUP(CONCATENATE(AU$4,$C217),'INSER DATA'!$A:$F,7,0),"")</f>
        <v/>
      </c>
      <c r="AV217" s="270" t="str">
        <f>_xlfn.IFNA(VLOOKUP(CONCATENATE(AV$4,$C217),'INSER DATA'!$A:$F,7,0),"")</f>
        <v/>
      </c>
      <c r="AW217" s="270" t="str">
        <f>_xlfn.IFNA(VLOOKUP(CONCATENATE(AW$4,$C217),'INSER DATA'!$A:$F,7,0),"")</f>
        <v/>
      </c>
      <c r="AX217" s="270" t="str">
        <f>_xlfn.IFNA(VLOOKUP(CONCATENATE(AX$4,$C217),'INSER DATA'!$A:$F,7,0),"")</f>
        <v/>
      </c>
      <c r="AY217" s="270" t="str">
        <f>_xlfn.IFNA(VLOOKUP(CONCATENATE(AY$4,$C217),'INSER DATA'!$A:$F,7,0),"")</f>
        <v/>
      </c>
      <c r="AZ217" s="270" t="str">
        <f>_xlfn.IFNA(VLOOKUP(CONCATENATE(AZ$4,$C217),'INSER DATA'!$A:$F,7,0),"")</f>
        <v/>
      </c>
      <c r="BA217" s="270" t="str">
        <f>_xlfn.IFNA(VLOOKUP(CONCATENATE(BA$4,$C217),'INSER DATA'!$A:$F,7,0),"")</f>
        <v/>
      </c>
      <c r="BB217" s="270" t="str">
        <f>_xlfn.IFNA(VLOOKUP(CONCATENATE(BB$4,$C217),'INSER DATA'!$A:$F,7,0),"")</f>
        <v/>
      </c>
      <c r="BC217" s="270" t="str">
        <f>_xlfn.IFNA(VLOOKUP(CONCATENATE(BC$4,$C217),'INSER DATA'!$A:$F,7,0),"")</f>
        <v/>
      </c>
      <c r="BD217" s="270" t="str">
        <f>_xlfn.IFNA(VLOOKUP(CONCATENATE(BD$4,$C217),'INSER DATA'!$A:$F,7,0),"")</f>
        <v/>
      </c>
      <c r="BE217" s="270" t="str">
        <f>_xlfn.IFNA(VLOOKUP(CONCATENATE(BE$4,$C217),'INSER DATA'!$A:$F,7,0),"")</f>
        <v/>
      </c>
      <c r="BF217" s="270" t="str">
        <f>_xlfn.IFNA(VLOOKUP(CONCATENATE(BF$4,$C217),'INSER DATA'!$A:$F,7,0),"")</f>
        <v/>
      </c>
      <c r="BG217" s="270" t="str">
        <f>_xlfn.IFNA(VLOOKUP(CONCATENATE(BG$4,$C217),'INSER DATA'!$A:$F,7,0),"")</f>
        <v/>
      </c>
      <c r="BH217" s="270" t="str">
        <f>_xlfn.IFNA(VLOOKUP(CONCATENATE(BH$4,$C217),'INSER DATA'!$A:$F,7,0),"")</f>
        <v/>
      </c>
      <c r="BI217" s="270" t="str">
        <f>_xlfn.IFNA(VLOOKUP(CONCATENATE(BI$4,$C217),'INSER DATA'!$A:$F,7,0),"")</f>
        <v/>
      </c>
      <c r="BJ217" s="270" t="str">
        <f>_xlfn.IFNA(VLOOKUP(CONCATENATE(BJ$4,$C217),'INSER DATA'!$A:$F,7,0),"")</f>
        <v/>
      </c>
      <c r="BK217" s="270" t="str">
        <f>_xlfn.IFNA(VLOOKUP(CONCATENATE(BK$4,$C217),'INSER DATA'!$A:$F,7,0),"")</f>
        <v/>
      </c>
      <c r="BL217" s="272"/>
      <c r="BM217" s="30"/>
      <c r="BN217" s="30"/>
      <c r="BO217" s="30"/>
      <c r="BP217" s="30"/>
      <c r="BQ217" s="30"/>
      <c r="BR217" s="30"/>
      <c r="BS217" s="30"/>
      <c r="BT217" s="30"/>
      <c r="BU217" s="30"/>
      <c r="BV217" s="30"/>
      <c r="BW217" s="30"/>
      <c r="BX217" s="30"/>
      <c r="BY217" s="30"/>
      <c r="BZ217" s="30"/>
      <c r="CA217" s="30"/>
      <c r="CB217" s="30"/>
      <c r="CC217" s="30"/>
      <c r="CD217" s="30"/>
      <c r="CE217" s="30"/>
      <c r="CF217" s="30"/>
      <c r="CG217" s="30"/>
      <c r="CH217" s="30"/>
      <c r="CI217" s="30"/>
      <c r="CJ217" s="30"/>
      <c r="CK217" s="30"/>
      <c r="CL217" s="30"/>
      <c r="CM217" s="30"/>
      <c r="CN217" s="30"/>
      <c r="CO217" s="30"/>
      <c r="CP217" s="30"/>
      <c r="CQ217" s="30"/>
      <c r="CR217" s="30"/>
      <c r="CS217" s="30"/>
      <c r="CT217" s="30"/>
      <c r="CU217" s="30"/>
      <c r="CV217" s="30"/>
      <c r="CW217" s="30"/>
      <c r="CX217" s="30"/>
      <c r="CY217" s="30"/>
      <c r="CZ217" s="30"/>
      <c r="DA217" s="30"/>
    </row>
    <row r="218" spans="1:105" s="184" customFormat="1" ht="19.2" thickTop="1" thickBot="1" x14ac:dyDescent="0.4">
      <c r="A218" s="30"/>
      <c r="B218" s="30"/>
      <c r="C218" s="188" t="s">
        <v>790</v>
      </c>
      <c r="D218" s="46" t="s">
        <v>777</v>
      </c>
      <c r="E218" s="35" t="str">
        <f>_xlfn.XLOOKUP(Tabella4[[#This Row],[NOME]],'ROSE SQUADRE'!$N$3:$N$253,'ROSE SQUADRE'!$O$3:$O$253,"")</f>
        <v/>
      </c>
      <c r="F218" s="36" t="s">
        <v>162</v>
      </c>
      <c r="G218" s="43">
        <v>6</v>
      </c>
      <c r="H218" s="43">
        <v>6</v>
      </c>
      <c r="I218" s="44">
        <f t="shared" si="19"/>
        <v>0</v>
      </c>
      <c r="J218" s="37">
        <f t="shared" si="20"/>
        <v>2</v>
      </c>
      <c r="K218" s="38">
        <f t="shared" si="21"/>
        <v>6.75</v>
      </c>
      <c r="L218" s="38">
        <f t="shared" si="22"/>
        <v>9.75</v>
      </c>
      <c r="M218" s="39">
        <f t="shared" si="23"/>
        <v>19.5</v>
      </c>
      <c r="N218" s="45">
        <f t="shared" ca="1" si="24"/>
        <v>0</v>
      </c>
      <c r="O218" s="40">
        <f>SUMIF(Tabella1[Nome],Tabella4[[#This Row],[NOME]],Tabella1[Gf])</f>
        <v>2</v>
      </c>
      <c r="P218" s="40">
        <f>-(SUMIF(Tabella1[Nome],Tabella4[[#This Row],[NOME]],Tabella1[Gs]))</f>
        <v>0</v>
      </c>
      <c r="Q218" s="40">
        <f>SUMIF(Tabella1[Nome],Tabella4[[#This Row],[NOME]],Tabella1[Rp])</f>
        <v>0</v>
      </c>
      <c r="R218" s="40">
        <f>SUMIF(Tabella1[Nome],Tabella4[[#This Row],[NOME]],Tabella1[Rs])</f>
        <v>0</v>
      </c>
      <c r="S218" s="40">
        <f>SUMIF(Tabella1[Nome],Tabella4[[#This Row],[NOME]],Tabella1[Rf])</f>
        <v>0</v>
      </c>
      <c r="T218" s="40">
        <f>SUMIF(Tabella1[Nome],Tabella4[[#This Row],[NOME]],Tabella1[Au])</f>
        <v>0</v>
      </c>
      <c r="U218" s="41">
        <f>SUMIF(Tabella1[Nome],Tabella4[[#This Row],[NOME]],Tabella1[Amm])</f>
        <v>0</v>
      </c>
      <c r="V218" s="42">
        <f>SUMIF(Tabella1[Nome],Tabella4[[#This Row],[NOME]],Tabella1[Esp])</f>
        <v>0</v>
      </c>
      <c r="W218" s="40">
        <f>SUMIF(Tabella1[Nome],Tabella4[[#This Row],[NOME]],Tabella1[Ass])</f>
        <v>0</v>
      </c>
      <c r="X218" s="40">
        <f>SUMIF(Tabella1[Nome],Tabella4[[#This Row],[NOME]],Tabella1[Gdv])</f>
        <v>0</v>
      </c>
      <c r="Y218" s="40">
        <f>SUMIF(Tabella1[Nome],Tabella4[[#This Row],[NOME]],Tabella1[cl sh])</f>
        <v>0</v>
      </c>
      <c r="Z218" s="270">
        <f>_xlfn.IFNA(_xlfn.XLOOKUP(CONCATENATE(Z$4,$C218),Tabella1[CONC X VOTI IN TAB GIOC],Tabella1[Voto],""),"")</f>
        <v>6</v>
      </c>
      <c r="AA218" s="270" t="str">
        <f>_xlfn.IFNA(_xlfn.XLOOKUP(CONCATENATE(AA$4,$C218),Tabella1[CONC X VOTI IN TAB GIOC],Tabella1[Voto],""),"")</f>
        <v/>
      </c>
      <c r="AB218" s="270" t="str">
        <f>_xlfn.IFNA(_xlfn.XLOOKUP(CONCATENATE(AB$4,$C218),Tabella1[CONC X VOTI IN TAB GIOC],Tabella1[Voto]),"")</f>
        <v/>
      </c>
      <c r="AC218" s="270" cm="1">
        <f t="array" ref="AC218">_xlfn.IFNA(_xlfn.XLOOKUP(CONCATENATE(AC$4,$C218),INDEX(Tabella1[],0,MATCH("CONC X VOTI IN TAB GIOC",Tabella1[#Headers],0)),INDEX(Tabella1[],0,MATCH("Voto",Tabella1[#Headers],0))),"")</f>
        <v>7.5</v>
      </c>
      <c r="AD218" s="270" t="str">
        <f>_xlfn.IFNA(_xlfn.XLOOKUP(CONCATENATE(AD$4,$C218),Tabella1[CONC X VOTI IN TAB GIOC],Tabella1[Voto]),"")</f>
        <v/>
      </c>
      <c r="AE218" s="270" t="str">
        <f>_xlfn.IFNA(VLOOKUP(CONCATENATE(AE$4,$C218),'INSER DATA'!$A:$F,6,0),"")</f>
        <v/>
      </c>
      <c r="AF218" s="270" t="str">
        <f>_xlfn.IFNA(VLOOKUP(CONCATENATE(AF$4,$C218),'INSER DATA'!$A:$F,6,0),"")</f>
        <v/>
      </c>
      <c r="AG218" s="270" t="str">
        <f>_xlfn.IFNA(VLOOKUP(CONCATENATE(AG$4,$C218),'INSER DATA'!$A:$F,6,0),"")</f>
        <v/>
      </c>
      <c r="AH218" s="270" t="str">
        <f>_xlfn.IFNA(VLOOKUP(CONCATENATE(AH$4,$C218),'INSER DATA'!$A:$F,7,0),"")</f>
        <v/>
      </c>
      <c r="AI218" s="270" t="str">
        <f>_xlfn.IFNA(VLOOKUP(CONCATENATE(AI$4,$C218),'INSER DATA'!$A:$F,7,0),"")</f>
        <v/>
      </c>
      <c r="AJ218" s="270" t="str">
        <f>_xlfn.IFNA(VLOOKUP(CONCATENATE(AJ$4,$C218),'INSER DATA'!$A:$F,7,0),"")</f>
        <v/>
      </c>
      <c r="AK218" s="270" t="str">
        <f>_xlfn.IFNA(VLOOKUP(CONCATENATE(AK$4,$C218),'INSER DATA'!$A:$F,7,0),"")</f>
        <v/>
      </c>
      <c r="AL218" s="270" t="str">
        <f>_xlfn.IFNA(VLOOKUP(CONCATENATE(AL$4,$C218),'INSER DATA'!$A:$F,7,0),"")</f>
        <v/>
      </c>
      <c r="AM218" s="270" t="str">
        <f>_xlfn.IFNA(VLOOKUP(CONCATENATE(AM$4,$C218),'INSER DATA'!$A:$F,7,0),"")</f>
        <v/>
      </c>
      <c r="AN218" s="270" t="str">
        <f>_xlfn.IFNA(VLOOKUP(CONCATENATE(AN$4,$C218),'INSER DATA'!$A:$F,7,0),"")</f>
        <v/>
      </c>
      <c r="AO218" s="270" t="str">
        <f>_xlfn.IFNA(VLOOKUP(CONCATENATE(AO$4,$C218),'INSER DATA'!$A:$F,7,0),"")</f>
        <v/>
      </c>
      <c r="AP218" s="270" t="str">
        <f>_xlfn.IFNA(VLOOKUP(CONCATENATE(AP$4,$C218),'INSER DATA'!$A:$F,7,0),"")</f>
        <v/>
      </c>
      <c r="AQ218" s="270" t="str">
        <f>_xlfn.IFNA(VLOOKUP(CONCATENATE(AQ$4,$C218),'INSER DATA'!$A:$F,7,0),"")</f>
        <v/>
      </c>
      <c r="AR218" s="270" t="str">
        <f>_xlfn.IFNA(VLOOKUP(CONCATENATE(AR$4,$C218),'INSER DATA'!$A:$F,7,0),"")</f>
        <v/>
      </c>
      <c r="AS218" s="270" t="str">
        <f>_xlfn.IFNA(VLOOKUP(CONCATENATE(AS$4,$C218),'INSER DATA'!$A:$F,7,0),"")</f>
        <v/>
      </c>
      <c r="AT218" s="270" t="str">
        <f>_xlfn.IFNA(VLOOKUP(CONCATENATE(AT$4,$C218),'INSER DATA'!$A:$F,7,0),"")</f>
        <v/>
      </c>
      <c r="AU218" s="270" t="str">
        <f>_xlfn.IFNA(VLOOKUP(CONCATENATE(AU$4,$C218),'INSER DATA'!$A:$F,7,0),"")</f>
        <v/>
      </c>
      <c r="AV218" s="270" t="str">
        <f>_xlfn.IFNA(VLOOKUP(CONCATENATE(AV$4,$C218),'INSER DATA'!$A:$F,7,0),"")</f>
        <v/>
      </c>
      <c r="AW218" s="270" t="str">
        <f>_xlfn.IFNA(VLOOKUP(CONCATENATE(AW$4,$C218),'INSER DATA'!$A:$F,7,0),"")</f>
        <v/>
      </c>
      <c r="AX218" s="270" t="str">
        <f>_xlfn.IFNA(VLOOKUP(CONCATENATE(AX$4,$C218),'INSER DATA'!$A:$F,7,0),"")</f>
        <v/>
      </c>
      <c r="AY218" s="270" t="str">
        <f>_xlfn.IFNA(VLOOKUP(CONCATENATE(AY$4,$C218),'INSER DATA'!$A:$F,7,0),"")</f>
        <v/>
      </c>
      <c r="AZ218" s="270" t="str">
        <f>_xlfn.IFNA(VLOOKUP(CONCATENATE(AZ$4,$C218),'INSER DATA'!$A:$F,7,0),"")</f>
        <v/>
      </c>
      <c r="BA218" s="270" t="str">
        <f>_xlfn.IFNA(VLOOKUP(CONCATENATE(BA$4,$C218),'INSER DATA'!$A:$F,7,0),"")</f>
        <v/>
      </c>
      <c r="BB218" s="270" t="str">
        <f>_xlfn.IFNA(VLOOKUP(CONCATENATE(BB$4,$C218),'INSER DATA'!$A:$F,7,0),"")</f>
        <v/>
      </c>
      <c r="BC218" s="270" t="str">
        <f>_xlfn.IFNA(VLOOKUP(CONCATENATE(BC$4,$C218),'INSER DATA'!$A:$F,7,0),"")</f>
        <v/>
      </c>
      <c r="BD218" s="270" t="str">
        <f>_xlfn.IFNA(VLOOKUP(CONCATENATE(BD$4,$C218),'INSER DATA'!$A:$F,7,0),"")</f>
        <v/>
      </c>
      <c r="BE218" s="270" t="str">
        <f>_xlfn.IFNA(VLOOKUP(CONCATENATE(BE$4,$C218),'INSER DATA'!$A:$F,7,0),"")</f>
        <v/>
      </c>
      <c r="BF218" s="270" t="str">
        <f>_xlfn.IFNA(VLOOKUP(CONCATENATE(BF$4,$C218),'INSER DATA'!$A:$F,7,0),"")</f>
        <v/>
      </c>
      <c r="BG218" s="270" t="str">
        <f>_xlfn.IFNA(VLOOKUP(CONCATENATE(BG$4,$C218),'INSER DATA'!$A:$F,7,0),"")</f>
        <v/>
      </c>
      <c r="BH218" s="270" t="str">
        <f>_xlfn.IFNA(VLOOKUP(CONCATENATE(BH$4,$C218),'INSER DATA'!$A:$F,7,0),"")</f>
        <v/>
      </c>
      <c r="BI218" s="270" t="str">
        <f>_xlfn.IFNA(VLOOKUP(CONCATENATE(BI$4,$C218),'INSER DATA'!$A:$F,7,0),"")</f>
        <v/>
      </c>
      <c r="BJ218" s="270" t="str">
        <f>_xlfn.IFNA(VLOOKUP(CONCATENATE(BJ$4,$C218),'INSER DATA'!$A:$F,7,0),"")</f>
        <v/>
      </c>
      <c r="BK218" s="270" t="str">
        <f>_xlfn.IFNA(VLOOKUP(CONCATENATE(BK$4,$C218),'INSER DATA'!$A:$F,7,0),"")</f>
        <v/>
      </c>
      <c r="BL218" s="272"/>
    </row>
    <row r="219" spans="1:105" ht="19.2" thickTop="1" thickBot="1" x14ac:dyDescent="0.4">
      <c r="A219" s="30"/>
      <c r="B219" s="30"/>
      <c r="C219" s="360" t="s">
        <v>791</v>
      </c>
      <c r="D219" s="359" t="s">
        <v>777</v>
      </c>
      <c r="E219" s="35" t="str">
        <f>_xlfn.XLOOKUP(Tabella4[[#This Row],[NOME]],'ROSE SQUADRE'!$N$3:$N$253,'ROSE SQUADRE'!$O$3:$O$253,"")</f>
        <v>TRICCHETRACHT</v>
      </c>
      <c r="F219" s="36" t="s">
        <v>163</v>
      </c>
      <c r="G219" s="43">
        <v>6</v>
      </c>
      <c r="H219" s="43">
        <v>6</v>
      </c>
      <c r="I219" s="44">
        <f t="shared" si="19"/>
        <v>0</v>
      </c>
      <c r="J219" s="37">
        <f t="shared" si="20"/>
        <v>3</v>
      </c>
      <c r="K219" s="38">
        <f t="shared" si="21"/>
        <v>5.833333333333333</v>
      </c>
      <c r="L219" s="38">
        <f t="shared" si="22"/>
        <v>5.833333333333333</v>
      </c>
      <c r="M219" s="39">
        <f t="shared" si="23"/>
        <v>17.5</v>
      </c>
      <c r="N219" s="45">
        <f t="shared" ca="1" si="24"/>
        <v>1</v>
      </c>
      <c r="O219" s="40">
        <f>SUMIF(Tabella1[Nome],Tabella4[[#This Row],[NOME]],Tabella1[Gf])</f>
        <v>0</v>
      </c>
      <c r="P219" s="40">
        <f>-(SUMIF(Tabella1[Nome],Tabella4[[#This Row],[NOME]],Tabella1[Gs]))</f>
        <v>0</v>
      </c>
      <c r="Q219" s="40">
        <f>SUMIF(Tabella1[Nome],Tabella4[[#This Row],[NOME]],Tabella1[Rp])</f>
        <v>0</v>
      </c>
      <c r="R219" s="40">
        <f>SUMIF(Tabella1[Nome],Tabella4[[#This Row],[NOME]],Tabella1[Rs])</f>
        <v>0</v>
      </c>
      <c r="S219" s="40">
        <f>SUMIF(Tabella1[Nome],Tabella4[[#This Row],[NOME]],Tabella1[Rf])</f>
        <v>0</v>
      </c>
      <c r="T219" s="40">
        <f>SUMIF(Tabella1[Nome],Tabella4[[#This Row],[NOME]],Tabella1[Au])</f>
        <v>0</v>
      </c>
      <c r="U219" s="41">
        <f>SUMIF(Tabella1[Nome],Tabella4[[#This Row],[NOME]],Tabella1[Amm])</f>
        <v>0</v>
      </c>
      <c r="V219" s="42">
        <f>SUMIF(Tabella1[Nome],Tabella4[[#This Row],[NOME]],Tabella1[Esp])</f>
        <v>0</v>
      </c>
      <c r="W219" s="40">
        <f>SUMIF(Tabella1[Nome],Tabella4[[#This Row],[NOME]],Tabella1[Ass])</f>
        <v>0</v>
      </c>
      <c r="X219" s="40">
        <f>SUMIF(Tabella1[Nome],Tabella4[[#This Row],[NOME]],Tabella1[Gdv])</f>
        <v>0</v>
      </c>
      <c r="Y219" s="40">
        <f>SUMIF(Tabella1[Nome],Tabella4[[#This Row],[NOME]],Tabella1[cl sh])</f>
        <v>0</v>
      </c>
      <c r="Z219" s="270">
        <f>_xlfn.IFNA(_xlfn.XLOOKUP(CONCATENATE(Z$4,$C219),Tabella1[CONC X VOTI IN TAB GIOC],Tabella1[Voto],""),"")</f>
        <v>6</v>
      </c>
      <c r="AA219" s="270">
        <f>_xlfn.IFNA(_xlfn.XLOOKUP(CONCATENATE(AA$4,$C219),Tabella1[CONC X VOTI IN TAB GIOC],Tabella1[Voto],""),"")</f>
        <v>6</v>
      </c>
      <c r="AB219" s="400">
        <f>_xlfn.IFNA(_xlfn.XLOOKUP(CONCATENATE(AB$4,$C219),Tabella1[CONC X VOTI IN TAB GIOC],Tabella1[Voto]),"")</f>
        <v>5.5</v>
      </c>
      <c r="AC219" s="270" t="str" cm="1">
        <f t="array" ref="AC219">_xlfn.IFNA(_xlfn.XLOOKUP(CONCATENATE(AC$4,$C219),INDEX(Tabella1[],0,MATCH("CONC X VOTI IN TAB GIOC",Tabella1[#Headers],0)),INDEX(Tabella1[],0,MATCH("Voto",Tabella1[#Headers],0))),"")</f>
        <v/>
      </c>
      <c r="AD219" s="270" t="str">
        <f>_xlfn.IFNA(_xlfn.XLOOKUP(CONCATENATE(AD$4,$C219),Tabella1[CONC X VOTI IN TAB GIOC],Tabella1[Voto]),"")</f>
        <v/>
      </c>
      <c r="AE219" s="270" t="str">
        <f>_xlfn.IFNA(VLOOKUP(CONCATENATE(AE$4,$C219),'INSER DATA'!$A:$F,6,0),"")</f>
        <v/>
      </c>
      <c r="AF219" s="270" t="str">
        <f>_xlfn.IFNA(VLOOKUP(CONCATENATE(AF$4,$C219),'INSER DATA'!$A:$F,6,0),"")</f>
        <v/>
      </c>
      <c r="AG219" s="270" t="str">
        <f>_xlfn.IFNA(VLOOKUP(CONCATENATE(AG$4,$C219),'INSER DATA'!$A:$F,6,0),"")</f>
        <v/>
      </c>
      <c r="AH219" s="270" t="str">
        <f>_xlfn.IFNA(VLOOKUP(CONCATENATE(AH$4,$C219),'INSER DATA'!$A:$F,7,0),"")</f>
        <v/>
      </c>
      <c r="AI219" s="270" t="str">
        <f>_xlfn.IFNA(VLOOKUP(CONCATENATE(AI$4,$C219),'INSER DATA'!$A:$F,7,0),"")</f>
        <v/>
      </c>
      <c r="AJ219" s="270" t="str">
        <f>_xlfn.IFNA(VLOOKUP(CONCATENATE(AJ$4,$C219),'INSER DATA'!$A:$F,7,0),"")</f>
        <v/>
      </c>
      <c r="AK219" s="270" t="str">
        <f>_xlfn.IFNA(VLOOKUP(CONCATENATE(AK$4,$C219),'INSER DATA'!$A:$F,7,0),"")</f>
        <v/>
      </c>
      <c r="AL219" s="270" t="str">
        <f>_xlfn.IFNA(VLOOKUP(CONCATENATE(AL$4,$C219),'INSER DATA'!$A:$F,7,0),"")</f>
        <v/>
      </c>
      <c r="AM219" s="270" t="str">
        <f>_xlfn.IFNA(VLOOKUP(CONCATENATE(AM$4,$C219),'INSER DATA'!$A:$F,7,0),"")</f>
        <v/>
      </c>
      <c r="AN219" s="270" t="str">
        <f>_xlfn.IFNA(VLOOKUP(CONCATENATE(AN$4,$C219),'INSER DATA'!$A:$F,7,0),"")</f>
        <v/>
      </c>
      <c r="AO219" s="270" t="str">
        <f>_xlfn.IFNA(VLOOKUP(CONCATENATE(AO$4,$C219),'INSER DATA'!$A:$F,7,0),"")</f>
        <v/>
      </c>
      <c r="AP219" s="270" t="str">
        <f>_xlfn.IFNA(VLOOKUP(CONCATENATE(AP$4,$C219),'INSER DATA'!$A:$F,7,0),"")</f>
        <v/>
      </c>
      <c r="AQ219" s="270" t="str">
        <f>_xlfn.IFNA(VLOOKUP(CONCATENATE(AQ$4,$C219),'INSER DATA'!$A:$F,7,0),"")</f>
        <v/>
      </c>
      <c r="AR219" s="270" t="str">
        <f>_xlfn.IFNA(VLOOKUP(CONCATENATE(AR$4,$C219),'INSER DATA'!$A:$F,7,0),"")</f>
        <v/>
      </c>
      <c r="AS219" s="270" t="str">
        <f>_xlfn.IFNA(VLOOKUP(CONCATENATE(AS$4,$C219),'INSER DATA'!$A:$F,7,0),"")</f>
        <v/>
      </c>
      <c r="AT219" s="270" t="str">
        <f>_xlfn.IFNA(VLOOKUP(CONCATENATE(AT$4,$C219),'INSER DATA'!$A:$F,7,0),"")</f>
        <v/>
      </c>
      <c r="AU219" s="270" t="str">
        <f>_xlfn.IFNA(VLOOKUP(CONCATENATE(AU$4,$C219),'INSER DATA'!$A:$F,7,0),"")</f>
        <v/>
      </c>
      <c r="AV219" s="270" t="str">
        <f>_xlfn.IFNA(VLOOKUP(CONCATENATE(AV$4,$C219),'INSER DATA'!$A:$F,7,0),"")</f>
        <v/>
      </c>
      <c r="AW219" s="270" t="str">
        <f>_xlfn.IFNA(VLOOKUP(CONCATENATE(AW$4,$C219),'INSER DATA'!$A:$F,7,0),"")</f>
        <v/>
      </c>
      <c r="AX219" s="270" t="str">
        <f>_xlfn.IFNA(VLOOKUP(CONCATENATE(AX$4,$C219),'INSER DATA'!$A:$F,7,0),"")</f>
        <v/>
      </c>
      <c r="AY219" s="270" t="str">
        <f>_xlfn.IFNA(VLOOKUP(CONCATENATE(AY$4,$C219),'INSER DATA'!$A:$F,7,0),"")</f>
        <v/>
      </c>
      <c r="AZ219" s="270" t="str">
        <f>_xlfn.IFNA(VLOOKUP(CONCATENATE(AZ$4,$C219),'INSER DATA'!$A:$F,7,0),"")</f>
        <v/>
      </c>
      <c r="BA219" s="270" t="str">
        <f>_xlfn.IFNA(VLOOKUP(CONCATENATE(BA$4,$C219),'INSER DATA'!$A:$F,7,0),"")</f>
        <v/>
      </c>
      <c r="BB219" s="270" t="str">
        <f>_xlfn.IFNA(VLOOKUP(CONCATENATE(BB$4,$C219),'INSER DATA'!$A:$F,7,0),"")</f>
        <v/>
      </c>
      <c r="BC219" s="270" t="str">
        <f>_xlfn.IFNA(VLOOKUP(CONCATENATE(BC$4,$C219),'INSER DATA'!$A:$F,7,0),"")</f>
        <v/>
      </c>
      <c r="BD219" s="270" t="str">
        <f>_xlfn.IFNA(VLOOKUP(CONCATENATE(BD$4,$C219),'INSER DATA'!$A:$F,7,0),"")</f>
        <v/>
      </c>
      <c r="BE219" s="270" t="str">
        <f>_xlfn.IFNA(VLOOKUP(CONCATENATE(BE$4,$C219),'INSER DATA'!$A:$F,7,0),"")</f>
        <v/>
      </c>
      <c r="BF219" s="270" t="str">
        <f>_xlfn.IFNA(VLOOKUP(CONCATENATE(BF$4,$C219),'INSER DATA'!$A:$F,7,0),"")</f>
        <v/>
      </c>
      <c r="BG219" s="270" t="str">
        <f>_xlfn.IFNA(VLOOKUP(CONCATENATE(BG$4,$C219),'INSER DATA'!$A:$F,7,0),"")</f>
        <v/>
      </c>
      <c r="BH219" s="270" t="str">
        <f>_xlfn.IFNA(VLOOKUP(CONCATENATE(BH$4,$C219),'INSER DATA'!$A:$F,7,0),"")</f>
        <v/>
      </c>
      <c r="BI219" s="270" t="str">
        <f>_xlfn.IFNA(VLOOKUP(CONCATENATE(BI$4,$C219),'INSER DATA'!$A:$F,7,0),"")</f>
        <v/>
      </c>
      <c r="BJ219" s="270" t="str">
        <f>_xlfn.IFNA(VLOOKUP(CONCATENATE(BJ$4,$C219),'INSER DATA'!$A:$F,7,0),"")</f>
        <v/>
      </c>
      <c r="BK219" s="270" t="str">
        <f>_xlfn.IFNA(VLOOKUP(CONCATENATE(BK$4,$C219),'INSER DATA'!$A:$F,7,0),"")</f>
        <v/>
      </c>
      <c r="BL219" s="272"/>
      <c r="BM219" s="30"/>
      <c r="BN219" s="30"/>
      <c r="BO219" s="30"/>
      <c r="BP219" s="30"/>
      <c r="BQ219" s="30"/>
      <c r="BR219" s="30"/>
      <c r="BS219" s="30"/>
      <c r="BT219" s="30"/>
      <c r="BU219" s="30"/>
      <c r="BV219" s="30"/>
      <c r="BW219" s="30"/>
      <c r="BX219" s="30"/>
      <c r="BY219" s="30"/>
      <c r="BZ219" s="30"/>
      <c r="CA219" s="30"/>
      <c r="CB219" s="30"/>
      <c r="CC219" s="30"/>
      <c r="CD219" s="30"/>
      <c r="CE219" s="30"/>
      <c r="CF219" s="30"/>
      <c r="CG219" s="30"/>
      <c r="CH219" s="30"/>
      <c r="CI219" s="30"/>
      <c r="CJ219" s="30"/>
      <c r="CK219" s="30"/>
      <c r="CL219" s="30"/>
      <c r="CM219" s="30"/>
      <c r="CN219" s="30"/>
      <c r="CO219" s="30"/>
      <c r="CP219" s="30"/>
      <c r="CQ219" s="30"/>
      <c r="CR219" s="30"/>
      <c r="CS219" s="30"/>
      <c r="CT219" s="30"/>
      <c r="CU219" s="30"/>
      <c r="CV219" s="30"/>
      <c r="CW219" s="30"/>
      <c r="CX219" s="30"/>
      <c r="CY219" s="30"/>
      <c r="CZ219" s="30"/>
      <c r="DA219" s="30"/>
    </row>
    <row r="220" spans="1:105" ht="19.2" thickTop="1" thickBot="1" x14ac:dyDescent="0.4">
      <c r="A220" s="30"/>
      <c r="B220" s="30"/>
      <c r="C220" s="188" t="s">
        <v>782</v>
      </c>
      <c r="D220" s="187" t="s">
        <v>777</v>
      </c>
      <c r="E220" s="35" t="str">
        <f>_xlfn.XLOOKUP(Tabella4[[#This Row],[NOME]],'ROSE SQUADRE'!$N$3:$N$253,'ROSE SQUADRE'!$O$3:$O$253,"")</f>
        <v/>
      </c>
      <c r="F220" s="36" t="s">
        <v>161</v>
      </c>
      <c r="G220" s="43">
        <v>5</v>
      </c>
      <c r="H220" s="43">
        <v>5</v>
      </c>
      <c r="I220" s="44">
        <f t="shared" si="19"/>
        <v>0</v>
      </c>
      <c r="J220" s="37">
        <f t="shared" si="20"/>
        <v>3</v>
      </c>
      <c r="K220" s="38">
        <f t="shared" si="21"/>
        <v>5.5</v>
      </c>
      <c r="L220" s="38">
        <f t="shared" si="22"/>
        <v>5.5</v>
      </c>
      <c r="M220" s="39">
        <f t="shared" si="23"/>
        <v>16.5</v>
      </c>
      <c r="N220" s="45">
        <f t="shared" ca="1" si="24"/>
        <v>0</v>
      </c>
      <c r="O220" s="40">
        <f>SUMIF(Tabella1[Nome],Tabella4[[#This Row],[NOME]],Tabella1[Gf])</f>
        <v>0</v>
      </c>
      <c r="P220" s="40">
        <f>-(SUMIF(Tabella1[Nome],Tabella4[[#This Row],[NOME]],Tabella1[Gs]))</f>
        <v>0</v>
      </c>
      <c r="Q220" s="40">
        <f>SUMIF(Tabella1[Nome],Tabella4[[#This Row],[NOME]],Tabella1[Rp])</f>
        <v>0</v>
      </c>
      <c r="R220" s="40">
        <f>SUMIF(Tabella1[Nome],Tabella4[[#This Row],[NOME]],Tabella1[Rs])</f>
        <v>0</v>
      </c>
      <c r="S220" s="40">
        <f>SUMIF(Tabella1[Nome],Tabella4[[#This Row],[NOME]],Tabella1[Rf])</f>
        <v>0</v>
      </c>
      <c r="T220" s="40">
        <f>SUMIF(Tabella1[Nome],Tabella4[[#This Row],[NOME]],Tabella1[Au])</f>
        <v>0</v>
      </c>
      <c r="U220" s="41">
        <f>SUMIF(Tabella1[Nome],Tabella4[[#This Row],[NOME]],Tabella1[Amm])</f>
        <v>0</v>
      </c>
      <c r="V220" s="42">
        <f>SUMIF(Tabella1[Nome],Tabella4[[#This Row],[NOME]],Tabella1[Esp])</f>
        <v>0</v>
      </c>
      <c r="W220" s="40">
        <f>SUMIF(Tabella1[Nome],Tabella4[[#This Row],[NOME]],Tabella1[Ass])</f>
        <v>0</v>
      </c>
      <c r="X220" s="40">
        <f>SUMIF(Tabella1[Nome],Tabella4[[#This Row],[NOME]],Tabella1[Gdv])</f>
        <v>0</v>
      </c>
      <c r="Y220" s="40">
        <f>SUMIF(Tabella1[Nome],Tabella4[[#This Row],[NOME]],Tabella1[cl sh])</f>
        <v>0</v>
      </c>
      <c r="Z220" s="270">
        <f>_xlfn.IFNA(_xlfn.XLOOKUP(CONCATENATE(Z$4,$C220),Tabella1[CONC X VOTI IN TAB GIOC],Tabella1[Voto],""),"")</f>
        <v>5.5</v>
      </c>
      <c r="AA220" s="270">
        <f>_xlfn.IFNA(_xlfn.XLOOKUP(CONCATENATE(AA$4,$C220),Tabella1[CONC X VOTI IN TAB GIOC],Tabella1[Voto],""),"")</f>
        <v>6</v>
      </c>
      <c r="AB220" s="270" t="str">
        <f>_xlfn.IFNA(_xlfn.XLOOKUP(CONCATENATE(AB$4,$C220),Tabella1[CONC X VOTI IN TAB GIOC],Tabella1[Voto]),"")</f>
        <v/>
      </c>
      <c r="AC220" s="270" cm="1">
        <f t="array" ref="AC220">_xlfn.IFNA(_xlfn.XLOOKUP(CONCATENATE(AC$4,$C220),INDEX(Tabella1[],0,MATCH("CONC X VOTI IN TAB GIOC",Tabella1[#Headers],0)),INDEX(Tabella1[],0,MATCH("Voto",Tabella1[#Headers],0))),"")</f>
        <v>5</v>
      </c>
      <c r="AD220" s="270" t="str">
        <f>_xlfn.IFNA(_xlfn.XLOOKUP(CONCATENATE(AD$4,$C220),Tabella1[CONC X VOTI IN TAB GIOC],Tabella1[Voto]),"")</f>
        <v/>
      </c>
      <c r="AE220" s="270" t="str">
        <f>_xlfn.IFNA(VLOOKUP(CONCATENATE(AE$4,$C220),'INSER DATA'!$A:$F,6,0),"")</f>
        <v/>
      </c>
      <c r="AF220" s="270" t="str">
        <f>_xlfn.IFNA(VLOOKUP(CONCATENATE(AF$4,$C220),'INSER DATA'!$A:$F,6,0),"")</f>
        <v/>
      </c>
      <c r="AG220" s="270" t="str">
        <f>_xlfn.IFNA(VLOOKUP(CONCATENATE(AG$4,$C220),'INSER DATA'!$A:$F,6,0),"")</f>
        <v/>
      </c>
      <c r="AH220" s="270" t="str">
        <f>_xlfn.IFNA(VLOOKUP(CONCATENATE(AH$4,$C220),'INSER DATA'!$A:$F,7,0),"")</f>
        <v/>
      </c>
      <c r="AI220" s="270" t="str">
        <f>_xlfn.IFNA(VLOOKUP(CONCATENATE(AI$4,$C220),'INSER DATA'!$A:$F,7,0),"")</f>
        <v/>
      </c>
      <c r="AJ220" s="270" t="str">
        <f>_xlfn.IFNA(VLOOKUP(CONCATENATE(AJ$4,$C220),'INSER DATA'!$A:$F,7,0),"")</f>
        <v/>
      </c>
      <c r="AK220" s="270" t="str">
        <f>_xlfn.IFNA(VLOOKUP(CONCATENATE(AK$4,$C220),'INSER DATA'!$A:$F,7,0),"")</f>
        <v/>
      </c>
      <c r="AL220" s="270" t="str">
        <f>_xlfn.IFNA(VLOOKUP(CONCATENATE(AL$4,$C220),'INSER DATA'!$A:$F,7,0),"")</f>
        <v/>
      </c>
      <c r="AM220" s="270" t="str">
        <f>_xlfn.IFNA(VLOOKUP(CONCATENATE(AM$4,$C220),'INSER DATA'!$A:$F,7,0),"")</f>
        <v/>
      </c>
      <c r="AN220" s="270" t="str">
        <f>_xlfn.IFNA(VLOOKUP(CONCATENATE(AN$4,$C220),'INSER DATA'!$A:$F,7,0),"")</f>
        <v/>
      </c>
      <c r="AO220" s="270" t="str">
        <f>_xlfn.IFNA(VLOOKUP(CONCATENATE(AO$4,$C220),'INSER DATA'!$A:$F,7,0),"")</f>
        <v/>
      </c>
      <c r="AP220" s="270" t="str">
        <f>_xlfn.IFNA(VLOOKUP(CONCATENATE(AP$4,$C220),'INSER DATA'!$A:$F,7,0),"")</f>
        <v/>
      </c>
      <c r="AQ220" s="270" t="str">
        <f>_xlfn.IFNA(VLOOKUP(CONCATENATE(AQ$4,$C220),'INSER DATA'!$A:$F,7,0),"")</f>
        <v/>
      </c>
      <c r="AR220" s="270" t="str">
        <f>_xlfn.IFNA(VLOOKUP(CONCATENATE(AR$4,$C220),'INSER DATA'!$A:$F,7,0),"")</f>
        <v/>
      </c>
      <c r="AS220" s="270" t="str">
        <f>_xlfn.IFNA(VLOOKUP(CONCATENATE(AS$4,$C220),'INSER DATA'!$A:$F,7,0),"")</f>
        <v/>
      </c>
      <c r="AT220" s="270" t="str">
        <f>_xlfn.IFNA(VLOOKUP(CONCATENATE(AT$4,$C220),'INSER DATA'!$A:$F,7,0),"")</f>
        <v/>
      </c>
      <c r="AU220" s="270" t="str">
        <f>_xlfn.IFNA(VLOOKUP(CONCATENATE(AU$4,$C220),'INSER DATA'!$A:$F,7,0),"")</f>
        <v/>
      </c>
      <c r="AV220" s="270" t="str">
        <f>_xlfn.IFNA(VLOOKUP(CONCATENATE(AV$4,$C220),'INSER DATA'!$A:$F,7,0),"")</f>
        <v/>
      </c>
      <c r="AW220" s="270" t="str">
        <f>_xlfn.IFNA(VLOOKUP(CONCATENATE(AW$4,$C220),'INSER DATA'!$A:$F,7,0),"")</f>
        <v/>
      </c>
      <c r="AX220" s="270" t="str">
        <f>_xlfn.IFNA(VLOOKUP(CONCATENATE(AX$4,$C220),'INSER DATA'!$A:$F,7,0),"")</f>
        <v/>
      </c>
      <c r="AY220" s="270" t="str">
        <f>_xlfn.IFNA(VLOOKUP(CONCATENATE(AY$4,$C220),'INSER DATA'!$A:$F,7,0),"")</f>
        <v/>
      </c>
      <c r="AZ220" s="270" t="str">
        <f>_xlfn.IFNA(VLOOKUP(CONCATENATE(AZ$4,$C220),'INSER DATA'!$A:$F,7,0),"")</f>
        <v/>
      </c>
      <c r="BA220" s="270" t="str">
        <f>_xlfn.IFNA(VLOOKUP(CONCATENATE(BA$4,$C220),'INSER DATA'!$A:$F,7,0),"")</f>
        <v/>
      </c>
      <c r="BB220" s="270" t="str">
        <f>_xlfn.IFNA(VLOOKUP(CONCATENATE(BB$4,$C220),'INSER DATA'!$A:$F,7,0),"")</f>
        <v/>
      </c>
      <c r="BC220" s="270" t="str">
        <f>_xlfn.IFNA(VLOOKUP(CONCATENATE(BC$4,$C220),'INSER DATA'!$A:$F,7,0),"")</f>
        <v/>
      </c>
      <c r="BD220" s="270" t="str">
        <f>_xlfn.IFNA(VLOOKUP(CONCATENATE(BD$4,$C220),'INSER DATA'!$A:$F,7,0),"")</f>
        <v/>
      </c>
      <c r="BE220" s="270" t="str">
        <f>_xlfn.IFNA(VLOOKUP(CONCATENATE(BE$4,$C220),'INSER DATA'!$A:$F,7,0),"")</f>
        <v/>
      </c>
      <c r="BF220" s="270" t="str">
        <f>_xlfn.IFNA(VLOOKUP(CONCATENATE(BF$4,$C220),'INSER DATA'!$A:$F,7,0),"")</f>
        <v/>
      </c>
      <c r="BG220" s="270" t="str">
        <f>_xlfn.IFNA(VLOOKUP(CONCATENATE(BG$4,$C220),'INSER DATA'!$A:$F,7,0),"")</f>
        <v/>
      </c>
      <c r="BH220" s="270" t="str">
        <f>_xlfn.IFNA(VLOOKUP(CONCATENATE(BH$4,$C220),'INSER DATA'!$A:$F,7,0),"")</f>
        <v/>
      </c>
      <c r="BI220" s="270" t="str">
        <f>_xlfn.IFNA(VLOOKUP(CONCATENATE(BI$4,$C220),'INSER DATA'!$A:$F,7,0),"")</f>
        <v/>
      </c>
      <c r="BJ220" s="270" t="str">
        <f>_xlfn.IFNA(VLOOKUP(CONCATENATE(BJ$4,$C220),'INSER DATA'!$A:$F,7,0),"")</f>
        <v/>
      </c>
      <c r="BK220" s="270" t="str">
        <f>_xlfn.IFNA(VLOOKUP(CONCATENATE(BK$4,$C220),'INSER DATA'!$A:$F,7,0),"")</f>
        <v/>
      </c>
      <c r="BL220" s="272"/>
      <c r="BM220" s="30"/>
      <c r="BN220" s="30"/>
      <c r="BO220" s="30"/>
      <c r="BP220" s="30"/>
      <c r="BQ220" s="30"/>
      <c r="BR220" s="30"/>
      <c r="BS220" s="30"/>
      <c r="BT220" s="30"/>
      <c r="BU220" s="30"/>
      <c r="BV220" s="30"/>
      <c r="BW220" s="30"/>
      <c r="BX220" s="30"/>
      <c r="BY220" s="30"/>
      <c r="BZ220" s="30"/>
      <c r="CA220" s="30"/>
      <c r="CB220" s="30"/>
      <c r="CC220" s="30"/>
      <c r="CD220" s="30"/>
      <c r="CE220" s="30"/>
      <c r="CF220" s="30"/>
      <c r="CG220" s="30"/>
      <c r="CH220" s="30"/>
      <c r="CI220" s="30"/>
      <c r="CJ220" s="30"/>
      <c r="CK220" s="30"/>
      <c r="CL220" s="30"/>
      <c r="CM220" s="30"/>
      <c r="CN220" s="30"/>
      <c r="CO220" s="30"/>
      <c r="CP220" s="30"/>
      <c r="CQ220" s="30"/>
      <c r="CR220" s="30"/>
      <c r="CS220" s="30"/>
      <c r="CT220" s="30"/>
      <c r="CU220" s="30"/>
      <c r="CV220" s="30"/>
      <c r="CW220" s="30"/>
      <c r="CX220" s="30"/>
      <c r="CY220" s="30"/>
      <c r="CZ220" s="30"/>
      <c r="DA220" s="30"/>
    </row>
    <row r="221" spans="1:105" ht="19.2" thickTop="1" thickBot="1" x14ac:dyDescent="0.4">
      <c r="A221" s="30"/>
      <c r="B221" s="30"/>
      <c r="C221" s="356" t="s">
        <v>533</v>
      </c>
      <c r="D221" s="357" t="s">
        <v>777</v>
      </c>
      <c r="E221" s="35" t="str">
        <f>_xlfn.XLOOKUP(Tabella4[[#This Row],[NOME]],'ROSE SQUADRE'!$N$3:$N$253,'ROSE SQUADRE'!$O$3:$O$253,"")</f>
        <v>AS PIPPERIA</v>
      </c>
      <c r="F221" s="36" t="s">
        <v>162</v>
      </c>
      <c r="G221" s="43">
        <v>4</v>
      </c>
      <c r="H221" s="43">
        <v>4</v>
      </c>
      <c r="I221" s="44">
        <f t="shared" si="19"/>
        <v>0</v>
      </c>
      <c r="J221" s="37">
        <f t="shared" si="20"/>
        <v>4</v>
      </c>
      <c r="K221" s="178">
        <f t="shared" si="21"/>
        <v>5.375</v>
      </c>
      <c r="L221" s="178">
        <f t="shared" si="22"/>
        <v>5.25</v>
      </c>
      <c r="M221" s="179">
        <f t="shared" si="23"/>
        <v>21</v>
      </c>
      <c r="N221" s="45">
        <f t="shared" ca="1" si="24"/>
        <v>0</v>
      </c>
      <c r="O221" s="40">
        <f>SUMIF(Tabella1[Nome],Tabella4[[#This Row],[NOME]],Tabella1[Gf])</f>
        <v>0</v>
      </c>
      <c r="P221" s="40">
        <f>-(SUMIF(Tabella1[Nome],Tabella4[[#This Row],[NOME]],Tabella1[Gs]))</f>
        <v>0</v>
      </c>
      <c r="Q221" s="40">
        <f>SUMIF(Tabella1[Nome],Tabella4[[#This Row],[NOME]],Tabella1[Rp])</f>
        <v>0</v>
      </c>
      <c r="R221" s="40">
        <f>SUMIF(Tabella1[Nome],Tabella4[[#This Row],[NOME]],Tabella1[Rs])</f>
        <v>0</v>
      </c>
      <c r="S221" s="40">
        <f>SUMIF(Tabella1[Nome],Tabella4[[#This Row],[NOME]],Tabella1[Rf])</f>
        <v>0</v>
      </c>
      <c r="T221" s="40">
        <f>SUMIF(Tabella1[Nome],Tabella4[[#This Row],[NOME]],Tabella1[Au])</f>
        <v>0</v>
      </c>
      <c r="U221" s="41">
        <f>SUMIF(Tabella1[Nome],Tabella4[[#This Row],[NOME]],Tabella1[Amm])</f>
        <v>1</v>
      </c>
      <c r="V221" s="42">
        <f>SUMIF(Tabella1[Nome],Tabella4[[#This Row],[NOME]],Tabella1[Esp])</f>
        <v>0</v>
      </c>
      <c r="W221" s="40">
        <f>SUMIF(Tabella1[Nome],Tabella4[[#This Row],[NOME]],Tabella1[Ass])</f>
        <v>0</v>
      </c>
      <c r="X221" s="40">
        <f>SUMIF(Tabella1[Nome],Tabella4[[#This Row],[NOME]],Tabella1[Gdv])</f>
        <v>0</v>
      </c>
      <c r="Y221" s="40">
        <f>SUMIF(Tabella1[Nome],Tabella4[[#This Row],[NOME]],Tabella1[cl sh])</f>
        <v>0</v>
      </c>
      <c r="Z221" s="270">
        <f>_xlfn.IFNA(_xlfn.XLOOKUP(CONCATENATE(Z$4,$C221),Tabella1[CONC X VOTI IN TAB GIOC],Tabella1[Voto],""),"")</f>
        <v>5.5</v>
      </c>
      <c r="AA221" s="270">
        <f>_xlfn.IFNA(_xlfn.XLOOKUP(CONCATENATE(AA$4,$C221),Tabella1[CONC X VOTI IN TAB GIOC],Tabella1[Voto],""),"")</f>
        <v>6</v>
      </c>
      <c r="AB221" s="270">
        <f>_xlfn.IFNA(_xlfn.XLOOKUP(CONCATENATE(AB$4,$C221),Tabella1[CONC X VOTI IN TAB GIOC],Tabella1[Voto]),"")</f>
        <v>5.5</v>
      </c>
      <c r="AC221" s="270" cm="1">
        <f t="array" ref="AC221">_xlfn.IFNA(_xlfn.XLOOKUP(CONCATENATE(AC$4,$C221),INDEX(Tabella1[],0,MATCH("CONC X VOTI IN TAB GIOC",Tabella1[#Headers],0)),INDEX(Tabella1[],0,MATCH("Voto",Tabella1[#Headers],0))),"")</f>
        <v>4.5</v>
      </c>
      <c r="AD221" s="270" t="str">
        <f>_xlfn.IFNA(_xlfn.XLOOKUP(CONCATENATE(AD$4,$C221),Tabella1[CONC X VOTI IN TAB GIOC],Tabella1[Voto]),"")</f>
        <v/>
      </c>
      <c r="AE221" s="270" t="str">
        <f>_xlfn.IFNA(VLOOKUP(CONCATENATE(AE$4,$C221),'INSER DATA'!$A:$F,6,0),"")</f>
        <v/>
      </c>
      <c r="AF221" s="270" t="str">
        <f>_xlfn.IFNA(VLOOKUP(CONCATENATE(AF$4,$C221),'INSER DATA'!$A:$F,6,0),"")</f>
        <v/>
      </c>
      <c r="AG221" s="270" t="str">
        <f>_xlfn.IFNA(VLOOKUP(CONCATENATE(AG$4,$C221),'INSER DATA'!$A:$F,6,0),"")</f>
        <v/>
      </c>
      <c r="AH221" s="270" t="str">
        <f>_xlfn.IFNA(VLOOKUP(CONCATENATE(AH$4,$C221),'INSER DATA'!$A:$F,7,0),"")</f>
        <v/>
      </c>
      <c r="AI221" s="270" t="str">
        <f>_xlfn.IFNA(VLOOKUP(CONCATENATE(AI$4,$C221),'INSER DATA'!$A:$F,7,0),"")</f>
        <v/>
      </c>
      <c r="AJ221" s="270" t="str">
        <f>_xlfn.IFNA(VLOOKUP(CONCATENATE(AJ$4,$C221),'INSER DATA'!$A:$F,7,0),"")</f>
        <v/>
      </c>
      <c r="AK221" s="270" t="str">
        <f>_xlfn.IFNA(VLOOKUP(CONCATENATE(AK$4,$C221),'INSER DATA'!$A:$F,7,0),"")</f>
        <v/>
      </c>
      <c r="AL221" s="270" t="str">
        <f>_xlfn.IFNA(VLOOKUP(CONCATENATE(AL$4,$C221),'INSER DATA'!$A:$F,7,0),"")</f>
        <v/>
      </c>
      <c r="AM221" s="270" t="str">
        <f>_xlfn.IFNA(VLOOKUP(CONCATENATE(AM$4,$C221),'INSER DATA'!$A:$F,7,0),"")</f>
        <v/>
      </c>
      <c r="AN221" s="270" t="str">
        <f>_xlfn.IFNA(VLOOKUP(CONCATENATE(AN$4,$C221),'INSER DATA'!$A:$F,7,0),"")</f>
        <v/>
      </c>
      <c r="AO221" s="270" t="str">
        <f>_xlfn.IFNA(VLOOKUP(CONCATENATE(AO$4,$C221),'INSER DATA'!$A:$F,7,0),"")</f>
        <v/>
      </c>
      <c r="AP221" s="270" t="str">
        <f>_xlfn.IFNA(VLOOKUP(CONCATENATE(AP$4,$C221),'INSER DATA'!$A:$F,7,0),"")</f>
        <v/>
      </c>
      <c r="AQ221" s="270" t="str">
        <f>_xlfn.IFNA(VLOOKUP(CONCATENATE(AQ$4,$C221),'INSER DATA'!$A:$F,7,0),"")</f>
        <v/>
      </c>
      <c r="AR221" s="270" t="str">
        <f>_xlfn.IFNA(VLOOKUP(CONCATENATE(AR$4,$C221),'INSER DATA'!$A:$F,7,0),"")</f>
        <v/>
      </c>
      <c r="AS221" s="270" t="str">
        <f>_xlfn.IFNA(VLOOKUP(CONCATENATE(AS$4,$C221),'INSER DATA'!$A:$F,7,0),"")</f>
        <v/>
      </c>
      <c r="AT221" s="270" t="str">
        <f>_xlfn.IFNA(VLOOKUP(CONCATENATE(AT$4,$C221),'INSER DATA'!$A:$F,7,0),"")</f>
        <v/>
      </c>
      <c r="AU221" s="270" t="str">
        <f>_xlfn.IFNA(VLOOKUP(CONCATENATE(AU$4,$C221),'INSER DATA'!$A:$F,7,0),"")</f>
        <v/>
      </c>
      <c r="AV221" s="270" t="str">
        <f>_xlfn.IFNA(VLOOKUP(CONCATENATE(AV$4,$C221),'INSER DATA'!$A:$F,7,0),"")</f>
        <v/>
      </c>
      <c r="AW221" s="270" t="str">
        <f>_xlfn.IFNA(VLOOKUP(CONCATENATE(AW$4,$C221),'INSER DATA'!$A:$F,7,0),"")</f>
        <v/>
      </c>
      <c r="AX221" s="270" t="str">
        <f>_xlfn.IFNA(VLOOKUP(CONCATENATE(AX$4,$C221),'INSER DATA'!$A:$F,7,0),"")</f>
        <v/>
      </c>
      <c r="AY221" s="270" t="str">
        <f>_xlfn.IFNA(VLOOKUP(CONCATENATE(AY$4,$C221),'INSER DATA'!$A:$F,7,0),"")</f>
        <v/>
      </c>
      <c r="AZ221" s="270" t="str">
        <f>_xlfn.IFNA(VLOOKUP(CONCATENATE(AZ$4,$C221),'INSER DATA'!$A:$F,7,0),"")</f>
        <v/>
      </c>
      <c r="BA221" s="270" t="str">
        <f>_xlfn.IFNA(VLOOKUP(CONCATENATE(BA$4,$C221),'INSER DATA'!$A:$F,7,0),"")</f>
        <v/>
      </c>
      <c r="BB221" s="270" t="str">
        <f>_xlfn.IFNA(VLOOKUP(CONCATENATE(BB$4,$C221),'INSER DATA'!$A:$F,7,0),"")</f>
        <v/>
      </c>
      <c r="BC221" s="270" t="str">
        <f>_xlfn.IFNA(VLOOKUP(CONCATENATE(BC$4,$C221),'INSER DATA'!$A:$F,7,0),"")</f>
        <v/>
      </c>
      <c r="BD221" s="270" t="str">
        <f>_xlfn.IFNA(VLOOKUP(CONCATENATE(BD$4,$C221),'INSER DATA'!$A:$F,7,0),"")</f>
        <v/>
      </c>
      <c r="BE221" s="270" t="str">
        <f>_xlfn.IFNA(VLOOKUP(CONCATENATE(BE$4,$C221),'INSER DATA'!$A:$F,7,0),"")</f>
        <v/>
      </c>
      <c r="BF221" s="270" t="str">
        <f>_xlfn.IFNA(VLOOKUP(CONCATENATE(BF$4,$C221),'INSER DATA'!$A:$F,7,0),"")</f>
        <v/>
      </c>
      <c r="BG221" s="270" t="str">
        <f>_xlfn.IFNA(VLOOKUP(CONCATENATE(BG$4,$C221),'INSER DATA'!$A:$F,7,0),"")</f>
        <v/>
      </c>
      <c r="BH221" s="270" t="str">
        <f>_xlfn.IFNA(VLOOKUP(CONCATENATE(BH$4,$C221),'INSER DATA'!$A:$F,7,0),"")</f>
        <v/>
      </c>
      <c r="BI221" s="270" t="str">
        <f>_xlfn.IFNA(VLOOKUP(CONCATENATE(BI$4,$C221),'INSER DATA'!$A:$F,7,0),"")</f>
        <v/>
      </c>
      <c r="BJ221" s="270" t="str">
        <f>_xlfn.IFNA(VLOOKUP(CONCATENATE(BJ$4,$C221),'INSER DATA'!$A:$F,7,0),"")</f>
        <v/>
      </c>
      <c r="BK221" s="270" t="str">
        <f>_xlfn.IFNA(VLOOKUP(CONCATENATE(BK$4,$C221),'INSER DATA'!$A:$F,7,0),"")</f>
        <v/>
      </c>
      <c r="BL221" s="272"/>
      <c r="BM221" s="30"/>
      <c r="BN221" s="30"/>
      <c r="BO221" s="30"/>
      <c r="BP221" s="30"/>
      <c r="BQ221" s="30"/>
      <c r="BR221" s="30"/>
      <c r="BS221" s="30"/>
      <c r="BT221" s="30"/>
      <c r="BU221" s="30"/>
      <c r="BV221" s="30"/>
      <c r="BW221" s="30"/>
      <c r="BX221" s="30"/>
      <c r="BY221" s="30"/>
      <c r="BZ221" s="30"/>
      <c r="CA221" s="30"/>
      <c r="CB221" s="30"/>
      <c r="CC221" s="30"/>
      <c r="CD221" s="30"/>
      <c r="CE221" s="30"/>
      <c r="CF221" s="30"/>
      <c r="CG221" s="30"/>
      <c r="CH221" s="30"/>
      <c r="CI221" s="30"/>
      <c r="CJ221" s="30"/>
      <c r="CK221" s="30"/>
      <c r="CL221" s="30"/>
      <c r="CM221" s="30"/>
      <c r="CN221" s="30"/>
      <c r="CO221" s="30"/>
      <c r="CP221" s="30"/>
      <c r="CQ221" s="30"/>
      <c r="CR221" s="30"/>
      <c r="CS221" s="30"/>
      <c r="CT221" s="30"/>
      <c r="CU221" s="30"/>
      <c r="CV221" s="30"/>
      <c r="CW221" s="30"/>
      <c r="CX221" s="30"/>
      <c r="CY221" s="30"/>
      <c r="CZ221" s="30"/>
      <c r="DA221" s="30"/>
    </row>
    <row r="222" spans="1:105" s="184" customFormat="1" ht="19.2" thickTop="1" thickBot="1" x14ac:dyDescent="0.4">
      <c r="A222" s="30"/>
      <c r="B222" s="30"/>
      <c r="C222" s="356" t="s">
        <v>783</v>
      </c>
      <c r="D222" s="355" t="s">
        <v>777</v>
      </c>
      <c r="E222" s="35" t="str">
        <f>_xlfn.XLOOKUP(Tabella4[[#This Row],[NOME]],'ROSE SQUADRE'!$N$3:$N$253,'ROSE SQUADRE'!$O$3:$O$253,"")</f>
        <v>SESTO ASENSIO</v>
      </c>
      <c r="F222" s="36" t="s">
        <v>161</v>
      </c>
      <c r="G222" s="43">
        <v>8</v>
      </c>
      <c r="H222" s="43">
        <v>8</v>
      </c>
      <c r="I222" s="44">
        <f t="shared" si="19"/>
        <v>0</v>
      </c>
      <c r="J222" s="37">
        <f t="shared" si="20"/>
        <v>3</v>
      </c>
      <c r="K222" s="38">
        <f t="shared" si="21"/>
        <v>6</v>
      </c>
      <c r="L222" s="38">
        <f t="shared" si="22"/>
        <v>5.666666666666667</v>
      </c>
      <c r="M222" s="39">
        <f t="shared" si="23"/>
        <v>17</v>
      </c>
      <c r="N222" s="45">
        <f t="shared" ca="1" si="24"/>
        <v>0</v>
      </c>
      <c r="O222" s="40">
        <f>SUMIF(Tabella1[Nome],Tabella4[[#This Row],[NOME]],Tabella1[Gf])</f>
        <v>0</v>
      </c>
      <c r="P222" s="40">
        <f>-(SUMIF(Tabella1[Nome],Tabella4[[#This Row],[NOME]],Tabella1[Gs]))</f>
        <v>0</v>
      </c>
      <c r="Q222" s="40">
        <f>SUMIF(Tabella1[Nome],Tabella4[[#This Row],[NOME]],Tabella1[Rp])</f>
        <v>0</v>
      </c>
      <c r="R222" s="40">
        <f>SUMIF(Tabella1[Nome],Tabella4[[#This Row],[NOME]],Tabella1[Rs])</f>
        <v>0</v>
      </c>
      <c r="S222" s="40">
        <f>SUMIF(Tabella1[Nome],Tabella4[[#This Row],[NOME]],Tabella1[Rf])</f>
        <v>0</v>
      </c>
      <c r="T222" s="40">
        <f>SUMIF(Tabella1[Nome],Tabella4[[#This Row],[NOME]],Tabella1[Au])</f>
        <v>0</v>
      </c>
      <c r="U222" s="41">
        <f>SUMIF(Tabella1[Nome],Tabella4[[#This Row],[NOME]],Tabella1[Amm])</f>
        <v>2</v>
      </c>
      <c r="V222" s="42">
        <f>SUMIF(Tabella1[Nome],Tabella4[[#This Row],[NOME]],Tabella1[Esp])</f>
        <v>0</v>
      </c>
      <c r="W222" s="40">
        <f>SUMIF(Tabella1[Nome],Tabella4[[#This Row],[NOME]],Tabella1[Ass])</f>
        <v>0</v>
      </c>
      <c r="X222" s="40">
        <f>SUMIF(Tabella1[Nome],Tabella4[[#This Row],[NOME]],Tabella1[Gdv])</f>
        <v>0</v>
      </c>
      <c r="Y222" s="40">
        <f>SUMIF(Tabella1[Nome],Tabella4[[#This Row],[NOME]],Tabella1[cl sh])</f>
        <v>0</v>
      </c>
      <c r="Z222" s="270" t="str">
        <f>_xlfn.IFNA(_xlfn.XLOOKUP(CONCATENATE(Z$4,$C222),Tabella1[CONC X VOTI IN TAB GIOC],Tabella1[Voto],""),"")</f>
        <v/>
      </c>
      <c r="AA222" s="270">
        <f>_xlfn.IFNA(_xlfn.XLOOKUP(CONCATENATE(AA$4,$C222),Tabella1[CONC X VOTI IN TAB GIOC],Tabella1[Voto],""),"")</f>
        <v>5.5</v>
      </c>
      <c r="AB222" s="270">
        <f>_xlfn.IFNA(_xlfn.XLOOKUP(CONCATENATE(AB$4,$C222),Tabella1[CONC X VOTI IN TAB GIOC],Tabella1[Voto]),"")</f>
        <v>6.5</v>
      </c>
      <c r="AC222" s="270" cm="1">
        <f t="array" ref="AC222">_xlfn.IFNA(_xlfn.XLOOKUP(CONCATENATE(AC$4,$C222),INDEX(Tabella1[],0,MATCH("CONC X VOTI IN TAB GIOC",Tabella1[#Headers],0)),INDEX(Tabella1[],0,MATCH("Voto",Tabella1[#Headers],0))),"")</f>
        <v>6</v>
      </c>
      <c r="AD222" s="270" t="str">
        <f>_xlfn.IFNA(_xlfn.XLOOKUP(CONCATENATE(AD$4,$C222),Tabella1[CONC X VOTI IN TAB GIOC],Tabella1[Voto]),"")</f>
        <v/>
      </c>
      <c r="AE222" s="270" t="str">
        <f>_xlfn.IFNA(VLOOKUP(CONCATENATE(AE$4,$C222),'INSER DATA'!$A:$F,6,0),"")</f>
        <v/>
      </c>
      <c r="AF222" s="270" t="str">
        <f>_xlfn.IFNA(VLOOKUP(CONCATENATE(AF$4,$C222),'INSER DATA'!$A:$F,6,0),"")</f>
        <v/>
      </c>
      <c r="AG222" s="270" t="str">
        <f>_xlfn.IFNA(VLOOKUP(CONCATENATE(AG$4,$C222),'INSER DATA'!$A:$F,6,0),"")</f>
        <v/>
      </c>
      <c r="AH222" s="270" t="str">
        <f>_xlfn.IFNA(VLOOKUP(CONCATENATE(AH$4,$C222),'INSER DATA'!$A:$F,7,0),"")</f>
        <v/>
      </c>
      <c r="AI222" s="270" t="str">
        <f>_xlfn.IFNA(VLOOKUP(CONCATENATE(AI$4,$C222),'INSER DATA'!$A:$F,7,0),"")</f>
        <v/>
      </c>
      <c r="AJ222" s="270" t="str">
        <f>_xlfn.IFNA(VLOOKUP(CONCATENATE(AJ$4,$C222),'INSER DATA'!$A:$F,7,0),"")</f>
        <v/>
      </c>
      <c r="AK222" s="270" t="str">
        <f>_xlfn.IFNA(VLOOKUP(CONCATENATE(AK$4,$C222),'INSER DATA'!$A:$F,7,0),"")</f>
        <v/>
      </c>
      <c r="AL222" s="270" t="str">
        <f>_xlfn.IFNA(VLOOKUP(CONCATENATE(AL$4,$C222),'INSER DATA'!$A:$F,7,0),"")</f>
        <v/>
      </c>
      <c r="AM222" s="270" t="str">
        <f>_xlfn.IFNA(VLOOKUP(CONCATENATE(AM$4,$C222),'INSER DATA'!$A:$F,7,0),"")</f>
        <v/>
      </c>
      <c r="AN222" s="270" t="str">
        <f>_xlfn.IFNA(VLOOKUP(CONCATENATE(AN$4,$C222),'INSER DATA'!$A:$F,7,0),"")</f>
        <v/>
      </c>
      <c r="AO222" s="270" t="str">
        <f>_xlfn.IFNA(VLOOKUP(CONCATENATE(AO$4,$C222),'INSER DATA'!$A:$F,7,0),"")</f>
        <v/>
      </c>
      <c r="AP222" s="270" t="str">
        <f>_xlfn.IFNA(VLOOKUP(CONCATENATE(AP$4,$C222),'INSER DATA'!$A:$F,7,0),"")</f>
        <v/>
      </c>
      <c r="AQ222" s="270" t="str">
        <f>_xlfn.IFNA(VLOOKUP(CONCATENATE(AQ$4,$C222),'INSER DATA'!$A:$F,7,0),"")</f>
        <v/>
      </c>
      <c r="AR222" s="270" t="str">
        <f>_xlfn.IFNA(VLOOKUP(CONCATENATE(AR$4,$C222),'INSER DATA'!$A:$F,7,0),"")</f>
        <v/>
      </c>
      <c r="AS222" s="270" t="str">
        <f>_xlfn.IFNA(VLOOKUP(CONCATENATE(AS$4,$C222),'INSER DATA'!$A:$F,7,0),"")</f>
        <v/>
      </c>
      <c r="AT222" s="270" t="str">
        <f>_xlfn.IFNA(VLOOKUP(CONCATENATE(AT$4,$C222),'INSER DATA'!$A:$F,7,0),"")</f>
        <v/>
      </c>
      <c r="AU222" s="270" t="str">
        <f>_xlfn.IFNA(VLOOKUP(CONCATENATE(AU$4,$C222),'INSER DATA'!$A:$F,7,0),"")</f>
        <v/>
      </c>
      <c r="AV222" s="270" t="str">
        <f>_xlfn.IFNA(VLOOKUP(CONCATENATE(AV$4,$C222),'INSER DATA'!$A:$F,7,0),"")</f>
        <v/>
      </c>
      <c r="AW222" s="270" t="str">
        <f>_xlfn.IFNA(VLOOKUP(CONCATENATE(AW$4,$C222),'INSER DATA'!$A:$F,7,0),"")</f>
        <v/>
      </c>
      <c r="AX222" s="270" t="str">
        <f>_xlfn.IFNA(VLOOKUP(CONCATENATE(AX$4,$C222),'INSER DATA'!$A:$F,7,0),"")</f>
        <v/>
      </c>
      <c r="AY222" s="270" t="str">
        <f>_xlfn.IFNA(VLOOKUP(CONCATENATE(AY$4,$C222),'INSER DATA'!$A:$F,7,0),"")</f>
        <v/>
      </c>
      <c r="AZ222" s="270" t="str">
        <f>_xlfn.IFNA(VLOOKUP(CONCATENATE(AZ$4,$C222),'INSER DATA'!$A:$F,7,0),"")</f>
        <v/>
      </c>
      <c r="BA222" s="270" t="str">
        <f>_xlfn.IFNA(VLOOKUP(CONCATENATE(BA$4,$C222),'INSER DATA'!$A:$F,7,0),"")</f>
        <v/>
      </c>
      <c r="BB222" s="270" t="str">
        <f>_xlfn.IFNA(VLOOKUP(CONCATENATE(BB$4,$C222),'INSER DATA'!$A:$F,7,0),"")</f>
        <v/>
      </c>
      <c r="BC222" s="270" t="str">
        <f>_xlfn.IFNA(VLOOKUP(CONCATENATE(BC$4,$C222),'INSER DATA'!$A:$F,7,0),"")</f>
        <v/>
      </c>
      <c r="BD222" s="270" t="str">
        <f>_xlfn.IFNA(VLOOKUP(CONCATENATE(BD$4,$C222),'INSER DATA'!$A:$F,7,0),"")</f>
        <v/>
      </c>
      <c r="BE222" s="270" t="str">
        <f>_xlfn.IFNA(VLOOKUP(CONCATENATE(BE$4,$C222),'INSER DATA'!$A:$F,7,0),"")</f>
        <v/>
      </c>
      <c r="BF222" s="270" t="str">
        <f>_xlfn.IFNA(VLOOKUP(CONCATENATE(BF$4,$C222),'INSER DATA'!$A:$F,7,0),"")</f>
        <v/>
      </c>
      <c r="BG222" s="270" t="str">
        <f>_xlfn.IFNA(VLOOKUP(CONCATENATE(BG$4,$C222),'INSER DATA'!$A:$F,7,0),"")</f>
        <v/>
      </c>
      <c r="BH222" s="270" t="str">
        <f>_xlfn.IFNA(VLOOKUP(CONCATENATE(BH$4,$C222),'INSER DATA'!$A:$F,7,0),"")</f>
        <v/>
      </c>
      <c r="BI222" s="270" t="str">
        <f>_xlfn.IFNA(VLOOKUP(CONCATENATE(BI$4,$C222),'INSER DATA'!$A:$F,7,0),"")</f>
        <v/>
      </c>
      <c r="BJ222" s="270" t="str">
        <f>_xlfn.IFNA(VLOOKUP(CONCATENATE(BJ$4,$C222),'INSER DATA'!$A:$F,7,0),"")</f>
        <v/>
      </c>
      <c r="BK222" s="270" t="str">
        <f>_xlfn.IFNA(VLOOKUP(CONCATENATE(BK$4,$C222),'INSER DATA'!$A:$F,7,0),"")</f>
        <v/>
      </c>
      <c r="BL222" s="272"/>
    </row>
    <row r="223" spans="1:105" ht="19.2" thickTop="1" thickBot="1" x14ac:dyDescent="0.4">
      <c r="A223" s="30"/>
      <c r="B223" s="30"/>
      <c r="C223" s="356" t="s">
        <v>785</v>
      </c>
      <c r="D223" s="357" t="s">
        <v>777</v>
      </c>
      <c r="E223" s="35" t="str">
        <f>_xlfn.XLOOKUP(Tabella4[[#This Row],[NOME]],'ROSE SQUADRE'!$N$3:$N$253,'ROSE SQUADRE'!$O$3:$O$253,"")</f>
        <v>AC ASPARAGHESE</v>
      </c>
      <c r="F223" s="36" t="s">
        <v>162</v>
      </c>
      <c r="G223" s="43">
        <v>12</v>
      </c>
      <c r="H223" s="43">
        <v>12</v>
      </c>
      <c r="I223" s="44">
        <f t="shared" si="19"/>
        <v>0</v>
      </c>
      <c r="J223" s="37">
        <f t="shared" si="20"/>
        <v>3</v>
      </c>
      <c r="K223" s="38">
        <f t="shared" si="21"/>
        <v>5.666666666666667</v>
      </c>
      <c r="L223" s="38">
        <f t="shared" si="22"/>
        <v>5.666666666666667</v>
      </c>
      <c r="M223" s="39">
        <f t="shared" si="23"/>
        <v>17</v>
      </c>
      <c r="N223" s="45">
        <f t="shared" ca="1" si="24"/>
        <v>0</v>
      </c>
      <c r="O223" s="40">
        <f>SUMIF(Tabella1[Nome],Tabella4[[#This Row],[NOME]],Tabella1[Gf])</f>
        <v>0</v>
      </c>
      <c r="P223" s="40">
        <f>-(SUMIF(Tabella1[Nome],Tabella4[[#This Row],[NOME]],Tabella1[Gs]))</f>
        <v>0</v>
      </c>
      <c r="Q223" s="40">
        <f>SUMIF(Tabella1[Nome],Tabella4[[#This Row],[NOME]],Tabella1[Rp])</f>
        <v>0</v>
      </c>
      <c r="R223" s="40">
        <f>SUMIF(Tabella1[Nome],Tabella4[[#This Row],[NOME]],Tabella1[Rs])</f>
        <v>0</v>
      </c>
      <c r="S223" s="40">
        <f>SUMIF(Tabella1[Nome],Tabella4[[#This Row],[NOME]],Tabella1[Rf])</f>
        <v>0</v>
      </c>
      <c r="T223" s="40">
        <f>SUMIF(Tabella1[Nome],Tabella4[[#This Row],[NOME]],Tabella1[Au])</f>
        <v>0</v>
      </c>
      <c r="U223" s="41">
        <f>SUMIF(Tabella1[Nome],Tabella4[[#This Row],[NOME]],Tabella1[Amm])</f>
        <v>0</v>
      </c>
      <c r="V223" s="42">
        <f>SUMIF(Tabella1[Nome],Tabella4[[#This Row],[NOME]],Tabella1[Esp])</f>
        <v>0</v>
      </c>
      <c r="W223" s="40">
        <f>SUMIF(Tabella1[Nome],Tabella4[[#This Row],[NOME]],Tabella1[Ass])</f>
        <v>0</v>
      </c>
      <c r="X223" s="40">
        <f>SUMIF(Tabella1[Nome],Tabella4[[#This Row],[NOME]],Tabella1[Gdv])</f>
        <v>0</v>
      </c>
      <c r="Y223" s="40">
        <f>SUMIF(Tabella1[Nome],Tabella4[[#This Row],[NOME]],Tabella1[cl sh])</f>
        <v>0</v>
      </c>
      <c r="Z223" s="270" t="str">
        <f>_xlfn.IFNA(_xlfn.XLOOKUP(CONCATENATE(Z$4,$C223),Tabella1[CONC X VOTI IN TAB GIOC],Tabella1[Voto],""),"")</f>
        <v/>
      </c>
      <c r="AA223" s="270">
        <f>_xlfn.IFNA(_xlfn.XLOOKUP(CONCATENATE(AA$4,$C223),Tabella1[CONC X VOTI IN TAB GIOC],Tabella1[Voto],""),"")</f>
        <v>5.5</v>
      </c>
      <c r="AB223" s="270">
        <f>_xlfn.IFNA(_xlfn.XLOOKUP(CONCATENATE(AB$4,$C223),Tabella1[CONC X VOTI IN TAB GIOC],Tabella1[Voto]),"")</f>
        <v>5.5</v>
      </c>
      <c r="AC223" s="270" cm="1">
        <f t="array" ref="AC223">_xlfn.IFNA(_xlfn.XLOOKUP(CONCATENATE(AC$4,$C223),INDEX(Tabella1[],0,MATCH("CONC X VOTI IN TAB GIOC",Tabella1[#Headers],0)),INDEX(Tabella1[],0,MATCH("Voto",Tabella1[#Headers],0))),"")</f>
        <v>6</v>
      </c>
      <c r="AD223" s="270" t="str">
        <f>_xlfn.IFNA(_xlfn.XLOOKUP(CONCATENATE(AD$4,$C223),Tabella1[CONC X VOTI IN TAB GIOC],Tabella1[Voto]),"")</f>
        <v/>
      </c>
      <c r="AE223" s="270" t="str">
        <f>_xlfn.IFNA(VLOOKUP(CONCATENATE(AE$4,$C223),'INSER DATA'!$A:$F,6,0),"")</f>
        <v/>
      </c>
      <c r="AF223" s="270" t="str">
        <f>_xlfn.IFNA(VLOOKUP(CONCATENATE(AF$4,$C223),'INSER DATA'!$A:$F,6,0),"")</f>
        <v/>
      </c>
      <c r="AG223" s="270" t="str">
        <f>_xlfn.IFNA(VLOOKUP(CONCATENATE(AG$4,$C223),'INSER DATA'!$A:$F,6,0),"")</f>
        <v/>
      </c>
      <c r="AH223" s="270" t="str">
        <f>_xlfn.IFNA(VLOOKUP(CONCATENATE(AH$4,$C223),'INSER DATA'!$A:$F,7,0),"")</f>
        <v/>
      </c>
      <c r="AI223" s="270" t="str">
        <f>_xlfn.IFNA(VLOOKUP(CONCATENATE(AI$4,$C223),'INSER DATA'!$A:$F,7,0),"")</f>
        <v/>
      </c>
      <c r="AJ223" s="270" t="str">
        <f>_xlfn.IFNA(VLOOKUP(CONCATENATE(AJ$4,$C223),'INSER DATA'!$A:$F,7,0),"")</f>
        <v/>
      </c>
      <c r="AK223" s="270" t="str">
        <f>_xlfn.IFNA(VLOOKUP(CONCATENATE(AK$4,$C223),'INSER DATA'!$A:$F,7,0),"")</f>
        <v/>
      </c>
      <c r="AL223" s="270" t="str">
        <f>_xlfn.IFNA(VLOOKUP(CONCATENATE(AL$4,$C223),'INSER DATA'!$A:$F,7,0),"")</f>
        <v/>
      </c>
      <c r="AM223" s="270" t="str">
        <f>_xlfn.IFNA(VLOOKUP(CONCATENATE(AM$4,$C223),'INSER DATA'!$A:$F,7,0),"")</f>
        <v/>
      </c>
      <c r="AN223" s="270" t="str">
        <f>_xlfn.IFNA(VLOOKUP(CONCATENATE(AN$4,$C223),'INSER DATA'!$A:$F,7,0),"")</f>
        <v/>
      </c>
      <c r="AO223" s="270" t="str">
        <f>_xlfn.IFNA(VLOOKUP(CONCATENATE(AO$4,$C223),'INSER DATA'!$A:$F,7,0),"")</f>
        <v/>
      </c>
      <c r="AP223" s="270" t="str">
        <f>_xlfn.IFNA(VLOOKUP(CONCATENATE(AP$4,$C223),'INSER DATA'!$A:$F,7,0),"")</f>
        <v/>
      </c>
      <c r="AQ223" s="270" t="str">
        <f>_xlfn.IFNA(VLOOKUP(CONCATENATE(AQ$4,$C223),'INSER DATA'!$A:$F,7,0),"")</f>
        <v/>
      </c>
      <c r="AR223" s="270" t="str">
        <f>_xlfn.IFNA(VLOOKUP(CONCATENATE(AR$4,$C223),'INSER DATA'!$A:$F,7,0),"")</f>
        <v/>
      </c>
      <c r="AS223" s="270" t="str">
        <f>_xlfn.IFNA(VLOOKUP(CONCATENATE(AS$4,$C223),'INSER DATA'!$A:$F,7,0),"")</f>
        <v/>
      </c>
      <c r="AT223" s="270" t="str">
        <f>_xlfn.IFNA(VLOOKUP(CONCATENATE(AT$4,$C223),'INSER DATA'!$A:$F,7,0),"")</f>
        <v/>
      </c>
      <c r="AU223" s="270" t="str">
        <f>_xlfn.IFNA(VLOOKUP(CONCATENATE(AU$4,$C223),'INSER DATA'!$A:$F,7,0),"")</f>
        <v/>
      </c>
      <c r="AV223" s="270" t="str">
        <f>_xlfn.IFNA(VLOOKUP(CONCATENATE(AV$4,$C223),'INSER DATA'!$A:$F,7,0),"")</f>
        <v/>
      </c>
      <c r="AW223" s="270" t="str">
        <f>_xlfn.IFNA(VLOOKUP(CONCATENATE(AW$4,$C223),'INSER DATA'!$A:$F,7,0),"")</f>
        <v/>
      </c>
      <c r="AX223" s="270" t="str">
        <f>_xlfn.IFNA(VLOOKUP(CONCATENATE(AX$4,$C223),'INSER DATA'!$A:$F,7,0),"")</f>
        <v/>
      </c>
      <c r="AY223" s="270" t="str">
        <f>_xlfn.IFNA(VLOOKUP(CONCATENATE(AY$4,$C223),'INSER DATA'!$A:$F,7,0),"")</f>
        <v/>
      </c>
      <c r="AZ223" s="270" t="str">
        <f>_xlfn.IFNA(VLOOKUP(CONCATENATE(AZ$4,$C223),'INSER DATA'!$A:$F,7,0),"")</f>
        <v/>
      </c>
      <c r="BA223" s="270" t="str">
        <f>_xlfn.IFNA(VLOOKUP(CONCATENATE(BA$4,$C223),'INSER DATA'!$A:$F,7,0),"")</f>
        <v/>
      </c>
      <c r="BB223" s="270" t="str">
        <f>_xlfn.IFNA(VLOOKUP(CONCATENATE(BB$4,$C223),'INSER DATA'!$A:$F,7,0),"")</f>
        <v/>
      </c>
      <c r="BC223" s="270" t="str">
        <f>_xlfn.IFNA(VLOOKUP(CONCATENATE(BC$4,$C223),'INSER DATA'!$A:$F,7,0),"")</f>
        <v/>
      </c>
      <c r="BD223" s="270" t="str">
        <f>_xlfn.IFNA(VLOOKUP(CONCATENATE(BD$4,$C223),'INSER DATA'!$A:$F,7,0),"")</f>
        <v/>
      </c>
      <c r="BE223" s="270" t="str">
        <f>_xlfn.IFNA(VLOOKUP(CONCATENATE(BE$4,$C223),'INSER DATA'!$A:$F,7,0),"")</f>
        <v/>
      </c>
      <c r="BF223" s="270" t="str">
        <f>_xlfn.IFNA(VLOOKUP(CONCATENATE(BF$4,$C223),'INSER DATA'!$A:$F,7,0),"")</f>
        <v/>
      </c>
      <c r="BG223" s="270" t="str">
        <f>_xlfn.IFNA(VLOOKUP(CONCATENATE(BG$4,$C223),'INSER DATA'!$A:$F,7,0),"")</f>
        <v/>
      </c>
      <c r="BH223" s="270" t="str">
        <f>_xlfn.IFNA(VLOOKUP(CONCATENATE(BH$4,$C223),'INSER DATA'!$A:$F,7,0),"")</f>
        <v/>
      </c>
      <c r="BI223" s="270" t="str">
        <f>_xlfn.IFNA(VLOOKUP(CONCATENATE(BI$4,$C223),'INSER DATA'!$A:$F,7,0),"")</f>
        <v/>
      </c>
      <c r="BJ223" s="270" t="str">
        <f>_xlfn.IFNA(VLOOKUP(CONCATENATE(BJ$4,$C223),'INSER DATA'!$A:$F,7,0),"")</f>
        <v/>
      </c>
      <c r="BK223" s="270" t="str">
        <f>_xlfn.IFNA(VLOOKUP(CONCATENATE(BK$4,$C223),'INSER DATA'!$A:$F,7,0),"")</f>
        <v/>
      </c>
      <c r="BL223" s="272"/>
      <c r="BM223" s="30"/>
      <c r="BN223" s="30"/>
      <c r="BO223" s="30"/>
      <c r="BP223" s="30"/>
      <c r="BQ223" s="30"/>
      <c r="BR223" s="30"/>
      <c r="BS223" s="30"/>
      <c r="BT223" s="30"/>
      <c r="BU223" s="30"/>
      <c r="BV223" s="30"/>
      <c r="BW223" s="30"/>
      <c r="BX223" s="30"/>
      <c r="BY223" s="30"/>
      <c r="BZ223" s="30"/>
      <c r="CA223" s="30"/>
      <c r="CB223" s="30"/>
      <c r="CC223" s="30"/>
      <c r="CD223" s="30"/>
      <c r="CE223" s="30"/>
      <c r="CF223" s="30"/>
      <c r="CG223" s="30"/>
      <c r="CH223" s="30"/>
      <c r="CI223" s="30"/>
      <c r="CJ223" s="30"/>
      <c r="CK223" s="30"/>
      <c r="CL223" s="30"/>
      <c r="CM223" s="30"/>
      <c r="CN223" s="30"/>
      <c r="CO223" s="30"/>
      <c r="CP223" s="30"/>
      <c r="CQ223" s="30"/>
      <c r="CR223" s="30"/>
      <c r="CS223" s="30"/>
      <c r="CT223" s="30"/>
      <c r="CU223" s="30"/>
      <c r="CV223" s="30"/>
      <c r="CW223" s="30"/>
      <c r="CX223" s="30"/>
      <c r="CY223" s="30"/>
      <c r="CZ223" s="30"/>
      <c r="DA223" s="30"/>
    </row>
    <row r="224" spans="1:105" ht="19.2" thickTop="1" thickBot="1" x14ac:dyDescent="0.4">
      <c r="A224" s="30"/>
      <c r="B224" s="30"/>
      <c r="C224" s="356" t="s">
        <v>793</v>
      </c>
      <c r="D224" s="357" t="s">
        <v>777</v>
      </c>
      <c r="E224" s="35" t="str">
        <f>_xlfn.XLOOKUP(Tabella4[[#This Row],[NOME]],'ROSE SQUADRE'!$N$3:$N$253,'ROSE SQUADRE'!$O$3:$O$253,"")</f>
        <v>SAN GRIA</v>
      </c>
      <c r="F224" s="36" t="s">
        <v>163</v>
      </c>
      <c r="G224" s="43">
        <v>26</v>
      </c>
      <c r="H224" s="43">
        <v>25</v>
      </c>
      <c r="I224" s="44">
        <f t="shared" si="19"/>
        <v>-1</v>
      </c>
      <c r="J224" s="37">
        <f t="shared" si="20"/>
        <v>4</v>
      </c>
      <c r="K224" s="38">
        <f t="shared" si="21"/>
        <v>5.125</v>
      </c>
      <c r="L224" s="38">
        <f t="shared" si="22"/>
        <v>5.375</v>
      </c>
      <c r="M224" s="39">
        <f t="shared" si="23"/>
        <v>21.5</v>
      </c>
      <c r="N224" s="45">
        <f t="shared" ca="1" si="24"/>
        <v>1</v>
      </c>
      <c r="O224" s="40">
        <f>SUMIF(Tabella1[Nome],Tabella4[[#This Row],[NOME]],Tabella1[Gf])</f>
        <v>0</v>
      </c>
      <c r="P224" s="40">
        <f>-(SUMIF(Tabella1[Nome],Tabella4[[#This Row],[NOME]],Tabella1[Gs]))</f>
        <v>0</v>
      </c>
      <c r="Q224" s="40">
        <f>SUMIF(Tabella1[Nome],Tabella4[[#This Row],[NOME]],Tabella1[Rp])</f>
        <v>0</v>
      </c>
      <c r="R224" s="40">
        <f>SUMIF(Tabella1[Nome],Tabella4[[#This Row],[NOME]],Tabella1[Rs])</f>
        <v>0</v>
      </c>
      <c r="S224" s="40">
        <f>SUMIF(Tabella1[Nome],Tabella4[[#This Row],[NOME]],Tabella1[Rf])</f>
        <v>0</v>
      </c>
      <c r="T224" s="40">
        <f>SUMIF(Tabella1[Nome],Tabella4[[#This Row],[NOME]],Tabella1[Au])</f>
        <v>0</v>
      </c>
      <c r="U224" s="41">
        <f>SUMIF(Tabella1[Nome],Tabella4[[#This Row],[NOME]],Tabella1[Amm])</f>
        <v>0</v>
      </c>
      <c r="V224" s="42">
        <f>SUMIF(Tabella1[Nome],Tabella4[[#This Row],[NOME]],Tabella1[Esp])</f>
        <v>0</v>
      </c>
      <c r="W224" s="40">
        <f>SUMIF(Tabella1[Nome],Tabella4[[#This Row],[NOME]],Tabella1[Ass])</f>
        <v>1</v>
      </c>
      <c r="X224" s="40">
        <f>SUMIF(Tabella1[Nome],Tabella4[[#This Row],[NOME]],Tabella1[Gdv])</f>
        <v>0</v>
      </c>
      <c r="Y224" s="40">
        <f>SUMIF(Tabella1[Nome],Tabella4[[#This Row],[NOME]],Tabella1[cl sh])</f>
        <v>0</v>
      </c>
      <c r="Z224" s="270">
        <f>_xlfn.IFNA(_xlfn.XLOOKUP(CONCATENATE(Z$4,$C224),Tabella1[CONC X VOTI IN TAB GIOC],Tabella1[Voto],""),"")</f>
        <v>5</v>
      </c>
      <c r="AA224" s="270">
        <f>_xlfn.IFNA(_xlfn.XLOOKUP(CONCATENATE(AA$4,$C224),Tabella1[CONC X VOTI IN TAB GIOC],Tabella1[Voto],""),"")</f>
        <v>6</v>
      </c>
      <c r="AB224" s="400">
        <f>_xlfn.IFNA(_xlfn.XLOOKUP(CONCATENATE(AB$4,$C224),Tabella1[CONC X VOTI IN TAB GIOC],Tabella1[Voto]),"")</f>
        <v>4.5</v>
      </c>
      <c r="AC224" s="270" cm="1">
        <f t="array" ref="AC224">_xlfn.IFNA(_xlfn.XLOOKUP(CONCATENATE(AC$4,$C224),INDEX(Tabella1[],0,MATCH("CONC X VOTI IN TAB GIOC",Tabella1[#Headers],0)),INDEX(Tabella1[],0,MATCH("Voto",Tabella1[#Headers],0))),"")</f>
        <v>5</v>
      </c>
      <c r="AD224" s="270" t="str">
        <f>_xlfn.IFNA(_xlfn.XLOOKUP(CONCATENATE(AD$4,$C224),Tabella1[CONC X VOTI IN TAB GIOC],Tabella1[Voto]),"")</f>
        <v/>
      </c>
      <c r="AE224" s="270" t="str">
        <f>_xlfn.IFNA(VLOOKUP(CONCATENATE(AE$4,$C224),'INSER DATA'!$A:$F,6,0),"")</f>
        <v/>
      </c>
      <c r="AF224" s="270" t="str">
        <f>_xlfn.IFNA(VLOOKUP(CONCATENATE(AF$4,$C224),'INSER DATA'!$A:$F,6,0),"")</f>
        <v/>
      </c>
      <c r="AG224" s="270" t="str">
        <f>_xlfn.IFNA(VLOOKUP(CONCATENATE(AG$4,$C224),'INSER DATA'!$A:$F,6,0),"")</f>
        <v/>
      </c>
      <c r="AH224" s="270" t="str">
        <f>_xlfn.IFNA(VLOOKUP(CONCATENATE(AH$4,$C224),'INSER DATA'!$A:$F,7,0),"")</f>
        <v/>
      </c>
      <c r="AI224" s="270" t="str">
        <f>_xlfn.IFNA(VLOOKUP(CONCATENATE(AI$4,$C224),'INSER DATA'!$A:$F,7,0),"")</f>
        <v/>
      </c>
      <c r="AJ224" s="270" t="str">
        <f>_xlfn.IFNA(VLOOKUP(CONCATENATE(AJ$4,$C224),'INSER DATA'!$A:$F,7,0),"")</f>
        <v/>
      </c>
      <c r="AK224" s="270" t="str">
        <f>_xlfn.IFNA(VLOOKUP(CONCATENATE(AK$4,$C224),'INSER DATA'!$A:$F,7,0),"")</f>
        <v/>
      </c>
      <c r="AL224" s="270" t="str">
        <f>_xlfn.IFNA(VLOOKUP(CONCATENATE(AL$4,$C224),'INSER DATA'!$A:$F,7,0),"")</f>
        <v/>
      </c>
      <c r="AM224" s="270" t="str">
        <f>_xlfn.IFNA(VLOOKUP(CONCATENATE(AM$4,$C224),'INSER DATA'!$A:$F,7,0),"")</f>
        <v/>
      </c>
      <c r="AN224" s="270" t="str">
        <f>_xlfn.IFNA(VLOOKUP(CONCATENATE(AN$4,$C224),'INSER DATA'!$A:$F,7,0),"")</f>
        <v/>
      </c>
      <c r="AO224" s="270" t="str">
        <f>_xlfn.IFNA(VLOOKUP(CONCATENATE(AO$4,$C224),'INSER DATA'!$A:$F,7,0),"")</f>
        <v/>
      </c>
      <c r="AP224" s="270" t="str">
        <f>_xlfn.IFNA(VLOOKUP(CONCATENATE(AP$4,$C224),'INSER DATA'!$A:$F,7,0),"")</f>
        <v/>
      </c>
      <c r="AQ224" s="270" t="str">
        <f>_xlfn.IFNA(VLOOKUP(CONCATENATE(AQ$4,$C224),'INSER DATA'!$A:$F,7,0),"")</f>
        <v/>
      </c>
      <c r="AR224" s="270" t="str">
        <f>_xlfn.IFNA(VLOOKUP(CONCATENATE(AR$4,$C224),'INSER DATA'!$A:$F,7,0),"")</f>
        <v/>
      </c>
      <c r="AS224" s="270" t="str">
        <f>_xlfn.IFNA(VLOOKUP(CONCATENATE(AS$4,$C224),'INSER DATA'!$A:$F,7,0),"")</f>
        <v/>
      </c>
      <c r="AT224" s="270" t="str">
        <f>_xlfn.IFNA(VLOOKUP(CONCATENATE(AT$4,$C224),'INSER DATA'!$A:$F,7,0),"")</f>
        <v/>
      </c>
      <c r="AU224" s="270" t="str">
        <f>_xlfn.IFNA(VLOOKUP(CONCATENATE(AU$4,$C224),'INSER DATA'!$A:$F,7,0),"")</f>
        <v/>
      </c>
      <c r="AV224" s="270" t="str">
        <f>_xlfn.IFNA(VLOOKUP(CONCATENATE(AV$4,$C224),'INSER DATA'!$A:$F,7,0),"")</f>
        <v/>
      </c>
      <c r="AW224" s="270" t="str">
        <f>_xlfn.IFNA(VLOOKUP(CONCATENATE(AW$4,$C224),'INSER DATA'!$A:$F,7,0),"")</f>
        <v/>
      </c>
      <c r="AX224" s="270" t="str">
        <f>_xlfn.IFNA(VLOOKUP(CONCATENATE(AX$4,$C224),'INSER DATA'!$A:$F,7,0),"")</f>
        <v/>
      </c>
      <c r="AY224" s="270" t="str">
        <f>_xlfn.IFNA(VLOOKUP(CONCATENATE(AY$4,$C224),'INSER DATA'!$A:$F,7,0),"")</f>
        <v/>
      </c>
      <c r="AZ224" s="270" t="str">
        <f>_xlfn.IFNA(VLOOKUP(CONCATENATE(AZ$4,$C224),'INSER DATA'!$A:$F,7,0),"")</f>
        <v/>
      </c>
      <c r="BA224" s="270" t="str">
        <f>_xlfn.IFNA(VLOOKUP(CONCATENATE(BA$4,$C224),'INSER DATA'!$A:$F,7,0),"")</f>
        <v/>
      </c>
      <c r="BB224" s="270" t="str">
        <f>_xlfn.IFNA(VLOOKUP(CONCATENATE(BB$4,$C224),'INSER DATA'!$A:$F,7,0),"")</f>
        <v/>
      </c>
      <c r="BC224" s="270" t="str">
        <f>_xlfn.IFNA(VLOOKUP(CONCATENATE(BC$4,$C224),'INSER DATA'!$A:$F,7,0),"")</f>
        <v/>
      </c>
      <c r="BD224" s="270" t="str">
        <f>_xlfn.IFNA(VLOOKUP(CONCATENATE(BD$4,$C224),'INSER DATA'!$A:$F,7,0),"")</f>
        <v/>
      </c>
      <c r="BE224" s="270" t="str">
        <f>_xlfn.IFNA(VLOOKUP(CONCATENATE(BE$4,$C224),'INSER DATA'!$A:$F,7,0),"")</f>
        <v/>
      </c>
      <c r="BF224" s="270" t="str">
        <f>_xlfn.IFNA(VLOOKUP(CONCATENATE(BF$4,$C224),'INSER DATA'!$A:$F,7,0),"")</f>
        <v/>
      </c>
      <c r="BG224" s="270" t="str">
        <f>_xlfn.IFNA(VLOOKUP(CONCATENATE(BG$4,$C224),'INSER DATA'!$A:$F,7,0),"")</f>
        <v/>
      </c>
      <c r="BH224" s="270" t="str">
        <f>_xlfn.IFNA(VLOOKUP(CONCATENATE(BH$4,$C224),'INSER DATA'!$A:$F,7,0),"")</f>
        <v/>
      </c>
      <c r="BI224" s="270" t="str">
        <f>_xlfn.IFNA(VLOOKUP(CONCATENATE(BI$4,$C224),'INSER DATA'!$A:$F,7,0),"")</f>
        <v/>
      </c>
      <c r="BJ224" s="270" t="str">
        <f>_xlfn.IFNA(VLOOKUP(CONCATENATE(BJ$4,$C224),'INSER DATA'!$A:$F,7,0),"")</f>
        <v/>
      </c>
      <c r="BK224" s="270" t="str">
        <f>_xlfn.IFNA(VLOOKUP(CONCATENATE(BK$4,$C224),'INSER DATA'!$A:$F,7,0),"")</f>
        <v/>
      </c>
      <c r="BL224" s="272"/>
      <c r="BM224" s="30"/>
      <c r="BN224" s="30"/>
      <c r="BO224" s="30"/>
      <c r="BP224" s="30"/>
      <c r="BQ224" s="30"/>
      <c r="BR224" s="30"/>
      <c r="BS224" s="30"/>
      <c r="BT224" s="30"/>
      <c r="BU224" s="30"/>
      <c r="BV224" s="30"/>
      <c r="BW224" s="30"/>
      <c r="BX224" s="30"/>
      <c r="BY224" s="30"/>
      <c r="BZ224" s="30"/>
      <c r="CA224" s="30"/>
      <c r="CB224" s="30"/>
      <c r="CC224" s="30"/>
      <c r="CD224" s="30"/>
      <c r="CE224" s="30"/>
      <c r="CF224" s="30"/>
      <c r="CG224" s="30"/>
      <c r="CH224" s="30"/>
      <c r="CI224" s="30"/>
      <c r="CJ224" s="30"/>
      <c r="CK224" s="30"/>
      <c r="CL224" s="30"/>
      <c r="CM224" s="30"/>
      <c r="CN224" s="30"/>
      <c r="CO224" s="30"/>
      <c r="CP224" s="30"/>
      <c r="CQ224" s="30"/>
      <c r="CR224" s="30"/>
      <c r="CS224" s="30"/>
      <c r="CT224" s="30"/>
      <c r="CU224" s="30"/>
      <c r="CV224" s="30"/>
      <c r="CW224" s="30"/>
      <c r="CX224" s="30"/>
      <c r="CY224" s="30"/>
      <c r="CZ224" s="30"/>
      <c r="DA224" s="30"/>
    </row>
    <row r="225" spans="1:105" ht="19.2" thickTop="1" thickBot="1" x14ac:dyDescent="0.4">
      <c r="A225" s="30"/>
      <c r="B225" s="30"/>
      <c r="C225" s="354" t="s">
        <v>455</v>
      </c>
      <c r="D225" s="357" t="s">
        <v>777</v>
      </c>
      <c r="E225" s="35" t="str">
        <f>_xlfn.XLOOKUP(Tabella4[[#This Row],[NOME]],'ROSE SQUADRE'!$N$3:$N$253,'ROSE SQUADRE'!$O$3:$O$253,"")</f>
        <v>PARTIZAN DEGRADO</v>
      </c>
      <c r="F225" s="36" t="s">
        <v>163</v>
      </c>
      <c r="G225" s="43">
        <v>23</v>
      </c>
      <c r="H225" s="43">
        <v>22</v>
      </c>
      <c r="I225" s="44">
        <f t="shared" si="19"/>
        <v>-1</v>
      </c>
      <c r="J225" s="37">
        <f t="shared" si="20"/>
        <v>1</v>
      </c>
      <c r="K225" s="178">
        <f t="shared" si="21"/>
        <v>5.5</v>
      </c>
      <c r="L225" s="178">
        <f t="shared" si="22"/>
        <v>5.5</v>
      </c>
      <c r="M225" s="179">
        <f t="shared" si="23"/>
        <v>5.5</v>
      </c>
      <c r="N225" s="45">
        <f t="shared" ca="1" si="24"/>
        <v>0</v>
      </c>
      <c r="O225" s="40">
        <f>SUMIF(Tabella1[Nome],Tabella4[[#This Row],[NOME]],Tabella1[Gf])</f>
        <v>0</v>
      </c>
      <c r="P225" s="40">
        <f>-(SUMIF(Tabella1[Nome],Tabella4[[#This Row],[NOME]],Tabella1[Gs]))</f>
        <v>0</v>
      </c>
      <c r="Q225" s="40">
        <f>SUMIF(Tabella1[Nome],Tabella4[[#This Row],[NOME]],Tabella1[Rp])</f>
        <v>0</v>
      </c>
      <c r="R225" s="40">
        <f>SUMIF(Tabella1[Nome],Tabella4[[#This Row],[NOME]],Tabella1[Rs])</f>
        <v>0</v>
      </c>
      <c r="S225" s="40">
        <f>SUMIF(Tabella1[Nome],Tabella4[[#This Row],[NOME]],Tabella1[Rf])</f>
        <v>0</v>
      </c>
      <c r="T225" s="40">
        <f>SUMIF(Tabella1[Nome],Tabella4[[#This Row],[NOME]],Tabella1[Au])</f>
        <v>0</v>
      </c>
      <c r="U225" s="41">
        <f>SUMIF(Tabella1[Nome],Tabella4[[#This Row],[NOME]],Tabella1[Amm])</f>
        <v>0</v>
      </c>
      <c r="V225" s="42">
        <f>SUMIF(Tabella1[Nome],Tabella4[[#This Row],[NOME]],Tabella1[Esp])</f>
        <v>0</v>
      </c>
      <c r="W225" s="40">
        <f>SUMIF(Tabella1[Nome],Tabella4[[#This Row],[NOME]],Tabella1[Ass])</f>
        <v>0</v>
      </c>
      <c r="X225" s="40">
        <f>SUMIF(Tabella1[Nome],Tabella4[[#This Row],[NOME]],Tabella1[Gdv])</f>
        <v>0</v>
      </c>
      <c r="Y225" s="40">
        <f>SUMIF(Tabella1[Nome],Tabella4[[#This Row],[NOME]],Tabella1[cl sh])</f>
        <v>0</v>
      </c>
      <c r="Z225" s="270">
        <f>_xlfn.IFNA(_xlfn.XLOOKUP(CONCATENATE(Z$4,$C225),Tabella1[CONC X VOTI IN TAB GIOC],Tabella1[Voto],""),"")</f>
        <v>5.5</v>
      </c>
      <c r="AA225" s="270" t="str">
        <f>_xlfn.IFNA(_xlfn.XLOOKUP(CONCATENATE(AA$4,$C225),Tabella1[CONC X VOTI IN TAB GIOC],Tabella1[Voto],""),"")</f>
        <v/>
      </c>
      <c r="AB225" s="270" t="str">
        <f>_xlfn.IFNA(_xlfn.XLOOKUP(CONCATENATE(AB$4,$C225),Tabella1[CONC X VOTI IN TAB GIOC],Tabella1[Voto]),"")</f>
        <v/>
      </c>
      <c r="AC225" s="270" t="str" cm="1">
        <f t="array" ref="AC225">_xlfn.IFNA(_xlfn.XLOOKUP(CONCATENATE(AC$4,$C225),INDEX(Tabella1[],0,MATCH("CONC X VOTI IN TAB GIOC",Tabella1[#Headers],0)),INDEX(Tabella1[],0,MATCH("Voto",Tabella1[#Headers],0))),"")</f>
        <v/>
      </c>
      <c r="AD225" s="270" t="str">
        <f>_xlfn.IFNA(_xlfn.XLOOKUP(CONCATENATE(AD$4,$C225),Tabella1[CONC X VOTI IN TAB GIOC],Tabella1[Voto]),"")</f>
        <v/>
      </c>
      <c r="AE225" s="270" t="str">
        <f>_xlfn.IFNA(VLOOKUP(CONCATENATE(AE$4,$C225),'INSER DATA'!$A:$F,6,0),"")</f>
        <v/>
      </c>
      <c r="AF225" s="270" t="str">
        <f>_xlfn.IFNA(VLOOKUP(CONCATENATE(AF$4,$C225),'INSER DATA'!$A:$F,6,0),"")</f>
        <v/>
      </c>
      <c r="AG225" s="270" t="str">
        <f>_xlfn.IFNA(VLOOKUP(CONCATENATE(AG$4,$C225),'INSER DATA'!$A:$F,6,0),"")</f>
        <v/>
      </c>
      <c r="AH225" s="270" t="str">
        <f>_xlfn.IFNA(VLOOKUP(CONCATENATE(AH$4,$C225),'INSER DATA'!$A:$F,7,0),"")</f>
        <v/>
      </c>
      <c r="AI225" s="270" t="str">
        <f>_xlfn.IFNA(VLOOKUP(CONCATENATE(AI$4,$C225),'INSER DATA'!$A:$F,7,0),"")</f>
        <v/>
      </c>
      <c r="AJ225" s="270" t="str">
        <f>_xlfn.IFNA(VLOOKUP(CONCATENATE(AJ$4,$C225),'INSER DATA'!$A:$F,7,0),"")</f>
        <v/>
      </c>
      <c r="AK225" s="270" t="str">
        <f>_xlfn.IFNA(VLOOKUP(CONCATENATE(AK$4,$C225),'INSER DATA'!$A:$F,7,0),"")</f>
        <v/>
      </c>
      <c r="AL225" s="270" t="str">
        <f>_xlfn.IFNA(VLOOKUP(CONCATENATE(AL$4,$C225),'INSER DATA'!$A:$F,7,0),"")</f>
        <v/>
      </c>
      <c r="AM225" s="270" t="str">
        <f>_xlfn.IFNA(VLOOKUP(CONCATENATE(AM$4,$C225),'INSER DATA'!$A:$F,7,0),"")</f>
        <v/>
      </c>
      <c r="AN225" s="270" t="str">
        <f>_xlfn.IFNA(VLOOKUP(CONCATENATE(AN$4,$C225),'INSER DATA'!$A:$F,7,0),"")</f>
        <v/>
      </c>
      <c r="AO225" s="270" t="str">
        <f>_xlfn.IFNA(VLOOKUP(CONCATENATE(AO$4,$C225),'INSER DATA'!$A:$F,7,0),"")</f>
        <v/>
      </c>
      <c r="AP225" s="270" t="str">
        <f>_xlfn.IFNA(VLOOKUP(CONCATENATE(AP$4,$C225),'INSER DATA'!$A:$F,7,0),"")</f>
        <v/>
      </c>
      <c r="AQ225" s="270" t="str">
        <f>_xlfn.IFNA(VLOOKUP(CONCATENATE(AQ$4,$C225),'INSER DATA'!$A:$F,7,0),"")</f>
        <v/>
      </c>
      <c r="AR225" s="270" t="str">
        <f>_xlfn.IFNA(VLOOKUP(CONCATENATE(AR$4,$C225),'INSER DATA'!$A:$F,7,0),"")</f>
        <v/>
      </c>
      <c r="AS225" s="270" t="str">
        <f>_xlfn.IFNA(VLOOKUP(CONCATENATE(AS$4,$C225),'INSER DATA'!$A:$F,7,0),"")</f>
        <v/>
      </c>
      <c r="AT225" s="270" t="str">
        <f>_xlfn.IFNA(VLOOKUP(CONCATENATE(AT$4,$C225),'INSER DATA'!$A:$F,7,0),"")</f>
        <v/>
      </c>
      <c r="AU225" s="270" t="str">
        <f>_xlfn.IFNA(VLOOKUP(CONCATENATE(AU$4,$C225),'INSER DATA'!$A:$F,7,0),"")</f>
        <v/>
      </c>
      <c r="AV225" s="270" t="str">
        <f>_xlfn.IFNA(VLOOKUP(CONCATENATE(AV$4,$C225),'INSER DATA'!$A:$F,7,0),"")</f>
        <v/>
      </c>
      <c r="AW225" s="270" t="str">
        <f>_xlfn.IFNA(VLOOKUP(CONCATENATE(AW$4,$C225),'INSER DATA'!$A:$F,7,0),"")</f>
        <v/>
      </c>
      <c r="AX225" s="270" t="str">
        <f>_xlfn.IFNA(VLOOKUP(CONCATENATE(AX$4,$C225),'INSER DATA'!$A:$F,7,0),"")</f>
        <v/>
      </c>
      <c r="AY225" s="270" t="str">
        <f>_xlfn.IFNA(VLOOKUP(CONCATENATE(AY$4,$C225),'INSER DATA'!$A:$F,7,0),"")</f>
        <v/>
      </c>
      <c r="AZ225" s="270" t="str">
        <f>_xlfn.IFNA(VLOOKUP(CONCATENATE(AZ$4,$C225),'INSER DATA'!$A:$F,7,0),"")</f>
        <v/>
      </c>
      <c r="BA225" s="270" t="str">
        <f>_xlfn.IFNA(VLOOKUP(CONCATENATE(BA$4,$C225),'INSER DATA'!$A:$F,7,0),"")</f>
        <v/>
      </c>
      <c r="BB225" s="270" t="str">
        <f>_xlfn.IFNA(VLOOKUP(CONCATENATE(BB$4,$C225),'INSER DATA'!$A:$F,7,0),"")</f>
        <v/>
      </c>
      <c r="BC225" s="270" t="str">
        <f>_xlfn.IFNA(VLOOKUP(CONCATENATE(BC$4,$C225),'INSER DATA'!$A:$F,7,0),"")</f>
        <v/>
      </c>
      <c r="BD225" s="270" t="str">
        <f>_xlfn.IFNA(VLOOKUP(CONCATENATE(BD$4,$C225),'INSER DATA'!$A:$F,7,0),"")</f>
        <v/>
      </c>
      <c r="BE225" s="270" t="str">
        <f>_xlfn.IFNA(VLOOKUP(CONCATENATE(BE$4,$C225),'INSER DATA'!$A:$F,7,0),"")</f>
        <v/>
      </c>
      <c r="BF225" s="270" t="str">
        <f>_xlfn.IFNA(VLOOKUP(CONCATENATE(BF$4,$C225),'INSER DATA'!$A:$F,7,0),"")</f>
        <v/>
      </c>
      <c r="BG225" s="270" t="str">
        <f>_xlfn.IFNA(VLOOKUP(CONCATENATE(BG$4,$C225),'INSER DATA'!$A:$F,7,0),"")</f>
        <v/>
      </c>
      <c r="BH225" s="270" t="str">
        <f>_xlfn.IFNA(VLOOKUP(CONCATENATE(BH$4,$C225),'INSER DATA'!$A:$F,7,0),"")</f>
        <v/>
      </c>
      <c r="BI225" s="270" t="str">
        <f>_xlfn.IFNA(VLOOKUP(CONCATENATE(BI$4,$C225),'INSER DATA'!$A:$F,7,0),"")</f>
        <v/>
      </c>
      <c r="BJ225" s="270" t="str">
        <f>_xlfn.IFNA(VLOOKUP(CONCATENATE(BJ$4,$C225),'INSER DATA'!$A:$F,7,0),"")</f>
        <v/>
      </c>
      <c r="BK225" s="270" t="str">
        <f>_xlfn.IFNA(VLOOKUP(CONCATENATE(BK$4,$C225),'INSER DATA'!$A:$F,7,0),"")</f>
        <v/>
      </c>
      <c r="BL225" s="272"/>
      <c r="BM225" s="30"/>
      <c r="BN225" s="30"/>
      <c r="BO225" s="30"/>
      <c r="BP225" s="30"/>
      <c r="BQ225" s="30"/>
      <c r="BR225" s="30"/>
      <c r="BS225" s="30"/>
      <c r="BT225" s="30"/>
      <c r="BU225" s="30"/>
      <c r="BV225" s="30"/>
      <c r="BW225" s="30"/>
      <c r="BX225" s="30"/>
      <c r="BY225" s="30"/>
      <c r="BZ225" s="30"/>
      <c r="CA225" s="30"/>
      <c r="CB225" s="30"/>
      <c r="CC225" s="30"/>
      <c r="CD225" s="30"/>
      <c r="CE225" s="30"/>
      <c r="CF225" s="30"/>
      <c r="CG225" s="30"/>
      <c r="CH225" s="30"/>
      <c r="CI225" s="30"/>
      <c r="CJ225" s="30"/>
      <c r="CK225" s="30"/>
      <c r="CL225" s="30"/>
      <c r="CM225" s="30"/>
      <c r="CN225" s="30"/>
      <c r="CO225" s="30"/>
      <c r="CP225" s="30"/>
      <c r="CQ225" s="30"/>
      <c r="CR225" s="30"/>
      <c r="CS225" s="30"/>
      <c r="CT225" s="30"/>
      <c r="CU225" s="30"/>
      <c r="CV225" s="30"/>
      <c r="CW225" s="30"/>
      <c r="CX225" s="30"/>
      <c r="CY225" s="30"/>
      <c r="CZ225" s="30"/>
      <c r="DA225" s="30"/>
    </row>
    <row r="226" spans="1:105" s="184" customFormat="1" ht="19.2" thickTop="1" thickBot="1" x14ac:dyDescent="0.4">
      <c r="A226" s="30"/>
      <c r="B226" s="30"/>
      <c r="C226" s="188" t="s">
        <v>792</v>
      </c>
      <c r="D226" s="46" t="s">
        <v>777</v>
      </c>
      <c r="E226" s="35" t="str">
        <f>_xlfn.XLOOKUP(Tabella4[[#This Row],[NOME]],'ROSE SQUADRE'!$N$3:$N$253,'ROSE SQUADRE'!$O$3:$O$253,"")</f>
        <v/>
      </c>
      <c r="F226" s="36" t="s">
        <v>163</v>
      </c>
      <c r="G226" s="43">
        <v>9</v>
      </c>
      <c r="H226" s="43">
        <v>9</v>
      </c>
      <c r="I226" s="44">
        <f t="shared" si="19"/>
        <v>0</v>
      </c>
      <c r="J226" s="37">
        <f t="shared" si="20"/>
        <v>1</v>
      </c>
      <c r="K226" s="38">
        <f t="shared" si="21"/>
        <v>5</v>
      </c>
      <c r="L226" s="38">
        <f t="shared" si="22"/>
        <v>5</v>
      </c>
      <c r="M226" s="39">
        <f t="shared" si="23"/>
        <v>5</v>
      </c>
      <c r="N226" s="45">
        <f t="shared" ca="1" si="24"/>
        <v>0</v>
      </c>
      <c r="O226" s="40">
        <f>SUMIF(Tabella1[Nome],Tabella4[[#This Row],[NOME]],Tabella1[Gf])</f>
        <v>0</v>
      </c>
      <c r="P226" s="40">
        <f>-(SUMIF(Tabella1[Nome],Tabella4[[#This Row],[NOME]],Tabella1[Gs]))</f>
        <v>0</v>
      </c>
      <c r="Q226" s="40">
        <f>SUMIF(Tabella1[Nome],Tabella4[[#This Row],[NOME]],Tabella1[Rp])</f>
        <v>0</v>
      </c>
      <c r="R226" s="40">
        <f>SUMIF(Tabella1[Nome],Tabella4[[#This Row],[NOME]],Tabella1[Rs])</f>
        <v>0</v>
      </c>
      <c r="S226" s="40">
        <f>SUMIF(Tabella1[Nome],Tabella4[[#This Row],[NOME]],Tabella1[Rf])</f>
        <v>0</v>
      </c>
      <c r="T226" s="40">
        <f>SUMIF(Tabella1[Nome],Tabella4[[#This Row],[NOME]],Tabella1[Au])</f>
        <v>0</v>
      </c>
      <c r="U226" s="41">
        <f>SUMIF(Tabella1[Nome],Tabella4[[#This Row],[NOME]],Tabella1[Amm])</f>
        <v>0</v>
      </c>
      <c r="V226" s="42">
        <f>SUMIF(Tabella1[Nome],Tabella4[[#This Row],[NOME]],Tabella1[Esp])</f>
        <v>0</v>
      </c>
      <c r="W226" s="40">
        <f>SUMIF(Tabella1[Nome],Tabella4[[#This Row],[NOME]],Tabella1[Ass])</f>
        <v>0</v>
      </c>
      <c r="X226" s="40">
        <f>SUMIF(Tabella1[Nome],Tabella4[[#This Row],[NOME]],Tabella1[Gdv])</f>
        <v>0</v>
      </c>
      <c r="Y226" s="40">
        <f>SUMIF(Tabella1[Nome],Tabella4[[#This Row],[NOME]],Tabella1[cl sh])</f>
        <v>0</v>
      </c>
      <c r="Z226" s="270" t="str">
        <f>_xlfn.IFNA(_xlfn.XLOOKUP(CONCATENATE(Z$4,$C226),Tabella1[CONC X VOTI IN TAB GIOC],Tabella1[Voto],""),"")</f>
        <v/>
      </c>
      <c r="AA226" s="270">
        <f>_xlfn.IFNA(_xlfn.XLOOKUP(CONCATENATE(AA$4,$C226),Tabella1[CONC X VOTI IN TAB GIOC],Tabella1[Voto],""),"")</f>
        <v>5</v>
      </c>
      <c r="AB226" s="270" t="str">
        <f>_xlfn.IFNA(_xlfn.XLOOKUP(CONCATENATE(AB$4,$C226),Tabella1[CONC X VOTI IN TAB GIOC],Tabella1[Voto]),"")</f>
        <v/>
      </c>
      <c r="AC226" s="270" t="str" cm="1">
        <f t="array" ref="AC226">_xlfn.IFNA(_xlfn.XLOOKUP(CONCATENATE(AC$4,$C226),INDEX(Tabella1[],0,MATCH("CONC X VOTI IN TAB GIOC",Tabella1[#Headers],0)),INDEX(Tabella1[],0,MATCH("Voto",Tabella1[#Headers],0))),"")</f>
        <v/>
      </c>
      <c r="AD226" s="270" t="str">
        <f>_xlfn.IFNA(_xlfn.XLOOKUP(CONCATENATE(AD$4,$C226),Tabella1[CONC X VOTI IN TAB GIOC],Tabella1[Voto]),"")</f>
        <v/>
      </c>
      <c r="AE226" s="270" t="str">
        <f>_xlfn.IFNA(VLOOKUP(CONCATENATE(AE$4,$C226),'INSER DATA'!$A:$F,6,0),"")</f>
        <v/>
      </c>
      <c r="AF226" s="270" t="str">
        <f>_xlfn.IFNA(VLOOKUP(CONCATENATE(AF$4,$C226),'INSER DATA'!$A:$F,6,0),"")</f>
        <v/>
      </c>
      <c r="AG226" s="270" t="str">
        <f>_xlfn.IFNA(VLOOKUP(CONCATENATE(AG$4,$C226),'INSER DATA'!$A:$F,6,0),"")</f>
        <v/>
      </c>
      <c r="AH226" s="270" t="str">
        <f>_xlfn.IFNA(VLOOKUP(CONCATENATE(AH$4,$C226),'INSER DATA'!$A:$F,7,0),"")</f>
        <v/>
      </c>
      <c r="AI226" s="270" t="str">
        <f>_xlfn.IFNA(VLOOKUP(CONCATENATE(AI$4,$C226),'INSER DATA'!$A:$F,7,0),"")</f>
        <v/>
      </c>
      <c r="AJ226" s="270" t="str">
        <f>_xlfn.IFNA(VLOOKUP(CONCATENATE(AJ$4,$C226),'INSER DATA'!$A:$F,7,0),"")</f>
        <v/>
      </c>
      <c r="AK226" s="270" t="str">
        <f>_xlfn.IFNA(VLOOKUP(CONCATENATE(AK$4,$C226),'INSER DATA'!$A:$F,7,0),"")</f>
        <v/>
      </c>
      <c r="AL226" s="270" t="str">
        <f>_xlfn.IFNA(VLOOKUP(CONCATENATE(AL$4,$C226),'INSER DATA'!$A:$F,7,0),"")</f>
        <v/>
      </c>
      <c r="AM226" s="270" t="str">
        <f>_xlfn.IFNA(VLOOKUP(CONCATENATE(AM$4,$C226),'INSER DATA'!$A:$F,7,0),"")</f>
        <v/>
      </c>
      <c r="AN226" s="270" t="str">
        <f>_xlfn.IFNA(VLOOKUP(CONCATENATE(AN$4,$C226),'INSER DATA'!$A:$F,7,0),"")</f>
        <v/>
      </c>
      <c r="AO226" s="270" t="str">
        <f>_xlfn.IFNA(VLOOKUP(CONCATENATE(AO$4,$C226),'INSER DATA'!$A:$F,7,0),"")</f>
        <v/>
      </c>
      <c r="AP226" s="270" t="str">
        <f>_xlfn.IFNA(VLOOKUP(CONCATENATE(AP$4,$C226),'INSER DATA'!$A:$F,7,0),"")</f>
        <v/>
      </c>
      <c r="AQ226" s="270" t="str">
        <f>_xlfn.IFNA(VLOOKUP(CONCATENATE(AQ$4,$C226),'INSER DATA'!$A:$F,7,0),"")</f>
        <v/>
      </c>
      <c r="AR226" s="270" t="str">
        <f>_xlfn.IFNA(VLOOKUP(CONCATENATE(AR$4,$C226),'INSER DATA'!$A:$F,7,0),"")</f>
        <v/>
      </c>
      <c r="AS226" s="270" t="str">
        <f>_xlfn.IFNA(VLOOKUP(CONCATENATE(AS$4,$C226),'INSER DATA'!$A:$F,7,0),"")</f>
        <v/>
      </c>
      <c r="AT226" s="270" t="str">
        <f>_xlfn.IFNA(VLOOKUP(CONCATENATE(AT$4,$C226),'INSER DATA'!$A:$F,7,0),"")</f>
        <v/>
      </c>
      <c r="AU226" s="270" t="str">
        <f>_xlfn.IFNA(VLOOKUP(CONCATENATE(AU$4,$C226),'INSER DATA'!$A:$F,7,0),"")</f>
        <v/>
      </c>
      <c r="AV226" s="270" t="str">
        <f>_xlfn.IFNA(VLOOKUP(CONCATENATE(AV$4,$C226),'INSER DATA'!$A:$F,7,0),"")</f>
        <v/>
      </c>
      <c r="AW226" s="270" t="str">
        <f>_xlfn.IFNA(VLOOKUP(CONCATENATE(AW$4,$C226),'INSER DATA'!$A:$F,7,0),"")</f>
        <v/>
      </c>
      <c r="AX226" s="270" t="str">
        <f>_xlfn.IFNA(VLOOKUP(CONCATENATE(AX$4,$C226),'INSER DATA'!$A:$F,7,0),"")</f>
        <v/>
      </c>
      <c r="AY226" s="270" t="str">
        <f>_xlfn.IFNA(VLOOKUP(CONCATENATE(AY$4,$C226),'INSER DATA'!$A:$F,7,0),"")</f>
        <v/>
      </c>
      <c r="AZ226" s="270" t="str">
        <f>_xlfn.IFNA(VLOOKUP(CONCATENATE(AZ$4,$C226),'INSER DATA'!$A:$F,7,0),"")</f>
        <v/>
      </c>
      <c r="BA226" s="270" t="str">
        <f>_xlfn.IFNA(VLOOKUP(CONCATENATE(BA$4,$C226),'INSER DATA'!$A:$F,7,0),"")</f>
        <v/>
      </c>
      <c r="BB226" s="270" t="str">
        <f>_xlfn.IFNA(VLOOKUP(CONCATENATE(BB$4,$C226),'INSER DATA'!$A:$F,7,0),"")</f>
        <v/>
      </c>
      <c r="BC226" s="270" t="str">
        <f>_xlfn.IFNA(VLOOKUP(CONCATENATE(BC$4,$C226),'INSER DATA'!$A:$F,7,0),"")</f>
        <v/>
      </c>
      <c r="BD226" s="270" t="str">
        <f>_xlfn.IFNA(VLOOKUP(CONCATENATE(BD$4,$C226),'INSER DATA'!$A:$F,7,0),"")</f>
        <v/>
      </c>
      <c r="BE226" s="270" t="str">
        <f>_xlfn.IFNA(VLOOKUP(CONCATENATE(BE$4,$C226),'INSER DATA'!$A:$F,7,0),"")</f>
        <v/>
      </c>
      <c r="BF226" s="270" t="str">
        <f>_xlfn.IFNA(VLOOKUP(CONCATENATE(BF$4,$C226),'INSER DATA'!$A:$F,7,0),"")</f>
        <v/>
      </c>
      <c r="BG226" s="270" t="str">
        <f>_xlfn.IFNA(VLOOKUP(CONCATENATE(BG$4,$C226),'INSER DATA'!$A:$F,7,0),"")</f>
        <v/>
      </c>
      <c r="BH226" s="270" t="str">
        <f>_xlfn.IFNA(VLOOKUP(CONCATENATE(BH$4,$C226),'INSER DATA'!$A:$F,7,0),"")</f>
        <v/>
      </c>
      <c r="BI226" s="270" t="str">
        <f>_xlfn.IFNA(VLOOKUP(CONCATENATE(BI$4,$C226),'INSER DATA'!$A:$F,7,0),"")</f>
        <v/>
      </c>
      <c r="BJ226" s="270" t="str">
        <f>_xlfn.IFNA(VLOOKUP(CONCATENATE(BJ$4,$C226),'INSER DATA'!$A:$F,7,0),"")</f>
        <v/>
      </c>
      <c r="BK226" s="270" t="str">
        <f>_xlfn.IFNA(VLOOKUP(CONCATENATE(BK$4,$C226),'INSER DATA'!$A:$F,7,0),"")</f>
        <v/>
      </c>
      <c r="BL226" s="272"/>
    </row>
    <row r="227" spans="1:105" s="184" customFormat="1" ht="19.2" thickTop="1" thickBot="1" x14ac:dyDescent="0.4">
      <c r="A227" s="30"/>
      <c r="B227" s="30"/>
      <c r="C227" s="185" t="s">
        <v>779</v>
      </c>
      <c r="D227" s="187" t="s">
        <v>777</v>
      </c>
      <c r="E227" s="35" t="str">
        <f>_xlfn.XLOOKUP(Tabella4[[#This Row],[NOME]],'ROSE SQUADRE'!$N$3:$N$253,'ROSE SQUADRE'!$O$3:$O$253,"")</f>
        <v/>
      </c>
      <c r="F227" s="36" t="s">
        <v>5</v>
      </c>
      <c r="G227" s="43">
        <v>1</v>
      </c>
      <c r="H227" s="43">
        <v>1</v>
      </c>
      <c r="I227" s="44">
        <f t="shared" si="19"/>
        <v>0</v>
      </c>
      <c r="J227" s="37">
        <f t="shared" si="20"/>
        <v>0</v>
      </c>
      <c r="K227" s="38">
        <f t="shared" si="21"/>
        <v>0</v>
      </c>
      <c r="L227" s="38">
        <f t="shared" si="22"/>
        <v>0</v>
      </c>
      <c r="M227" s="39">
        <f t="shared" si="23"/>
        <v>0</v>
      </c>
      <c r="N227" s="45">
        <f t="shared" ca="1" si="24"/>
        <v>0</v>
      </c>
      <c r="O227" s="40">
        <f>SUMIF(Tabella1[Nome],Tabella4[[#This Row],[NOME]],Tabella1[Gf])</f>
        <v>0</v>
      </c>
      <c r="P227" s="40">
        <f>-(SUMIF(Tabella1[Nome],Tabella4[[#This Row],[NOME]],Tabella1[Gs]))</f>
        <v>0</v>
      </c>
      <c r="Q227" s="40">
        <f>SUMIF(Tabella1[Nome],Tabella4[[#This Row],[NOME]],Tabella1[Rp])</f>
        <v>0</v>
      </c>
      <c r="R227" s="40">
        <f>SUMIF(Tabella1[Nome],Tabella4[[#This Row],[NOME]],Tabella1[Rs])</f>
        <v>0</v>
      </c>
      <c r="S227" s="40">
        <f>SUMIF(Tabella1[Nome],Tabella4[[#This Row],[NOME]],Tabella1[Rf])</f>
        <v>0</v>
      </c>
      <c r="T227" s="40">
        <f>SUMIF(Tabella1[Nome],Tabella4[[#This Row],[NOME]],Tabella1[Au])</f>
        <v>0</v>
      </c>
      <c r="U227" s="41">
        <f>SUMIF(Tabella1[Nome],Tabella4[[#This Row],[NOME]],Tabella1[Amm])</f>
        <v>0</v>
      </c>
      <c r="V227" s="42">
        <f>SUMIF(Tabella1[Nome],Tabella4[[#This Row],[NOME]],Tabella1[Esp])</f>
        <v>0</v>
      </c>
      <c r="W227" s="40">
        <f>SUMIF(Tabella1[Nome],Tabella4[[#This Row],[NOME]],Tabella1[Ass])</f>
        <v>0</v>
      </c>
      <c r="X227" s="40">
        <f>SUMIF(Tabella1[Nome],Tabella4[[#This Row],[NOME]],Tabella1[Gdv])</f>
        <v>0</v>
      </c>
      <c r="Y227" s="40">
        <f>SUMIF(Tabella1[Nome],Tabella4[[#This Row],[NOME]],Tabella1[cl sh])</f>
        <v>0</v>
      </c>
      <c r="Z227" s="270" t="str">
        <f>_xlfn.IFNA(_xlfn.XLOOKUP(CONCATENATE(Z$4,$C227),Tabella1[CONC X VOTI IN TAB GIOC],Tabella1[Voto],""),"")</f>
        <v/>
      </c>
      <c r="AA227" s="270" t="str">
        <f>_xlfn.IFNA(_xlfn.XLOOKUP(CONCATENATE(AA$4,$C227),Tabella1[CONC X VOTI IN TAB GIOC],Tabella1[Voto],""),"")</f>
        <v/>
      </c>
      <c r="AB227" s="270" t="str">
        <f>_xlfn.IFNA(_xlfn.XLOOKUP(CONCATENATE(AB$4,$C227),Tabella1[CONC X VOTI IN TAB GIOC],Tabella1[Voto]),"")</f>
        <v/>
      </c>
      <c r="AC227" s="270" t="str" cm="1">
        <f t="array" ref="AC227">_xlfn.IFNA(_xlfn.XLOOKUP(CONCATENATE(AC$4,$C227),INDEX(Tabella1[],0,MATCH("CONC X VOTI IN TAB GIOC",Tabella1[#Headers],0)),INDEX(Tabella1[],0,MATCH("Voto",Tabella1[#Headers],0))),"")</f>
        <v/>
      </c>
      <c r="AD227" s="270" t="str">
        <f>_xlfn.IFNA(_xlfn.XLOOKUP(CONCATENATE(AD$4,$C227),Tabella1[CONC X VOTI IN TAB GIOC],Tabella1[Voto]),"")</f>
        <v/>
      </c>
      <c r="AE227" s="270" t="str">
        <f>_xlfn.IFNA(VLOOKUP(CONCATENATE(AE$4,$C227),'INSER DATA'!$A:$F,6,0),"")</f>
        <v/>
      </c>
      <c r="AF227" s="270" t="str">
        <f>_xlfn.IFNA(VLOOKUP(CONCATENATE(AF$4,$C227),'INSER DATA'!$A:$F,6,0),"")</f>
        <v/>
      </c>
      <c r="AG227" s="270" t="str">
        <f>_xlfn.IFNA(VLOOKUP(CONCATENATE(AG$4,$C227),'INSER DATA'!$A:$F,6,0),"")</f>
        <v/>
      </c>
      <c r="AH227" s="270" t="str">
        <f>_xlfn.IFNA(VLOOKUP(CONCATENATE(AH$4,$C227),'INSER DATA'!$A:$F,7,0),"")</f>
        <v/>
      </c>
      <c r="AI227" s="270" t="str">
        <f>_xlfn.IFNA(VLOOKUP(CONCATENATE(AI$4,$C227),'INSER DATA'!$A:$F,7,0),"")</f>
        <v/>
      </c>
      <c r="AJ227" s="270" t="str">
        <f>_xlfn.IFNA(VLOOKUP(CONCATENATE(AJ$4,$C227),'INSER DATA'!$A:$F,7,0),"")</f>
        <v/>
      </c>
      <c r="AK227" s="270" t="str">
        <f>_xlfn.IFNA(VLOOKUP(CONCATENATE(AK$4,$C227),'INSER DATA'!$A:$F,7,0),"")</f>
        <v/>
      </c>
      <c r="AL227" s="270" t="str">
        <f>_xlfn.IFNA(VLOOKUP(CONCATENATE(AL$4,$C227),'INSER DATA'!$A:$F,7,0),"")</f>
        <v/>
      </c>
      <c r="AM227" s="270" t="str">
        <f>_xlfn.IFNA(VLOOKUP(CONCATENATE(AM$4,$C227),'INSER DATA'!$A:$F,7,0),"")</f>
        <v/>
      </c>
      <c r="AN227" s="270" t="str">
        <f>_xlfn.IFNA(VLOOKUP(CONCATENATE(AN$4,$C227),'INSER DATA'!$A:$F,7,0),"")</f>
        <v/>
      </c>
      <c r="AO227" s="270" t="str">
        <f>_xlfn.IFNA(VLOOKUP(CONCATENATE(AO$4,$C227),'INSER DATA'!$A:$F,7,0),"")</f>
        <v/>
      </c>
      <c r="AP227" s="270" t="str">
        <f>_xlfn.IFNA(VLOOKUP(CONCATENATE(AP$4,$C227),'INSER DATA'!$A:$F,7,0),"")</f>
        <v/>
      </c>
      <c r="AQ227" s="270" t="str">
        <f>_xlfn.IFNA(VLOOKUP(CONCATENATE(AQ$4,$C227),'INSER DATA'!$A:$F,7,0),"")</f>
        <v/>
      </c>
      <c r="AR227" s="270" t="str">
        <f>_xlfn.IFNA(VLOOKUP(CONCATENATE(AR$4,$C227),'INSER DATA'!$A:$F,7,0),"")</f>
        <v/>
      </c>
      <c r="AS227" s="270" t="str">
        <f>_xlfn.IFNA(VLOOKUP(CONCATENATE(AS$4,$C227),'INSER DATA'!$A:$F,7,0),"")</f>
        <v/>
      </c>
      <c r="AT227" s="270" t="str">
        <f>_xlfn.IFNA(VLOOKUP(CONCATENATE(AT$4,$C227),'INSER DATA'!$A:$F,7,0),"")</f>
        <v/>
      </c>
      <c r="AU227" s="270" t="str">
        <f>_xlfn.IFNA(VLOOKUP(CONCATENATE(AU$4,$C227),'INSER DATA'!$A:$F,7,0),"")</f>
        <v/>
      </c>
      <c r="AV227" s="270" t="str">
        <f>_xlfn.IFNA(VLOOKUP(CONCATENATE(AV$4,$C227),'INSER DATA'!$A:$F,7,0),"")</f>
        <v/>
      </c>
      <c r="AW227" s="270" t="str">
        <f>_xlfn.IFNA(VLOOKUP(CONCATENATE(AW$4,$C227),'INSER DATA'!$A:$F,7,0),"")</f>
        <v/>
      </c>
      <c r="AX227" s="270" t="str">
        <f>_xlfn.IFNA(VLOOKUP(CONCATENATE(AX$4,$C227),'INSER DATA'!$A:$F,7,0),"")</f>
        <v/>
      </c>
      <c r="AY227" s="270" t="str">
        <f>_xlfn.IFNA(VLOOKUP(CONCATENATE(AY$4,$C227),'INSER DATA'!$A:$F,7,0),"")</f>
        <v/>
      </c>
      <c r="AZ227" s="270" t="str">
        <f>_xlfn.IFNA(VLOOKUP(CONCATENATE(AZ$4,$C227),'INSER DATA'!$A:$F,7,0),"")</f>
        <v/>
      </c>
      <c r="BA227" s="270" t="str">
        <f>_xlfn.IFNA(VLOOKUP(CONCATENATE(BA$4,$C227),'INSER DATA'!$A:$F,7,0),"")</f>
        <v/>
      </c>
      <c r="BB227" s="270" t="str">
        <f>_xlfn.IFNA(VLOOKUP(CONCATENATE(BB$4,$C227),'INSER DATA'!$A:$F,7,0),"")</f>
        <v/>
      </c>
      <c r="BC227" s="270" t="str">
        <f>_xlfn.IFNA(VLOOKUP(CONCATENATE(BC$4,$C227),'INSER DATA'!$A:$F,7,0),"")</f>
        <v/>
      </c>
      <c r="BD227" s="270" t="str">
        <f>_xlfn.IFNA(VLOOKUP(CONCATENATE(BD$4,$C227),'INSER DATA'!$A:$F,7,0),"")</f>
        <v/>
      </c>
      <c r="BE227" s="270" t="str">
        <f>_xlfn.IFNA(VLOOKUP(CONCATENATE(BE$4,$C227),'INSER DATA'!$A:$F,7,0),"")</f>
        <v/>
      </c>
      <c r="BF227" s="270" t="str">
        <f>_xlfn.IFNA(VLOOKUP(CONCATENATE(BF$4,$C227),'INSER DATA'!$A:$F,7,0),"")</f>
        <v/>
      </c>
      <c r="BG227" s="270" t="str">
        <f>_xlfn.IFNA(VLOOKUP(CONCATENATE(BG$4,$C227),'INSER DATA'!$A:$F,7,0),"")</f>
        <v/>
      </c>
      <c r="BH227" s="270" t="str">
        <f>_xlfn.IFNA(VLOOKUP(CONCATENATE(BH$4,$C227),'INSER DATA'!$A:$F,7,0),"")</f>
        <v/>
      </c>
      <c r="BI227" s="270" t="str">
        <f>_xlfn.IFNA(VLOOKUP(CONCATENATE(BI$4,$C227),'INSER DATA'!$A:$F,7,0),"")</f>
        <v/>
      </c>
      <c r="BJ227" s="270" t="str">
        <f>_xlfn.IFNA(VLOOKUP(CONCATENATE(BJ$4,$C227),'INSER DATA'!$A:$F,7,0),"")</f>
        <v/>
      </c>
      <c r="BK227" s="270" t="str">
        <f>_xlfn.IFNA(VLOOKUP(CONCATENATE(BK$4,$C227),'INSER DATA'!$A:$F,7,0),"")</f>
        <v/>
      </c>
      <c r="BL227" s="272"/>
    </row>
    <row r="228" spans="1:105" ht="19.2" thickTop="1" thickBot="1" x14ac:dyDescent="0.4">
      <c r="A228" s="30"/>
      <c r="B228" s="30"/>
      <c r="C228" s="185" t="s">
        <v>346</v>
      </c>
      <c r="D228" s="187" t="s">
        <v>777</v>
      </c>
      <c r="E228" s="35" t="str">
        <f>_xlfn.XLOOKUP(Tabella4[[#This Row],[NOME]],'ROSE SQUADRE'!$N$3:$N$253,'ROSE SQUADRE'!$O$3:$O$253,"")</f>
        <v/>
      </c>
      <c r="F228" s="36" t="s">
        <v>161</v>
      </c>
      <c r="G228" s="43">
        <v>1</v>
      </c>
      <c r="H228" s="43">
        <v>1</v>
      </c>
      <c r="I228" s="44">
        <f t="shared" si="19"/>
        <v>0</v>
      </c>
      <c r="J228" s="37">
        <f t="shared" si="20"/>
        <v>0</v>
      </c>
      <c r="K228" s="38">
        <f t="shared" si="21"/>
        <v>0</v>
      </c>
      <c r="L228" s="38">
        <f t="shared" si="22"/>
        <v>0</v>
      </c>
      <c r="M228" s="39">
        <f t="shared" si="23"/>
        <v>0</v>
      </c>
      <c r="N228" s="45">
        <f t="shared" ca="1" si="24"/>
        <v>0</v>
      </c>
      <c r="O228" s="40">
        <f>SUMIF(Tabella1[Nome],Tabella4[[#This Row],[NOME]],Tabella1[Gf])</f>
        <v>0</v>
      </c>
      <c r="P228" s="40">
        <f>-(SUMIF(Tabella1[Nome],Tabella4[[#This Row],[NOME]],Tabella1[Gs]))</f>
        <v>0</v>
      </c>
      <c r="Q228" s="40">
        <f>SUMIF(Tabella1[Nome],Tabella4[[#This Row],[NOME]],Tabella1[Rp])</f>
        <v>0</v>
      </c>
      <c r="R228" s="40">
        <f>SUMIF(Tabella1[Nome],Tabella4[[#This Row],[NOME]],Tabella1[Rs])</f>
        <v>0</v>
      </c>
      <c r="S228" s="40">
        <f>SUMIF(Tabella1[Nome],Tabella4[[#This Row],[NOME]],Tabella1[Rf])</f>
        <v>0</v>
      </c>
      <c r="T228" s="40">
        <f>SUMIF(Tabella1[Nome],Tabella4[[#This Row],[NOME]],Tabella1[Au])</f>
        <v>0</v>
      </c>
      <c r="U228" s="41">
        <f>SUMIF(Tabella1[Nome],Tabella4[[#This Row],[NOME]],Tabella1[Amm])</f>
        <v>0</v>
      </c>
      <c r="V228" s="42">
        <f>SUMIF(Tabella1[Nome],Tabella4[[#This Row],[NOME]],Tabella1[Esp])</f>
        <v>0</v>
      </c>
      <c r="W228" s="40">
        <f>SUMIF(Tabella1[Nome],Tabella4[[#This Row],[NOME]],Tabella1[Ass])</f>
        <v>0</v>
      </c>
      <c r="X228" s="40">
        <f>SUMIF(Tabella1[Nome],Tabella4[[#This Row],[NOME]],Tabella1[Gdv])</f>
        <v>0</v>
      </c>
      <c r="Y228" s="40">
        <f>SUMIF(Tabella1[Nome],Tabella4[[#This Row],[NOME]],Tabella1[cl sh])</f>
        <v>0</v>
      </c>
      <c r="Z228" s="270" t="str">
        <f>_xlfn.IFNA(_xlfn.XLOOKUP(CONCATENATE(Z$4,$C228),Tabella1[CONC X VOTI IN TAB GIOC],Tabella1[Voto],""),"")</f>
        <v/>
      </c>
      <c r="AA228" s="270" t="str">
        <f>_xlfn.IFNA(_xlfn.XLOOKUP(CONCATENATE(AA$4,$C228),Tabella1[CONC X VOTI IN TAB GIOC],Tabella1[Voto],""),"")</f>
        <v/>
      </c>
      <c r="AB228" s="270" t="str">
        <f>_xlfn.IFNA(_xlfn.XLOOKUP(CONCATENATE(AB$4,$C228),Tabella1[CONC X VOTI IN TAB GIOC],Tabella1[Voto]),"")</f>
        <v/>
      </c>
      <c r="AC228" s="270" t="str" cm="1">
        <f t="array" ref="AC228">_xlfn.IFNA(_xlfn.XLOOKUP(CONCATENATE(AC$4,$C228),INDEX(Tabella1[],0,MATCH("CONC X VOTI IN TAB GIOC",Tabella1[#Headers],0)),INDEX(Tabella1[],0,MATCH("Voto",Tabella1[#Headers],0))),"")</f>
        <v/>
      </c>
      <c r="AD228" s="270" t="str">
        <f>_xlfn.IFNA(_xlfn.XLOOKUP(CONCATENATE(AD$4,$C228),Tabella1[CONC X VOTI IN TAB GIOC],Tabella1[Voto]),"")</f>
        <v/>
      </c>
      <c r="AE228" s="270" t="str">
        <f>_xlfn.IFNA(VLOOKUP(CONCATENATE(AE$4,$C228),'INSER DATA'!$A:$F,6,0),"")</f>
        <v/>
      </c>
      <c r="AF228" s="270" t="str">
        <f>_xlfn.IFNA(VLOOKUP(CONCATENATE(AF$4,$C228),'INSER DATA'!$A:$F,6,0),"")</f>
        <v/>
      </c>
      <c r="AG228" s="270" t="str">
        <f>_xlfn.IFNA(VLOOKUP(CONCATENATE(AG$4,$C228),'INSER DATA'!$A:$F,6,0),"")</f>
        <v/>
      </c>
      <c r="AH228" s="270" t="str">
        <f>_xlfn.IFNA(VLOOKUP(CONCATENATE(AH$4,$C228),'INSER DATA'!$A:$F,7,0),"")</f>
        <v/>
      </c>
      <c r="AI228" s="270" t="str">
        <f>_xlfn.IFNA(VLOOKUP(CONCATENATE(AI$4,$C228),'INSER DATA'!$A:$F,7,0),"")</f>
        <v/>
      </c>
      <c r="AJ228" s="270" t="str">
        <f>_xlfn.IFNA(VLOOKUP(CONCATENATE(AJ$4,$C228),'INSER DATA'!$A:$F,7,0),"")</f>
        <v/>
      </c>
      <c r="AK228" s="270" t="str">
        <f>_xlfn.IFNA(VLOOKUP(CONCATENATE(AK$4,$C228),'INSER DATA'!$A:$F,7,0),"")</f>
        <v/>
      </c>
      <c r="AL228" s="270" t="str">
        <f>_xlfn.IFNA(VLOOKUP(CONCATENATE(AL$4,$C228),'INSER DATA'!$A:$F,7,0),"")</f>
        <v/>
      </c>
      <c r="AM228" s="270" t="str">
        <f>_xlfn.IFNA(VLOOKUP(CONCATENATE(AM$4,$C228),'INSER DATA'!$A:$F,7,0),"")</f>
        <v/>
      </c>
      <c r="AN228" s="270" t="str">
        <f>_xlfn.IFNA(VLOOKUP(CONCATENATE(AN$4,$C228),'INSER DATA'!$A:$F,7,0),"")</f>
        <v/>
      </c>
      <c r="AO228" s="270" t="str">
        <f>_xlfn.IFNA(VLOOKUP(CONCATENATE(AO$4,$C228),'INSER DATA'!$A:$F,7,0),"")</f>
        <v/>
      </c>
      <c r="AP228" s="270" t="str">
        <f>_xlfn.IFNA(VLOOKUP(CONCATENATE(AP$4,$C228),'INSER DATA'!$A:$F,7,0),"")</f>
        <v/>
      </c>
      <c r="AQ228" s="270" t="str">
        <f>_xlfn.IFNA(VLOOKUP(CONCATENATE(AQ$4,$C228),'INSER DATA'!$A:$F,7,0),"")</f>
        <v/>
      </c>
      <c r="AR228" s="270" t="str">
        <f>_xlfn.IFNA(VLOOKUP(CONCATENATE(AR$4,$C228),'INSER DATA'!$A:$F,7,0),"")</f>
        <v/>
      </c>
      <c r="AS228" s="270" t="str">
        <f>_xlfn.IFNA(VLOOKUP(CONCATENATE(AS$4,$C228),'INSER DATA'!$A:$F,7,0),"")</f>
        <v/>
      </c>
      <c r="AT228" s="270" t="str">
        <f>_xlfn.IFNA(VLOOKUP(CONCATENATE(AT$4,$C228),'INSER DATA'!$A:$F,7,0),"")</f>
        <v/>
      </c>
      <c r="AU228" s="270" t="str">
        <f>_xlfn.IFNA(VLOOKUP(CONCATENATE(AU$4,$C228),'INSER DATA'!$A:$F,7,0),"")</f>
        <v/>
      </c>
      <c r="AV228" s="270" t="str">
        <f>_xlfn.IFNA(VLOOKUP(CONCATENATE(AV$4,$C228),'INSER DATA'!$A:$F,7,0),"")</f>
        <v/>
      </c>
      <c r="AW228" s="270" t="str">
        <f>_xlfn.IFNA(VLOOKUP(CONCATENATE(AW$4,$C228),'INSER DATA'!$A:$F,7,0),"")</f>
        <v/>
      </c>
      <c r="AX228" s="270" t="str">
        <f>_xlfn.IFNA(VLOOKUP(CONCATENATE(AX$4,$C228),'INSER DATA'!$A:$F,7,0),"")</f>
        <v/>
      </c>
      <c r="AY228" s="270" t="str">
        <f>_xlfn.IFNA(VLOOKUP(CONCATENATE(AY$4,$C228),'INSER DATA'!$A:$F,7,0),"")</f>
        <v/>
      </c>
      <c r="AZ228" s="270" t="str">
        <f>_xlfn.IFNA(VLOOKUP(CONCATENATE(AZ$4,$C228),'INSER DATA'!$A:$F,7,0),"")</f>
        <v/>
      </c>
      <c r="BA228" s="270" t="str">
        <f>_xlfn.IFNA(VLOOKUP(CONCATENATE(BA$4,$C228),'INSER DATA'!$A:$F,7,0),"")</f>
        <v/>
      </c>
      <c r="BB228" s="270" t="str">
        <f>_xlfn.IFNA(VLOOKUP(CONCATENATE(BB$4,$C228),'INSER DATA'!$A:$F,7,0),"")</f>
        <v/>
      </c>
      <c r="BC228" s="270" t="str">
        <f>_xlfn.IFNA(VLOOKUP(CONCATENATE(BC$4,$C228),'INSER DATA'!$A:$F,7,0),"")</f>
        <v/>
      </c>
      <c r="BD228" s="270" t="str">
        <f>_xlfn.IFNA(VLOOKUP(CONCATENATE(BD$4,$C228),'INSER DATA'!$A:$F,7,0),"")</f>
        <v/>
      </c>
      <c r="BE228" s="270" t="str">
        <f>_xlfn.IFNA(VLOOKUP(CONCATENATE(BE$4,$C228),'INSER DATA'!$A:$F,7,0),"")</f>
        <v/>
      </c>
      <c r="BF228" s="270" t="str">
        <f>_xlfn.IFNA(VLOOKUP(CONCATENATE(BF$4,$C228),'INSER DATA'!$A:$F,7,0),"")</f>
        <v/>
      </c>
      <c r="BG228" s="270" t="str">
        <f>_xlfn.IFNA(VLOOKUP(CONCATENATE(BG$4,$C228),'INSER DATA'!$A:$F,7,0),"")</f>
        <v/>
      </c>
      <c r="BH228" s="270" t="str">
        <f>_xlfn.IFNA(VLOOKUP(CONCATENATE(BH$4,$C228),'INSER DATA'!$A:$F,7,0),"")</f>
        <v/>
      </c>
      <c r="BI228" s="270" t="str">
        <f>_xlfn.IFNA(VLOOKUP(CONCATENATE(BI$4,$C228),'INSER DATA'!$A:$F,7,0),"")</f>
        <v/>
      </c>
      <c r="BJ228" s="270" t="str">
        <f>_xlfn.IFNA(VLOOKUP(CONCATENATE(BJ$4,$C228),'INSER DATA'!$A:$F,7,0),"")</f>
        <v/>
      </c>
      <c r="BK228" s="270" t="str">
        <f>_xlfn.IFNA(VLOOKUP(CONCATENATE(BK$4,$C228),'INSER DATA'!$A:$F,7,0),"")</f>
        <v/>
      </c>
      <c r="BL228" s="272"/>
      <c r="BM228" s="30"/>
      <c r="BN228" s="30"/>
      <c r="BO228" s="30"/>
      <c r="BP228" s="30"/>
      <c r="BQ228" s="30"/>
      <c r="BR228" s="30"/>
      <c r="BS228" s="30"/>
      <c r="BT228" s="30"/>
      <c r="BU228" s="30"/>
      <c r="BV228" s="30"/>
      <c r="BW228" s="30"/>
      <c r="BX228" s="30"/>
      <c r="BY228" s="30"/>
      <c r="BZ228" s="30"/>
      <c r="CA228" s="30"/>
      <c r="CB228" s="30"/>
      <c r="CC228" s="30"/>
      <c r="CD228" s="30"/>
      <c r="CE228" s="30"/>
      <c r="CF228" s="30"/>
      <c r="CG228" s="30"/>
      <c r="CH228" s="30"/>
      <c r="CI228" s="30"/>
      <c r="CJ228" s="30"/>
      <c r="CK228" s="30"/>
      <c r="CL228" s="30"/>
      <c r="CM228" s="30"/>
      <c r="CN228" s="30"/>
      <c r="CO228" s="30"/>
      <c r="CP228" s="30"/>
      <c r="CQ228" s="30"/>
      <c r="CR228" s="30"/>
      <c r="CS228" s="30"/>
      <c r="CT228" s="30"/>
      <c r="CU228" s="30"/>
      <c r="CV228" s="30"/>
      <c r="CW228" s="30"/>
      <c r="CX228" s="30"/>
      <c r="CY228" s="30"/>
      <c r="CZ228" s="30"/>
      <c r="DA228" s="30"/>
    </row>
    <row r="229" spans="1:105" ht="19.2" thickTop="1" thickBot="1" x14ac:dyDescent="0.4">
      <c r="A229" s="30"/>
      <c r="B229" s="30"/>
      <c r="C229" s="188" t="s">
        <v>333</v>
      </c>
      <c r="D229" s="187" t="s">
        <v>777</v>
      </c>
      <c r="E229" s="35" t="str">
        <f>_xlfn.XLOOKUP(Tabella4[[#This Row],[NOME]],'ROSE SQUADRE'!$N$3:$N$253,'ROSE SQUADRE'!$O$3:$O$253,"")</f>
        <v/>
      </c>
      <c r="F229" s="36" t="s">
        <v>161</v>
      </c>
      <c r="G229" s="43">
        <v>4</v>
      </c>
      <c r="H229" s="43">
        <v>4</v>
      </c>
      <c r="I229" s="44">
        <f t="shared" si="19"/>
        <v>0</v>
      </c>
      <c r="J229" s="37">
        <f t="shared" si="20"/>
        <v>1</v>
      </c>
      <c r="K229" s="178">
        <f t="shared" si="21"/>
        <v>7</v>
      </c>
      <c r="L229" s="178">
        <f t="shared" si="22"/>
        <v>9.5</v>
      </c>
      <c r="M229" s="179">
        <f t="shared" si="23"/>
        <v>9.5</v>
      </c>
      <c r="N229" s="45">
        <f t="shared" ca="1" si="24"/>
        <v>0</v>
      </c>
      <c r="O229" s="40">
        <f>SUMIF(Tabella1[Nome],Tabella4[[#This Row],[NOME]],Tabella1[Gf])</f>
        <v>1</v>
      </c>
      <c r="P229" s="40">
        <f>-(SUMIF(Tabella1[Nome],Tabella4[[#This Row],[NOME]],Tabella1[Gs]))</f>
        <v>0</v>
      </c>
      <c r="Q229" s="40">
        <f>SUMIF(Tabella1[Nome],Tabella4[[#This Row],[NOME]],Tabella1[Rp])</f>
        <v>0</v>
      </c>
      <c r="R229" s="40">
        <f>SUMIF(Tabella1[Nome],Tabella4[[#This Row],[NOME]],Tabella1[Rs])</f>
        <v>0</v>
      </c>
      <c r="S229" s="40">
        <f>SUMIF(Tabella1[Nome],Tabella4[[#This Row],[NOME]],Tabella1[Rf])</f>
        <v>0</v>
      </c>
      <c r="T229" s="40">
        <f>SUMIF(Tabella1[Nome],Tabella4[[#This Row],[NOME]],Tabella1[Au])</f>
        <v>0</v>
      </c>
      <c r="U229" s="41">
        <f>SUMIF(Tabella1[Nome],Tabella4[[#This Row],[NOME]],Tabella1[Amm])</f>
        <v>1</v>
      </c>
      <c r="V229" s="42">
        <f>SUMIF(Tabella1[Nome],Tabella4[[#This Row],[NOME]],Tabella1[Esp])</f>
        <v>0</v>
      </c>
      <c r="W229" s="40">
        <f>SUMIF(Tabella1[Nome],Tabella4[[#This Row],[NOME]],Tabella1[Ass])</f>
        <v>0</v>
      </c>
      <c r="X229" s="40">
        <f>SUMIF(Tabella1[Nome],Tabella4[[#This Row],[NOME]],Tabella1[Gdv])</f>
        <v>0</v>
      </c>
      <c r="Y229" s="40">
        <f>SUMIF(Tabella1[Nome],Tabella4[[#This Row],[NOME]],Tabella1[cl sh])</f>
        <v>0</v>
      </c>
      <c r="Z229" s="270" t="str">
        <f>_xlfn.IFNA(_xlfn.XLOOKUP(CONCATENATE(Z$4,$C229),Tabella1[CONC X VOTI IN TAB GIOC],Tabella1[Voto],""),"")</f>
        <v/>
      </c>
      <c r="AA229" s="270" t="str">
        <f>_xlfn.IFNA(_xlfn.XLOOKUP(CONCATENATE(AA$4,$C229),Tabella1[CONC X VOTI IN TAB GIOC],Tabella1[Voto],""),"")</f>
        <v/>
      </c>
      <c r="AB229" s="270">
        <f>_xlfn.IFNA(_xlfn.XLOOKUP(CONCATENATE(AB$4,$C229),Tabella1[CONC X VOTI IN TAB GIOC],Tabella1[Voto]),"")</f>
        <v>7</v>
      </c>
      <c r="AC229" s="270" t="str" cm="1">
        <f t="array" ref="AC229">_xlfn.IFNA(_xlfn.XLOOKUP(CONCATENATE(AC$4,$C229),INDEX(Tabella1[],0,MATCH("CONC X VOTI IN TAB GIOC",Tabella1[#Headers],0)),INDEX(Tabella1[],0,MATCH("Voto",Tabella1[#Headers],0))),"")</f>
        <v/>
      </c>
      <c r="AD229" s="270" t="str">
        <f>_xlfn.IFNA(_xlfn.XLOOKUP(CONCATENATE(AD$4,$C229),Tabella1[CONC X VOTI IN TAB GIOC],Tabella1[Voto]),"")</f>
        <v/>
      </c>
      <c r="AE229" s="270" t="str">
        <f>_xlfn.IFNA(VLOOKUP(CONCATENATE(AE$4,$C229),'INSER DATA'!$A:$F,6,0),"")</f>
        <v/>
      </c>
      <c r="AF229" s="270" t="str">
        <f>_xlfn.IFNA(VLOOKUP(CONCATENATE(AF$4,$C229),'INSER DATA'!$A:$F,6,0),"")</f>
        <v/>
      </c>
      <c r="AG229" s="270" t="str">
        <f>_xlfn.IFNA(VLOOKUP(CONCATENATE(AG$4,$C229),'INSER DATA'!$A:$F,6,0),"")</f>
        <v/>
      </c>
      <c r="AH229" s="270" t="str">
        <f>_xlfn.IFNA(VLOOKUP(CONCATENATE(AH$4,$C229),'INSER DATA'!$A:$F,7,0),"")</f>
        <v/>
      </c>
      <c r="AI229" s="270" t="str">
        <f>_xlfn.IFNA(VLOOKUP(CONCATENATE(AI$4,$C229),'INSER DATA'!$A:$F,7,0),"")</f>
        <v/>
      </c>
      <c r="AJ229" s="270" t="str">
        <f>_xlfn.IFNA(VLOOKUP(CONCATENATE(AJ$4,$C229),'INSER DATA'!$A:$F,7,0),"")</f>
        <v/>
      </c>
      <c r="AK229" s="270" t="str">
        <f>_xlfn.IFNA(VLOOKUP(CONCATENATE(AK$4,$C229),'INSER DATA'!$A:$F,7,0),"")</f>
        <v/>
      </c>
      <c r="AL229" s="270" t="str">
        <f>_xlfn.IFNA(VLOOKUP(CONCATENATE(AL$4,$C229),'INSER DATA'!$A:$F,7,0),"")</f>
        <v/>
      </c>
      <c r="AM229" s="270" t="str">
        <f>_xlfn.IFNA(VLOOKUP(CONCATENATE(AM$4,$C229),'INSER DATA'!$A:$F,7,0),"")</f>
        <v/>
      </c>
      <c r="AN229" s="270" t="str">
        <f>_xlfn.IFNA(VLOOKUP(CONCATENATE(AN$4,$C229),'INSER DATA'!$A:$F,7,0),"")</f>
        <v/>
      </c>
      <c r="AO229" s="270" t="str">
        <f>_xlfn.IFNA(VLOOKUP(CONCATENATE(AO$4,$C229),'INSER DATA'!$A:$F,7,0),"")</f>
        <v/>
      </c>
      <c r="AP229" s="270" t="str">
        <f>_xlfn.IFNA(VLOOKUP(CONCATENATE(AP$4,$C229),'INSER DATA'!$A:$F,7,0),"")</f>
        <v/>
      </c>
      <c r="AQ229" s="270" t="str">
        <f>_xlfn.IFNA(VLOOKUP(CONCATENATE(AQ$4,$C229),'INSER DATA'!$A:$F,7,0),"")</f>
        <v/>
      </c>
      <c r="AR229" s="270" t="str">
        <f>_xlfn.IFNA(VLOOKUP(CONCATENATE(AR$4,$C229),'INSER DATA'!$A:$F,7,0),"")</f>
        <v/>
      </c>
      <c r="AS229" s="270" t="str">
        <f>_xlfn.IFNA(VLOOKUP(CONCATENATE(AS$4,$C229),'INSER DATA'!$A:$F,7,0),"")</f>
        <v/>
      </c>
      <c r="AT229" s="270" t="str">
        <f>_xlfn.IFNA(VLOOKUP(CONCATENATE(AT$4,$C229),'INSER DATA'!$A:$F,7,0),"")</f>
        <v/>
      </c>
      <c r="AU229" s="270" t="str">
        <f>_xlfn.IFNA(VLOOKUP(CONCATENATE(AU$4,$C229),'INSER DATA'!$A:$F,7,0),"")</f>
        <v/>
      </c>
      <c r="AV229" s="270" t="str">
        <f>_xlfn.IFNA(VLOOKUP(CONCATENATE(AV$4,$C229),'INSER DATA'!$A:$F,7,0),"")</f>
        <v/>
      </c>
      <c r="AW229" s="270" t="str">
        <f>_xlfn.IFNA(VLOOKUP(CONCATENATE(AW$4,$C229),'INSER DATA'!$A:$F,7,0),"")</f>
        <v/>
      </c>
      <c r="AX229" s="270" t="str">
        <f>_xlfn.IFNA(VLOOKUP(CONCATENATE(AX$4,$C229),'INSER DATA'!$A:$F,7,0),"")</f>
        <v/>
      </c>
      <c r="AY229" s="270" t="str">
        <f>_xlfn.IFNA(VLOOKUP(CONCATENATE(AY$4,$C229),'INSER DATA'!$A:$F,7,0),"")</f>
        <v/>
      </c>
      <c r="AZ229" s="270" t="str">
        <f>_xlfn.IFNA(VLOOKUP(CONCATENATE(AZ$4,$C229),'INSER DATA'!$A:$F,7,0),"")</f>
        <v/>
      </c>
      <c r="BA229" s="270" t="str">
        <f>_xlfn.IFNA(VLOOKUP(CONCATENATE(BA$4,$C229),'INSER DATA'!$A:$F,7,0),"")</f>
        <v/>
      </c>
      <c r="BB229" s="270" t="str">
        <f>_xlfn.IFNA(VLOOKUP(CONCATENATE(BB$4,$C229),'INSER DATA'!$A:$F,7,0),"")</f>
        <v/>
      </c>
      <c r="BC229" s="270" t="str">
        <f>_xlfn.IFNA(VLOOKUP(CONCATENATE(BC$4,$C229),'INSER DATA'!$A:$F,7,0),"")</f>
        <v/>
      </c>
      <c r="BD229" s="270" t="str">
        <f>_xlfn.IFNA(VLOOKUP(CONCATENATE(BD$4,$C229),'INSER DATA'!$A:$F,7,0),"")</f>
        <v/>
      </c>
      <c r="BE229" s="270" t="str">
        <f>_xlfn.IFNA(VLOOKUP(CONCATENATE(BE$4,$C229),'INSER DATA'!$A:$F,7,0),"")</f>
        <v/>
      </c>
      <c r="BF229" s="270" t="str">
        <f>_xlfn.IFNA(VLOOKUP(CONCATENATE(BF$4,$C229),'INSER DATA'!$A:$F,7,0),"")</f>
        <v/>
      </c>
      <c r="BG229" s="270" t="str">
        <f>_xlfn.IFNA(VLOOKUP(CONCATENATE(BG$4,$C229),'INSER DATA'!$A:$F,7,0),"")</f>
        <v/>
      </c>
      <c r="BH229" s="270" t="str">
        <f>_xlfn.IFNA(VLOOKUP(CONCATENATE(BH$4,$C229),'INSER DATA'!$A:$F,7,0),"")</f>
        <v/>
      </c>
      <c r="BI229" s="270" t="str">
        <f>_xlfn.IFNA(VLOOKUP(CONCATENATE(BI$4,$C229),'INSER DATA'!$A:$F,7,0),"")</f>
        <v/>
      </c>
      <c r="BJ229" s="270" t="str">
        <f>_xlfn.IFNA(VLOOKUP(CONCATENATE(BJ$4,$C229),'INSER DATA'!$A:$F,7,0),"")</f>
        <v/>
      </c>
      <c r="BK229" s="270" t="str">
        <f>_xlfn.IFNA(VLOOKUP(CONCATENATE(BK$4,$C229),'INSER DATA'!$A:$F,7,0),"")</f>
        <v/>
      </c>
      <c r="BL229" s="272"/>
      <c r="BM229" s="30"/>
      <c r="BN229" s="30"/>
      <c r="BO229" s="30"/>
      <c r="BP229" s="30"/>
      <c r="BQ229" s="30"/>
      <c r="BR229" s="30"/>
      <c r="BS229" s="30"/>
      <c r="BT229" s="30"/>
      <c r="BU229" s="30"/>
      <c r="BV229" s="30"/>
      <c r="BW229" s="30"/>
      <c r="BX229" s="30"/>
      <c r="BY229" s="30"/>
      <c r="BZ229" s="30"/>
      <c r="CA229" s="30"/>
      <c r="CB229" s="30"/>
      <c r="CC229" s="30"/>
      <c r="CD229" s="30"/>
      <c r="CE229" s="30"/>
      <c r="CF229" s="30"/>
      <c r="CG229" s="30"/>
      <c r="CH229" s="30"/>
      <c r="CI229" s="30"/>
      <c r="CJ229" s="30"/>
      <c r="CK229" s="30"/>
      <c r="CL229" s="30"/>
      <c r="CM229" s="30"/>
      <c r="CN229" s="30"/>
      <c r="CO229" s="30"/>
      <c r="CP229" s="30"/>
      <c r="CQ229" s="30"/>
      <c r="CR229" s="30"/>
      <c r="CS229" s="30"/>
      <c r="CT229" s="30"/>
      <c r="CU229" s="30"/>
      <c r="CV229" s="30"/>
      <c r="CW229" s="30"/>
      <c r="CX229" s="30"/>
      <c r="CY229" s="30"/>
      <c r="CZ229" s="30"/>
      <c r="DA229" s="30"/>
    </row>
    <row r="230" spans="1:105" ht="19.2" thickTop="1" thickBot="1" x14ac:dyDescent="0.4">
      <c r="A230" s="30"/>
      <c r="B230" s="30"/>
      <c r="C230" s="185" t="s">
        <v>784</v>
      </c>
      <c r="D230" s="46" t="s">
        <v>777</v>
      </c>
      <c r="E230" s="35" t="str">
        <f>_xlfn.XLOOKUP(Tabella4[[#This Row],[NOME]],'ROSE SQUADRE'!$N$3:$N$253,'ROSE SQUADRE'!$O$3:$O$253,"")</f>
        <v/>
      </c>
      <c r="F230" s="36" t="s">
        <v>161</v>
      </c>
      <c r="G230" s="43">
        <v>1</v>
      </c>
      <c r="H230" s="43">
        <v>1</v>
      </c>
      <c r="I230" s="44">
        <f t="shared" si="19"/>
        <v>0</v>
      </c>
      <c r="J230" s="37">
        <f t="shared" si="20"/>
        <v>0</v>
      </c>
      <c r="K230" s="178">
        <f t="shared" si="21"/>
        <v>0</v>
      </c>
      <c r="L230" s="178">
        <f t="shared" si="22"/>
        <v>0</v>
      </c>
      <c r="M230" s="179">
        <f t="shared" si="23"/>
        <v>0</v>
      </c>
      <c r="N230" s="45">
        <f t="shared" ca="1" si="24"/>
        <v>0</v>
      </c>
      <c r="O230" s="40">
        <f>SUMIF(Tabella1[Nome],Tabella4[[#This Row],[NOME]],Tabella1[Gf])</f>
        <v>0</v>
      </c>
      <c r="P230" s="40">
        <f>-(SUMIF(Tabella1[Nome],Tabella4[[#This Row],[NOME]],Tabella1[Gs]))</f>
        <v>0</v>
      </c>
      <c r="Q230" s="40">
        <f>SUMIF(Tabella1[Nome],Tabella4[[#This Row],[NOME]],Tabella1[Rp])</f>
        <v>0</v>
      </c>
      <c r="R230" s="40">
        <f>SUMIF(Tabella1[Nome],Tabella4[[#This Row],[NOME]],Tabella1[Rs])</f>
        <v>0</v>
      </c>
      <c r="S230" s="40">
        <f>SUMIF(Tabella1[Nome],Tabella4[[#This Row],[NOME]],Tabella1[Rf])</f>
        <v>0</v>
      </c>
      <c r="T230" s="40">
        <f>SUMIF(Tabella1[Nome],Tabella4[[#This Row],[NOME]],Tabella1[Au])</f>
        <v>0</v>
      </c>
      <c r="U230" s="41">
        <f>SUMIF(Tabella1[Nome],Tabella4[[#This Row],[NOME]],Tabella1[Amm])</f>
        <v>0</v>
      </c>
      <c r="V230" s="42">
        <f>SUMIF(Tabella1[Nome],Tabella4[[#This Row],[NOME]],Tabella1[Esp])</f>
        <v>0</v>
      </c>
      <c r="W230" s="40">
        <f>SUMIF(Tabella1[Nome],Tabella4[[#This Row],[NOME]],Tabella1[Ass])</f>
        <v>0</v>
      </c>
      <c r="X230" s="40">
        <f>SUMIF(Tabella1[Nome],Tabella4[[#This Row],[NOME]],Tabella1[Gdv])</f>
        <v>0</v>
      </c>
      <c r="Y230" s="40">
        <f>SUMIF(Tabella1[Nome],Tabella4[[#This Row],[NOME]],Tabella1[cl sh])</f>
        <v>0</v>
      </c>
      <c r="Z230" s="270" t="str">
        <f>_xlfn.IFNA(_xlfn.XLOOKUP(CONCATENATE(Z$4,$C230),Tabella1[CONC X VOTI IN TAB GIOC],Tabella1[Voto],""),"")</f>
        <v/>
      </c>
      <c r="AA230" s="270" t="str">
        <f>_xlfn.IFNA(_xlfn.XLOOKUP(CONCATENATE(AA$4,$C230),Tabella1[CONC X VOTI IN TAB GIOC],Tabella1[Voto],""),"")</f>
        <v/>
      </c>
      <c r="AB230" s="270" t="str">
        <f>_xlfn.IFNA(_xlfn.XLOOKUP(CONCATENATE(AB$4,$C230),Tabella1[CONC X VOTI IN TAB GIOC],Tabella1[Voto]),"")</f>
        <v/>
      </c>
      <c r="AC230" s="270" t="str" cm="1">
        <f t="array" ref="AC230">_xlfn.IFNA(_xlfn.XLOOKUP(CONCATENATE(AC$4,$C230),INDEX(Tabella1[],0,MATCH("CONC X VOTI IN TAB GIOC",Tabella1[#Headers],0)),INDEX(Tabella1[],0,MATCH("Voto",Tabella1[#Headers],0))),"")</f>
        <v/>
      </c>
      <c r="AD230" s="270" t="str">
        <f>_xlfn.IFNA(_xlfn.XLOOKUP(CONCATENATE(AD$4,$C230),Tabella1[CONC X VOTI IN TAB GIOC],Tabella1[Voto]),"")</f>
        <v/>
      </c>
      <c r="AE230" s="270" t="str">
        <f>_xlfn.IFNA(VLOOKUP(CONCATENATE(AE$4,$C230),'INSER DATA'!$A:$F,6,0),"")</f>
        <v/>
      </c>
      <c r="AF230" s="270" t="str">
        <f>_xlfn.IFNA(VLOOKUP(CONCATENATE(AF$4,$C230),'INSER DATA'!$A:$F,6,0),"")</f>
        <v/>
      </c>
      <c r="AG230" s="270" t="str">
        <f>_xlfn.IFNA(VLOOKUP(CONCATENATE(AG$4,$C230),'INSER DATA'!$A:$F,6,0),"")</f>
        <v/>
      </c>
      <c r="AH230" s="270" t="str">
        <f>_xlfn.IFNA(VLOOKUP(CONCATENATE(AH$4,$C230),'INSER DATA'!$A:$F,7,0),"")</f>
        <v/>
      </c>
      <c r="AI230" s="270" t="str">
        <f>_xlfn.IFNA(VLOOKUP(CONCATENATE(AI$4,$C230),'INSER DATA'!$A:$F,7,0),"")</f>
        <v/>
      </c>
      <c r="AJ230" s="270" t="str">
        <f>_xlfn.IFNA(VLOOKUP(CONCATENATE(AJ$4,$C230),'INSER DATA'!$A:$F,7,0),"")</f>
        <v/>
      </c>
      <c r="AK230" s="270" t="str">
        <f>_xlfn.IFNA(VLOOKUP(CONCATENATE(AK$4,$C230),'INSER DATA'!$A:$F,7,0),"")</f>
        <v/>
      </c>
      <c r="AL230" s="270" t="str">
        <f>_xlfn.IFNA(VLOOKUP(CONCATENATE(AL$4,$C230),'INSER DATA'!$A:$F,7,0),"")</f>
        <v/>
      </c>
      <c r="AM230" s="270" t="str">
        <f>_xlfn.IFNA(VLOOKUP(CONCATENATE(AM$4,$C230),'INSER DATA'!$A:$F,7,0),"")</f>
        <v/>
      </c>
      <c r="AN230" s="270" t="str">
        <f>_xlfn.IFNA(VLOOKUP(CONCATENATE(AN$4,$C230),'INSER DATA'!$A:$F,7,0),"")</f>
        <v/>
      </c>
      <c r="AO230" s="270" t="str">
        <f>_xlfn.IFNA(VLOOKUP(CONCATENATE(AO$4,$C230),'INSER DATA'!$A:$F,7,0),"")</f>
        <v/>
      </c>
      <c r="AP230" s="270" t="str">
        <f>_xlfn.IFNA(VLOOKUP(CONCATENATE(AP$4,$C230),'INSER DATA'!$A:$F,7,0),"")</f>
        <v/>
      </c>
      <c r="AQ230" s="270" t="str">
        <f>_xlfn.IFNA(VLOOKUP(CONCATENATE(AQ$4,$C230),'INSER DATA'!$A:$F,7,0),"")</f>
        <v/>
      </c>
      <c r="AR230" s="270" t="str">
        <f>_xlfn.IFNA(VLOOKUP(CONCATENATE(AR$4,$C230),'INSER DATA'!$A:$F,7,0),"")</f>
        <v/>
      </c>
      <c r="AS230" s="270" t="str">
        <f>_xlfn.IFNA(VLOOKUP(CONCATENATE(AS$4,$C230),'INSER DATA'!$A:$F,7,0),"")</f>
        <v/>
      </c>
      <c r="AT230" s="270" t="str">
        <f>_xlfn.IFNA(VLOOKUP(CONCATENATE(AT$4,$C230),'INSER DATA'!$A:$F,7,0),"")</f>
        <v/>
      </c>
      <c r="AU230" s="270" t="str">
        <f>_xlfn.IFNA(VLOOKUP(CONCATENATE(AU$4,$C230),'INSER DATA'!$A:$F,7,0),"")</f>
        <v/>
      </c>
      <c r="AV230" s="270" t="str">
        <f>_xlfn.IFNA(VLOOKUP(CONCATENATE(AV$4,$C230),'INSER DATA'!$A:$F,7,0),"")</f>
        <v/>
      </c>
      <c r="AW230" s="270" t="str">
        <f>_xlfn.IFNA(VLOOKUP(CONCATENATE(AW$4,$C230),'INSER DATA'!$A:$F,7,0),"")</f>
        <v/>
      </c>
      <c r="AX230" s="270" t="str">
        <f>_xlfn.IFNA(VLOOKUP(CONCATENATE(AX$4,$C230),'INSER DATA'!$A:$F,7,0),"")</f>
        <v/>
      </c>
      <c r="AY230" s="270" t="str">
        <f>_xlfn.IFNA(VLOOKUP(CONCATENATE(AY$4,$C230),'INSER DATA'!$A:$F,7,0),"")</f>
        <v/>
      </c>
      <c r="AZ230" s="270" t="str">
        <f>_xlfn.IFNA(VLOOKUP(CONCATENATE(AZ$4,$C230),'INSER DATA'!$A:$F,7,0),"")</f>
        <v/>
      </c>
      <c r="BA230" s="270" t="str">
        <f>_xlfn.IFNA(VLOOKUP(CONCATENATE(BA$4,$C230),'INSER DATA'!$A:$F,7,0),"")</f>
        <v/>
      </c>
      <c r="BB230" s="270" t="str">
        <f>_xlfn.IFNA(VLOOKUP(CONCATENATE(BB$4,$C230),'INSER DATA'!$A:$F,7,0),"")</f>
        <v/>
      </c>
      <c r="BC230" s="270" t="str">
        <f>_xlfn.IFNA(VLOOKUP(CONCATENATE(BC$4,$C230),'INSER DATA'!$A:$F,7,0),"")</f>
        <v/>
      </c>
      <c r="BD230" s="270" t="str">
        <f>_xlfn.IFNA(VLOOKUP(CONCATENATE(BD$4,$C230),'INSER DATA'!$A:$F,7,0),"")</f>
        <v/>
      </c>
      <c r="BE230" s="270" t="str">
        <f>_xlfn.IFNA(VLOOKUP(CONCATENATE(BE$4,$C230),'INSER DATA'!$A:$F,7,0),"")</f>
        <v/>
      </c>
      <c r="BF230" s="270" t="str">
        <f>_xlfn.IFNA(VLOOKUP(CONCATENATE(BF$4,$C230),'INSER DATA'!$A:$F,7,0),"")</f>
        <v/>
      </c>
      <c r="BG230" s="270" t="str">
        <f>_xlfn.IFNA(VLOOKUP(CONCATENATE(BG$4,$C230),'INSER DATA'!$A:$F,7,0),"")</f>
        <v/>
      </c>
      <c r="BH230" s="270" t="str">
        <f>_xlfn.IFNA(VLOOKUP(CONCATENATE(BH$4,$C230),'INSER DATA'!$A:$F,7,0),"")</f>
        <v/>
      </c>
      <c r="BI230" s="270" t="str">
        <f>_xlfn.IFNA(VLOOKUP(CONCATENATE(BI$4,$C230),'INSER DATA'!$A:$F,7,0),"")</f>
        <v/>
      </c>
      <c r="BJ230" s="270" t="str">
        <f>_xlfn.IFNA(VLOOKUP(CONCATENATE(BJ$4,$C230),'INSER DATA'!$A:$F,7,0),"")</f>
        <v/>
      </c>
      <c r="BK230" s="270" t="str">
        <f>_xlfn.IFNA(VLOOKUP(CONCATENATE(BK$4,$C230),'INSER DATA'!$A:$F,7,0),"")</f>
        <v/>
      </c>
      <c r="BL230" s="272"/>
      <c r="BM230" s="30"/>
      <c r="BN230" s="30"/>
      <c r="BO230" s="30"/>
      <c r="BP230" s="30"/>
      <c r="BQ230" s="30"/>
      <c r="BR230" s="30"/>
      <c r="BS230" s="30"/>
      <c r="BT230" s="30"/>
      <c r="BU230" s="30"/>
      <c r="BV230" s="30"/>
      <c r="BW230" s="30"/>
      <c r="BX230" s="30"/>
      <c r="BY230" s="30"/>
      <c r="BZ230" s="30"/>
      <c r="CA230" s="30"/>
      <c r="CB230" s="30"/>
      <c r="CC230" s="30"/>
      <c r="CD230" s="30"/>
      <c r="CE230" s="30"/>
      <c r="CF230" s="30"/>
      <c r="CG230" s="30"/>
      <c r="CH230" s="30"/>
      <c r="CI230" s="30"/>
      <c r="CJ230" s="30"/>
      <c r="CK230" s="30"/>
      <c r="CL230" s="30"/>
      <c r="CM230" s="30"/>
      <c r="CN230" s="30"/>
      <c r="CO230" s="30"/>
      <c r="CP230" s="30"/>
      <c r="CQ230" s="30"/>
      <c r="CR230" s="30"/>
      <c r="CS230" s="30"/>
      <c r="CT230" s="30"/>
      <c r="CU230" s="30"/>
      <c r="CV230" s="30"/>
      <c r="CW230" s="30"/>
      <c r="CX230" s="30"/>
      <c r="CY230" s="30"/>
      <c r="CZ230" s="30"/>
      <c r="DA230" s="30"/>
    </row>
    <row r="231" spans="1:105" ht="19.2" thickTop="1" thickBot="1" x14ac:dyDescent="0.4">
      <c r="A231" s="30"/>
      <c r="B231" s="30"/>
      <c r="C231" s="185" t="s">
        <v>789</v>
      </c>
      <c r="D231" s="46" t="s">
        <v>777</v>
      </c>
      <c r="E231" s="35" t="str">
        <f>_xlfn.XLOOKUP(Tabella4[[#This Row],[NOME]],'ROSE SQUADRE'!$N$3:$N$253,'ROSE SQUADRE'!$O$3:$O$253,"")</f>
        <v/>
      </c>
      <c r="F231" s="36" t="s">
        <v>162</v>
      </c>
      <c r="G231" s="43">
        <v>3</v>
      </c>
      <c r="H231" s="43">
        <v>3</v>
      </c>
      <c r="I231" s="44">
        <f t="shared" si="19"/>
        <v>0</v>
      </c>
      <c r="J231" s="37">
        <f t="shared" si="20"/>
        <v>0</v>
      </c>
      <c r="K231" s="178">
        <f t="shared" si="21"/>
        <v>0</v>
      </c>
      <c r="L231" s="178">
        <f t="shared" si="22"/>
        <v>0</v>
      </c>
      <c r="M231" s="179">
        <f t="shared" si="23"/>
        <v>0</v>
      </c>
      <c r="N231" s="45">
        <f t="shared" ca="1" si="24"/>
        <v>0</v>
      </c>
      <c r="O231" s="40">
        <f>SUMIF(Tabella1[Nome],Tabella4[[#This Row],[NOME]],Tabella1[Gf])</f>
        <v>0</v>
      </c>
      <c r="P231" s="40">
        <f>-(SUMIF(Tabella1[Nome],Tabella4[[#This Row],[NOME]],Tabella1[Gs]))</f>
        <v>0</v>
      </c>
      <c r="Q231" s="40">
        <f>SUMIF(Tabella1[Nome],Tabella4[[#This Row],[NOME]],Tabella1[Rp])</f>
        <v>0</v>
      </c>
      <c r="R231" s="40">
        <f>SUMIF(Tabella1[Nome],Tabella4[[#This Row],[NOME]],Tabella1[Rs])</f>
        <v>0</v>
      </c>
      <c r="S231" s="40">
        <f>SUMIF(Tabella1[Nome],Tabella4[[#This Row],[NOME]],Tabella1[Rf])</f>
        <v>0</v>
      </c>
      <c r="T231" s="40">
        <f>SUMIF(Tabella1[Nome],Tabella4[[#This Row],[NOME]],Tabella1[Au])</f>
        <v>0</v>
      </c>
      <c r="U231" s="41">
        <f>SUMIF(Tabella1[Nome],Tabella4[[#This Row],[NOME]],Tabella1[Amm])</f>
        <v>0</v>
      </c>
      <c r="V231" s="42">
        <f>SUMIF(Tabella1[Nome],Tabella4[[#This Row],[NOME]],Tabella1[Esp])</f>
        <v>0</v>
      </c>
      <c r="W231" s="40">
        <f>SUMIF(Tabella1[Nome],Tabella4[[#This Row],[NOME]],Tabella1[Ass])</f>
        <v>0</v>
      </c>
      <c r="X231" s="40">
        <f>SUMIF(Tabella1[Nome],Tabella4[[#This Row],[NOME]],Tabella1[Gdv])</f>
        <v>0</v>
      </c>
      <c r="Y231" s="40">
        <f>SUMIF(Tabella1[Nome],Tabella4[[#This Row],[NOME]],Tabella1[cl sh])</f>
        <v>0</v>
      </c>
      <c r="Z231" s="270" t="str">
        <f>_xlfn.IFNA(_xlfn.XLOOKUP(CONCATENATE(Z$4,$C231),Tabella1[CONC X VOTI IN TAB GIOC],Tabella1[Voto],""),"")</f>
        <v/>
      </c>
      <c r="AA231" s="270" t="str">
        <f>_xlfn.IFNA(_xlfn.XLOOKUP(CONCATENATE(AA$4,$C231),Tabella1[CONC X VOTI IN TAB GIOC],Tabella1[Voto],""),"")</f>
        <v/>
      </c>
      <c r="AB231" s="270" t="str">
        <f>_xlfn.IFNA(_xlfn.XLOOKUP(CONCATENATE(AB$4,$C231),Tabella1[CONC X VOTI IN TAB GIOC],Tabella1[Voto]),"")</f>
        <v/>
      </c>
      <c r="AC231" s="270" t="str" cm="1">
        <f t="array" ref="AC231">_xlfn.IFNA(_xlfn.XLOOKUP(CONCATENATE(AC$4,$C231),INDEX(Tabella1[],0,MATCH("CONC X VOTI IN TAB GIOC",Tabella1[#Headers],0)),INDEX(Tabella1[],0,MATCH("Voto",Tabella1[#Headers],0))),"")</f>
        <v/>
      </c>
      <c r="AD231" s="270" t="str">
        <f>_xlfn.IFNA(_xlfn.XLOOKUP(CONCATENATE(AD$4,$C231),Tabella1[CONC X VOTI IN TAB GIOC],Tabella1[Voto]),"")</f>
        <v/>
      </c>
      <c r="AE231" s="270" t="str">
        <f>_xlfn.IFNA(VLOOKUP(CONCATENATE(AE$4,$C231),'INSER DATA'!$A:$F,6,0),"")</f>
        <v/>
      </c>
      <c r="AF231" s="270" t="str">
        <f>_xlfn.IFNA(VLOOKUP(CONCATENATE(AF$4,$C231),'INSER DATA'!$A:$F,6,0),"")</f>
        <v/>
      </c>
      <c r="AG231" s="270" t="str">
        <f>_xlfn.IFNA(VLOOKUP(CONCATENATE(AG$4,$C231),'INSER DATA'!$A:$F,6,0),"")</f>
        <v/>
      </c>
      <c r="AH231" s="270" t="str">
        <f>_xlfn.IFNA(VLOOKUP(CONCATENATE(AH$4,$C231),'INSER DATA'!$A:$F,7,0),"")</f>
        <v/>
      </c>
      <c r="AI231" s="270" t="str">
        <f>_xlfn.IFNA(VLOOKUP(CONCATENATE(AI$4,$C231),'INSER DATA'!$A:$F,7,0),"")</f>
        <v/>
      </c>
      <c r="AJ231" s="270" t="str">
        <f>_xlfn.IFNA(VLOOKUP(CONCATENATE(AJ$4,$C231),'INSER DATA'!$A:$F,7,0),"")</f>
        <v/>
      </c>
      <c r="AK231" s="270" t="str">
        <f>_xlfn.IFNA(VLOOKUP(CONCATENATE(AK$4,$C231),'INSER DATA'!$A:$F,7,0),"")</f>
        <v/>
      </c>
      <c r="AL231" s="270" t="str">
        <f>_xlfn.IFNA(VLOOKUP(CONCATENATE(AL$4,$C231),'INSER DATA'!$A:$F,7,0),"")</f>
        <v/>
      </c>
      <c r="AM231" s="270" t="str">
        <f>_xlfn.IFNA(VLOOKUP(CONCATENATE(AM$4,$C231),'INSER DATA'!$A:$F,7,0),"")</f>
        <v/>
      </c>
      <c r="AN231" s="270" t="str">
        <f>_xlfn.IFNA(VLOOKUP(CONCATENATE(AN$4,$C231),'INSER DATA'!$A:$F,7,0),"")</f>
        <v/>
      </c>
      <c r="AO231" s="270" t="str">
        <f>_xlfn.IFNA(VLOOKUP(CONCATENATE(AO$4,$C231),'INSER DATA'!$A:$F,7,0),"")</f>
        <v/>
      </c>
      <c r="AP231" s="270" t="str">
        <f>_xlfn.IFNA(VLOOKUP(CONCATENATE(AP$4,$C231),'INSER DATA'!$A:$F,7,0),"")</f>
        <v/>
      </c>
      <c r="AQ231" s="270" t="str">
        <f>_xlfn.IFNA(VLOOKUP(CONCATENATE(AQ$4,$C231),'INSER DATA'!$A:$F,7,0),"")</f>
        <v/>
      </c>
      <c r="AR231" s="270" t="str">
        <f>_xlfn.IFNA(VLOOKUP(CONCATENATE(AR$4,$C231),'INSER DATA'!$A:$F,7,0),"")</f>
        <v/>
      </c>
      <c r="AS231" s="270" t="str">
        <f>_xlfn.IFNA(VLOOKUP(CONCATENATE(AS$4,$C231),'INSER DATA'!$A:$F,7,0),"")</f>
        <v/>
      </c>
      <c r="AT231" s="270" t="str">
        <f>_xlfn.IFNA(VLOOKUP(CONCATENATE(AT$4,$C231),'INSER DATA'!$A:$F,7,0),"")</f>
        <v/>
      </c>
      <c r="AU231" s="270" t="str">
        <f>_xlfn.IFNA(VLOOKUP(CONCATENATE(AU$4,$C231),'INSER DATA'!$A:$F,7,0),"")</f>
        <v/>
      </c>
      <c r="AV231" s="270" t="str">
        <f>_xlfn.IFNA(VLOOKUP(CONCATENATE(AV$4,$C231),'INSER DATA'!$A:$F,7,0),"")</f>
        <v/>
      </c>
      <c r="AW231" s="270" t="str">
        <f>_xlfn.IFNA(VLOOKUP(CONCATENATE(AW$4,$C231),'INSER DATA'!$A:$F,7,0),"")</f>
        <v/>
      </c>
      <c r="AX231" s="270" t="str">
        <f>_xlfn.IFNA(VLOOKUP(CONCATENATE(AX$4,$C231),'INSER DATA'!$A:$F,7,0),"")</f>
        <v/>
      </c>
      <c r="AY231" s="270" t="str">
        <f>_xlfn.IFNA(VLOOKUP(CONCATENATE(AY$4,$C231),'INSER DATA'!$A:$F,7,0),"")</f>
        <v/>
      </c>
      <c r="AZ231" s="270" t="str">
        <f>_xlfn.IFNA(VLOOKUP(CONCATENATE(AZ$4,$C231),'INSER DATA'!$A:$F,7,0),"")</f>
        <v/>
      </c>
      <c r="BA231" s="270" t="str">
        <f>_xlfn.IFNA(VLOOKUP(CONCATENATE(BA$4,$C231),'INSER DATA'!$A:$F,7,0),"")</f>
        <v/>
      </c>
      <c r="BB231" s="270" t="str">
        <f>_xlfn.IFNA(VLOOKUP(CONCATENATE(BB$4,$C231),'INSER DATA'!$A:$F,7,0),"")</f>
        <v/>
      </c>
      <c r="BC231" s="270" t="str">
        <f>_xlfn.IFNA(VLOOKUP(CONCATENATE(BC$4,$C231),'INSER DATA'!$A:$F,7,0),"")</f>
        <v/>
      </c>
      <c r="BD231" s="270" t="str">
        <f>_xlfn.IFNA(VLOOKUP(CONCATENATE(BD$4,$C231),'INSER DATA'!$A:$F,7,0),"")</f>
        <v/>
      </c>
      <c r="BE231" s="270" t="str">
        <f>_xlfn.IFNA(VLOOKUP(CONCATENATE(BE$4,$C231),'INSER DATA'!$A:$F,7,0),"")</f>
        <v/>
      </c>
      <c r="BF231" s="270" t="str">
        <f>_xlfn.IFNA(VLOOKUP(CONCATENATE(BF$4,$C231),'INSER DATA'!$A:$F,7,0),"")</f>
        <v/>
      </c>
      <c r="BG231" s="270" t="str">
        <f>_xlfn.IFNA(VLOOKUP(CONCATENATE(BG$4,$C231),'INSER DATA'!$A:$F,7,0),"")</f>
        <v/>
      </c>
      <c r="BH231" s="270" t="str">
        <f>_xlfn.IFNA(VLOOKUP(CONCATENATE(BH$4,$C231),'INSER DATA'!$A:$F,7,0),"")</f>
        <v/>
      </c>
      <c r="BI231" s="270" t="str">
        <f>_xlfn.IFNA(VLOOKUP(CONCATENATE(BI$4,$C231),'INSER DATA'!$A:$F,7,0),"")</f>
        <v/>
      </c>
      <c r="BJ231" s="270" t="str">
        <f>_xlfn.IFNA(VLOOKUP(CONCATENATE(BJ$4,$C231),'INSER DATA'!$A:$F,7,0),"")</f>
        <v/>
      </c>
      <c r="BK231" s="270" t="str">
        <f>_xlfn.IFNA(VLOOKUP(CONCATENATE(BK$4,$C231),'INSER DATA'!$A:$F,7,0),"")</f>
        <v/>
      </c>
      <c r="BL231" s="272"/>
      <c r="BM231" s="30"/>
      <c r="BN231" s="30"/>
      <c r="BO231" s="30"/>
      <c r="BP231" s="30"/>
      <c r="BQ231" s="30"/>
      <c r="BR231" s="30"/>
      <c r="BS231" s="30"/>
      <c r="BT231" s="30"/>
      <c r="BU231" s="30"/>
      <c r="BV231" s="30"/>
      <c r="BW231" s="30"/>
      <c r="BX231" s="30"/>
      <c r="BY231" s="30"/>
      <c r="BZ231" s="30"/>
      <c r="CA231" s="30"/>
      <c r="CB231" s="30"/>
      <c r="CC231" s="30"/>
      <c r="CD231" s="30"/>
      <c r="CE231" s="30"/>
      <c r="CF231" s="30"/>
      <c r="CG231" s="30"/>
      <c r="CH231" s="30"/>
      <c r="CI231" s="30"/>
      <c r="CJ231" s="30"/>
      <c r="CK231" s="30"/>
      <c r="CL231" s="30"/>
      <c r="CM231" s="30"/>
      <c r="CN231" s="30"/>
      <c r="CO231" s="30"/>
      <c r="CP231" s="30"/>
      <c r="CQ231" s="30"/>
      <c r="CR231" s="30"/>
      <c r="CS231" s="30"/>
      <c r="CT231" s="30"/>
      <c r="CU231" s="30"/>
      <c r="CV231" s="30"/>
      <c r="CW231" s="30"/>
      <c r="CX231" s="30"/>
      <c r="CY231" s="30"/>
      <c r="CZ231" s="30"/>
      <c r="DA231" s="30"/>
    </row>
    <row r="232" spans="1:105" ht="19.2" thickTop="1" thickBot="1" x14ac:dyDescent="0.4">
      <c r="A232" s="30"/>
      <c r="B232" s="30"/>
      <c r="C232" s="188" t="s">
        <v>534</v>
      </c>
      <c r="D232" s="46" t="s">
        <v>777</v>
      </c>
      <c r="E232" s="35" t="str">
        <f>_xlfn.XLOOKUP(Tabella4[[#This Row],[NOME]],'ROSE SQUADRE'!$N$3:$N$253,'ROSE SQUADRE'!$O$3:$O$253,"")</f>
        <v/>
      </c>
      <c r="F232" s="36" t="s">
        <v>162</v>
      </c>
      <c r="G232" s="43">
        <v>10</v>
      </c>
      <c r="H232" s="43">
        <v>10</v>
      </c>
      <c r="I232" s="44">
        <f t="shared" si="19"/>
        <v>0</v>
      </c>
      <c r="J232" s="37">
        <f t="shared" si="20"/>
        <v>0</v>
      </c>
      <c r="K232" s="38">
        <f t="shared" si="21"/>
        <v>0</v>
      </c>
      <c r="L232" s="38">
        <f t="shared" si="22"/>
        <v>0</v>
      </c>
      <c r="M232" s="39">
        <f t="shared" si="23"/>
        <v>0</v>
      </c>
      <c r="N232" s="45">
        <f t="shared" ca="1" si="24"/>
        <v>0</v>
      </c>
      <c r="O232" s="40">
        <f>SUMIF(Tabella1[Nome],Tabella4[[#This Row],[NOME]],Tabella1[Gf])</f>
        <v>0</v>
      </c>
      <c r="P232" s="40">
        <f>-(SUMIF(Tabella1[Nome],Tabella4[[#This Row],[NOME]],Tabella1[Gs]))</f>
        <v>0</v>
      </c>
      <c r="Q232" s="40">
        <f>SUMIF(Tabella1[Nome],Tabella4[[#This Row],[NOME]],Tabella1[Rp])</f>
        <v>0</v>
      </c>
      <c r="R232" s="40">
        <f>SUMIF(Tabella1[Nome],Tabella4[[#This Row],[NOME]],Tabella1[Rs])</f>
        <v>0</v>
      </c>
      <c r="S232" s="40">
        <f>SUMIF(Tabella1[Nome],Tabella4[[#This Row],[NOME]],Tabella1[Rf])</f>
        <v>0</v>
      </c>
      <c r="T232" s="40">
        <f>SUMIF(Tabella1[Nome],Tabella4[[#This Row],[NOME]],Tabella1[Au])</f>
        <v>0</v>
      </c>
      <c r="U232" s="41">
        <f>SUMIF(Tabella1[Nome],Tabella4[[#This Row],[NOME]],Tabella1[Amm])</f>
        <v>0</v>
      </c>
      <c r="V232" s="42">
        <f>SUMIF(Tabella1[Nome],Tabella4[[#This Row],[NOME]],Tabella1[Esp])</f>
        <v>0</v>
      </c>
      <c r="W232" s="40">
        <f>SUMIF(Tabella1[Nome],Tabella4[[#This Row],[NOME]],Tabella1[Ass])</f>
        <v>0</v>
      </c>
      <c r="X232" s="40">
        <f>SUMIF(Tabella1[Nome],Tabella4[[#This Row],[NOME]],Tabella1[Gdv])</f>
        <v>0</v>
      </c>
      <c r="Y232" s="40">
        <f>SUMIF(Tabella1[Nome],Tabella4[[#This Row],[NOME]],Tabella1[cl sh])</f>
        <v>0</v>
      </c>
      <c r="Z232" s="270" t="str">
        <f>_xlfn.IFNA(_xlfn.XLOOKUP(CONCATENATE(Z$4,$C232),Tabella1[CONC X VOTI IN TAB GIOC],Tabella1[Voto],""),"")</f>
        <v/>
      </c>
      <c r="AA232" s="270" t="str">
        <f>_xlfn.IFNA(_xlfn.XLOOKUP(CONCATENATE(AA$4,$C232),Tabella1[CONC X VOTI IN TAB GIOC],Tabella1[Voto],""),"")</f>
        <v/>
      </c>
      <c r="AB232" s="270" t="str">
        <f>_xlfn.IFNA(_xlfn.XLOOKUP(CONCATENATE(AB$4,$C232),Tabella1[CONC X VOTI IN TAB GIOC],Tabella1[Voto]),"")</f>
        <v/>
      </c>
      <c r="AC232" s="270" t="str" cm="1">
        <f t="array" ref="AC232">_xlfn.IFNA(_xlfn.XLOOKUP(CONCATENATE(AC$4,$C232),INDEX(Tabella1[],0,MATCH("CONC X VOTI IN TAB GIOC",Tabella1[#Headers],0)),INDEX(Tabella1[],0,MATCH("Voto",Tabella1[#Headers],0))),"")</f>
        <v/>
      </c>
      <c r="AD232" s="270" t="str">
        <f>_xlfn.IFNA(_xlfn.XLOOKUP(CONCATENATE(AD$4,$C232),Tabella1[CONC X VOTI IN TAB GIOC],Tabella1[Voto]),"")</f>
        <v/>
      </c>
      <c r="AE232" s="270" t="str">
        <f>_xlfn.IFNA(VLOOKUP(CONCATENATE(AE$4,$C232),'INSER DATA'!$A:$F,6,0),"")</f>
        <v/>
      </c>
      <c r="AF232" s="270" t="str">
        <f>_xlfn.IFNA(VLOOKUP(CONCATENATE(AF$4,$C232),'INSER DATA'!$A:$F,6,0),"")</f>
        <v/>
      </c>
      <c r="AG232" s="270" t="str">
        <f>_xlfn.IFNA(VLOOKUP(CONCATENATE(AG$4,$C232),'INSER DATA'!$A:$F,6,0),"")</f>
        <v/>
      </c>
      <c r="AH232" s="270" t="str">
        <f>_xlfn.IFNA(VLOOKUP(CONCATENATE(AH$4,$C232),'INSER DATA'!$A:$F,7,0),"")</f>
        <v/>
      </c>
      <c r="AI232" s="270" t="str">
        <f>_xlfn.IFNA(VLOOKUP(CONCATENATE(AI$4,$C232),'INSER DATA'!$A:$F,7,0),"")</f>
        <v/>
      </c>
      <c r="AJ232" s="270" t="str">
        <f>_xlfn.IFNA(VLOOKUP(CONCATENATE(AJ$4,$C232),'INSER DATA'!$A:$F,7,0),"")</f>
        <v/>
      </c>
      <c r="AK232" s="270" t="str">
        <f>_xlfn.IFNA(VLOOKUP(CONCATENATE(AK$4,$C232),'INSER DATA'!$A:$F,7,0),"")</f>
        <v/>
      </c>
      <c r="AL232" s="270" t="str">
        <f>_xlfn.IFNA(VLOOKUP(CONCATENATE(AL$4,$C232),'INSER DATA'!$A:$F,7,0),"")</f>
        <v/>
      </c>
      <c r="AM232" s="270" t="str">
        <f>_xlfn.IFNA(VLOOKUP(CONCATENATE(AM$4,$C232),'INSER DATA'!$A:$F,7,0),"")</f>
        <v/>
      </c>
      <c r="AN232" s="270" t="str">
        <f>_xlfn.IFNA(VLOOKUP(CONCATENATE(AN$4,$C232),'INSER DATA'!$A:$F,7,0),"")</f>
        <v/>
      </c>
      <c r="AO232" s="270" t="str">
        <f>_xlfn.IFNA(VLOOKUP(CONCATENATE(AO$4,$C232),'INSER DATA'!$A:$F,7,0),"")</f>
        <v/>
      </c>
      <c r="AP232" s="270" t="str">
        <f>_xlfn.IFNA(VLOOKUP(CONCATENATE(AP$4,$C232),'INSER DATA'!$A:$F,7,0),"")</f>
        <v/>
      </c>
      <c r="AQ232" s="270" t="str">
        <f>_xlfn.IFNA(VLOOKUP(CONCATENATE(AQ$4,$C232),'INSER DATA'!$A:$F,7,0),"")</f>
        <v/>
      </c>
      <c r="AR232" s="270" t="str">
        <f>_xlfn.IFNA(VLOOKUP(CONCATENATE(AR$4,$C232),'INSER DATA'!$A:$F,7,0),"")</f>
        <v/>
      </c>
      <c r="AS232" s="270" t="str">
        <f>_xlfn.IFNA(VLOOKUP(CONCATENATE(AS$4,$C232),'INSER DATA'!$A:$F,7,0),"")</f>
        <v/>
      </c>
      <c r="AT232" s="270" t="str">
        <f>_xlfn.IFNA(VLOOKUP(CONCATENATE(AT$4,$C232),'INSER DATA'!$A:$F,7,0),"")</f>
        <v/>
      </c>
      <c r="AU232" s="270" t="str">
        <f>_xlfn.IFNA(VLOOKUP(CONCATENATE(AU$4,$C232),'INSER DATA'!$A:$F,7,0),"")</f>
        <v/>
      </c>
      <c r="AV232" s="270" t="str">
        <f>_xlfn.IFNA(VLOOKUP(CONCATENATE(AV$4,$C232),'INSER DATA'!$A:$F,7,0),"")</f>
        <v/>
      </c>
      <c r="AW232" s="270" t="str">
        <f>_xlfn.IFNA(VLOOKUP(CONCATENATE(AW$4,$C232),'INSER DATA'!$A:$F,7,0),"")</f>
        <v/>
      </c>
      <c r="AX232" s="270" t="str">
        <f>_xlfn.IFNA(VLOOKUP(CONCATENATE(AX$4,$C232),'INSER DATA'!$A:$F,7,0),"")</f>
        <v/>
      </c>
      <c r="AY232" s="270" t="str">
        <f>_xlfn.IFNA(VLOOKUP(CONCATENATE(AY$4,$C232),'INSER DATA'!$A:$F,7,0),"")</f>
        <v/>
      </c>
      <c r="AZ232" s="270" t="str">
        <f>_xlfn.IFNA(VLOOKUP(CONCATENATE(AZ$4,$C232),'INSER DATA'!$A:$F,7,0),"")</f>
        <v/>
      </c>
      <c r="BA232" s="270" t="str">
        <f>_xlfn.IFNA(VLOOKUP(CONCATENATE(BA$4,$C232),'INSER DATA'!$A:$F,7,0),"")</f>
        <v/>
      </c>
      <c r="BB232" s="270" t="str">
        <f>_xlfn.IFNA(VLOOKUP(CONCATENATE(BB$4,$C232),'INSER DATA'!$A:$F,7,0),"")</f>
        <v/>
      </c>
      <c r="BC232" s="270" t="str">
        <f>_xlfn.IFNA(VLOOKUP(CONCATENATE(BC$4,$C232),'INSER DATA'!$A:$F,7,0),"")</f>
        <v/>
      </c>
      <c r="BD232" s="270" t="str">
        <f>_xlfn.IFNA(VLOOKUP(CONCATENATE(BD$4,$C232),'INSER DATA'!$A:$F,7,0),"")</f>
        <v/>
      </c>
      <c r="BE232" s="270" t="str">
        <f>_xlfn.IFNA(VLOOKUP(CONCATENATE(BE$4,$C232),'INSER DATA'!$A:$F,7,0),"")</f>
        <v/>
      </c>
      <c r="BF232" s="270" t="str">
        <f>_xlfn.IFNA(VLOOKUP(CONCATENATE(BF$4,$C232),'INSER DATA'!$A:$F,7,0),"")</f>
        <v/>
      </c>
      <c r="BG232" s="270" t="str">
        <f>_xlfn.IFNA(VLOOKUP(CONCATENATE(BG$4,$C232),'INSER DATA'!$A:$F,7,0),"")</f>
        <v/>
      </c>
      <c r="BH232" s="270" t="str">
        <f>_xlfn.IFNA(VLOOKUP(CONCATENATE(BH$4,$C232),'INSER DATA'!$A:$F,7,0),"")</f>
        <v/>
      </c>
      <c r="BI232" s="270" t="str">
        <f>_xlfn.IFNA(VLOOKUP(CONCATENATE(BI$4,$C232),'INSER DATA'!$A:$F,7,0),"")</f>
        <v/>
      </c>
      <c r="BJ232" s="270" t="str">
        <f>_xlfn.IFNA(VLOOKUP(CONCATENATE(BJ$4,$C232),'INSER DATA'!$A:$F,7,0),"")</f>
        <v/>
      </c>
      <c r="BK232" s="270" t="str">
        <f>_xlfn.IFNA(VLOOKUP(CONCATENATE(BK$4,$C232),'INSER DATA'!$A:$F,7,0),"")</f>
        <v/>
      </c>
      <c r="BL232" s="272"/>
      <c r="BM232" s="30"/>
      <c r="BN232" s="30"/>
      <c r="BO232" s="30"/>
      <c r="BP232" s="30"/>
      <c r="BQ232" s="30"/>
      <c r="BR232" s="30"/>
      <c r="BS232" s="30"/>
      <c r="BT232" s="30"/>
      <c r="BU232" s="30"/>
      <c r="BV232" s="30"/>
      <c r="BW232" s="30"/>
      <c r="BX232" s="30"/>
      <c r="BY232" s="30"/>
      <c r="BZ232" s="30"/>
      <c r="CA232" s="30"/>
      <c r="CB232" s="30"/>
      <c r="CC232" s="30"/>
      <c r="CD232" s="30"/>
      <c r="CE232" s="30"/>
      <c r="CF232" s="30"/>
      <c r="CG232" s="30"/>
      <c r="CH232" s="30"/>
      <c r="CI232" s="30"/>
      <c r="CJ232" s="30"/>
      <c r="CK232" s="30"/>
      <c r="CL232" s="30"/>
      <c r="CM232" s="30"/>
      <c r="CN232" s="30"/>
      <c r="CO232" s="30"/>
      <c r="CP232" s="30"/>
      <c r="CQ232" s="30"/>
      <c r="CR232" s="30"/>
      <c r="CS232" s="30"/>
      <c r="CT232" s="30"/>
      <c r="CU232" s="30"/>
      <c r="CV232" s="30"/>
      <c r="CW232" s="30"/>
      <c r="CX232" s="30"/>
      <c r="CY232" s="30"/>
      <c r="CZ232" s="30"/>
      <c r="DA232" s="30"/>
    </row>
    <row r="233" spans="1:105" ht="19.2" thickTop="1" thickBot="1" x14ac:dyDescent="0.4">
      <c r="A233" s="30"/>
      <c r="B233" s="30"/>
      <c r="C233" s="188" t="s">
        <v>530</v>
      </c>
      <c r="D233" s="46" t="s">
        <v>777</v>
      </c>
      <c r="E233" s="35" t="str">
        <f>_xlfn.XLOOKUP(Tabella4[[#This Row],[NOME]],'ROSE SQUADRE'!$N$3:$N$253,'ROSE SQUADRE'!$O$3:$O$253,"")</f>
        <v/>
      </c>
      <c r="F233" s="36" t="s">
        <v>163</v>
      </c>
      <c r="G233" s="43">
        <v>3</v>
      </c>
      <c r="H233" s="43">
        <v>3</v>
      </c>
      <c r="I233" s="44">
        <f t="shared" si="19"/>
        <v>0</v>
      </c>
      <c r="J233" s="37">
        <f t="shared" si="20"/>
        <v>0</v>
      </c>
      <c r="K233" s="178">
        <f t="shared" si="21"/>
        <v>0</v>
      </c>
      <c r="L233" s="178">
        <f t="shared" si="22"/>
        <v>0</v>
      </c>
      <c r="M233" s="179">
        <f t="shared" si="23"/>
        <v>0</v>
      </c>
      <c r="N233" s="45">
        <f t="shared" ca="1" si="24"/>
        <v>0</v>
      </c>
      <c r="O233" s="40">
        <f>SUMIF(Tabella1[Nome],Tabella4[[#This Row],[NOME]],Tabella1[Gf])</f>
        <v>0</v>
      </c>
      <c r="P233" s="40">
        <f>-(SUMIF(Tabella1[Nome],Tabella4[[#This Row],[NOME]],Tabella1[Gs]))</f>
        <v>0</v>
      </c>
      <c r="Q233" s="40">
        <f>SUMIF(Tabella1[Nome],Tabella4[[#This Row],[NOME]],Tabella1[Rp])</f>
        <v>0</v>
      </c>
      <c r="R233" s="40">
        <f>SUMIF(Tabella1[Nome],Tabella4[[#This Row],[NOME]],Tabella1[Rs])</f>
        <v>0</v>
      </c>
      <c r="S233" s="40">
        <f>SUMIF(Tabella1[Nome],Tabella4[[#This Row],[NOME]],Tabella1[Rf])</f>
        <v>0</v>
      </c>
      <c r="T233" s="40">
        <f>SUMIF(Tabella1[Nome],Tabella4[[#This Row],[NOME]],Tabella1[Au])</f>
        <v>0</v>
      </c>
      <c r="U233" s="41">
        <f>SUMIF(Tabella1[Nome],Tabella4[[#This Row],[NOME]],Tabella1[Amm])</f>
        <v>0</v>
      </c>
      <c r="V233" s="42">
        <f>SUMIF(Tabella1[Nome],Tabella4[[#This Row],[NOME]],Tabella1[Esp])</f>
        <v>0</v>
      </c>
      <c r="W233" s="40">
        <f>SUMIF(Tabella1[Nome],Tabella4[[#This Row],[NOME]],Tabella1[Ass])</f>
        <v>0</v>
      </c>
      <c r="X233" s="40">
        <f>SUMIF(Tabella1[Nome],Tabella4[[#This Row],[NOME]],Tabella1[Gdv])</f>
        <v>0</v>
      </c>
      <c r="Y233" s="40">
        <f>SUMIF(Tabella1[Nome],Tabella4[[#This Row],[NOME]],Tabella1[cl sh])</f>
        <v>0</v>
      </c>
      <c r="Z233" s="270" t="str">
        <f>_xlfn.IFNA(_xlfn.XLOOKUP(CONCATENATE(Z$4,$C233),Tabella1[CONC X VOTI IN TAB GIOC],Tabella1[Voto],""),"")</f>
        <v/>
      </c>
      <c r="AA233" s="270" t="str">
        <f>_xlfn.IFNA(_xlfn.XLOOKUP(CONCATENATE(AA$4,$C233),Tabella1[CONC X VOTI IN TAB GIOC],Tabella1[Voto],""),"")</f>
        <v/>
      </c>
      <c r="AB233" s="270" t="str">
        <f>_xlfn.IFNA(_xlfn.XLOOKUP(CONCATENATE(AB$4,$C233),Tabella1[CONC X VOTI IN TAB GIOC],Tabella1[Voto]),"")</f>
        <v/>
      </c>
      <c r="AC233" s="270" t="str" cm="1">
        <f t="array" ref="AC233">_xlfn.IFNA(_xlfn.XLOOKUP(CONCATENATE(AC$4,$C233),INDEX(Tabella1[],0,MATCH("CONC X VOTI IN TAB GIOC",Tabella1[#Headers],0)),INDEX(Tabella1[],0,MATCH("Voto",Tabella1[#Headers],0))),"")</f>
        <v/>
      </c>
      <c r="AD233" s="270" t="str">
        <f>_xlfn.IFNA(_xlfn.XLOOKUP(CONCATENATE(AD$4,$C233),Tabella1[CONC X VOTI IN TAB GIOC],Tabella1[Voto]),"")</f>
        <v/>
      </c>
      <c r="AE233" s="270" t="str">
        <f>_xlfn.IFNA(VLOOKUP(CONCATENATE(AE$4,$C233),'INSER DATA'!$A:$F,6,0),"")</f>
        <v/>
      </c>
      <c r="AF233" s="270" t="str">
        <f>_xlfn.IFNA(VLOOKUP(CONCATENATE(AF$4,$C233),'INSER DATA'!$A:$F,6,0),"")</f>
        <v/>
      </c>
      <c r="AG233" s="270" t="str">
        <f>_xlfn.IFNA(VLOOKUP(CONCATENATE(AG$4,$C233),'INSER DATA'!$A:$F,6,0),"")</f>
        <v/>
      </c>
      <c r="AH233" s="270" t="str">
        <f>_xlfn.IFNA(VLOOKUP(CONCATENATE(AH$4,$C233),'INSER DATA'!$A:$F,7,0),"")</f>
        <v/>
      </c>
      <c r="AI233" s="270" t="str">
        <f>_xlfn.IFNA(VLOOKUP(CONCATENATE(AI$4,$C233),'INSER DATA'!$A:$F,7,0),"")</f>
        <v/>
      </c>
      <c r="AJ233" s="270" t="str">
        <f>_xlfn.IFNA(VLOOKUP(CONCATENATE(AJ$4,$C233),'INSER DATA'!$A:$F,7,0),"")</f>
        <v/>
      </c>
      <c r="AK233" s="270" t="str">
        <f>_xlfn.IFNA(VLOOKUP(CONCATENATE(AK$4,$C233),'INSER DATA'!$A:$F,7,0),"")</f>
        <v/>
      </c>
      <c r="AL233" s="270" t="str">
        <f>_xlfn.IFNA(VLOOKUP(CONCATENATE(AL$4,$C233),'INSER DATA'!$A:$F,7,0),"")</f>
        <v/>
      </c>
      <c r="AM233" s="270" t="str">
        <f>_xlfn.IFNA(VLOOKUP(CONCATENATE(AM$4,$C233),'INSER DATA'!$A:$F,7,0),"")</f>
        <v/>
      </c>
      <c r="AN233" s="270" t="str">
        <f>_xlfn.IFNA(VLOOKUP(CONCATENATE(AN$4,$C233),'INSER DATA'!$A:$F,7,0),"")</f>
        <v/>
      </c>
      <c r="AO233" s="270" t="str">
        <f>_xlfn.IFNA(VLOOKUP(CONCATENATE(AO$4,$C233),'INSER DATA'!$A:$F,7,0),"")</f>
        <v/>
      </c>
      <c r="AP233" s="270" t="str">
        <f>_xlfn.IFNA(VLOOKUP(CONCATENATE(AP$4,$C233),'INSER DATA'!$A:$F,7,0),"")</f>
        <v/>
      </c>
      <c r="AQ233" s="270" t="str">
        <f>_xlfn.IFNA(VLOOKUP(CONCATENATE(AQ$4,$C233),'INSER DATA'!$A:$F,7,0),"")</f>
        <v/>
      </c>
      <c r="AR233" s="270" t="str">
        <f>_xlfn.IFNA(VLOOKUP(CONCATENATE(AR$4,$C233),'INSER DATA'!$A:$F,7,0),"")</f>
        <v/>
      </c>
      <c r="AS233" s="270" t="str">
        <f>_xlfn.IFNA(VLOOKUP(CONCATENATE(AS$4,$C233),'INSER DATA'!$A:$F,7,0),"")</f>
        <v/>
      </c>
      <c r="AT233" s="270" t="str">
        <f>_xlfn.IFNA(VLOOKUP(CONCATENATE(AT$4,$C233),'INSER DATA'!$A:$F,7,0),"")</f>
        <v/>
      </c>
      <c r="AU233" s="270" t="str">
        <f>_xlfn.IFNA(VLOOKUP(CONCATENATE(AU$4,$C233),'INSER DATA'!$A:$F,7,0),"")</f>
        <v/>
      </c>
      <c r="AV233" s="270" t="str">
        <f>_xlfn.IFNA(VLOOKUP(CONCATENATE(AV$4,$C233),'INSER DATA'!$A:$F,7,0),"")</f>
        <v/>
      </c>
      <c r="AW233" s="270" t="str">
        <f>_xlfn.IFNA(VLOOKUP(CONCATENATE(AW$4,$C233),'INSER DATA'!$A:$F,7,0),"")</f>
        <v/>
      </c>
      <c r="AX233" s="270" t="str">
        <f>_xlfn.IFNA(VLOOKUP(CONCATENATE(AX$4,$C233),'INSER DATA'!$A:$F,7,0),"")</f>
        <v/>
      </c>
      <c r="AY233" s="270" t="str">
        <f>_xlfn.IFNA(VLOOKUP(CONCATENATE(AY$4,$C233),'INSER DATA'!$A:$F,7,0),"")</f>
        <v/>
      </c>
      <c r="AZ233" s="270" t="str">
        <f>_xlfn.IFNA(VLOOKUP(CONCATENATE(AZ$4,$C233),'INSER DATA'!$A:$F,7,0),"")</f>
        <v/>
      </c>
      <c r="BA233" s="270" t="str">
        <f>_xlfn.IFNA(VLOOKUP(CONCATENATE(BA$4,$C233),'INSER DATA'!$A:$F,7,0),"")</f>
        <v/>
      </c>
      <c r="BB233" s="270" t="str">
        <f>_xlfn.IFNA(VLOOKUP(CONCATENATE(BB$4,$C233),'INSER DATA'!$A:$F,7,0),"")</f>
        <v/>
      </c>
      <c r="BC233" s="270" t="str">
        <f>_xlfn.IFNA(VLOOKUP(CONCATENATE(BC$4,$C233),'INSER DATA'!$A:$F,7,0),"")</f>
        <v/>
      </c>
      <c r="BD233" s="270" t="str">
        <f>_xlfn.IFNA(VLOOKUP(CONCATENATE(BD$4,$C233),'INSER DATA'!$A:$F,7,0),"")</f>
        <v/>
      </c>
      <c r="BE233" s="270" t="str">
        <f>_xlfn.IFNA(VLOOKUP(CONCATENATE(BE$4,$C233),'INSER DATA'!$A:$F,7,0),"")</f>
        <v/>
      </c>
      <c r="BF233" s="270" t="str">
        <f>_xlfn.IFNA(VLOOKUP(CONCATENATE(BF$4,$C233),'INSER DATA'!$A:$F,7,0),"")</f>
        <v/>
      </c>
      <c r="BG233" s="270" t="str">
        <f>_xlfn.IFNA(VLOOKUP(CONCATENATE(BG$4,$C233),'INSER DATA'!$A:$F,7,0),"")</f>
        <v/>
      </c>
      <c r="BH233" s="270" t="str">
        <f>_xlfn.IFNA(VLOOKUP(CONCATENATE(BH$4,$C233),'INSER DATA'!$A:$F,7,0),"")</f>
        <v/>
      </c>
      <c r="BI233" s="270" t="str">
        <f>_xlfn.IFNA(VLOOKUP(CONCATENATE(BI$4,$C233),'INSER DATA'!$A:$F,7,0),"")</f>
        <v/>
      </c>
      <c r="BJ233" s="270" t="str">
        <f>_xlfn.IFNA(VLOOKUP(CONCATENATE(BJ$4,$C233),'INSER DATA'!$A:$F,7,0),"")</f>
        <v/>
      </c>
      <c r="BK233" s="270" t="str">
        <f>_xlfn.IFNA(VLOOKUP(CONCATENATE(BK$4,$C233),'INSER DATA'!$A:$F,7,0),"")</f>
        <v/>
      </c>
      <c r="BL233" s="272"/>
      <c r="BM233" s="30"/>
      <c r="BN233" s="30"/>
      <c r="BO233" s="30"/>
      <c r="BP233" s="30"/>
      <c r="BQ233" s="30"/>
      <c r="BR233" s="30"/>
      <c r="BS233" s="30"/>
      <c r="BT233" s="30"/>
      <c r="BU233" s="30"/>
      <c r="BV233" s="30"/>
      <c r="BW233" s="30"/>
      <c r="BX233" s="30"/>
      <c r="BY233" s="30"/>
      <c r="BZ233" s="30"/>
      <c r="CA233" s="30"/>
      <c r="CB233" s="30"/>
      <c r="CC233" s="30"/>
      <c r="CD233" s="30"/>
      <c r="CE233" s="30"/>
      <c r="CF233" s="30"/>
      <c r="CG233" s="30"/>
      <c r="CH233" s="30"/>
      <c r="CI233" s="30"/>
      <c r="CJ233" s="30"/>
      <c r="CK233" s="30"/>
      <c r="CL233" s="30"/>
      <c r="CM233" s="30"/>
      <c r="CN233" s="30"/>
      <c r="CO233" s="30"/>
      <c r="CP233" s="30"/>
      <c r="CQ233" s="30"/>
      <c r="CR233" s="30"/>
      <c r="CS233" s="30"/>
      <c r="CT233" s="30"/>
      <c r="CU233" s="30"/>
      <c r="CV233" s="30"/>
      <c r="CW233" s="30"/>
      <c r="CX233" s="30"/>
      <c r="CY233" s="30"/>
      <c r="CZ233" s="30"/>
      <c r="DA233" s="30"/>
    </row>
    <row r="234" spans="1:105" ht="19.2" thickTop="1" thickBot="1" x14ac:dyDescent="0.4">
      <c r="A234" s="30"/>
      <c r="B234" s="30"/>
      <c r="C234" s="188" t="s">
        <v>794</v>
      </c>
      <c r="D234" s="46" t="s">
        <v>777</v>
      </c>
      <c r="E234" s="35" t="str">
        <f>_xlfn.XLOOKUP(Tabella4[[#This Row],[NOME]],'ROSE SQUADRE'!$N$3:$N$253,'ROSE SQUADRE'!$O$3:$O$253,"")</f>
        <v/>
      </c>
      <c r="F234" s="36" t="s">
        <v>163</v>
      </c>
      <c r="G234" s="43">
        <v>5</v>
      </c>
      <c r="H234" s="43">
        <v>5</v>
      </c>
      <c r="I234" s="44">
        <f t="shared" si="19"/>
        <v>0</v>
      </c>
      <c r="J234" s="37">
        <f t="shared" si="20"/>
        <v>0</v>
      </c>
      <c r="K234" s="178">
        <f t="shared" si="21"/>
        <v>0</v>
      </c>
      <c r="L234" s="178">
        <f t="shared" si="22"/>
        <v>0</v>
      </c>
      <c r="M234" s="179">
        <f t="shared" si="23"/>
        <v>0</v>
      </c>
      <c r="N234" s="45">
        <f t="shared" ca="1" si="24"/>
        <v>0</v>
      </c>
      <c r="O234" s="40">
        <f>SUMIF(Tabella1[Nome],Tabella4[[#This Row],[NOME]],Tabella1[Gf])</f>
        <v>0</v>
      </c>
      <c r="P234" s="40">
        <f>-(SUMIF(Tabella1[Nome],Tabella4[[#This Row],[NOME]],Tabella1[Gs]))</f>
        <v>0</v>
      </c>
      <c r="Q234" s="40">
        <f>SUMIF(Tabella1[Nome],Tabella4[[#This Row],[NOME]],Tabella1[Rp])</f>
        <v>0</v>
      </c>
      <c r="R234" s="40">
        <f>SUMIF(Tabella1[Nome],Tabella4[[#This Row],[NOME]],Tabella1[Rs])</f>
        <v>0</v>
      </c>
      <c r="S234" s="40">
        <f>SUMIF(Tabella1[Nome],Tabella4[[#This Row],[NOME]],Tabella1[Rf])</f>
        <v>0</v>
      </c>
      <c r="T234" s="40">
        <f>SUMIF(Tabella1[Nome],Tabella4[[#This Row],[NOME]],Tabella1[Au])</f>
        <v>0</v>
      </c>
      <c r="U234" s="41">
        <f>SUMIF(Tabella1[Nome],Tabella4[[#This Row],[NOME]],Tabella1[Amm])</f>
        <v>0</v>
      </c>
      <c r="V234" s="42">
        <f>SUMIF(Tabella1[Nome],Tabella4[[#This Row],[NOME]],Tabella1[Esp])</f>
        <v>0</v>
      </c>
      <c r="W234" s="40">
        <f>SUMIF(Tabella1[Nome],Tabella4[[#This Row],[NOME]],Tabella1[Ass])</f>
        <v>0</v>
      </c>
      <c r="X234" s="40">
        <f>SUMIF(Tabella1[Nome],Tabella4[[#This Row],[NOME]],Tabella1[Gdv])</f>
        <v>0</v>
      </c>
      <c r="Y234" s="40">
        <f>SUMIF(Tabella1[Nome],Tabella4[[#This Row],[NOME]],Tabella1[cl sh])</f>
        <v>0</v>
      </c>
      <c r="Z234" s="270" t="str">
        <f>_xlfn.IFNA(_xlfn.XLOOKUP(CONCATENATE(Z$4,$C234),Tabella1[CONC X VOTI IN TAB GIOC],Tabella1[Voto],""),"")</f>
        <v/>
      </c>
      <c r="AA234" s="270" t="str">
        <f>_xlfn.IFNA(_xlfn.XLOOKUP(CONCATENATE(AA$4,$C234),Tabella1[CONC X VOTI IN TAB GIOC],Tabella1[Voto],""),"")</f>
        <v/>
      </c>
      <c r="AB234" s="270" t="str">
        <f>_xlfn.IFNA(_xlfn.XLOOKUP(CONCATENATE(AB$4,$C234),Tabella1[CONC X VOTI IN TAB GIOC],Tabella1[Voto]),"")</f>
        <v/>
      </c>
      <c r="AC234" s="270" t="str" cm="1">
        <f t="array" ref="AC234">_xlfn.IFNA(_xlfn.XLOOKUP(CONCATENATE(AC$4,$C234),INDEX(Tabella1[],0,MATCH("CONC X VOTI IN TAB GIOC",Tabella1[#Headers],0)),INDEX(Tabella1[],0,MATCH("Voto",Tabella1[#Headers],0))),"")</f>
        <v/>
      </c>
      <c r="AD234" s="270" t="str">
        <f>_xlfn.IFNA(_xlfn.XLOOKUP(CONCATENATE(AD$4,$C234),Tabella1[CONC X VOTI IN TAB GIOC],Tabella1[Voto]),"")</f>
        <v/>
      </c>
      <c r="AE234" s="270" t="str">
        <f>_xlfn.IFNA(VLOOKUP(CONCATENATE(AE$4,$C234),'INSER DATA'!$A:$F,6,0),"")</f>
        <v/>
      </c>
      <c r="AF234" s="270" t="str">
        <f>_xlfn.IFNA(VLOOKUP(CONCATENATE(AF$4,$C234),'INSER DATA'!$A:$F,6,0),"")</f>
        <v/>
      </c>
      <c r="AG234" s="270" t="str">
        <f>_xlfn.IFNA(VLOOKUP(CONCATENATE(AG$4,$C234),'INSER DATA'!$A:$F,6,0),"")</f>
        <v/>
      </c>
      <c r="AH234" s="270" t="str">
        <f>_xlfn.IFNA(VLOOKUP(CONCATENATE(AH$4,$C234),'INSER DATA'!$A:$F,7,0),"")</f>
        <v/>
      </c>
      <c r="AI234" s="270" t="str">
        <f>_xlfn.IFNA(VLOOKUP(CONCATENATE(AI$4,$C234),'INSER DATA'!$A:$F,7,0),"")</f>
        <v/>
      </c>
      <c r="AJ234" s="270" t="str">
        <f>_xlfn.IFNA(VLOOKUP(CONCATENATE(AJ$4,$C234),'INSER DATA'!$A:$F,7,0),"")</f>
        <v/>
      </c>
      <c r="AK234" s="270" t="str">
        <f>_xlfn.IFNA(VLOOKUP(CONCATENATE(AK$4,$C234),'INSER DATA'!$A:$F,7,0),"")</f>
        <v/>
      </c>
      <c r="AL234" s="270" t="str">
        <f>_xlfn.IFNA(VLOOKUP(CONCATENATE(AL$4,$C234),'INSER DATA'!$A:$F,7,0),"")</f>
        <v/>
      </c>
      <c r="AM234" s="270" t="str">
        <f>_xlfn.IFNA(VLOOKUP(CONCATENATE(AM$4,$C234),'INSER DATA'!$A:$F,7,0),"")</f>
        <v/>
      </c>
      <c r="AN234" s="270" t="str">
        <f>_xlfn.IFNA(VLOOKUP(CONCATENATE(AN$4,$C234),'INSER DATA'!$A:$F,7,0),"")</f>
        <v/>
      </c>
      <c r="AO234" s="270" t="str">
        <f>_xlfn.IFNA(VLOOKUP(CONCATENATE(AO$4,$C234),'INSER DATA'!$A:$F,7,0),"")</f>
        <v/>
      </c>
      <c r="AP234" s="270" t="str">
        <f>_xlfn.IFNA(VLOOKUP(CONCATENATE(AP$4,$C234),'INSER DATA'!$A:$F,7,0),"")</f>
        <v/>
      </c>
      <c r="AQ234" s="270" t="str">
        <f>_xlfn.IFNA(VLOOKUP(CONCATENATE(AQ$4,$C234),'INSER DATA'!$A:$F,7,0),"")</f>
        <v/>
      </c>
      <c r="AR234" s="270" t="str">
        <f>_xlfn.IFNA(VLOOKUP(CONCATENATE(AR$4,$C234),'INSER DATA'!$A:$F,7,0),"")</f>
        <v/>
      </c>
      <c r="AS234" s="270" t="str">
        <f>_xlfn.IFNA(VLOOKUP(CONCATENATE(AS$4,$C234),'INSER DATA'!$A:$F,7,0),"")</f>
        <v/>
      </c>
      <c r="AT234" s="270" t="str">
        <f>_xlfn.IFNA(VLOOKUP(CONCATENATE(AT$4,$C234),'INSER DATA'!$A:$F,7,0),"")</f>
        <v/>
      </c>
      <c r="AU234" s="270" t="str">
        <f>_xlfn.IFNA(VLOOKUP(CONCATENATE(AU$4,$C234),'INSER DATA'!$A:$F,7,0),"")</f>
        <v/>
      </c>
      <c r="AV234" s="270" t="str">
        <f>_xlfn.IFNA(VLOOKUP(CONCATENATE(AV$4,$C234),'INSER DATA'!$A:$F,7,0),"")</f>
        <v/>
      </c>
      <c r="AW234" s="270" t="str">
        <f>_xlfn.IFNA(VLOOKUP(CONCATENATE(AW$4,$C234),'INSER DATA'!$A:$F,7,0),"")</f>
        <v/>
      </c>
      <c r="AX234" s="270" t="str">
        <f>_xlfn.IFNA(VLOOKUP(CONCATENATE(AX$4,$C234),'INSER DATA'!$A:$F,7,0),"")</f>
        <v/>
      </c>
      <c r="AY234" s="270" t="str">
        <f>_xlfn.IFNA(VLOOKUP(CONCATENATE(AY$4,$C234),'INSER DATA'!$A:$F,7,0),"")</f>
        <v/>
      </c>
      <c r="AZ234" s="270" t="str">
        <f>_xlfn.IFNA(VLOOKUP(CONCATENATE(AZ$4,$C234),'INSER DATA'!$A:$F,7,0),"")</f>
        <v/>
      </c>
      <c r="BA234" s="270" t="str">
        <f>_xlfn.IFNA(VLOOKUP(CONCATENATE(BA$4,$C234),'INSER DATA'!$A:$F,7,0),"")</f>
        <v/>
      </c>
      <c r="BB234" s="270" t="str">
        <f>_xlfn.IFNA(VLOOKUP(CONCATENATE(BB$4,$C234),'INSER DATA'!$A:$F,7,0),"")</f>
        <v/>
      </c>
      <c r="BC234" s="270" t="str">
        <f>_xlfn.IFNA(VLOOKUP(CONCATENATE(BC$4,$C234),'INSER DATA'!$A:$F,7,0),"")</f>
        <v/>
      </c>
      <c r="BD234" s="270" t="str">
        <f>_xlfn.IFNA(VLOOKUP(CONCATENATE(BD$4,$C234),'INSER DATA'!$A:$F,7,0),"")</f>
        <v/>
      </c>
      <c r="BE234" s="270" t="str">
        <f>_xlfn.IFNA(VLOOKUP(CONCATENATE(BE$4,$C234),'INSER DATA'!$A:$F,7,0),"")</f>
        <v/>
      </c>
      <c r="BF234" s="270" t="str">
        <f>_xlfn.IFNA(VLOOKUP(CONCATENATE(BF$4,$C234),'INSER DATA'!$A:$F,7,0),"")</f>
        <v/>
      </c>
      <c r="BG234" s="270" t="str">
        <f>_xlfn.IFNA(VLOOKUP(CONCATENATE(BG$4,$C234),'INSER DATA'!$A:$F,7,0),"")</f>
        <v/>
      </c>
      <c r="BH234" s="270" t="str">
        <f>_xlfn.IFNA(VLOOKUP(CONCATENATE(BH$4,$C234),'INSER DATA'!$A:$F,7,0),"")</f>
        <v/>
      </c>
      <c r="BI234" s="270" t="str">
        <f>_xlfn.IFNA(VLOOKUP(CONCATENATE(BI$4,$C234),'INSER DATA'!$A:$F,7,0),"")</f>
        <v/>
      </c>
      <c r="BJ234" s="270" t="str">
        <f>_xlfn.IFNA(VLOOKUP(CONCATENATE(BJ$4,$C234),'INSER DATA'!$A:$F,7,0),"")</f>
        <v/>
      </c>
      <c r="BK234" s="270" t="str">
        <f>_xlfn.IFNA(VLOOKUP(CONCATENATE(BK$4,$C234),'INSER DATA'!$A:$F,7,0),"")</f>
        <v/>
      </c>
      <c r="BL234" s="272"/>
      <c r="BM234" s="30"/>
      <c r="BN234" s="30"/>
      <c r="BO234" s="30"/>
      <c r="BP234" s="30"/>
      <c r="BQ234" s="30"/>
      <c r="BR234" s="30"/>
      <c r="BS234" s="30"/>
      <c r="BT234" s="30"/>
      <c r="BU234" s="30"/>
      <c r="BV234" s="30"/>
      <c r="BW234" s="30"/>
      <c r="BX234" s="30"/>
      <c r="BY234" s="30"/>
      <c r="BZ234" s="30"/>
      <c r="CA234" s="30"/>
      <c r="CB234" s="30"/>
      <c r="CC234" s="30"/>
      <c r="CD234" s="30"/>
      <c r="CE234" s="30"/>
      <c r="CF234" s="30"/>
      <c r="CG234" s="30"/>
      <c r="CH234" s="30"/>
      <c r="CI234" s="30"/>
      <c r="CJ234" s="30"/>
      <c r="CK234" s="30"/>
      <c r="CL234" s="30"/>
      <c r="CM234" s="30"/>
      <c r="CN234" s="30"/>
      <c r="CO234" s="30"/>
      <c r="CP234" s="30"/>
      <c r="CQ234" s="30"/>
      <c r="CR234" s="30"/>
      <c r="CS234" s="30"/>
      <c r="CT234" s="30"/>
      <c r="CU234" s="30"/>
      <c r="CV234" s="30"/>
      <c r="CW234" s="30"/>
      <c r="CX234" s="30"/>
      <c r="CY234" s="30"/>
      <c r="CZ234" s="30"/>
      <c r="DA234" s="30"/>
    </row>
    <row r="235" spans="1:105" ht="19.2" thickTop="1" thickBot="1" x14ac:dyDescent="0.4">
      <c r="A235" s="30"/>
      <c r="B235" s="30"/>
      <c r="C235" s="360" t="s">
        <v>258</v>
      </c>
      <c r="D235" s="359" t="s">
        <v>796</v>
      </c>
      <c r="E235" s="35" t="str">
        <f>_xlfn.XLOOKUP(Tabella4[[#This Row],[NOME]],'ROSE SQUADRE'!$N$3:$N$253,'ROSE SQUADRE'!$O$3:$O$253,"")</f>
        <v>TRICCHETRACHT</v>
      </c>
      <c r="F235" s="36" t="s">
        <v>162</v>
      </c>
      <c r="G235" s="43">
        <v>7</v>
      </c>
      <c r="H235" s="43">
        <v>9</v>
      </c>
      <c r="I235" s="44">
        <f t="shared" si="19"/>
        <v>2</v>
      </c>
      <c r="J235" s="37">
        <f t="shared" si="20"/>
        <v>4</v>
      </c>
      <c r="K235" s="38">
        <f t="shared" si="21"/>
        <v>6.875</v>
      </c>
      <c r="L235" s="38">
        <f t="shared" si="22"/>
        <v>9.625</v>
      </c>
      <c r="M235" s="39">
        <f t="shared" si="23"/>
        <v>38.5</v>
      </c>
      <c r="N235" s="45">
        <f t="shared" ca="1" si="24"/>
        <v>1</v>
      </c>
      <c r="O235" s="40">
        <f>SUMIF(Tabella1[Nome],Tabella4[[#This Row],[NOME]],Tabella1[Gf])</f>
        <v>3</v>
      </c>
      <c r="P235" s="40">
        <f>-(SUMIF(Tabella1[Nome],Tabella4[[#This Row],[NOME]],Tabella1[Gs]))</f>
        <v>0</v>
      </c>
      <c r="Q235" s="40">
        <f>SUMIF(Tabella1[Nome],Tabella4[[#This Row],[NOME]],Tabella1[Rp])</f>
        <v>0</v>
      </c>
      <c r="R235" s="40">
        <f>SUMIF(Tabella1[Nome],Tabella4[[#This Row],[NOME]],Tabella1[Rs])</f>
        <v>0</v>
      </c>
      <c r="S235" s="40">
        <f>SUMIF(Tabella1[Nome],Tabella4[[#This Row],[NOME]],Tabella1[Rf])</f>
        <v>0</v>
      </c>
      <c r="T235" s="40">
        <f>SUMIF(Tabella1[Nome],Tabella4[[#This Row],[NOME]],Tabella1[Au])</f>
        <v>0</v>
      </c>
      <c r="U235" s="41">
        <f>SUMIF(Tabella1[Nome],Tabella4[[#This Row],[NOME]],Tabella1[Amm])</f>
        <v>0</v>
      </c>
      <c r="V235" s="42">
        <f>SUMIF(Tabella1[Nome],Tabella4[[#This Row],[NOME]],Tabella1[Esp])</f>
        <v>0</v>
      </c>
      <c r="W235" s="40">
        <f>SUMIF(Tabella1[Nome],Tabella4[[#This Row],[NOME]],Tabella1[Ass])</f>
        <v>0</v>
      </c>
      <c r="X235" s="40">
        <f>SUMIF(Tabella1[Nome],Tabella4[[#This Row],[NOME]],Tabella1[Gdv])</f>
        <v>2</v>
      </c>
      <c r="Y235" s="40">
        <f>SUMIF(Tabella1[Nome],Tabella4[[#This Row],[NOME]],Tabella1[cl sh])</f>
        <v>0</v>
      </c>
      <c r="Z235" s="270">
        <f>_xlfn.IFNA(_xlfn.XLOOKUP(CONCATENATE(Z$4,$C235),Tabella1[CONC X VOTI IN TAB GIOC],Tabella1[Voto],""),"")</f>
        <v>7.5</v>
      </c>
      <c r="AA235" s="270">
        <f>_xlfn.IFNA(_xlfn.XLOOKUP(CONCATENATE(AA$4,$C235),Tabella1[CONC X VOTI IN TAB GIOC],Tabella1[Voto],""),"")</f>
        <v>7</v>
      </c>
      <c r="AB235" s="400">
        <f>_xlfn.IFNA(_xlfn.XLOOKUP(CONCATENATE(AB$4,$C235),Tabella1[CONC X VOTI IN TAB GIOC],Tabella1[Voto]),"")</f>
        <v>7</v>
      </c>
      <c r="AC235" s="270" cm="1">
        <f t="array" ref="AC235">_xlfn.IFNA(_xlfn.XLOOKUP(CONCATENATE(AC$4,$C235),INDEX(Tabella1[],0,MATCH("CONC X VOTI IN TAB GIOC",Tabella1[#Headers],0)),INDEX(Tabella1[],0,MATCH("Voto",Tabella1[#Headers],0))),"")</f>
        <v>6</v>
      </c>
      <c r="AD235" s="270" t="str">
        <f>_xlfn.IFNA(_xlfn.XLOOKUP(CONCATENATE(AD$4,$C235),Tabella1[CONC X VOTI IN TAB GIOC],Tabella1[Voto]),"")</f>
        <v/>
      </c>
      <c r="AE235" s="270" t="str">
        <f>_xlfn.IFNA(VLOOKUP(CONCATENATE(AE$4,$C235),'INSER DATA'!$A:$F,6,0),"")</f>
        <v/>
      </c>
      <c r="AF235" s="270" t="str">
        <f>_xlfn.IFNA(VLOOKUP(CONCATENATE(AF$4,$C235),'INSER DATA'!$A:$F,6,0),"")</f>
        <v/>
      </c>
      <c r="AG235" s="270" t="str">
        <f>_xlfn.IFNA(VLOOKUP(CONCATENATE(AG$4,$C235),'INSER DATA'!$A:$F,6,0),"")</f>
        <v/>
      </c>
      <c r="AH235" s="270" t="str">
        <f>_xlfn.IFNA(VLOOKUP(CONCATENATE(AH$4,$C235),'INSER DATA'!$A:$F,7,0),"")</f>
        <v/>
      </c>
      <c r="AI235" s="270" t="str">
        <f>_xlfn.IFNA(VLOOKUP(CONCATENATE(AI$4,$C235),'INSER DATA'!$A:$F,7,0),"")</f>
        <v/>
      </c>
      <c r="AJ235" s="270" t="str">
        <f>_xlfn.IFNA(VLOOKUP(CONCATENATE(AJ$4,$C235),'INSER DATA'!$A:$F,7,0),"")</f>
        <v/>
      </c>
      <c r="AK235" s="270" t="str">
        <f>_xlfn.IFNA(VLOOKUP(CONCATENATE(AK$4,$C235),'INSER DATA'!$A:$F,7,0),"")</f>
        <v/>
      </c>
      <c r="AL235" s="270" t="str">
        <f>_xlfn.IFNA(VLOOKUP(CONCATENATE(AL$4,$C235),'INSER DATA'!$A:$F,7,0),"")</f>
        <v/>
      </c>
      <c r="AM235" s="270" t="str">
        <f>_xlfn.IFNA(VLOOKUP(CONCATENATE(AM$4,$C235),'INSER DATA'!$A:$F,7,0),"")</f>
        <v/>
      </c>
      <c r="AN235" s="270" t="str">
        <f>_xlfn.IFNA(VLOOKUP(CONCATENATE(AN$4,$C235),'INSER DATA'!$A:$F,7,0),"")</f>
        <v/>
      </c>
      <c r="AO235" s="270" t="str">
        <f>_xlfn.IFNA(VLOOKUP(CONCATENATE(AO$4,$C235),'INSER DATA'!$A:$F,7,0),"")</f>
        <v/>
      </c>
      <c r="AP235" s="270" t="str">
        <f>_xlfn.IFNA(VLOOKUP(CONCATENATE(AP$4,$C235),'INSER DATA'!$A:$F,7,0),"")</f>
        <v/>
      </c>
      <c r="AQ235" s="270" t="str">
        <f>_xlfn.IFNA(VLOOKUP(CONCATENATE(AQ$4,$C235),'INSER DATA'!$A:$F,7,0),"")</f>
        <v/>
      </c>
      <c r="AR235" s="270" t="str">
        <f>_xlfn.IFNA(VLOOKUP(CONCATENATE(AR$4,$C235),'INSER DATA'!$A:$F,7,0),"")</f>
        <v/>
      </c>
      <c r="AS235" s="270" t="str">
        <f>_xlfn.IFNA(VLOOKUP(CONCATENATE(AS$4,$C235),'INSER DATA'!$A:$F,7,0),"")</f>
        <v/>
      </c>
      <c r="AT235" s="270" t="str">
        <f>_xlfn.IFNA(VLOOKUP(CONCATENATE(AT$4,$C235),'INSER DATA'!$A:$F,7,0),"")</f>
        <v/>
      </c>
      <c r="AU235" s="270" t="str">
        <f>_xlfn.IFNA(VLOOKUP(CONCATENATE(AU$4,$C235),'INSER DATA'!$A:$F,7,0),"")</f>
        <v/>
      </c>
      <c r="AV235" s="270" t="str">
        <f>_xlfn.IFNA(VLOOKUP(CONCATENATE(AV$4,$C235),'INSER DATA'!$A:$F,7,0),"")</f>
        <v/>
      </c>
      <c r="AW235" s="270" t="str">
        <f>_xlfn.IFNA(VLOOKUP(CONCATENATE(AW$4,$C235),'INSER DATA'!$A:$F,7,0),"")</f>
        <v/>
      </c>
      <c r="AX235" s="270" t="str">
        <f>_xlfn.IFNA(VLOOKUP(CONCATENATE(AX$4,$C235),'INSER DATA'!$A:$F,7,0),"")</f>
        <v/>
      </c>
      <c r="AY235" s="270" t="str">
        <f>_xlfn.IFNA(VLOOKUP(CONCATENATE(AY$4,$C235),'INSER DATA'!$A:$F,7,0),"")</f>
        <v/>
      </c>
      <c r="AZ235" s="270" t="str">
        <f>_xlfn.IFNA(VLOOKUP(CONCATENATE(AZ$4,$C235),'INSER DATA'!$A:$F,7,0),"")</f>
        <v/>
      </c>
      <c r="BA235" s="270" t="str">
        <f>_xlfn.IFNA(VLOOKUP(CONCATENATE(BA$4,$C235),'INSER DATA'!$A:$F,7,0),"")</f>
        <v/>
      </c>
      <c r="BB235" s="270" t="str">
        <f>_xlfn.IFNA(VLOOKUP(CONCATENATE(BB$4,$C235),'INSER DATA'!$A:$F,7,0),"")</f>
        <v/>
      </c>
      <c r="BC235" s="270" t="str">
        <f>_xlfn.IFNA(VLOOKUP(CONCATENATE(BC$4,$C235),'INSER DATA'!$A:$F,7,0),"")</f>
        <v/>
      </c>
      <c r="BD235" s="270" t="str">
        <f>_xlfn.IFNA(VLOOKUP(CONCATENATE(BD$4,$C235),'INSER DATA'!$A:$F,7,0),"")</f>
        <v/>
      </c>
      <c r="BE235" s="270" t="str">
        <f>_xlfn.IFNA(VLOOKUP(CONCATENATE(BE$4,$C235),'INSER DATA'!$A:$F,7,0),"")</f>
        <v/>
      </c>
      <c r="BF235" s="270" t="str">
        <f>_xlfn.IFNA(VLOOKUP(CONCATENATE(BF$4,$C235),'INSER DATA'!$A:$F,7,0),"")</f>
        <v/>
      </c>
      <c r="BG235" s="270" t="str">
        <f>_xlfn.IFNA(VLOOKUP(CONCATENATE(BG$4,$C235),'INSER DATA'!$A:$F,7,0),"")</f>
        <v/>
      </c>
      <c r="BH235" s="270" t="str">
        <f>_xlfn.IFNA(VLOOKUP(CONCATENATE(BH$4,$C235),'INSER DATA'!$A:$F,7,0),"")</f>
        <v/>
      </c>
      <c r="BI235" s="270" t="str">
        <f>_xlfn.IFNA(VLOOKUP(CONCATENATE(BI$4,$C235),'INSER DATA'!$A:$F,7,0),"")</f>
        <v/>
      </c>
      <c r="BJ235" s="270" t="str">
        <f>_xlfn.IFNA(VLOOKUP(CONCATENATE(BJ$4,$C235),'INSER DATA'!$A:$F,7,0),"")</f>
        <v/>
      </c>
      <c r="BK235" s="270" t="str">
        <f>_xlfn.IFNA(VLOOKUP(CONCATENATE(BK$4,$C235),'INSER DATA'!$A:$F,7,0),"")</f>
        <v/>
      </c>
      <c r="BL235" s="272"/>
      <c r="BM235" s="30"/>
      <c r="BN235" s="30"/>
      <c r="BO235" s="30"/>
      <c r="BP235" s="30"/>
      <c r="BQ235" s="30"/>
      <c r="BR235" s="30"/>
      <c r="BS235" s="30"/>
      <c r="BT235" s="30"/>
      <c r="BU235" s="30"/>
      <c r="BV235" s="30"/>
      <c r="BW235" s="30"/>
      <c r="BX235" s="30"/>
      <c r="BY235" s="30"/>
      <c r="BZ235" s="30"/>
      <c r="CA235" s="30"/>
      <c r="CB235" s="30"/>
      <c r="CC235" s="30"/>
      <c r="CD235" s="30"/>
      <c r="CE235" s="30"/>
      <c r="CF235" s="30"/>
      <c r="CG235" s="30"/>
      <c r="CH235" s="30"/>
      <c r="CI235" s="30"/>
      <c r="CJ235" s="30"/>
      <c r="CK235" s="30"/>
      <c r="CL235" s="30"/>
      <c r="CM235" s="30"/>
      <c r="CN235" s="30"/>
      <c r="CO235" s="30"/>
      <c r="CP235" s="30"/>
      <c r="CQ235" s="30"/>
      <c r="CR235" s="30"/>
      <c r="CS235" s="30"/>
      <c r="CT235" s="30"/>
      <c r="CU235" s="30"/>
      <c r="CV235" s="30"/>
      <c r="CW235" s="30"/>
      <c r="CX235" s="30"/>
      <c r="CY235" s="30"/>
      <c r="CZ235" s="30"/>
      <c r="DA235" s="30"/>
    </row>
    <row r="236" spans="1:105" ht="19.2" thickTop="1" thickBot="1" x14ac:dyDescent="0.4">
      <c r="A236" s="30"/>
      <c r="B236" s="30"/>
      <c r="C236" s="356" t="s">
        <v>804</v>
      </c>
      <c r="D236" s="355" t="s">
        <v>796</v>
      </c>
      <c r="E236" s="35" t="str">
        <f>_xlfn.XLOOKUP(Tabella4[[#This Row],[NOME]],'ROSE SQUADRE'!$N$3:$N$253,'ROSE SQUADRE'!$O$3:$O$253,"")</f>
        <v>SAN GRIA</v>
      </c>
      <c r="F236" s="36" t="s">
        <v>161</v>
      </c>
      <c r="G236" s="43">
        <v>6</v>
      </c>
      <c r="H236" s="43">
        <v>6</v>
      </c>
      <c r="I236" s="44">
        <f t="shared" si="19"/>
        <v>0</v>
      </c>
      <c r="J236" s="37">
        <f t="shared" si="20"/>
        <v>3</v>
      </c>
      <c r="K236" s="178">
        <f t="shared" si="21"/>
        <v>6.333333333333333</v>
      </c>
      <c r="L236" s="178">
        <f t="shared" si="22"/>
        <v>6.666666666666667</v>
      </c>
      <c r="M236" s="179">
        <f t="shared" si="23"/>
        <v>20</v>
      </c>
      <c r="N236" s="45">
        <f ca="1">ContaCellePerColore(Z236:BK236,$C$3)</f>
        <v>1</v>
      </c>
      <c r="O236" s="40">
        <f>SUMIF(Tabella1[Nome],Tabella4[[#This Row],[NOME]],Tabella1[Gf])</f>
        <v>0</v>
      </c>
      <c r="P236" s="40">
        <f>-(SUMIF(Tabella1[Nome],Tabella4[[#This Row],[NOME]],Tabella1[Gs]))</f>
        <v>0</v>
      </c>
      <c r="Q236" s="40">
        <f>SUMIF(Tabella1[Nome],Tabella4[[#This Row],[NOME]],Tabella1[Rp])</f>
        <v>0</v>
      </c>
      <c r="R236" s="40">
        <f>SUMIF(Tabella1[Nome],Tabella4[[#This Row],[NOME]],Tabella1[Rs])</f>
        <v>0</v>
      </c>
      <c r="S236" s="40">
        <f>SUMIF(Tabella1[Nome],Tabella4[[#This Row],[NOME]],Tabella1[Rf])</f>
        <v>0</v>
      </c>
      <c r="T236" s="40">
        <f>SUMIF(Tabella1[Nome],Tabella4[[#This Row],[NOME]],Tabella1[Au])</f>
        <v>0</v>
      </c>
      <c r="U236" s="41">
        <f>SUMIF(Tabella1[Nome],Tabella4[[#This Row],[NOME]],Tabella1[Amm])</f>
        <v>0</v>
      </c>
      <c r="V236" s="42">
        <f>SUMIF(Tabella1[Nome],Tabella4[[#This Row],[NOME]],Tabella1[Esp])</f>
        <v>0</v>
      </c>
      <c r="W236" s="40">
        <f>SUMIF(Tabella1[Nome],Tabella4[[#This Row],[NOME]],Tabella1[Ass])</f>
        <v>1</v>
      </c>
      <c r="X236" s="40">
        <f>SUMIF(Tabella1[Nome],Tabella4[[#This Row],[NOME]],Tabella1[Gdv])</f>
        <v>0</v>
      </c>
      <c r="Y236" s="40">
        <f>SUMIF(Tabella1[Nome],Tabella4[[#This Row],[NOME]],Tabella1[cl sh])</f>
        <v>0</v>
      </c>
      <c r="Z236" s="270" t="str">
        <f>_xlfn.IFNA(_xlfn.XLOOKUP(CONCATENATE(Z$4,$C236),Tabella1[CONC X VOTI IN TAB GIOC],Tabella1[Voto],""),"")</f>
        <v/>
      </c>
      <c r="AA236" s="270">
        <f>_xlfn.IFNA(_xlfn.XLOOKUP(CONCATENATE(AA$4,$C236),Tabella1[CONC X VOTI IN TAB GIOC],Tabella1[Voto],""),"")</f>
        <v>6.5</v>
      </c>
      <c r="AB236" s="400">
        <f>_xlfn.IFNA(_xlfn.XLOOKUP(CONCATENATE(AB$4,$C236),Tabella1[CONC X VOTI IN TAB GIOC],Tabella1[Voto]),"")</f>
        <v>6.5</v>
      </c>
      <c r="AC236" s="270" cm="1">
        <f t="array" ref="AC236">_xlfn.IFNA(_xlfn.XLOOKUP(CONCATENATE(AC$4,$C236),INDEX(Tabella1[],0,MATCH("CONC X VOTI IN TAB GIOC",Tabella1[#Headers],0)),INDEX(Tabella1[],0,MATCH("Voto",Tabella1[#Headers],0))),"")</f>
        <v>6</v>
      </c>
      <c r="AD236" s="270" t="str">
        <f>_xlfn.IFNA(_xlfn.XLOOKUP(CONCATENATE(AD$4,$C236),Tabella1[CONC X VOTI IN TAB GIOC],Tabella1[Voto]),"")</f>
        <v/>
      </c>
      <c r="AE236" s="270" t="str">
        <f>_xlfn.IFNA(VLOOKUP(CONCATENATE(AE$4,$C236),'INSER DATA'!$A:$F,6,0),"")</f>
        <v/>
      </c>
      <c r="AF236" s="270" t="str">
        <f>_xlfn.IFNA(VLOOKUP(CONCATENATE(AF$4,$C236),'INSER DATA'!$A:$F,6,0),"")</f>
        <v/>
      </c>
      <c r="AG236" s="270" t="str">
        <f>_xlfn.IFNA(VLOOKUP(CONCATENATE(AG$4,$C236),'INSER DATA'!$A:$F,6,0),"")</f>
        <v/>
      </c>
      <c r="AH236" s="270" t="str">
        <f>_xlfn.IFNA(VLOOKUP(CONCATENATE(AH$4,$C236),'INSER DATA'!$A:$F,7,0),"")</f>
        <v/>
      </c>
      <c r="AI236" s="270" t="str">
        <f>_xlfn.IFNA(VLOOKUP(CONCATENATE(AI$4,$C236),'INSER DATA'!$A:$F,7,0),"")</f>
        <v/>
      </c>
      <c r="AJ236" s="270" t="str">
        <f>_xlfn.IFNA(VLOOKUP(CONCATENATE(AJ$4,$C236),'INSER DATA'!$A:$F,7,0),"")</f>
        <v/>
      </c>
      <c r="AK236" s="270" t="str">
        <f>_xlfn.IFNA(VLOOKUP(CONCATENATE(AK$4,$C236),'INSER DATA'!$A:$F,7,0),"")</f>
        <v/>
      </c>
      <c r="AL236" s="270" t="str">
        <f>_xlfn.IFNA(VLOOKUP(CONCATENATE(AL$4,$C236),'INSER DATA'!$A:$F,7,0),"")</f>
        <v/>
      </c>
      <c r="AM236" s="270" t="str">
        <f>_xlfn.IFNA(VLOOKUP(CONCATENATE(AM$4,$C236),'INSER DATA'!$A:$F,7,0),"")</f>
        <v/>
      </c>
      <c r="AN236" s="270" t="str">
        <f>_xlfn.IFNA(VLOOKUP(CONCATENATE(AN$4,$C236),'INSER DATA'!$A:$F,7,0),"")</f>
        <v/>
      </c>
      <c r="AO236" s="270" t="str">
        <f>_xlfn.IFNA(VLOOKUP(CONCATENATE(AO$4,$C236),'INSER DATA'!$A:$F,7,0),"")</f>
        <v/>
      </c>
      <c r="AP236" s="270" t="str">
        <f>_xlfn.IFNA(VLOOKUP(CONCATENATE(AP$4,$C236),'INSER DATA'!$A:$F,7,0),"")</f>
        <v/>
      </c>
      <c r="AQ236" s="270" t="str">
        <f>_xlfn.IFNA(VLOOKUP(CONCATENATE(AQ$4,$C236),'INSER DATA'!$A:$F,7,0),"")</f>
        <v/>
      </c>
      <c r="AR236" s="270" t="str">
        <f>_xlfn.IFNA(VLOOKUP(CONCATENATE(AR$4,$C236),'INSER DATA'!$A:$F,7,0),"")</f>
        <v/>
      </c>
      <c r="AS236" s="270" t="str">
        <f>_xlfn.IFNA(VLOOKUP(CONCATENATE(AS$4,$C236),'INSER DATA'!$A:$F,7,0),"")</f>
        <v/>
      </c>
      <c r="AT236" s="270" t="str">
        <f>_xlfn.IFNA(VLOOKUP(CONCATENATE(AT$4,$C236),'INSER DATA'!$A:$F,7,0),"")</f>
        <v/>
      </c>
      <c r="AU236" s="270" t="str">
        <f>_xlfn.IFNA(VLOOKUP(CONCATENATE(AU$4,$C236),'INSER DATA'!$A:$F,7,0),"")</f>
        <v/>
      </c>
      <c r="AV236" s="270" t="str">
        <f>_xlfn.IFNA(VLOOKUP(CONCATENATE(AV$4,$C236),'INSER DATA'!$A:$F,7,0),"")</f>
        <v/>
      </c>
      <c r="AW236" s="270" t="str">
        <f>_xlfn.IFNA(VLOOKUP(CONCATENATE(AW$4,$C236),'INSER DATA'!$A:$F,7,0),"")</f>
        <v/>
      </c>
      <c r="AX236" s="270" t="str">
        <f>_xlfn.IFNA(VLOOKUP(CONCATENATE(AX$4,$C236),'INSER DATA'!$A:$F,7,0),"")</f>
        <v/>
      </c>
      <c r="AY236" s="270" t="str">
        <f>_xlfn.IFNA(VLOOKUP(CONCATENATE(AY$4,$C236),'INSER DATA'!$A:$F,7,0),"")</f>
        <v/>
      </c>
      <c r="AZ236" s="270" t="str">
        <f>_xlfn.IFNA(VLOOKUP(CONCATENATE(AZ$4,$C236),'INSER DATA'!$A:$F,7,0),"")</f>
        <v/>
      </c>
      <c r="BA236" s="270" t="str">
        <f>_xlfn.IFNA(VLOOKUP(CONCATENATE(BA$4,$C236),'INSER DATA'!$A:$F,7,0),"")</f>
        <v/>
      </c>
      <c r="BB236" s="270" t="str">
        <f>_xlfn.IFNA(VLOOKUP(CONCATENATE(BB$4,$C236),'INSER DATA'!$A:$F,7,0),"")</f>
        <v/>
      </c>
      <c r="BC236" s="270" t="str">
        <f>_xlfn.IFNA(VLOOKUP(CONCATENATE(BC$4,$C236),'INSER DATA'!$A:$F,7,0),"")</f>
        <v/>
      </c>
      <c r="BD236" s="270" t="str">
        <f>_xlfn.IFNA(VLOOKUP(CONCATENATE(BD$4,$C236),'INSER DATA'!$A:$F,7,0),"")</f>
        <v/>
      </c>
      <c r="BE236" s="270" t="str">
        <f>_xlfn.IFNA(VLOOKUP(CONCATENATE(BE$4,$C236),'INSER DATA'!$A:$F,7,0),"")</f>
        <v/>
      </c>
      <c r="BF236" s="270" t="str">
        <f>_xlfn.IFNA(VLOOKUP(CONCATENATE(BF$4,$C236),'INSER DATA'!$A:$F,7,0),"")</f>
        <v/>
      </c>
      <c r="BG236" s="270" t="str">
        <f>_xlfn.IFNA(VLOOKUP(CONCATENATE(BG$4,$C236),'INSER DATA'!$A:$F,7,0),"")</f>
        <v/>
      </c>
      <c r="BH236" s="270" t="str">
        <f>_xlfn.IFNA(VLOOKUP(CONCATENATE(BH$4,$C236),'INSER DATA'!$A:$F,7,0),"")</f>
        <v/>
      </c>
      <c r="BI236" s="270" t="str">
        <f>_xlfn.IFNA(VLOOKUP(CONCATENATE(BI$4,$C236),'INSER DATA'!$A:$F,7,0),"")</f>
        <v/>
      </c>
      <c r="BJ236" s="270" t="str">
        <f>_xlfn.IFNA(VLOOKUP(CONCATENATE(BJ$4,$C236),'INSER DATA'!$A:$F,7,0),"")</f>
        <v/>
      </c>
      <c r="BK236" s="270" t="str">
        <f>_xlfn.IFNA(VLOOKUP(CONCATENATE(BK$4,$C236),'INSER DATA'!$A:$F,7,0),"")</f>
        <v/>
      </c>
      <c r="BL236" s="272"/>
      <c r="BM236" s="30"/>
      <c r="BN236" s="30"/>
      <c r="BO236" s="30"/>
      <c r="BP236" s="30"/>
      <c r="BQ236" s="30"/>
      <c r="BR236" s="30"/>
      <c r="BS236" s="30"/>
      <c r="BT236" s="30"/>
      <c r="BU236" s="30"/>
      <c r="BV236" s="30"/>
      <c r="BW236" s="30"/>
      <c r="BX236" s="30"/>
      <c r="BY236" s="30"/>
      <c r="BZ236" s="30"/>
      <c r="CA236" s="30"/>
      <c r="CB236" s="30"/>
      <c r="CC236" s="30"/>
      <c r="CD236" s="30"/>
      <c r="CE236" s="30"/>
      <c r="CF236" s="30"/>
      <c r="CG236" s="30"/>
      <c r="CH236" s="30"/>
      <c r="CI236" s="30"/>
      <c r="CJ236" s="30"/>
      <c r="CK236" s="30"/>
      <c r="CL236" s="30"/>
      <c r="CM236" s="30"/>
      <c r="CN236" s="30"/>
      <c r="CO236" s="30"/>
      <c r="CP236" s="30"/>
      <c r="CQ236" s="30"/>
      <c r="CR236" s="30"/>
      <c r="CS236" s="30"/>
      <c r="CT236" s="30"/>
      <c r="CU236" s="30"/>
      <c r="CV236" s="30"/>
      <c r="CW236" s="30"/>
      <c r="CX236" s="30"/>
      <c r="CY236" s="30"/>
      <c r="CZ236" s="30"/>
      <c r="DA236" s="30"/>
    </row>
    <row r="237" spans="1:105" ht="19.2" thickTop="1" thickBot="1" x14ac:dyDescent="0.4">
      <c r="A237" s="30"/>
      <c r="B237" s="30"/>
      <c r="C237" s="356" t="s">
        <v>795</v>
      </c>
      <c r="D237" s="355" t="s">
        <v>796</v>
      </c>
      <c r="E237" s="35" t="str">
        <f>_xlfn.XLOOKUP(Tabella4[[#This Row],[NOME]],'ROSE SQUADRE'!$N$3:$N$253,'ROSE SQUADRE'!$O$3:$O$253,"")</f>
        <v>AS PIPPERIA</v>
      </c>
      <c r="F237" s="36" t="s">
        <v>5</v>
      </c>
      <c r="G237" s="43">
        <v>9</v>
      </c>
      <c r="H237" s="43">
        <v>10</v>
      </c>
      <c r="I237" s="44">
        <f t="shared" si="19"/>
        <v>1</v>
      </c>
      <c r="J237" s="37">
        <f t="shared" si="20"/>
        <v>4</v>
      </c>
      <c r="K237" s="38">
        <f t="shared" si="21"/>
        <v>6.375</v>
      </c>
      <c r="L237" s="38">
        <f t="shared" si="22"/>
        <v>6.125</v>
      </c>
      <c r="M237" s="39">
        <f t="shared" si="23"/>
        <v>24.5</v>
      </c>
      <c r="N237" s="45">
        <f t="shared" ca="1" si="24"/>
        <v>0</v>
      </c>
      <c r="O237" s="40">
        <f>SUMIF(Tabella1[Nome],Tabella4[[#This Row],[NOME]],Tabella1[Gf])</f>
        <v>0</v>
      </c>
      <c r="P237" s="40">
        <f>-(SUMIF(Tabella1[Nome],Tabella4[[#This Row],[NOME]],Tabella1[Gs]))</f>
        <v>-3</v>
      </c>
      <c r="Q237" s="40">
        <f>SUMIF(Tabella1[Nome],Tabella4[[#This Row],[NOME]],Tabella1[Rp])</f>
        <v>0</v>
      </c>
      <c r="R237" s="40">
        <f>SUMIF(Tabella1[Nome],Tabella4[[#This Row],[NOME]],Tabella1[Rs])</f>
        <v>0</v>
      </c>
      <c r="S237" s="40">
        <f>SUMIF(Tabella1[Nome],Tabella4[[#This Row],[NOME]],Tabella1[Rf])</f>
        <v>0</v>
      </c>
      <c r="T237" s="40">
        <f>SUMIF(Tabella1[Nome],Tabella4[[#This Row],[NOME]],Tabella1[Au])</f>
        <v>0</v>
      </c>
      <c r="U237" s="41">
        <f>SUMIF(Tabella1[Nome],Tabella4[[#This Row],[NOME]],Tabella1[Amm])</f>
        <v>0</v>
      </c>
      <c r="V237" s="42">
        <f>SUMIF(Tabella1[Nome],Tabella4[[#This Row],[NOME]],Tabella1[Esp])</f>
        <v>0</v>
      </c>
      <c r="W237" s="40">
        <f>SUMIF(Tabella1[Nome],Tabella4[[#This Row],[NOME]],Tabella1[Ass])</f>
        <v>0</v>
      </c>
      <c r="X237" s="40">
        <f>SUMIF(Tabella1[Nome],Tabella4[[#This Row],[NOME]],Tabella1[Gdv])</f>
        <v>0</v>
      </c>
      <c r="Y237" s="40">
        <f>SUMIF(Tabella1[Nome],Tabella4[[#This Row],[NOME]],Tabella1[cl sh])</f>
        <v>2</v>
      </c>
      <c r="Z237" s="270">
        <f>_xlfn.IFNA(_xlfn.XLOOKUP(CONCATENATE(Z$4,$C237),Tabella1[CONC X VOTI IN TAB GIOC],Tabella1[Voto],""),"")</f>
        <v>6.5</v>
      </c>
      <c r="AA237" s="270">
        <f>_xlfn.IFNA(_xlfn.XLOOKUP(CONCATENATE(AA$4,$C237),Tabella1[CONC X VOTI IN TAB GIOC],Tabella1[Voto],""),"")</f>
        <v>6</v>
      </c>
      <c r="AB237" s="270">
        <f>_xlfn.IFNA(_xlfn.XLOOKUP(CONCATENATE(AB$4,$C237),Tabella1[CONC X VOTI IN TAB GIOC],Tabella1[Voto]),"")</f>
        <v>6.5</v>
      </c>
      <c r="AC237" s="270" cm="1">
        <f t="array" ref="AC237">_xlfn.IFNA(_xlfn.XLOOKUP(CONCATENATE(AC$4,$C237),INDEX(Tabella1[],0,MATCH("CONC X VOTI IN TAB GIOC",Tabella1[#Headers],0)),INDEX(Tabella1[],0,MATCH("Voto",Tabella1[#Headers],0))),"")</f>
        <v>6.5</v>
      </c>
      <c r="AD237" s="270" t="str">
        <f>_xlfn.IFNA(_xlfn.XLOOKUP(CONCATENATE(AD$4,$C237),Tabella1[CONC X VOTI IN TAB GIOC],Tabella1[Voto]),"")</f>
        <v/>
      </c>
      <c r="AE237" s="270" t="str">
        <f>_xlfn.IFNA(VLOOKUP(CONCATENATE(AE$4,$C237),'INSER DATA'!$A:$F,6,0),"")</f>
        <v/>
      </c>
      <c r="AF237" s="270" t="str">
        <f>_xlfn.IFNA(VLOOKUP(CONCATENATE(AF$4,$C237),'INSER DATA'!$A:$F,6,0),"")</f>
        <v/>
      </c>
      <c r="AG237" s="270" t="str">
        <f>_xlfn.IFNA(VLOOKUP(CONCATENATE(AG$4,$C237),'INSER DATA'!$A:$F,6,0),"")</f>
        <v/>
      </c>
      <c r="AH237" s="270" t="str">
        <f>_xlfn.IFNA(VLOOKUP(CONCATENATE(AH$4,$C237),'INSER DATA'!$A:$F,7,0),"")</f>
        <v/>
      </c>
      <c r="AI237" s="270" t="str">
        <f>_xlfn.IFNA(VLOOKUP(CONCATENATE(AI$4,$C237),'INSER DATA'!$A:$F,7,0),"")</f>
        <v/>
      </c>
      <c r="AJ237" s="270" t="str">
        <f>_xlfn.IFNA(VLOOKUP(CONCATENATE(AJ$4,$C237),'INSER DATA'!$A:$F,7,0),"")</f>
        <v/>
      </c>
      <c r="AK237" s="270" t="str">
        <f>_xlfn.IFNA(VLOOKUP(CONCATENATE(AK$4,$C237),'INSER DATA'!$A:$F,7,0),"")</f>
        <v/>
      </c>
      <c r="AL237" s="270" t="str">
        <f>_xlfn.IFNA(VLOOKUP(CONCATENATE(AL$4,$C237),'INSER DATA'!$A:$F,7,0),"")</f>
        <v/>
      </c>
      <c r="AM237" s="270" t="str">
        <f>_xlfn.IFNA(VLOOKUP(CONCATENATE(AM$4,$C237),'INSER DATA'!$A:$F,7,0),"")</f>
        <v/>
      </c>
      <c r="AN237" s="270" t="str">
        <f>_xlfn.IFNA(VLOOKUP(CONCATENATE(AN$4,$C237),'INSER DATA'!$A:$F,7,0),"")</f>
        <v/>
      </c>
      <c r="AO237" s="270" t="str">
        <f>_xlfn.IFNA(VLOOKUP(CONCATENATE(AO$4,$C237),'INSER DATA'!$A:$F,7,0),"")</f>
        <v/>
      </c>
      <c r="AP237" s="270" t="str">
        <f>_xlfn.IFNA(VLOOKUP(CONCATENATE(AP$4,$C237),'INSER DATA'!$A:$F,7,0),"")</f>
        <v/>
      </c>
      <c r="AQ237" s="270" t="str">
        <f>_xlfn.IFNA(VLOOKUP(CONCATENATE(AQ$4,$C237),'INSER DATA'!$A:$F,7,0),"")</f>
        <v/>
      </c>
      <c r="AR237" s="270" t="str">
        <f>_xlfn.IFNA(VLOOKUP(CONCATENATE(AR$4,$C237),'INSER DATA'!$A:$F,7,0),"")</f>
        <v/>
      </c>
      <c r="AS237" s="270" t="str">
        <f>_xlfn.IFNA(VLOOKUP(CONCATENATE(AS$4,$C237),'INSER DATA'!$A:$F,7,0),"")</f>
        <v/>
      </c>
      <c r="AT237" s="270" t="str">
        <f>_xlfn.IFNA(VLOOKUP(CONCATENATE(AT$4,$C237),'INSER DATA'!$A:$F,7,0),"")</f>
        <v/>
      </c>
      <c r="AU237" s="270" t="str">
        <f>_xlfn.IFNA(VLOOKUP(CONCATENATE(AU$4,$C237),'INSER DATA'!$A:$F,7,0),"")</f>
        <v/>
      </c>
      <c r="AV237" s="270" t="str">
        <f>_xlfn.IFNA(VLOOKUP(CONCATENATE(AV$4,$C237),'INSER DATA'!$A:$F,7,0),"")</f>
        <v/>
      </c>
      <c r="AW237" s="270" t="str">
        <f>_xlfn.IFNA(VLOOKUP(CONCATENATE(AW$4,$C237),'INSER DATA'!$A:$F,7,0),"")</f>
        <v/>
      </c>
      <c r="AX237" s="270" t="str">
        <f>_xlfn.IFNA(VLOOKUP(CONCATENATE(AX$4,$C237),'INSER DATA'!$A:$F,7,0),"")</f>
        <v/>
      </c>
      <c r="AY237" s="270" t="str">
        <f>_xlfn.IFNA(VLOOKUP(CONCATENATE(AY$4,$C237),'INSER DATA'!$A:$F,7,0),"")</f>
        <v/>
      </c>
      <c r="AZ237" s="270" t="str">
        <f>_xlfn.IFNA(VLOOKUP(CONCATENATE(AZ$4,$C237),'INSER DATA'!$A:$F,7,0),"")</f>
        <v/>
      </c>
      <c r="BA237" s="270" t="str">
        <f>_xlfn.IFNA(VLOOKUP(CONCATENATE(BA$4,$C237),'INSER DATA'!$A:$F,7,0),"")</f>
        <v/>
      </c>
      <c r="BB237" s="270" t="str">
        <f>_xlfn.IFNA(VLOOKUP(CONCATENATE(BB$4,$C237),'INSER DATA'!$A:$F,7,0),"")</f>
        <v/>
      </c>
      <c r="BC237" s="270" t="str">
        <f>_xlfn.IFNA(VLOOKUP(CONCATENATE(BC$4,$C237),'INSER DATA'!$A:$F,7,0),"")</f>
        <v/>
      </c>
      <c r="BD237" s="270" t="str">
        <f>_xlfn.IFNA(VLOOKUP(CONCATENATE(BD$4,$C237),'INSER DATA'!$A:$F,7,0),"")</f>
        <v/>
      </c>
      <c r="BE237" s="270" t="str">
        <f>_xlfn.IFNA(VLOOKUP(CONCATENATE(BE$4,$C237),'INSER DATA'!$A:$F,7,0),"")</f>
        <v/>
      </c>
      <c r="BF237" s="270" t="str">
        <f>_xlfn.IFNA(VLOOKUP(CONCATENATE(BF$4,$C237),'INSER DATA'!$A:$F,7,0),"")</f>
        <v/>
      </c>
      <c r="BG237" s="270" t="str">
        <f>_xlfn.IFNA(VLOOKUP(CONCATENATE(BG$4,$C237),'INSER DATA'!$A:$F,7,0),"")</f>
        <v/>
      </c>
      <c r="BH237" s="270" t="str">
        <f>_xlfn.IFNA(VLOOKUP(CONCATENATE(BH$4,$C237),'INSER DATA'!$A:$F,7,0),"")</f>
        <v/>
      </c>
      <c r="BI237" s="270" t="str">
        <f>_xlfn.IFNA(VLOOKUP(CONCATENATE(BI$4,$C237),'INSER DATA'!$A:$F,7,0),"")</f>
        <v/>
      </c>
      <c r="BJ237" s="270" t="str">
        <f>_xlfn.IFNA(VLOOKUP(CONCATENATE(BJ$4,$C237),'INSER DATA'!$A:$F,7,0),"")</f>
        <v/>
      </c>
      <c r="BK237" s="270" t="str">
        <f>_xlfn.IFNA(VLOOKUP(CONCATENATE(BK$4,$C237),'INSER DATA'!$A:$F,7,0),"")</f>
        <v/>
      </c>
      <c r="BL237" s="272"/>
      <c r="BM237" s="30"/>
      <c r="BN237" s="30"/>
      <c r="BO237" s="30"/>
      <c r="BP237" s="30"/>
      <c r="BQ237" s="30"/>
      <c r="BR237" s="30"/>
      <c r="BS237" s="30"/>
      <c r="BT237" s="30"/>
      <c r="BU237" s="30"/>
      <c r="BV237" s="30"/>
      <c r="BW237" s="30"/>
      <c r="BX237" s="30"/>
      <c r="BY237" s="30"/>
      <c r="BZ237" s="30"/>
      <c r="CA237" s="30"/>
      <c r="CB237" s="30"/>
      <c r="CC237" s="30"/>
      <c r="CD237" s="30"/>
      <c r="CE237" s="30"/>
      <c r="CF237" s="30"/>
      <c r="CG237" s="30"/>
      <c r="CH237" s="30"/>
      <c r="CI237" s="30"/>
      <c r="CJ237" s="30"/>
      <c r="CK237" s="30"/>
      <c r="CL237" s="30"/>
      <c r="CM237" s="30"/>
      <c r="CN237" s="30"/>
      <c r="CO237" s="30"/>
      <c r="CP237" s="30"/>
      <c r="CQ237" s="30"/>
      <c r="CR237" s="30"/>
      <c r="CS237" s="30"/>
      <c r="CT237" s="30"/>
      <c r="CU237" s="30"/>
      <c r="CV237" s="30"/>
      <c r="CW237" s="30"/>
      <c r="CX237" s="30"/>
      <c r="CY237" s="30"/>
      <c r="CZ237" s="30"/>
      <c r="DA237" s="30"/>
    </row>
    <row r="238" spans="1:105" ht="19.2" thickTop="1" thickBot="1" x14ac:dyDescent="0.4">
      <c r="A238" s="30"/>
      <c r="B238" s="30"/>
      <c r="C238" s="356" t="s">
        <v>799</v>
      </c>
      <c r="D238" s="355" t="s">
        <v>796</v>
      </c>
      <c r="E238" s="35" t="str">
        <f>_xlfn.XLOOKUP(Tabella4[[#This Row],[NOME]],'ROSE SQUADRE'!$N$3:$N$253,'ROSE SQUADRE'!$O$3:$O$253,"")</f>
        <v>AC ASPARAGHESE</v>
      </c>
      <c r="F238" s="36" t="s">
        <v>161</v>
      </c>
      <c r="G238" s="43">
        <v>7</v>
      </c>
      <c r="H238" s="43">
        <v>8</v>
      </c>
      <c r="I238" s="44">
        <f t="shared" si="19"/>
        <v>1</v>
      </c>
      <c r="J238" s="37">
        <f t="shared" si="20"/>
        <v>3</v>
      </c>
      <c r="K238" s="178">
        <f t="shared" si="21"/>
        <v>6.333333333333333</v>
      </c>
      <c r="L238" s="178">
        <f t="shared" si="22"/>
        <v>6.666666666666667</v>
      </c>
      <c r="M238" s="179">
        <f t="shared" si="23"/>
        <v>20</v>
      </c>
      <c r="N238" s="45">
        <f t="shared" ca="1" si="24"/>
        <v>0</v>
      </c>
      <c r="O238" s="40">
        <f>SUMIF(Tabella1[Nome],Tabella4[[#This Row],[NOME]],Tabella1[Gf])</f>
        <v>0</v>
      </c>
      <c r="P238" s="40">
        <f>-(SUMIF(Tabella1[Nome],Tabella4[[#This Row],[NOME]],Tabella1[Gs]))</f>
        <v>0</v>
      </c>
      <c r="Q238" s="40">
        <f>SUMIF(Tabella1[Nome],Tabella4[[#This Row],[NOME]],Tabella1[Rp])</f>
        <v>0</v>
      </c>
      <c r="R238" s="40">
        <f>SUMIF(Tabella1[Nome],Tabella4[[#This Row],[NOME]],Tabella1[Rs])</f>
        <v>0</v>
      </c>
      <c r="S238" s="40">
        <f>SUMIF(Tabella1[Nome],Tabella4[[#This Row],[NOME]],Tabella1[Rf])</f>
        <v>0</v>
      </c>
      <c r="T238" s="40">
        <f>SUMIF(Tabella1[Nome],Tabella4[[#This Row],[NOME]],Tabella1[Au])</f>
        <v>0</v>
      </c>
      <c r="U238" s="41">
        <f>SUMIF(Tabella1[Nome],Tabella4[[#This Row],[NOME]],Tabella1[Amm])</f>
        <v>0</v>
      </c>
      <c r="V238" s="42">
        <f>SUMIF(Tabella1[Nome],Tabella4[[#This Row],[NOME]],Tabella1[Esp])</f>
        <v>0</v>
      </c>
      <c r="W238" s="40">
        <f>SUMIF(Tabella1[Nome],Tabella4[[#This Row],[NOME]],Tabella1[Ass])</f>
        <v>1</v>
      </c>
      <c r="X238" s="40">
        <f>SUMIF(Tabella1[Nome],Tabella4[[#This Row],[NOME]],Tabella1[Gdv])</f>
        <v>0</v>
      </c>
      <c r="Y238" s="40">
        <f>SUMIF(Tabella1[Nome],Tabella4[[#This Row],[NOME]],Tabella1[cl sh])</f>
        <v>0</v>
      </c>
      <c r="Z238" s="270">
        <f>_xlfn.IFNA(_xlfn.XLOOKUP(CONCATENATE(Z$4,$C238),Tabella1[CONC X VOTI IN TAB GIOC],Tabella1[Voto],""),"")</f>
        <v>6.5</v>
      </c>
      <c r="AA238" s="270">
        <f>_xlfn.IFNA(_xlfn.XLOOKUP(CONCATENATE(AA$4,$C238),Tabella1[CONC X VOTI IN TAB GIOC],Tabella1[Voto],""),"")</f>
        <v>6</v>
      </c>
      <c r="AB238" s="270">
        <f>_xlfn.IFNA(_xlfn.XLOOKUP(CONCATENATE(AB$4,$C238),Tabella1[CONC X VOTI IN TAB GIOC],Tabella1[Voto]),"")</f>
        <v>6.5</v>
      </c>
      <c r="AC238" s="270" t="str" cm="1">
        <f t="array" ref="AC238">_xlfn.IFNA(_xlfn.XLOOKUP(CONCATENATE(AC$4,$C238),INDEX(Tabella1[],0,MATCH("CONC X VOTI IN TAB GIOC",Tabella1[#Headers],0)),INDEX(Tabella1[],0,MATCH("Voto",Tabella1[#Headers],0))),"")</f>
        <v/>
      </c>
      <c r="AD238" s="270" t="str">
        <f>_xlfn.IFNA(_xlfn.XLOOKUP(CONCATENATE(AD$4,$C238),Tabella1[CONC X VOTI IN TAB GIOC],Tabella1[Voto]),"")</f>
        <v/>
      </c>
      <c r="AE238" s="270" t="str">
        <f>_xlfn.IFNA(VLOOKUP(CONCATENATE(AE$4,$C238),'INSER DATA'!$A:$F,6,0),"")</f>
        <v/>
      </c>
      <c r="AF238" s="270" t="str">
        <f>_xlfn.IFNA(VLOOKUP(CONCATENATE(AF$4,$C238),'INSER DATA'!$A:$F,6,0),"")</f>
        <v/>
      </c>
      <c r="AG238" s="270" t="str">
        <f>_xlfn.IFNA(VLOOKUP(CONCATENATE(AG$4,$C238),'INSER DATA'!$A:$F,6,0),"")</f>
        <v/>
      </c>
      <c r="AH238" s="270" t="str">
        <f>_xlfn.IFNA(VLOOKUP(CONCATENATE(AH$4,$C238),'INSER DATA'!$A:$F,7,0),"")</f>
        <v/>
      </c>
      <c r="AI238" s="270" t="str">
        <f>_xlfn.IFNA(VLOOKUP(CONCATENATE(AI$4,$C238),'INSER DATA'!$A:$F,7,0),"")</f>
        <v/>
      </c>
      <c r="AJ238" s="270" t="str">
        <f>_xlfn.IFNA(VLOOKUP(CONCATENATE(AJ$4,$C238),'INSER DATA'!$A:$F,7,0),"")</f>
        <v/>
      </c>
      <c r="AK238" s="270" t="str">
        <f>_xlfn.IFNA(VLOOKUP(CONCATENATE(AK$4,$C238),'INSER DATA'!$A:$F,7,0),"")</f>
        <v/>
      </c>
      <c r="AL238" s="270" t="str">
        <f>_xlfn.IFNA(VLOOKUP(CONCATENATE(AL$4,$C238),'INSER DATA'!$A:$F,7,0),"")</f>
        <v/>
      </c>
      <c r="AM238" s="270" t="str">
        <f>_xlfn.IFNA(VLOOKUP(CONCATENATE(AM$4,$C238),'INSER DATA'!$A:$F,7,0),"")</f>
        <v/>
      </c>
      <c r="AN238" s="270" t="str">
        <f>_xlfn.IFNA(VLOOKUP(CONCATENATE(AN$4,$C238),'INSER DATA'!$A:$F,7,0),"")</f>
        <v/>
      </c>
      <c r="AO238" s="270" t="str">
        <f>_xlfn.IFNA(VLOOKUP(CONCATENATE(AO$4,$C238),'INSER DATA'!$A:$F,7,0),"")</f>
        <v/>
      </c>
      <c r="AP238" s="270" t="str">
        <f>_xlfn.IFNA(VLOOKUP(CONCATENATE(AP$4,$C238),'INSER DATA'!$A:$F,7,0),"")</f>
        <v/>
      </c>
      <c r="AQ238" s="270" t="str">
        <f>_xlfn.IFNA(VLOOKUP(CONCATENATE(AQ$4,$C238),'INSER DATA'!$A:$F,7,0),"")</f>
        <v/>
      </c>
      <c r="AR238" s="270" t="str">
        <f>_xlfn.IFNA(VLOOKUP(CONCATENATE(AR$4,$C238),'INSER DATA'!$A:$F,7,0),"")</f>
        <v/>
      </c>
      <c r="AS238" s="270" t="str">
        <f>_xlfn.IFNA(VLOOKUP(CONCATENATE(AS$4,$C238),'INSER DATA'!$A:$F,7,0),"")</f>
        <v/>
      </c>
      <c r="AT238" s="270" t="str">
        <f>_xlfn.IFNA(VLOOKUP(CONCATENATE(AT$4,$C238),'INSER DATA'!$A:$F,7,0),"")</f>
        <v/>
      </c>
      <c r="AU238" s="270" t="str">
        <f>_xlfn.IFNA(VLOOKUP(CONCATENATE(AU$4,$C238),'INSER DATA'!$A:$F,7,0),"")</f>
        <v/>
      </c>
      <c r="AV238" s="270" t="str">
        <f>_xlfn.IFNA(VLOOKUP(CONCATENATE(AV$4,$C238),'INSER DATA'!$A:$F,7,0),"")</f>
        <v/>
      </c>
      <c r="AW238" s="270" t="str">
        <f>_xlfn.IFNA(VLOOKUP(CONCATENATE(AW$4,$C238),'INSER DATA'!$A:$F,7,0),"")</f>
        <v/>
      </c>
      <c r="AX238" s="270" t="str">
        <f>_xlfn.IFNA(VLOOKUP(CONCATENATE(AX$4,$C238),'INSER DATA'!$A:$F,7,0),"")</f>
        <v/>
      </c>
      <c r="AY238" s="270" t="str">
        <f>_xlfn.IFNA(VLOOKUP(CONCATENATE(AY$4,$C238),'INSER DATA'!$A:$F,7,0),"")</f>
        <v/>
      </c>
      <c r="AZ238" s="270" t="str">
        <f>_xlfn.IFNA(VLOOKUP(CONCATENATE(AZ$4,$C238),'INSER DATA'!$A:$F,7,0),"")</f>
        <v/>
      </c>
      <c r="BA238" s="270" t="str">
        <f>_xlfn.IFNA(VLOOKUP(CONCATENATE(BA$4,$C238),'INSER DATA'!$A:$F,7,0),"")</f>
        <v/>
      </c>
      <c r="BB238" s="270" t="str">
        <f>_xlfn.IFNA(VLOOKUP(CONCATENATE(BB$4,$C238),'INSER DATA'!$A:$F,7,0),"")</f>
        <v/>
      </c>
      <c r="BC238" s="270" t="str">
        <f>_xlfn.IFNA(VLOOKUP(CONCATENATE(BC$4,$C238),'INSER DATA'!$A:$F,7,0),"")</f>
        <v/>
      </c>
      <c r="BD238" s="270" t="str">
        <f>_xlfn.IFNA(VLOOKUP(CONCATENATE(BD$4,$C238),'INSER DATA'!$A:$F,7,0),"")</f>
        <v/>
      </c>
      <c r="BE238" s="270" t="str">
        <f>_xlfn.IFNA(VLOOKUP(CONCATENATE(BE$4,$C238),'INSER DATA'!$A:$F,7,0),"")</f>
        <v/>
      </c>
      <c r="BF238" s="270" t="str">
        <f>_xlfn.IFNA(VLOOKUP(CONCATENATE(BF$4,$C238),'INSER DATA'!$A:$F,7,0),"")</f>
        <v/>
      </c>
      <c r="BG238" s="270" t="str">
        <f>_xlfn.IFNA(VLOOKUP(CONCATENATE(BG$4,$C238),'INSER DATA'!$A:$F,7,0),"")</f>
        <v/>
      </c>
      <c r="BH238" s="270" t="str">
        <f>_xlfn.IFNA(VLOOKUP(CONCATENATE(BH$4,$C238),'INSER DATA'!$A:$F,7,0),"")</f>
        <v/>
      </c>
      <c r="BI238" s="270" t="str">
        <f>_xlfn.IFNA(VLOOKUP(CONCATENATE(BI$4,$C238),'INSER DATA'!$A:$F,7,0),"")</f>
        <v/>
      </c>
      <c r="BJ238" s="270" t="str">
        <f>_xlfn.IFNA(VLOOKUP(CONCATENATE(BJ$4,$C238),'INSER DATA'!$A:$F,7,0),"")</f>
        <v/>
      </c>
      <c r="BK238" s="270" t="str">
        <f>_xlfn.IFNA(VLOOKUP(CONCATENATE(BK$4,$C238),'INSER DATA'!$A:$F,7,0),"")</f>
        <v/>
      </c>
      <c r="BL238" s="272"/>
      <c r="BM238" s="30"/>
      <c r="BN238" s="30"/>
      <c r="BO238" s="30"/>
      <c r="BP238" s="30"/>
      <c r="BQ238" s="30"/>
      <c r="BR238" s="30"/>
      <c r="BS238" s="30"/>
      <c r="BT238" s="30"/>
      <c r="BU238" s="30"/>
      <c r="BV238" s="30"/>
      <c r="BW238" s="30"/>
      <c r="BX238" s="30"/>
      <c r="BY238" s="30"/>
      <c r="BZ238" s="30"/>
      <c r="CA238" s="30"/>
      <c r="CB238" s="30"/>
      <c r="CC238" s="30"/>
      <c r="CD238" s="30"/>
      <c r="CE238" s="30"/>
      <c r="CF238" s="30"/>
      <c r="CG238" s="30"/>
      <c r="CH238" s="30"/>
      <c r="CI238" s="30"/>
      <c r="CJ238" s="30"/>
      <c r="CK238" s="30"/>
      <c r="CL238" s="30"/>
      <c r="CM238" s="30"/>
      <c r="CN238" s="30"/>
      <c r="CO238" s="30"/>
      <c r="CP238" s="30"/>
      <c r="CQ238" s="30"/>
      <c r="CR238" s="30"/>
      <c r="CS238" s="30"/>
      <c r="CT238" s="30"/>
      <c r="CU238" s="30"/>
      <c r="CV238" s="30"/>
      <c r="CW238" s="30"/>
      <c r="CX238" s="30"/>
      <c r="CY238" s="30"/>
      <c r="CZ238" s="30"/>
      <c r="DA238" s="30"/>
    </row>
    <row r="239" spans="1:105" ht="19.2" thickTop="1" thickBot="1" x14ac:dyDescent="0.4">
      <c r="A239" s="30"/>
      <c r="B239" s="30"/>
      <c r="C239" s="188" t="s">
        <v>800</v>
      </c>
      <c r="D239" s="187" t="s">
        <v>796</v>
      </c>
      <c r="E239" s="35" t="str">
        <f>_xlfn.XLOOKUP(Tabella4[[#This Row],[NOME]],'ROSE SQUADRE'!$N$3:$N$253,'ROSE SQUADRE'!$O$3:$O$253,"")</f>
        <v/>
      </c>
      <c r="F239" s="36" t="s">
        <v>161</v>
      </c>
      <c r="G239" s="43">
        <v>3</v>
      </c>
      <c r="H239" s="43">
        <v>3</v>
      </c>
      <c r="I239" s="44">
        <f t="shared" si="19"/>
        <v>0</v>
      </c>
      <c r="J239" s="37">
        <f t="shared" si="20"/>
        <v>4</v>
      </c>
      <c r="K239" s="38">
        <f t="shared" si="21"/>
        <v>5.875</v>
      </c>
      <c r="L239" s="38">
        <f t="shared" si="22"/>
        <v>5.75</v>
      </c>
      <c r="M239" s="39">
        <f t="shared" si="23"/>
        <v>23</v>
      </c>
      <c r="N239" s="45">
        <f t="shared" ca="1" si="24"/>
        <v>0</v>
      </c>
      <c r="O239" s="40">
        <f>SUMIF(Tabella1[Nome],Tabella4[[#This Row],[NOME]],Tabella1[Gf])</f>
        <v>0</v>
      </c>
      <c r="P239" s="40">
        <f>-(SUMIF(Tabella1[Nome],Tabella4[[#This Row],[NOME]],Tabella1[Gs]))</f>
        <v>0</v>
      </c>
      <c r="Q239" s="40">
        <f>SUMIF(Tabella1[Nome],Tabella4[[#This Row],[NOME]],Tabella1[Rp])</f>
        <v>0</v>
      </c>
      <c r="R239" s="40">
        <f>SUMIF(Tabella1[Nome],Tabella4[[#This Row],[NOME]],Tabella1[Rs])</f>
        <v>0</v>
      </c>
      <c r="S239" s="40">
        <f>SUMIF(Tabella1[Nome],Tabella4[[#This Row],[NOME]],Tabella1[Rf])</f>
        <v>0</v>
      </c>
      <c r="T239" s="40">
        <f>SUMIF(Tabella1[Nome],Tabella4[[#This Row],[NOME]],Tabella1[Au])</f>
        <v>0</v>
      </c>
      <c r="U239" s="41">
        <f>SUMIF(Tabella1[Nome],Tabella4[[#This Row],[NOME]],Tabella1[Amm])</f>
        <v>1</v>
      </c>
      <c r="V239" s="42">
        <f>SUMIF(Tabella1[Nome],Tabella4[[#This Row],[NOME]],Tabella1[Esp])</f>
        <v>0</v>
      </c>
      <c r="W239" s="40">
        <f>SUMIF(Tabella1[Nome],Tabella4[[#This Row],[NOME]],Tabella1[Ass])</f>
        <v>0</v>
      </c>
      <c r="X239" s="40">
        <f>SUMIF(Tabella1[Nome],Tabella4[[#This Row],[NOME]],Tabella1[Gdv])</f>
        <v>0</v>
      </c>
      <c r="Y239" s="40">
        <f>SUMIF(Tabella1[Nome],Tabella4[[#This Row],[NOME]],Tabella1[cl sh])</f>
        <v>0</v>
      </c>
      <c r="Z239" s="270">
        <f>_xlfn.IFNA(_xlfn.XLOOKUP(CONCATENATE(Z$4,$C239),Tabella1[CONC X VOTI IN TAB GIOC],Tabella1[Voto],""),"")</f>
        <v>6</v>
      </c>
      <c r="AA239" s="270">
        <f>_xlfn.IFNA(_xlfn.XLOOKUP(CONCATENATE(AA$4,$C239),Tabella1[CONC X VOTI IN TAB GIOC],Tabella1[Voto],""),"")</f>
        <v>6.5</v>
      </c>
      <c r="AB239" s="270">
        <f>_xlfn.IFNA(_xlfn.XLOOKUP(CONCATENATE(AB$4,$C239),Tabella1[CONC X VOTI IN TAB GIOC],Tabella1[Voto]),"")</f>
        <v>5.5</v>
      </c>
      <c r="AC239" s="270" cm="1">
        <f t="array" ref="AC239">_xlfn.IFNA(_xlfn.XLOOKUP(CONCATENATE(AC$4,$C239),INDEX(Tabella1[],0,MATCH("CONC X VOTI IN TAB GIOC",Tabella1[#Headers],0)),INDEX(Tabella1[],0,MATCH("Voto",Tabella1[#Headers],0))),"")</f>
        <v>5.5</v>
      </c>
      <c r="AD239" s="270" t="str">
        <f>_xlfn.IFNA(_xlfn.XLOOKUP(CONCATENATE(AD$4,$C239),Tabella1[CONC X VOTI IN TAB GIOC],Tabella1[Voto]),"")</f>
        <v/>
      </c>
      <c r="AE239" s="270" t="str">
        <f>_xlfn.IFNA(VLOOKUP(CONCATENATE(AE$4,$C239),'INSER DATA'!$A:$F,6,0),"")</f>
        <v/>
      </c>
      <c r="AF239" s="270" t="str">
        <f>_xlfn.IFNA(VLOOKUP(CONCATENATE(AF$4,$C239),'INSER DATA'!$A:$F,6,0),"")</f>
        <v/>
      </c>
      <c r="AG239" s="270" t="str">
        <f>_xlfn.IFNA(VLOOKUP(CONCATENATE(AG$4,$C239),'INSER DATA'!$A:$F,6,0),"")</f>
        <v/>
      </c>
      <c r="AH239" s="270" t="str">
        <f>_xlfn.IFNA(VLOOKUP(CONCATENATE(AH$4,$C239),'INSER DATA'!$A:$F,7,0),"")</f>
        <v/>
      </c>
      <c r="AI239" s="270" t="str">
        <f>_xlfn.IFNA(VLOOKUP(CONCATENATE(AI$4,$C239),'INSER DATA'!$A:$F,7,0),"")</f>
        <v/>
      </c>
      <c r="AJ239" s="270" t="str">
        <f>_xlfn.IFNA(VLOOKUP(CONCATENATE(AJ$4,$C239),'INSER DATA'!$A:$F,7,0),"")</f>
        <v/>
      </c>
      <c r="AK239" s="270" t="str">
        <f>_xlfn.IFNA(VLOOKUP(CONCATENATE(AK$4,$C239),'INSER DATA'!$A:$F,7,0),"")</f>
        <v/>
      </c>
      <c r="AL239" s="270" t="str">
        <f>_xlfn.IFNA(VLOOKUP(CONCATENATE(AL$4,$C239),'INSER DATA'!$A:$F,7,0),"")</f>
        <v/>
      </c>
      <c r="AM239" s="270" t="str">
        <f>_xlfn.IFNA(VLOOKUP(CONCATENATE(AM$4,$C239),'INSER DATA'!$A:$F,7,0),"")</f>
        <v/>
      </c>
      <c r="AN239" s="270" t="str">
        <f>_xlfn.IFNA(VLOOKUP(CONCATENATE(AN$4,$C239),'INSER DATA'!$A:$F,7,0),"")</f>
        <v/>
      </c>
      <c r="AO239" s="270" t="str">
        <f>_xlfn.IFNA(VLOOKUP(CONCATENATE(AO$4,$C239),'INSER DATA'!$A:$F,7,0),"")</f>
        <v/>
      </c>
      <c r="AP239" s="270" t="str">
        <f>_xlfn.IFNA(VLOOKUP(CONCATENATE(AP$4,$C239),'INSER DATA'!$A:$F,7,0),"")</f>
        <v/>
      </c>
      <c r="AQ239" s="270" t="str">
        <f>_xlfn.IFNA(VLOOKUP(CONCATENATE(AQ$4,$C239),'INSER DATA'!$A:$F,7,0),"")</f>
        <v/>
      </c>
      <c r="AR239" s="270" t="str">
        <f>_xlfn.IFNA(VLOOKUP(CONCATENATE(AR$4,$C239),'INSER DATA'!$A:$F,7,0),"")</f>
        <v/>
      </c>
      <c r="AS239" s="270" t="str">
        <f>_xlfn.IFNA(VLOOKUP(CONCATENATE(AS$4,$C239),'INSER DATA'!$A:$F,7,0),"")</f>
        <v/>
      </c>
      <c r="AT239" s="270" t="str">
        <f>_xlfn.IFNA(VLOOKUP(CONCATENATE(AT$4,$C239),'INSER DATA'!$A:$F,7,0),"")</f>
        <v/>
      </c>
      <c r="AU239" s="270" t="str">
        <f>_xlfn.IFNA(VLOOKUP(CONCATENATE(AU$4,$C239),'INSER DATA'!$A:$F,7,0),"")</f>
        <v/>
      </c>
      <c r="AV239" s="270" t="str">
        <f>_xlfn.IFNA(VLOOKUP(CONCATENATE(AV$4,$C239),'INSER DATA'!$A:$F,7,0),"")</f>
        <v/>
      </c>
      <c r="AW239" s="270" t="str">
        <f>_xlfn.IFNA(VLOOKUP(CONCATENATE(AW$4,$C239),'INSER DATA'!$A:$F,7,0),"")</f>
        <v/>
      </c>
      <c r="AX239" s="270" t="str">
        <f>_xlfn.IFNA(VLOOKUP(CONCATENATE(AX$4,$C239),'INSER DATA'!$A:$F,7,0),"")</f>
        <v/>
      </c>
      <c r="AY239" s="270" t="str">
        <f>_xlfn.IFNA(VLOOKUP(CONCATENATE(AY$4,$C239),'INSER DATA'!$A:$F,7,0),"")</f>
        <v/>
      </c>
      <c r="AZ239" s="270" t="str">
        <f>_xlfn.IFNA(VLOOKUP(CONCATENATE(AZ$4,$C239),'INSER DATA'!$A:$F,7,0),"")</f>
        <v/>
      </c>
      <c r="BA239" s="270" t="str">
        <f>_xlfn.IFNA(VLOOKUP(CONCATENATE(BA$4,$C239),'INSER DATA'!$A:$F,7,0),"")</f>
        <v/>
      </c>
      <c r="BB239" s="270" t="str">
        <f>_xlfn.IFNA(VLOOKUP(CONCATENATE(BB$4,$C239),'INSER DATA'!$A:$F,7,0),"")</f>
        <v/>
      </c>
      <c r="BC239" s="270" t="str">
        <f>_xlfn.IFNA(VLOOKUP(CONCATENATE(BC$4,$C239),'INSER DATA'!$A:$F,7,0),"")</f>
        <v/>
      </c>
      <c r="BD239" s="270" t="str">
        <f>_xlfn.IFNA(VLOOKUP(CONCATENATE(BD$4,$C239),'INSER DATA'!$A:$F,7,0),"")</f>
        <v/>
      </c>
      <c r="BE239" s="270" t="str">
        <f>_xlfn.IFNA(VLOOKUP(CONCATENATE(BE$4,$C239),'INSER DATA'!$A:$F,7,0),"")</f>
        <v/>
      </c>
      <c r="BF239" s="270" t="str">
        <f>_xlfn.IFNA(VLOOKUP(CONCATENATE(BF$4,$C239),'INSER DATA'!$A:$F,7,0),"")</f>
        <v/>
      </c>
      <c r="BG239" s="270" t="str">
        <f>_xlfn.IFNA(VLOOKUP(CONCATENATE(BG$4,$C239),'INSER DATA'!$A:$F,7,0),"")</f>
        <v/>
      </c>
      <c r="BH239" s="270" t="str">
        <f>_xlfn.IFNA(VLOOKUP(CONCATENATE(BH$4,$C239),'INSER DATA'!$A:$F,7,0),"")</f>
        <v/>
      </c>
      <c r="BI239" s="270" t="str">
        <f>_xlfn.IFNA(VLOOKUP(CONCATENATE(BI$4,$C239),'INSER DATA'!$A:$F,7,0),"")</f>
        <v/>
      </c>
      <c r="BJ239" s="270" t="str">
        <f>_xlfn.IFNA(VLOOKUP(CONCATENATE(BJ$4,$C239),'INSER DATA'!$A:$F,7,0),"")</f>
        <v/>
      </c>
      <c r="BK239" s="270" t="str">
        <f>_xlfn.IFNA(VLOOKUP(CONCATENATE(BK$4,$C239),'INSER DATA'!$A:$F,7,0),"")</f>
        <v/>
      </c>
      <c r="BL239" s="272"/>
      <c r="BM239" s="30"/>
      <c r="BN239" s="30"/>
      <c r="BO239" s="30"/>
      <c r="BP239" s="30"/>
      <c r="BQ239" s="30"/>
      <c r="BR239" s="30"/>
      <c r="BS239" s="30"/>
      <c r="BT239" s="30"/>
      <c r="BU239" s="30"/>
      <c r="BV239" s="30"/>
      <c r="BW239" s="30"/>
      <c r="BX239" s="30"/>
      <c r="BY239" s="30"/>
      <c r="BZ239" s="30"/>
      <c r="CA239" s="30"/>
      <c r="CB239" s="30"/>
      <c r="CC239" s="30"/>
      <c r="CD239" s="30"/>
      <c r="CE239" s="30"/>
      <c r="CF239" s="30"/>
      <c r="CG239" s="30"/>
      <c r="CH239" s="30"/>
      <c r="CI239" s="30"/>
      <c r="CJ239" s="30"/>
      <c r="CK239" s="30"/>
      <c r="CL239" s="30"/>
      <c r="CM239" s="30"/>
      <c r="CN239" s="30"/>
      <c r="CO239" s="30"/>
      <c r="CP239" s="30"/>
      <c r="CQ239" s="30"/>
      <c r="CR239" s="30"/>
      <c r="CS239" s="30"/>
      <c r="CT239" s="30"/>
      <c r="CU239" s="30"/>
      <c r="CV239" s="30"/>
      <c r="CW239" s="30"/>
      <c r="CX239" s="30"/>
      <c r="CY239" s="30"/>
      <c r="CZ239" s="30"/>
      <c r="DA239" s="30"/>
    </row>
    <row r="240" spans="1:105" ht="19.2" thickTop="1" thickBot="1" x14ac:dyDescent="0.4">
      <c r="A240" s="30"/>
      <c r="B240" s="30"/>
      <c r="C240" s="188" t="s">
        <v>339</v>
      </c>
      <c r="D240" s="46" t="s">
        <v>796</v>
      </c>
      <c r="E240" s="35" t="str">
        <f>_xlfn.XLOOKUP(Tabella4[[#This Row],[NOME]],'ROSE SQUADRE'!$N$3:$N$253,'ROSE SQUADRE'!$O$3:$O$253,"")</f>
        <v/>
      </c>
      <c r="F240" s="36" t="s">
        <v>162</v>
      </c>
      <c r="G240" s="43">
        <v>6</v>
      </c>
      <c r="H240" s="43">
        <v>7</v>
      </c>
      <c r="I240" s="44">
        <f t="shared" si="19"/>
        <v>1</v>
      </c>
      <c r="J240" s="37">
        <f t="shared" si="20"/>
        <v>2</v>
      </c>
      <c r="K240" s="38">
        <f t="shared" si="21"/>
        <v>6.25</v>
      </c>
      <c r="L240" s="38">
        <f t="shared" si="22"/>
        <v>6.25</v>
      </c>
      <c r="M240" s="39">
        <f t="shared" si="23"/>
        <v>12.5</v>
      </c>
      <c r="N240" s="45">
        <f t="shared" ca="1" si="24"/>
        <v>0</v>
      </c>
      <c r="O240" s="40">
        <f>SUMIF(Tabella1[Nome],Tabella4[[#This Row],[NOME]],Tabella1[Gf])</f>
        <v>0</v>
      </c>
      <c r="P240" s="40">
        <f>-(SUMIF(Tabella1[Nome],Tabella4[[#This Row],[NOME]],Tabella1[Gs]))</f>
        <v>0</v>
      </c>
      <c r="Q240" s="40">
        <f>SUMIF(Tabella1[Nome],Tabella4[[#This Row],[NOME]],Tabella1[Rp])</f>
        <v>0</v>
      </c>
      <c r="R240" s="40">
        <f>SUMIF(Tabella1[Nome],Tabella4[[#This Row],[NOME]],Tabella1[Rs])</f>
        <v>0</v>
      </c>
      <c r="S240" s="40">
        <f>SUMIF(Tabella1[Nome],Tabella4[[#This Row],[NOME]],Tabella1[Rf])</f>
        <v>0</v>
      </c>
      <c r="T240" s="40">
        <f>SUMIF(Tabella1[Nome],Tabella4[[#This Row],[NOME]],Tabella1[Au])</f>
        <v>0</v>
      </c>
      <c r="U240" s="41">
        <f>SUMIF(Tabella1[Nome],Tabella4[[#This Row],[NOME]],Tabella1[Amm])</f>
        <v>0</v>
      </c>
      <c r="V240" s="42">
        <f>SUMIF(Tabella1[Nome],Tabella4[[#This Row],[NOME]],Tabella1[Esp])</f>
        <v>0</v>
      </c>
      <c r="W240" s="40">
        <f>SUMIF(Tabella1[Nome],Tabella4[[#This Row],[NOME]],Tabella1[Ass])</f>
        <v>0</v>
      </c>
      <c r="X240" s="40">
        <f>SUMIF(Tabella1[Nome],Tabella4[[#This Row],[NOME]],Tabella1[Gdv])</f>
        <v>0</v>
      </c>
      <c r="Y240" s="40">
        <f>SUMIF(Tabella1[Nome],Tabella4[[#This Row],[NOME]],Tabella1[cl sh])</f>
        <v>0</v>
      </c>
      <c r="Z240" s="270">
        <f>_xlfn.IFNA(_xlfn.XLOOKUP(CONCATENATE(Z$4,$C240),Tabella1[CONC X VOTI IN TAB GIOC],Tabella1[Voto],""),"")</f>
        <v>6.5</v>
      </c>
      <c r="AA240" s="270">
        <f>_xlfn.IFNA(_xlfn.XLOOKUP(CONCATENATE(AA$4,$C240),Tabella1[CONC X VOTI IN TAB GIOC],Tabella1[Voto],""),"")</f>
        <v>6</v>
      </c>
      <c r="AB240" s="270" t="str">
        <f>_xlfn.IFNA(_xlfn.XLOOKUP(CONCATENATE(AB$4,$C240),Tabella1[CONC X VOTI IN TAB GIOC],Tabella1[Voto]),"")</f>
        <v/>
      </c>
      <c r="AC240" s="270" t="str" cm="1">
        <f t="array" ref="AC240">_xlfn.IFNA(_xlfn.XLOOKUP(CONCATENATE(AC$4,$C240),INDEX(Tabella1[],0,MATCH("CONC X VOTI IN TAB GIOC",Tabella1[#Headers],0)),INDEX(Tabella1[],0,MATCH("Voto",Tabella1[#Headers],0))),"")</f>
        <v/>
      </c>
      <c r="AD240" s="270" t="str">
        <f>_xlfn.IFNA(_xlfn.XLOOKUP(CONCATENATE(AD$4,$C240),Tabella1[CONC X VOTI IN TAB GIOC],Tabella1[Voto]),"")</f>
        <v/>
      </c>
      <c r="AE240" s="270" t="str">
        <f>_xlfn.IFNA(VLOOKUP(CONCATENATE(AE$4,$C240),'INSER DATA'!$A:$F,6,0),"")</f>
        <v/>
      </c>
      <c r="AF240" s="270" t="str">
        <f>_xlfn.IFNA(VLOOKUP(CONCATENATE(AF$4,$C240),'INSER DATA'!$A:$F,6,0),"")</f>
        <v/>
      </c>
      <c r="AG240" s="270" t="str">
        <f>_xlfn.IFNA(VLOOKUP(CONCATENATE(AG$4,$C240),'INSER DATA'!$A:$F,6,0),"")</f>
        <v/>
      </c>
      <c r="AH240" s="270" t="str">
        <f>_xlfn.IFNA(VLOOKUP(CONCATENATE(AH$4,$C240),'INSER DATA'!$A:$F,7,0),"")</f>
        <v/>
      </c>
      <c r="AI240" s="270" t="str">
        <f>_xlfn.IFNA(VLOOKUP(CONCATENATE(AI$4,$C240),'INSER DATA'!$A:$F,7,0),"")</f>
        <v/>
      </c>
      <c r="AJ240" s="270" t="str">
        <f>_xlfn.IFNA(VLOOKUP(CONCATENATE(AJ$4,$C240),'INSER DATA'!$A:$F,7,0),"")</f>
        <v/>
      </c>
      <c r="AK240" s="270" t="str">
        <f>_xlfn.IFNA(VLOOKUP(CONCATENATE(AK$4,$C240),'INSER DATA'!$A:$F,7,0),"")</f>
        <v/>
      </c>
      <c r="AL240" s="270" t="str">
        <f>_xlfn.IFNA(VLOOKUP(CONCATENATE(AL$4,$C240),'INSER DATA'!$A:$F,7,0),"")</f>
        <v/>
      </c>
      <c r="AM240" s="270" t="str">
        <f>_xlfn.IFNA(VLOOKUP(CONCATENATE(AM$4,$C240),'INSER DATA'!$A:$F,7,0),"")</f>
        <v/>
      </c>
      <c r="AN240" s="270" t="str">
        <f>_xlfn.IFNA(VLOOKUP(CONCATENATE(AN$4,$C240),'INSER DATA'!$A:$F,7,0),"")</f>
        <v/>
      </c>
      <c r="AO240" s="270" t="str">
        <f>_xlfn.IFNA(VLOOKUP(CONCATENATE(AO$4,$C240),'INSER DATA'!$A:$F,7,0),"")</f>
        <v/>
      </c>
      <c r="AP240" s="270" t="str">
        <f>_xlfn.IFNA(VLOOKUP(CONCATENATE(AP$4,$C240),'INSER DATA'!$A:$F,7,0),"")</f>
        <v/>
      </c>
      <c r="AQ240" s="270" t="str">
        <f>_xlfn.IFNA(VLOOKUP(CONCATENATE(AQ$4,$C240),'INSER DATA'!$A:$F,7,0),"")</f>
        <v/>
      </c>
      <c r="AR240" s="270" t="str">
        <f>_xlfn.IFNA(VLOOKUP(CONCATENATE(AR$4,$C240),'INSER DATA'!$A:$F,7,0),"")</f>
        <v/>
      </c>
      <c r="AS240" s="270" t="str">
        <f>_xlfn.IFNA(VLOOKUP(CONCATENATE(AS$4,$C240),'INSER DATA'!$A:$F,7,0),"")</f>
        <v/>
      </c>
      <c r="AT240" s="270" t="str">
        <f>_xlfn.IFNA(VLOOKUP(CONCATENATE(AT$4,$C240),'INSER DATA'!$A:$F,7,0),"")</f>
        <v/>
      </c>
      <c r="AU240" s="270" t="str">
        <f>_xlfn.IFNA(VLOOKUP(CONCATENATE(AU$4,$C240),'INSER DATA'!$A:$F,7,0),"")</f>
        <v/>
      </c>
      <c r="AV240" s="270" t="str">
        <f>_xlfn.IFNA(VLOOKUP(CONCATENATE(AV$4,$C240),'INSER DATA'!$A:$F,7,0),"")</f>
        <v/>
      </c>
      <c r="AW240" s="270" t="str">
        <f>_xlfn.IFNA(VLOOKUP(CONCATENATE(AW$4,$C240),'INSER DATA'!$A:$F,7,0),"")</f>
        <v/>
      </c>
      <c r="AX240" s="270" t="str">
        <f>_xlfn.IFNA(VLOOKUP(CONCATENATE(AX$4,$C240),'INSER DATA'!$A:$F,7,0),"")</f>
        <v/>
      </c>
      <c r="AY240" s="270" t="str">
        <f>_xlfn.IFNA(VLOOKUP(CONCATENATE(AY$4,$C240),'INSER DATA'!$A:$F,7,0),"")</f>
        <v/>
      </c>
      <c r="AZ240" s="270" t="str">
        <f>_xlfn.IFNA(VLOOKUP(CONCATENATE(AZ$4,$C240),'INSER DATA'!$A:$F,7,0),"")</f>
        <v/>
      </c>
      <c r="BA240" s="270" t="str">
        <f>_xlfn.IFNA(VLOOKUP(CONCATENATE(BA$4,$C240),'INSER DATA'!$A:$F,7,0),"")</f>
        <v/>
      </c>
      <c r="BB240" s="270" t="str">
        <f>_xlfn.IFNA(VLOOKUP(CONCATENATE(BB$4,$C240),'INSER DATA'!$A:$F,7,0),"")</f>
        <v/>
      </c>
      <c r="BC240" s="270" t="str">
        <f>_xlfn.IFNA(VLOOKUP(CONCATENATE(BC$4,$C240),'INSER DATA'!$A:$F,7,0),"")</f>
        <v/>
      </c>
      <c r="BD240" s="270" t="str">
        <f>_xlfn.IFNA(VLOOKUP(CONCATENATE(BD$4,$C240),'INSER DATA'!$A:$F,7,0),"")</f>
        <v/>
      </c>
      <c r="BE240" s="270" t="str">
        <f>_xlfn.IFNA(VLOOKUP(CONCATENATE(BE$4,$C240),'INSER DATA'!$A:$F,7,0),"")</f>
        <v/>
      </c>
      <c r="BF240" s="270" t="str">
        <f>_xlfn.IFNA(VLOOKUP(CONCATENATE(BF$4,$C240),'INSER DATA'!$A:$F,7,0),"")</f>
        <v/>
      </c>
      <c r="BG240" s="270" t="str">
        <f>_xlfn.IFNA(VLOOKUP(CONCATENATE(BG$4,$C240),'INSER DATA'!$A:$F,7,0),"")</f>
        <v/>
      </c>
      <c r="BH240" s="270" t="str">
        <f>_xlfn.IFNA(VLOOKUP(CONCATENATE(BH$4,$C240),'INSER DATA'!$A:$F,7,0),"")</f>
        <v/>
      </c>
      <c r="BI240" s="270" t="str">
        <f>_xlfn.IFNA(VLOOKUP(CONCATENATE(BI$4,$C240),'INSER DATA'!$A:$F,7,0),"")</f>
        <v/>
      </c>
      <c r="BJ240" s="270" t="str">
        <f>_xlfn.IFNA(VLOOKUP(CONCATENATE(BJ$4,$C240),'INSER DATA'!$A:$F,7,0),"")</f>
        <v/>
      </c>
      <c r="BK240" s="270" t="str">
        <f>_xlfn.IFNA(VLOOKUP(CONCATENATE(BK$4,$C240),'INSER DATA'!$A:$F,7,0),"")</f>
        <v/>
      </c>
      <c r="BL240" s="272"/>
      <c r="BM240" s="30"/>
      <c r="BN240" s="30"/>
      <c r="BO240" s="30"/>
      <c r="BP240" s="30"/>
      <c r="BQ240" s="30"/>
      <c r="BR240" s="30"/>
      <c r="BS240" s="30"/>
      <c r="BT240" s="30"/>
      <c r="BU240" s="30"/>
      <c r="BV240" s="30"/>
      <c r="BW240" s="30"/>
      <c r="BX240" s="30"/>
      <c r="BY240" s="30"/>
      <c r="BZ240" s="30"/>
      <c r="CA240" s="30"/>
      <c r="CB240" s="30"/>
      <c r="CC240" s="30"/>
      <c r="CD240" s="30"/>
      <c r="CE240" s="30"/>
      <c r="CF240" s="30"/>
      <c r="CG240" s="30"/>
      <c r="CH240" s="30"/>
      <c r="CI240" s="30"/>
      <c r="CJ240" s="30"/>
      <c r="CK240" s="30"/>
      <c r="CL240" s="30"/>
      <c r="CM240" s="30"/>
      <c r="CN240" s="30"/>
      <c r="CO240" s="30"/>
      <c r="CP240" s="30"/>
      <c r="CQ240" s="30"/>
      <c r="CR240" s="30"/>
      <c r="CS240" s="30"/>
      <c r="CT240" s="30"/>
      <c r="CU240" s="30"/>
      <c r="CV240" s="30"/>
      <c r="CW240" s="30"/>
      <c r="CX240" s="30"/>
      <c r="CY240" s="30"/>
      <c r="CZ240" s="30"/>
      <c r="DA240" s="30"/>
    </row>
    <row r="241" spans="1:105" ht="19.2" thickTop="1" thickBot="1" x14ac:dyDescent="0.4">
      <c r="A241" s="30"/>
      <c r="B241" s="30"/>
      <c r="C241" s="188" t="s">
        <v>245</v>
      </c>
      <c r="D241" s="187" t="s">
        <v>796</v>
      </c>
      <c r="E241" s="35" t="str">
        <f>_xlfn.XLOOKUP(Tabella4[[#This Row],[NOME]],'ROSE SQUADRE'!$N$3:$N$253,'ROSE SQUADRE'!$O$3:$O$253,"")</f>
        <v/>
      </c>
      <c r="F241" s="36" t="s">
        <v>161</v>
      </c>
      <c r="G241" s="43">
        <v>6</v>
      </c>
      <c r="H241" s="43">
        <v>6</v>
      </c>
      <c r="I241" s="44">
        <f t="shared" si="19"/>
        <v>0</v>
      </c>
      <c r="J241" s="37">
        <f t="shared" si="20"/>
        <v>1</v>
      </c>
      <c r="K241" s="178">
        <f t="shared" si="21"/>
        <v>6</v>
      </c>
      <c r="L241" s="178">
        <f t="shared" si="22"/>
        <v>6</v>
      </c>
      <c r="M241" s="179">
        <f t="shared" si="23"/>
        <v>6</v>
      </c>
      <c r="N241" s="45">
        <f t="shared" ca="1" si="24"/>
        <v>0</v>
      </c>
      <c r="O241" s="40">
        <f>SUMIF(Tabella1[Nome],Tabella4[[#This Row],[NOME]],Tabella1[Gf])</f>
        <v>0</v>
      </c>
      <c r="P241" s="40">
        <f>-(SUMIF(Tabella1[Nome],Tabella4[[#This Row],[NOME]],Tabella1[Gs]))</f>
        <v>0</v>
      </c>
      <c r="Q241" s="40">
        <f>SUMIF(Tabella1[Nome],Tabella4[[#This Row],[NOME]],Tabella1[Rp])</f>
        <v>0</v>
      </c>
      <c r="R241" s="40">
        <f>SUMIF(Tabella1[Nome],Tabella4[[#This Row],[NOME]],Tabella1[Rs])</f>
        <v>0</v>
      </c>
      <c r="S241" s="40">
        <f>SUMIF(Tabella1[Nome],Tabella4[[#This Row],[NOME]],Tabella1[Rf])</f>
        <v>0</v>
      </c>
      <c r="T241" s="40">
        <f>SUMIF(Tabella1[Nome],Tabella4[[#This Row],[NOME]],Tabella1[Au])</f>
        <v>0</v>
      </c>
      <c r="U241" s="41">
        <f>SUMIF(Tabella1[Nome],Tabella4[[#This Row],[NOME]],Tabella1[Amm])</f>
        <v>0</v>
      </c>
      <c r="V241" s="42">
        <f>SUMIF(Tabella1[Nome],Tabella4[[#This Row],[NOME]],Tabella1[Esp])</f>
        <v>0</v>
      </c>
      <c r="W241" s="40">
        <f>SUMIF(Tabella1[Nome],Tabella4[[#This Row],[NOME]],Tabella1[Ass])</f>
        <v>0</v>
      </c>
      <c r="X241" s="40">
        <f>SUMIF(Tabella1[Nome],Tabella4[[#This Row],[NOME]],Tabella1[Gdv])</f>
        <v>0</v>
      </c>
      <c r="Y241" s="40">
        <f>SUMIF(Tabella1[Nome],Tabella4[[#This Row],[NOME]],Tabella1[cl sh])</f>
        <v>0</v>
      </c>
      <c r="Z241" s="270">
        <f>_xlfn.IFNA(_xlfn.XLOOKUP(CONCATENATE(Z$4,$C241),Tabella1[CONC X VOTI IN TAB GIOC],Tabella1[Voto],""),"")</f>
        <v>6</v>
      </c>
      <c r="AA241" s="270" t="str">
        <f>_xlfn.IFNA(_xlfn.XLOOKUP(CONCATENATE(AA$4,$C241),Tabella1[CONC X VOTI IN TAB GIOC],Tabella1[Voto],""),"")</f>
        <v/>
      </c>
      <c r="AB241" s="270" t="str">
        <f>_xlfn.IFNA(_xlfn.XLOOKUP(CONCATENATE(AB$4,$C241),Tabella1[CONC X VOTI IN TAB GIOC],Tabella1[Voto]),"")</f>
        <v/>
      </c>
      <c r="AC241" s="270" t="str" cm="1">
        <f t="array" ref="AC241">_xlfn.IFNA(_xlfn.XLOOKUP(CONCATENATE(AC$4,$C241),INDEX(Tabella1[],0,MATCH("CONC X VOTI IN TAB GIOC",Tabella1[#Headers],0)),INDEX(Tabella1[],0,MATCH("Voto",Tabella1[#Headers],0))),"")</f>
        <v/>
      </c>
      <c r="AD241" s="270" t="str">
        <f>_xlfn.IFNA(_xlfn.XLOOKUP(CONCATENATE(AD$4,$C241),Tabella1[CONC X VOTI IN TAB GIOC],Tabella1[Voto]),"")</f>
        <v/>
      </c>
      <c r="AE241" s="270" t="str">
        <f>_xlfn.IFNA(VLOOKUP(CONCATENATE(AE$4,$C241),'INSER DATA'!$A:$F,6,0),"")</f>
        <v/>
      </c>
      <c r="AF241" s="270" t="str">
        <f>_xlfn.IFNA(VLOOKUP(CONCATENATE(AF$4,$C241),'INSER DATA'!$A:$F,6,0),"")</f>
        <v/>
      </c>
      <c r="AG241" s="270" t="str">
        <f>_xlfn.IFNA(VLOOKUP(CONCATENATE(AG$4,$C241),'INSER DATA'!$A:$F,6,0),"")</f>
        <v/>
      </c>
      <c r="AH241" s="270" t="str">
        <f>_xlfn.IFNA(VLOOKUP(CONCATENATE(AH$4,$C241),'INSER DATA'!$A:$F,7,0),"")</f>
        <v/>
      </c>
      <c r="AI241" s="270" t="str">
        <f>_xlfn.IFNA(VLOOKUP(CONCATENATE(AI$4,$C241),'INSER DATA'!$A:$F,7,0),"")</f>
        <v/>
      </c>
      <c r="AJ241" s="270" t="str">
        <f>_xlfn.IFNA(VLOOKUP(CONCATENATE(AJ$4,$C241),'INSER DATA'!$A:$F,7,0),"")</f>
        <v/>
      </c>
      <c r="AK241" s="270" t="str">
        <f>_xlfn.IFNA(VLOOKUP(CONCATENATE(AK$4,$C241),'INSER DATA'!$A:$F,7,0),"")</f>
        <v/>
      </c>
      <c r="AL241" s="270" t="str">
        <f>_xlfn.IFNA(VLOOKUP(CONCATENATE(AL$4,$C241),'INSER DATA'!$A:$F,7,0),"")</f>
        <v/>
      </c>
      <c r="AM241" s="270" t="str">
        <f>_xlfn.IFNA(VLOOKUP(CONCATENATE(AM$4,$C241),'INSER DATA'!$A:$F,7,0),"")</f>
        <v/>
      </c>
      <c r="AN241" s="270" t="str">
        <f>_xlfn.IFNA(VLOOKUP(CONCATENATE(AN$4,$C241),'INSER DATA'!$A:$F,7,0),"")</f>
        <v/>
      </c>
      <c r="AO241" s="270" t="str">
        <f>_xlfn.IFNA(VLOOKUP(CONCATENATE(AO$4,$C241),'INSER DATA'!$A:$F,7,0),"")</f>
        <v/>
      </c>
      <c r="AP241" s="270" t="str">
        <f>_xlfn.IFNA(VLOOKUP(CONCATENATE(AP$4,$C241),'INSER DATA'!$A:$F,7,0),"")</f>
        <v/>
      </c>
      <c r="AQ241" s="270" t="str">
        <f>_xlfn.IFNA(VLOOKUP(CONCATENATE(AQ$4,$C241),'INSER DATA'!$A:$F,7,0),"")</f>
        <v/>
      </c>
      <c r="AR241" s="270" t="str">
        <f>_xlfn.IFNA(VLOOKUP(CONCATENATE(AR$4,$C241),'INSER DATA'!$A:$F,7,0),"")</f>
        <v/>
      </c>
      <c r="AS241" s="270" t="str">
        <f>_xlfn.IFNA(VLOOKUP(CONCATENATE(AS$4,$C241),'INSER DATA'!$A:$F,7,0),"")</f>
        <v/>
      </c>
      <c r="AT241" s="270" t="str">
        <f>_xlfn.IFNA(VLOOKUP(CONCATENATE(AT$4,$C241),'INSER DATA'!$A:$F,7,0),"")</f>
        <v/>
      </c>
      <c r="AU241" s="270" t="str">
        <f>_xlfn.IFNA(VLOOKUP(CONCATENATE(AU$4,$C241),'INSER DATA'!$A:$F,7,0),"")</f>
        <v/>
      </c>
      <c r="AV241" s="270" t="str">
        <f>_xlfn.IFNA(VLOOKUP(CONCATENATE(AV$4,$C241),'INSER DATA'!$A:$F,7,0),"")</f>
        <v/>
      </c>
      <c r="AW241" s="270" t="str">
        <f>_xlfn.IFNA(VLOOKUP(CONCATENATE(AW$4,$C241),'INSER DATA'!$A:$F,7,0),"")</f>
        <v/>
      </c>
      <c r="AX241" s="270" t="str">
        <f>_xlfn.IFNA(VLOOKUP(CONCATENATE(AX$4,$C241),'INSER DATA'!$A:$F,7,0),"")</f>
        <v/>
      </c>
      <c r="AY241" s="270" t="str">
        <f>_xlfn.IFNA(VLOOKUP(CONCATENATE(AY$4,$C241),'INSER DATA'!$A:$F,7,0),"")</f>
        <v/>
      </c>
      <c r="AZ241" s="270" t="str">
        <f>_xlfn.IFNA(VLOOKUP(CONCATENATE(AZ$4,$C241),'INSER DATA'!$A:$F,7,0),"")</f>
        <v/>
      </c>
      <c r="BA241" s="270" t="str">
        <f>_xlfn.IFNA(VLOOKUP(CONCATENATE(BA$4,$C241),'INSER DATA'!$A:$F,7,0),"")</f>
        <v/>
      </c>
      <c r="BB241" s="270" t="str">
        <f>_xlfn.IFNA(VLOOKUP(CONCATENATE(BB$4,$C241),'INSER DATA'!$A:$F,7,0),"")</f>
        <v/>
      </c>
      <c r="BC241" s="270" t="str">
        <f>_xlfn.IFNA(VLOOKUP(CONCATENATE(BC$4,$C241),'INSER DATA'!$A:$F,7,0),"")</f>
        <v/>
      </c>
      <c r="BD241" s="270" t="str">
        <f>_xlfn.IFNA(VLOOKUP(CONCATENATE(BD$4,$C241),'INSER DATA'!$A:$F,7,0),"")</f>
        <v/>
      </c>
      <c r="BE241" s="270" t="str">
        <f>_xlfn.IFNA(VLOOKUP(CONCATENATE(BE$4,$C241),'INSER DATA'!$A:$F,7,0),"")</f>
        <v/>
      </c>
      <c r="BF241" s="270" t="str">
        <f>_xlfn.IFNA(VLOOKUP(CONCATENATE(BF$4,$C241),'INSER DATA'!$A:$F,7,0),"")</f>
        <v/>
      </c>
      <c r="BG241" s="270" t="str">
        <f>_xlfn.IFNA(VLOOKUP(CONCATENATE(BG$4,$C241),'INSER DATA'!$A:$F,7,0),"")</f>
        <v/>
      </c>
      <c r="BH241" s="270" t="str">
        <f>_xlfn.IFNA(VLOOKUP(CONCATENATE(BH$4,$C241),'INSER DATA'!$A:$F,7,0),"")</f>
        <v/>
      </c>
      <c r="BI241" s="270" t="str">
        <f>_xlfn.IFNA(VLOOKUP(CONCATENATE(BI$4,$C241),'INSER DATA'!$A:$F,7,0),"")</f>
        <v/>
      </c>
      <c r="BJ241" s="270" t="str">
        <f>_xlfn.IFNA(VLOOKUP(CONCATENATE(BJ$4,$C241),'INSER DATA'!$A:$F,7,0),"")</f>
        <v/>
      </c>
      <c r="BK241" s="270" t="str">
        <f>_xlfn.IFNA(VLOOKUP(CONCATENATE(BK$4,$C241),'INSER DATA'!$A:$F,7,0),"")</f>
        <v/>
      </c>
      <c r="BL241" s="272"/>
      <c r="BM241" s="30"/>
      <c r="BN241" s="30"/>
      <c r="BO241" s="30"/>
      <c r="BP241" s="30"/>
      <c r="BQ241" s="30"/>
      <c r="BR241" s="30"/>
      <c r="BS241" s="30"/>
      <c r="BT241" s="30"/>
      <c r="BU241" s="30"/>
      <c r="BV241" s="30"/>
      <c r="BW241" s="30"/>
      <c r="BX241" s="30"/>
      <c r="BY241" s="30"/>
      <c r="BZ241" s="30"/>
      <c r="CA241" s="30"/>
      <c r="CB241" s="30"/>
      <c r="CC241" s="30"/>
      <c r="CD241" s="30"/>
      <c r="CE241" s="30"/>
      <c r="CF241" s="30"/>
      <c r="CG241" s="30"/>
      <c r="CH241" s="30"/>
      <c r="CI241" s="30"/>
      <c r="CJ241" s="30"/>
      <c r="CK241" s="30"/>
      <c r="CL241" s="30"/>
      <c r="CM241" s="30"/>
      <c r="CN241" s="30"/>
      <c r="CO241" s="30"/>
      <c r="CP241" s="30"/>
      <c r="CQ241" s="30"/>
      <c r="CR241" s="30"/>
      <c r="CS241" s="30"/>
      <c r="CT241" s="30"/>
      <c r="CU241" s="30"/>
      <c r="CV241" s="30"/>
      <c r="CW241" s="30"/>
      <c r="CX241" s="30"/>
      <c r="CY241" s="30"/>
      <c r="CZ241" s="30"/>
      <c r="DA241" s="30"/>
    </row>
    <row r="242" spans="1:105" ht="19.2" thickTop="1" thickBot="1" x14ac:dyDescent="0.4">
      <c r="A242" s="30"/>
      <c r="B242" s="30"/>
      <c r="C242" s="358" t="s">
        <v>801</v>
      </c>
      <c r="D242" s="361" t="s">
        <v>796</v>
      </c>
      <c r="E242" s="35" t="str">
        <f>_xlfn.XLOOKUP(Tabella4[[#This Row],[NOME]],'ROSE SQUADRE'!$N$3:$N$253,'ROSE SQUADRE'!$O$3:$O$253,"")</f>
        <v>TRICCHETRACHT</v>
      </c>
      <c r="F242" s="36" t="s">
        <v>161</v>
      </c>
      <c r="G242" s="43">
        <v>5</v>
      </c>
      <c r="H242" s="43">
        <v>5</v>
      </c>
      <c r="I242" s="44">
        <f t="shared" si="19"/>
        <v>0</v>
      </c>
      <c r="J242" s="37">
        <f t="shared" si="20"/>
        <v>2</v>
      </c>
      <c r="K242" s="178">
        <f t="shared" si="21"/>
        <v>6</v>
      </c>
      <c r="L242" s="178">
        <f t="shared" si="22"/>
        <v>6</v>
      </c>
      <c r="M242" s="179">
        <f t="shared" si="23"/>
        <v>12</v>
      </c>
      <c r="N242" s="45">
        <f t="shared" ca="1" si="24"/>
        <v>0</v>
      </c>
      <c r="O242" s="40">
        <f>SUMIF(Tabella1[Nome],Tabella4[[#This Row],[NOME]],Tabella1[Gf])</f>
        <v>0</v>
      </c>
      <c r="P242" s="40">
        <f>-(SUMIF(Tabella1[Nome],Tabella4[[#This Row],[NOME]],Tabella1[Gs]))</f>
        <v>0</v>
      </c>
      <c r="Q242" s="40">
        <f>SUMIF(Tabella1[Nome],Tabella4[[#This Row],[NOME]],Tabella1[Rp])</f>
        <v>0</v>
      </c>
      <c r="R242" s="40">
        <f>SUMIF(Tabella1[Nome],Tabella4[[#This Row],[NOME]],Tabella1[Rs])</f>
        <v>0</v>
      </c>
      <c r="S242" s="40">
        <f>SUMIF(Tabella1[Nome],Tabella4[[#This Row],[NOME]],Tabella1[Rf])</f>
        <v>0</v>
      </c>
      <c r="T242" s="40">
        <f>SUMIF(Tabella1[Nome],Tabella4[[#This Row],[NOME]],Tabella1[Au])</f>
        <v>0</v>
      </c>
      <c r="U242" s="41">
        <f>SUMIF(Tabella1[Nome],Tabella4[[#This Row],[NOME]],Tabella1[Amm])</f>
        <v>0</v>
      </c>
      <c r="V242" s="42">
        <f>SUMIF(Tabella1[Nome],Tabella4[[#This Row],[NOME]],Tabella1[Esp])</f>
        <v>0</v>
      </c>
      <c r="W242" s="40">
        <f>SUMIF(Tabella1[Nome],Tabella4[[#This Row],[NOME]],Tabella1[Ass])</f>
        <v>0</v>
      </c>
      <c r="X242" s="40">
        <f>SUMIF(Tabella1[Nome],Tabella4[[#This Row],[NOME]],Tabella1[Gdv])</f>
        <v>0</v>
      </c>
      <c r="Y242" s="40">
        <f>SUMIF(Tabella1[Nome],Tabella4[[#This Row],[NOME]],Tabella1[cl sh])</f>
        <v>0</v>
      </c>
      <c r="Z242" s="270">
        <f>_xlfn.IFNA(_xlfn.XLOOKUP(CONCATENATE(Z$4,$C242),Tabella1[CONC X VOTI IN TAB GIOC],Tabella1[Voto],""),"")</f>
        <v>6</v>
      </c>
      <c r="AA242" s="270">
        <f>_xlfn.IFNA(_xlfn.XLOOKUP(CONCATENATE(AA$4,$C242),Tabella1[CONC X VOTI IN TAB GIOC],Tabella1[Voto],""),"")</f>
        <v>6</v>
      </c>
      <c r="AB242" s="270" t="str">
        <f>_xlfn.IFNA(_xlfn.XLOOKUP(CONCATENATE(AB$4,$C242),Tabella1[CONC X VOTI IN TAB GIOC],Tabella1[Voto]),"")</f>
        <v/>
      </c>
      <c r="AC242" s="270" t="str" cm="1">
        <f t="array" ref="AC242">_xlfn.IFNA(_xlfn.XLOOKUP(CONCATENATE(AC$4,$C242),INDEX(Tabella1[],0,MATCH("CONC X VOTI IN TAB GIOC",Tabella1[#Headers],0)),INDEX(Tabella1[],0,MATCH("Voto",Tabella1[#Headers],0))),"")</f>
        <v/>
      </c>
      <c r="AD242" s="270" t="str">
        <f>_xlfn.IFNA(_xlfn.XLOOKUP(CONCATENATE(AD$4,$C242),Tabella1[CONC X VOTI IN TAB GIOC],Tabella1[Voto]),"")</f>
        <v/>
      </c>
      <c r="AE242" s="270" t="str">
        <f>_xlfn.IFNA(VLOOKUP(CONCATENATE(AE$4,$C242),'INSER DATA'!$A:$F,6,0),"")</f>
        <v/>
      </c>
      <c r="AF242" s="270" t="str">
        <f>_xlfn.IFNA(VLOOKUP(CONCATENATE(AF$4,$C242),'INSER DATA'!$A:$F,6,0),"")</f>
        <v/>
      </c>
      <c r="AG242" s="270" t="str">
        <f>_xlfn.IFNA(VLOOKUP(CONCATENATE(AG$4,$C242),'INSER DATA'!$A:$F,6,0),"")</f>
        <v/>
      </c>
      <c r="AH242" s="270" t="str">
        <f>_xlfn.IFNA(VLOOKUP(CONCATENATE(AH$4,$C242),'INSER DATA'!$A:$F,7,0),"")</f>
        <v/>
      </c>
      <c r="AI242" s="270" t="str">
        <f>_xlfn.IFNA(VLOOKUP(CONCATENATE(AI$4,$C242),'INSER DATA'!$A:$F,7,0),"")</f>
        <v/>
      </c>
      <c r="AJ242" s="270" t="str">
        <f>_xlfn.IFNA(VLOOKUP(CONCATENATE(AJ$4,$C242),'INSER DATA'!$A:$F,7,0),"")</f>
        <v/>
      </c>
      <c r="AK242" s="270" t="str">
        <f>_xlfn.IFNA(VLOOKUP(CONCATENATE(AK$4,$C242),'INSER DATA'!$A:$F,7,0),"")</f>
        <v/>
      </c>
      <c r="AL242" s="270" t="str">
        <f>_xlfn.IFNA(VLOOKUP(CONCATENATE(AL$4,$C242),'INSER DATA'!$A:$F,7,0),"")</f>
        <v/>
      </c>
      <c r="AM242" s="270" t="str">
        <f>_xlfn.IFNA(VLOOKUP(CONCATENATE(AM$4,$C242),'INSER DATA'!$A:$F,7,0),"")</f>
        <v/>
      </c>
      <c r="AN242" s="270" t="str">
        <f>_xlfn.IFNA(VLOOKUP(CONCATENATE(AN$4,$C242),'INSER DATA'!$A:$F,7,0),"")</f>
        <v/>
      </c>
      <c r="AO242" s="270" t="str">
        <f>_xlfn.IFNA(VLOOKUP(CONCATENATE(AO$4,$C242),'INSER DATA'!$A:$F,7,0),"")</f>
        <v/>
      </c>
      <c r="AP242" s="270" t="str">
        <f>_xlfn.IFNA(VLOOKUP(CONCATENATE(AP$4,$C242),'INSER DATA'!$A:$F,7,0),"")</f>
        <v/>
      </c>
      <c r="AQ242" s="270" t="str">
        <f>_xlfn.IFNA(VLOOKUP(CONCATENATE(AQ$4,$C242),'INSER DATA'!$A:$F,7,0),"")</f>
        <v/>
      </c>
      <c r="AR242" s="270" t="str">
        <f>_xlfn.IFNA(VLOOKUP(CONCATENATE(AR$4,$C242),'INSER DATA'!$A:$F,7,0),"")</f>
        <v/>
      </c>
      <c r="AS242" s="270" t="str">
        <f>_xlfn.IFNA(VLOOKUP(CONCATENATE(AS$4,$C242),'INSER DATA'!$A:$F,7,0),"")</f>
        <v/>
      </c>
      <c r="AT242" s="270" t="str">
        <f>_xlfn.IFNA(VLOOKUP(CONCATENATE(AT$4,$C242),'INSER DATA'!$A:$F,7,0),"")</f>
        <v/>
      </c>
      <c r="AU242" s="270" t="str">
        <f>_xlfn.IFNA(VLOOKUP(CONCATENATE(AU$4,$C242),'INSER DATA'!$A:$F,7,0),"")</f>
        <v/>
      </c>
      <c r="AV242" s="270" t="str">
        <f>_xlfn.IFNA(VLOOKUP(CONCATENATE(AV$4,$C242),'INSER DATA'!$A:$F,7,0),"")</f>
        <v/>
      </c>
      <c r="AW242" s="270" t="str">
        <f>_xlfn.IFNA(VLOOKUP(CONCATENATE(AW$4,$C242),'INSER DATA'!$A:$F,7,0),"")</f>
        <v/>
      </c>
      <c r="AX242" s="270" t="str">
        <f>_xlfn.IFNA(VLOOKUP(CONCATENATE(AX$4,$C242),'INSER DATA'!$A:$F,7,0),"")</f>
        <v/>
      </c>
      <c r="AY242" s="270" t="str">
        <f>_xlfn.IFNA(VLOOKUP(CONCATENATE(AY$4,$C242),'INSER DATA'!$A:$F,7,0),"")</f>
        <v/>
      </c>
      <c r="AZ242" s="270" t="str">
        <f>_xlfn.IFNA(VLOOKUP(CONCATENATE(AZ$4,$C242),'INSER DATA'!$A:$F,7,0),"")</f>
        <v/>
      </c>
      <c r="BA242" s="270" t="str">
        <f>_xlfn.IFNA(VLOOKUP(CONCATENATE(BA$4,$C242),'INSER DATA'!$A:$F,7,0),"")</f>
        <v/>
      </c>
      <c r="BB242" s="270" t="str">
        <f>_xlfn.IFNA(VLOOKUP(CONCATENATE(BB$4,$C242),'INSER DATA'!$A:$F,7,0),"")</f>
        <v/>
      </c>
      <c r="BC242" s="270" t="str">
        <f>_xlfn.IFNA(VLOOKUP(CONCATENATE(BC$4,$C242),'INSER DATA'!$A:$F,7,0),"")</f>
        <v/>
      </c>
      <c r="BD242" s="270" t="str">
        <f>_xlfn.IFNA(VLOOKUP(CONCATENATE(BD$4,$C242),'INSER DATA'!$A:$F,7,0),"")</f>
        <v/>
      </c>
      <c r="BE242" s="270" t="str">
        <f>_xlfn.IFNA(VLOOKUP(CONCATENATE(BE$4,$C242),'INSER DATA'!$A:$F,7,0),"")</f>
        <v/>
      </c>
      <c r="BF242" s="270" t="str">
        <f>_xlfn.IFNA(VLOOKUP(CONCATENATE(BF$4,$C242),'INSER DATA'!$A:$F,7,0),"")</f>
        <v/>
      </c>
      <c r="BG242" s="270" t="str">
        <f>_xlfn.IFNA(VLOOKUP(CONCATENATE(BG$4,$C242),'INSER DATA'!$A:$F,7,0),"")</f>
        <v/>
      </c>
      <c r="BH242" s="270" t="str">
        <f>_xlfn.IFNA(VLOOKUP(CONCATENATE(BH$4,$C242),'INSER DATA'!$A:$F,7,0),"")</f>
        <v/>
      </c>
      <c r="BI242" s="270" t="str">
        <f>_xlfn.IFNA(VLOOKUP(CONCATENATE(BI$4,$C242),'INSER DATA'!$A:$F,7,0),"")</f>
        <v/>
      </c>
      <c r="BJ242" s="270" t="str">
        <f>_xlfn.IFNA(VLOOKUP(CONCATENATE(BJ$4,$C242),'INSER DATA'!$A:$F,7,0),"")</f>
        <v/>
      </c>
      <c r="BK242" s="270" t="str">
        <f>_xlfn.IFNA(VLOOKUP(CONCATENATE(BK$4,$C242),'INSER DATA'!$A:$F,7,0),"")</f>
        <v/>
      </c>
      <c r="BL242" s="272"/>
      <c r="BM242" s="30"/>
      <c r="BN242" s="30"/>
      <c r="BO242" s="30"/>
      <c r="BP242" s="30"/>
      <c r="BQ242" s="30"/>
      <c r="BR242" s="30"/>
      <c r="BS242" s="30"/>
      <c r="BT242" s="30"/>
      <c r="BU242" s="30"/>
      <c r="BV242" s="30"/>
      <c r="BW242" s="30"/>
      <c r="BX242" s="30"/>
      <c r="BY242" s="30"/>
      <c r="BZ242" s="30"/>
      <c r="CA242" s="30"/>
      <c r="CB242" s="30"/>
      <c r="CC242" s="30"/>
      <c r="CD242" s="30"/>
      <c r="CE242" s="30"/>
      <c r="CF242" s="30"/>
      <c r="CG242" s="30"/>
      <c r="CH242" s="30"/>
      <c r="CI242" s="30"/>
      <c r="CJ242" s="30"/>
      <c r="CK242" s="30"/>
      <c r="CL242" s="30"/>
      <c r="CM242" s="30"/>
      <c r="CN242" s="30"/>
      <c r="CO242" s="30"/>
      <c r="CP242" s="30"/>
      <c r="CQ242" s="30"/>
      <c r="CR242" s="30"/>
      <c r="CS242" s="30"/>
      <c r="CT242" s="30"/>
      <c r="CU242" s="30"/>
      <c r="CV242" s="30"/>
      <c r="CW242" s="30"/>
      <c r="CX242" s="30"/>
      <c r="CY242" s="30"/>
      <c r="CZ242" s="30"/>
      <c r="DA242" s="30"/>
    </row>
    <row r="243" spans="1:105" ht="19.2" thickTop="1" thickBot="1" x14ac:dyDescent="0.4">
      <c r="A243" s="30"/>
      <c r="B243" s="30"/>
      <c r="C243" s="185" t="s">
        <v>803</v>
      </c>
      <c r="D243" s="187" t="s">
        <v>796</v>
      </c>
      <c r="E243" s="35" t="str">
        <f>_xlfn.XLOOKUP(Tabella4[[#This Row],[NOME]],'ROSE SQUADRE'!$N$3:$N$253,'ROSE SQUADRE'!$O$3:$O$253,"")</f>
        <v/>
      </c>
      <c r="F243" s="36" t="s">
        <v>161</v>
      </c>
      <c r="G243" s="43">
        <v>3</v>
      </c>
      <c r="H243" s="43">
        <v>3</v>
      </c>
      <c r="I243" s="44">
        <f t="shared" si="19"/>
        <v>0</v>
      </c>
      <c r="J243" s="37">
        <f t="shared" si="20"/>
        <v>4</v>
      </c>
      <c r="K243" s="178">
        <f t="shared" si="21"/>
        <v>5.875</v>
      </c>
      <c r="L243" s="178">
        <f t="shared" si="22"/>
        <v>5.75</v>
      </c>
      <c r="M243" s="179">
        <f t="shared" si="23"/>
        <v>23</v>
      </c>
      <c r="N243" s="45">
        <f t="shared" ca="1" si="24"/>
        <v>0</v>
      </c>
      <c r="O243" s="40">
        <f>SUMIF(Tabella1[Nome],Tabella4[[#This Row],[NOME]],Tabella1[Gf])</f>
        <v>0</v>
      </c>
      <c r="P243" s="40">
        <f>-(SUMIF(Tabella1[Nome],Tabella4[[#This Row],[NOME]],Tabella1[Gs]))</f>
        <v>0</v>
      </c>
      <c r="Q243" s="40">
        <f>SUMIF(Tabella1[Nome],Tabella4[[#This Row],[NOME]],Tabella1[Rp])</f>
        <v>0</v>
      </c>
      <c r="R243" s="40">
        <f>SUMIF(Tabella1[Nome],Tabella4[[#This Row],[NOME]],Tabella1[Rs])</f>
        <v>0</v>
      </c>
      <c r="S243" s="40">
        <f>SUMIF(Tabella1[Nome],Tabella4[[#This Row],[NOME]],Tabella1[Rf])</f>
        <v>0</v>
      </c>
      <c r="T243" s="40">
        <f>SUMIF(Tabella1[Nome],Tabella4[[#This Row],[NOME]],Tabella1[Au])</f>
        <v>0</v>
      </c>
      <c r="U243" s="41">
        <f>SUMIF(Tabella1[Nome],Tabella4[[#This Row],[NOME]],Tabella1[Amm])</f>
        <v>1</v>
      </c>
      <c r="V243" s="42">
        <f>SUMIF(Tabella1[Nome],Tabella4[[#This Row],[NOME]],Tabella1[Esp])</f>
        <v>0</v>
      </c>
      <c r="W243" s="40">
        <f>SUMIF(Tabella1[Nome],Tabella4[[#This Row],[NOME]],Tabella1[Ass])</f>
        <v>0</v>
      </c>
      <c r="X243" s="40">
        <f>SUMIF(Tabella1[Nome],Tabella4[[#This Row],[NOME]],Tabella1[Gdv])</f>
        <v>0</v>
      </c>
      <c r="Y243" s="40">
        <f>SUMIF(Tabella1[Nome],Tabella4[[#This Row],[NOME]],Tabella1[cl sh])</f>
        <v>0</v>
      </c>
      <c r="Z243" s="270">
        <f>_xlfn.IFNA(_xlfn.XLOOKUP(CONCATENATE(Z$4,$C243),Tabella1[CONC X VOTI IN TAB GIOC],Tabella1[Voto],""),"")</f>
        <v>6</v>
      </c>
      <c r="AA243" s="270">
        <f>_xlfn.IFNA(_xlfn.XLOOKUP(CONCATENATE(AA$4,$C243),Tabella1[CONC X VOTI IN TAB GIOC],Tabella1[Voto],""),"")</f>
        <v>6</v>
      </c>
      <c r="AB243" s="270">
        <f>_xlfn.IFNA(_xlfn.XLOOKUP(CONCATENATE(AB$4,$C243),Tabella1[CONC X VOTI IN TAB GIOC],Tabella1[Voto]),"")</f>
        <v>5.5</v>
      </c>
      <c r="AC243" s="270" cm="1">
        <f t="array" ref="AC243">_xlfn.IFNA(_xlfn.XLOOKUP(CONCATENATE(AC$4,$C243),INDEX(Tabella1[],0,MATCH("CONC X VOTI IN TAB GIOC",Tabella1[#Headers],0)),INDEX(Tabella1[],0,MATCH("Voto",Tabella1[#Headers],0))),"")</f>
        <v>6</v>
      </c>
      <c r="AD243" s="270" t="str">
        <f>_xlfn.IFNA(_xlfn.XLOOKUP(CONCATENATE(AD$4,$C243),Tabella1[CONC X VOTI IN TAB GIOC],Tabella1[Voto]),"")</f>
        <v/>
      </c>
      <c r="AE243" s="270" t="str">
        <f>_xlfn.IFNA(VLOOKUP(CONCATENATE(AE$4,$C243),'INSER DATA'!$A:$F,6,0),"")</f>
        <v/>
      </c>
      <c r="AF243" s="270" t="str">
        <f>_xlfn.IFNA(VLOOKUP(CONCATENATE(AF$4,$C243),'INSER DATA'!$A:$F,6,0),"")</f>
        <v/>
      </c>
      <c r="AG243" s="270" t="str">
        <f>_xlfn.IFNA(VLOOKUP(CONCATENATE(AG$4,$C243),'INSER DATA'!$A:$F,6,0),"")</f>
        <v/>
      </c>
      <c r="AH243" s="270" t="str">
        <f>_xlfn.IFNA(VLOOKUP(CONCATENATE(AH$4,$C243),'INSER DATA'!$A:$F,7,0),"")</f>
        <v/>
      </c>
      <c r="AI243" s="270" t="str">
        <f>_xlfn.IFNA(VLOOKUP(CONCATENATE(AI$4,$C243),'INSER DATA'!$A:$F,7,0),"")</f>
        <v/>
      </c>
      <c r="AJ243" s="270" t="str">
        <f>_xlfn.IFNA(VLOOKUP(CONCATENATE(AJ$4,$C243),'INSER DATA'!$A:$F,7,0),"")</f>
        <v/>
      </c>
      <c r="AK243" s="270" t="str">
        <f>_xlfn.IFNA(VLOOKUP(CONCATENATE(AK$4,$C243),'INSER DATA'!$A:$F,7,0),"")</f>
        <v/>
      </c>
      <c r="AL243" s="270" t="str">
        <f>_xlfn.IFNA(VLOOKUP(CONCATENATE(AL$4,$C243),'INSER DATA'!$A:$F,7,0),"")</f>
        <v/>
      </c>
      <c r="AM243" s="270" t="str">
        <f>_xlfn.IFNA(VLOOKUP(CONCATENATE(AM$4,$C243),'INSER DATA'!$A:$F,7,0),"")</f>
        <v/>
      </c>
      <c r="AN243" s="270" t="str">
        <f>_xlfn.IFNA(VLOOKUP(CONCATENATE(AN$4,$C243),'INSER DATA'!$A:$F,7,0),"")</f>
        <v/>
      </c>
      <c r="AO243" s="270" t="str">
        <f>_xlfn.IFNA(VLOOKUP(CONCATENATE(AO$4,$C243),'INSER DATA'!$A:$F,7,0),"")</f>
        <v/>
      </c>
      <c r="AP243" s="270" t="str">
        <f>_xlfn.IFNA(VLOOKUP(CONCATENATE(AP$4,$C243),'INSER DATA'!$A:$F,7,0),"")</f>
        <v/>
      </c>
      <c r="AQ243" s="270" t="str">
        <f>_xlfn.IFNA(VLOOKUP(CONCATENATE(AQ$4,$C243),'INSER DATA'!$A:$F,7,0),"")</f>
        <v/>
      </c>
      <c r="AR243" s="270" t="str">
        <f>_xlfn.IFNA(VLOOKUP(CONCATENATE(AR$4,$C243),'INSER DATA'!$A:$F,7,0),"")</f>
        <v/>
      </c>
      <c r="AS243" s="270" t="str">
        <f>_xlfn.IFNA(VLOOKUP(CONCATENATE(AS$4,$C243),'INSER DATA'!$A:$F,7,0),"")</f>
        <v/>
      </c>
      <c r="AT243" s="270" t="str">
        <f>_xlfn.IFNA(VLOOKUP(CONCATENATE(AT$4,$C243),'INSER DATA'!$A:$F,7,0),"")</f>
        <v/>
      </c>
      <c r="AU243" s="270" t="str">
        <f>_xlfn.IFNA(VLOOKUP(CONCATENATE(AU$4,$C243),'INSER DATA'!$A:$F,7,0),"")</f>
        <v/>
      </c>
      <c r="AV243" s="270" t="str">
        <f>_xlfn.IFNA(VLOOKUP(CONCATENATE(AV$4,$C243),'INSER DATA'!$A:$F,7,0),"")</f>
        <v/>
      </c>
      <c r="AW243" s="270" t="str">
        <f>_xlfn.IFNA(VLOOKUP(CONCATENATE(AW$4,$C243),'INSER DATA'!$A:$F,7,0),"")</f>
        <v/>
      </c>
      <c r="AX243" s="270" t="str">
        <f>_xlfn.IFNA(VLOOKUP(CONCATENATE(AX$4,$C243),'INSER DATA'!$A:$F,7,0),"")</f>
        <v/>
      </c>
      <c r="AY243" s="270" t="str">
        <f>_xlfn.IFNA(VLOOKUP(CONCATENATE(AY$4,$C243),'INSER DATA'!$A:$F,7,0),"")</f>
        <v/>
      </c>
      <c r="AZ243" s="270" t="str">
        <f>_xlfn.IFNA(VLOOKUP(CONCATENATE(AZ$4,$C243),'INSER DATA'!$A:$F,7,0),"")</f>
        <v/>
      </c>
      <c r="BA243" s="270" t="str">
        <f>_xlfn.IFNA(VLOOKUP(CONCATENATE(BA$4,$C243),'INSER DATA'!$A:$F,7,0),"")</f>
        <v/>
      </c>
      <c r="BB243" s="270" t="str">
        <f>_xlfn.IFNA(VLOOKUP(CONCATENATE(BB$4,$C243),'INSER DATA'!$A:$F,7,0),"")</f>
        <v/>
      </c>
      <c r="BC243" s="270" t="str">
        <f>_xlfn.IFNA(VLOOKUP(CONCATENATE(BC$4,$C243),'INSER DATA'!$A:$F,7,0),"")</f>
        <v/>
      </c>
      <c r="BD243" s="270" t="str">
        <f>_xlfn.IFNA(VLOOKUP(CONCATENATE(BD$4,$C243),'INSER DATA'!$A:$F,7,0),"")</f>
        <v/>
      </c>
      <c r="BE243" s="270" t="str">
        <f>_xlfn.IFNA(VLOOKUP(CONCATENATE(BE$4,$C243),'INSER DATA'!$A:$F,7,0),"")</f>
        <v/>
      </c>
      <c r="BF243" s="270" t="str">
        <f>_xlfn.IFNA(VLOOKUP(CONCATENATE(BF$4,$C243),'INSER DATA'!$A:$F,7,0),"")</f>
        <v/>
      </c>
      <c r="BG243" s="270" t="str">
        <f>_xlfn.IFNA(VLOOKUP(CONCATENATE(BG$4,$C243),'INSER DATA'!$A:$F,7,0),"")</f>
        <v/>
      </c>
      <c r="BH243" s="270" t="str">
        <f>_xlfn.IFNA(VLOOKUP(CONCATENATE(BH$4,$C243),'INSER DATA'!$A:$F,7,0),"")</f>
        <v/>
      </c>
      <c r="BI243" s="270" t="str">
        <f>_xlfn.IFNA(VLOOKUP(CONCATENATE(BI$4,$C243),'INSER DATA'!$A:$F,7,0),"")</f>
        <v/>
      </c>
      <c r="BJ243" s="270" t="str">
        <f>_xlfn.IFNA(VLOOKUP(CONCATENATE(BJ$4,$C243),'INSER DATA'!$A:$F,7,0),"")</f>
        <v/>
      </c>
      <c r="BK243" s="270" t="str">
        <f>_xlfn.IFNA(VLOOKUP(CONCATENATE(BK$4,$C243),'INSER DATA'!$A:$F,7,0),"")</f>
        <v/>
      </c>
      <c r="BL243" s="272"/>
      <c r="BM243" s="30"/>
      <c r="BN243" s="30"/>
      <c r="BO243" s="30"/>
      <c r="BP243" s="30"/>
      <c r="BQ243" s="30"/>
      <c r="BR243" s="30"/>
      <c r="BS243" s="30"/>
      <c r="BT243" s="30"/>
      <c r="BU243" s="30"/>
      <c r="BV243" s="30"/>
      <c r="BW243" s="30"/>
      <c r="BX243" s="30"/>
      <c r="BY243" s="30"/>
      <c r="BZ243" s="30"/>
      <c r="CA243" s="30"/>
      <c r="CB243" s="30"/>
      <c r="CC243" s="30"/>
      <c r="CD243" s="30"/>
      <c r="CE243" s="30"/>
      <c r="CF243" s="30"/>
      <c r="CG243" s="30"/>
      <c r="CH243" s="30"/>
      <c r="CI243" s="30"/>
      <c r="CJ243" s="30"/>
      <c r="CK243" s="30"/>
      <c r="CL243" s="30"/>
      <c r="CM243" s="30"/>
      <c r="CN243" s="30"/>
      <c r="CO243" s="30"/>
      <c r="CP243" s="30"/>
      <c r="CQ243" s="30"/>
      <c r="CR243" s="30"/>
      <c r="CS243" s="30"/>
      <c r="CT243" s="30"/>
      <c r="CU243" s="30"/>
      <c r="CV243" s="30"/>
      <c r="CW243" s="30"/>
      <c r="CX243" s="30"/>
      <c r="CY243" s="30"/>
      <c r="CZ243" s="30"/>
      <c r="DA243" s="30"/>
    </row>
    <row r="244" spans="1:105" ht="19.2" thickTop="1" thickBot="1" x14ac:dyDescent="0.4">
      <c r="A244" s="30"/>
      <c r="B244" s="30"/>
      <c r="C244" s="185" t="s">
        <v>595</v>
      </c>
      <c r="D244" s="187" t="s">
        <v>796</v>
      </c>
      <c r="E244" s="35" t="str">
        <f>_xlfn.XLOOKUP(Tabella4[[#This Row],[NOME]],'ROSE SQUADRE'!$N$3:$N$253,'ROSE SQUADRE'!$O$3:$O$253,"")</f>
        <v/>
      </c>
      <c r="F244" s="36" t="s">
        <v>162</v>
      </c>
      <c r="G244" s="43">
        <v>1</v>
      </c>
      <c r="H244" s="43">
        <v>1</v>
      </c>
      <c r="I244" s="44">
        <f t="shared" si="19"/>
        <v>0</v>
      </c>
      <c r="J244" s="37">
        <f t="shared" si="20"/>
        <v>3</v>
      </c>
      <c r="K244" s="38">
        <f t="shared" si="21"/>
        <v>6.333333333333333</v>
      </c>
      <c r="L244" s="38">
        <f t="shared" si="22"/>
        <v>6.166666666666667</v>
      </c>
      <c r="M244" s="39">
        <f t="shared" si="23"/>
        <v>18.5</v>
      </c>
      <c r="N244" s="45">
        <f t="shared" ca="1" si="24"/>
        <v>0</v>
      </c>
      <c r="O244" s="40">
        <f>SUMIF(Tabella1[Nome],Tabella4[[#This Row],[NOME]],Tabella1[Gf])</f>
        <v>0</v>
      </c>
      <c r="P244" s="40">
        <f>-(SUMIF(Tabella1[Nome],Tabella4[[#This Row],[NOME]],Tabella1[Gs]))</f>
        <v>0</v>
      </c>
      <c r="Q244" s="40">
        <f>SUMIF(Tabella1[Nome],Tabella4[[#This Row],[NOME]],Tabella1[Rp])</f>
        <v>0</v>
      </c>
      <c r="R244" s="40">
        <f>SUMIF(Tabella1[Nome],Tabella4[[#This Row],[NOME]],Tabella1[Rs])</f>
        <v>0</v>
      </c>
      <c r="S244" s="40">
        <f>SUMIF(Tabella1[Nome],Tabella4[[#This Row],[NOME]],Tabella1[Rf])</f>
        <v>0</v>
      </c>
      <c r="T244" s="40">
        <f>SUMIF(Tabella1[Nome],Tabella4[[#This Row],[NOME]],Tabella1[Au])</f>
        <v>0</v>
      </c>
      <c r="U244" s="41">
        <f>SUMIF(Tabella1[Nome],Tabella4[[#This Row],[NOME]],Tabella1[Amm])</f>
        <v>1</v>
      </c>
      <c r="V244" s="42">
        <f>SUMIF(Tabella1[Nome],Tabella4[[#This Row],[NOME]],Tabella1[Esp])</f>
        <v>0</v>
      </c>
      <c r="W244" s="40">
        <f>SUMIF(Tabella1[Nome],Tabella4[[#This Row],[NOME]],Tabella1[Ass])</f>
        <v>0</v>
      </c>
      <c r="X244" s="40">
        <f>SUMIF(Tabella1[Nome],Tabella4[[#This Row],[NOME]],Tabella1[Gdv])</f>
        <v>0</v>
      </c>
      <c r="Y244" s="40">
        <f>SUMIF(Tabella1[Nome],Tabella4[[#This Row],[NOME]],Tabella1[cl sh])</f>
        <v>0</v>
      </c>
      <c r="Z244" s="270" t="str">
        <f>_xlfn.IFNA(_xlfn.XLOOKUP(CONCATENATE(Z$4,$C244),Tabella1[CONC X VOTI IN TAB GIOC],Tabella1[Voto],""),"")</f>
        <v/>
      </c>
      <c r="AA244" s="270">
        <f>_xlfn.IFNA(_xlfn.XLOOKUP(CONCATENATE(AA$4,$C244),Tabella1[CONC X VOTI IN TAB GIOC],Tabella1[Voto],""),"")</f>
        <v>6</v>
      </c>
      <c r="AB244" s="270">
        <f>_xlfn.IFNA(_xlfn.XLOOKUP(CONCATENATE(AB$4,$C244),Tabella1[CONC X VOTI IN TAB GIOC],Tabella1[Voto]),"")</f>
        <v>6.5</v>
      </c>
      <c r="AC244" s="270" cm="1">
        <f t="array" ref="AC244">_xlfn.IFNA(_xlfn.XLOOKUP(CONCATENATE(AC$4,$C244),INDEX(Tabella1[],0,MATCH("CONC X VOTI IN TAB GIOC",Tabella1[#Headers],0)),INDEX(Tabella1[],0,MATCH("Voto",Tabella1[#Headers],0))),"")</f>
        <v>6.5</v>
      </c>
      <c r="AD244" s="270" t="str">
        <f>_xlfn.IFNA(_xlfn.XLOOKUP(CONCATENATE(AD$4,$C244),Tabella1[CONC X VOTI IN TAB GIOC],Tabella1[Voto]),"")</f>
        <v/>
      </c>
      <c r="AE244" s="270" t="str">
        <f>_xlfn.IFNA(VLOOKUP(CONCATENATE(AE$4,$C244),'INSER DATA'!$A:$F,6,0),"")</f>
        <v/>
      </c>
      <c r="AF244" s="270" t="str">
        <f>_xlfn.IFNA(VLOOKUP(CONCATENATE(AF$4,$C244),'INSER DATA'!$A:$F,6,0),"")</f>
        <v/>
      </c>
      <c r="AG244" s="270" t="str">
        <f>_xlfn.IFNA(VLOOKUP(CONCATENATE(AG$4,$C244),'INSER DATA'!$A:$F,6,0),"")</f>
        <v/>
      </c>
      <c r="AH244" s="270" t="str">
        <f>_xlfn.IFNA(VLOOKUP(CONCATENATE(AH$4,$C244),'INSER DATA'!$A:$F,7,0),"")</f>
        <v/>
      </c>
      <c r="AI244" s="270" t="str">
        <f>_xlfn.IFNA(VLOOKUP(CONCATENATE(AI$4,$C244),'INSER DATA'!$A:$F,7,0),"")</f>
        <v/>
      </c>
      <c r="AJ244" s="270" t="str">
        <f>_xlfn.IFNA(VLOOKUP(CONCATENATE(AJ$4,$C244),'INSER DATA'!$A:$F,7,0),"")</f>
        <v/>
      </c>
      <c r="AK244" s="270" t="str">
        <f>_xlfn.IFNA(VLOOKUP(CONCATENATE(AK$4,$C244),'INSER DATA'!$A:$F,7,0),"")</f>
        <v/>
      </c>
      <c r="AL244" s="270" t="str">
        <f>_xlfn.IFNA(VLOOKUP(CONCATENATE(AL$4,$C244),'INSER DATA'!$A:$F,7,0),"")</f>
        <v/>
      </c>
      <c r="AM244" s="270" t="str">
        <f>_xlfn.IFNA(VLOOKUP(CONCATENATE(AM$4,$C244),'INSER DATA'!$A:$F,7,0),"")</f>
        <v/>
      </c>
      <c r="AN244" s="270" t="str">
        <f>_xlfn.IFNA(VLOOKUP(CONCATENATE(AN$4,$C244),'INSER DATA'!$A:$F,7,0),"")</f>
        <v/>
      </c>
      <c r="AO244" s="270" t="str">
        <f>_xlfn.IFNA(VLOOKUP(CONCATENATE(AO$4,$C244),'INSER DATA'!$A:$F,7,0),"")</f>
        <v/>
      </c>
      <c r="AP244" s="270" t="str">
        <f>_xlfn.IFNA(VLOOKUP(CONCATENATE(AP$4,$C244),'INSER DATA'!$A:$F,7,0),"")</f>
        <v/>
      </c>
      <c r="AQ244" s="270" t="str">
        <f>_xlfn.IFNA(VLOOKUP(CONCATENATE(AQ$4,$C244),'INSER DATA'!$A:$F,7,0),"")</f>
        <v/>
      </c>
      <c r="AR244" s="270" t="str">
        <f>_xlfn.IFNA(VLOOKUP(CONCATENATE(AR$4,$C244),'INSER DATA'!$A:$F,7,0),"")</f>
        <v/>
      </c>
      <c r="AS244" s="270" t="str">
        <f>_xlfn.IFNA(VLOOKUP(CONCATENATE(AS$4,$C244),'INSER DATA'!$A:$F,7,0),"")</f>
        <v/>
      </c>
      <c r="AT244" s="270" t="str">
        <f>_xlfn.IFNA(VLOOKUP(CONCATENATE(AT$4,$C244),'INSER DATA'!$A:$F,7,0),"")</f>
        <v/>
      </c>
      <c r="AU244" s="270" t="str">
        <f>_xlfn.IFNA(VLOOKUP(CONCATENATE(AU$4,$C244),'INSER DATA'!$A:$F,7,0),"")</f>
        <v/>
      </c>
      <c r="AV244" s="270" t="str">
        <f>_xlfn.IFNA(VLOOKUP(CONCATENATE(AV$4,$C244),'INSER DATA'!$A:$F,7,0),"")</f>
        <v/>
      </c>
      <c r="AW244" s="270" t="str">
        <f>_xlfn.IFNA(VLOOKUP(CONCATENATE(AW$4,$C244),'INSER DATA'!$A:$F,7,0),"")</f>
        <v/>
      </c>
      <c r="AX244" s="270" t="str">
        <f>_xlfn.IFNA(VLOOKUP(CONCATENATE(AX$4,$C244),'INSER DATA'!$A:$F,7,0),"")</f>
        <v/>
      </c>
      <c r="AY244" s="270" t="str">
        <f>_xlfn.IFNA(VLOOKUP(CONCATENATE(AY$4,$C244),'INSER DATA'!$A:$F,7,0),"")</f>
        <v/>
      </c>
      <c r="AZ244" s="270" t="str">
        <f>_xlfn.IFNA(VLOOKUP(CONCATENATE(AZ$4,$C244),'INSER DATA'!$A:$F,7,0),"")</f>
        <v/>
      </c>
      <c r="BA244" s="270" t="str">
        <f>_xlfn.IFNA(VLOOKUP(CONCATENATE(BA$4,$C244),'INSER DATA'!$A:$F,7,0),"")</f>
        <v/>
      </c>
      <c r="BB244" s="270" t="str">
        <f>_xlfn.IFNA(VLOOKUP(CONCATENATE(BB$4,$C244),'INSER DATA'!$A:$F,7,0),"")</f>
        <v/>
      </c>
      <c r="BC244" s="270" t="str">
        <f>_xlfn.IFNA(VLOOKUP(CONCATENATE(BC$4,$C244),'INSER DATA'!$A:$F,7,0),"")</f>
        <v/>
      </c>
      <c r="BD244" s="270" t="str">
        <f>_xlfn.IFNA(VLOOKUP(CONCATENATE(BD$4,$C244),'INSER DATA'!$A:$F,7,0),"")</f>
        <v/>
      </c>
      <c r="BE244" s="270" t="str">
        <f>_xlfn.IFNA(VLOOKUP(CONCATENATE(BE$4,$C244),'INSER DATA'!$A:$F,7,0),"")</f>
        <v/>
      </c>
      <c r="BF244" s="270" t="str">
        <f>_xlfn.IFNA(VLOOKUP(CONCATENATE(BF$4,$C244),'INSER DATA'!$A:$F,7,0),"")</f>
        <v/>
      </c>
      <c r="BG244" s="270" t="str">
        <f>_xlfn.IFNA(VLOOKUP(CONCATENATE(BG$4,$C244),'INSER DATA'!$A:$F,7,0),"")</f>
        <v/>
      </c>
      <c r="BH244" s="270" t="str">
        <f>_xlfn.IFNA(VLOOKUP(CONCATENATE(BH$4,$C244),'INSER DATA'!$A:$F,7,0),"")</f>
        <v/>
      </c>
      <c r="BI244" s="270" t="str">
        <f>_xlfn.IFNA(VLOOKUP(CONCATENATE(BI$4,$C244),'INSER DATA'!$A:$F,7,0),"")</f>
        <v/>
      </c>
      <c r="BJ244" s="270" t="str">
        <f>_xlfn.IFNA(VLOOKUP(CONCATENATE(BJ$4,$C244),'INSER DATA'!$A:$F,7,0),"")</f>
        <v/>
      </c>
      <c r="BK244" s="270" t="str">
        <f>_xlfn.IFNA(VLOOKUP(CONCATENATE(BK$4,$C244),'INSER DATA'!$A:$F,7,0),"")</f>
        <v/>
      </c>
      <c r="BL244" s="272"/>
      <c r="BM244" s="30"/>
      <c r="BN244" s="30"/>
      <c r="BO244" s="30"/>
      <c r="BP244" s="30"/>
      <c r="BQ244" s="30"/>
      <c r="BR244" s="30"/>
      <c r="BS244" s="30"/>
      <c r="BT244" s="30"/>
      <c r="BU244" s="30"/>
      <c r="BV244" s="30"/>
      <c r="BW244" s="30"/>
      <c r="BX244" s="30"/>
      <c r="BY244" s="30"/>
      <c r="BZ244" s="30"/>
      <c r="CA244" s="30"/>
      <c r="CB244" s="30"/>
      <c r="CC244" s="30"/>
      <c r="CD244" s="30"/>
      <c r="CE244" s="30"/>
      <c r="CF244" s="30"/>
      <c r="CG244" s="30"/>
      <c r="CH244" s="30"/>
      <c r="CI244" s="30"/>
      <c r="CJ244" s="30"/>
      <c r="CK244" s="30"/>
      <c r="CL244" s="30"/>
      <c r="CM244" s="30"/>
      <c r="CN244" s="30"/>
      <c r="CO244" s="30"/>
      <c r="CP244" s="30"/>
      <c r="CQ244" s="30"/>
      <c r="CR244" s="30"/>
      <c r="CS244" s="30"/>
      <c r="CT244" s="30"/>
      <c r="CU244" s="30"/>
      <c r="CV244" s="30"/>
      <c r="CW244" s="30"/>
      <c r="CX244" s="30"/>
      <c r="CY244" s="30"/>
      <c r="CZ244" s="30"/>
      <c r="DA244" s="30"/>
    </row>
    <row r="245" spans="1:105" ht="19.2" thickTop="1" thickBot="1" x14ac:dyDescent="0.4">
      <c r="A245" s="30"/>
      <c r="B245" s="30"/>
      <c r="C245" s="356" t="s">
        <v>457</v>
      </c>
      <c r="D245" s="357" t="s">
        <v>796</v>
      </c>
      <c r="E245" s="35" t="str">
        <f>_xlfn.XLOOKUP(Tabella4[[#This Row],[NOME]],'ROSE SQUADRE'!$N$3:$N$253,'ROSE SQUADRE'!$O$3:$O$253,"")</f>
        <v>PESCICULINI</v>
      </c>
      <c r="F245" s="36" t="s">
        <v>162</v>
      </c>
      <c r="G245" s="43">
        <v>9</v>
      </c>
      <c r="H245" s="43">
        <v>9</v>
      </c>
      <c r="I245" s="44">
        <f t="shared" si="19"/>
        <v>0</v>
      </c>
      <c r="J245" s="37">
        <f t="shared" si="20"/>
        <v>4</v>
      </c>
      <c r="K245" s="38">
        <f t="shared" si="21"/>
        <v>5.75</v>
      </c>
      <c r="L245" s="38">
        <f t="shared" si="22"/>
        <v>5.625</v>
      </c>
      <c r="M245" s="39">
        <f t="shared" si="23"/>
        <v>22.5</v>
      </c>
      <c r="N245" s="45">
        <f t="shared" ca="1" si="24"/>
        <v>0</v>
      </c>
      <c r="O245" s="40">
        <f>SUMIF(Tabella1[Nome],Tabella4[[#This Row],[NOME]],Tabella1[Gf])</f>
        <v>0</v>
      </c>
      <c r="P245" s="40">
        <f>-(SUMIF(Tabella1[Nome],Tabella4[[#This Row],[NOME]],Tabella1[Gs]))</f>
        <v>0</v>
      </c>
      <c r="Q245" s="40">
        <f>SUMIF(Tabella1[Nome],Tabella4[[#This Row],[NOME]],Tabella1[Rp])</f>
        <v>0</v>
      </c>
      <c r="R245" s="40">
        <f>SUMIF(Tabella1[Nome],Tabella4[[#This Row],[NOME]],Tabella1[Rs])</f>
        <v>0</v>
      </c>
      <c r="S245" s="40">
        <f>SUMIF(Tabella1[Nome],Tabella4[[#This Row],[NOME]],Tabella1[Rf])</f>
        <v>0</v>
      </c>
      <c r="T245" s="40">
        <f>SUMIF(Tabella1[Nome],Tabella4[[#This Row],[NOME]],Tabella1[Au])</f>
        <v>0</v>
      </c>
      <c r="U245" s="41">
        <f>SUMIF(Tabella1[Nome],Tabella4[[#This Row],[NOME]],Tabella1[Amm])</f>
        <v>1</v>
      </c>
      <c r="V245" s="42">
        <f>SUMIF(Tabella1[Nome],Tabella4[[#This Row],[NOME]],Tabella1[Esp])</f>
        <v>0</v>
      </c>
      <c r="W245" s="40">
        <f>SUMIF(Tabella1[Nome],Tabella4[[#This Row],[NOME]],Tabella1[Ass])</f>
        <v>0</v>
      </c>
      <c r="X245" s="40">
        <f>SUMIF(Tabella1[Nome],Tabella4[[#This Row],[NOME]],Tabella1[Gdv])</f>
        <v>0</v>
      </c>
      <c r="Y245" s="40">
        <f>SUMIF(Tabella1[Nome],Tabella4[[#This Row],[NOME]],Tabella1[cl sh])</f>
        <v>0</v>
      </c>
      <c r="Z245" s="270">
        <f>_xlfn.IFNA(_xlfn.XLOOKUP(CONCATENATE(Z$4,$C245),Tabella1[CONC X VOTI IN TAB GIOC],Tabella1[Voto],""),"")</f>
        <v>6</v>
      </c>
      <c r="AA245" s="270">
        <f>_xlfn.IFNA(_xlfn.XLOOKUP(CONCATENATE(AA$4,$C245),Tabella1[CONC X VOTI IN TAB GIOC],Tabella1[Voto],""),"")</f>
        <v>6</v>
      </c>
      <c r="AB245" s="270">
        <f>_xlfn.IFNA(_xlfn.XLOOKUP(CONCATENATE(AB$4,$C245),Tabella1[CONC X VOTI IN TAB GIOC],Tabella1[Voto]),"")</f>
        <v>5.5</v>
      </c>
      <c r="AC245" s="270" cm="1">
        <f t="array" ref="AC245">_xlfn.IFNA(_xlfn.XLOOKUP(CONCATENATE(AC$4,$C245),INDEX(Tabella1[],0,MATCH("CONC X VOTI IN TAB GIOC",Tabella1[#Headers],0)),INDEX(Tabella1[],0,MATCH("Voto",Tabella1[#Headers],0))),"")</f>
        <v>5.5</v>
      </c>
      <c r="AD245" s="270" t="str">
        <f>_xlfn.IFNA(_xlfn.XLOOKUP(CONCATENATE(AD$4,$C245),Tabella1[CONC X VOTI IN TAB GIOC],Tabella1[Voto]),"")</f>
        <v/>
      </c>
      <c r="AE245" s="270" t="str">
        <f>_xlfn.IFNA(VLOOKUP(CONCATENATE(AE$4,$C245),'INSER DATA'!$A:$F,6,0),"")</f>
        <v/>
      </c>
      <c r="AF245" s="270" t="str">
        <f>_xlfn.IFNA(VLOOKUP(CONCATENATE(AF$4,$C245),'INSER DATA'!$A:$F,6,0),"")</f>
        <v/>
      </c>
      <c r="AG245" s="270" t="str">
        <f>_xlfn.IFNA(VLOOKUP(CONCATENATE(AG$4,$C245),'INSER DATA'!$A:$F,6,0),"")</f>
        <v/>
      </c>
      <c r="AH245" s="270" t="str">
        <f>_xlfn.IFNA(VLOOKUP(CONCATENATE(AH$4,$C245),'INSER DATA'!$A:$F,7,0),"")</f>
        <v/>
      </c>
      <c r="AI245" s="270" t="str">
        <f>_xlfn.IFNA(VLOOKUP(CONCATENATE(AI$4,$C245),'INSER DATA'!$A:$F,7,0),"")</f>
        <v/>
      </c>
      <c r="AJ245" s="270" t="str">
        <f>_xlfn.IFNA(VLOOKUP(CONCATENATE(AJ$4,$C245),'INSER DATA'!$A:$F,7,0),"")</f>
        <v/>
      </c>
      <c r="AK245" s="270" t="str">
        <f>_xlfn.IFNA(VLOOKUP(CONCATENATE(AK$4,$C245),'INSER DATA'!$A:$F,7,0),"")</f>
        <v/>
      </c>
      <c r="AL245" s="270" t="str">
        <f>_xlfn.IFNA(VLOOKUP(CONCATENATE(AL$4,$C245),'INSER DATA'!$A:$F,7,0),"")</f>
        <v/>
      </c>
      <c r="AM245" s="270" t="str">
        <f>_xlfn.IFNA(VLOOKUP(CONCATENATE(AM$4,$C245),'INSER DATA'!$A:$F,7,0),"")</f>
        <v/>
      </c>
      <c r="AN245" s="270" t="str">
        <f>_xlfn.IFNA(VLOOKUP(CONCATENATE(AN$4,$C245),'INSER DATA'!$A:$F,7,0),"")</f>
        <v/>
      </c>
      <c r="AO245" s="270" t="str">
        <f>_xlfn.IFNA(VLOOKUP(CONCATENATE(AO$4,$C245),'INSER DATA'!$A:$F,7,0),"")</f>
        <v/>
      </c>
      <c r="AP245" s="270" t="str">
        <f>_xlfn.IFNA(VLOOKUP(CONCATENATE(AP$4,$C245),'INSER DATA'!$A:$F,7,0),"")</f>
        <v/>
      </c>
      <c r="AQ245" s="270" t="str">
        <f>_xlfn.IFNA(VLOOKUP(CONCATENATE(AQ$4,$C245),'INSER DATA'!$A:$F,7,0),"")</f>
        <v/>
      </c>
      <c r="AR245" s="270" t="str">
        <f>_xlfn.IFNA(VLOOKUP(CONCATENATE(AR$4,$C245),'INSER DATA'!$A:$F,7,0),"")</f>
        <v/>
      </c>
      <c r="AS245" s="270" t="str">
        <f>_xlfn.IFNA(VLOOKUP(CONCATENATE(AS$4,$C245),'INSER DATA'!$A:$F,7,0),"")</f>
        <v/>
      </c>
      <c r="AT245" s="270" t="str">
        <f>_xlfn.IFNA(VLOOKUP(CONCATENATE(AT$4,$C245),'INSER DATA'!$A:$F,7,0),"")</f>
        <v/>
      </c>
      <c r="AU245" s="270" t="str">
        <f>_xlfn.IFNA(VLOOKUP(CONCATENATE(AU$4,$C245),'INSER DATA'!$A:$F,7,0),"")</f>
        <v/>
      </c>
      <c r="AV245" s="270" t="str">
        <f>_xlfn.IFNA(VLOOKUP(CONCATENATE(AV$4,$C245),'INSER DATA'!$A:$F,7,0),"")</f>
        <v/>
      </c>
      <c r="AW245" s="270" t="str">
        <f>_xlfn.IFNA(VLOOKUP(CONCATENATE(AW$4,$C245),'INSER DATA'!$A:$F,7,0),"")</f>
        <v/>
      </c>
      <c r="AX245" s="270" t="str">
        <f>_xlfn.IFNA(VLOOKUP(CONCATENATE(AX$4,$C245),'INSER DATA'!$A:$F,7,0),"")</f>
        <v/>
      </c>
      <c r="AY245" s="270" t="str">
        <f>_xlfn.IFNA(VLOOKUP(CONCATENATE(AY$4,$C245),'INSER DATA'!$A:$F,7,0),"")</f>
        <v/>
      </c>
      <c r="AZ245" s="270" t="str">
        <f>_xlfn.IFNA(VLOOKUP(CONCATENATE(AZ$4,$C245),'INSER DATA'!$A:$F,7,0),"")</f>
        <v/>
      </c>
      <c r="BA245" s="270" t="str">
        <f>_xlfn.IFNA(VLOOKUP(CONCATENATE(BA$4,$C245),'INSER DATA'!$A:$F,7,0),"")</f>
        <v/>
      </c>
      <c r="BB245" s="270" t="str">
        <f>_xlfn.IFNA(VLOOKUP(CONCATENATE(BB$4,$C245),'INSER DATA'!$A:$F,7,0),"")</f>
        <v/>
      </c>
      <c r="BC245" s="270" t="str">
        <f>_xlfn.IFNA(VLOOKUP(CONCATENATE(BC$4,$C245),'INSER DATA'!$A:$F,7,0),"")</f>
        <v/>
      </c>
      <c r="BD245" s="270" t="str">
        <f>_xlfn.IFNA(VLOOKUP(CONCATENATE(BD$4,$C245),'INSER DATA'!$A:$F,7,0),"")</f>
        <v/>
      </c>
      <c r="BE245" s="270" t="str">
        <f>_xlfn.IFNA(VLOOKUP(CONCATENATE(BE$4,$C245),'INSER DATA'!$A:$F,7,0),"")</f>
        <v/>
      </c>
      <c r="BF245" s="270" t="str">
        <f>_xlfn.IFNA(VLOOKUP(CONCATENATE(BF$4,$C245),'INSER DATA'!$A:$F,7,0),"")</f>
        <v/>
      </c>
      <c r="BG245" s="270" t="str">
        <f>_xlfn.IFNA(VLOOKUP(CONCATENATE(BG$4,$C245),'INSER DATA'!$A:$F,7,0),"")</f>
        <v/>
      </c>
      <c r="BH245" s="270" t="str">
        <f>_xlfn.IFNA(VLOOKUP(CONCATENATE(BH$4,$C245),'INSER DATA'!$A:$F,7,0),"")</f>
        <v/>
      </c>
      <c r="BI245" s="270" t="str">
        <f>_xlfn.IFNA(VLOOKUP(CONCATENATE(BI$4,$C245),'INSER DATA'!$A:$F,7,0),"")</f>
        <v/>
      </c>
      <c r="BJ245" s="270" t="str">
        <f>_xlfn.IFNA(VLOOKUP(CONCATENATE(BJ$4,$C245),'INSER DATA'!$A:$F,7,0),"")</f>
        <v/>
      </c>
      <c r="BK245" s="270" t="str">
        <f>_xlfn.IFNA(VLOOKUP(CONCATENATE(BK$4,$C245),'INSER DATA'!$A:$F,7,0),"")</f>
        <v/>
      </c>
      <c r="BL245" s="272"/>
      <c r="BM245" s="30"/>
      <c r="BN245" s="30"/>
      <c r="BO245" s="30"/>
      <c r="BP245" s="30"/>
      <c r="BQ245" s="30"/>
      <c r="BR245" s="30"/>
      <c r="BS245" s="30"/>
      <c r="BT245" s="30"/>
      <c r="BU245" s="30"/>
      <c r="BV245" s="30"/>
      <c r="BW245" s="30"/>
      <c r="BX245" s="30"/>
      <c r="BY245" s="30"/>
      <c r="BZ245" s="30"/>
      <c r="CA245" s="30"/>
      <c r="CB245" s="30"/>
      <c r="CC245" s="30"/>
      <c r="CD245" s="30"/>
      <c r="CE245" s="30"/>
      <c r="CF245" s="30"/>
      <c r="CG245" s="30"/>
      <c r="CH245" s="30"/>
      <c r="CI245" s="30"/>
      <c r="CJ245" s="30"/>
      <c r="CK245" s="30"/>
      <c r="CL245" s="30"/>
      <c r="CM245" s="30"/>
      <c r="CN245" s="30"/>
      <c r="CO245" s="30"/>
      <c r="CP245" s="30"/>
      <c r="CQ245" s="30"/>
      <c r="CR245" s="30"/>
      <c r="CS245" s="30"/>
      <c r="CT245" s="30"/>
      <c r="CU245" s="30"/>
      <c r="CV245" s="30"/>
      <c r="CW245" s="30"/>
      <c r="CX245" s="30"/>
      <c r="CY245" s="30"/>
      <c r="CZ245" s="30"/>
      <c r="DA245" s="30"/>
    </row>
    <row r="246" spans="1:105" ht="19.2" thickTop="1" thickBot="1" x14ac:dyDescent="0.4">
      <c r="A246" s="30"/>
      <c r="B246" s="30"/>
      <c r="C246" s="356" t="s">
        <v>807</v>
      </c>
      <c r="D246" s="357" t="s">
        <v>796</v>
      </c>
      <c r="E246" s="35" t="str">
        <f>_xlfn.XLOOKUP(Tabella4[[#This Row],[NOME]],'ROSE SQUADRE'!$N$3:$N$253,'ROSE SQUADRE'!$O$3:$O$253,"")</f>
        <v>SHARK</v>
      </c>
      <c r="F246" s="36" t="s">
        <v>162</v>
      </c>
      <c r="G246" s="43">
        <v>6</v>
      </c>
      <c r="H246" s="43">
        <v>6</v>
      </c>
      <c r="I246" s="44">
        <f t="shared" si="19"/>
        <v>0</v>
      </c>
      <c r="J246" s="37">
        <f t="shared" si="20"/>
        <v>4</v>
      </c>
      <c r="K246" s="178">
        <f t="shared" si="21"/>
        <v>6</v>
      </c>
      <c r="L246" s="178">
        <f t="shared" si="22"/>
        <v>6</v>
      </c>
      <c r="M246" s="179">
        <f t="shared" si="23"/>
        <v>24</v>
      </c>
      <c r="N246" s="45">
        <f t="shared" ca="1" si="24"/>
        <v>0</v>
      </c>
      <c r="O246" s="40">
        <f>SUMIF(Tabella1[Nome],Tabella4[[#This Row],[NOME]],Tabella1[Gf])</f>
        <v>0</v>
      </c>
      <c r="P246" s="40">
        <f>-(SUMIF(Tabella1[Nome],Tabella4[[#This Row],[NOME]],Tabella1[Gs]))</f>
        <v>0</v>
      </c>
      <c r="Q246" s="40">
        <f>SUMIF(Tabella1[Nome],Tabella4[[#This Row],[NOME]],Tabella1[Rp])</f>
        <v>0</v>
      </c>
      <c r="R246" s="40">
        <f>SUMIF(Tabella1[Nome],Tabella4[[#This Row],[NOME]],Tabella1[Rs])</f>
        <v>0</v>
      </c>
      <c r="S246" s="40">
        <f>SUMIF(Tabella1[Nome],Tabella4[[#This Row],[NOME]],Tabella1[Rf])</f>
        <v>0</v>
      </c>
      <c r="T246" s="40">
        <f>SUMIF(Tabella1[Nome],Tabella4[[#This Row],[NOME]],Tabella1[Au])</f>
        <v>0</v>
      </c>
      <c r="U246" s="41">
        <f>SUMIF(Tabella1[Nome],Tabella4[[#This Row],[NOME]],Tabella1[Amm])</f>
        <v>0</v>
      </c>
      <c r="V246" s="42">
        <f>SUMIF(Tabella1[Nome],Tabella4[[#This Row],[NOME]],Tabella1[Esp])</f>
        <v>0</v>
      </c>
      <c r="W246" s="40">
        <f>SUMIF(Tabella1[Nome],Tabella4[[#This Row],[NOME]],Tabella1[Ass])</f>
        <v>0</v>
      </c>
      <c r="X246" s="40">
        <f>SUMIF(Tabella1[Nome],Tabella4[[#This Row],[NOME]],Tabella1[Gdv])</f>
        <v>0</v>
      </c>
      <c r="Y246" s="40">
        <f>SUMIF(Tabella1[Nome],Tabella4[[#This Row],[NOME]],Tabella1[cl sh])</f>
        <v>0</v>
      </c>
      <c r="Z246" s="270">
        <f>_xlfn.IFNA(_xlfn.XLOOKUP(CONCATENATE(Z$4,$C246),Tabella1[CONC X VOTI IN TAB GIOC],Tabella1[Voto],""),"")</f>
        <v>6</v>
      </c>
      <c r="AA246" s="270">
        <f>_xlfn.IFNA(_xlfn.XLOOKUP(CONCATENATE(AA$4,$C246),Tabella1[CONC X VOTI IN TAB GIOC],Tabella1[Voto],""),"")</f>
        <v>6</v>
      </c>
      <c r="AB246" s="270">
        <f>_xlfn.IFNA(_xlfn.XLOOKUP(CONCATENATE(AB$4,$C246),Tabella1[CONC X VOTI IN TAB GIOC],Tabella1[Voto]),"")</f>
        <v>6</v>
      </c>
      <c r="AC246" s="270" cm="1">
        <f t="array" ref="AC246">_xlfn.IFNA(_xlfn.XLOOKUP(CONCATENATE(AC$4,$C246),INDEX(Tabella1[],0,MATCH("CONC X VOTI IN TAB GIOC",Tabella1[#Headers],0)),INDEX(Tabella1[],0,MATCH("Voto",Tabella1[#Headers],0))),"")</f>
        <v>6</v>
      </c>
      <c r="AD246" s="270" t="str">
        <f>_xlfn.IFNA(_xlfn.XLOOKUP(CONCATENATE(AD$4,$C246),Tabella1[CONC X VOTI IN TAB GIOC],Tabella1[Voto]),"")</f>
        <v/>
      </c>
      <c r="AE246" s="270" t="str">
        <f>_xlfn.IFNA(VLOOKUP(CONCATENATE(AE$4,$C246),'INSER DATA'!$A:$F,6,0),"")</f>
        <v/>
      </c>
      <c r="AF246" s="270" t="str">
        <f>_xlfn.IFNA(VLOOKUP(CONCATENATE(AF$4,$C246),'INSER DATA'!$A:$F,6,0),"")</f>
        <v/>
      </c>
      <c r="AG246" s="270" t="str">
        <f>_xlfn.IFNA(VLOOKUP(CONCATENATE(AG$4,$C246),'INSER DATA'!$A:$F,6,0),"")</f>
        <v/>
      </c>
      <c r="AH246" s="270" t="str">
        <f>_xlfn.IFNA(VLOOKUP(CONCATENATE(AH$4,$C246),'INSER DATA'!$A:$F,7,0),"")</f>
        <v/>
      </c>
      <c r="AI246" s="270" t="str">
        <f>_xlfn.IFNA(VLOOKUP(CONCATENATE(AI$4,$C246),'INSER DATA'!$A:$F,7,0),"")</f>
        <v/>
      </c>
      <c r="AJ246" s="270" t="str">
        <f>_xlfn.IFNA(VLOOKUP(CONCATENATE(AJ$4,$C246),'INSER DATA'!$A:$F,7,0),"")</f>
        <v/>
      </c>
      <c r="AK246" s="270" t="str">
        <f>_xlfn.IFNA(VLOOKUP(CONCATENATE(AK$4,$C246),'INSER DATA'!$A:$F,7,0),"")</f>
        <v/>
      </c>
      <c r="AL246" s="270" t="str">
        <f>_xlfn.IFNA(VLOOKUP(CONCATENATE(AL$4,$C246),'INSER DATA'!$A:$F,7,0),"")</f>
        <v/>
      </c>
      <c r="AM246" s="270" t="str">
        <f>_xlfn.IFNA(VLOOKUP(CONCATENATE(AM$4,$C246),'INSER DATA'!$A:$F,7,0),"")</f>
        <v/>
      </c>
      <c r="AN246" s="270" t="str">
        <f>_xlfn.IFNA(VLOOKUP(CONCATENATE(AN$4,$C246),'INSER DATA'!$A:$F,7,0),"")</f>
        <v/>
      </c>
      <c r="AO246" s="270" t="str">
        <f>_xlfn.IFNA(VLOOKUP(CONCATENATE(AO$4,$C246),'INSER DATA'!$A:$F,7,0),"")</f>
        <v/>
      </c>
      <c r="AP246" s="270" t="str">
        <f>_xlfn.IFNA(VLOOKUP(CONCATENATE(AP$4,$C246),'INSER DATA'!$A:$F,7,0),"")</f>
        <v/>
      </c>
      <c r="AQ246" s="270" t="str">
        <f>_xlfn.IFNA(VLOOKUP(CONCATENATE(AQ$4,$C246),'INSER DATA'!$A:$F,7,0),"")</f>
        <v/>
      </c>
      <c r="AR246" s="270" t="str">
        <f>_xlfn.IFNA(VLOOKUP(CONCATENATE(AR$4,$C246),'INSER DATA'!$A:$F,7,0),"")</f>
        <v/>
      </c>
      <c r="AS246" s="270" t="str">
        <f>_xlfn.IFNA(VLOOKUP(CONCATENATE(AS$4,$C246),'INSER DATA'!$A:$F,7,0),"")</f>
        <v/>
      </c>
      <c r="AT246" s="270" t="str">
        <f>_xlfn.IFNA(VLOOKUP(CONCATENATE(AT$4,$C246),'INSER DATA'!$A:$F,7,0),"")</f>
        <v/>
      </c>
      <c r="AU246" s="270" t="str">
        <f>_xlfn.IFNA(VLOOKUP(CONCATENATE(AU$4,$C246),'INSER DATA'!$A:$F,7,0),"")</f>
        <v/>
      </c>
      <c r="AV246" s="270" t="str">
        <f>_xlfn.IFNA(VLOOKUP(CONCATENATE(AV$4,$C246),'INSER DATA'!$A:$F,7,0),"")</f>
        <v/>
      </c>
      <c r="AW246" s="270" t="str">
        <f>_xlfn.IFNA(VLOOKUP(CONCATENATE(AW$4,$C246),'INSER DATA'!$A:$F,7,0),"")</f>
        <v/>
      </c>
      <c r="AX246" s="270" t="str">
        <f>_xlfn.IFNA(VLOOKUP(CONCATENATE(AX$4,$C246),'INSER DATA'!$A:$F,7,0),"")</f>
        <v/>
      </c>
      <c r="AY246" s="270" t="str">
        <f>_xlfn.IFNA(VLOOKUP(CONCATENATE(AY$4,$C246),'INSER DATA'!$A:$F,7,0),"")</f>
        <v/>
      </c>
      <c r="AZ246" s="270" t="str">
        <f>_xlfn.IFNA(VLOOKUP(CONCATENATE(AZ$4,$C246),'INSER DATA'!$A:$F,7,0),"")</f>
        <v/>
      </c>
      <c r="BA246" s="270" t="str">
        <f>_xlfn.IFNA(VLOOKUP(CONCATENATE(BA$4,$C246),'INSER DATA'!$A:$F,7,0),"")</f>
        <v/>
      </c>
      <c r="BB246" s="270" t="str">
        <f>_xlfn.IFNA(VLOOKUP(CONCATENATE(BB$4,$C246),'INSER DATA'!$A:$F,7,0),"")</f>
        <v/>
      </c>
      <c r="BC246" s="270" t="str">
        <f>_xlfn.IFNA(VLOOKUP(CONCATENATE(BC$4,$C246),'INSER DATA'!$A:$F,7,0),"")</f>
        <v/>
      </c>
      <c r="BD246" s="270" t="str">
        <f>_xlfn.IFNA(VLOOKUP(CONCATENATE(BD$4,$C246),'INSER DATA'!$A:$F,7,0),"")</f>
        <v/>
      </c>
      <c r="BE246" s="270" t="str">
        <f>_xlfn.IFNA(VLOOKUP(CONCATENATE(BE$4,$C246),'INSER DATA'!$A:$F,7,0),"")</f>
        <v/>
      </c>
      <c r="BF246" s="270" t="str">
        <f>_xlfn.IFNA(VLOOKUP(CONCATENATE(BF$4,$C246),'INSER DATA'!$A:$F,7,0),"")</f>
        <v/>
      </c>
      <c r="BG246" s="270" t="str">
        <f>_xlfn.IFNA(VLOOKUP(CONCATENATE(BG$4,$C246),'INSER DATA'!$A:$F,7,0),"")</f>
        <v/>
      </c>
      <c r="BH246" s="270" t="str">
        <f>_xlfn.IFNA(VLOOKUP(CONCATENATE(BH$4,$C246),'INSER DATA'!$A:$F,7,0),"")</f>
        <v/>
      </c>
      <c r="BI246" s="270" t="str">
        <f>_xlfn.IFNA(VLOOKUP(CONCATENATE(BI$4,$C246),'INSER DATA'!$A:$F,7,0),"")</f>
        <v/>
      </c>
      <c r="BJ246" s="270" t="str">
        <f>_xlfn.IFNA(VLOOKUP(CONCATENATE(BJ$4,$C246),'INSER DATA'!$A:$F,7,0),"")</f>
        <v/>
      </c>
      <c r="BK246" s="270" t="str">
        <f>_xlfn.IFNA(VLOOKUP(CONCATENATE(BK$4,$C246),'INSER DATA'!$A:$F,7,0),"")</f>
        <v/>
      </c>
      <c r="BL246" s="272"/>
      <c r="BM246" s="30"/>
      <c r="BN246" s="30"/>
      <c r="BO246" s="30"/>
      <c r="BP246" s="30"/>
      <c r="BQ246" s="30"/>
      <c r="BR246" s="30"/>
      <c r="BS246" s="30"/>
      <c r="BT246" s="30"/>
      <c r="BU246" s="30"/>
      <c r="BV246" s="30"/>
      <c r="BW246" s="30"/>
      <c r="BX246" s="30"/>
      <c r="BY246" s="30"/>
      <c r="BZ246" s="30"/>
      <c r="CA246" s="30"/>
      <c r="CB246" s="30"/>
      <c r="CC246" s="30"/>
      <c r="CD246" s="30"/>
      <c r="CE246" s="30"/>
      <c r="CF246" s="30"/>
      <c r="CG246" s="30"/>
      <c r="CH246" s="30"/>
      <c r="CI246" s="30"/>
      <c r="CJ246" s="30"/>
      <c r="CK246" s="30"/>
      <c r="CL246" s="30"/>
      <c r="CM246" s="30"/>
      <c r="CN246" s="30"/>
      <c r="CO246" s="30"/>
      <c r="CP246" s="30"/>
      <c r="CQ246" s="30"/>
      <c r="CR246" s="30"/>
      <c r="CS246" s="30"/>
      <c r="CT246" s="30"/>
      <c r="CU246" s="30"/>
      <c r="CV246" s="30"/>
      <c r="CW246" s="30"/>
      <c r="CX246" s="30"/>
      <c r="CY246" s="30"/>
      <c r="CZ246" s="30"/>
      <c r="DA246" s="30"/>
    </row>
    <row r="247" spans="1:105" ht="19.2" thickTop="1" thickBot="1" x14ac:dyDescent="0.4">
      <c r="A247" s="30"/>
      <c r="B247" s="30"/>
      <c r="C247" s="356" t="s">
        <v>302</v>
      </c>
      <c r="D247" s="357" t="s">
        <v>796</v>
      </c>
      <c r="E247" s="35" t="str">
        <f>_xlfn.XLOOKUP(Tabella4[[#This Row],[NOME]],'ROSE SQUADRE'!$N$3:$N$253,'ROSE SQUADRE'!$O$3:$O$253,"")</f>
        <v>AS PIPPERIA</v>
      </c>
      <c r="F247" s="36" t="s">
        <v>162</v>
      </c>
      <c r="G247" s="43">
        <v>16</v>
      </c>
      <c r="H247" s="43">
        <v>16</v>
      </c>
      <c r="I247" s="44">
        <f t="shared" si="19"/>
        <v>0</v>
      </c>
      <c r="J247" s="37">
        <f t="shared" si="20"/>
        <v>4</v>
      </c>
      <c r="K247" s="38">
        <f t="shared" si="21"/>
        <v>6.25</v>
      </c>
      <c r="L247" s="38">
        <f t="shared" si="22"/>
        <v>6.5</v>
      </c>
      <c r="M247" s="39">
        <f t="shared" si="23"/>
        <v>26</v>
      </c>
      <c r="N247" s="45">
        <f t="shared" ca="1" si="24"/>
        <v>0</v>
      </c>
      <c r="O247" s="40">
        <f>SUMIF(Tabella1[Nome],Tabella4[[#This Row],[NOME]],Tabella1[Gf])</f>
        <v>0</v>
      </c>
      <c r="P247" s="40">
        <f>-(SUMIF(Tabella1[Nome],Tabella4[[#This Row],[NOME]],Tabella1[Gs]))</f>
        <v>0</v>
      </c>
      <c r="Q247" s="40">
        <f>SUMIF(Tabella1[Nome],Tabella4[[#This Row],[NOME]],Tabella1[Rp])</f>
        <v>0</v>
      </c>
      <c r="R247" s="40">
        <f>SUMIF(Tabella1[Nome],Tabella4[[#This Row],[NOME]],Tabella1[Rs])</f>
        <v>0</v>
      </c>
      <c r="S247" s="40">
        <f>SUMIF(Tabella1[Nome],Tabella4[[#This Row],[NOME]],Tabella1[Rf])</f>
        <v>0</v>
      </c>
      <c r="T247" s="40">
        <f>SUMIF(Tabella1[Nome],Tabella4[[#This Row],[NOME]],Tabella1[Au])</f>
        <v>0</v>
      </c>
      <c r="U247" s="41">
        <f>SUMIF(Tabella1[Nome],Tabella4[[#This Row],[NOME]],Tabella1[Amm])</f>
        <v>2</v>
      </c>
      <c r="V247" s="42">
        <f>SUMIF(Tabella1[Nome],Tabella4[[#This Row],[NOME]],Tabella1[Esp])</f>
        <v>0</v>
      </c>
      <c r="W247" s="40">
        <f>SUMIF(Tabella1[Nome],Tabella4[[#This Row],[NOME]],Tabella1[Ass])</f>
        <v>2</v>
      </c>
      <c r="X247" s="40">
        <f>SUMIF(Tabella1[Nome],Tabella4[[#This Row],[NOME]],Tabella1[Gdv])</f>
        <v>0</v>
      </c>
      <c r="Y247" s="40">
        <f>SUMIF(Tabella1[Nome],Tabella4[[#This Row],[NOME]],Tabella1[cl sh])</f>
        <v>0</v>
      </c>
      <c r="Z247" s="270">
        <f>_xlfn.IFNA(_xlfn.XLOOKUP(CONCATENATE(Z$4,$C247),Tabella1[CONC X VOTI IN TAB GIOC],Tabella1[Voto],""),"")</f>
        <v>6</v>
      </c>
      <c r="AA247" s="270">
        <f>_xlfn.IFNA(_xlfn.XLOOKUP(CONCATENATE(AA$4,$C247),Tabella1[CONC X VOTI IN TAB GIOC],Tabella1[Voto],""),"")</f>
        <v>6</v>
      </c>
      <c r="AB247" s="270">
        <f>_xlfn.IFNA(_xlfn.XLOOKUP(CONCATENATE(AB$4,$C247),Tabella1[CONC X VOTI IN TAB GIOC],Tabella1[Voto]),"")</f>
        <v>6.5</v>
      </c>
      <c r="AC247" s="270" cm="1">
        <f t="array" ref="AC247">_xlfn.IFNA(_xlfn.XLOOKUP(CONCATENATE(AC$4,$C247),INDEX(Tabella1[],0,MATCH("CONC X VOTI IN TAB GIOC",Tabella1[#Headers],0)),INDEX(Tabella1[],0,MATCH("Voto",Tabella1[#Headers],0))),"")</f>
        <v>6.5</v>
      </c>
      <c r="AD247" s="270" t="str">
        <f>_xlfn.IFNA(_xlfn.XLOOKUP(CONCATENATE(AD$4,$C247),Tabella1[CONC X VOTI IN TAB GIOC],Tabella1[Voto]),"")</f>
        <v/>
      </c>
      <c r="AE247" s="270" t="str">
        <f>_xlfn.IFNA(VLOOKUP(CONCATENATE(AE$4,$C247),'INSER DATA'!$A:$F,6,0),"")</f>
        <v/>
      </c>
      <c r="AF247" s="270" t="str">
        <f>_xlfn.IFNA(VLOOKUP(CONCATENATE(AF$4,$C247),'INSER DATA'!$A:$F,6,0),"")</f>
        <v/>
      </c>
      <c r="AG247" s="270" t="str">
        <f>_xlfn.IFNA(VLOOKUP(CONCATENATE(AG$4,$C247),'INSER DATA'!$A:$F,6,0),"")</f>
        <v/>
      </c>
      <c r="AH247" s="270" t="str">
        <f>_xlfn.IFNA(VLOOKUP(CONCATENATE(AH$4,$C247),'INSER DATA'!$A:$F,7,0),"")</f>
        <v/>
      </c>
      <c r="AI247" s="270" t="str">
        <f>_xlfn.IFNA(VLOOKUP(CONCATENATE(AI$4,$C247),'INSER DATA'!$A:$F,7,0),"")</f>
        <v/>
      </c>
      <c r="AJ247" s="270" t="str">
        <f>_xlfn.IFNA(VLOOKUP(CONCATENATE(AJ$4,$C247),'INSER DATA'!$A:$F,7,0),"")</f>
        <v/>
      </c>
      <c r="AK247" s="270" t="str">
        <f>_xlfn.IFNA(VLOOKUP(CONCATENATE(AK$4,$C247),'INSER DATA'!$A:$F,7,0),"")</f>
        <v/>
      </c>
      <c r="AL247" s="270" t="str">
        <f>_xlfn.IFNA(VLOOKUP(CONCATENATE(AL$4,$C247),'INSER DATA'!$A:$F,7,0),"")</f>
        <v/>
      </c>
      <c r="AM247" s="270" t="str">
        <f>_xlfn.IFNA(VLOOKUP(CONCATENATE(AM$4,$C247),'INSER DATA'!$A:$F,7,0),"")</f>
        <v/>
      </c>
      <c r="AN247" s="270" t="str">
        <f>_xlfn.IFNA(VLOOKUP(CONCATENATE(AN$4,$C247),'INSER DATA'!$A:$F,7,0),"")</f>
        <v/>
      </c>
      <c r="AO247" s="270" t="str">
        <f>_xlfn.IFNA(VLOOKUP(CONCATENATE(AO$4,$C247),'INSER DATA'!$A:$F,7,0),"")</f>
        <v/>
      </c>
      <c r="AP247" s="270" t="str">
        <f>_xlfn.IFNA(VLOOKUP(CONCATENATE(AP$4,$C247),'INSER DATA'!$A:$F,7,0),"")</f>
        <v/>
      </c>
      <c r="AQ247" s="270" t="str">
        <f>_xlfn.IFNA(VLOOKUP(CONCATENATE(AQ$4,$C247),'INSER DATA'!$A:$F,7,0),"")</f>
        <v/>
      </c>
      <c r="AR247" s="270" t="str">
        <f>_xlfn.IFNA(VLOOKUP(CONCATENATE(AR$4,$C247),'INSER DATA'!$A:$F,7,0),"")</f>
        <v/>
      </c>
      <c r="AS247" s="270" t="str">
        <f>_xlfn.IFNA(VLOOKUP(CONCATENATE(AS$4,$C247),'INSER DATA'!$A:$F,7,0),"")</f>
        <v/>
      </c>
      <c r="AT247" s="270" t="str">
        <f>_xlfn.IFNA(VLOOKUP(CONCATENATE(AT$4,$C247),'INSER DATA'!$A:$F,7,0),"")</f>
        <v/>
      </c>
      <c r="AU247" s="270" t="str">
        <f>_xlfn.IFNA(VLOOKUP(CONCATENATE(AU$4,$C247),'INSER DATA'!$A:$F,7,0),"")</f>
        <v/>
      </c>
      <c r="AV247" s="270" t="str">
        <f>_xlfn.IFNA(VLOOKUP(CONCATENATE(AV$4,$C247),'INSER DATA'!$A:$F,7,0),"")</f>
        <v/>
      </c>
      <c r="AW247" s="270" t="str">
        <f>_xlfn.IFNA(VLOOKUP(CONCATENATE(AW$4,$C247),'INSER DATA'!$A:$F,7,0),"")</f>
        <v/>
      </c>
      <c r="AX247" s="270" t="str">
        <f>_xlfn.IFNA(VLOOKUP(CONCATENATE(AX$4,$C247),'INSER DATA'!$A:$F,7,0),"")</f>
        <v/>
      </c>
      <c r="AY247" s="270" t="str">
        <f>_xlfn.IFNA(VLOOKUP(CONCATENATE(AY$4,$C247),'INSER DATA'!$A:$F,7,0),"")</f>
        <v/>
      </c>
      <c r="AZ247" s="270" t="str">
        <f>_xlfn.IFNA(VLOOKUP(CONCATENATE(AZ$4,$C247),'INSER DATA'!$A:$F,7,0),"")</f>
        <v/>
      </c>
      <c r="BA247" s="270" t="str">
        <f>_xlfn.IFNA(VLOOKUP(CONCATENATE(BA$4,$C247),'INSER DATA'!$A:$F,7,0),"")</f>
        <v/>
      </c>
      <c r="BB247" s="270" t="str">
        <f>_xlfn.IFNA(VLOOKUP(CONCATENATE(BB$4,$C247),'INSER DATA'!$A:$F,7,0),"")</f>
        <v/>
      </c>
      <c r="BC247" s="270" t="str">
        <f>_xlfn.IFNA(VLOOKUP(CONCATENATE(BC$4,$C247),'INSER DATA'!$A:$F,7,0),"")</f>
        <v/>
      </c>
      <c r="BD247" s="270" t="str">
        <f>_xlfn.IFNA(VLOOKUP(CONCATENATE(BD$4,$C247),'INSER DATA'!$A:$F,7,0),"")</f>
        <v/>
      </c>
      <c r="BE247" s="270" t="str">
        <f>_xlfn.IFNA(VLOOKUP(CONCATENATE(BE$4,$C247),'INSER DATA'!$A:$F,7,0),"")</f>
        <v/>
      </c>
      <c r="BF247" s="270" t="str">
        <f>_xlfn.IFNA(VLOOKUP(CONCATENATE(BF$4,$C247),'INSER DATA'!$A:$F,7,0),"")</f>
        <v/>
      </c>
      <c r="BG247" s="270" t="str">
        <f>_xlfn.IFNA(VLOOKUP(CONCATENATE(BG$4,$C247),'INSER DATA'!$A:$F,7,0),"")</f>
        <v/>
      </c>
      <c r="BH247" s="270" t="str">
        <f>_xlfn.IFNA(VLOOKUP(CONCATENATE(BH$4,$C247),'INSER DATA'!$A:$F,7,0),"")</f>
        <v/>
      </c>
      <c r="BI247" s="270" t="str">
        <f>_xlfn.IFNA(VLOOKUP(CONCATENATE(BI$4,$C247),'INSER DATA'!$A:$F,7,0),"")</f>
        <v/>
      </c>
      <c r="BJ247" s="270" t="str">
        <f>_xlfn.IFNA(VLOOKUP(CONCATENATE(BJ$4,$C247),'INSER DATA'!$A:$F,7,0),"")</f>
        <v/>
      </c>
      <c r="BK247" s="270" t="str">
        <f>_xlfn.IFNA(VLOOKUP(CONCATENATE(BK$4,$C247),'INSER DATA'!$A:$F,7,0),"")</f>
        <v/>
      </c>
      <c r="BL247" s="272"/>
      <c r="BM247" s="30"/>
      <c r="BN247" s="30"/>
      <c r="BO247" s="30"/>
      <c r="BP247" s="30"/>
      <c r="BQ247" s="30"/>
      <c r="BR247" s="30"/>
      <c r="BS247" s="30"/>
      <c r="BT247" s="30"/>
      <c r="BU247" s="30"/>
      <c r="BV247" s="30"/>
      <c r="BW247" s="30"/>
      <c r="BX247" s="30"/>
      <c r="BY247" s="30"/>
      <c r="BZ247" s="30"/>
      <c r="CA247" s="30"/>
      <c r="CB247" s="30"/>
      <c r="CC247" s="30"/>
      <c r="CD247" s="30"/>
      <c r="CE247" s="30"/>
      <c r="CF247" s="30"/>
      <c r="CG247" s="30"/>
      <c r="CH247" s="30"/>
      <c r="CI247" s="30"/>
      <c r="CJ247" s="30"/>
      <c r="CK247" s="30"/>
      <c r="CL247" s="30"/>
      <c r="CM247" s="30"/>
      <c r="CN247" s="30"/>
      <c r="CO247" s="30"/>
      <c r="CP247" s="30"/>
      <c r="CQ247" s="30"/>
      <c r="CR247" s="30"/>
      <c r="CS247" s="30"/>
      <c r="CT247" s="30"/>
      <c r="CU247" s="30"/>
      <c r="CV247" s="30"/>
      <c r="CW247" s="30"/>
      <c r="CX247" s="30"/>
      <c r="CY247" s="30"/>
      <c r="CZ247" s="30"/>
      <c r="DA247" s="30"/>
    </row>
    <row r="248" spans="1:105" ht="19.2" thickTop="1" thickBot="1" x14ac:dyDescent="0.4">
      <c r="A248" s="30"/>
      <c r="B248" s="30"/>
      <c r="C248" s="188" t="s">
        <v>614</v>
      </c>
      <c r="D248" s="46" t="s">
        <v>796</v>
      </c>
      <c r="E248" s="35" t="str">
        <f>_xlfn.XLOOKUP(Tabella4[[#This Row],[NOME]],'ROSE SQUADRE'!$N$3:$N$253,'ROSE SQUADRE'!$O$3:$O$253,"")</f>
        <v/>
      </c>
      <c r="F248" s="36" t="s">
        <v>163</v>
      </c>
      <c r="G248" s="43">
        <v>10</v>
      </c>
      <c r="H248" s="43">
        <v>10</v>
      </c>
      <c r="I248" s="44">
        <f t="shared" si="19"/>
        <v>0</v>
      </c>
      <c r="J248" s="37">
        <f t="shared" si="20"/>
        <v>2</v>
      </c>
      <c r="K248" s="38">
        <f t="shared" si="21"/>
        <v>6</v>
      </c>
      <c r="L248" s="38">
        <f t="shared" si="22"/>
        <v>6.25</v>
      </c>
      <c r="M248" s="39">
        <f t="shared" si="23"/>
        <v>12.5</v>
      </c>
      <c r="N248" s="45">
        <f t="shared" ca="1" si="24"/>
        <v>0</v>
      </c>
      <c r="O248" s="40">
        <f>SUMIF(Tabella1[Nome],Tabella4[[#This Row],[NOME]],Tabella1[Gf])</f>
        <v>0</v>
      </c>
      <c r="P248" s="40">
        <f>-(SUMIF(Tabella1[Nome],Tabella4[[#This Row],[NOME]],Tabella1[Gs]))</f>
        <v>0</v>
      </c>
      <c r="Q248" s="40">
        <f>SUMIF(Tabella1[Nome],Tabella4[[#This Row],[NOME]],Tabella1[Rp])</f>
        <v>0</v>
      </c>
      <c r="R248" s="40">
        <f>SUMIF(Tabella1[Nome],Tabella4[[#This Row],[NOME]],Tabella1[Rs])</f>
        <v>0</v>
      </c>
      <c r="S248" s="40">
        <f>SUMIF(Tabella1[Nome],Tabella4[[#This Row],[NOME]],Tabella1[Rf])</f>
        <v>0</v>
      </c>
      <c r="T248" s="40">
        <f>SUMIF(Tabella1[Nome],Tabella4[[#This Row],[NOME]],Tabella1[Au])</f>
        <v>0</v>
      </c>
      <c r="U248" s="41">
        <f>SUMIF(Tabella1[Nome],Tabella4[[#This Row],[NOME]],Tabella1[Amm])</f>
        <v>1</v>
      </c>
      <c r="V248" s="42">
        <f>SUMIF(Tabella1[Nome],Tabella4[[#This Row],[NOME]],Tabella1[Esp])</f>
        <v>0</v>
      </c>
      <c r="W248" s="40">
        <f>SUMIF(Tabella1[Nome],Tabella4[[#This Row],[NOME]],Tabella1[Ass])</f>
        <v>1</v>
      </c>
      <c r="X248" s="40">
        <f>SUMIF(Tabella1[Nome],Tabella4[[#This Row],[NOME]],Tabella1[Gdv])</f>
        <v>0</v>
      </c>
      <c r="Y248" s="40">
        <f>SUMIF(Tabella1[Nome],Tabella4[[#This Row],[NOME]],Tabella1[cl sh])</f>
        <v>0</v>
      </c>
      <c r="Z248" s="270">
        <f>_xlfn.IFNA(_xlfn.XLOOKUP(CONCATENATE(Z$4,$C248),Tabella1[CONC X VOTI IN TAB GIOC],Tabella1[Voto],""),"")</f>
        <v>6.5</v>
      </c>
      <c r="AA248" s="270">
        <f>_xlfn.IFNA(_xlfn.XLOOKUP(CONCATENATE(AA$4,$C248),Tabella1[CONC X VOTI IN TAB GIOC],Tabella1[Voto],""),"")</f>
        <v>5.5</v>
      </c>
      <c r="AB248" s="270" t="str">
        <f>_xlfn.IFNA(_xlfn.XLOOKUP(CONCATENATE(AB$4,$C248),Tabella1[CONC X VOTI IN TAB GIOC],Tabella1[Voto]),"")</f>
        <v/>
      </c>
      <c r="AC248" s="270" t="str" cm="1">
        <f t="array" ref="AC248">_xlfn.IFNA(_xlfn.XLOOKUP(CONCATENATE(AC$4,$C248),INDEX(Tabella1[],0,MATCH("CONC X VOTI IN TAB GIOC",Tabella1[#Headers],0)),INDEX(Tabella1[],0,MATCH("Voto",Tabella1[#Headers],0))),"")</f>
        <v/>
      </c>
      <c r="AD248" s="270" t="str">
        <f>_xlfn.IFNA(_xlfn.XLOOKUP(CONCATENATE(AD$4,$C248),Tabella1[CONC X VOTI IN TAB GIOC],Tabella1[Voto]),"")</f>
        <v/>
      </c>
      <c r="AE248" s="270" t="str">
        <f>_xlfn.IFNA(VLOOKUP(CONCATENATE(AE$4,$C248),'INSER DATA'!$A:$F,6,0),"")</f>
        <v/>
      </c>
      <c r="AF248" s="270" t="str">
        <f>_xlfn.IFNA(VLOOKUP(CONCATENATE(AF$4,$C248),'INSER DATA'!$A:$F,6,0),"")</f>
        <v/>
      </c>
      <c r="AG248" s="270" t="str">
        <f>_xlfn.IFNA(VLOOKUP(CONCATENATE(AG$4,$C248),'INSER DATA'!$A:$F,6,0),"")</f>
        <v/>
      </c>
      <c r="AH248" s="270" t="str">
        <f>_xlfn.IFNA(VLOOKUP(CONCATENATE(AH$4,$C248),'INSER DATA'!$A:$F,7,0),"")</f>
        <v/>
      </c>
      <c r="AI248" s="270" t="str">
        <f>_xlfn.IFNA(VLOOKUP(CONCATENATE(AI$4,$C248),'INSER DATA'!$A:$F,7,0),"")</f>
        <v/>
      </c>
      <c r="AJ248" s="270" t="str">
        <f>_xlfn.IFNA(VLOOKUP(CONCATENATE(AJ$4,$C248),'INSER DATA'!$A:$F,7,0),"")</f>
        <v/>
      </c>
      <c r="AK248" s="270" t="str">
        <f>_xlfn.IFNA(VLOOKUP(CONCATENATE(AK$4,$C248),'INSER DATA'!$A:$F,7,0),"")</f>
        <v/>
      </c>
      <c r="AL248" s="270" t="str">
        <f>_xlfn.IFNA(VLOOKUP(CONCATENATE(AL$4,$C248),'INSER DATA'!$A:$F,7,0),"")</f>
        <v/>
      </c>
      <c r="AM248" s="270" t="str">
        <f>_xlfn.IFNA(VLOOKUP(CONCATENATE(AM$4,$C248),'INSER DATA'!$A:$F,7,0),"")</f>
        <v/>
      </c>
      <c r="AN248" s="270" t="str">
        <f>_xlfn.IFNA(VLOOKUP(CONCATENATE(AN$4,$C248),'INSER DATA'!$A:$F,7,0),"")</f>
        <v/>
      </c>
      <c r="AO248" s="270" t="str">
        <f>_xlfn.IFNA(VLOOKUP(CONCATENATE(AO$4,$C248),'INSER DATA'!$A:$F,7,0),"")</f>
        <v/>
      </c>
      <c r="AP248" s="270" t="str">
        <f>_xlfn.IFNA(VLOOKUP(CONCATENATE(AP$4,$C248),'INSER DATA'!$A:$F,7,0),"")</f>
        <v/>
      </c>
      <c r="AQ248" s="270" t="str">
        <f>_xlfn.IFNA(VLOOKUP(CONCATENATE(AQ$4,$C248),'INSER DATA'!$A:$F,7,0),"")</f>
        <v/>
      </c>
      <c r="AR248" s="270" t="str">
        <f>_xlfn.IFNA(VLOOKUP(CONCATENATE(AR$4,$C248),'INSER DATA'!$A:$F,7,0),"")</f>
        <v/>
      </c>
      <c r="AS248" s="270" t="str">
        <f>_xlfn.IFNA(VLOOKUP(CONCATENATE(AS$4,$C248),'INSER DATA'!$A:$F,7,0),"")</f>
        <v/>
      </c>
      <c r="AT248" s="270" t="str">
        <f>_xlfn.IFNA(VLOOKUP(CONCATENATE(AT$4,$C248),'INSER DATA'!$A:$F,7,0),"")</f>
        <v/>
      </c>
      <c r="AU248" s="270" t="str">
        <f>_xlfn.IFNA(VLOOKUP(CONCATENATE(AU$4,$C248),'INSER DATA'!$A:$F,7,0),"")</f>
        <v/>
      </c>
      <c r="AV248" s="270" t="str">
        <f>_xlfn.IFNA(VLOOKUP(CONCATENATE(AV$4,$C248),'INSER DATA'!$A:$F,7,0),"")</f>
        <v/>
      </c>
      <c r="AW248" s="270" t="str">
        <f>_xlfn.IFNA(VLOOKUP(CONCATENATE(AW$4,$C248),'INSER DATA'!$A:$F,7,0),"")</f>
        <v/>
      </c>
      <c r="AX248" s="270" t="str">
        <f>_xlfn.IFNA(VLOOKUP(CONCATENATE(AX$4,$C248),'INSER DATA'!$A:$F,7,0),"")</f>
        <v/>
      </c>
      <c r="AY248" s="270" t="str">
        <f>_xlfn.IFNA(VLOOKUP(CONCATENATE(AY$4,$C248),'INSER DATA'!$A:$F,7,0),"")</f>
        <v/>
      </c>
      <c r="AZ248" s="270" t="str">
        <f>_xlfn.IFNA(VLOOKUP(CONCATENATE(AZ$4,$C248),'INSER DATA'!$A:$F,7,0),"")</f>
        <v/>
      </c>
      <c r="BA248" s="270" t="str">
        <f>_xlfn.IFNA(VLOOKUP(CONCATENATE(BA$4,$C248),'INSER DATA'!$A:$F,7,0),"")</f>
        <v/>
      </c>
      <c r="BB248" s="270" t="str">
        <f>_xlfn.IFNA(VLOOKUP(CONCATENATE(BB$4,$C248),'INSER DATA'!$A:$F,7,0),"")</f>
        <v/>
      </c>
      <c r="BC248" s="270" t="str">
        <f>_xlfn.IFNA(VLOOKUP(CONCATENATE(BC$4,$C248),'INSER DATA'!$A:$F,7,0),"")</f>
        <v/>
      </c>
      <c r="BD248" s="270" t="str">
        <f>_xlfn.IFNA(VLOOKUP(CONCATENATE(BD$4,$C248),'INSER DATA'!$A:$F,7,0),"")</f>
        <v/>
      </c>
      <c r="BE248" s="270" t="str">
        <f>_xlfn.IFNA(VLOOKUP(CONCATENATE(BE$4,$C248),'INSER DATA'!$A:$F,7,0),"")</f>
        <v/>
      </c>
      <c r="BF248" s="270" t="str">
        <f>_xlfn.IFNA(VLOOKUP(CONCATENATE(BF$4,$C248),'INSER DATA'!$A:$F,7,0),"")</f>
        <v/>
      </c>
      <c r="BG248" s="270" t="str">
        <f>_xlfn.IFNA(VLOOKUP(CONCATENATE(BG$4,$C248),'INSER DATA'!$A:$F,7,0),"")</f>
        <v/>
      </c>
      <c r="BH248" s="270" t="str">
        <f>_xlfn.IFNA(VLOOKUP(CONCATENATE(BH$4,$C248),'INSER DATA'!$A:$F,7,0),"")</f>
        <v/>
      </c>
      <c r="BI248" s="270" t="str">
        <f>_xlfn.IFNA(VLOOKUP(CONCATENATE(BI$4,$C248),'INSER DATA'!$A:$F,7,0),"")</f>
        <v/>
      </c>
      <c r="BJ248" s="270" t="str">
        <f>_xlfn.IFNA(VLOOKUP(CONCATENATE(BJ$4,$C248),'INSER DATA'!$A:$F,7,0),"")</f>
        <v/>
      </c>
      <c r="BK248" s="270" t="str">
        <f>_xlfn.IFNA(VLOOKUP(CONCATENATE(BK$4,$C248),'INSER DATA'!$A:$F,7,0),"")</f>
        <v/>
      </c>
      <c r="BL248" s="272"/>
      <c r="BM248" s="30"/>
      <c r="BN248" s="30"/>
      <c r="BO248" s="30"/>
      <c r="BP248" s="30"/>
      <c r="BQ248" s="30"/>
      <c r="BR248" s="30"/>
      <c r="BS248" s="30"/>
      <c r="BT248" s="30"/>
      <c r="BU248" s="30"/>
      <c r="BV248" s="30"/>
      <c r="BW248" s="30"/>
      <c r="BX248" s="30"/>
      <c r="BY248" s="30"/>
      <c r="BZ248" s="30"/>
      <c r="CA248" s="30"/>
      <c r="CB248" s="30"/>
      <c r="CC248" s="30"/>
      <c r="CD248" s="30"/>
      <c r="CE248" s="30"/>
      <c r="CF248" s="30"/>
      <c r="CG248" s="30"/>
      <c r="CH248" s="30"/>
      <c r="CI248" s="30"/>
      <c r="CJ248" s="30"/>
      <c r="CK248" s="30"/>
      <c r="CL248" s="30"/>
      <c r="CM248" s="30"/>
      <c r="CN248" s="30"/>
      <c r="CO248" s="30"/>
      <c r="CP248" s="30"/>
      <c r="CQ248" s="30"/>
      <c r="CR248" s="30"/>
      <c r="CS248" s="30"/>
      <c r="CT248" s="30"/>
      <c r="CU248" s="30"/>
      <c r="CV248" s="30"/>
      <c r="CW248" s="30"/>
      <c r="CX248" s="30"/>
      <c r="CY248" s="30"/>
      <c r="CZ248" s="30"/>
      <c r="DA248" s="30"/>
    </row>
    <row r="249" spans="1:105" ht="19.2" thickTop="1" thickBot="1" x14ac:dyDescent="0.4">
      <c r="A249" s="30"/>
      <c r="B249" s="30"/>
      <c r="C249" s="356" t="s">
        <v>330</v>
      </c>
      <c r="D249" s="355" t="s">
        <v>796</v>
      </c>
      <c r="E249" s="35" t="str">
        <f>_xlfn.XLOOKUP(Tabella4[[#This Row],[NOME]],'ROSE SQUADRE'!$N$3:$N$253,'ROSE SQUADRE'!$O$3:$O$253,"")</f>
        <v>ATL. IMPROVVISATO</v>
      </c>
      <c r="F249" s="36" t="s">
        <v>162</v>
      </c>
      <c r="G249" s="43">
        <v>9</v>
      </c>
      <c r="H249" s="43">
        <v>9</v>
      </c>
      <c r="I249" s="44">
        <f t="shared" si="19"/>
        <v>0</v>
      </c>
      <c r="J249" s="37">
        <f t="shared" si="20"/>
        <v>4</v>
      </c>
      <c r="K249" s="38">
        <f t="shared" si="21"/>
        <v>6.125</v>
      </c>
      <c r="L249" s="38">
        <f t="shared" si="22"/>
        <v>6.75</v>
      </c>
      <c r="M249" s="39">
        <f t="shared" si="23"/>
        <v>27</v>
      </c>
      <c r="N249" s="45">
        <f t="shared" ca="1" si="24"/>
        <v>0</v>
      </c>
      <c r="O249" s="40">
        <f>SUMIF(Tabella1[Nome],Tabella4[[#This Row],[NOME]],Tabella1[Gf])</f>
        <v>1</v>
      </c>
      <c r="P249" s="40">
        <f>-(SUMIF(Tabella1[Nome],Tabella4[[#This Row],[NOME]],Tabella1[Gs]))</f>
        <v>0</v>
      </c>
      <c r="Q249" s="40">
        <f>SUMIF(Tabella1[Nome],Tabella4[[#This Row],[NOME]],Tabella1[Rp])</f>
        <v>0</v>
      </c>
      <c r="R249" s="40">
        <f>SUMIF(Tabella1[Nome],Tabella4[[#This Row],[NOME]],Tabella1[Rs])</f>
        <v>0</v>
      </c>
      <c r="S249" s="40">
        <f>SUMIF(Tabella1[Nome],Tabella4[[#This Row],[NOME]],Tabella1[Rf])</f>
        <v>0</v>
      </c>
      <c r="T249" s="40">
        <f>SUMIF(Tabella1[Nome],Tabella4[[#This Row],[NOME]],Tabella1[Au])</f>
        <v>0</v>
      </c>
      <c r="U249" s="41">
        <f>SUMIF(Tabella1[Nome],Tabella4[[#This Row],[NOME]],Tabella1[Amm])</f>
        <v>1</v>
      </c>
      <c r="V249" s="42">
        <f>SUMIF(Tabella1[Nome],Tabella4[[#This Row],[NOME]],Tabella1[Esp])</f>
        <v>0</v>
      </c>
      <c r="W249" s="40">
        <f>SUMIF(Tabella1[Nome],Tabella4[[#This Row],[NOME]],Tabella1[Ass])</f>
        <v>0</v>
      </c>
      <c r="X249" s="40">
        <f>SUMIF(Tabella1[Nome],Tabella4[[#This Row],[NOME]],Tabella1[Gdv])</f>
        <v>0</v>
      </c>
      <c r="Y249" s="40">
        <f>SUMIF(Tabella1[Nome],Tabella4[[#This Row],[NOME]],Tabella1[cl sh])</f>
        <v>0</v>
      </c>
      <c r="Z249" s="270">
        <f>_xlfn.IFNA(_xlfn.XLOOKUP(CONCATENATE(Z$4,$C249),Tabella1[CONC X VOTI IN TAB GIOC],Tabella1[Voto],""),"")</f>
        <v>5.5</v>
      </c>
      <c r="AA249" s="270">
        <f>_xlfn.IFNA(_xlfn.XLOOKUP(CONCATENATE(AA$4,$C249),Tabella1[CONC X VOTI IN TAB GIOC],Tabella1[Voto],""),"")</f>
        <v>6</v>
      </c>
      <c r="AB249" s="270">
        <f>_xlfn.IFNA(_xlfn.XLOOKUP(CONCATENATE(AB$4,$C249),Tabella1[CONC X VOTI IN TAB GIOC],Tabella1[Voto]),"")</f>
        <v>6</v>
      </c>
      <c r="AC249" s="270" cm="1">
        <f t="array" ref="AC249">_xlfn.IFNA(_xlfn.XLOOKUP(CONCATENATE(AC$4,$C249),INDEX(Tabella1[],0,MATCH("CONC X VOTI IN TAB GIOC",Tabella1[#Headers],0)),INDEX(Tabella1[],0,MATCH("Voto",Tabella1[#Headers],0))),"")</f>
        <v>7</v>
      </c>
      <c r="AD249" s="270" t="str">
        <f>_xlfn.IFNA(_xlfn.XLOOKUP(CONCATENATE(AD$4,$C249),Tabella1[CONC X VOTI IN TAB GIOC],Tabella1[Voto]),"")</f>
        <v/>
      </c>
      <c r="AE249" s="270" t="str">
        <f>_xlfn.IFNA(VLOOKUP(CONCATENATE(AE$4,$C249),'INSER DATA'!$A:$F,6,0),"")</f>
        <v/>
      </c>
      <c r="AF249" s="270" t="str">
        <f>_xlfn.IFNA(VLOOKUP(CONCATENATE(AF$4,$C249),'INSER DATA'!$A:$F,6,0),"")</f>
        <v/>
      </c>
      <c r="AG249" s="270" t="str">
        <f>_xlfn.IFNA(VLOOKUP(CONCATENATE(AG$4,$C249),'INSER DATA'!$A:$F,6,0),"")</f>
        <v/>
      </c>
      <c r="AH249" s="270" t="str">
        <f>_xlfn.IFNA(VLOOKUP(CONCATENATE(AH$4,$C249),'INSER DATA'!$A:$F,7,0),"")</f>
        <v/>
      </c>
      <c r="AI249" s="270" t="str">
        <f>_xlfn.IFNA(VLOOKUP(CONCATENATE(AI$4,$C249),'INSER DATA'!$A:$F,7,0),"")</f>
        <v/>
      </c>
      <c r="AJ249" s="270" t="str">
        <f>_xlfn.IFNA(VLOOKUP(CONCATENATE(AJ$4,$C249),'INSER DATA'!$A:$F,7,0),"")</f>
        <v/>
      </c>
      <c r="AK249" s="270" t="str">
        <f>_xlfn.IFNA(VLOOKUP(CONCATENATE(AK$4,$C249),'INSER DATA'!$A:$F,7,0),"")</f>
        <v/>
      </c>
      <c r="AL249" s="270" t="str">
        <f>_xlfn.IFNA(VLOOKUP(CONCATENATE(AL$4,$C249),'INSER DATA'!$A:$F,7,0),"")</f>
        <v/>
      </c>
      <c r="AM249" s="270" t="str">
        <f>_xlfn.IFNA(VLOOKUP(CONCATENATE(AM$4,$C249),'INSER DATA'!$A:$F,7,0),"")</f>
        <v/>
      </c>
      <c r="AN249" s="270" t="str">
        <f>_xlfn.IFNA(VLOOKUP(CONCATENATE(AN$4,$C249),'INSER DATA'!$A:$F,7,0),"")</f>
        <v/>
      </c>
      <c r="AO249" s="270" t="str">
        <f>_xlfn.IFNA(VLOOKUP(CONCATENATE(AO$4,$C249),'INSER DATA'!$A:$F,7,0),"")</f>
        <v/>
      </c>
      <c r="AP249" s="270" t="str">
        <f>_xlfn.IFNA(VLOOKUP(CONCATENATE(AP$4,$C249),'INSER DATA'!$A:$F,7,0),"")</f>
        <v/>
      </c>
      <c r="AQ249" s="270" t="str">
        <f>_xlfn.IFNA(VLOOKUP(CONCATENATE(AQ$4,$C249),'INSER DATA'!$A:$F,7,0),"")</f>
        <v/>
      </c>
      <c r="AR249" s="270" t="str">
        <f>_xlfn.IFNA(VLOOKUP(CONCATENATE(AR$4,$C249),'INSER DATA'!$A:$F,7,0),"")</f>
        <v/>
      </c>
      <c r="AS249" s="270" t="str">
        <f>_xlfn.IFNA(VLOOKUP(CONCATENATE(AS$4,$C249),'INSER DATA'!$A:$F,7,0),"")</f>
        <v/>
      </c>
      <c r="AT249" s="270" t="str">
        <f>_xlfn.IFNA(VLOOKUP(CONCATENATE(AT$4,$C249),'INSER DATA'!$A:$F,7,0),"")</f>
        <v/>
      </c>
      <c r="AU249" s="270" t="str">
        <f>_xlfn.IFNA(VLOOKUP(CONCATENATE(AU$4,$C249),'INSER DATA'!$A:$F,7,0),"")</f>
        <v/>
      </c>
      <c r="AV249" s="270" t="str">
        <f>_xlfn.IFNA(VLOOKUP(CONCATENATE(AV$4,$C249),'INSER DATA'!$A:$F,7,0),"")</f>
        <v/>
      </c>
      <c r="AW249" s="270" t="str">
        <f>_xlfn.IFNA(VLOOKUP(CONCATENATE(AW$4,$C249),'INSER DATA'!$A:$F,7,0),"")</f>
        <v/>
      </c>
      <c r="AX249" s="270" t="str">
        <f>_xlfn.IFNA(VLOOKUP(CONCATENATE(AX$4,$C249),'INSER DATA'!$A:$F,7,0),"")</f>
        <v/>
      </c>
      <c r="AY249" s="270" t="str">
        <f>_xlfn.IFNA(VLOOKUP(CONCATENATE(AY$4,$C249),'INSER DATA'!$A:$F,7,0),"")</f>
        <v/>
      </c>
      <c r="AZ249" s="270" t="str">
        <f>_xlfn.IFNA(VLOOKUP(CONCATENATE(AZ$4,$C249),'INSER DATA'!$A:$F,7,0),"")</f>
        <v/>
      </c>
      <c r="BA249" s="270" t="str">
        <f>_xlfn.IFNA(VLOOKUP(CONCATENATE(BA$4,$C249),'INSER DATA'!$A:$F,7,0),"")</f>
        <v/>
      </c>
      <c r="BB249" s="270" t="str">
        <f>_xlfn.IFNA(VLOOKUP(CONCATENATE(BB$4,$C249),'INSER DATA'!$A:$F,7,0),"")</f>
        <v/>
      </c>
      <c r="BC249" s="270" t="str">
        <f>_xlfn.IFNA(VLOOKUP(CONCATENATE(BC$4,$C249),'INSER DATA'!$A:$F,7,0),"")</f>
        <v/>
      </c>
      <c r="BD249" s="270" t="str">
        <f>_xlfn.IFNA(VLOOKUP(CONCATENATE(BD$4,$C249),'INSER DATA'!$A:$F,7,0),"")</f>
        <v/>
      </c>
      <c r="BE249" s="270" t="str">
        <f>_xlfn.IFNA(VLOOKUP(CONCATENATE(BE$4,$C249),'INSER DATA'!$A:$F,7,0),"")</f>
        <v/>
      </c>
      <c r="BF249" s="270" t="str">
        <f>_xlfn.IFNA(VLOOKUP(CONCATENATE(BF$4,$C249),'INSER DATA'!$A:$F,7,0),"")</f>
        <v/>
      </c>
      <c r="BG249" s="270" t="str">
        <f>_xlfn.IFNA(VLOOKUP(CONCATENATE(BG$4,$C249),'INSER DATA'!$A:$F,7,0),"")</f>
        <v/>
      </c>
      <c r="BH249" s="270" t="str">
        <f>_xlfn.IFNA(VLOOKUP(CONCATENATE(BH$4,$C249),'INSER DATA'!$A:$F,7,0),"")</f>
        <v/>
      </c>
      <c r="BI249" s="270" t="str">
        <f>_xlfn.IFNA(VLOOKUP(CONCATENATE(BI$4,$C249),'INSER DATA'!$A:$F,7,0),"")</f>
        <v/>
      </c>
      <c r="BJ249" s="270" t="str">
        <f>_xlfn.IFNA(VLOOKUP(CONCATENATE(BJ$4,$C249),'INSER DATA'!$A:$F,7,0),"")</f>
        <v/>
      </c>
      <c r="BK249" s="270" t="str">
        <f>_xlfn.IFNA(VLOOKUP(CONCATENATE(BK$4,$C249),'INSER DATA'!$A:$F,7,0),"")</f>
        <v/>
      </c>
      <c r="BL249" s="272"/>
      <c r="BM249" s="30"/>
      <c r="BN249" s="30"/>
      <c r="BO249" s="30"/>
      <c r="BP249" s="30"/>
      <c r="BQ249" s="30"/>
      <c r="BR249" s="30"/>
      <c r="BS249" s="30"/>
      <c r="BT249" s="30"/>
      <c r="BU249" s="30"/>
      <c r="BV249" s="30"/>
      <c r="BW249" s="30"/>
      <c r="BX249" s="30"/>
      <c r="BY249" s="30"/>
      <c r="BZ249" s="30"/>
      <c r="CA249" s="30"/>
      <c r="CB249" s="30"/>
      <c r="CC249" s="30"/>
      <c r="CD249" s="30"/>
      <c r="CE249" s="30"/>
      <c r="CF249" s="30"/>
      <c r="CG249" s="30"/>
      <c r="CH249" s="30"/>
      <c r="CI249" s="30"/>
      <c r="CJ249" s="30"/>
      <c r="CK249" s="30"/>
      <c r="CL249" s="30"/>
      <c r="CM249" s="30"/>
      <c r="CN249" s="30"/>
      <c r="CO249" s="30"/>
      <c r="CP249" s="30"/>
      <c r="CQ249" s="30"/>
      <c r="CR249" s="30"/>
      <c r="CS249" s="30"/>
      <c r="CT249" s="30"/>
      <c r="CU249" s="30"/>
      <c r="CV249" s="30"/>
      <c r="CW249" s="30"/>
      <c r="CX249" s="30"/>
      <c r="CY249" s="30"/>
      <c r="CZ249" s="30"/>
      <c r="DA249" s="30"/>
    </row>
    <row r="250" spans="1:105" ht="19.2" thickTop="1" thickBot="1" x14ac:dyDescent="0.4">
      <c r="A250" s="30"/>
      <c r="B250" s="30"/>
      <c r="C250" s="188" t="s">
        <v>538</v>
      </c>
      <c r="D250" s="46" t="s">
        <v>796</v>
      </c>
      <c r="E250" s="35" t="str">
        <f>_xlfn.XLOOKUP(Tabella4[[#This Row],[NOME]],'ROSE SQUADRE'!$N$3:$N$253,'ROSE SQUADRE'!$O$3:$O$253,"")</f>
        <v/>
      </c>
      <c r="F250" s="36" t="s">
        <v>162</v>
      </c>
      <c r="G250" s="43">
        <v>5</v>
      </c>
      <c r="H250" s="43">
        <v>5</v>
      </c>
      <c r="I250" s="44">
        <f t="shared" si="19"/>
        <v>0</v>
      </c>
      <c r="J250" s="37">
        <f t="shared" si="20"/>
        <v>1</v>
      </c>
      <c r="K250" s="38">
        <f t="shared" si="21"/>
        <v>5.5</v>
      </c>
      <c r="L250" s="38">
        <f t="shared" si="22"/>
        <v>5.5</v>
      </c>
      <c r="M250" s="39">
        <f t="shared" si="23"/>
        <v>5.5</v>
      </c>
      <c r="N250" s="45">
        <f t="shared" ca="1" si="24"/>
        <v>0</v>
      </c>
      <c r="O250" s="40">
        <f>SUMIF(Tabella1[Nome],Tabella4[[#This Row],[NOME]],Tabella1[Gf])</f>
        <v>0</v>
      </c>
      <c r="P250" s="40">
        <f>-(SUMIF(Tabella1[Nome],Tabella4[[#This Row],[NOME]],Tabella1[Gs]))</f>
        <v>0</v>
      </c>
      <c r="Q250" s="40">
        <f>SUMIF(Tabella1[Nome],Tabella4[[#This Row],[NOME]],Tabella1[Rp])</f>
        <v>0</v>
      </c>
      <c r="R250" s="40">
        <f>SUMIF(Tabella1[Nome],Tabella4[[#This Row],[NOME]],Tabella1[Rs])</f>
        <v>0</v>
      </c>
      <c r="S250" s="40">
        <f>SUMIF(Tabella1[Nome],Tabella4[[#This Row],[NOME]],Tabella1[Rf])</f>
        <v>0</v>
      </c>
      <c r="T250" s="40">
        <f>SUMIF(Tabella1[Nome],Tabella4[[#This Row],[NOME]],Tabella1[Au])</f>
        <v>0</v>
      </c>
      <c r="U250" s="41">
        <f>SUMIF(Tabella1[Nome],Tabella4[[#This Row],[NOME]],Tabella1[Amm])</f>
        <v>0</v>
      </c>
      <c r="V250" s="42">
        <f>SUMIF(Tabella1[Nome],Tabella4[[#This Row],[NOME]],Tabella1[Esp])</f>
        <v>0</v>
      </c>
      <c r="W250" s="40">
        <f>SUMIF(Tabella1[Nome],Tabella4[[#This Row],[NOME]],Tabella1[Ass])</f>
        <v>0</v>
      </c>
      <c r="X250" s="40">
        <f>SUMIF(Tabella1[Nome],Tabella4[[#This Row],[NOME]],Tabella1[Gdv])</f>
        <v>0</v>
      </c>
      <c r="Y250" s="40">
        <f>SUMIF(Tabella1[Nome],Tabella4[[#This Row],[NOME]],Tabella1[cl sh])</f>
        <v>0</v>
      </c>
      <c r="Z250" s="270">
        <f>_xlfn.IFNA(_xlfn.XLOOKUP(CONCATENATE(Z$4,$C250),Tabella1[CONC X VOTI IN TAB GIOC],Tabella1[Voto],""),"")</f>
        <v>5.5</v>
      </c>
      <c r="AA250" s="270" t="str">
        <f>_xlfn.IFNA(_xlfn.XLOOKUP(CONCATENATE(AA$4,$C250),Tabella1[CONC X VOTI IN TAB GIOC],Tabella1[Voto],""),"")</f>
        <v/>
      </c>
      <c r="AB250" s="270" t="str">
        <f>_xlfn.IFNA(_xlfn.XLOOKUP(CONCATENATE(AB$4,$C250),Tabella1[CONC X VOTI IN TAB GIOC],Tabella1[Voto]),"")</f>
        <v/>
      </c>
      <c r="AC250" s="270" t="str" cm="1">
        <f t="array" ref="AC250">_xlfn.IFNA(_xlfn.XLOOKUP(CONCATENATE(AC$4,$C250),INDEX(Tabella1[],0,MATCH("CONC X VOTI IN TAB GIOC",Tabella1[#Headers],0)),INDEX(Tabella1[],0,MATCH("Voto",Tabella1[#Headers],0))),"")</f>
        <v/>
      </c>
      <c r="AD250" s="270" t="str">
        <f>_xlfn.IFNA(_xlfn.XLOOKUP(CONCATENATE(AD$4,$C250),Tabella1[CONC X VOTI IN TAB GIOC],Tabella1[Voto]),"")</f>
        <v/>
      </c>
      <c r="AE250" s="270" t="str">
        <f>_xlfn.IFNA(VLOOKUP(CONCATENATE(AE$4,$C250),'INSER DATA'!$A:$F,6,0),"")</f>
        <v/>
      </c>
      <c r="AF250" s="270" t="str">
        <f>_xlfn.IFNA(VLOOKUP(CONCATENATE(AF$4,$C250),'INSER DATA'!$A:$F,6,0),"")</f>
        <v/>
      </c>
      <c r="AG250" s="270" t="str">
        <f>_xlfn.IFNA(VLOOKUP(CONCATENATE(AG$4,$C250),'INSER DATA'!$A:$F,6,0),"")</f>
        <v/>
      </c>
      <c r="AH250" s="270" t="str">
        <f>_xlfn.IFNA(VLOOKUP(CONCATENATE(AH$4,$C250),'INSER DATA'!$A:$F,7,0),"")</f>
        <v/>
      </c>
      <c r="AI250" s="270" t="str">
        <f>_xlfn.IFNA(VLOOKUP(CONCATENATE(AI$4,$C250),'INSER DATA'!$A:$F,7,0),"")</f>
        <v/>
      </c>
      <c r="AJ250" s="270" t="str">
        <f>_xlfn.IFNA(VLOOKUP(CONCATENATE(AJ$4,$C250),'INSER DATA'!$A:$F,7,0),"")</f>
        <v/>
      </c>
      <c r="AK250" s="270" t="str">
        <f>_xlfn.IFNA(VLOOKUP(CONCATENATE(AK$4,$C250),'INSER DATA'!$A:$F,7,0),"")</f>
        <v/>
      </c>
      <c r="AL250" s="270" t="str">
        <f>_xlfn.IFNA(VLOOKUP(CONCATENATE(AL$4,$C250),'INSER DATA'!$A:$F,7,0),"")</f>
        <v/>
      </c>
      <c r="AM250" s="270" t="str">
        <f>_xlfn.IFNA(VLOOKUP(CONCATENATE(AM$4,$C250),'INSER DATA'!$A:$F,7,0),"")</f>
        <v/>
      </c>
      <c r="AN250" s="270" t="str">
        <f>_xlfn.IFNA(VLOOKUP(CONCATENATE(AN$4,$C250),'INSER DATA'!$A:$F,7,0),"")</f>
        <v/>
      </c>
      <c r="AO250" s="270" t="str">
        <f>_xlfn.IFNA(VLOOKUP(CONCATENATE(AO$4,$C250),'INSER DATA'!$A:$F,7,0),"")</f>
        <v/>
      </c>
      <c r="AP250" s="270" t="str">
        <f>_xlfn.IFNA(VLOOKUP(CONCATENATE(AP$4,$C250),'INSER DATA'!$A:$F,7,0),"")</f>
        <v/>
      </c>
      <c r="AQ250" s="270" t="str">
        <f>_xlfn.IFNA(VLOOKUP(CONCATENATE(AQ$4,$C250),'INSER DATA'!$A:$F,7,0),"")</f>
        <v/>
      </c>
      <c r="AR250" s="270" t="str">
        <f>_xlfn.IFNA(VLOOKUP(CONCATENATE(AR$4,$C250),'INSER DATA'!$A:$F,7,0),"")</f>
        <v/>
      </c>
      <c r="AS250" s="270" t="str">
        <f>_xlfn.IFNA(VLOOKUP(CONCATENATE(AS$4,$C250),'INSER DATA'!$A:$F,7,0),"")</f>
        <v/>
      </c>
      <c r="AT250" s="270" t="str">
        <f>_xlfn.IFNA(VLOOKUP(CONCATENATE(AT$4,$C250),'INSER DATA'!$A:$F,7,0),"")</f>
        <v/>
      </c>
      <c r="AU250" s="270" t="str">
        <f>_xlfn.IFNA(VLOOKUP(CONCATENATE(AU$4,$C250),'INSER DATA'!$A:$F,7,0),"")</f>
        <v/>
      </c>
      <c r="AV250" s="270" t="str">
        <f>_xlfn.IFNA(VLOOKUP(CONCATENATE(AV$4,$C250),'INSER DATA'!$A:$F,7,0),"")</f>
        <v/>
      </c>
      <c r="AW250" s="270" t="str">
        <f>_xlfn.IFNA(VLOOKUP(CONCATENATE(AW$4,$C250),'INSER DATA'!$A:$F,7,0),"")</f>
        <v/>
      </c>
      <c r="AX250" s="270" t="str">
        <f>_xlfn.IFNA(VLOOKUP(CONCATENATE(AX$4,$C250),'INSER DATA'!$A:$F,7,0),"")</f>
        <v/>
      </c>
      <c r="AY250" s="270" t="str">
        <f>_xlfn.IFNA(VLOOKUP(CONCATENATE(AY$4,$C250),'INSER DATA'!$A:$F,7,0),"")</f>
        <v/>
      </c>
      <c r="AZ250" s="270" t="str">
        <f>_xlfn.IFNA(VLOOKUP(CONCATENATE(AZ$4,$C250),'INSER DATA'!$A:$F,7,0),"")</f>
        <v/>
      </c>
      <c r="BA250" s="270" t="str">
        <f>_xlfn.IFNA(VLOOKUP(CONCATENATE(BA$4,$C250),'INSER DATA'!$A:$F,7,0),"")</f>
        <v/>
      </c>
      <c r="BB250" s="270" t="str">
        <f>_xlfn.IFNA(VLOOKUP(CONCATENATE(BB$4,$C250),'INSER DATA'!$A:$F,7,0),"")</f>
        <v/>
      </c>
      <c r="BC250" s="270" t="str">
        <f>_xlfn.IFNA(VLOOKUP(CONCATENATE(BC$4,$C250),'INSER DATA'!$A:$F,7,0),"")</f>
        <v/>
      </c>
      <c r="BD250" s="270" t="str">
        <f>_xlfn.IFNA(VLOOKUP(CONCATENATE(BD$4,$C250),'INSER DATA'!$A:$F,7,0),"")</f>
        <v/>
      </c>
      <c r="BE250" s="270" t="str">
        <f>_xlfn.IFNA(VLOOKUP(CONCATENATE(BE$4,$C250),'INSER DATA'!$A:$F,7,0),"")</f>
        <v/>
      </c>
      <c r="BF250" s="270" t="str">
        <f>_xlfn.IFNA(VLOOKUP(CONCATENATE(BF$4,$C250),'INSER DATA'!$A:$F,7,0),"")</f>
        <v/>
      </c>
      <c r="BG250" s="270" t="str">
        <f>_xlfn.IFNA(VLOOKUP(CONCATENATE(BG$4,$C250),'INSER DATA'!$A:$F,7,0),"")</f>
        <v/>
      </c>
      <c r="BH250" s="270" t="str">
        <f>_xlfn.IFNA(VLOOKUP(CONCATENATE(BH$4,$C250),'INSER DATA'!$A:$F,7,0),"")</f>
        <v/>
      </c>
      <c r="BI250" s="270" t="str">
        <f>_xlfn.IFNA(VLOOKUP(CONCATENATE(BI$4,$C250),'INSER DATA'!$A:$F,7,0),"")</f>
        <v/>
      </c>
      <c r="BJ250" s="270" t="str">
        <f>_xlfn.IFNA(VLOOKUP(CONCATENATE(BJ$4,$C250),'INSER DATA'!$A:$F,7,0),"")</f>
        <v/>
      </c>
      <c r="BK250" s="270" t="str">
        <f>_xlfn.IFNA(VLOOKUP(CONCATENATE(BK$4,$C250),'INSER DATA'!$A:$F,7,0),"")</f>
        <v/>
      </c>
      <c r="BL250" s="272"/>
      <c r="BM250" s="30"/>
      <c r="BN250" s="30"/>
      <c r="BO250" s="30"/>
      <c r="BP250" s="30"/>
      <c r="BQ250" s="30"/>
      <c r="BR250" s="30"/>
      <c r="BS250" s="30"/>
      <c r="BT250" s="30"/>
      <c r="BU250" s="30"/>
      <c r="BV250" s="30"/>
      <c r="BW250" s="30"/>
      <c r="BX250" s="30"/>
      <c r="BY250" s="30"/>
      <c r="BZ250" s="30"/>
      <c r="CA250" s="30"/>
      <c r="CB250" s="30"/>
      <c r="CC250" s="30"/>
      <c r="CD250" s="30"/>
      <c r="CE250" s="30"/>
      <c r="CF250" s="30"/>
      <c r="CG250" s="30"/>
      <c r="CH250" s="30"/>
      <c r="CI250" s="30"/>
      <c r="CJ250" s="30"/>
      <c r="CK250" s="30"/>
      <c r="CL250" s="30"/>
      <c r="CM250" s="30"/>
      <c r="CN250" s="30"/>
      <c r="CO250" s="30"/>
      <c r="CP250" s="30"/>
      <c r="CQ250" s="30"/>
      <c r="CR250" s="30"/>
      <c r="CS250" s="30"/>
      <c r="CT250" s="30"/>
      <c r="CU250" s="30"/>
      <c r="CV250" s="30"/>
      <c r="CW250" s="30"/>
      <c r="CX250" s="30"/>
      <c r="CY250" s="30"/>
      <c r="CZ250" s="30"/>
      <c r="DA250" s="30"/>
    </row>
    <row r="251" spans="1:105" ht="19.2" thickTop="1" thickBot="1" x14ac:dyDescent="0.4">
      <c r="A251" s="30"/>
      <c r="B251" s="30"/>
      <c r="C251" s="354" t="s">
        <v>797</v>
      </c>
      <c r="D251" s="355" t="s">
        <v>796</v>
      </c>
      <c r="E251" s="35" t="str">
        <f>_xlfn.XLOOKUP(Tabella4[[#This Row],[NOME]],'ROSE SQUADRE'!$N$3:$N$253,'ROSE SQUADRE'!$O$3:$O$253,"")</f>
        <v>ATL. IMPROVVISATO</v>
      </c>
      <c r="F251" s="36" t="s">
        <v>5</v>
      </c>
      <c r="G251" s="43">
        <v>1</v>
      </c>
      <c r="H251" s="43">
        <v>1</v>
      </c>
      <c r="I251" s="44">
        <f t="shared" si="19"/>
        <v>0</v>
      </c>
      <c r="J251" s="37">
        <f t="shared" si="20"/>
        <v>0</v>
      </c>
      <c r="K251" s="178">
        <f t="shared" si="21"/>
        <v>0</v>
      </c>
      <c r="L251" s="178">
        <f t="shared" si="22"/>
        <v>0</v>
      </c>
      <c r="M251" s="179">
        <f t="shared" si="23"/>
        <v>0</v>
      </c>
      <c r="N251" s="45">
        <f t="shared" ca="1" si="24"/>
        <v>0</v>
      </c>
      <c r="O251" s="40">
        <f>SUMIF(Tabella1[Nome],Tabella4[[#This Row],[NOME]],Tabella1[Gf])</f>
        <v>0</v>
      </c>
      <c r="P251" s="40">
        <f>-(SUMIF(Tabella1[Nome],Tabella4[[#This Row],[NOME]],Tabella1[Gs]))</f>
        <v>0</v>
      </c>
      <c r="Q251" s="40">
        <f>SUMIF(Tabella1[Nome],Tabella4[[#This Row],[NOME]],Tabella1[Rp])</f>
        <v>0</v>
      </c>
      <c r="R251" s="40">
        <f>SUMIF(Tabella1[Nome],Tabella4[[#This Row],[NOME]],Tabella1[Rs])</f>
        <v>0</v>
      </c>
      <c r="S251" s="40">
        <f>SUMIF(Tabella1[Nome],Tabella4[[#This Row],[NOME]],Tabella1[Rf])</f>
        <v>0</v>
      </c>
      <c r="T251" s="40">
        <f>SUMIF(Tabella1[Nome],Tabella4[[#This Row],[NOME]],Tabella1[Au])</f>
        <v>0</v>
      </c>
      <c r="U251" s="41">
        <f>SUMIF(Tabella1[Nome],Tabella4[[#This Row],[NOME]],Tabella1[Amm])</f>
        <v>0</v>
      </c>
      <c r="V251" s="42">
        <f>SUMIF(Tabella1[Nome],Tabella4[[#This Row],[NOME]],Tabella1[Esp])</f>
        <v>0</v>
      </c>
      <c r="W251" s="40">
        <f>SUMIF(Tabella1[Nome],Tabella4[[#This Row],[NOME]],Tabella1[Ass])</f>
        <v>0</v>
      </c>
      <c r="X251" s="40">
        <f>SUMIF(Tabella1[Nome],Tabella4[[#This Row],[NOME]],Tabella1[Gdv])</f>
        <v>0</v>
      </c>
      <c r="Y251" s="40">
        <f>SUMIF(Tabella1[Nome],Tabella4[[#This Row],[NOME]],Tabella1[cl sh])</f>
        <v>0</v>
      </c>
      <c r="Z251" s="270" t="str">
        <f>_xlfn.IFNA(_xlfn.XLOOKUP(CONCATENATE(Z$4,$C251),Tabella1[CONC X VOTI IN TAB GIOC],Tabella1[Voto],""),"")</f>
        <v/>
      </c>
      <c r="AA251" s="270" t="str">
        <f>_xlfn.IFNA(_xlfn.XLOOKUP(CONCATENATE(AA$4,$C251),Tabella1[CONC X VOTI IN TAB GIOC],Tabella1[Voto],""),"")</f>
        <v/>
      </c>
      <c r="AB251" s="270" t="str">
        <f>_xlfn.IFNA(_xlfn.XLOOKUP(CONCATENATE(AB$4,$C251),Tabella1[CONC X VOTI IN TAB GIOC],Tabella1[Voto]),"")</f>
        <v/>
      </c>
      <c r="AC251" s="270" t="str" cm="1">
        <f t="array" ref="AC251">_xlfn.IFNA(_xlfn.XLOOKUP(CONCATENATE(AC$4,$C251),INDEX(Tabella1[],0,MATCH("CONC X VOTI IN TAB GIOC",Tabella1[#Headers],0)),INDEX(Tabella1[],0,MATCH("Voto",Tabella1[#Headers],0))),"")</f>
        <v/>
      </c>
      <c r="AD251" s="270" t="str">
        <f>_xlfn.IFNA(_xlfn.XLOOKUP(CONCATENATE(AD$4,$C251),Tabella1[CONC X VOTI IN TAB GIOC],Tabella1[Voto]),"")</f>
        <v/>
      </c>
      <c r="AE251" s="270" t="str">
        <f>_xlfn.IFNA(VLOOKUP(CONCATENATE(AE$4,$C251),'INSER DATA'!$A:$F,6,0),"")</f>
        <v/>
      </c>
      <c r="AF251" s="270" t="str">
        <f>_xlfn.IFNA(VLOOKUP(CONCATENATE(AF$4,$C251),'INSER DATA'!$A:$F,6,0),"")</f>
        <v/>
      </c>
      <c r="AG251" s="270" t="str">
        <f>_xlfn.IFNA(VLOOKUP(CONCATENATE(AG$4,$C251),'INSER DATA'!$A:$F,6,0),"")</f>
        <v/>
      </c>
      <c r="AH251" s="270" t="str">
        <f>_xlfn.IFNA(VLOOKUP(CONCATENATE(AH$4,$C251),'INSER DATA'!$A:$F,7,0),"")</f>
        <v/>
      </c>
      <c r="AI251" s="270" t="str">
        <f>_xlfn.IFNA(VLOOKUP(CONCATENATE(AI$4,$C251),'INSER DATA'!$A:$F,7,0),"")</f>
        <v/>
      </c>
      <c r="AJ251" s="270" t="str">
        <f>_xlfn.IFNA(VLOOKUP(CONCATENATE(AJ$4,$C251),'INSER DATA'!$A:$F,7,0),"")</f>
        <v/>
      </c>
      <c r="AK251" s="270" t="str">
        <f>_xlfn.IFNA(VLOOKUP(CONCATENATE(AK$4,$C251),'INSER DATA'!$A:$F,7,0),"")</f>
        <v/>
      </c>
      <c r="AL251" s="270" t="str">
        <f>_xlfn.IFNA(VLOOKUP(CONCATENATE(AL$4,$C251),'INSER DATA'!$A:$F,7,0),"")</f>
        <v/>
      </c>
      <c r="AM251" s="270" t="str">
        <f>_xlfn.IFNA(VLOOKUP(CONCATENATE(AM$4,$C251),'INSER DATA'!$A:$F,7,0),"")</f>
        <v/>
      </c>
      <c r="AN251" s="270" t="str">
        <f>_xlfn.IFNA(VLOOKUP(CONCATENATE(AN$4,$C251),'INSER DATA'!$A:$F,7,0),"")</f>
        <v/>
      </c>
      <c r="AO251" s="270" t="str">
        <f>_xlfn.IFNA(VLOOKUP(CONCATENATE(AO$4,$C251),'INSER DATA'!$A:$F,7,0),"")</f>
        <v/>
      </c>
      <c r="AP251" s="270" t="str">
        <f>_xlfn.IFNA(VLOOKUP(CONCATENATE(AP$4,$C251),'INSER DATA'!$A:$F,7,0),"")</f>
        <v/>
      </c>
      <c r="AQ251" s="270" t="str">
        <f>_xlfn.IFNA(VLOOKUP(CONCATENATE(AQ$4,$C251),'INSER DATA'!$A:$F,7,0),"")</f>
        <v/>
      </c>
      <c r="AR251" s="270" t="str">
        <f>_xlfn.IFNA(VLOOKUP(CONCATENATE(AR$4,$C251),'INSER DATA'!$A:$F,7,0),"")</f>
        <v/>
      </c>
      <c r="AS251" s="270" t="str">
        <f>_xlfn.IFNA(VLOOKUP(CONCATENATE(AS$4,$C251),'INSER DATA'!$A:$F,7,0),"")</f>
        <v/>
      </c>
      <c r="AT251" s="270" t="str">
        <f>_xlfn.IFNA(VLOOKUP(CONCATENATE(AT$4,$C251),'INSER DATA'!$A:$F,7,0),"")</f>
        <v/>
      </c>
      <c r="AU251" s="270" t="str">
        <f>_xlfn.IFNA(VLOOKUP(CONCATENATE(AU$4,$C251),'INSER DATA'!$A:$F,7,0),"")</f>
        <v/>
      </c>
      <c r="AV251" s="270" t="str">
        <f>_xlfn.IFNA(VLOOKUP(CONCATENATE(AV$4,$C251),'INSER DATA'!$A:$F,7,0),"")</f>
        <v/>
      </c>
      <c r="AW251" s="270" t="str">
        <f>_xlfn.IFNA(VLOOKUP(CONCATENATE(AW$4,$C251),'INSER DATA'!$A:$F,7,0),"")</f>
        <v/>
      </c>
      <c r="AX251" s="270" t="str">
        <f>_xlfn.IFNA(VLOOKUP(CONCATENATE(AX$4,$C251),'INSER DATA'!$A:$F,7,0),"")</f>
        <v/>
      </c>
      <c r="AY251" s="270" t="str">
        <f>_xlfn.IFNA(VLOOKUP(CONCATENATE(AY$4,$C251),'INSER DATA'!$A:$F,7,0),"")</f>
        <v/>
      </c>
      <c r="AZ251" s="270" t="str">
        <f>_xlfn.IFNA(VLOOKUP(CONCATENATE(AZ$4,$C251),'INSER DATA'!$A:$F,7,0),"")</f>
        <v/>
      </c>
      <c r="BA251" s="270" t="str">
        <f>_xlfn.IFNA(VLOOKUP(CONCATENATE(BA$4,$C251),'INSER DATA'!$A:$F,7,0),"")</f>
        <v/>
      </c>
      <c r="BB251" s="270" t="str">
        <f>_xlfn.IFNA(VLOOKUP(CONCATENATE(BB$4,$C251),'INSER DATA'!$A:$F,7,0),"")</f>
        <v/>
      </c>
      <c r="BC251" s="270" t="str">
        <f>_xlfn.IFNA(VLOOKUP(CONCATENATE(BC$4,$C251),'INSER DATA'!$A:$F,7,0),"")</f>
        <v/>
      </c>
      <c r="BD251" s="270" t="str">
        <f>_xlfn.IFNA(VLOOKUP(CONCATENATE(BD$4,$C251),'INSER DATA'!$A:$F,7,0),"")</f>
        <v/>
      </c>
      <c r="BE251" s="270" t="str">
        <f>_xlfn.IFNA(VLOOKUP(CONCATENATE(BE$4,$C251),'INSER DATA'!$A:$F,7,0),"")</f>
        <v/>
      </c>
      <c r="BF251" s="270" t="str">
        <f>_xlfn.IFNA(VLOOKUP(CONCATENATE(BF$4,$C251),'INSER DATA'!$A:$F,7,0),"")</f>
        <v/>
      </c>
      <c r="BG251" s="270" t="str">
        <f>_xlfn.IFNA(VLOOKUP(CONCATENATE(BG$4,$C251),'INSER DATA'!$A:$F,7,0),"")</f>
        <v/>
      </c>
      <c r="BH251" s="270" t="str">
        <f>_xlfn.IFNA(VLOOKUP(CONCATENATE(BH$4,$C251),'INSER DATA'!$A:$F,7,0),"")</f>
        <v/>
      </c>
      <c r="BI251" s="270" t="str">
        <f>_xlfn.IFNA(VLOOKUP(CONCATENATE(BI$4,$C251),'INSER DATA'!$A:$F,7,0),"")</f>
        <v/>
      </c>
      <c r="BJ251" s="270" t="str">
        <f>_xlfn.IFNA(VLOOKUP(CONCATENATE(BJ$4,$C251),'INSER DATA'!$A:$F,7,0),"")</f>
        <v/>
      </c>
      <c r="BK251" s="270" t="str">
        <f>_xlfn.IFNA(VLOOKUP(CONCATENATE(BK$4,$C251),'INSER DATA'!$A:$F,7,0),"")</f>
        <v/>
      </c>
      <c r="BL251" s="272"/>
      <c r="BM251" s="30"/>
      <c r="BN251" s="30"/>
      <c r="BO251" s="30"/>
      <c r="BP251" s="30"/>
      <c r="BQ251" s="30"/>
      <c r="BR251" s="30"/>
      <c r="BS251" s="30"/>
      <c r="BT251" s="30"/>
      <c r="BU251" s="30"/>
      <c r="BV251" s="30"/>
      <c r="BW251" s="30"/>
      <c r="BX251" s="30"/>
      <c r="BY251" s="30"/>
      <c r="BZ251" s="30"/>
      <c r="CA251" s="30"/>
      <c r="CB251" s="30"/>
      <c r="CC251" s="30"/>
      <c r="CD251" s="30"/>
      <c r="CE251" s="30"/>
      <c r="CF251" s="30"/>
      <c r="CG251" s="30"/>
      <c r="CH251" s="30"/>
      <c r="CI251" s="30"/>
      <c r="CJ251" s="30"/>
      <c r="CK251" s="30"/>
      <c r="CL251" s="30"/>
      <c r="CM251" s="30"/>
      <c r="CN251" s="30"/>
      <c r="CO251" s="30"/>
      <c r="CP251" s="30"/>
      <c r="CQ251" s="30"/>
      <c r="CR251" s="30"/>
      <c r="CS251" s="30"/>
      <c r="CT251" s="30"/>
      <c r="CU251" s="30"/>
      <c r="CV251" s="30"/>
      <c r="CW251" s="30"/>
      <c r="CX251" s="30"/>
      <c r="CY251" s="30"/>
      <c r="CZ251" s="30"/>
      <c r="DA251" s="30"/>
    </row>
    <row r="252" spans="1:105" s="184" customFormat="1" ht="19.2" thickTop="1" thickBot="1" x14ac:dyDescent="0.4">
      <c r="A252" s="30"/>
      <c r="B252" s="30"/>
      <c r="C252" s="185" t="s">
        <v>798</v>
      </c>
      <c r="D252" s="187" t="s">
        <v>796</v>
      </c>
      <c r="E252" s="35" t="str">
        <f>_xlfn.XLOOKUP(Tabella4[[#This Row],[NOME]],'ROSE SQUADRE'!$N$3:$N$253,'ROSE SQUADRE'!$O$3:$O$253,"")</f>
        <v/>
      </c>
      <c r="F252" s="36" t="s">
        <v>5</v>
      </c>
      <c r="G252" s="43">
        <v>1</v>
      </c>
      <c r="H252" s="43">
        <v>1</v>
      </c>
      <c r="I252" s="44">
        <f t="shared" si="19"/>
        <v>0</v>
      </c>
      <c r="J252" s="37">
        <f t="shared" si="20"/>
        <v>0</v>
      </c>
      <c r="K252" s="38">
        <f t="shared" si="21"/>
        <v>0</v>
      </c>
      <c r="L252" s="38">
        <f t="shared" si="22"/>
        <v>0</v>
      </c>
      <c r="M252" s="39">
        <f t="shared" si="23"/>
        <v>0</v>
      </c>
      <c r="N252" s="45">
        <f t="shared" ca="1" si="24"/>
        <v>0</v>
      </c>
      <c r="O252" s="40">
        <f>SUMIF(Tabella1[Nome],Tabella4[[#This Row],[NOME]],Tabella1[Gf])</f>
        <v>0</v>
      </c>
      <c r="P252" s="40">
        <f>-(SUMIF(Tabella1[Nome],Tabella4[[#This Row],[NOME]],Tabella1[Gs]))</f>
        <v>0</v>
      </c>
      <c r="Q252" s="40">
        <f>SUMIF(Tabella1[Nome],Tabella4[[#This Row],[NOME]],Tabella1[Rp])</f>
        <v>0</v>
      </c>
      <c r="R252" s="40">
        <f>SUMIF(Tabella1[Nome],Tabella4[[#This Row],[NOME]],Tabella1[Rs])</f>
        <v>0</v>
      </c>
      <c r="S252" s="40">
        <f>SUMIF(Tabella1[Nome],Tabella4[[#This Row],[NOME]],Tabella1[Rf])</f>
        <v>0</v>
      </c>
      <c r="T252" s="40">
        <f>SUMIF(Tabella1[Nome],Tabella4[[#This Row],[NOME]],Tabella1[Au])</f>
        <v>0</v>
      </c>
      <c r="U252" s="41">
        <f>SUMIF(Tabella1[Nome],Tabella4[[#This Row],[NOME]],Tabella1[Amm])</f>
        <v>0</v>
      </c>
      <c r="V252" s="42">
        <f>SUMIF(Tabella1[Nome],Tabella4[[#This Row],[NOME]],Tabella1[Esp])</f>
        <v>0</v>
      </c>
      <c r="W252" s="40">
        <f>SUMIF(Tabella1[Nome],Tabella4[[#This Row],[NOME]],Tabella1[Ass])</f>
        <v>0</v>
      </c>
      <c r="X252" s="40">
        <f>SUMIF(Tabella1[Nome],Tabella4[[#This Row],[NOME]],Tabella1[Gdv])</f>
        <v>0</v>
      </c>
      <c r="Y252" s="40">
        <f>SUMIF(Tabella1[Nome],Tabella4[[#This Row],[NOME]],Tabella1[cl sh])</f>
        <v>0</v>
      </c>
      <c r="Z252" s="270" t="str">
        <f>_xlfn.IFNA(_xlfn.XLOOKUP(CONCATENATE(Z$4,$C252),Tabella1[CONC X VOTI IN TAB GIOC],Tabella1[Voto],""),"")</f>
        <v/>
      </c>
      <c r="AA252" s="270" t="str">
        <f>_xlfn.IFNA(_xlfn.XLOOKUP(CONCATENATE(AA$4,$C252),Tabella1[CONC X VOTI IN TAB GIOC],Tabella1[Voto],""),"")</f>
        <v/>
      </c>
      <c r="AB252" s="270" t="str">
        <f>_xlfn.IFNA(_xlfn.XLOOKUP(CONCATENATE(AB$4,$C252),Tabella1[CONC X VOTI IN TAB GIOC],Tabella1[Voto]),"")</f>
        <v/>
      </c>
      <c r="AC252" s="270" t="str" cm="1">
        <f t="array" ref="AC252">_xlfn.IFNA(_xlfn.XLOOKUP(CONCATENATE(AC$4,$C252),INDEX(Tabella1[],0,MATCH("CONC X VOTI IN TAB GIOC",Tabella1[#Headers],0)),INDEX(Tabella1[],0,MATCH("Voto",Tabella1[#Headers],0))),"")</f>
        <v/>
      </c>
      <c r="AD252" s="270" t="str">
        <f>_xlfn.IFNA(_xlfn.XLOOKUP(CONCATENATE(AD$4,$C252),Tabella1[CONC X VOTI IN TAB GIOC],Tabella1[Voto]),"")</f>
        <v/>
      </c>
      <c r="AE252" s="270" t="str">
        <f>_xlfn.IFNA(VLOOKUP(CONCATENATE(AE$4,$C252),'INSER DATA'!$A:$F,6,0),"")</f>
        <v/>
      </c>
      <c r="AF252" s="270" t="str">
        <f>_xlfn.IFNA(VLOOKUP(CONCATENATE(AF$4,$C252),'INSER DATA'!$A:$F,6,0),"")</f>
        <v/>
      </c>
      <c r="AG252" s="270" t="str">
        <f>_xlfn.IFNA(VLOOKUP(CONCATENATE(AG$4,$C252),'INSER DATA'!$A:$F,6,0),"")</f>
        <v/>
      </c>
      <c r="AH252" s="270" t="str">
        <f>_xlfn.IFNA(VLOOKUP(CONCATENATE(AH$4,$C252),'INSER DATA'!$A:$F,7,0),"")</f>
        <v/>
      </c>
      <c r="AI252" s="270" t="str">
        <f>_xlfn.IFNA(VLOOKUP(CONCATENATE(AI$4,$C252),'INSER DATA'!$A:$F,7,0),"")</f>
        <v/>
      </c>
      <c r="AJ252" s="270" t="str">
        <f>_xlfn.IFNA(VLOOKUP(CONCATENATE(AJ$4,$C252),'INSER DATA'!$A:$F,7,0),"")</f>
        <v/>
      </c>
      <c r="AK252" s="270" t="str">
        <f>_xlfn.IFNA(VLOOKUP(CONCATENATE(AK$4,$C252),'INSER DATA'!$A:$F,7,0),"")</f>
        <v/>
      </c>
      <c r="AL252" s="270" t="str">
        <f>_xlfn.IFNA(VLOOKUP(CONCATENATE(AL$4,$C252),'INSER DATA'!$A:$F,7,0),"")</f>
        <v/>
      </c>
      <c r="AM252" s="270" t="str">
        <f>_xlfn.IFNA(VLOOKUP(CONCATENATE(AM$4,$C252),'INSER DATA'!$A:$F,7,0),"")</f>
        <v/>
      </c>
      <c r="AN252" s="270" t="str">
        <f>_xlfn.IFNA(VLOOKUP(CONCATENATE(AN$4,$C252),'INSER DATA'!$A:$F,7,0),"")</f>
        <v/>
      </c>
      <c r="AO252" s="270" t="str">
        <f>_xlfn.IFNA(VLOOKUP(CONCATENATE(AO$4,$C252),'INSER DATA'!$A:$F,7,0),"")</f>
        <v/>
      </c>
      <c r="AP252" s="270" t="str">
        <f>_xlfn.IFNA(VLOOKUP(CONCATENATE(AP$4,$C252),'INSER DATA'!$A:$F,7,0),"")</f>
        <v/>
      </c>
      <c r="AQ252" s="270" t="str">
        <f>_xlfn.IFNA(VLOOKUP(CONCATENATE(AQ$4,$C252),'INSER DATA'!$A:$F,7,0),"")</f>
        <v/>
      </c>
      <c r="AR252" s="270" t="str">
        <f>_xlfn.IFNA(VLOOKUP(CONCATENATE(AR$4,$C252),'INSER DATA'!$A:$F,7,0),"")</f>
        <v/>
      </c>
      <c r="AS252" s="270" t="str">
        <f>_xlfn.IFNA(VLOOKUP(CONCATENATE(AS$4,$C252),'INSER DATA'!$A:$F,7,0),"")</f>
        <v/>
      </c>
      <c r="AT252" s="270" t="str">
        <f>_xlfn.IFNA(VLOOKUP(CONCATENATE(AT$4,$C252),'INSER DATA'!$A:$F,7,0),"")</f>
        <v/>
      </c>
      <c r="AU252" s="270" t="str">
        <f>_xlfn.IFNA(VLOOKUP(CONCATENATE(AU$4,$C252),'INSER DATA'!$A:$F,7,0),"")</f>
        <v/>
      </c>
      <c r="AV252" s="270" t="str">
        <f>_xlfn.IFNA(VLOOKUP(CONCATENATE(AV$4,$C252),'INSER DATA'!$A:$F,7,0),"")</f>
        <v/>
      </c>
      <c r="AW252" s="270" t="str">
        <f>_xlfn.IFNA(VLOOKUP(CONCATENATE(AW$4,$C252),'INSER DATA'!$A:$F,7,0),"")</f>
        <v/>
      </c>
      <c r="AX252" s="270" t="str">
        <f>_xlfn.IFNA(VLOOKUP(CONCATENATE(AX$4,$C252),'INSER DATA'!$A:$F,7,0),"")</f>
        <v/>
      </c>
      <c r="AY252" s="270" t="str">
        <f>_xlfn.IFNA(VLOOKUP(CONCATENATE(AY$4,$C252),'INSER DATA'!$A:$F,7,0),"")</f>
        <v/>
      </c>
      <c r="AZ252" s="270" t="str">
        <f>_xlfn.IFNA(VLOOKUP(CONCATENATE(AZ$4,$C252),'INSER DATA'!$A:$F,7,0),"")</f>
        <v/>
      </c>
      <c r="BA252" s="270" t="str">
        <f>_xlfn.IFNA(VLOOKUP(CONCATENATE(BA$4,$C252),'INSER DATA'!$A:$F,7,0),"")</f>
        <v/>
      </c>
      <c r="BB252" s="270" t="str">
        <f>_xlfn.IFNA(VLOOKUP(CONCATENATE(BB$4,$C252),'INSER DATA'!$A:$F,7,0),"")</f>
        <v/>
      </c>
      <c r="BC252" s="270" t="str">
        <f>_xlfn.IFNA(VLOOKUP(CONCATENATE(BC$4,$C252),'INSER DATA'!$A:$F,7,0),"")</f>
        <v/>
      </c>
      <c r="BD252" s="270" t="str">
        <f>_xlfn.IFNA(VLOOKUP(CONCATENATE(BD$4,$C252),'INSER DATA'!$A:$F,7,0),"")</f>
        <v/>
      </c>
      <c r="BE252" s="270" t="str">
        <f>_xlfn.IFNA(VLOOKUP(CONCATENATE(BE$4,$C252),'INSER DATA'!$A:$F,7,0),"")</f>
        <v/>
      </c>
      <c r="BF252" s="270" t="str">
        <f>_xlfn.IFNA(VLOOKUP(CONCATENATE(BF$4,$C252),'INSER DATA'!$A:$F,7,0),"")</f>
        <v/>
      </c>
      <c r="BG252" s="270" t="str">
        <f>_xlfn.IFNA(VLOOKUP(CONCATENATE(BG$4,$C252),'INSER DATA'!$A:$F,7,0),"")</f>
        <v/>
      </c>
      <c r="BH252" s="270" t="str">
        <f>_xlfn.IFNA(VLOOKUP(CONCATENATE(BH$4,$C252),'INSER DATA'!$A:$F,7,0),"")</f>
        <v/>
      </c>
      <c r="BI252" s="270" t="str">
        <f>_xlfn.IFNA(VLOOKUP(CONCATENATE(BI$4,$C252),'INSER DATA'!$A:$F,7,0),"")</f>
        <v/>
      </c>
      <c r="BJ252" s="270" t="str">
        <f>_xlfn.IFNA(VLOOKUP(CONCATENATE(BJ$4,$C252),'INSER DATA'!$A:$F,7,0),"")</f>
        <v/>
      </c>
      <c r="BK252" s="270" t="str">
        <f>_xlfn.IFNA(VLOOKUP(CONCATENATE(BK$4,$C252),'INSER DATA'!$A:$F,7,0),"")</f>
        <v/>
      </c>
      <c r="BL252" s="272"/>
    </row>
    <row r="253" spans="1:105" ht="19.2" thickTop="1" thickBot="1" x14ac:dyDescent="0.4">
      <c r="A253" s="30"/>
      <c r="B253" s="30"/>
      <c r="C253" s="185" t="s">
        <v>290</v>
      </c>
      <c r="D253" s="187" t="s">
        <v>796</v>
      </c>
      <c r="E253" s="35" t="str">
        <f>_xlfn.XLOOKUP(Tabella4[[#This Row],[NOME]],'ROSE SQUADRE'!$N$3:$N$253,'ROSE SQUADRE'!$O$3:$O$253,"")</f>
        <v/>
      </c>
      <c r="F253" s="36" t="s">
        <v>161</v>
      </c>
      <c r="G253" s="43">
        <v>2</v>
      </c>
      <c r="H253" s="43">
        <v>2</v>
      </c>
      <c r="I253" s="44">
        <f t="shared" si="19"/>
        <v>0</v>
      </c>
      <c r="J253" s="37">
        <f t="shared" si="20"/>
        <v>0</v>
      </c>
      <c r="K253" s="38">
        <f t="shared" si="21"/>
        <v>0</v>
      </c>
      <c r="L253" s="38">
        <f t="shared" si="22"/>
        <v>0</v>
      </c>
      <c r="M253" s="39">
        <f t="shared" si="23"/>
        <v>0</v>
      </c>
      <c r="N253" s="45">
        <f t="shared" ca="1" si="24"/>
        <v>0</v>
      </c>
      <c r="O253" s="40">
        <f>SUMIF(Tabella1[Nome],Tabella4[[#This Row],[NOME]],Tabella1[Gf])</f>
        <v>0</v>
      </c>
      <c r="P253" s="40">
        <f>-(SUMIF(Tabella1[Nome],Tabella4[[#This Row],[NOME]],Tabella1[Gs]))</f>
        <v>0</v>
      </c>
      <c r="Q253" s="40">
        <f>SUMIF(Tabella1[Nome],Tabella4[[#This Row],[NOME]],Tabella1[Rp])</f>
        <v>0</v>
      </c>
      <c r="R253" s="40">
        <f>SUMIF(Tabella1[Nome],Tabella4[[#This Row],[NOME]],Tabella1[Rs])</f>
        <v>0</v>
      </c>
      <c r="S253" s="40">
        <f>SUMIF(Tabella1[Nome],Tabella4[[#This Row],[NOME]],Tabella1[Rf])</f>
        <v>0</v>
      </c>
      <c r="T253" s="40">
        <f>SUMIF(Tabella1[Nome],Tabella4[[#This Row],[NOME]],Tabella1[Au])</f>
        <v>0</v>
      </c>
      <c r="U253" s="41">
        <f>SUMIF(Tabella1[Nome],Tabella4[[#This Row],[NOME]],Tabella1[Amm])</f>
        <v>0</v>
      </c>
      <c r="V253" s="42">
        <f>SUMIF(Tabella1[Nome],Tabella4[[#This Row],[NOME]],Tabella1[Esp])</f>
        <v>0</v>
      </c>
      <c r="W253" s="40">
        <f>SUMIF(Tabella1[Nome],Tabella4[[#This Row],[NOME]],Tabella1[Ass])</f>
        <v>0</v>
      </c>
      <c r="X253" s="40">
        <f>SUMIF(Tabella1[Nome],Tabella4[[#This Row],[NOME]],Tabella1[Gdv])</f>
        <v>0</v>
      </c>
      <c r="Y253" s="40">
        <f>SUMIF(Tabella1[Nome],Tabella4[[#This Row],[NOME]],Tabella1[cl sh])</f>
        <v>0</v>
      </c>
      <c r="Z253" s="270" t="str">
        <f>_xlfn.IFNA(_xlfn.XLOOKUP(CONCATENATE(Z$4,$C253),Tabella1[CONC X VOTI IN TAB GIOC],Tabella1[Voto],""),"")</f>
        <v/>
      </c>
      <c r="AA253" s="270" t="str">
        <f>_xlfn.IFNA(_xlfn.XLOOKUP(CONCATENATE(AA$4,$C253),Tabella1[CONC X VOTI IN TAB GIOC],Tabella1[Voto],""),"")</f>
        <v/>
      </c>
      <c r="AB253" s="270" t="str">
        <f>_xlfn.IFNA(_xlfn.XLOOKUP(CONCATENATE(AB$4,$C253),Tabella1[CONC X VOTI IN TAB GIOC],Tabella1[Voto]),"")</f>
        <v/>
      </c>
      <c r="AC253" s="270" t="str" cm="1">
        <f t="array" ref="AC253">_xlfn.IFNA(_xlfn.XLOOKUP(CONCATENATE(AC$4,$C253),INDEX(Tabella1[],0,MATCH("CONC X VOTI IN TAB GIOC",Tabella1[#Headers],0)),INDEX(Tabella1[],0,MATCH("Voto",Tabella1[#Headers],0))),"")</f>
        <v/>
      </c>
      <c r="AD253" s="270" t="str">
        <f>_xlfn.IFNA(_xlfn.XLOOKUP(CONCATENATE(AD$4,$C253),Tabella1[CONC X VOTI IN TAB GIOC],Tabella1[Voto]),"")</f>
        <v/>
      </c>
      <c r="AE253" s="270" t="str">
        <f>_xlfn.IFNA(VLOOKUP(CONCATENATE(AE$4,$C253),'INSER DATA'!$A:$F,6,0),"")</f>
        <v/>
      </c>
      <c r="AF253" s="270" t="str">
        <f>_xlfn.IFNA(VLOOKUP(CONCATENATE(AF$4,$C253),'INSER DATA'!$A:$F,6,0),"")</f>
        <v/>
      </c>
      <c r="AG253" s="270" t="str">
        <f>_xlfn.IFNA(VLOOKUP(CONCATENATE(AG$4,$C253),'INSER DATA'!$A:$F,6,0),"")</f>
        <v/>
      </c>
      <c r="AH253" s="270" t="str">
        <f>_xlfn.IFNA(VLOOKUP(CONCATENATE(AH$4,$C253),'INSER DATA'!$A:$F,7,0),"")</f>
        <v/>
      </c>
      <c r="AI253" s="270" t="str">
        <f>_xlfn.IFNA(VLOOKUP(CONCATENATE(AI$4,$C253),'INSER DATA'!$A:$F,7,0),"")</f>
        <v/>
      </c>
      <c r="AJ253" s="270" t="str">
        <f>_xlfn.IFNA(VLOOKUP(CONCATENATE(AJ$4,$C253),'INSER DATA'!$A:$F,7,0),"")</f>
        <v/>
      </c>
      <c r="AK253" s="270" t="str">
        <f>_xlfn.IFNA(VLOOKUP(CONCATENATE(AK$4,$C253),'INSER DATA'!$A:$F,7,0),"")</f>
        <v/>
      </c>
      <c r="AL253" s="270" t="str">
        <f>_xlfn.IFNA(VLOOKUP(CONCATENATE(AL$4,$C253),'INSER DATA'!$A:$F,7,0),"")</f>
        <v/>
      </c>
      <c r="AM253" s="270" t="str">
        <f>_xlfn.IFNA(VLOOKUP(CONCATENATE(AM$4,$C253),'INSER DATA'!$A:$F,7,0),"")</f>
        <v/>
      </c>
      <c r="AN253" s="270" t="str">
        <f>_xlfn.IFNA(VLOOKUP(CONCATENATE(AN$4,$C253),'INSER DATA'!$A:$F,7,0),"")</f>
        <v/>
      </c>
      <c r="AO253" s="270" t="str">
        <f>_xlfn.IFNA(VLOOKUP(CONCATENATE(AO$4,$C253),'INSER DATA'!$A:$F,7,0),"")</f>
        <v/>
      </c>
      <c r="AP253" s="270" t="str">
        <f>_xlfn.IFNA(VLOOKUP(CONCATENATE(AP$4,$C253),'INSER DATA'!$A:$F,7,0),"")</f>
        <v/>
      </c>
      <c r="AQ253" s="270" t="str">
        <f>_xlfn.IFNA(VLOOKUP(CONCATENATE(AQ$4,$C253),'INSER DATA'!$A:$F,7,0),"")</f>
        <v/>
      </c>
      <c r="AR253" s="270" t="str">
        <f>_xlfn.IFNA(VLOOKUP(CONCATENATE(AR$4,$C253),'INSER DATA'!$A:$F,7,0),"")</f>
        <v/>
      </c>
      <c r="AS253" s="270" t="str">
        <f>_xlfn.IFNA(VLOOKUP(CONCATENATE(AS$4,$C253),'INSER DATA'!$A:$F,7,0),"")</f>
        <v/>
      </c>
      <c r="AT253" s="270" t="str">
        <f>_xlfn.IFNA(VLOOKUP(CONCATENATE(AT$4,$C253),'INSER DATA'!$A:$F,7,0),"")</f>
        <v/>
      </c>
      <c r="AU253" s="270" t="str">
        <f>_xlfn.IFNA(VLOOKUP(CONCATENATE(AU$4,$C253),'INSER DATA'!$A:$F,7,0),"")</f>
        <v/>
      </c>
      <c r="AV253" s="270" t="str">
        <f>_xlfn.IFNA(VLOOKUP(CONCATENATE(AV$4,$C253),'INSER DATA'!$A:$F,7,0),"")</f>
        <v/>
      </c>
      <c r="AW253" s="270" t="str">
        <f>_xlfn.IFNA(VLOOKUP(CONCATENATE(AW$4,$C253),'INSER DATA'!$A:$F,7,0),"")</f>
        <v/>
      </c>
      <c r="AX253" s="270" t="str">
        <f>_xlfn.IFNA(VLOOKUP(CONCATENATE(AX$4,$C253),'INSER DATA'!$A:$F,7,0),"")</f>
        <v/>
      </c>
      <c r="AY253" s="270" t="str">
        <f>_xlfn.IFNA(VLOOKUP(CONCATENATE(AY$4,$C253),'INSER DATA'!$A:$F,7,0),"")</f>
        <v/>
      </c>
      <c r="AZ253" s="270" t="str">
        <f>_xlfn.IFNA(VLOOKUP(CONCATENATE(AZ$4,$C253),'INSER DATA'!$A:$F,7,0),"")</f>
        <v/>
      </c>
      <c r="BA253" s="270" t="str">
        <f>_xlfn.IFNA(VLOOKUP(CONCATENATE(BA$4,$C253),'INSER DATA'!$A:$F,7,0),"")</f>
        <v/>
      </c>
      <c r="BB253" s="270" t="str">
        <f>_xlfn.IFNA(VLOOKUP(CONCATENATE(BB$4,$C253),'INSER DATA'!$A:$F,7,0),"")</f>
        <v/>
      </c>
      <c r="BC253" s="270" t="str">
        <f>_xlfn.IFNA(VLOOKUP(CONCATENATE(BC$4,$C253),'INSER DATA'!$A:$F,7,0),"")</f>
        <v/>
      </c>
      <c r="BD253" s="270" t="str">
        <f>_xlfn.IFNA(VLOOKUP(CONCATENATE(BD$4,$C253),'INSER DATA'!$A:$F,7,0),"")</f>
        <v/>
      </c>
      <c r="BE253" s="270" t="str">
        <f>_xlfn.IFNA(VLOOKUP(CONCATENATE(BE$4,$C253),'INSER DATA'!$A:$F,7,0),"")</f>
        <v/>
      </c>
      <c r="BF253" s="270" t="str">
        <f>_xlfn.IFNA(VLOOKUP(CONCATENATE(BF$4,$C253),'INSER DATA'!$A:$F,7,0),"")</f>
        <v/>
      </c>
      <c r="BG253" s="270" t="str">
        <f>_xlfn.IFNA(VLOOKUP(CONCATENATE(BG$4,$C253),'INSER DATA'!$A:$F,7,0),"")</f>
        <v/>
      </c>
      <c r="BH253" s="270" t="str">
        <f>_xlfn.IFNA(VLOOKUP(CONCATENATE(BH$4,$C253),'INSER DATA'!$A:$F,7,0),"")</f>
        <v/>
      </c>
      <c r="BI253" s="270" t="str">
        <f>_xlfn.IFNA(VLOOKUP(CONCATENATE(BI$4,$C253),'INSER DATA'!$A:$F,7,0),"")</f>
        <v/>
      </c>
      <c r="BJ253" s="270" t="str">
        <f>_xlfn.IFNA(VLOOKUP(CONCATENATE(BJ$4,$C253),'INSER DATA'!$A:$F,7,0),"")</f>
        <v/>
      </c>
      <c r="BK253" s="270" t="str">
        <f>_xlfn.IFNA(VLOOKUP(CONCATENATE(BK$4,$C253),'INSER DATA'!$A:$F,7,0),"")</f>
        <v/>
      </c>
      <c r="BL253" s="272"/>
      <c r="BM253" s="30"/>
      <c r="BN253" s="30"/>
      <c r="BO253" s="30"/>
      <c r="BP253" s="30"/>
      <c r="BQ253" s="30"/>
      <c r="BR253" s="30"/>
      <c r="BS253" s="30"/>
      <c r="BT253" s="30"/>
      <c r="BU253" s="30"/>
      <c r="BV253" s="30"/>
      <c r="BW253" s="30"/>
      <c r="BX253" s="30"/>
      <c r="BY253" s="30"/>
      <c r="BZ253" s="30"/>
      <c r="CA253" s="30"/>
      <c r="CB253" s="30"/>
      <c r="CC253" s="30"/>
      <c r="CD253" s="30"/>
      <c r="CE253" s="30"/>
      <c r="CF253" s="30"/>
      <c r="CG253" s="30"/>
      <c r="CH253" s="30"/>
      <c r="CI253" s="30"/>
      <c r="CJ253" s="30"/>
      <c r="CK253" s="30"/>
      <c r="CL253" s="30"/>
      <c r="CM253" s="30"/>
      <c r="CN253" s="30"/>
      <c r="CO253" s="30"/>
      <c r="CP253" s="30"/>
      <c r="CQ253" s="30"/>
      <c r="CR253" s="30"/>
      <c r="CS253" s="30"/>
      <c r="CT253" s="30"/>
      <c r="CU253" s="30"/>
      <c r="CV253" s="30"/>
      <c r="CW253" s="30"/>
      <c r="CX253" s="30"/>
      <c r="CY253" s="30"/>
      <c r="CZ253" s="30"/>
      <c r="DA253" s="30"/>
    </row>
    <row r="254" spans="1:105" ht="19.2" thickTop="1" thickBot="1" x14ac:dyDescent="0.4">
      <c r="A254" s="30"/>
      <c r="B254" s="30"/>
      <c r="C254" s="185" t="s">
        <v>613</v>
      </c>
      <c r="D254" s="187" t="s">
        <v>796</v>
      </c>
      <c r="E254" s="35" t="str">
        <f>_xlfn.XLOOKUP(Tabella4[[#This Row],[NOME]],'ROSE SQUADRE'!$N$3:$N$253,'ROSE SQUADRE'!$O$3:$O$253,"")</f>
        <v/>
      </c>
      <c r="F254" s="36" t="s">
        <v>161</v>
      </c>
      <c r="G254" s="43">
        <v>1</v>
      </c>
      <c r="H254" s="43">
        <v>1</v>
      </c>
      <c r="I254" s="44">
        <f t="shared" si="19"/>
        <v>0</v>
      </c>
      <c r="J254" s="37">
        <f t="shared" si="20"/>
        <v>0</v>
      </c>
      <c r="K254" s="38">
        <f t="shared" si="21"/>
        <v>0</v>
      </c>
      <c r="L254" s="38">
        <f t="shared" si="22"/>
        <v>0</v>
      </c>
      <c r="M254" s="39">
        <f t="shared" si="23"/>
        <v>0</v>
      </c>
      <c r="N254" s="45">
        <f t="shared" ca="1" si="24"/>
        <v>0</v>
      </c>
      <c r="O254" s="40">
        <f>SUMIF(Tabella1[Nome],Tabella4[[#This Row],[NOME]],Tabella1[Gf])</f>
        <v>0</v>
      </c>
      <c r="P254" s="40">
        <f>-(SUMIF(Tabella1[Nome],Tabella4[[#This Row],[NOME]],Tabella1[Gs]))</f>
        <v>0</v>
      </c>
      <c r="Q254" s="40">
        <f>SUMIF(Tabella1[Nome],Tabella4[[#This Row],[NOME]],Tabella1[Rp])</f>
        <v>0</v>
      </c>
      <c r="R254" s="40">
        <f>SUMIF(Tabella1[Nome],Tabella4[[#This Row],[NOME]],Tabella1[Rs])</f>
        <v>0</v>
      </c>
      <c r="S254" s="40">
        <f>SUMIF(Tabella1[Nome],Tabella4[[#This Row],[NOME]],Tabella1[Rf])</f>
        <v>0</v>
      </c>
      <c r="T254" s="40">
        <f>SUMIF(Tabella1[Nome],Tabella4[[#This Row],[NOME]],Tabella1[Au])</f>
        <v>0</v>
      </c>
      <c r="U254" s="41">
        <f>SUMIF(Tabella1[Nome],Tabella4[[#This Row],[NOME]],Tabella1[Amm])</f>
        <v>0</v>
      </c>
      <c r="V254" s="42">
        <f>SUMIF(Tabella1[Nome],Tabella4[[#This Row],[NOME]],Tabella1[Esp])</f>
        <v>0</v>
      </c>
      <c r="W254" s="40">
        <f>SUMIF(Tabella1[Nome],Tabella4[[#This Row],[NOME]],Tabella1[Ass])</f>
        <v>0</v>
      </c>
      <c r="X254" s="40">
        <f>SUMIF(Tabella1[Nome],Tabella4[[#This Row],[NOME]],Tabella1[Gdv])</f>
        <v>0</v>
      </c>
      <c r="Y254" s="40">
        <f>SUMIF(Tabella1[Nome],Tabella4[[#This Row],[NOME]],Tabella1[cl sh])</f>
        <v>0</v>
      </c>
      <c r="Z254" s="270" t="str">
        <f>_xlfn.IFNA(_xlfn.XLOOKUP(CONCATENATE(Z$4,$C254),Tabella1[CONC X VOTI IN TAB GIOC],Tabella1[Voto],""),"")</f>
        <v/>
      </c>
      <c r="AA254" s="270" t="str">
        <f>_xlfn.IFNA(_xlfn.XLOOKUP(CONCATENATE(AA$4,$C254),Tabella1[CONC X VOTI IN TAB GIOC],Tabella1[Voto],""),"")</f>
        <v/>
      </c>
      <c r="AB254" s="270" t="str">
        <f>_xlfn.IFNA(_xlfn.XLOOKUP(CONCATENATE(AB$4,$C254),Tabella1[CONC X VOTI IN TAB GIOC],Tabella1[Voto]),"")</f>
        <v/>
      </c>
      <c r="AC254" s="270" t="str" cm="1">
        <f t="array" ref="AC254">_xlfn.IFNA(_xlfn.XLOOKUP(CONCATENATE(AC$4,$C254),INDEX(Tabella1[],0,MATCH("CONC X VOTI IN TAB GIOC",Tabella1[#Headers],0)),INDEX(Tabella1[],0,MATCH("Voto",Tabella1[#Headers],0))),"")</f>
        <v/>
      </c>
      <c r="AD254" s="270" t="str">
        <f>_xlfn.IFNA(_xlfn.XLOOKUP(CONCATENATE(AD$4,$C254),Tabella1[CONC X VOTI IN TAB GIOC],Tabella1[Voto]),"")</f>
        <v/>
      </c>
      <c r="AE254" s="270" t="str">
        <f>_xlfn.IFNA(VLOOKUP(CONCATENATE(AE$4,$C254),'INSER DATA'!$A:$F,6,0),"")</f>
        <v/>
      </c>
      <c r="AF254" s="270" t="str">
        <f>_xlfn.IFNA(VLOOKUP(CONCATENATE(AF$4,$C254),'INSER DATA'!$A:$F,6,0),"")</f>
        <v/>
      </c>
      <c r="AG254" s="270" t="str">
        <f>_xlfn.IFNA(VLOOKUP(CONCATENATE(AG$4,$C254),'INSER DATA'!$A:$F,6,0),"")</f>
        <v/>
      </c>
      <c r="AH254" s="270" t="str">
        <f>_xlfn.IFNA(VLOOKUP(CONCATENATE(AH$4,$C254),'INSER DATA'!$A:$F,7,0),"")</f>
        <v/>
      </c>
      <c r="AI254" s="270" t="str">
        <f>_xlfn.IFNA(VLOOKUP(CONCATENATE(AI$4,$C254),'INSER DATA'!$A:$F,7,0),"")</f>
        <v/>
      </c>
      <c r="AJ254" s="270" t="str">
        <f>_xlfn.IFNA(VLOOKUP(CONCATENATE(AJ$4,$C254),'INSER DATA'!$A:$F,7,0),"")</f>
        <v/>
      </c>
      <c r="AK254" s="270" t="str">
        <f>_xlfn.IFNA(VLOOKUP(CONCATENATE(AK$4,$C254),'INSER DATA'!$A:$F,7,0),"")</f>
        <v/>
      </c>
      <c r="AL254" s="270" t="str">
        <f>_xlfn.IFNA(VLOOKUP(CONCATENATE(AL$4,$C254),'INSER DATA'!$A:$F,7,0),"")</f>
        <v/>
      </c>
      <c r="AM254" s="270" t="str">
        <f>_xlfn.IFNA(VLOOKUP(CONCATENATE(AM$4,$C254),'INSER DATA'!$A:$F,7,0),"")</f>
        <v/>
      </c>
      <c r="AN254" s="270" t="str">
        <f>_xlfn.IFNA(VLOOKUP(CONCATENATE(AN$4,$C254),'INSER DATA'!$A:$F,7,0),"")</f>
        <v/>
      </c>
      <c r="AO254" s="270" t="str">
        <f>_xlfn.IFNA(VLOOKUP(CONCATENATE(AO$4,$C254),'INSER DATA'!$A:$F,7,0),"")</f>
        <v/>
      </c>
      <c r="AP254" s="270" t="str">
        <f>_xlfn.IFNA(VLOOKUP(CONCATENATE(AP$4,$C254),'INSER DATA'!$A:$F,7,0),"")</f>
        <v/>
      </c>
      <c r="AQ254" s="270" t="str">
        <f>_xlfn.IFNA(VLOOKUP(CONCATENATE(AQ$4,$C254),'INSER DATA'!$A:$F,7,0),"")</f>
        <v/>
      </c>
      <c r="AR254" s="270" t="str">
        <f>_xlfn.IFNA(VLOOKUP(CONCATENATE(AR$4,$C254),'INSER DATA'!$A:$F,7,0),"")</f>
        <v/>
      </c>
      <c r="AS254" s="270" t="str">
        <f>_xlfn.IFNA(VLOOKUP(CONCATENATE(AS$4,$C254),'INSER DATA'!$A:$F,7,0),"")</f>
        <v/>
      </c>
      <c r="AT254" s="270" t="str">
        <f>_xlfn.IFNA(VLOOKUP(CONCATENATE(AT$4,$C254),'INSER DATA'!$A:$F,7,0),"")</f>
        <v/>
      </c>
      <c r="AU254" s="270" t="str">
        <f>_xlfn.IFNA(VLOOKUP(CONCATENATE(AU$4,$C254),'INSER DATA'!$A:$F,7,0),"")</f>
        <v/>
      </c>
      <c r="AV254" s="270" t="str">
        <f>_xlfn.IFNA(VLOOKUP(CONCATENATE(AV$4,$C254),'INSER DATA'!$A:$F,7,0),"")</f>
        <v/>
      </c>
      <c r="AW254" s="270" t="str">
        <f>_xlfn.IFNA(VLOOKUP(CONCATENATE(AW$4,$C254),'INSER DATA'!$A:$F,7,0),"")</f>
        <v/>
      </c>
      <c r="AX254" s="270" t="str">
        <f>_xlfn.IFNA(VLOOKUP(CONCATENATE(AX$4,$C254),'INSER DATA'!$A:$F,7,0),"")</f>
        <v/>
      </c>
      <c r="AY254" s="270" t="str">
        <f>_xlfn.IFNA(VLOOKUP(CONCATENATE(AY$4,$C254),'INSER DATA'!$A:$F,7,0),"")</f>
        <v/>
      </c>
      <c r="AZ254" s="270" t="str">
        <f>_xlfn.IFNA(VLOOKUP(CONCATENATE(AZ$4,$C254),'INSER DATA'!$A:$F,7,0),"")</f>
        <v/>
      </c>
      <c r="BA254" s="270" t="str">
        <f>_xlfn.IFNA(VLOOKUP(CONCATENATE(BA$4,$C254),'INSER DATA'!$A:$F,7,0),"")</f>
        <v/>
      </c>
      <c r="BB254" s="270" t="str">
        <f>_xlfn.IFNA(VLOOKUP(CONCATENATE(BB$4,$C254),'INSER DATA'!$A:$F,7,0),"")</f>
        <v/>
      </c>
      <c r="BC254" s="270" t="str">
        <f>_xlfn.IFNA(VLOOKUP(CONCATENATE(BC$4,$C254),'INSER DATA'!$A:$F,7,0),"")</f>
        <v/>
      </c>
      <c r="BD254" s="270" t="str">
        <f>_xlfn.IFNA(VLOOKUP(CONCATENATE(BD$4,$C254),'INSER DATA'!$A:$F,7,0),"")</f>
        <v/>
      </c>
      <c r="BE254" s="270" t="str">
        <f>_xlfn.IFNA(VLOOKUP(CONCATENATE(BE$4,$C254),'INSER DATA'!$A:$F,7,0),"")</f>
        <v/>
      </c>
      <c r="BF254" s="270" t="str">
        <f>_xlfn.IFNA(VLOOKUP(CONCATENATE(BF$4,$C254),'INSER DATA'!$A:$F,7,0),"")</f>
        <v/>
      </c>
      <c r="BG254" s="270" t="str">
        <f>_xlfn.IFNA(VLOOKUP(CONCATENATE(BG$4,$C254),'INSER DATA'!$A:$F,7,0),"")</f>
        <v/>
      </c>
      <c r="BH254" s="270" t="str">
        <f>_xlfn.IFNA(VLOOKUP(CONCATENATE(BH$4,$C254),'INSER DATA'!$A:$F,7,0),"")</f>
        <v/>
      </c>
      <c r="BI254" s="270" t="str">
        <f>_xlfn.IFNA(VLOOKUP(CONCATENATE(BI$4,$C254),'INSER DATA'!$A:$F,7,0),"")</f>
        <v/>
      </c>
      <c r="BJ254" s="270" t="str">
        <f>_xlfn.IFNA(VLOOKUP(CONCATENATE(BJ$4,$C254),'INSER DATA'!$A:$F,7,0),"")</f>
        <v/>
      </c>
      <c r="BK254" s="270" t="str">
        <f>_xlfn.IFNA(VLOOKUP(CONCATENATE(BK$4,$C254),'INSER DATA'!$A:$F,7,0),"")</f>
        <v/>
      </c>
      <c r="BL254" s="272"/>
      <c r="BM254" s="30"/>
      <c r="BN254" s="30"/>
      <c r="BO254" s="30"/>
      <c r="BP254" s="30"/>
      <c r="BQ254" s="30"/>
      <c r="BR254" s="30"/>
      <c r="BS254" s="30"/>
      <c r="BT254" s="30"/>
      <c r="BU254" s="30"/>
      <c r="BV254" s="30"/>
      <c r="BW254" s="30"/>
      <c r="BX254" s="30"/>
      <c r="BY254" s="30"/>
      <c r="BZ254" s="30"/>
      <c r="CA254" s="30"/>
      <c r="CB254" s="30"/>
      <c r="CC254" s="30"/>
      <c r="CD254" s="30"/>
      <c r="CE254" s="30"/>
      <c r="CF254" s="30"/>
      <c r="CG254" s="30"/>
      <c r="CH254" s="30"/>
      <c r="CI254" s="30"/>
      <c r="CJ254" s="30"/>
      <c r="CK254" s="30"/>
      <c r="CL254" s="30"/>
      <c r="CM254" s="30"/>
      <c r="CN254" s="30"/>
      <c r="CO254" s="30"/>
      <c r="CP254" s="30"/>
      <c r="CQ254" s="30"/>
      <c r="CR254" s="30"/>
      <c r="CS254" s="30"/>
      <c r="CT254" s="30"/>
      <c r="CU254" s="30"/>
      <c r="CV254" s="30"/>
      <c r="CW254" s="30"/>
      <c r="CX254" s="30"/>
      <c r="CY254" s="30"/>
      <c r="CZ254" s="30"/>
      <c r="DA254" s="30"/>
    </row>
    <row r="255" spans="1:105" ht="19.2" thickTop="1" thickBot="1" x14ac:dyDescent="0.4">
      <c r="A255" s="30"/>
      <c r="B255" s="30"/>
      <c r="C255" s="356" t="s">
        <v>802</v>
      </c>
      <c r="D255" s="355" t="s">
        <v>796</v>
      </c>
      <c r="E255" s="35" t="str">
        <f>_xlfn.XLOOKUP(Tabella4[[#This Row],[NOME]],'ROSE SQUADRE'!$N$3:$N$253,'ROSE SQUADRE'!$O$3:$O$253,"")</f>
        <v>SAN GRIA</v>
      </c>
      <c r="F255" s="36" t="s">
        <v>161</v>
      </c>
      <c r="G255" s="43">
        <v>2</v>
      </c>
      <c r="H255" s="43">
        <v>2</v>
      </c>
      <c r="I255" s="44">
        <f t="shared" si="19"/>
        <v>0</v>
      </c>
      <c r="J255" s="37">
        <f t="shared" si="20"/>
        <v>0</v>
      </c>
      <c r="K255" s="178">
        <f t="shared" si="21"/>
        <v>0</v>
      </c>
      <c r="L255" s="178">
        <f t="shared" si="22"/>
        <v>0</v>
      </c>
      <c r="M255" s="179">
        <f t="shared" si="23"/>
        <v>0</v>
      </c>
      <c r="N255" s="45">
        <f t="shared" ca="1" si="24"/>
        <v>0</v>
      </c>
      <c r="O255" s="40">
        <f>SUMIF(Tabella1[Nome],Tabella4[[#This Row],[NOME]],Tabella1[Gf])</f>
        <v>0</v>
      </c>
      <c r="P255" s="40">
        <f>-(SUMIF(Tabella1[Nome],Tabella4[[#This Row],[NOME]],Tabella1[Gs]))</f>
        <v>0</v>
      </c>
      <c r="Q255" s="40">
        <f>SUMIF(Tabella1[Nome],Tabella4[[#This Row],[NOME]],Tabella1[Rp])</f>
        <v>0</v>
      </c>
      <c r="R255" s="40">
        <f>SUMIF(Tabella1[Nome],Tabella4[[#This Row],[NOME]],Tabella1[Rs])</f>
        <v>0</v>
      </c>
      <c r="S255" s="40">
        <f>SUMIF(Tabella1[Nome],Tabella4[[#This Row],[NOME]],Tabella1[Rf])</f>
        <v>0</v>
      </c>
      <c r="T255" s="40">
        <f>SUMIF(Tabella1[Nome],Tabella4[[#This Row],[NOME]],Tabella1[Au])</f>
        <v>0</v>
      </c>
      <c r="U255" s="41">
        <f>SUMIF(Tabella1[Nome],Tabella4[[#This Row],[NOME]],Tabella1[Amm])</f>
        <v>0</v>
      </c>
      <c r="V255" s="42">
        <f>SUMIF(Tabella1[Nome],Tabella4[[#This Row],[NOME]],Tabella1[Esp])</f>
        <v>0</v>
      </c>
      <c r="W255" s="40">
        <f>SUMIF(Tabella1[Nome],Tabella4[[#This Row],[NOME]],Tabella1[Ass])</f>
        <v>0</v>
      </c>
      <c r="X255" s="40">
        <f>SUMIF(Tabella1[Nome],Tabella4[[#This Row],[NOME]],Tabella1[Gdv])</f>
        <v>0</v>
      </c>
      <c r="Y255" s="40">
        <f>SUMIF(Tabella1[Nome],Tabella4[[#This Row],[NOME]],Tabella1[cl sh])</f>
        <v>0</v>
      </c>
      <c r="Z255" s="270" t="str">
        <f>_xlfn.IFNA(_xlfn.XLOOKUP(CONCATENATE(Z$4,$C255),Tabella1[CONC X VOTI IN TAB GIOC],Tabella1[Voto],""),"")</f>
        <v/>
      </c>
      <c r="AA255" s="270" t="str">
        <f>_xlfn.IFNA(_xlfn.XLOOKUP(CONCATENATE(AA$4,$C255),Tabella1[CONC X VOTI IN TAB GIOC],Tabella1[Voto],""),"")</f>
        <v/>
      </c>
      <c r="AB255" s="270" t="str">
        <f>_xlfn.IFNA(_xlfn.XLOOKUP(CONCATENATE(AB$4,$C255),Tabella1[CONC X VOTI IN TAB GIOC],Tabella1[Voto]),"")</f>
        <v/>
      </c>
      <c r="AC255" s="270" t="str" cm="1">
        <f t="array" ref="AC255">_xlfn.IFNA(_xlfn.XLOOKUP(CONCATENATE(AC$4,$C255),INDEX(Tabella1[],0,MATCH("CONC X VOTI IN TAB GIOC",Tabella1[#Headers],0)),INDEX(Tabella1[],0,MATCH("Voto",Tabella1[#Headers],0))),"")</f>
        <v/>
      </c>
      <c r="AD255" s="270" t="str">
        <f>_xlfn.IFNA(_xlfn.XLOOKUP(CONCATENATE(AD$4,$C255),Tabella1[CONC X VOTI IN TAB GIOC],Tabella1[Voto]),"")</f>
        <v/>
      </c>
      <c r="AE255" s="270" t="str">
        <f>_xlfn.IFNA(VLOOKUP(CONCATENATE(AE$4,$C255),'INSER DATA'!$A:$F,6,0),"")</f>
        <v/>
      </c>
      <c r="AF255" s="270" t="str">
        <f>_xlfn.IFNA(VLOOKUP(CONCATENATE(AF$4,$C255),'INSER DATA'!$A:$F,6,0),"")</f>
        <v/>
      </c>
      <c r="AG255" s="270" t="str">
        <f>_xlfn.IFNA(VLOOKUP(CONCATENATE(AG$4,$C255),'INSER DATA'!$A:$F,6,0),"")</f>
        <v/>
      </c>
      <c r="AH255" s="270" t="str">
        <f>_xlfn.IFNA(VLOOKUP(CONCATENATE(AH$4,$C255),'INSER DATA'!$A:$F,7,0),"")</f>
        <v/>
      </c>
      <c r="AI255" s="270" t="str">
        <f>_xlfn.IFNA(VLOOKUP(CONCATENATE(AI$4,$C255),'INSER DATA'!$A:$F,7,0),"")</f>
        <v/>
      </c>
      <c r="AJ255" s="270" t="str">
        <f>_xlfn.IFNA(VLOOKUP(CONCATENATE(AJ$4,$C255),'INSER DATA'!$A:$F,7,0),"")</f>
        <v/>
      </c>
      <c r="AK255" s="270" t="str">
        <f>_xlfn.IFNA(VLOOKUP(CONCATENATE(AK$4,$C255),'INSER DATA'!$A:$F,7,0),"")</f>
        <v/>
      </c>
      <c r="AL255" s="270" t="str">
        <f>_xlfn.IFNA(VLOOKUP(CONCATENATE(AL$4,$C255),'INSER DATA'!$A:$F,7,0),"")</f>
        <v/>
      </c>
      <c r="AM255" s="270" t="str">
        <f>_xlfn.IFNA(VLOOKUP(CONCATENATE(AM$4,$C255),'INSER DATA'!$A:$F,7,0),"")</f>
        <v/>
      </c>
      <c r="AN255" s="270" t="str">
        <f>_xlfn.IFNA(VLOOKUP(CONCATENATE(AN$4,$C255),'INSER DATA'!$A:$F,7,0),"")</f>
        <v/>
      </c>
      <c r="AO255" s="270" t="str">
        <f>_xlfn.IFNA(VLOOKUP(CONCATENATE(AO$4,$C255),'INSER DATA'!$A:$F,7,0),"")</f>
        <v/>
      </c>
      <c r="AP255" s="270" t="str">
        <f>_xlfn.IFNA(VLOOKUP(CONCATENATE(AP$4,$C255),'INSER DATA'!$A:$F,7,0),"")</f>
        <v/>
      </c>
      <c r="AQ255" s="270" t="str">
        <f>_xlfn.IFNA(VLOOKUP(CONCATENATE(AQ$4,$C255),'INSER DATA'!$A:$F,7,0),"")</f>
        <v/>
      </c>
      <c r="AR255" s="270" t="str">
        <f>_xlfn.IFNA(VLOOKUP(CONCATENATE(AR$4,$C255),'INSER DATA'!$A:$F,7,0),"")</f>
        <v/>
      </c>
      <c r="AS255" s="270" t="str">
        <f>_xlfn.IFNA(VLOOKUP(CONCATENATE(AS$4,$C255),'INSER DATA'!$A:$F,7,0),"")</f>
        <v/>
      </c>
      <c r="AT255" s="270" t="str">
        <f>_xlfn.IFNA(VLOOKUP(CONCATENATE(AT$4,$C255),'INSER DATA'!$A:$F,7,0),"")</f>
        <v/>
      </c>
      <c r="AU255" s="270" t="str">
        <f>_xlfn.IFNA(VLOOKUP(CONCATENATE(AU$4,$C255),'INSER DATA'!$A:$F,7,0),"")</f>
        <v/>
      </c>
      <c r="AV255" s="270" t="str">
        <f>_xlfn.IFNA(VLOOKUP(CONCATENATE(AV$4,$C255),'INSER DATA'!$A:$F,7,0),"")</f>
        <v/>
      </c>
      <c r="AW255" s="270" t="str">
        <f>_xlfn.IFNA(VLOOKUP(CONCATENATE(AW$4,$C255),'INSER DATA'!$A:$F,7,0),"")</f>
        <v/>
      </c>
      <c r="AX255" s="270" t="str">
        <f>_xlfn.IFNA(VLOOKUP(CONCATENATE(AX$4,$C255),'INSER DATA'!$A:$F,7,0),"")</f>
        <v/>
      </c>
      <c r="AY255" s="270" t="str">
        <f>_xlfn.IFNA(VLOOKUP(CONCATENATE(AY$4,$C255),'INSER DATA'!$A:$F,7,0),"")</f>
        <v/>
      </c>
      <c r="AZ255" s="270" t="str">
        <f>_xlfn.IFNA(VLOOKUP(CONCATENATE(AZ$4,$C255),'INSER DATA'!$A:$F,7,0),"")</f>
        <v/>
      </c>
      <c r="BA255" s="270" t="str">
        <f>_xlfn.IFNA(VLOOKUP(CONCATENATE(BA$4,$C255),'INSER DATA'!$A:$F,7,0),"")</f>
        <v/>
      </c>
      <c r="BB255" s="270" t="str">
        <f>_xlfn.IFNA(VLOOKUP(CONCATENATE(BB$4,$C255),'INSER DATA'!$A:$F,7,0),"")</f>
        <v/>
      </c>
      <c r="BC255" s="270" t="str">
        <f>_xlfn.IFNA(VLOOKUP(CONCATENATE(BC$4,$C255),'INSER DATA'!$A:$F,7,0),"")</f>
        <v/>
      </c>
      <c r="BD255" s="270" t="str">
        <f>_xlfn.IFNA(VLOOKUP(CONCATENATE(BD$4,$C255),'INSER DATA'!$A:$F,7,0),"")</f>
        <v/>
      </c>
      <c r="BE255" s="270" t="str">
        <f>_xlfn.IFNA(VLOOKUP(CONCATENATE(BE$4,$C255),'INSER DATA'!$A:$F,7,0),"")</f>
        <v/>
      </c>
      <c r="BF255" s="270" t="str">
        <f>_xlfn.IFNA(VLOOKUP(CONCATENATE(BF$4,$C255),'INSER DATA'!$A:$F,7,0),"")</f>
        <v/>
      </c>
      <c r="BG255" s="270" t="str">
        <f>_xlfn.IFNA(VLOOKUP(CONCATENATE(BG$4,$C255),'INSER DATA'!$A:$F,7,0),"")</f>
        <v/>
      </c>
      <c r="BH255" s="270" t="str">
        <f>_xlfn.IFNA(VLOOKUP(CONCATENATE(BH$4,$C255),'INSER DATA'!$A:$F,7,0),"")</f>
        <v/>
      </c>
      <c r="BI255" s="270" t="str">
        <f>_xlfn.IFNA(VLOOKUP(CONCATENATE(BI$4,$C255),'INSER DATA'!$A:$F,7,0),"")</f>
        <v/>
      </c>
      <c r="BJ255" s="270" t="str">
        <f>_xlfn.IFNA(VLOOKUP(CONCATENATE(BJ$4,$C255),'INSER DATA'!$A:$F,7,0),"")</f>
        <v/>
      </c>
      <c r="BK255" s="270" t="str">
        <f>_xlfn.IFNA(VLOOKUP(CONCATENATE(BK$4,$C255),'INSER DATA'!$A:$F,7,0),"")</f>
        <v/>
      </c>
      <c r="BL255" s="272"/>
      <c r="BM255" s="30"/>
      <c r="BN255" s="30"/>
      <c r="BO255" s="30"/>
      <c r="BP255" s="30"/>
      <c r="BQ255" s="30"/>
      <c r="BR255" s="30"/>
      <c r="BS255" s="30"/>
      <c r="BT255" s="30"/>
      <c r="BU255" s="30"/>
      <c r="BV255" s="30"/>
      <c r="BW255" s="30"/>
      <c r="BX255" s="30"/>
      <c r="BY255" s="30"/>
      <c r="BZ255" s="30"/>
      <c r="CA255" s="30"/>
      <c r="CB255" s="30"/>
      <c r="CC255" s="30"/>
      <c r="CD255" s="30"/>
      <c r="CE255" s="30"/>
      <c r="CF255" s="30"/>
      <c r="CG255" s="30"/>
      <c r="CH255" s="30"/>
      <c r="CI255" s="30"/>
      <c r="CJ255" s="30"/>
      <c r="CK255" s="30"/>
      <c r="CL255" s="30"/>
      <c r="CM255" s="30"/>
      <c r="CN255" s="30"/>
      <c r="CO255" s="30"/>
      <c r="CP255" s="30"/>
      <c r="CQ255" s="30"/>
      <c r="CR255" s="30"/>
      <c r="CS255" s="30"/>
      <c r="CT255" s="30"/>
      <c r="CU255" s="30"/>
      <c r="CV255" s="30"/>
      <c r="CW255" s="30"/>
      <c r="CX255" s="30"/>
      <c r="CY255" s="30"/>
      <c r="CZ255" s="30"/>
      <c r="DA255" s="30"/>
    </row>
    <row r="256" spans="1:105" ht="19.2" thickTop="1" thickBot="1" x14ac:dyDescent="0.4">
      <c r="A256" s="30"/>
      <c r="B256" s="30"/>
      <c r="C256" s="185" t="s">
        <v>299</v>
      </c>
      <c r="D256" s="187" t="s">
        <v>796</v>
      </c>
      <c r="E256" s="35" t="str">
        <f>_xlfn.XLOOKUP(Tabella4[[#This Row],[NOME]],'ROSE SQUADRE'!$N$3:$N$253,'ROSE SQUADRE'!$O$3:$O$253,"")</f>
        <v/>
      </c>
      <c r="F256" s="36" t="s">
        <v>161</v>
      </c>
      <c r="G256" s="43">
        <v>7</v>
      </c>
      <c r="H256" s="43">
        <v>7</v>
      </c>
      <c r="I256" s="44">
        <f t="shared" si="19"/>
        <v>0</v>
      </c>
      <c r="J256" s="37">
        <f t="shared" si="20"/>
        <v>0</v>
      </c>
      <c r="K256" s="178">
        <f t="shared" si="21"/>
        <v>0</v>
      </c>
      <c r="L256" s="178">
        <f t="shared" si="22"/>
        <v>0</v>
      </c>
      <c r="M256" s="179">
        <f t="shared" si="23"/>
        <v>0</v>
      </c>
      <c r="N256" s="45">
        <f t="shared" ca="1" si="24"/>
        <v>0</v>
      </c>
      <c r="O256" s="40">
        <f>SUMIF(Tabella1[Nome],Tabella4[[#This Row],[NOME]],Tabella1[Gf])</f>
        <v>0</v>
      </c>
      <c r="P256" s="40">
        <f>-(SUMIF(Tabella1[Nome],Tabella4[[#This Row],[NOME]],Tabella1[Gs]))</f>
        <v>0</v>
      </c>
      <c r="Q256" s="40">
        <f>SUMIF(Tabella1[Nome],Tabella4[[#This Row],[NOME]],Tabella1[Rp])</f>
        <v>0</v>
      </c>
      <c r="R256" s="40">
        <f>SUMIF(Tabella1[Nome],Tabella4[[#This Row],[NOME]],Tabella1[Rs])</f>
        <v>0</v>
      </c>
      <c r="S256" s="40">
        <f>SUMIF(Tabella1[Nome],Tabella4[[#This Row],[NOME]],Tabella1[Rf])</f>
        <v>0</v>
      </c>
      <c r="T256" s="40">
        <f>SUMIF(Tabella1[Nome],Tabella4[[#This Row],[NOME]],Tabella1[Au])</f>
        <v>0</v>
      </c>
      <c r="U256" s="41">
        <f>SUMIF(Tabella1[Nome],Tabella4[[#This Row],[NOME]],Tabella1[Amm])</f>
        <v>0</v>
      </c>
      <c r="V256" s="42">
        <f>SUMIF(Tabella1[Nome],Tabella4[[#This Row],[NOME]],Tabella1[Esp])</f>
        <v>0</v>
      </c>
      <c r="W256" s="40">
        <f>SUMIF(Tabella1[Nome],Tabella4[[#This Row],[NOME]],Tabella1[Ass])</f>
        <v>0</v>
      </c>
      <c r="X256" s="40">
        <f>SUMIF(Tabella1[Nome],Tabella4[[#This Row],[NOME]],Tabella1[Gdv])</f>
        <v>0</v>
      </c>
      <c r="Y256" s="40">
        <f>SUMIF(Tabella1[Nome],Tabella4[[#This Row],[NOME]],Tabella1[cl sh])</f>
        <v>0</v>
      </c>
      <c r="Z256" s="270" t="str">
        <f>_xlfn.IFNA(_xlfn.XLOOKUP(CONCATENATE(Z$4,$C256),Tabella1[CONC X VOTI IN TAB GIOC],Tabella1[Voto],""),"")</f>
        <v/>
      </c>
      <c r="AA256" s="270" t="str">
        <f>_xlfn.IFNA(_xlfn.XLOOKUP(CONCATENATE(AA$4,$C256),Tabella1[CONC X VOTI IN TAB GIOC],Tabella1[Voto],""),"")</f>
        <v/>
      </c>
      <c r="AB256" s="270" t="str">
        <f>_xlfn.IFNA(_xlfn.XLOOKUP(CONCATENATE(AB$4,$C256),Tabella1[CONC X VOTI IN TAB GIOC],Tabella1[Voto]),"")</f>
        <v/>
      </c>
      <c r="AC256" s="270" t="str" cm="1">
        <f t="array" ref="AC256">_xlfn.IFNA(_xlfn.XLOOKUP(CONCATENATE(AC$4,$C256),INDEX(Tabella1[],0,MATCH("CONC X VOTI IN TAB GIOC",Tabella1[#Headers],0)),INDEX(Tabella1[],0,MATCH("Voto",Tabella1[#Headers],0))),"")</f>
        <v/>
      </c>
      <c r="AD256" s="270" t="str">
        <f>_xlfn.IFNA(_xlfn.XLOOKUP(CONCATENATE(AD$4,$C256),Tabella1[CONC X VOTI IN TAB GIOC],Tabella1[Voto]),"")</f>
        <v/>
      </c>
      <c r="AE256" s="270" t="str">
        <f>_xlfn.IFNA(VLOOKUP(CONCATENATE(AE$4,$C256),'INSER DATA'!$A:$F,6,0),"")</f>
        <v/>
      </c>
      <c r="AF256" s="270" t="str">
        <f>_xlfn.IFNA(VLOOKUP(CONCATENATE(AF$4,$C256),'INSER DATA'!$A:$F,6,0),"")</f>
        <v/>
      </c>
      <c r="AG256" s="270" t="str">
        <f>_xlfn.IFNA(VLOOKUP(CONCATENATE(AG$4,$C256),'INSER DATA'!$A:$F,6,0),"")</f>
        <v/>
      </c>
      <c r="AH256" s="270" t="str">
        <f>_xlfn.IFNA(VLOOKUP(CONCATENATE(AH$4,$C256),'INSER DATA'!$A:$F,7,0),"")</f>
        <v/>
      </c>
      <c r="AI256" s="270" t="str">
        <f>_xlfn.IFNA(VLOOKUP(CONCATENATE(AI$4,$C256),'INSER DATA'!$A:$F,7,0),"")</f>
        <v/>
      </c>
      <c r="AJ256" s="270" t="str">
        <f>_xlfn.IFNA(VLOOKUP(CONCATENATE(AJ$4,$C256),'INSER DATA'!$A:$F,7,0),"")</f>
        <v/>
      </c>
      <c r="AK256" s="270" t="str">
        <f>_xlfn.IFNA(VLOOKUP(CONCATENATE(AK$4,$C256),'INSER DATA'!$A:$F,7,0),"")</f>
        <v/>
      </c>
      <c r="AL256" s="270" t="str">
        <f>_xlfn.IFNA(VLOOKUP(CONCATENATE(AL$4,$C256),'INSER DATA'!$A:$F,7,0),"")</f>
        <v/>
      </c>
      <c r="AM256" s="270" t="str">
        <f>_xlfn.IFNA(VLOOKUP(CONCATENATE(AM$4,$C256),'INSER DATA'!$A:$F,7,0),"")</f>
        <v/>
      </c>
      <c r="AN256" s="270" t="str">
        <f>_xlfn.IFNA(VLOOKUP(CONCATENATE(AN$4,$C256),'INSER DATA'!$A:$F,7,0),"")</f>
        <v/>
      </c>
      <c r="AO256" s="270" t="str">
        <f>_xlfn.IFNA(VLOOKUP(CONCATENATE(AO$4,$C256),'INSER DATA'!$A:$F,7,0),"")</f>
        <v/>
      </c>
      <c r="AP256" s="270" t="str">
        <f>_xlfn.IFNA(VLOOKUP(CONCATENATE(AP$4,$C256),'INSER DATA'!$A:$F,7,0),"")</f>
        <v/>
      </c>
      <c r="AQ256" s="270" t="str">
        <f>_xlfn.IFNA(VLOOKUP(CONCATENATE(AQ$4,$C256),'INSER DATA'!$A:$F,7,0),"")</f>
        <v/>
      </c>
      <c r="AR256" s="270" t="str">
        <f>_xlfn.IFNA(VLOOKUP(CONCATENATE(AR$4,$C256),'INSER DATA'!$A:$F,7,0),"")</f>
        <v/>
      </c>
      <c r="AS256" s="270" t="str">
        <f>_xlfn.IFNA(VLOOKUP(CONCATENATE(AS$4,$C256),'INSER DATA'!$A:$F,7,0),"")</f>
        <v/>
      </c>
      <c r="AT256" s="270" t="str">
        <f>_xlfn.IFNA(VLOOKUP(CONCATENATE(AT$4,$C256),'INSER DATA'!$A:$F,7,0),"")</f>
        <v/>
      </c>
      <c r="AU256" s="270" t="str">
        <f>_xlfn.IFNA(VLOOKUP(CONCATENATE(AU$4,$C256),'INSER DATA'!$A:$F,7,0),"")</f>
        <v/>
      </c>
      <c r="AV256" s="270" t="str">
        <f>_xlfn.IFNA(VLOOKUP(CONCATENATE(AV$4,$C256),'INSER DATA'!$A:$F,7,0),"")</f>
        <v/>
      </c>
      <c r="AW256" s="270" t="str">
        <f>_xlfn.IFNA(VLOOKUP(CONCATENATE(AW$4,$C256),'INSER DATA'!$A:$F,7,0),"")</f>
        <v/>
      </c>
      <c r="AX256" s="270" t="str">
        <f>_xlfn.IFNA(VLOOKUP(CONCATENATE(AX$4,$C256),'INSER DATA'!$A:$F,7,0),"")</f>
        <v/>
      </c>
      <c r="AY256" s="270" t="str">
        <f>_xlfn.IFNA(VLOOKUP(CONCATENATE(AY$4,$C256),'INSER DATA'!$A:$F,7,0),"")</f>
        <v/>
      </c>
      <c r="AZ256" s="270" t="str">
        <f>_xlfn.IFNA(VLOOKUP(CONCATENATE(AZ$4,$C256),'INSER DATA'!$A:$F,7,0),"")</f>
        <v/>
      </c>
      <c r="BA256" s="270" t="str">
        <f>_xlfn.IFNA(VLOOKUP(CONCATENATE(BA$4,$C256),'INSER DATA'!$A:$F,7,0),"")</f>
        <v/>
      </c>
      <c r="BB256" s="270" t="str">
        <f>_xlfn.IFNA(VLOOKUP(CONCATENATE(BB$4,$C256),'INSER DATA'!$A:$F,7,0),"")</f>
        <v/>
      </c>
      <c r="BC256" s="270" t="str">
        <f>_xlfn.IFNA(VLOOKUP(CONCATENATE(BC$4,$C256),'INSER DATA'!$A:$F,7,0),"")</f>
        <v/>
      </c>
      <c r="BD256" s="270" t="str">
        <f>_xlfn.IFNA(VLOOKUP(CONCATENATE(BD$4,$C256),'INSER DATA'!$A:$F,7,0),"")</f>
        <v/>
      </c>
      <c r="BE256" s="270" t="str">
        <f>_xlfn.IFNA(VLOOKUP(CONCATENATE(BE$4,$C256),'INSER DATA'!$A:$F,7,0),"")</f>
        <v/>
      </c>
      <c r="BF256" s="270" t="str">
        <f>_xlfn.IFNA(VLOOKUP(CONCATENATE(BF$4,$C256),'INSER DATA'!$A:$F,7,0),"")</f>
        <v/>
      </c>
      <c r="BG256" s="270" t="str">
        <f>_xlfn.IFNA(VLOOKUP(CONCATENATE(BG$4,$C256),'INSER DATA'!$A:$F,7,0),"")</f>
        <v/>
      </c>
      <c r="BH256" s="270" t="str">
        <f>_xlfn.IFNA(VLOOKUP(CONCATENATE(BH$4,$C256),'INSER DATA'!$A:$F,7,0),"")</f>
        <v/>
      </c>
      <c r="BI256" s="270" t="str">
        <f>_xlfn.IFNA(VLOOKUP(CONCATENATE(BI$4,$C256),'INSER DATA'!$A:$F,7,0),"")</f>
        <v/>
      </c>
      <c r="BJ256" s="270" t="str">
        <f>_xlfn.IFNA(VLOOKUP(CONCATENATE(BJ$4,$C256),'INSER DATA'!$A:$F,7,0),"")</f>
        <v/>
      </c>
      <c r="BK256" s="270" t="str">
        <f>_xlfn.IFNA(VLOOKUP(CONCATENATE(BK$4,$C256),'INSER DATA'!$A:$F,7,0),"")</f>
        <v/>
      </c>
      <c r="BL256" s="272"/>
      <c r="BM256" s="30"/>
      <c r="BN256" s="30"/>
      <c r="BO256" s="30"/>
      <c r="BP256" s="30"/>
      <c r="BQ256" s="30"/>
      <c r="BR256" s="30"/>
      <c r="BS256" s="30"/>
      <c r="BT256" s="30"/>
      <c r="BU256" s="30"/>
      <c r="BV256" s="30"/>
      <c r="BW256" s="30"/>
      <c r="BX256" s="30"/>
      <c r="BY256" s="30"/>
      <c r="BZ256" s="30"/>
      <c r="CA256" s="30"/>
      <c r="CB256" s="30"/>
      <c r="CC256" s="30"/>
      <c r="CD256" s="30"/>
      <c r="CE256" s="30"/>
      <c r="CF256" s="30"/>
      <c r="CG256" s="30"/>
      <c r="CH256" s="30"/>
      <c r="CI256" s="30"/>
      <c r="CJ256" s="30"/>
      <c r="CK256" s="30"/>
      <c r="CL256" s="30"/>
      <c r="CM256" s="30"/>
      <c r="CN256" s="30"/>
      <c r="CO256" s="30"/>
      <c r="CP256" s="30"/>
      <c r="CQ256" s="30"/>
      <c r="CR256" s="30"/>
      <c r="CS256" s="30"/>
      <c r="CT256" s="30"/>
      <c r="CU256" s="30"/>
      <c r="CV256" s="30"/>
      <c r="CW256" s="30"/>
      <c r="CX256" s="30"/>
      <c r="CY256" s="30"/>
      <c r="CZ256" s="30"/>
      <c r="DA256" s="30"/>
    </row>
    <row r="257" spans="1:105" ht="19.2" thickTop="1" thickBot="1" x14ac:dyDescent="0.4">
      <c r="A257" s="30"/>
      <c r="B257" s="30"/>
      <c r="C257" s="185" t="s">
        <v>805</v>
      </c>
      <c r="D257" s="46" t="s">
        <v>796</v>
      </c>
      <c r="E257" s="35" t="str">
        <f>_xlfn.XLOOKUP(Tabella4[[#This Row],[NOME]],'ROSE SQUADRE'!$N$3:$N$253,'ROSE SQUADRE'!$O$3:$O$253,"")</f>
        <v/>
      </c>
      <c r="F257" s="36" t="s">
        <v>162</v>
      </c>
      <c r="G257" s="43">
        <v>4</v>
      </c>
      <c r="H257" s="43">
        <v>4</v>
      </c>
      <c r="I257" s="44">
        <f t="shared" si="19"/>
        <v>0</v>
      </c>
      <c r="J257" s="37">
        <f t="shared" si="20"/>
        <v>0</v>
      </c>
      <c r="K257" s="178">
        <f t="shared" si="21"/>
        <v>0</v>
      </c>
      <c r="L257" s="178">
        <f t="shared" si="22"/>
        <v>0</v>
      </c>
      <c r="M257" s="179">
        <f t="shared" si="23"/>
        <v>0</v>
      </c>
      <c r="N257" s="45">
        <f t="shared" ca="1" si="24"/>
        <v>0</v>
      </c>
      <c r="O257" s="40">
        <f>SUMIF(Tabella1[Nome],Tabella4[[#This Row],[NOME]],Tabella1[Gf])</f>
        <v>0</v>
      </c>
      <c r="P257" s="40">
        <f>-(SUMIF(Tabella1[Nome],Tabella4[[#This Row],[NOME]],Tabella1[Gs]))</f>
        <v>0</v>
      </c>
      <c r="Q257" s="40">
        <f>SUMIF(Tabella1[Nome],Tabella4[[#This Row],[NOME]],Tabella1[Rp])</f>
        <v>0</v>
      </c>
      <c r="R257" s="40">
        <f>SUMIF(Tabella1[Nome],Tabella4[[#This Row],[NOME]],Tabella1[Rs])</f>
        <v>0</v>
      </c>
      <c r="S257" s="40">
        <f>SUMIF(Tabella1[Nome],Tabella4[[#This Row],[NOME]],Tabella1[Rf])</f>
        <v>0</v>
      </c>
      <c r="T257" s="40">
        <f>SUMIF(Tabella1[Nome],Tabella4[[#This Row],[NOME]],Tabella1[Au])</f>
        <v>0</v>
      </c>
      <c r="U257" s="41">
        <f>SUMIF(Tabella1[Nome],Tabella4[[#This Row],[NOME]],Tabella1[Amm])</f>
        <v>0</v>
      </c>
      <c r="V257" s="42">
        <f>SUMIF(Tabella1[Nome],Tabella4[[#This Row],[NOME]],Tabella1[Esp])</f>
        <v>0</v>
      </c>
      <c r="W257" s="40">
        <f>SUMIF(Tabella1[Nome],Tabella4[[#This Row],[NOME]],Tabella1[Ass])</f>
        <v>0</v>
      </c>
      <c r="X257" s="40">
        <f>SUMIF(Tabella1[Nome],Tabella4[[#This Row],[NOME]],Tabella1[Gdv])</f>
        <v>0</v>
      </c>
      <c r="Y257" s="40">
        <f>SUMIF(Tabella1[Nome],Tabella4[[#This Row],[NOME]],Tabella1[cl sh])</f>
        <v>0</v>
      </c>
      <c r="Z257" s="270" t="str">
        <f>_xlfn.IFNA(_xlfn.XLOOKUP(CONCATENATE(Z$4,$C257),Tabella1[CONC X VOTI IN TAB GIOC],Tabella1[Voto],""),"")</f>
        <v/>
      </c>
      <c r="AA257" s="270" t="str">
        <f>_xlfn.IFNA(_xlfn.XLOOKUP(CONCATENATE(AA$4,$C257),Tabella1[CONC X VOTI IN TAB GIOC],Tabella1[Voto],""),"")</f>
        <v/>
      </c>
      <c r="AB257" s="270" t="str">
        <f>_xlfn.IFNA(_xlfn.XLOOKUP(CONCATENATE(AB$4,$C257),Tabella1[CONC X VOTI IN TAB GIOC],Tabella1[Voto]),"")</f>
        <v/>
      </c>
      <c r="AC257" s="270" t="str" cm="1">
        <f t="array" ref="AC257">_xlfn.IFNA(_xlfn.XLOOKUP(CONCATENATE(AC$4,$C257),INDEX(Tabella1[],0,MATCH("CONC X VOTI IN TAB GIOC",Tabella1[#Headers],0)),INDEX(Tabella1[],0,MATCH("Voto",Tabella1[#Headers],0))),"")</f>
        <v/>
      </c>
      <c r="AD257" s="270" t="str">
        <f>_xlfn.IFNA(_xlfn.XLOOKUP(CONCATENATE(AD$4,$C257),Tabella1[CONC X VOTI IN TAB GIOC],Tabella1[Voto]),"")</f>
        <v/>
      </c>
      <c r="AE257" s="270" t="str">
        <f>_xlfn.IFNA(VLOOKUP(CONCATENATE(AE$4,$C257),'INSER DATA'!$A:$F,6,0),"")</f>
        <v/>
      </c>
      <c r="AF257" s="270" t="str">
        <f>_xlfn.IFNA(VLOOKUP(CONCATENATE(AF$4,$C257),'INSER DATA'!$A:$F,6,0),"")</f>
        <v/>
      </c>
      <c r="AG257" s="270" t="str">
        <f>_xlfn.IFNA(VLOOKUP(CONCATENATE(AG$4,$C257),'INSER DATA'!$A:$F,6,0),"")</f>
        <v/>
      </c>
      <c r="AH257" s="270" t="str">
        <f>_xlfn.IFNA(VLOOKUP(CONCATENATE(AH$4,$C257),'INSER DATA'!$A:$F,7,0),"")</f>
        <v/>
      </c>
      <c r="AI257" s="270" t="str">
        <f>_xlfn.IFNA(VLOOKUP(CONCATENATE(AI$4,$C257),'INSER DATA'!$A:$F,7,0),"")</f>
        <v/>
      </c>
      <c r="AJ257" s="270" t="str">
        <f>_xlfn.IFNA(VLOOKUP(CONCATENATE(AJ$4,$C257),'INSER DATA'!$A:$F,7,0),"")</f>
        <v/>
      </c>
      <c r="AK257" s="270" t="str">
        <f>_xlfn.IFNA(VLOOKUP(CONCATENATE(AK$4,$C257),'INSER DATA'!$A:$F,7,0),"")</f>
        <v/>
      </c>
      <c r="AL257" s="270" t="str">
        <f>_xlfn.IFNA(VLOOKUP(CONCATENATE(AL$4,$C257),'INSER DATA'!$A:$F,7,0),"")</f>
        <v/>
      </c>
      <c r="AM257" s="270" t="str">
        <f>_xlfn.IFNA(VLOOKUP(CONCATENATE(AM$4,$C257),'INSER DATA'!$A:$F,7,0),"")</f>
        <v/>
      </c>
      <c r="AN257" s="270" t="str">
        <f>_xlfn.IFNA(VLOOKUP(CONCATENATE(AN$4,$C257),'INSER DATA'!$A:$F,7,0),"")</f>
        <v/>
      </c>
      <c r="AO257" s="270" t="str">
        <f>_xlfn.IFNA(VLOOKUP(CONCATENATE(AO$4,$C257),'INSER DATA'!$A:$F,7,0),"")</f>
        <v/>
      </c>
      <c r="AP257" s="270" t="str">
        <f>_xlfn.IFNA(VLOOKUP(CONCATENATE(AP$4,$C257),'INSER DATA'!$A:$F,7,0),"")</f>
        <v/>
      </c>
      <c r="AQ257" s="270" t="str">
        <f>_xlfn.IFNA(VLOOKUP(CONCATENATE(AQ$4,$C257),'INSER DATA'!$A:$F,7,0),"")</f>
        <v/>
      </c>
      <c r="AR257" s="270" t="str">
        <f>_xlfn.IFNA(VLOOKUP(CONCATENATE(AR$4,$C257),'INSER DATA'!$A:$F,7,0),"")</f>
        <v/>
      </c>
      <c r="AS257" s="270" t="str">
        <f>_xlfn.IFNA(VLOOKUP(CONCATENATE(AS$4,$C257),'INSER DATA'!$A:$F,7,0),"")</f>
        <v/>
      </c>
      <c r="AT257" s="270" t="str">
        <f>_xlfn.IFNA(VLOOKUP(CONCATENATE(AT$4,$C257),'INSER DATA'!$A:$F,7,0),"")</f>
        <v/>
      </c>
      <c r="AU257" s="270" t="str">
        <f>_xlfn.IFNA(VLOOKUP(CONCATENATE(AU$4,$C257),'INSER DATA'!$A:$F,7,0),"")</f>
        <v/>
      </c>
      <c r="AV257" s="270" t="str">
        <f>_xlfn.IFNA(VLOOKUP(CONCATENATE(AV$4,$C257),'INSER DATA'!$A:$F,7,0),"")</f>
        <v/>
      </c>
      <c r="AW257" s="270" t="str">
        <f>_xlfn.IFNA(VLOOKUP(CONCATENATE(AW$4,$C257),'INSER DATA'!$A:$F,7,0),"")</f>
        <v/>
      </c>
      <c r="AX257" s="270" t="str">
        <f>_xlfn.IFNA(VLOOKUP(CONCATENATE(AX$4,$C257),'INSER DATA'!$A:$F,7,0),"")</f>
        <v/>
      </c>
      <c r="AY257" s="270" t="str">
        <f>_xlfn.IFNA(VLOOKUP(CONCATENATE(AY$4,$C257),'INSER DATA'!$A:$F,7,0),"")</f>
        <v/>
      </c>
      <c r="AZ257" s="270" t="str">
        <f>_xlfn.IFNA(VLOOKUP(CONCATENATE(AZ$4,$C257),'INSER DATA'!$A:$F,7,0),"")</f>
        <v/>
      </c>
      <c r="BA257" s="270" t="str">
        <f>_xlfn.IFNA(VLOOKUP(CONCATENATE(BA$4,$C257),'INSER DATA'!$A:$F,7,0),"")</f>
        <v/>
      </c>
      <c r="BB257" s="270" t="str">
        <f>_xlfn.IFNA(VLOOKUP(CONCATENATE(BB$4,$C257),'INSER DATA'!$A:$F,7,0),"")</f>
        <v/>
      </c>
      <c r="BC257" s="270" t="str">
        <f>_xlfn.IFNA(VLOOKUP(CONCATENATE(BC$4,$C257),'INSER DATA'!$A:$F,7,0),"")</f>
        <v/>
      </c>
      <c r="BD257" s="270" t="str">
        <f>_xlfn.IFNA(VLOOKUP(CONCATENATE(BD$4,$C257),'INSER DATA'!$A:$F,7,0),"")</f>
        <v/>
      </c>
      <c r="BE257" s="270" t="str">
        <f>_xlfn.IFNA(VLOOKUP(CONCATENATE(BE$4,$C257),'INSER DATA'!$A:$F,7,0),"")</f>
        <v/>
      </c>
      <c r="BF257" s="270" t="str">
        <f>_xlfn.IFNA(VLOOKUP(CONCATENATE(BF$4,$C257),'INSER DATA'!$A:$F,7,0),"")</f>
        <v/>
      </c>
      <c r="BG257" s="270" t="str">
        <f>_xlfn.IFNA(VLOOKUP(CONCATENATE(BG$4,$C257),'INSER DATA'!$A:$F,7,0),"")</f>
        <v/>
      </c>
      <c r="BH257" s="270" t="str">
        <f>_xlfn.IFNA(VLOOKUP(CONCATENATE(BH$4,$C257),'INSER DATA'!$A:$F,7,0),"")</f>
        <v/>
      </c>
      <c r="BI257" s="270" t="str">
        <f>_xlfn.IFNA(VLOOKUP(CONCATENATE(BI$4,$C257),'INSER DATA'!$A:$F,7,0),"")</f>
        <v/>
      </c>
      <c r="BJ257" s="270" t="str">
        <f>_xlfn.IFNA(VLOOKUP(CONCATENATE(BJ$4,$C257),'INSER DATA'!$A:$F,7,0),"")</f>
        <v/>
      </c>
      <c r="BK257" s="270" t="str">
        <f>_xlfn.IFNA(VLOOKUP(CONCATENATE(BK$4,$C257),'INSER DATA'!$A:$F,7,0),"")</f>
        <v/>
      </c>
      <c r="BL257" s="272"/>
      <c r="BM257" s="30"/>
      <c r="BN257" s="30"/>
      <c r="BO257" s="30"/>
      <c r="BP257" s="30"/>
      <c r="BQ257" s="30"/>
      <c r="BR257" s="30"/>
      <c r="BS257" s="30"/>
      <c r="BT257" s="30"/>
      <c r="BU257" s="30"/>
      <c r="BV257" s="30"/>
      <c r="BW257" s="30"/>
      <c r="BX257" s="30"/>
      <c r="BY257" s="30"/>
      <c r="BZ257" s="30"/>
      <c r="CA257" s="30"/>
      <c r="CB257" s="30"/>
      <c r="CC257" s="30"/>
      <c r="CD257" s="30"/>
      <c r="CE257" s="30"/>
      <c r="CF257" s="30"/>
      <c r="CG257" s="30"/>
      <c r="CH257" s="30"/>
      <c r="CI257" s="30"/>
      <c r="CJ257" s="30"/>
      <c r="CK257" s="30"/>
      <c r="CL257" s="30"/>
      <c r="CM257" s="30"/>
      <c r="CN257" s="30"/>
      <c r="CO257" s="30"/>
      <c r="CP257" s="30"/>
      <c r="CQ257" s="30"/>
      <c r="CR257" s="30"/>
      <c r="CS257" s="30"/>
      <c r="CT257" s="30"/>
      <c r="CU257" s="30"/>
      <c r="CV257" s="30"/>
      <c r="CW257" s="30"/>
      <c r="CX257" s="30"/>
      <c r="CY257" s="30"/>
      <c r="CZ257" s="30"/>
      <c r="DA257" s="30"/>
    </row>
    <row r="258" spans="1:105" ht="19.2" thickTop="1" thickBot="1" x14ac:dyDescent="0.4">
      <c r="A258" s="30"/>
      <c r="B258" s="30"/>
      <c r="C258" s="188" t="s">
        <v>806</v>
      </c>
      <c r="D258" s="46" t="s">
        <v>796</v>
      </c>
      <c r="E258" s="35" t="str">
        <f>_xlfn.XLOOKUP(Tabella4[[#This Row],[NOME]],'ROSE SQUADRE'!$N$3:$N$253,'ROSE SQUADRE'!$O$3:$O$253,"")</f>
        <v/>
      </c>
      <c r="F258" s="36" t="s">
        <v>162</v>
      </c>
      <c r="G258" s="43">
        <v>1</v>
      </c>
      <c r="H258" s="43">
        <v>1</v>
      </c>
      <c r="I258" s="44">
        <f t="shared" si="19"/>
        <v>0</v>
      </c>
      <c r="J258" s="37">
        <f t="shared" si="20"/>
        <v>0</v>
      </c>
      <c r="K258" s="38">
        <f t="shared" si="21"/>
        <v>0</v>
      </c>
      <c r="L258" s="38">
        <f t="shared" si="22"/>
        <v>0</v>
      </c>
      <c r="M258" s="39">
        <f t="shared" si="23"/>
        <v>0</v>
      </c>
      <c r="N258" s="45">
        <f t="shared" ca="1" si="24"/>
        <v>0</v>
      </c>
      <c r="O258" s="40">
        <f>SUMIF(Tabella1[Nome],Tabella4[[#This Row],[NOME]],Tabella1[Gf])</f>
        <v>0</v>
      </c>
      <c r="P258" s="40">
        <f>-(SUMIF(Tabella1[Nome],Tabella4[[#This Row],[NOME]],Tabella1[Gs]))</f>
        <v>0</v>
      </c>
      <c r="Q258" s="40">
        <f>SUMIF(Tabella1[Nome],Tabella4[[#This Row],[NOME]],Tabella1[Rp])</f>
        <v>0</v>
      </c>
      <c r="R258" s="40">
        <f>SUMIF(Tabella1[Nome],Tabella4[[#This Row],[NOME]],Tabella1[Rs])</f>
        <v>0</v>
      </c>
      <c r="S258" s="40">
        <f>SUMIF(Tabella1[Nome],Tabella4[[#This Row],[NOME]],Tabella1[Rf])</f>
        <v>0</v>
      </c>
      <c r="T258" s="40">
        <f>SUMIF(Tabella1[Nome],Tabella4[[#This Row],[NOME]],Tabella1[Au])</f>
        <v>0</v>
      </c>
      <c r="U258" s="41">
        <f>SUMIF(Tabella1[Nome],Tabella4[[#This Row],[NOME]],Tabella1[Amm])</f>
        <v>0</v>
      </c>
      <c r="V258" s="42">
        <f>SUMIF(Tabella1[Nome],Tabella4[[#This Row],[NOME]],Tabella1[Esp])</f>
        <v>0</v>
      </c>
      <c r="W258" s="40">
        <f>SUMIF(Tabella1[Nome],Tabella4[[#This Row],[NOME]],Tabella1[Ass])</f>
        <v>0</v>
      </c>
      <c r="X258" s="40">
        <f>SUMIF(Tabella1[Nome],Tabella4[[#This Row],[NOME]],Tabella1[Gdv])</f>
        <v>0</v>
      </c>
      <c r="Y258" s="40">
        <f>SUMIF(Tabella1[Nome],Tabella4[[#This Row],[NOME]],Tabella1[cl sh])</f>
        <v>0</v>
      </c>
      <c r="Z258" s="270" t="str">
        <f>_xlfn.IFNA(_xlfn.XLOOKUP(CONCATENATE(Z$4,$C258),Tabella1[CONC X VOTI IN TAB GIOC],Tabella1[Voto],""),"")</f>
        <v/>
      </c>
      <c r="AA258" s="270" t="str">
        <f>_xlfn.IFNA(_xlfn.XLOOKUP(CONCATENATE(AA$4,$C258),Tabella1[CONC X VOTI IN TAB GIOC],Tabella1[Voto],""),"")</f>
        <v/>
      </c>
      <c r="AB258" s="270" t="str">
        <f>_xlfn.IFNA(_xlfn.XLOOKUP(CONCATENATE(AB$4,$C258),Tabella1[CONC X VOTI IN TAB GIOC],Tabella1[Voto]),"")</f>
        <v/>
      </c>
      <c r="AC258" s="270" t="str" cm="1">
        <f t="array" ref="AC258">_xlfn.IFNA(_xlfn.XLOOKUP(CONCATENATE(AC$4,$C258),INDEX(Tabella1[],0,MATCH("CONC X VOTI IN TAB GIOC",Tabella1[#Headers],0)),INDEX(Tabella1[],0,MATCH("Voto",Tabella1[#Headers],0))),"")</f>
        <v/>
      </c>
      <c r="AD258" s="270" t="str">
        <f>_xlfn.IFNA(_xlfn.XLOOKUP(CONCATENATE(AD$4,$C258),Tabella1[CONC X VOTI IN TAB GIOC],Tabella1[Voto]),"")</f>
        <v/>
      </c>
      <c r="AE258" s="270" t="str">
        <f>_xlfn.IFNA(VLOOKUP(CONCATENATE(AE$4,$C258),'INSER DATA'!$A:$F,6,0),"")</f>
        <v/>
      </c>
      <c r="AF258" s="270" t="str">
        <f>_xlfn.IFNA(VLOOKUP(CONCATENATE(AF$4,$C258),'INSER DATA'!$A:$F,6,0),"")</f>
        <v/>
      </c>
      <c r="AG258" s="270" t="str">
        <f>_xlfn.IFNA(VLOOKUP(CONCATENATE(AG$4,$C258),'INSER DATA'!$A:$F,6,0),"")</f>
        <v/>
      </c>
      <c r="AH258" s="270" t="str">
        <f>_xlfn.IFNA(VLOOKUP(CONCATENATE(AH$4,$C258),'INSER DATA'!$A:$F,7,0),"")</f>
        <v/>
      </c>
      <c r="AI258" s="270" t="str">
        <f>_xlfn.IFNA(VLOOKUP(CONCATENATE(AI$4,$C258),'INSER DATA'!$A:$F,7,0),"")</f>
        <v/>
      </c>
      <c r="AJ258" s="270" t="str">
        <f>_xlfn.IFNA(VLOOKUP(CONCATENATE(AJ$4,$C258),'INSER DATA'!$A:$F,7,0),"")</f>
        <v/>
      </c>
      <c r="AK258" s="270" t="str">
        <f>_xlfn.IFNA(VLOOKUP(CONCATENATE(AK$4,$C258),'INSER DATA'!$A:$F,7,0),"")</f>
        <v/>
      </c>
      <c r="AL258" s="270" t="str">
        <f>_xlfn.IFNA(VLOOKUP(CONCATENATE(AL$4,$C258),'INSER DATA'!$A:$F,7,0),"")</f>
        <v/>
      </c>
      <c r="AM258" s="270" t="str">
        <f>_xlfn.IFNA(VLOOKUP(CONCATENATE(AM$4,$C258),'INSER DATA'!$A:$F,7,0),"")</f>
        <v/>
      </c>
      <c r="AN258" s="270" t="str">
        <f>_xlfn.IFNA(VLOOKUP(CONCATENATE(AN$4,$C258),'INSER DATA'!$A:$F,7,0),"")</f>
        <v/>
      </c>
      <c r="AO258" s="270" t="str">
        <f>_xlfn.IFNA(VLOOKUP(CONCATENATE(AO$4,$C258),'INSER DATA'!$A:$F,7,0),"")</f>
        <v/>
      </c>
      <c r="AP258" s="270" t="str">
        <f>_xlfn.IFNA(VLOOKUP(CONCATENATE(AP$4,$C258),'INSER DATA'!$A:$F,7,0),"")</f>
        <v/>
      </c>
      <c r="AQ258" s="270" t="str">
        <f>_xlfn.IFNA(VLOOKUP(CONCATENATE(AQ$4,$C258),'INSER DATA'!$A:$F,7,0),"")</f>
        <v/>
      </c>
      <c r="AR258" s="270" t="str">
        <f>_xlfn.IFNA(VLOOKUP(CONCATENATE(AR$4,$C258),'INSER DATA'!$A:$F,7,0),"")</f>
        <v/>
      </c>
      <c r="AS258" s="270" t="str">
        <f>_xlfn.IFNA(VLOOKUP(CONCATENATE(AS$4,$C258),'INSER DATA'!$A:$F,7,0),"")</f>
        <v/>
      </c>
      <c r="AT258" s="270" t="str">
        <f>_xlfn.IFNA(VLOOKUP(CONCATENATE(AT$4,$C258),'INSER DATA'!$A:$F,7,0),"")</f>
        <v/>
      </c>
      <c r="AU258" s="270" t="str">
        <f>_xlfn.IFNA(VLOOKUP(CONCATENATE(AU$4,$C258),'INSER DATA'!$A:$F,7,0),"")</f>
        <v/>
      </c>
      <c r="AV258" s="270" t="str">
        <f>_xlfn.IFNA(VLOOKUP(CONCATENATE(AV$4,$C258),'INSER DATA'!$A:$F,7,0),"")</f>
        <v/>
      </c>
      <c r="AW258" s="270" t="str">
        <f>_xlfn.IFNA(VLOOKUP(CONCATENATE(AW$4,$C258),'INSER DATA'!$A:$F,7,0),"")</f>
        <v/>
      </c>
      <c r="AX258" s="270" t="str">
        <f>_xlfn.IFNA(VLOOKUP(CONCATENATE(AX$4,$C258),'INSER DATA'!$A:$F,7,0),"")</f>
        <v/>
      </c>
      <c r="AY258" s="270" t="str">
        <f>_xlfn.IFNA(VLOOKUP(CONCATENATE(AY$4,$C258),'INSER DATA'!$A:$F,7,0),"")</f>
        <v/>
      </c>
      <c r="AZ258" s="270" t="str">
        <f>_xlfn.IFNA(VLOOKUP(CONCATENATE(AZ$4,$C258),'INSER DATA'!$A:$F,7,0),"")</f>
        <v/>
      </c>
      <c r="BA258" s="270" t="str">
        <f>_xlfn.IFNA(VLOOKUP(CONCATENATE(BA$4,$C258),'INSER DATA'!$A:$F,7,0),"")</f>
        <v/>
      </c>
      <c r="BB258" s="270" t="str">
        <f>_xlfn.IFNA(VLOOKUP(CONCATENATE(BB$4,$C258),'INSER DATA'!$A:$F,7,0),"")</f>
        <v/>
      </c>
      <c r="BC258" s="270" t="str">
        <f>_xlfn.IFNA(VLOOKUP(CONCATENATE(BC$4,$C258),'INSER DATA'!$A:$F,7,0),"")</f>
        <v/>
      </c>
      <c r="BD258" s="270" t="str">
        <f>_xlfn.IFNA(VLOOKUP(CONCATENATE(BD$4,$C258),'INSER DATA'!$A:$F,7,0),"")</f>
        <v/>
      </c>
      <c r="BE258" s="270" t="str">
        <f>_xlfn.IFNA(VLOOKUP(CONCATENATE(BE$4,$C258),'INSER DATA'!$A:$F,7,0),"")</f>
        <v/>
      </c>
      <c r="BF258" s="270" t="str">
        <f>_xlfn.IFNA(VLOOKUP(CONCATENATE(BF$4,$C258),'INSER DATA'!$A:$F,7,0),"")</f>
        <v/>
      </c>
      <c r="BG258" s="270" t="str">
        <f>_xlfn.IFNA(VLOOKUP(CONCATENATE(BG$4,$C258),'INSER DATA'!$A:$F,7,0),"")</f>
        <v/>
      </c>
      <c r="BH258" s="270" t="str">
        <f>_xlfn.IFNA(VLOOKUP(CONCATENATE(BH$4,$C258),'INSER DATA'!$A:$F,7,0),"")</f>
        <v/>
      </c>
      <c r="BI258" s="270" t="str">
        <f>_xlfn.IFNA(VLOOKUP(CONCATENATE(BI$4,$C258),'INSER DATA'!$A:$F,7,0),"")</f>
        <v/>
      </c>
      <c r="BJ258" s="270" t="str">
        <f>_xlfn.IFNA(VLOOKUP(CONCATENATE(BJ$4,$C258),'INSER DATA'!$A:$F,7,0),"")</f>
        <v/>
      </c>
      <c r="BK258" s="270" t="str">
        <f>_xlfn.IFNA(VLOOKUP(CONCATENATE(BK$4,$C258),'INSER DATA'!$A:$F,7,0),"")</f>
        <v/>
      </c>
      <c r="BL258" s="272"/>
      <c r="BM258" s="30"/>
      <c r="BN258" s="30"/>
      <c r="BO258" s="30"/>
      <c r="BP258" s="30"/>
      <c r="BQ258" s="30"/>
      <c r="BR258" s="30"/>
      <c r="BS258" s="30"/>
      <c r="BT258" s="30"/>
      <c r="BU258" s="30"/>
      <c r="BV258" s="30"/>
      <c r="BW258" s="30"/>
      <c r="BX258" s="30"/>
      <c r="BY258" s="30"/>
      <c r="BZ258" s="30"/>
      <c r="CA258" s="30"/>
      <c r="CB258" s="30"/>
      <c r="CC258" s="30"/>
      <c r="CD258" s="30"/>
      <c r="CE258" s="30"/>
      <c r="CF258" s="30"/>
      <c r="CG258" s="30"/>
      <c r="CH258" s="30"/>
      <c r="CI258" s="30"/>
      <c r="CJ258" s="30"/>
      <c r="CK258" s="30"/>
      <c r="CL258" s="30"/>
      <c r="CM258" s="30"/>
      <c r="CN258" s="30"/>
      <c r="CO258" s="30"/>
      <c r="CP258" s="30"/>
      <c r="CQ258" s="30"/>
      <c r="CR258" s="30"/>
      <c r="CS258" s="30"/>
      <c r="CT258" s="30"/>
      <c r="CU258" s="30"/>
      <c r="CV258" s="30"/>
      <c r="CW258" s="30"/>
      <c r="CX258" s="30"/>
      <c r="CY258" s="30"/>
      <c r="CZ258" s="30"/>
      <c r="DA258" s="30"/>
    </row>
    <row r="259" spans="1:105" ht="19.2" thickTop="1" thickBot="1" x14ac:dyDescent="0.4">
      <c r="A259" s="30"/>
      <c r="B259" s="30"/>
      <c r="C259" s="354" t="s">
        <v>539</v>
      </c>
      <c r="D259" s="357" t="s">
        <v>796</v>
      </c>
      <c r="E259" s="35" t="str">
        <f>_xlfn.XLOOKUP(Tabella4[[#This Row],[NOME]],'ROSE SQUADRE'!$N$3:$N$253,'ROSE SQUADRE'!$O$3:$O$253,"")</f>
        <v>FC INTERNAZIOANALE</v>
      </c>
      <c r="F259" s="36" t="s">
        <v>163</v>
      </c>
      <c r="G259" s="43">
        <v>6</v>
      </c>
      <c r="H259" s="43">
        <v>6</v>
      </c>
      <c r="I259" s="44">
        <f t="shared" si="19"/>
        <v>0</v>
      </c>
      <c r="J259" s="37">
        <f t="shared" si="20"/>
        <v>2</v>
      </c>
      <c r="K259" s="38">
        <f t="shared" si="21"/>
        <v>6.5</v>
      </c>
      <c r="L259" s="38">
        <f t="shared" si="22"/>
        <v>8</v>
      </c>
      <c r="M259" s="39">
        <f t="shared" si="23"/>
        <v>16</v>
      </c>
      <c r="N259" s="45">
        <f t="shared" ca="1" si="24"/>
        <v>0</v>
      </c>
      <c r="O259" s="40">
        <f>SUMIF(Tabella1[Nome],Tabella4[[#This Row],[NOME]],Tabella1[Gf])</f>
        <v>1</v>
      </c>
      <c r="P259" s="40">
        <f>-(SUMIF(Tabella1[Nome],Tabella4[[#This Row],[NOME]],Tabella1[Gs]))</f>
        <v>0</v>
      </c>
      <c r="Q259" s="40">
        <f>SUMIF(Tabella1[Nome],Tabella4[[#This Row],[NOME]],Tabella1[Rp])</f>
        <v>0</v>
      </c>
      <c r="R259" s="40">
        <f>SUMIF(Tabella1[Nome],Tabella4[[#This Row],[NOME]],Tabella1[Rs])</f>
        <v>0</v>
      </c>
      <c r="S259" s="40">
        <f>SUMIF(Tabella1[Nome],Tabella4[[#This Row],[NOME]],Tabella1[Rf])</f>
        <v>0</v>
      </c>
      <c r="T259" s="40">
        <f>SUMIF(Tabella1[Nome],Tabella4[[#This Row],[NOME]],Tabella1[Au])</f>
        <v>0</v>
      </c>
      <c r="U259" s="41">
        <f>SUMIF(Tabella1[Nome],Tabella4[[#This Row],[NOME]],Tabella1[Amm])</f>
        <v>0</v>
      </c>
      <c r="V259" s="42">
        <f>SUMIF(Tabella1[Nome],Tabella4[[#This Row],[NOME]],Tabella1[Esp])</f>
        <v>0</v>
      </c>
      <c r="W259" s="40">
        <f>SUMIF(Tabella1[Nome],Tabella4[[#This Row],[NOME]],Tabella1[Ass])</f>
        <v>0</v>
      </c>
      <c r="X259" s="40">
        <f>SUMIF(Tabella1[Nome],Tabella4[[#This Row],[NOME]],Tabella1[Gdv])</f>
        <v>0</v>
      </c>
      <c r="Y259" s="40">
        <f>SUMIF(Tabella1[Nome],Tabella4[[#This Row],[NOME]],Tabella1[cl sh])</f>
        <v>0</v>
      </c>
      <c r="Z259" s="270" t="str">
        <f>_xlfn.IFNA(_xlfn.XLOOKUP(CONCATENATE(Z$4,$C259),Tabella1[CONC X VOTI IN TAB GIOC],Tabella1[Voto],""),"")</f>
        <v/>
      </c>
      <c r="AA259" s="270" t="str">
        <f>_xlfn.IFNA(_xlfn.XLOOKUP(CONCATENATE(AA$4,$C259),Tabella1[CONC X VOTI IN TAB GIOC],Tabella1[Voto],""),"")</f>
        <v/>
      </c>
      <c r="AB259" s="270">
        <f>_xlfn.IFNA(_xlfn.XLOOKUP(CONCATENATE(AB$4,$C259),Tabella1[CONC X VOTI IN TAB GIOC],Tabella1[Voto]),"")</f>
        <v>6</v>
      </c>
      <c r="AC259" s="270" cm="1">
        <f t="array" ref="AC259">_xlfn.IFNA(_xlfn.XLOOKUP(CONCATENATE(AC$4,$C259),INDEX(Tabella1[],0,MATCH("CONC X VOTI IN TAB GIOC",Tabella1[#Headers],0)),INDEX(Tabella1[],0,MATCH("Voto",Tabella1[#Headers],0))),"")</f>
        <v>7</v>
      </c>
      <c r="AD259" s="270" t="str">
        <f>_xlfn.IFNA(_xlfn.XLOOKUP(CONCATENATE(AD$4,$C259),Tabella1[CONC X VOTI IN TAB GIOC],Tabella1[Voto]),"")</f>
        <v/>
      </c>
      <c r="AE259" s="270" t="str">
        <f>_xlfn.IFNA(VLOOKUP(CONCATENATE(AE$4,$C259),'INSER DATA'!$A:$F,6,0),"")</f>
        <v/>
      </c>
      <c r="AF259" s="270" t="str">
        <f>_xlfn.IFNA(VLOOKUP(CONCATENATE(AF$4,$C259),'INSER DATA'!$A:$F,6,0),"")</f>
        <v/>
      </c>
      <c r="AG259" s="270" t="str">
        <f>_xlfn.IFNA(VLOOKUP(CONCATENATE(AG$4,$C259),'INSER DATA'!$A:$F,6,0),"")</f>
        <v/>
      </c>
      <c r="AH259" s="270" t="str">
        <f>_xlfn.IFNA(VLOOKUP(CONCATENATE(AH$4,$C259),'INSER DATA'!$A:$F,7,0),"")</f>
        <v/>
      </c>
      <c r="AI259" s="270" t="str">
        <f>_xlfn.IFNA(VLOOKUP(CONCATENATE(AI$4,$C259),'INSER DATA'!$A:$F,7,0),"")</f>
        <v/>
      </c>
      <c r="AJ259" s="270" t="str">
        <f>_xlfn.IFNA(VLOOKUP(CONCATENATE(AJ$4,$C259),'INSER DATA'!$A:$F,7,0),"")</f>
        <v/>
      </c>
      <c r="AK259" s="270" t="str">
        <f>_xlfn.IFNA(VLOOKUP(CONCATENATE(AK$4,$C259),'INSER DATA'!$A:$F,7,0),"")</f>
        <v/>
      </c>
      <c r="AL259" s="270" t="str">
        <f>_xlfn.IFNA(VLOOKUP(CONCATENATE(AL$4,$C259),'INSER DATA'!$A:$F,7,0),"")</f>
        <v/>
      </c>
      <c r="AM259" s="270" t="str">
        <f>_xlfn.IFNA(VLOOKUP(CONCATENATE(AM$4,$C259),'INSER DATA'!$A:$F,7,0),"")</f>
        <v/>
      </c>
      <c r="AN259" s="270" t="str">
        <f>_xlfn.IFNA(VLOOKUP(CONCATENATE(AN$4,$C259),'INSER DATA'!$A:$F,7,0),"")</f>
        <v/>
      </c>
      <c r="AO259" s="270" t="str">
        <f>_xlfn.IFNA(VLOOKUP(CONCATENATE(AO$4,$C259),'INSER DATA'!$A:$F,7,0),"")</f>
        <v/>
      </c>
      <c r="AP259" s="270" t="str">
        <f>_xlfn.IFNA(VLOOKUP(CONCATENATE(AP$4,$C259),'INSER DATA'!$A:$F,7,0),"")</f>
        <v/>
      </c>
      <c r="AQ259" s="270" t="str">
        <f>_xlfn.IFNA(VLOOKUP(CONCATENATE(AQ$4,$C259),'INSER DATA'!$A:$F,7,0),"")</f>
        <v/>
      </c>
      <c r="AR259" s="270" t="str">
        <f>_xlfn.IFNA(VLOOKUP(CONCATENATE(AR$4,$C259),'INSER DATA'!$A:$F,7,0),"")</f>
        <v/>
      </c>
      <c r="AS259" s="270" t="str">
        <f>_xlfn.IFNA(VLOOKUP(CONCATENATE(AS$4,$C259),'INSER DATA'!$A:$F,7,0),"")</f>
        <v/>
      </c>
      <c r="AT259" s="270" t="str">
        <f>_xlfn.IFNA(VLOOKUP(CONCATENATE(AT$4,$C259),'INSER DATA'!$A:$F,7,0),"")</f>
        <v/>
      </c>
      <c r="AU259" s="270" t="str">
        <f>_xlfn.IFNA(VLOOKUP(CONCATENATE(AU$4,$C259),'INSER DATA'!$A:$F,7,0),"")</f>
        <v/>
      </c>
      <c r="AV259" s="270" t="str">
        <f>_xlfn.IFNA(VLOOKUP(CONCATENATE(AV$4,$C259),'INSER DATA'!$A:$F,7,0),"")</f>
        <v/>
      </c>
      <c r="AW259" s="270" t="str">
        <f>_xlfn.IFNA(VLOOKUP(CONCATENATE(AW$4,$C259),'INSER DATA'!$A:$F,7,0),"")</f>
        <v/>
      </c>
      <c r="AX259" s="270" t="str">
        <f>_xlfn.IFNA(VLOOKUP(CONCATENATE(AX$4,$C259),'INSER DATA'!$A:$F,7,0),"")</f>
        <v/>
      </c>
      <c r="AY259" s="270" t="str">
        <f>_xlfn.IFNA(VLOOKUP(CONCATENATE(AY$4,$C259),'INSER DATA'!$A:$F,7,0),"")</f>
        <v/>
      </c>
      <c r="AZ259" s="270" t="str">
        <f>_xlfn.IFNA(VLOOKUP(CONCATENATE(AZ$4,$C259),'INSER DATA'!$A:$F,7,0),"")</f>
        <v/>
      </c>
      <c r="BA259" s="270" t="str">
        <f>_xlfn.IFNA(VLOOKUP(CONCATENATE(BA$4,$C259),'INSER DATA'!$A:$F,7,0),"")</f>
        <v/>
      </c>
      <c r="BB259" s="270" t="str">
        <f>_xlfn.IFNA(VLOOKUP(CONCATENATE(BB$4,$C259),'INSER DATA'!$A:$F,7,0),"")</f>
        <v/>
      </c>
      <c r="BC259" s="270" t="str">
        <f>_xlfn.IFNA(VLOOKUP(CONCATENATE(BC$4,$C259),'INSER DATA'!$A:$F,7,0),"")</f>
        <v/>
      </c>
      <c r="BD259" s="270" t="str">
        <f>_xlfn.IFNA(VLOOKUP(CONCATENATE(BD$4,$C259),'INSER DATA'!$A:$F,7,0),"")</f>
        <v/>
      </c>
      <c r="BE259" s="270" t="str">
        <f>_xlfn.IFNA(VLOOKUP(CONCATENATE(BE$4,$C259),'INSER DATA'!$A:$F,7,0),"")</f>
        <v/>
      </c>
      <c r="BF259" s="270" t="str">
        <f>_xlfn.IFNA(VLOOKUP(CONCATENATE(BF$4,$C259),'INSER DATA'!$A:$F,7,0),"")</f>
        <v/>
      </c>
      <c r="BG259" s="270" t="str">
        <f>_xlfn.IFNA(VLOOKUP(CONCATENATE(BG$4,$C259),'INSER DATA'!$A:$F,7,0),"")</f>
        <v/>
      </c>
      <c r="BH259" s="270" t="str">
        <f>_xlfn.IFNA(VLOOKUP(CONCATENATE(BH$4,$C259),'INSER DATA'!$A:$F,7,0),"")</f>
        <v/>
      </c>
      <c r="BI259" s="270" t="str">
        <f>_xlfn.IFNA(VLOOKUP(CONCATENATE(BI$4,$C259),'INSER DATA'!$A:$F,7,0),"")</f>
        <v/>
      </c>
      <c r="BJ259" s="270" t="str">
        <f>_xlfn.IFNA(VLOOKUP(CONCATENATE(BJ$4,$C259),'INSER DATA'!$A:$F,7,0),"")</f>
        <v/>
      </c>
      <c r="BK259" s="270" t="str">
        <f>_xlfn.IFNA(VLOOKUP(CONCATENATE(BK$4,$C259),'INSER DATA'!$A:$F,7,0),"")</f>
        <v/>
      </c>
      <c r="BL259" s="272"/>
      <c r="BM259" s="30"/>
      <c r="BN259" s="30"/>
      <c r="BO259" s="30"/>
      <c r="BP259" s="30"/>
      <c r="BQ259" s="30"/>
      <c r="BR259" s="30"/>
      <c r="BS259" s="30"/>
      <c r="BT259" s="30"/>
      <c r="BU259" s="30"/>
      <c r="BV259" s="30"/>
      <c r="BW259" s="30"/>
      <c r="BX259" s="30"/>
      <c r="BY259" s="30"/>
      <c r="BZ259" s="30"/>
      <c r="CA259" s="30"/>
      <c r="CB259" s="30"/>
      <c r="CC259" s="30"/>
      <c r="CD259" s="30"/>
      <c r="CE259" s="30"/>
      <c r="CF259" s="30"/>
      <c r="CG259" s="30"/>
      <c r="CH259" s="30"/>
      <c r="CI259" s="30"/>
      <c r="CJ259" s="30"/>
      <c r="CK259" s="30"/>
      <c r="CL259" s="30"/>
      <c r="CM259" s="30"/>
      <c r="CN259" s="30"/>
      <c r="CO259" s="30"/>
      <c r="CP259" s="30"/>
      <c r="CQ259" s="30"/>
      <c r="CR259" s="30"/>
      <c r="CS259" s="30"/>
      <c r="CT259" s="30"/>
      <c r="CU259" s="30"/>
      <c r="CV259" s="30"/>
      <c r="CW259" s="30"/>
      <c r="CX259" s="30"/>
      <c r="CY259" s="30"/>
      <c r="CZ259" s="30"/>
      <c r="DA259" s="30"/>
    </row>
    <row r="260" spans="1:105" ht="19.2" thickTop="1" thickBot="1" x14ac:dyDescent="0.4">
      <c r="A260" s="30"/>
      <c r="B260" s="30"/>
      <c r="C260" s="188" t="s">
        <v>808</v>
      </c>
      <c r="D260" s="46" t="s">
        <v>796</v>
      </c>
      <c r="E260" s="35" t="str">
        <f>_xlfn.XLOOKUP(Tabella4[[#This Row],[NOME]],'ROSE SQUADRE'!$N$3:$N$253,'ROSE SQUADRE'!$O$3:$O$253,"")</f>
        <v/>
      </c>
      <c r="F260" s="36" t="s">
        <v>163</v>
      </c>
      <c r="G260" s="43">
        <v>10</v>
      </c>
      <c r="H260" s="43">
        <v>10</v>
      </c>
      <c r="I260" s="44">
        <f t="shared" si="19"/>
        <v>0</v>
      </c>
      <c r="J260" s="37">
        <f t="shared" si="20"/>
        <v>0</v>
      </c>
      <c r="K260" s="38">
        <f t="shared" si="21"/>
        <v>0</v>
      </c>
      <c r="L260" s="38">
        <f t="shared" si="22"/>
        <v>0</v>
      </c>
      <c r="M260" s="39">
        <f t="shared" si="23"/>
        <v>0</v>
      </c>
      <c r="N260" s="45">
        <f t="shared" ca="1" si="24"/>
        <v>0</v>
      </c>
      <c r="O260" s="40">
        <f>SUMIF(Tabella1[Nome],Tabella4[[#This Row],[NOME]],Tabella1[Gf])</f>
        <v>0</v>
      </c>
      <c r="P260" s="40">
        <f>-(SUMIF(Tabella1[Nome],Tabella4[[#This Row],[NOME]],Tabella1[Gs]))</f>
        <v>0</v>
      </c>
      <c r="Q260" s="40">
        <f>SUMIF(Tabella1[Nome],Tabella4[[#This Row],[NOME]],Tabella1[Rp])</f>
        <v>0</v>
      </c>
      <c r="R260" s="40">
        <f>SUMIF(Tabella1[Nome],Tabella4[[#This Row],[NOME]],Tabella1[Rs])</f>
        <v>0</v>
      </c>
      <c r="S260" s="40">
        <f>SUMIF(Tabella1[Nome],Tabella4[[#This Row],[NOME]],Tabella1[Rf])</f>
        <v>0</v>
      </c>
      <c r="T260" s="40">
        <f>SUMIF(Tabella1[Nome],Tabella4[[#This Row],[NOME]],Tabella1[Au])</f>
        <v>0</v>
      </c>
      <c r="U260" s="41">
        <f>SUMIF(Tabella1[Nome],Tabella4[[#This Row],[NOME]],Tabella1[Amm])</f>
        <v>0</v>
      </c>
      <c r="V260" s="42">
        <f>SUMIF(Tabella1[Nome],Tabella4[[#This Row],[NOME]],Tabella1[Esp])</f>
        <v>0</v>
      </c>
      <c r="W260" s="40">
        <f>SUMIF(Tabella1[Nome],Tabella4[[#This Row],[NOME]],Tabella1[Ass])</f>
        <v>0</v>
      </c>
      <c r="X260" s="40">
        <f>SUMIF(Tabella1[Nome],Tabella4[[#This Row],[NOME]],Tabella1[Gdv])</f>
        <v>0</v>
      </c>
      <c r="Y260" s="40">
        <f>SUMIF(Tabella1[Nome],Tabella4[[#This Row],[NOME]],Tabella1[cl sh])</f>
        <v>0</v>
      </c>
      <c r="Z260" s="270" t="str">
        <f>_xlfn.IFNA(_xlfn.XLOOKUP(CONCATENATE(Z$4,$C260),Tabella1[CONC X VOTI IN TAB GIOC],Tabella1[Voto],""),"")</f>
        <v/>
      </c>
      <c r="AA260" s="270" t="str">
        <f>_xlfn.IFNA(_xlfn.XLOOKUP(CONCATENATE(AA$4,$C260),Tabella1[CONC X VOTI IN TAB GIOC],Tabella1[Voto],""),"")</f>
        <v/>
      </c>
      <c r="AB260" s="270" t="str">
        <f>_xlfn.IFNA(_xlfn.XLOOKUP(CONCATENATE(AB$4,$C260),Tabella1[CONC X VOTI IN TAB GIOC],Tabella1[Voto]),"")</f>
        <v/>
      </c>
      <c r="AC260" s="270" t="str" cm="1">
        <f t="array" ref="AC260">_xlfn.IFNA(_xlfn.XLOOKUP(CONCATENATE(AC$4,$C260),INDEX(Tabella1[],0,MATCH("CONC X VOTI IN TAB GIOC",Tabella1[#Headers],0)),INDEX(Tabella1[],0,MATCH("Voto",Tabella1[#Headers],0))),"")</f>
        <v/>
      </c>
      <c r="AD260" s="270" t="str">
        <f>_xlfn.IFNA(_xlfn.XLOOKUP(CONCATENATE(AD$4,$C260),Tabella1[CONC X VOTI IN TAB GIOC],Tabella1[Voto]),"")</f>
        <v/>
      </c>
      <c r="AE260" s="270" t="str">
        <f>_xlfn.IFNA(VLOOKUP(CONCATENATE(AE$4,$C260),'INSER DATA'!$A:$F,6,0),"")</f>
        <v/>
      </c>
      <c r="AF260" s="270" t="str">
        <f>_xlfn.IFNA(VLOOKUP(CONCATENATE(AF$4,$C260),'INSER DATA'!$A:$F,6,0),"")</f>
        <v/>
      </c>
      <c r="AG260" s="270" t="str">
        <f>_xlfn.IFNA(VLOOKUP(CONCATENATE(AG$4,$C260),'INSER DATA'!$A:$F,6,0),"")</f>
        <v/>
      </c>
      <c r="AH260" s="270" t="str">
        <f>_xlfn.IFNA(VLOOKUP(CONCATENATE(AH$4,$C260),'INSER DATA'!$A:$F,7,0),"")</f>
        <v/>
      </c>
      <c r="AI260" s="270" t="str">
        <f>_xlfn.IFNA(VLOOKUP(CONCATENATE(AI$4,$C260),'INSER DATA'!$A:$F,7,0),"")</f>
        <v/>
      </c>
      <c r="AJ260" s="270" t="str">
        <f>_xlfn.IFNA(VLOOKUP(CONCATENATE(AJ$4,$C260),'INSER DATA'!$A:$F,7,0),"")</f>
        <v/>
      </c>
      <c r="AK260" s="270" t="str">
        <f>_xlfn.IFNA(VLOOKUP(CONCATENATE(AK$4,$C260),'INSER DATA'!$A:$F,7,0),"")</f>
        <v/>
      </c>
      <c r="AL260" s="270" t="str">
        <f>_xlfn.IFNA(VLOOKUP(CONCATENATE(AL$4,$C260),'INSER DATA'!$A:$F,7,0),"")</f>
        <v/>
      </c>
      <c r="AM260" s="270" t="str">
        <f>_xlfn.IFNA(VLOOKUP(CONCATENATE(AM$4,$C260),'INSER DATA'!$A:$F,7,0),"")</f>
        <v/>
      </c>
      <c r="AN260" s="270" t="str">
        <f>_xlfn.IFNA(VLOOKUP(CONCATENATE(AN$4,$C260),'INSER DATA'!$A:$F,7,0),"")</f>
        <v/>
      </c>
      <c r="AO260" s="270" t="str">
        <f>_xlfn.IFNA(VLOOKUP(CONCATENATE(AO$4,$C260),'INSER DATA'!$A:$F,7,0),"")</f>
        <v/>
      </c>
      <c r="AP260" s="270" t="str">
        <f>_xlfn.IFNA(VLOOKUP(CONCATENATE(AP$4,$C260),'INSER DATA'!$A:$F,7,0),"")</f>
        <v/>
      </c>
      <c r="AQ260" s="270" t="str">
        <f>_xlfn.IFNA(VLOOKUP(CONCATENATE(AQ$4,$C260),'INSER DATA'!$A:$F,7,0),"")</f>
        <v/>
      </c>
      <c r="AR260" s="270" t="str">
        <f>_xlfn.IFNA(VLOOKUP(CONCATENATE(AR$4,$C260),'INSER DATA'!$A:$F,7,0),"")</f>
        <v/>
      </c>
      <c r="AS260" s="270" t="str">
        <f>_xlfn.IFNA(VLOOKUP(CONCATENATE(AS$4,$C260),'INSER DATA'!$A:$F,7,0),"")</f>
        <v/>
      </c>
      <c r="AT260" s="270" t="str">
        <f>_xlfn.IFNA(VLOOKUP(CONCATENATE(AT$4,$C260),'INSER DATA'!$A:$F,7,0),"")</f>
        <v/>
      </c>
      <c r="AU260" s="270" t="str">
        <f>_xlfn.IFNA(VLOOKUP(CONCATENATE(AU$4,$C260),'INSER DATA'!$A:$F,7,0),"")</f>
        <v/>
      </c>
      <c r="AV260" s="270" t="str">
        <f>_xlfn.IFNA(VLOOKUP(CONCATENATE(AV$4,$C260),'INSER DATA'!$A:$F,7,0),"")</f>
        <v/>
      </c>
      <c r="AW260" s="270" t="str">
        <f>_xlfn.IFNA(VLOOKUP(CONCATENATE(AW$4,$C260),'INSER DATA'!$A:$F,7,0),"")</f>
        <v/>
      </c>
      <c r="AX260" s="270" t="str">
        <f>_xlfn.IFNA(VLOOKUP(CONCATENATE(AX$4,$C260),'INSER DATA'!$A:$F,7,0),"")</f>
        <v/>
      </c>
      <c r="AY260" s="270" t="str">
        <f>_xlfn.IFNA(VLOOKUP(CONCATENATE(AY$4,$C260),'INSER DATA'!$A:$F,7,0),"")</f>
        <v/>
      </c>
      <c r="AZ260" s="270" t="str">
        <f>_xlfn.IFNA(VLOOKUP(CONCATENATE(AZ$4,$C260),'INSER DATA'!$A:$F,7,0),"")</f>
        <v/>
      </c>
      <c r="BA260" s="270" t="str">
        <f>_xlfn.IFNA(VLOOKUP(CONCATENATE(BA$4,$C260),'INSER DATA'!$A:$F,7,0),"")</f>
        <v/>
      </c>
      <c r="BB260" s="270" t="str">
        <f>_xlfn.IFNA(VLOOKUP(CONCATENATE(BB$4,$C260),'INSER DATA'!$A:$F,7,0),"")</f>
        <v/>
      </c>
      <c r="BC260" s="270" t="str">
        <f>_xlfn.IFNA(VLOOKUP(CONCATENATE(BC$4,$C260),'INSER DATA'!$A:$F,7,0),"")</f>
        <v/>
      </c>
      <c r="BD260" s="270" t="str">
        <f>_xlfn.IFNA(VLOOKUP(CONCATENATE(BD$4,$C260),'INSER DATA'!$A:$F,7,0),"")</f>
        <v/>
      </c>
      <c r="BE260" s="270" t="str">
        <f>_xlfn.IFNA(VLOOKUP(CONCATENATE(BE$4,$C260),'INSER DATA'!$A:$F,7,0),"")</f>
        <v/>
      </c>
      <c r="BF260" s="270" t="str">
        <f>_xlfn.IFNA(VLOOKUP(CONCATENATE(BF$4,$C260),'INSER DATA'!$A:$F,7,0),"")</f>
        <v/>
      </c>
      <c r="BG260" s="270" t="str">
        <f>_xlfn.IFNA(VLOOKUP(CONCATENATE(BG$4,$C260),'INSER DATA'!$A:$F,7,0),"")</f>
        <v/>
      </c>
      <c r="BH260" s="270" t="str">
        <f>_xlfn.IFNA(VLOOKUP(CONCATENATE(BH$4,$C260),'INSER DATA'!$A:$F,7,0),"")</f>
        <v/>
      </c>
      <c r="BI260" s="270" t="str">
        <f>_xlfn.IFNA(VLOOKUP(CONCATENATE(BI$4,$C260),'INSER DATA'!$A:$F,7,0),"")</f>
        <v/>
      </c>
      <c r="BJ260" s="270" t="str">
        <f>_xlfn.IFNA(VLOOKUP(CONCATENATE(BJ$4,$C260),'INSER DATA'!$A:$F,7,0),"")</f>
        <v/>
      </c>
      <c r="BK260" s="270" t="str">
        <f>_xlfn.IFNA(VLOOKUP(CONCATENATE(BK$4,$C260),'INSER DATA'!$A:$F,7,0),"")</f>
        <v/>
      </c>
      <c r="BL260" s="272"/>
      <c r="BM260" s="30"/>
      <c r="BN260" s="30"/>
      <c r="BO260" s="30"/>
      <c r="BP260" s="30"/>
      <c r="BQ260" s="30"/>
      <c r="BR260" s="30"/>
      <c r="BS260" s="30"/>
      <c r="BT260" s="30"/>
      <c r="BU260" s="30"/>
      <c r="BV260" s="30"/>
      <c r="BW260" s="30"/>
      <c r="BX260" s="30"/>
      <c r="BY260" s="30"/>
      <c r="BZ260" s="30"/>
      <c r="CA260" s="30"/>
      <c r="CB260" s="30"/>
      <c r="CC260" s="30"/>
      <c r="CD260" s="30"/>
      <c r="CE260" s="30"/>
      <c r="CF260" s="30"/>
      <c r="CG260" s="30"/>
      <c r="CH260" s="30"/>
      <c r="CI260" s="30"/>
      <c r="CJ260" s="30"/>
      <c r="CK260" s="30"/>
      <c r="CL260" s="30"/>
      <c r="CM260" s="30"/>
      <c r="CN260" s="30"/>
      <c r="CO260" s="30"/>
      <c r="CP260" s="30"/>
      <c r="CQ260" s="30"/>
      <c r="CR260" s="30"/>
      <c r="CS260" s="30"/>
      <c r="CT260" s="30"/>
      <c r="CU260" s="30"/>
      <c r="CV260" s="30"/>
      <c r="CW260" s="30"/>
      <c r="CX260" s="30"/>
      <c r="CY260" s="30"/>
      <c r="CZ260" s="30"/>
      <c r="DA260" s="30"/>
    </row>
    <row r="261" spans="1:105" s="184" customFormat="1" ht="19.2" thickTop="1" thickBot="1" x14ac:dyDescent="0.4">
      <c r="A261" s="30"/>
      <c r="B261" s="30"/>
      <c r="C261" s="354" t="s">
        <v>296</v>
      </c>
      <c r="D261" s="357" t="s">
        <v>810</v>
      </c>
      <c r="E261" s="35" t="str">
        <f>_xlfn.XLOOKUP(Tabella4[[#This Row],[NOME]],'ROSE SQUADRE'!$N$3:$N$253,'ROSE SQUADRE'!$O$3:$O$253,"")</f>
        <v>PARTIZAN DEGRADO</v>
      </c>
      <c r="F261" s="36" t="s">
        <v>5</v>
      </c>
      <c r="G261" s="43">
        <v>8</v>
      </c>
      <c r="H261" s="43">
        <v>9</v>
      </c>
      <c r="I261" s="44">
        <f t="shared" ref="I261:I324" si="25">SUM(H261-G261)</f>
        <v>1</v>
      </c>
      <c r="J261" s="37">
        <f t="shared" ref="J261:J324" si="26">COUNT(Z261:CJ261)</f>
        <v>4</v>
      </c>
      <c r="K261" s="38">
        <f t="shared" ref="K261:K324" si="27">IF(J261=0,0,AVERAGE(Z261:CJ261))</f>
        <v>6.125</v>
      </c>
      <c r="L261" s="38">
        <f t="shared" ref="L261:L324" si="28">IF(J261=0,0,M261/J261)</f>
        <v>4.5</v>
      </c>
      <c r="M261" s="39">
        <f t="shared" ref="M261:M324" si="29">SUM(Z261:CJ261)+(O261*3)+P261+(Q261*3)-(R261*3)-(T261*2)-(U261/2)-V261+W261+X261+Y261</f>
        <v>18</v>
      </c>
      <c r="N261" s="45">
        <f t="shared" ca="1" si="24"/>
        <v>0</v>
      </c>
      <c r="O261" s="40">
        <f>SUMIF(Tabella1[Nome],Tabella4[[#This Row],[NOME]],Tabella1[Gf])</f>
        <v>0</v>
      </c>
      <c r="P261" s="40">
        <f>-(SUMIF(Tabella1[Nome],Tabella4[[#This Row],[NOME]],Tabella1[Gs]))</f>
        <v>-7</v>
      </c>
      <c r="Q261" s="40">
        <f>SUMIF(Tabella1[Nome],Tabella4[[#This Row],[NOME]],Tabella1[Rp])</f>
        <v>0</v>
      </c>
      <c r="R261" s="40">
        <f>SUMIF(Tabella1[Nome],Tabella4[[#This Row],[NOME]],Tabella1[Rs])</f>
        <v>0</v>
      </c>
      <c r="S261" s="40">
        <f>SUMIF(Tabella1[Nome],Tabella4[[#This Row],[NOME]],Tabella1[Rf])</f>
        <v>0</v>
      </c>
      <c r="T261" s="40">
        <f>SUMIF(Tabella1[Nome],Tabella4[[#This Row],[NOME]],Tabella1[Au])</f>
        <v>0</v>
      </c>
      <c r="U261" s="41">
        <f>SUMIF(Tabella1[Nome],Tabella4[[#This Row],[NOME]],Tabella1[Amm])</f>
        <v>1</v>
      </c>
      <c r="V261" s="42">
        <f>SUMIF(Tabella1[Nome],Tabella4[[#This Row],[NOME]],Tabella1[Esp])</f>
        <v>0</v>
      </c>
      <c r="W261" s="40">
        <f>SUMIF(Tabella1[Nome],Tabella4[[#This Row],[NOME]],Tabella1[Ass])</f>
        <v>0</v>
      </c>
      <c r="X261" s="40">
        <f>SUMIF(Tabella1[Nome],Tabella4[[#This Row],[NOME]],Tabella1[Gdv])</f>
        <v>0</v>
      </c>
      <c r="Y261" s="40">
        <f>SUMIF(Tabella1[Nome],Tabella4[[#This Row],[NOME]],Tabella1[cl sh])</f>
        <v>1</v>
      </c>
      <c r="Z261" s="270">
        <f>_xlfn.IFNA(_xlfn.XLOOKUP(CONCATENATE(Z$4,$C261),Tabella1[CONC X VOTI IN TAB GIOC],Tabella1[Voto],""),"")</f>
        <v>7</v>
      </c>
      <c r="AA261" s="270">
        <f>_xlfn.IFNA(_xlfn.XLOOKUP(CONCATENATE(AA$4,$C261),Tabella1[CONC X VOTI IN TAB GIOC],Tabella1[Voto],""),"")</f>
        <v>5.5</v>
      </c>
      <c r="AB261" s="270">
        <f>_xlfn.IFNA(_xlfn.XLOOKUP(CONCATENATE(AB$4,$C261),Tabella1[CONC X VOTI IN TAB GIOC],Tabella1[Voto]),"")</f>
        <v>6.5</v>
      </c>
      <c r="AC261" s="270" cm="1">
        <f t="array" ref="AC261">_xlfn.IFNA(_xlfn.XLOOKUP(CONCATENATE(AC$4,$C261),INDEX(Tabella1[],0,MATCH("CONC X VOTI IN TAB GIOC",Tabella1[#Headers],0)),INDEX(Tabella1[],0,MATCH("Voto",Tabella1[#Headers],0))),"")</f>
        <v>5.5</v>
      </c>
      <c r="AD261" s="270" t="str">
        <f>_xlfn.IFNA(_xlfn.XLOOKUP(CONCATENATE(AD$4,$C261),Tabella1[CONC X VOTI IN TAB GIOC],Tabella1[Voto]),"")</f>
        <v/>
      </c>
      <c r="AE261" s="270" t="str">
        <f>_xlfn.IFNA(VLOOKUP(CONCATENATE(AE$4,$C261),'INSER DATA'!$A:$F,6,0),"")</f>
        <v/>
      </c>
      <c r="AF261" s="270" t="str">
        <f>_xlfn.IFNA(VLOOKUP(CONCATENATE(AF$4,$C261),'INSER DATA'!$A:$F,6,0),"")</f>
        <v/>
      </c>
      <c r="AG261" s="270" t="str">
        <f>_xlfn.IFNA(VLOOKUP(CONCATENATE(AG$4,$C261),'INSER DATA'!$A:$F,6,0),"")</f>
        <v/>
      </c>
      <c r="AH261" s="270" t="str">
        <f>_xlfn.IFNA(VLOOKUP(CONCATENATE(AH$4,$C261),'INSER DATA'!$A:$F,7,0),"")</f>
        <v/>
      </c>
      <c r="AI261" s="270" t="str">
        <f>_xlfn.IFNA(VLOOKUP(CONCATENATE(AI$4,$C261),'INSER DATA'!$A:$F,7,0),"")</f>
        <v/>
      </c>
      <c r="AJ261" s="270" t="str">
        <f>_xlfn.IFNA(VLOOKUP(CONCATENATE(AJ$4,$C261),'INSER DATA'!$A:$F,7,0),"")</f>
        <v/>
      </c>
      <c r="AK261" s="270" t="str">
        <f>_xlfn.IFNA(VLOOKUP(CONCATENATE(AK$4,$C261),'INSER DATA'!$A:$F,7,0),"")</f>
        <v/>
      </c>
      <c r="AL261" s="270" t="str">
        <f>_xlfn.IFNA(VLOOKUP(CONCATENATE(AL$4,$C261),'INSER DATA'!$A:$F,7,0),"")</f>
        <v/>
      </c>
      <c r="AM261" s="270" t="str">
        <f>_xlfn.IFNA(VLOOKUP(CONCATENATE(AM$4,$C261),'INSER DATA'!$A:$F,7,0),"")</f>
        <v/>
      </c>
      <c r="AN261" s="270" t="str">
        <f>_xlfn.IFNA(VLOOKUP(CONCATENATE(AN$4,$C261),'INSER DATA'!$A:$F,7,0),"")</f>
        <v/>
      </c>
      <c r="AO261" s="270" t="str">
        <f>_xlfn.IFNA(VLOOKUP(CONCATENATE(AO$4,$C261),'INSER DATA'!$A:$F,7,0),"")</f>
        <v/>
      </c>
      <c r="AP261" s="270" t="str">
        <f>_xlfn.IFNA(VLOOKUP(CONCATENATE(AP$4,$C261),'INSER DATA'!$A:$F,7,0),"")</f>
        <v/>
      </c>
      <c r="AQ261" s="270" t="str">
        <f>_xlfn.IFNA(VLOOKUP(CONCATENATE(AQ$4,$C261),'INSER DATA'!$A:$F,7,0),"")</f>
        <v/>
      </c>
      <c r="AR261" s="270" t="str">
        <f>_xlfn.IFNA(VLOOKUP(CONCATENATE(AR$4,$C261),'INSER DATA'!$A:$F,7,0),"")</f>
        <v/>
      </c>
      <c r="AS261" s="270" t="str">
        <f>_xlfn.IFNA(VLOOKUP(CONCATENATE(AS$4,$C261),'INSER DATA'!$A:$F,7,0),"")</f>
        <v/>
      </c>
      <c r="AT261" s="270" t="str">
        <f>_xlfn.IFNA(VLOOKUP(CONCATENATE(AT$4,$C261),'INSER DATA'!$A:$F,7,0),"")</f>
        <v/>
      </c>
      <c r="AU261" s="270" t="str">
        <f>_xlfn.IFNA(VLOOKUP(CONCATENATE(AU$4,$C261),'INSER DATA'!$A:$F,7,0),"")</f>
        <v/>
      </c>
      <c r="AV261" s="270" t="str">
        <f>_xlfn.IFNA(VLOOKUP(CONCATENATE(AV$4,$C261),'INSER DATA'!$A:$F,7,0),"")</f>
        <v/>
      </c>
      <c r="AW261" s="270" t="str">
        <f>_xlfn.IFNA(VLOOKUP(CONCATENATE(AW$4,$C261),'INSER DATA'!$A:$F,7,0),"")</f>
        <v/>
      </c>
      <c r="AX261" s="270" t="str">
        <f>_xlfn.IFNA(VLOOKUP(CONCATENATE(AX$4,$C261),'INSER DATA'!$A:$F,7,0),"")</f>
        <v/>
      </c>
      <c r="AY261" s="270" t="str">
        <f>_xlfn.IFNA(VLOOKUP(CONCATENATE(AY$4,$C261),'INSER DATA'!$A:$F,7,0),"")</f>
        <v/>
      </c>
      <c r="AZ261" s="270" t="str">
        <f>_xlfn.IFNA(VLOOKUP(CONCATENATE(AZ$4,$C261),'INSER DATA'!$A:$F,7,0),"")</f>
        <v/>
      </c>
      <c r="BA261" s="270" t="str">
        <f>_xlfn.IFNA(VLOOKUP(CONCATENATE(BA$4,$C261),'INSER DATA'!$A:$F,7,0),"")</f>
        <v/>
      </c>
      <c r="BB261" s="270" t="str">
        <f>_xlfn.IFNA(VLOOKUP(CONCATENATE(BB$4,$C261),'INSER DATA'!$A:$F,7,0),"")</f>
        <v/>
      </c>
      <c r="BC261" s="270" t="str">
        <f>_xlfn.IFNA(VLOOKUP(CONCATENATE(BC$4,$C261),'INSER DATA'!$A:$F,7,0),"")</f>
        <v/>
      </c>
      <c r="BD261" s="270" t="str">
        <f>_xlfn.IFNA(VLOOKUP(CONCATENATE(BD$4,$C261),'INSER DATA'!$A:$F,7,0),"")</f>
        <v/>
      </c>
      <c r="BE261" s="270" t="str">
        <f>_xlfn.IFNA(VLOOKUP(CONCATENATE(BE$4,$C261),'INSER DATA'!$A:$F,7,0),"")</f>
        <v/>
      </c>
      <c r="BF261" s="270" t="str">
        <f>_xlfn.IFNA(VLOOKUP(CONCATENATE(BF$4,$C261),'INSER DATA'!$A:$F,7,0),"")</f>
        <v/>
      </c>
      <c r="BG261" s="270" t="str">
        <f>_xlfn.IFNA(VLOOKUP(CONCATENATE(BG$4,$C261),'INSER DATA'!$A:$F,7,0),"")</f>
        <v/>
      </c>
      <c r="BH261" s="270" t="str">
        <f>_xlfn.IFNA(VLOOKUP(CONCATENATE(BH$4,$C261),'INSER DATA'!$A:$F,7,0),"")</f>
        <v/>
      </c>
      <c r="BI261" s="270" t="str">
        <f>_xlfn.IFNA(VLOOKUP(CONCATENATE(BI$4,$C261),'INSER DATA'!$A:$F,7,0),"")</f>
        <v/>
      </c>
      <c r="BJ261" s="270" t="str">
        <f>_xlfn.IFNA(VLOOKUP(CONCATENATE(BJ$4,$C261),'INSER DATA'!$A:$F,7,0),"")</f>
        <v/>
      </c>
      <c r="BK261" s="270" t="str">
        <f>_xlfn.IFNA(VLOOKUP(CONCATENATE(BK$4,$C261),'INSER DATA'!$A:$F,7,0),"")</f>
        <v/>
      </c>
      <c r="BL261" s="272"/>
    </row>
    <row r="262" spans="1:105" ht="19.2" thickTop="1" thickBot="1" x14ac:dyDescent="0.4">
      <c r="A262" s="30"/>
      <c r="B262" s="30"/>
      <c r="C262" s="354" t="s">
        <v>815</v>
      </c>
      <c r="D262" s="357" t="s">
        <v>810</v>
      </c>
      <c r="E262" s="35" t="str">
        <f>_xlfn.XLOOKUP(Tabella4[[#This Row],[NOME]],'ROSE SQUADRE'!$N$3:$N$253,'ROSE SQUADRE'!$O$3:$O$253,"")</f>
        <v>PARTIZAN DEGRADO</v>
      </c>
      <c r="F262" s="36" t="s">
        <v>161</v>
      </c>
      <c r="G262" s="43">
        <v>7</v>
      </c>
      <c r="H262" s="43">
        <v>9</v>
      </c>
      <c r="I262" s="44">
        <f t="shared" si="25"/>
        <v>2</v>
      </c>
      <c r="J262" s="37">
        <f t="shared" si="26"/>
        <v>4</v>
      </c>
      <c r="K262" s="38">
        <f t="shared" si="27"/>
        <v>6</v>
      </c>
      <c r="L262" s="38">
        <f t="shared" si="28"/>
        <v>7.75</v>
      </c>
      <c r="M262" s="39">
        <f t="shared" si="29"/>
        <v>31</v>
      </c>
      <c r="N262" s="45">
        <f t="shared" ca="1" si="24"/>
        <v>0</v>
      </c>
      <c r="O262" s="40">
        <f>SUMIF(Tabella1[Nome],Tabella4[[#This Row],[NOME]],Tabella1[Gf])</f>
        <v>2</v>
      </c>
      <c r="P262" s="40">
        <f>-(SUMIF(Tabella1[Nome],Tabella4[[#This Row],[NOME]],Tabella1[Gs]))</f>
        <v>0</v>
      </c>
      <c r="Q262" s="40">
        <f>SUMIF(Tabella1[Nome],Tabella4[[#This Row],[NOME]],Tabella1[Rp])</f>
        <v>0</v>
      </c>
      <c r="R262" s="40">
        <f>SUMIF(Tabella1[Nome],Tabella4[[#This Row],[NOME]],Tabella1[Rs])</f>
        <v>0</v>
      </c>
      <c r="S262" s="40">
        <f>SUMIF(Tabella1[Nome],Tabella4[[#This Row],[NOME]],Tabella1[Rf])</f>
        <v>0</v>
      </c>
      <c r="T262" s="40">
        <f>SUMIF(Tabella1[Nome],Tabella4[[#This Row],[NOME]],Tabella1[Au])</f>
        <v>0</v>
      </c>
      <c r="U262" s="41">
        <f>SUMIF(Tabella1[Nome],Tabella4[[#This Row],[NOME]],Tabella1[Amm])</f>
        <v>0</v>
      </c>
      <c r="V262" s="42">
        <f>SUMIF(Tabella1[Nome],Tabella4[[#This Row],[NOME]],Tabella1[Esp])</f>
        <v>0</v>
      </c>
      <c r="W262" s="40">
        <f>SUMIF(Tabella1[Nome],Tabella4[[#This Row],[NOME]],Tabella1[Ass])</f>
        <v>0</v>
      </c>
      <c r="X262" s="40">
        <f>SUMIF(Tabella1[Nome],Tabella4[[#This Row],[NOME]],Tabella1[Gdv])</f>
        <v>1</v>
      </c>
      <c r="Y262" s="40">
        <f>SUMIF(Tabella1[Nome],Tabella4[[#This Row],[NOME]],Tabella1[cl sh])</f>
        <v>0</v>
      </c>
      <c r="Z262" s="270">
        <f>_xlfn.IFNA(_xlfn.XLOOKUP(CONCATENATE(Z$4,$C262),Tabella1[CONC X VOTI IN TAB GIOC],Tabella1[Voto],""),"")</f>
        <v>7</v>
      </c>
      <c r="AA262" s="270">
        <f>_xlfn.IFNA(_xlfn.XLOOKUP(CONCATENATE(AA$4,$C262),Tabella1[CONC X VOTI IN TAB GIOC],Tabella1[Voto],""),"")</f>
        <v>5</v>
      </c>
      <c r="AB262" s="270">
        <f>_xlfn.IFNA(_xlfn.XLOOKUP(CONCATENATE(AB$4,$C262),Tabella1[CONC X VOTI IN TAB GIOC],Tabella1[Voto]),"")</f>
        <v>5</v>
      </c>
      <c r="AC262" s="270" cm="1">
        <f t="array" ref="AC262">_xlfn.IFNA(_xlfn.XLOOKUP(CONCATENATE(AC$4,$C262),INDEX(Tabella1[],0,MATCH("CONC X VOTI IN TAB GIOC",Tabella1[#Headers],0)),INDEX(Tabella1[],0,MATCH("Voto",Tabella1[#Headers],0))),"")</f>
        <v>7</v>
      </c>
      <c r="AD262" s="270" t="str">
        <f>_xlfn.IFNA(_xlfn.XLOOKUP(CONCATENATE(AD$4,$C262),Tabella1[CONC X VOTI IN TAB GIOC],Tabella1[Voto]),"")</f>
        <v/>
      </c>
      <c r="AE262" s="270" t="str">
        <f>_xlfn.IFNA(VLOOKUP(CONCATENATE(AE$4,$C262),'INSER DATA'!$A:$F,6,0),"")</f>
        <v/>
      </c>
      <c r="AF262" s="270" t="str">
        <f>_xlfn.IFNA(VLOOKUP(CONCATENATE(AF$4,$C262),'INSER DATA'!$A:$F,6,0),"")</f>
        <v/>
      </c>
      <c r="AG262" s="270" t="str">
        <f>_xlfn.IFNA(VLOOKUP(CONCATENATE(AG$4,$C262),'INSER DATA'!$A:$F,6,0),"")</f>
        <v/>
      </c>
      <c r="AH262" s="270" t="str">
        <f>_xlfn.IFNA(VLOOKUP(CONCATENATE(AH$4,$C262),'INSER DATA'!$A:$F,7,0),"")</f>
        <v/>
      </c>
      <c r="AI262" s="270" t="str">
        <f>_xlfn.IFNA(VLOOKUP(CONCATENATE(AI$4,$C262),'INSER DATA'!$A:$F,7,0),"")</f>
        <v/>
      </c>
      <c r="AJ262" s="270" t="str">
        <f>_xlfn.IFNA(VLOOKUP(CONCATENATE(AJ$4,$C262),'INSER DATA'!$A:$F,7,0),"")</f>
        <v/>
      </c>
      <c r="AK262" s="270" t="str">
        <f>_xlfn.IFNA(VLOOKUP(CONCATENATE(AK$4,$C262),'INSER DATA'!$A:$F,7,0),"")</f>
        <v/>
      </c>
      <c r="AL262" s="270" t="str">
        <f>_xlfn.IFNA(VLOOKUP(CONCATENATE(AL$4,$C262),'INSER DATA'!$A:$F,7,0),"")</f>
        <v/>
      </c>
      <c r="AM262" s="270" t="str">
        <f>_xlfn.IFNA(VLOOKUP(CONCATENATE(AM$4,$C262),'INSER DATA'!$A:$F,7,0),"")</f>
        <v/>
      </c>
      <c r="AN262" s="270" t="str">
        <f>_xlfn.IFNA(VLOOKUP(CONCATENATE(AN$4,$C262),'INSER DATA'!$A:$F,7,0),"")</f>
        <v/>
      </c>
      <c r="AO262" s="270" t="str">
        <f>_xlfn.IFNA(VLOOKUP(CONCATENATE(AO$4,$C262),'INSER DATA'!$A:$F,7,0),"")</f>
        <v/>
      </c>
      <c r="AP262" s="270" t="str">
        <f>_xlfn.IFNA(VLOOKUP(CONCATENATE(AP$4,$C262),'INSER DATA'!$A:$F,7,0),"")</f>
        <v/>
      </c>
      <c r="AQ262" s="270" t="str">
        <f>_xlfn.IFNA(VLOOKUP(CONCATENATE(AQ$4,$C262),'INSER DATA'!$A:$F,7,0),"")</f>
        <v/>
      </c>
      <c r="AR262" s="270" t="str">
        <f>_xlfn.IFNA(VLOOKUP(CONCATENATE(AR$4,$C262),'INSER DATA'!$A:$F,7,0),"")</f>
        <v/>
      </c>
      <c r="AS262" s="270" t="str">
        <f>_xlfn.IFNA(VLOOKUP(CONCATENATE(AS$4,$C262),'INSER DATA'!$A:$F,7,0),"")</f>
        <v/>
      </c>
      <c r="AT262" s="270" t="str">
        <f>_xlfn.IFNA(VLOOKUP(CONCATENATE(AT$4,$C262),'INSER DATA'!$A:$F,7,0),"")</f>
        <v/>
      </c>
      <c r="AU262" s="270" t="str">
        <f>_xlfn.IFNA(VLOOKUP(CONCATENATE(AU$4,$C262),'INSER DATA'!$A:$F,7,0),"")</f>
        <v/>
      </c>
      <c r="AV262" s="270" t="str">
        <f>_xlfn.IFNA(VLOOKUP(CONCATENATE(AV$4,$C262),'INSER DATA'!$A:$F,7,0),"")</f>
        <v/>
      </c>
      <c r="AW262" s="270" t="str">
        <f>_xlfn.IFNA(VLOOKUP(CONCATENATE(AW$4,$C262),'INSER DATA'!$A:$F,7,0),"")</f>
        <v/>
      </c>
      <c r="AX262" s="270" t="str">
        <f>_xlfn.IFNA(VLOOKUP(CONCATENATE(AX$4,$C262),'INSER DATA'!$A:$F,7,0),"")</f>
        <v/>
      </c>
      <c r="AY262" s="270" t="str">
        <f>_xlfn.IFNA(VLOOKUP(CONCATENATE(AY$4,$C262),'INSER DATA'!$A:$F,7,0),"")</f>
        <v/>
      </c>
      <c r="AZ262" s="270" t="str">
        <f>_xlfn.IFNA(VLOOKUP(CONCATENATE(AZ$4,$C262),'INSER DATA'!$A:$F,7,0),"")</f>
        <v/>
      </c>
      <c r="BA262" s="270" t="str">
        <f>_xlfn.IFNA(VLOOKUP(CONCATENATE(BA$4,$C262),'INSER DATA'!$A:$F,7,0),"")</f>
        <v/>
      </c>
      <c r="BB262" s="270" t="str">
        <f>_xlfn.IFNA(VLOOKUP(CONCATENATE(BB$4,$C262),'INSER DATA'!$A:$F,7,0),"")</f>
        <v/>
      </c>
      <c r="BC262" s="270" t="str">
        <f>_xlfn.IFNA(VLOOKUP(CONCATENATE(BC$4,$C262),'INSER DATA'!$A:$F,7,0),"")</f>
        <v/>
      </c>
      <c r="BD262" s="270" t="str">
        <f>_xlfn.IFNA(VLOOKUP(CONCATENATE(BD$4,$C262),'INSER DATA'!$A:$F,7,0),"")</f>
        <v/>
      </c>
      <c r="BE262" s="270" t="str">
        <f>_xlfn.IFNA(VLOOKUP(CONCATENATE(BE$4,$C262),'INSER DATA'!$A:$F,7,0),"")</f>
        <v/>
      </c>
      <c r="BF262" s="270" t="str">
        <f>_xlfn.IFNA(VLOOKUP(CONCATENATE(BF$4,$C262),'INSER DATA'!$A:$F,7,0),"")</f>
        <v/>
      </c>
      <c r="BG262" s="270" t="str">
        <f>_xlfn.IFNA(VLOOKUP(CONCATENATE(BG$4,$C262),'INSER DATA'!$A:$F,7,0),"")</f>
        <v/>
      </c>
      <c r="BH262" s="270" t="str">
        <f>_xlfn.IFNA(VLOOKUP(CONCATENATE(BH$4,$C262),'INSER DATA'!$A:$F,7,0),"")</f>
        <v/>
      </c>
      <c r="BI262" s="270" t="str">
        <f>_xlfn.IFNA(VLOOKUP(CONCATENATE(BI$4,$C262),'INSER DATA'!$A:$F,7,0),"")</f>
        <v/>
      </c>
      <c r="BJ262" s="270" t="str">
        <f>_xlfn.IFNA(VLOOKUP(CONCATENATE(BJ$4,$C262),'INSER DATA'!$A:$F,7,0),"")</f>
        <v/>
      </c>
      <c r="BK262" s="270" t="str">
        <f>_xlfn.IFNA(VLOOKUP(CONCATENATE(BK$4,$C262),'INSER DATA'!$A:$F,7,0),"")</f>
        <v/>
      </c>
      <c r="BL262" s="272"/>
      <c r="BM262" s="30"/>
      <c r="BN262" s="30"/>
      <c r="BO262" s="30"/>
      <c r="BP262" s="30"/>
      <c r="BQ262" s="30"/>
      <c r="BR262" s="30"/>
      <c r="BS262" s="30"/>
      <c r="BT262" s="30"/>
      <c r="BU262" s="30"/>
      <c r="BV262" s="30"/>
      <c r="BW262" s="30"/>
      <c r="BX262" s="30"/>
      <c r="BY262" s="30"/>
      <c r="BZ262" s="30"/>
      <c r="CA262" s="30"/>
      <c r="CB262" s="30"/>
      <c r="CC262" s="30"/>
      <c r="CD262" s="30"/>
      <c r="CE262" s="30"/>
      <c r="CF262" s="30"/>
      <c r="CG262" s="30"/>
      <c r="CH262" s="30"/>
      <c r="CI262" s="30"/>
      <c r="CJ262" s="30"/>
      <c r="CK262" s="30"/>
      <c r="CL262" s="30"/>
      <c r="CM262" s="30"/>
      <c r="CN262" s="30"/>
      <c r="CO262" s="30"/>
      <c r="CP262" s="30"/>
      <c r="CQ262" s="30"/>
      <c r="CR262" s="30"/>
      <c r="CS262" s="30"/>
      <c r="CT262" s="30"/>
      <c r="CU262" s="30"/>
      <c r="CV262" s="30"/>
      <c r="CW262" s="30"/>
      <c r="CX262" s="30"/>
      <c r="CY262" s="30"/>
      <c r="CZ262" s="30"/>
      <c r="DA262" s="30"/>
    </row>
    <row r="263" spans="1:105" ht="19.2" thickTop="1" thickBot="1" x14ac:dyDescent="0.4">
      <c r="A263" s="30"/>
      <c r="B263" s="30"/>
      <c r="C263" s="188" t="s">
        <v>209</v>
      </c>
      <c r="D263" s="46" t="s">
        <v>810</v>
      </c>
      <c r="E263" s="35" t="str">
        <f>_xlfn.XLOOKUP(Tabella4[[#This Row],[NOME]],'ROSE SQUADRE'!$N$3:$N$253,'ROSE SQUADRE'!$O$3:$O$253,"")</f>
        <v/>
      </c>
      <c r="F263" s="36" t="s">
        <v>162</v>
      </c>
      <c r="G263" s="43">
        <v>6</v>
      </c>
      <c r="H263" s="43">
        <v>7</v>
      </c>
      <c r="I263" s="44">
        <f t="shared" si="25"/>
        <v>1</v>
      </c>
      <c r="J263" s="37">
        <f t="shared" si="26"/>
        <v>4</v>
      </c>
      <c r="K263" s="38">
        <f t="shared" si="27"/>
        <v>6.375</v>
      </c>
      <c r="L263" s="38">
        <f t="shared" si="28"/>
        <v>8.375</v>
      </c>
      <c r="M263" s="39">
        <f t="shared" si="29"/>
        <v>33.5</v>
      </c>
      <c r="N263" s="45">
        <f t="shared" ca="1" si="24"/>
        <v>0</v>
      </c>
      <c r="O263" s="40">
        <f>SUMIF(Tabella1[Nome],Tabella4[[#This Row],[NOME]],Tabella1[Gf])</f>
        <v>2</v>
      </c>
      <c r="P263" s="40">
        <f>-(SUMIF(Tabella1[Nome],Tabella4[[#This Row],[NOME]],Tabella1[Gs]))</f>
        <v>0</v>
      </c>
      <c r="Q263" s="40">
        <f>SUMIF(Tabella1[Nome],Tabella4[[#This Row],[NOME]],Tabella1[Rp])</f>
        <v>0</v>
      </c>
      <c r="R263" s="40">
        <f>SUMIF(Tabella1[Nome],Tabella4[[#This Row],[NOME]],Tabella1[Rs])</f>
        <v>0</v>
      </c>
      <c r="S263" s="40">
        <f>SUMIF(Tabella1[Nome],Tabella4[[#This Row],[NOME]],Tabella1[Rf])</f>
        <v>0</v>
      </c>
      <c r="T263" s="40">
        <f>SUMIF(Tabella1[Nome],Tabella4[[#This Row],[NOME]],Tabella1[Au])</f>
        <v>0</v>
      </c>
      <c r="U263" s="41">
        <f>SUMIF(Tabella1[Nome],Tabella4[[#This Row],[NOME]],Tabella1[Amm])</f>
        <v>0</v>
      </c>
      <c r="V263" s="42">
        <f>SUMIF(Tabella1[Nome],Tabella4[[#This Row],[NOME]],Tabella1[Esp])</f>
        <v>0</v>
      </c>
      <c r="W263" s="40">
        <f>SUMIF(Tabella1[Nome],Tabella4[[#This Row],[NOME]],Tabella1[Ass])</f>
        <v>1</v>
      </c>
      <c r="X263" s="40">
        <f>SUMIF(Tabella1[Nome],Tabella4[[#This Row],[NOME]],Tabella1[Gdv])</f>
        <v>1</v>
      </c>
      <c r="Y263" s="40">
        <f>SUMIF(Tabella1[Nome],Tabella4[[#This Row],[NOME]],Tabella1[cl sh])</f>
        <v>0</v>
      </c>
      <c r="Z263" s="270">
        <f>_xlfn.IFNA(_xlfn.XLOOKUP(CONCATENATE(Z$4,$C263),Tabella1[CONC X VOTI IN TAB GIOC],Tabella1[Voto],""),"")</f>
        <v>7</v>
      </c>
      <c r="AA263" s="270">
        <f>_xlfn.IFNA(_xlfn.XLOOKUP(CONCATENATE(AA$4,$C263),Tabella1[CONC X VOTI IN TAB GIOC],Tabella1[Voto],""),"")</f>
        <v>5</v>
      </c>
      <c r="AB263" s="270">
        <f>_xlfn.IFNA(_xlfn.XLOOKUP(CONCATENATE(AB$4,$C263),Tabella1[CONC X VOTI IN TAB GIOC],Tabella1[Voto]),"")</f>
        <v>6</v>
      </c>
      <c r="AC263" s="270" cm="1">
        <f t="array" ref="AC263">_xlfn.IFNA(_xlfn.XLOOKUP(CONCATENATE(AC$4,$C263),INDEX(Tabella1[],0,MATCH("CONC X VOTI IN TAB GIOC",Tabella1[#Headers],0)),INDEX(Tabella1[],0,MATCH("Voto",Tabella1[#Headers],0))),"")</f>
        <v>7.5</v>
      </c>
      <c r="AD263" s="270" t="str">
        <f>_xlfn.IFNA(_xlfn.XLOOKUP(CONCATENATE(AD$4,$C263),Tabella1[CONC X VOTI IN TAB GIOC],Tabella1[Voto]),"")</f>
        <v/>
      </c>
      <c r="AE263" s="270" t="str">
        <f>_xlfn.IFNA(VLOOKUP(CONCATENATE(AE$4,$C263),'INSER DATA'!$A:$F,6,0),"")</f>
        <v/>
      </c>
      <c r="AF263" s="270" t="str">
        <f>_xlfn.IFNA(VLOOKUP(CONCATENATE(AF$4,$C263),'INSER DATA'!$A:$F,6,0),"")</f>
        <v/>
      </c>
      <c r="AG263" s="270" t="str">
        <f>_xlfn.IFNA(VLOOKUP(CONCATENATE(AG$4,$C263),'INSER DATA'!$A:$F,6,0),"")</f>
        <v/>
      </c>
      <c r="AH263" s="270" t="str">
        <f>_xlfn.IFNA(VLOOKUP(CONCATENATE(AH$4,$C263),'INSER DATA'!$A:$F,7,0),"")</f>
        <v/>
      </c>
      <c r="AI263" s="270" t="str">
        <f>_xlfn.IFNA(VLOOKUP(CONCATENATE(AI$4,$C263),'INSER DATA'!$A:$F,7,0),"")</f>
        <v/>
      </c>
      <c r="AJ263" s="270" t="str">
        <f>_xlfn.IFNA(VLOOKUP(CONCATENATE(AJ$4,$C263),'INSER DATA'!$A:$F,7,0),"")</f>
        <v/>
      </c>
      <c r="AK263" s="270" t="str">
        <f>_xlfn.IFNA(VLOOKUP(CONCATENATE(AK$4,$C263),'INSER DATA'!$A:$F,7,0),"")</f>
        <v/>
      </c>
      <c r="AL263" s="270" t="str">
        <f>_xlfn.IFNA(VLOOKUP(CONCATENATE(AL$4,$C263),'INSER DATA'!$A:$F,7,0),"")</f>
        <v/>
      </c>
      <c r="AM263" s="270" t="str">
        <f>_xlfn.IFNA(VLOOKUP(CONCATENATE(AM$4,$C263),'INSER DATA'!$A:$F,7,0),"")</f>
        <v/>
      </c>
      <c r="AN263" s="270" t="str">
        <f>_xlfn.IFNA(VLOOKUP(CONCATENATE(AN$4,$C263),'INSER DATA'!$A:$F,7,0),"")</f>
        <v/>
      </c>
      <c r="AO263" s="270" t="str">
        <f>_xlfn.IFNA(VLOOKUP(CONCATENATE(AO$4,$C263),'INSER DATA'!$A:$F,7,0),"")</f>
        <v/>
      </c>
      <c r="AP263" s="270" t="str">
        <f>_xlfn.IFNA(VLOOKUP(CONCATENATE(AP$4,$C263),'INSER DATA'!$A:$F,7,0),"")</f>
        <v/>
      </c>
      <c r="AQ263" s="270" t="str">
        <f>_xlfn.IFNA(VLOOKUP(CONCATENATE(AQ$4,$C263),'INSER DATA'!$A:$F,7,0),"")</f>
        <v/>
      </c>
      <c r="AR263" s="270" t="str">
        <f>_xlfn.IFNA(VLOOKUP(CONCATENATE(AR$4,$C263),'INSER DATA'!$A:$F,7,0),"")</f>
        <v/>
      </c>
      <c r="AS263" s="270" t="str">
        <f>_xlfn.IFNA(VLOOKUP(CONCATENATE(AS$4,$C263),'INSER DATA'!$A:$F,7,0),"")</f>
        <v/>
      </c>
      <c r="AT263" s="270" t="str">
        <f>_xlfn.IFNA(VLOOKUP(CONCATENATE(AT$4,$C263),'INSER DATA'!$A:$F,7,0),"")</f>
        <v/>
      </c>
      <c r="AU263" s="270" t="str">
        <f>_xlfn.IFNA(VLOOKUP(CONCATENATE(AU$4,$C263),'INSER DATA'!$A:$F,7,0),"")</f>
        <v/>
      </c>
      <c r="AV263" s="270" t="str">
        <f>_xlfn.IFNA(VLOOKUP(CONCATENATE(AV$4,$C263),'INSER DATA'!$A:$F,7,0),"")</f>
        <v/>
      </c>
      <c r="AW263" s="270" t="str">
        <f>_xlfn.IFNA(VLOOKUP(CONCATENATE(AW$4,$C263),'INSER DATA'!$A:$F,7,0),"")</f>
        <v/>
      </c>
      <c r="AX263" s="270" t="str">
        <f>_xlfn.IFNA(VLOOKUP(CONCATENATE(AX$4,$C263),'INSER DATA'!$A:$F,7,0),"")</f>
        <v/>
      </c>
      <c r="AY263" s="270" t="str">
        <f>_xlfn.IFNA(VLOOKUP(CONCATENATE(AY$4,$C263),'INSER DATA'!$A:$F,7,0),"")</f>
        <v/>
      </c>
      <c r="AZ263" s="270" t="str">
        <f>_xlfn.IFNA(VLOOKUP(CONCATENATE(AZ$4,$C263),'INSER DATA'!$A:$F,7,0),"")</f>
        <v/>
      </c>
      <c r="BA263" s="270" t="str">
        <f>_xlfn.IFNA(VLOOKUP(CONCATENATE(BA$4,$C263),'INSER DATA'!$A:$F,7,0),"")</f>
        <v/>
      </c>
      <c r="BB263" s="270" t="str">
        <f>_xlfn.IFNA(VLOOKUP(CONCATENATE(BB$4,$C263),'INSER DATA'!$A:$F,7,0),"")</f>
        <v/>
      </c>
      <c r="BC263" s="270" t="str">
        <f>_xlfn.IFNA(VLOOKUP(CONCATENATE(BC$4,$C263),'INSER DATA'!$A:$F,7,0),"")</f>
        <v/>
      </c>
      <c r="BD263" s="270" t="str">
        <f>_xlfn.IFNA(VLOOKUP(CONCATENATE(BD$4,$C263),'INSER DATA'!$A:$F,7,0),"")</f>
        <v/>
      </c>
      <c r="BE263" s="270" t="str">
        <f>_xlfn.IFNA(VLOOKUP(CONCATENATE(BE$4,$C263),'INSER DATA'!$A:$F,7,0),"")</f>
        <v/>
      </c>
      <c r="BF263" s="270" t="str">
        <f>_xlfn.IFNA(VLOOKUP(CONCATENATE(BF$4,$C263),'INSER DATA'!$A:$F,7,0),"")</f>
        <v/>
      </c>
      <c r="BG263" s="270" t="str">
        <f>_xlfn.IFNA(VLOOKUP(CONCATENATE(BG$4,$C263),'INSER DATA'!$A:$F,7,0),"")</f>
        <v/>
      </c>
      <c r="BH263" s="270" t="str">
        <f>_xlfn.IFNA(VLOOKUP(CONCATENATE(BH$4,$C263),'INSER DATA'!$A:$F,7,0),"")</f>
        <v/>
      </c>
      <c r="BI263" s="270" t="str">
        <f>_xlfn.IFNA(VLOOKUP(CONCATENATE(BI$4,$C263),'INSER DATA'!$A:$F,7,0),"")</f>
        <v/>
      </c>
      <c r="BJ263" s="270" t="str">
        <f>_xlfn.IFNA(VLOOKUP(CONCATENATE(BJ$4,$C263),'INSER DATA'!$A:$F,7,0),"")</f>
        <v/>
      </c>
      <c r="BK263" s="270" t="str">
        <f>_xlfn.IFNA(VLOOKUP(CONCATENATE(BK$4,$C263),'INSER DATA'!$A:$F,7,0),"")</f>
        <v/>
      </c>
      <c r="BL263" s="272"/>
      <c r="BM263" s="30"/>
      <c r="BN263" s="30"/>
      <c r="BO263" s="30"/>
      <c r="BP263" s="30"/>
      <c r="BQ263" s="30"/>
      <c r="BR263" s="30"/>
      <c r="BS263" s="30"/>
      <c r="BT263" s="30"/>
      <c r="BU263" s="30"/>
      <c r="BV263" s="30"/>
      <c r="BW263" s="30"/>
      <c r="BX263" s="30"/>
      <c r="BY263" s="30"/>
      <c r="BZ263" s="30"/>
      <c r="CA263" s="30"/>
      <c r="CB263" s="30"/>
      <c r="CC263" s="30"/>
      <c r="CD263" s="30"/>
      <c r="CE263" s="30"/>
      <c r="CF263" s="30"/>
      <c r="CG263" s="30"/>
      <c r="CH263" s="30"/>
      <c r="CI263" s="30"/>
      <c r="CJ263" s="30"/>
      <c r="CK263" s="30"/>
      <c r="CL263" s="30"/>
      <c r="CM263" s="30"/>
      <c r="CN263" s="30"/>
      <c r="CO263" s="30"/>
      <c r="CP263" s="30"/>
      <c r="CQ263" s="30"/>
      <c r="CR263" s="30"/>
      <c r="CS263" s="30"/>
      <c r="CT263" s="30"/>
      <c r="CU263" s="30"/>
      <c r="CV263" s="30"/>
      <c r="CW263" s="30"/>
      <c r="CX263" s="30"/>
      <c r="CY263" s="30"/>
      <c r="CZ263" s="30"/>
      <c r="DA263" s="30"/>
    </row>
    <row r="264" spans="1:105" s="184" customFormat="1" ht="19.2" thickTop="1" thickBot="1" x14ac:dyDescent="0.4">
      <c r="A264" s="30"/>
      <c r="B264" s="30"/>
      <c r="C264" s="188" t="s">
        <v>819</v>
      </c>
      <c r="D264" s="46" t="s">
        <v>810</v>
      </c>
      <c r="E264" s="35" t="str">
        <f>_xlfn.XLOOKUP(Tabella4[[#This Row],[NOME]],'ROSE SQUADRE'!$N$3:$N$253,'ROSE SQUADRE'!$O$3:$O$253,"")</f>
        <v/>
      </c>
      <c r="F264" s="36" t="s">
        <v>162</v>
      </c>
      <c r="G264" s="43">
        <v>1</v>
      </c>
      <c r="H264" s="43">
        <v>3</v>
      </c>
      <c r="I264" s="44">
        <f t="shared" si="25"/>
        <v>2</v>
      </c>
      <c r="J264" s="37">
        <f t="shared" si="26"/>
        <v>2</v>
      </c>
      <c r="K264" s="38">
        <f t="shared" si="27"/>
        <v>6</v>
      </c>
      <c r="L264" s="38">
        <f t="shared" si="28"/>
        <v>7.5</v>
      </c>
      <c r="M264" s="39">
        <f t="shared" si="29"/>
        <v>15</v>
      </c>
      <c r="N264" s="45">
        <f t="shared" ca="1" si="24"/>
        <v>0</v>
      </c>
      <c r="O264" s="40">
        <f>SUMIF(Tabella1[Nome],Tabella4[[#This Row],[NOME]],Tabella1[Gf])</f>
        <v>1</v>
      </c>
      <c r="P264" s="40">
        <f>-(SUMIF(Tabella1[Nome],Tabella4[[#This Row],[NOME]],Tabella1[Gs]))</f>
        <v>0</v>
      </c>
      <c r="Q264" s="40">
        <f>SUMIF(Tabella1[Nome],Tabella4[[#This Row],[NOME]],Tabella1[Rp])</f>
        <v>0</v>
      </c>
      <c r="R264" s="40">
        <f>SUMIF(Tabella1[Nome],Tabella4[[#This Row],[NOME]],Tabella1[Rs])</f>
        <v>0</v>
      </c>
      <c r="S264" s="40">
        <f>SUMIF(Tabella1[Nome],Tabella4[[#This Row],[NOME]],Tabella1[Rf])</f>
        <v>0</v>
      </c>
      <c r="T264" s="40">
        <f>SUMIF(Tabella1[Nome],Tabella4[[#This Row],[NOME]],Tabella1[Au])</f>
        <v>0</v>
      </c>
      <c r="U264" s="41">
        <f>SUMIF(Tabella1[Nome],Tabella4[[#This Row],[NOME]],Tabella1[Amm])</f>
        <v>0</v>
      </c>
      <c r="V264" s="42">
        <f>SUMIF(Tabella1[Nome],Tabella4[[#This Row],[NOME]],Tabella1[Esp])</f>
        <v>0</v>
      </c>
      <c r="W264" s="40">
        <f>SUMIF(Tabella1[Nome],Tabella4[[#This Row],[NOME]],Tabella1[Ass])</f>
        <v>0</v>
      </c>
      <c r="X264" s="40">
        <f>SUMIF(Tabella1[Nome],Tabella4[[#This Row],[NOME]],Tabella1[Gdv])</f>
        <v>0</v>
      </c>
      <c r="Y264" s="40">
        <f>SUMIF(Tabella1[Nome],Tabella4[[#This Row],[NOME]],Tabella1[cl sh])</f>
        <v>0</v>
      </c>
      <c r="Z264" s="270">
        <f>_xlfn.IFNA(_xlfn.XLOOKUP(CONCATENATE(Z$4,$C264),Tabella1[CONC X VOTI IN TAB GIOC],Tabella1[Voto],""),"")</f>
        <v>7</v>
      </c>
      <c r="AA264" s="270">
        <f>_xlfn.IFNA(_xlfn.XLOOKUP(CONCATENATE(AA$4,$C264),Tabella1[CONC X VOTI IN TAB GIOC],Tabella1[Voto],""),"")</f>
        <v>5</v>
      </c>
      <c r="AB264" s="270" t="str">
        <f>_xlfn.IFNA(_xlfn.XLOOKUP(CONCATENATE(AB$4,$C264),Tabella1[CONC X VOTI IN TAB GIOC],Tabella1[Voto]),"")</f>
        <v/>
      </c>
      <c r="AC264" s="270" t="str" cm="1">
        <f t="array" ref="AC264">_xlfn.IFNA(_xlfn.XLOOKUP(CONCATENATE(AC$4,$C264),INDEX(Tabella1[],0,MATCH("CONC X VOTI IN TAB GIOC",Tabella1[#Headers],0)),INDEX(Tabella1[],0,MATCH("Voto",Tabella1[#Headers],0))),"")</f>
        <v/>
      </c>
      <c r="AD264" s="270" t="str">
        <f>_xlfn.IFNA(_xlfn.XLOOKUP(CONCATENATE(AD$4,$C264),Tabella1[CONC X VOTI IN TAB GIOC],Tabella1[Voto]),"")</f>
        <v/>
      </c>
      <c r="AE264" s="270" t="str">
        <f>_xlfn.IFNA(VLOOKUP(CONCATENATE(AE$4,$C264),'INSER DATA'!$A:$F,6,0),"")</f>
        <v/>
      </c>
      <c r="AF264" s="270" t="str">
        <f>_xlfn.IFNA(VLOOKUP(CONCATENATE(AF$4,$C264),'INSER DATA'!$A:$F,6,0),"")</f>
        <v/>
      </c>
      <c r="AG264" s="270" t="str">
        <f>_xlfn.IFNA(VLOOKUP(CONCATENATE(AG$4,$C264),'INSER DATA'!$A:$F,6,0),"")</f>
        <v/>
      </c>
      <c r="AH264" s="270" t="str">
        <f>_xlfn.IFNA(VLOOKUP(CONCATENATE(AH$4,$C264),'INSER DATA'!$A:$F,7,0),"")</f>
        <v/>
      </c>
      <c r="AI264" s="270" t="str">
        <f>_xlfn.IFNA(VLOOKUP(CONCATENATE(AI$4,$C264),'INSER DATA'!$A:$F,7,0),"")</f>
        <v/>
      </c>
      <c r="AJ264" s="270" t="str">
        <f>_xlfn.IFNA(VLOOKUP(CONCATENATE(AJ$4,$C264),'INSER DATA'!$A:$F,7,0),"")</f>
        <v/>
      </c>
      <c r="AK264" s="270" t="str">
        <f>_xlfn.IFNA(VLOOKUP(CONCATENATE(AK$4,$C264),'INSER DATA'!$A:$F,7,0),"")</f>
        <v/>
      </c>
      <c r="AL264" s="270" t="str">
        <f>_xlfn.IFNA(VLOOKUP(CONCATENATE(AL$4,$C264),'INSER DATA'!$A:$F,7,0),"")</f>
        <v/>
      </c>
      <c r="AM264" s="270" t="str">
        <f>_xlfn.IFNA(VLOOKUP(CONCATENATE(AM$4,$C264),'INSER DATA'!$A:$F,7,0),"")</f>
        <v/>
      </c>
      <c r="AN264" s="270" t="str">
        <f>_xlfn.IFNA(VLOOKUP(CONCATENATE(AN$4,$C264),'INSER DATA'!$A:$F,7,0),"")</f>
        <v/>
      </c>
      <c r="AO264" s="270" t="str">
        <f>_xlfn.IFNA(VLOOKUP(CONCATENATE(AO$4,$C264),'INSER DATA'!$A:$F,7,0),"")</f>
        <v/>
      </c>
      <c r="AP264" s="270" t="str">
        <f>_xlfn.IFNA(VLOOKUP(CONCATENATE(AP$4,$C264),'INSER DATA'!$A:$F,7,0),"")</f>
        <v/>
      </c>
      <c r="AQ264" s="270" t="str">
        <f>_xlfn.IFNA(VLOOKUP(CONCATENATE(AQ$4,$C264),'INSER DATA'!$A:$F,7,0),"")</f>
        <v/>
      </c>
      <c r="AR264" s="270" t="str">
        <f>_xlfn.IFNA(VLOOKUP(CONCATENATE(AR$4,$C264),'INSER DATA'!$A:$F,7,0),"")</f>
        <v/>
      </c>
      <c r="AS264" s="270" t="str">
        <f>_xlfn.IFNA(VLOOKUP(CONCATENATE(AS$4,$C264),'INSER DATA'!$A:$F,7,0),"")</f>
        <v/>
      </c>
      <c r="AT264" s="270" t="str">
        <f>_xlfn.IFNA(VLOOKUP(CONCATENATE(AT$4,$C264),'INSER DATA'!$A:$F,7,0),"")</f>
        <v/>
      </c>
      <c r="AU264" s="270" t="str">
        <f>_xlfn.IFNA(VLOOKUP(CONCATENATE(AU$4,$C264),'INSER DATA'!$A:$F,7,0),"")</f>
        <v/>
      </c>
      <c r="AV264" s="270" t="str">
        <f>_xlfn.IFNA(VLOOKUP(CONCATENATE(AV$4,$C264),'INSER DATA'!$A:$F,7,0),"")</f>
        <v/>
      </c>
      <c r="AW264" s="270" t="str">
        <f>_xlfn.IFNA(VLOOKUP(CONCATENATE(AW$4,$C264),'INSER DATA'!$A:$F,7,0),"")</f>
        <v/>
      </c>
      <c r="AX264" s="270" t="str">
        <f>_xlfn.IFNA(VLOOKUP(CONCATENATE(AX$4,$C264),'INSER DATA'!$A:$F,7,0),"")</f>
        <v/>
      </c>
      <c r="AY264" s="270" t="str">
        <f>_xlfn.IFNA(VLOOKUP(CONCATENATE(AY$4,$C264),'INSER DATA'!$A:$F,7,0),"")</f>
        <v/>
      </c>
      <c r="AZ264" s="270" t="str">
        <f>_xlfn.IFNA(VLOOKUP(CONCATENATE(AZ$4,$C264),'INSER DATA'!$A:$F,7,0),"")</f>
        <v/>
      </c>
      <c r="BA264" s="270" t="str">
        <f>_xlfn.IFNA(VLOOKUP(CONCATENATE(BA$4,$C264),'INSER DATA'!$A:$F,7,0),"")</f>
        <v/>
      </c>
      <c r="BB264" s="270" t="str">
        <f>_xlfn.IFNA(VLOOKUP(CONCATENATE(BB$4,$C264),'INSER DATA'!$A:$F,7,0),"")</f>
        <v/>
      </c>
      <c r="BC264" s="270" t="str">
        <f>_xlfn.IFNA(VLOOKUP(CONCATENATE(BC$4,$C264),'INSER DATA'!$A:$F,7,0),"")</f>
        <v/>
      </c>
      <c r="BD264" s="270" t="str">
        <f>_xlfn.IFNA(VLOOKUP(CONCATENATE(BD$4,$C264),'INSER DATA'!$A:$F,7,0),"")</f>
        <v/>
      </c>
      <c r="BE264" s="270" t="str">
        <f>_xlfn.IFNA(VLOOKUP(CONCATENATE(BE$4,$C264),'INSER DATA'!$A:$F,7,0),"")</f>
        <v/>
      </c>
      <c r="BF264" s="270" t="str">
        <f>_xlfn.IFNA(VLOOKUP(CONCATENATE(BF$4,$C264),'INSER DATA'!$A:$F,7,0),"")</f>
        <v/>
      </c>
      <c r="BG264" s="270" t="str">
        <f>_xlfn.IFNA(VLOOKUP(CONCATENATE(BG$4,$C264),'INSER DATA'!$A:$F,7,0),"")</f>
        <v/>
      </c>
      <c r="BH264" s="270" t="str">
        <f>_xlfn.IFNA(VLOOKUP(CONCATENATE(BH$4,$C264),'INSER DATA'!$A:$F,7,0),"")</f>
        <v/>
      </c>
      <c r="BI264" s="270" t="str">
        <f>_xlfn.IFNA(VLOOKUP(CONCATENATE(BI$4,$C264),'INSER DATA'!$A:$F,7,0),"")</f>
        <v/>
      </c>
      <c r="BJ264" s="270" t="str">
        <f>_xlfn.IFNA(VLOOKUP(CONCATENATE(BJ$4,$C264),'INSER DATA'!$A:$F,7,0),"")</f>
        <v/>
      </c>
      <c r="BK264" s="270" t="str">
        <f>_xlfn.IFNA(VLOOKUP(CONCATENATE(BK$4,$C264),'INSER DATA'!$A:$F,7,0),"")</f>
        <v/>
      </c>
      <c r="BL264" s="272"/>
    </row>
    <row r="265" spans="1:105" ht="19.2" thickTop="1" thickBot="1" x14ac:dyDescent="0.4">
      <c r="A265" s="30"/>
      <c r="B265" s="30"/>
      <c r="C265" s="356" t="s">
        <v>242</v>
      </c>
      <c r="D265" s="357" t="s">
        <v>810</v>
      </c>
      <c r="E265" s="35" t="str">
        <f>_xlfn.XLOOKUP(Tabella4[[#This Row],[NOME]],'ROSE SQUADRE'!$N$3:$N$253,'ROSE SQUADRE'!$O$3:$O$253,"")</f>
        <v>SHARK</v>
      </c>
      <c r="F265" s="36" t="s">
        <v>162</v>
      </c>
      <c r="G265" s="43">
        <v>2</v>
      </c>
      <c r="H265" s="43">
        <v>3</v>
      </c>
      <c r="I265" s="44">
        <f t="shared" si="25"/>
        <v>1</v>
      </c>
      <c r="J265" s="37">
        <f t="shared" si="26"/>
        <v>4</v>
      </c>
      <c r="K265" s="38">
        <f t="shared" si="27"/>
        <v>6</v>
      </c>
      <c r="L265" s="38">
        <f t="shared" si="28"/>
        <v>6</v>
      </c>
      <c r="M265" s="39">
        <f t="shared" si="29"/>
        <v>24</v>
      </c>
      <c r="N265" s="45">
        <f t="shared" ca="1" si="24"/>
        <v>0</v>
      </c>
      <c r="O265" s="40">
        <f>SUMIF(Tabella1[Nome],Tabella4[[#This Row],[NOME]],Tabella1[Gf])</f>
        <v>0</v>
      </c>
      <c r="P265" s="40">
        <f>-(SUMIF(Tabella1[Nome],Tabella4[[#This Row],[NOME]],Tabella1[Gs]))</f>
        <v>0</v>
      </c>
      <c r="Q265" s="40">
        <f>SUMIF(Tabella1[Nome],Tabella4[[#This Row],[NOME]],Tabella1[Rp])</f>
        <v>0</v>
      </c>
      <c r="R265" s="40">
        <f>SUMIF(Tabella1[Nome],Tabella4[[#This Row],[NOME]],Tabella1[Rs])</f>
        <v>0</v>
      </c>
      <c r="S265" s="40">
        <f>SUMIF(Tabella1[Nome],Tabella4[[#This Row],[NOME]],Tabella1[Rf])</f>
        <v>0</v>
      </c>
      <c r="T265" s="40">
        <f>SUMIF(Tabella1[Nome],Tabella4[[#This Row],[NOME]],Tabella1[Au])</f>
        <v>0</v>
      </c>
      <c r="U265" s="41">
        <f>SUMIF(Tabella1[Nome],Tabella4[[#This Row],[NOME]],Tabella1[Amm])</f>
        <v>0</v>
      </c>
      <c r="V265" s="42">
        <f>SUMIF(Tabella1[Nome],Tabella4[[#This Row],[NOME]],Tabella1[Esp])</f>
        <v>0</v>
      </c>
      <c r="W265" s="40">
        <f>SUMIF(Tabella1[Nome],Tabella4[[#This Row],[NOME]],Tabella1[Ass])</f>
        <v>0</v>
      </c>
      <c r="X265" s="40">
        <f>SUMIF(Tabella1[Nome],Tabella4[[#This Row],[NOME]],Tabella1[Gdv])</f>
        <v>0</v>
      </c>
      <c r="Y265" s="40">
        <f>SUMIF(Tabella1[Nome],Tabella4[[#This Row],[NOME]],Tabella1[cl sh])</f>
        <v>0</v>
      </c>
      <c r="Z265" s="270">
        <f>_xlfn.IFNA(_xlfn.XLOOKUP(CONCATENATE(Z$4,$C265),Tabella1[CONC X VOTI IN TAB GIOC],Tabella1[Voto],""),"")</f>
        <v>6.5</v>
      </c>
      <c r="AA265" s="270">
        <f>_xlfn.IFNA(_xlfn.XLOOKUP(CONCATENATE(AA$4,$C265),Tabella1[CONC X VOTI IN TAB GIOC],Tabella1[Voto],""),"")</f>
        <v>5.5</v>
      </c>
      <c r="AB265" s="270">
        <f>_xlfn.IFNA(_xlfn.XLOOKUP(CONCATENATE(AB$4,$C265),Tabella1[CONC X VOTI IN TAB GIOC],Tabella1[Voto]),"")</f>
        <v>5.5</v>
      </c>
      <c r="AC265" s="270" cm="1">
        <f t="array" ref="AC265">_xlfn.IFNA(_xlfn.XLOOKUP(CONCATENATE(AC$4,$C265),INDEX(Tabella1[],0,MATCH("CONC X VOTI IN TAB GIOC",Tabella1[#Headers],0)),INDEX(Tabella1[],0,MATCH("Voto",Tabella1[#Headers],0))),"")</f>
        <v>6.5</v>
      </c>
      <c r="AD265" s="270" t="str">
        <f>_xlfn.IFNA(_xlfn.XLOOKUP(CONCATENATE(AD$4,$C265),Tabella1[CONC X VOTI IN TAB GIOC],Tabella1[Voto]),"")</f>
        <v/>
      </c>
      <c r="AE265" s="270" t="str">
        <f>_xlfn.IFNA(VLOOKUP(CONCATENATE(AE$4,$C265),'INSER DATA'!$A:$F,6,0),"")</f>
        <v/>
      </c>
      <c r="AF265" s="270" t="str">
        <f>_xlfn.IFNA(VLOOKUP(CONCATENATE(AF$4,$C265),'INSER DATA'!$A:$F,6,0),"")</f>
        <v/>
      </c>
      <c r="AG265" s="270" t="str">
        <f>_xlfn.IFNA(VLOOKUP(CONCATENATE(AG$4,$C265),'INSER DATA'!$A:$F,6,0),"")</f>
        <v/>
      </c>
      <c r="AH265" s="270" t="str">
        <f>_xlfn.IFNA(VLOOKUP(CONCATENATE(AH$4,$C265),'INSER DATA'!$A:$F,7,0),"")</f>
        <v/>
      </c>
      <c r="AI265" s="270" t="str">
        <f>_xlfn.IFNA(VLOOKUP(CONCATENATE(AI$4,$C265),'INSER DATA'!$A:$F,7,0),"")</f>
        <v/>
      </c>
      <c r="AJ265" s="270" t="str">
        <f>_xlfn.IFNA(VLOOKUP(CONCATENATE(AJ$4,$C265),'INSER DATA'!$A:$F,7,0),"")</f>
        <v/>
      </c>
      <c r="AK265" s="270" t="str">
        <f>_xlfn.IFNA(VLOOKUP(CONCATENATE(AK$4,$C265),'INSER DATA'!$A:$F,7,0),"")</f>
        <v/>
      </c>
      <c r="AL265" s="270" t="str">
        <f>_xlfn.IFNA(VLOOKUP(CONCATENATE(AL$4,$C265),'INSER DATA'!$A:$F,7,0),"")</f>
        <v/>
      </c>
      <c r="AM265" s="270" t="str">
        <f>_xlfn.IFNA(VLOOKUP(CONCATENATE(AM$4,$C265),'INSER DATA'!$A:$F,7,0),"")</f>
        <v/>
      </c>
      <c r="AN265" s="270" t="str">
        <f>_xlfn.IFNA(VLOOKUP(CONCATENATE(AN$4,$C265),'INSER DATA'!$A:$F,7,0),"")</f>
        <v/>
      </c>
      <c r="AO265" s="270" t="str">
        <f>_xlfn.IFNA(VLOOKUP(CONCATENATE(AO$4,$C265),'INSER DATA'!$A:$F,7,0),"")</f>
        <v/>
      </c>
      <c r="AP265" s="270" t="str">
        <f>_xlfn.IFNA(VLOOKUP(CONCATENATE(AP$4,$C265),'INSER DATA'!$A:$F,7,0),"")</f>
        <v/>
      </c>
      <c r="AQ265" s="270" t="str">
        <f>_xlfn.IFNA(VLOOKUP(CONCATENATE(AQ$4,$C265),'INSER DATA'!$A:$F,7,0),"")</f>
        <v/>
      </c>
      <c r="AR265" s="270" t="str">
        <f>_xlfn.IFNA(VLOOKUP(CONCATENATE(AR$4,$C265),'INSER DATA'!$A:$F,7,0),"")</f>
        <v/>
      </c>
      <c r="AS265" s="270" t="str">
        <f>_xlfn.IFNA(VLOOKUP(CONCATENATE(AS$4,$C265),'INSER DATA'!$A:$F,7,0),"")</f>
        <v/>
      </c>
      <c r="AT265" s="270" t="str">
        <f>_xlfn.IFNA(VLOOKUP(CONCATENATE(AT$4,$C265),'INSER DATA'!$A:$F,7,0),"")</f>
        <v/>
      </c>
      <c r="AU265" s="270" t="str">
        <f>_xlfn.IFNA(VLOOKUP(CONCATENATE(AU$4,$C265),'INSER DATA'!$A:$F,7,0),"")</f>
        <v/>
      </c>
      <c r="AV265" s="270" t="str">
        <f>_xlfn.IFNA(VLOOKUP(CONCATENATE(AV$4,$C265),'INSER DATA'!$A:$F,7,0),"")</f>
        <v/>
      </c>
      <c r="AW265" s="270" t="str">
        <f>_xlfn.IFNA(VLOOKUP(CONCATENATE(AW$4,$C265),'INSER DATA'!$A:$F,7,0),"")</f>
        <v/>
      </c>
      <c r="AX265" s="270" t="str">
        <f>_xlfn.IFNA(VLOOKUP(CONCATENATE(AX$4,$C265),'INSER DATA'!$A:$F,7,0),"")</f>
        <v/>
      </c>
      <c r="AY265" s="270" t="str">
        <f>_xlfn.IFNA(VLOOKUP(CONCATENATE(AY$4,$C265),'INSER DATA'!$A:$F,7,0),"")</f>
        <v/>
      </c>
      <c r="AZ265" s="270" t="str">
        <f>_xlfn.IFNA(VLOOKUP(CONCATENATE(AZ$4,$C265),'INSER DATA'!$A:$F,7,0),"")</f>
        <v/>
      </c>
      <c r="BA265" s="270" t="str">
        <f>_xlfn.IFNA(VLOOKUP(CONCATENATE(BA$4,$C265),'INSER DATA'!$A:$F,7,0),"")</f>
        <v/>
      </c>
      <c r="BB265" s="270" t="str">
        <f>_xlfn.IFNA(VLOOKUP(CONCATENATE(BB$4,$C265),'INSER DATA'!$A:$F,7,0),"")</f>
        <v/>
      </c>
      <c r="BC265" s="270" t="str">
        <f>_xlfn.IFNA(VLOOKUP(CONCATENATE(BC$4,$C265),'INSER DATA'!$A:$F,7,0),"")</f>
        <v/>
      </c>
      <c r="BD265" s="270" t="str">
        <f>_xlfn.IFNA(VLOOKUP(CONCATENATE(BD$4,$C265),'INSER DATA'!$A:$F,7,0),"")</f>
        <v/>
      </c>
      <c r="BE265" s="270" t="str">
        <f>_xlfn.IFNA(VLOOKUP(CONCATENATE(BE$4,$C265),'INSER DATA'!$A:$F,7,0),"")</f>
        <v/>
      </c>
      <c r="BF265" s="270" t="str">
        <f>_xlfn.IFNA(VLOOKUP(CONCATENATE(BF$4,$C265),'INSER DATA'!$A:$F,7,0),"")</f>
        <v/>
      </c>
      <c r="BG265" s="270" t="str">
        <f>_xlfn.IFNA(VLOOKUP(CONCATENATE(BG$4,$C265),'INSER DATA'!$A:$F,7,0),"")</f>
        <v/>
      </c>
      <c r="BH265" s="270" t="str">
        <f>_xlfn.IFNA(VLOOKUP(CONCATENATE(BH$4,$C265),'INSER DATA'!$A:$F,7,0),"")</f>
        <v/>
      </c>
      <c r="BI265" s="270" t="str">
        <f>_xlfn.IFNA(VLOOKUP(CONCATENATE(BI$4,$C265),'INSER DATA'!$A:$F,7,0),"")</f>
        <v/>
      </c>
      <c r="BJ265" s="270" t="str">
        <f>_xlfn.IFNA(VLOOKUP(CONCATENATE(BJ$4,$C265),'INSER DATA'!$A:$F,7,0),"")</f>
        <v/>
      </c>
      <c r="BK265" s="270" t="str">
        <f>_xlfn.IFNA(VLOOKUP(CONCATENATE(BK$4,$C265),'INSER DATA'!$A:$F,7,0),"")</f>
        <v/>
      </c>
      <c r="BL265" s="272"/>
      <c r="BM265" s="30"/>
      <c r="BN265" s="30"/>
      <c r="BO265" s="30"/>
      <c r="BP265" s="30"/>
      <c r="BQ265" s="30"/>
      <c r="BR265" s="30"/>
      <c r="BS265" s="30"/>
      <c r="BT265" s="30"/>
      <c r="BU265" s="30"/>
      <c r="BV265" s="30"/>
      <c r="BW265" s="30"/>
      <c r="BX265" s="30"/>
      <c r="BY265" s="30"/>
      <c r="BZ265" s="30"/>
      <c r="CA265" s="30"/>
      <c r="CB265" s="30"/>
      <c r="CC265" s="30"/>
      <c r="CD265" s="30"/>
      <c r="CE265" s="30"/>
      <c r="CF265" s="30"/>
      <c r="CG265" s="30"/>
      <c r="CH265" s="30"/>
      <c r="CI265" s="30"/>
      <c r="CJ265" s="30"/>
      <c r="CK265" s="30"/>
      <c r="CL265" s="30"/>
      <c r="CM265" s="30"/>
      <c r="CN265" s="30"/>
      <c r="CO265" s="30"/>
      <c r="CP265" s="30"/>
      <c r="CQ265" s="30"/>
      <c r="CR265" s="30"/>
      <c r="CS265" s="30"/>
      <c r="CT265" s="30"/>
      <c r="CU265" s="30"/>
      <c r="CV265" s="30"/>
      <c r="CW265" s="30"/>
      <c r="CX265" s="30"/>
      <c r="CY265" s="30"/>
      <c r="CZ265" s="30"/>
      <c r="DA265" s="30"/>
    </row>
    <row r="266" spans="1:105" ht="19.2" thickTop="1" thickBot="1" x14ac:dyDescent="0.4">
      <c r="A266" s="30"/>
      <c r="B266" s="30"/>
      <c r="C266" s="360" t="s">
        <v>816</v>
      </c>
      <c r="D266" s="359" t="s">
        <v>810</v>
      </c>
      <c r="E266" s="35" t="str">
        <f>_xlfn.XLOOKUP(Tabella4[[#This Row],[NOME]],'ROSE SQUADRE'!$N$3:$N$253,'ROSE SQUADRE'!$O$3:$O$253,"")</f>
        <v>TRICCHETRACHT</v>
      </c>
      <c r="F266" s="36" t="s">
        <v>161</v>
      </c>
      <c r="G266" s="43">
        <v>5</v>
      </c>
      <c r="H266" s="43">
        <v>6</v>
      </c>
      <c r="I266" s="44">
        <f t="shared" si="25"/>
        <v>1</v>
      </c>
      <c r="J266" s="37">
        <f t="shared" si="26"/>
        <v>4</v>
      </c>
      <c r="K266" s="38">
        <f t="shared" si="27"/>
        <v>5.875</v>
      </c>
      <c r="L266" s="38">
        <f t="shared" si="28"/>
        <v>6.125</v>
      </c>
      <c r="M266" s="39">
        <f t="shared" si="29"/>
        <v>24.5</v>
      </c>
      <c r="N266" s="45">
        <f t="shared" ca="1" si="24"/>
        <v>0</v>
      </c>
      <c r="O266" s="40">
        <f>SUMIF(Tabella1[Nome],Tabella4[[#This Row],[NOME]],Tabella1[Gf])</f>
        <v>0</v>
      </c>
      <c r="P266" s="40">
        <f>-(SUMIF(Tabella1[Nome],Tabella4[[#This Row],[NOME]],Tabella1[Gs]))</f>
        <v>0</v>
      </c>
      <c r="Q266" s="40">
        <f>SUMIF(Tabella1[Nome],Tabella4[[#This Row],[NOME]],Tabella1[Rp])</f>
        <v>0</v>
      </c>
      <c r="R266" s="40">
        <f>SUMIF(Tabella1[Nome],Tabella4[[#This Row],[NOME]],Tabella1[Rs])</f>
        <v>0</v>
      </c>
      <c r="S266" s="40">
        <f>SUMIF(Tabella1[Nome],Tabella4[[#This Row],[NOME]],Tabella1[Rf])</f>
        <v>0</v>
      </c>
      <c r="T266" s="40">
        <f>SUMIF(Tabella1[Nome],Tabella4[[#This Row],[NOME]],Tabella1[Au])</f>
        <v>0</v>
      </c>
      <c r="U266" s="41">
        <f>SUMIF(Tabella1[Nome],Tabella4[[#This Row],[NOME]],Tabella1[Amm])</f>
        <v>2</v>
      </c>
      <c r="V266" s="42">
        <f>SUMIF(Tabella1[Nome],Tabella4[[#This Row],[NOME]],Tabella1[Esp])</f>
        <v>0</v>
      </c>
      <c r="W266" s="40">
        <f>SUMIF(Tabella1[Nome],Tabella4[[#This Row],[NOME]],Tabella1[Ass])</f>
        <v>2</v>
      </c>
      <c r="X266" s="40">
        <f>SUMIF(Tabella1[Nome],Tabella4[[#This Row],[NOME]],Tabella1[Gdv])</f>
        <v>0</v>
      </c>
      <c r="Y266" s="40">
        <f>SUMIF(Tabella1[Nome],Tabella4[[#This Row],[NOME]],Tabella1[cl sh])</f>
        <v>0</v>
      </c>
      <c r="Z266" s="270">
        <f>_xlfn.IFNA(_xlfn.XLOOKUP(CONCATENATE(Z$4,$C266),Tabella1[CONC X VOTI IN TAB GIOC],Tabella1[Voto],""),"")</f>
        <v>6.5</v>
      </c>
      <c r="AA266" s="270">
        <f>_xlfn.IFNA(_xlfn.XLOOKUP(CONCATENATE(AA$4,$C266),Tabella1[CONC X VOTI IN TAB GIOC],Tabella1[Voto],""),"")</f>
        <v>5</v>
      </c>
      <c r="AB266" s="270">
        <f>_xlfn.IFNA(_xlfn.XLOOKUP(CONCATENATE(AB$4,$C266),Tabella1[CONC X VOTI IN TAB GIOC],Tabella1[Voto]),"")</f>
        <v>5.5</v>
      </c>
      <c r="AC266" s="270" cm="1">
        <f t="array" ref="AC266">_xlfn.IFNA(_xlfn.XLOOKUP(CONCATENATE(AC$4,$C266),INDEX(Tabella1[],0,MATCH("CONC X VOTI IN TAB GIOC",Tabella1[#Headers],0)),INDEX(Tabella1[],0,MATCH("Voto",Tabella1[#Headers],0))),"")</f>
        <v>6.5</v>
      </c>
      <c r="AD266" s="270" t="str">
        <f>_xlfn.IFNA(_xlfn.XLOOKUP(CONCATENATE(AD$4,$C266),Tabella1[CONC X VOTI IN TAB GIOC],Tabella1[Voto]),"")</f>
        <v/>
      </c>
      <c r="AE266" s="270" t="str">
        <f>_xlfn.IFNA(VLOOKUP(CONCATENATE(AE$4,$C266),'INSER DATA'!$A:$F,6,0),"")</f>
        <v/>
      </c>
      <c r="AF266" s="270" t="str">
        <f>_xlfn.IFNA(VLOOKUP(CONCATENATE(AF$4,$C266),'INSER DATA'!$A:$F,6,0),"")</f>
        <v/>
      </c>
      <c r="AG266" s="270" t="str">
        <f>_xlfn.IFNA(VLOOKUP(CONCATENATE(AG$4,$C266),'INSER DATA'!$A:$F,6,0),"")</f>
        <v/>
      </c>
      <c r="AH266" s="270" t="str">
        <f>_xlfn.IFNA(VLOOKUP(CONCATENATE(AH$4,$C266),'INSER DATA'!$A:$F,7,0),"")</f>
        <v/>
      </c>
      <c r="AI266" s="270" t="str">
        <f>_xlfn.IFNA(VLOOKUP(CONCATENATE(AI$4,$C266),'INSER DATA'!$A:$F,7,0),"")</f>
        <v/>
      </c>
      <c r="AJ266" s="270" t="str">
        <f>_xlfn.IFNA(VLOOKUP(CONCATENATE(AJ$4,$C266),'INSER DATA'!$A:$F,7,0),"")</f>
        <v/>
      </c>
      <c r="AK266" s="270" t="str">
        <f>_xlfn.IFNA(VLOOKUP(CONCATENATE(AK$4,$C266),'INSER DATA'!$A:$F,7,0),"")</f>
        <v/>
      </c>
      <c r="AL266" s="270" t="str">
        <f>_xlfn.IFNA(VLOOKUP(CONCATENATE(AL$4,$C266),'INSER DATA'!$A:$F,7,0),"")</f>
        <v/>
      </c>
      <c r="AM266" s="270" t="str">
        <f>_xlfn.IFNA(VLOOKUP(CONCATENATE(AM$4,$C266),'INSER DATA'!$A:$F,7,0),"")</f>
        <v/>
      </c>
      <c r="AN266" s="270" t="str">
        <f>_xlfn.IFNA(VLOOKUP(CONCATENATE(AN$4,$C266),'INSER DATA'!$A:$F,7,0),"")</f>
        <v/>
      </c>
      <c r="AO266" s="270" t="str">
        <f>_xlfn.IFNA(VLOOKUP(CONCATENATE(AO$4,$C266),'INSER DATA'!$A:$F,7,0),"")</f>
        <v/>
      </c>
      <c r="AP266" s="270" t="str">
        <f>_xlfn.IFNA(VLOOKUP(CONCATENATE(AP$4,$C266),'INSER DATA'!$A:$F,7,0),"")</f>
        <v/>
      </c>
      <c r="AQ266" s="270" t="str">
        <f>_xlfn.IFNA(VLOOKUP(CONCATENATE(AQ$4,$C266),'INSER DATA'!$A:$F,7,0),"")</f>
        <v/>
      </c>
      <c r="AR266" s="270" t="str">
        <f>_xlfn.IFNA(VLOOKUP(CONCATENATE(AR$4,$C266),'INSER DATA'!$A:$F,7,0),"")</f>
        <v/>
      </c>
      <c r="AS266" s="270" t="str">
        <f>_xlfn.IFNA(VLOOKUP(CONCATENATE(AS$4,$C266),'INSER DATA'!$A:$F,7,0),"")</f>
        <v/>
      </c>
      <c r="AT266" s="270" t="str">
        <f>_xlfn.IFNA(VLOOKUP(CONCATENATE(AT$4,$C266),'INSER DATA'!$A:$F,7,0),"")</f>
        <v/>
      </c>
      <c r="AU266" s="270" t="str">
        <f>_xlfn.IFNA(VLOOKUP(CONCATENATE(AU$4,$C266),'INSER DATA'!$A:$F,7,0),"")</f>
        <v/>
      </c>
      <c r="AV266" s="270" t="str">
        <f>_xlfn.IFNA(VLOOKUP(CONCATENATE(AV$4,$C266),'INSER DATA'!$A:$F,7,0),"")</f>
        <v/>
      </c>
      <c r="AW266" s="270" t="str">
        <f>_xlfn.IFNA(VLOOKUP(CONCATENATE(AW$4,$C266),'INSER DATA'!$A:$F,7,0),"")</f>
        <v/>
      </c>
      <c r="AX266" s="270" t="str">
        <f>_xlfn.IFNA(VLOOKUP(CONCATENATE(AX$4,$C266),'INSER DATA'!$A:$F,7,0),"")</f>
        <v/>
      </c>
      <c r="AY266" s="270" t="str">
        <f>_xlfn.IFNA(VLOOKUP(CONCATENATE(AY$4,$C266),'INSER DATA'!$A:$F,7,0),"")</f>
        <v/>
      </c>
      <c r="AZ266" s="270" t="str">
        <f>_xlfn.IFNA(VLOOKUP(CONCATENATE(AZ$4,$C266),'INSER DATA'!$A:$F,7,0),"")</f>
        <v/>
      </c>
      <c r="BA266" s="270" t="str">
        <f>_xlfn.IFNA(VLOOKUP(CONCATENATE(BA$4,$C266),'INSER DATA'!$A:$F,7,0),"")</f>
        <v/>
      </c>
      <c r="BB266" s="270" t="str">
        <f>_xlfn.IFNA(VLOOKUP(CONCATENATE(BB$4,$C266),'INSER DATA'!$A:$F,7,0),"")</f>
        <v/>
      </c>
      <c r="BC266" s="270" t="str">
        <f>_xlfn.IFNA(VLOOKUP(CONCATENATE(BC$4,$C266),'INSER DATA'!$A:$F,7,0),"")</f>
        <v/>
      </c>
      <c r="BD266" s="270" t="str">
        <f>_xlfn.IFNA(VLOOKUP(CONCATENATE(BD$4,$C266),'INSER DATA'!$A:$F,7,0),"")</f>
        <v/>
      </c>
      <c r="BE266" s="270" t="str">
        <f>_xlfn.IFNA(VLOOKUP(CONCATENATE(BE$4,$C266),'INSER DATA'!$A:$F,7,0),"")</f>
        <v/>
      </c>
      <c r="BF266" s="270" t="str">
        <f>_xlfn.IFNA(VLOOKUP(CONCATENATE(BF$4,$C266),'INSER DATA'!$A:$F,7,0),"")</f>
        <v/>
      </c>
      <c r="BG266" s="270" t="str">
        <f>_xlfn.IFNA(VLOOKUP(CONCATENATE(BG$4,$C266),'INSER DATA'!$A:$F,7,0),"")</f>
        <v/>
      </c>
      <c r="BH266" s="270" t="str">
        <f>_xlfn.IFNA(VLOOKUP(CONCATENATE(BH$4,$C266),'INSER DATA'!$A:$F,7,0),"")</f>
        <v/>
      </c>
      <c r="BI266" s="270" t="str">
        <f>_xlfn.IFNA(VLOOKUP(CONCATENATE(BI$4,$C266),'INSER DATA'!$A:$F,7,0),"")</f>
        <v/>
      </c>
      <c r="BJ266" s="270" t="str">
        <f>_xlfn.IFNA(VLOOKUP(CONCATENATE(BJ$4,$C266),'INSER DATA'!$A:$F,7,0),"")</f>
        <v/>
      </c>
      <c r="BK266" s="270" t="str">
        <f>_xlfn.IFNA(VLOOKUP(CONCATENATE(BK$4,$C266),'INSER DATA'!$A:$F,7,0),"")</f>
        <v/>
      </c>
      <c r="BL266" s="272"/>
      <c r="BM266" s="30"/>
      <c r="BN266" s="30"/>
      <c r="BO266" s="30"/>
      <c r="BP266" s="30"/>
      <c r="BQ266" s="30"/>
      <c r="BR266" s="30"/>
      <c r="BS266" s="30"/>
      <c r="BT266" s="30"/>
      <c r="BU266" s="30"/>
      <c r="BV266" s="30"/>
      <c r="BW266" s="30"/>
      <c r="BX266" s="30"/>
      <c r="BY266" s="30"/>
      <c r="BZ266" s="30"/>
      <c r="CA266" s="30"/>
      <c r="CB266" s="30"/>
      <c r="CC266" s="30"/>
      <c r="CD266" s="30"/>
      <c r="CE266" s="30"/>
      <c r="CF266" s="30"/>
      <c r="CG266" s="30"/>
      <c r="CH266" s="30"/>
      <c r="CI266" s="30"/>
      <c r="CJ266" s="30"/>
      <c r="CK266" s="30"/>
      <c r="CL266" s="30"/>
      <c r="CM266" s="30"/>
      <c r="CN266" s="30"/>
      <c r="CO266" s="30"/>
      <c r="CP266" s="30"/>
      <c r="CQ266" s="30"/>
      <c r="CR266" s="30"/>
      <c r="CS266" s="30"/>
      <c r="CT266" s="30"/>
      <c r="CU266" s="30"/>
      <c r="CV266" s="30"/>
      <c r="CW266" s="30"/>
      <c r="CX266" s="30"/>
      <c r="CY266" s="30"/>
      <c r="CZ266" s="30"/>
      <c r="DA266" s="30"/>
    </row>
    <row r="267" spans="1:105" ht="19.2" thickTop="1" thickBot="1" x14ac:dyDescent="0.4">
      <c r="A267" s="30"/>
      <c r="B267" s="30"/>
      <c r="C267" s="188" t="s">
        <v>546</v>
      </c>
      <c r="D267" s="46" t="s">
        <v>810</v>
      </c>
      <c r="E267" s="35" t="str">
        <f>_xlfn.XLOOKUP(Tabella4[[#This Row],[NOME]],'ROSE SQUADRE'!$N$3:$N$253,'ROSE SQUADRE'!$O$3:$O$253,"")</f>
        <v/>
      </c>
      <c r="F267" s="36" t="s">
        <v>162</v>
      </c>
      <c r="G267" s="43">
        <v>6</v>
      </c>
      <c r="H267" s="43">
        <v>6</v>
      </c>
      <c r="I267" s="44">
        <f t="shared" si="25"/>
        <v>0</v>
      </c>
      <c r="J267" s="37">
        <f t="shared" si="26"/>
        <v>4</v>
      </c>
      <c r="K267" s="38">
        <f t="shared" si="27"/>
        <v>5.75</v>
      </c>
      <c r="L267" s="38">
        <f t="shared" si="28"/>
        <v>5.75</v>
      </c>
      <c r="M267" s="39">
        <f t="shared" si="29"/>
        <v>23</v>
      </c>
      <c r="N267" s="45">
        <f t="shared" ref="N267:N330" ca="1" si="30">ContaCellePerColore(Z267:BK267,$C$3)</f>
        <v>0</v>
      </c>
      <c r="O267" s="40">
        <f>SUMIF(Tabella1[Nome],Tabella4[[#This Row],[NOME]],Tabella1[Gf])</f>
        <v>0</v>
      </c>
      <c r="P267" s="40">
        <f>-(SUMIF(Tabella1[Nome],Tabella4[[#This Row],[NOME]],Tabella1[Gs]))</f>
        <v>0</v>
      </c>
      <c r="Q267" s="40">
        <f>SUMIF(Tabella1[Nome],Tabella4[[#This Row],[NOME]],Tabella1[Rp])</f>
        <v>0</v>
      </c>
      <c r="R267" s="40">
        <f>SUMIF(Tabella1[Nome],Tabella4[[#This Row],[NOME]],Tabella1[Rs])</f>
        <v>0</v>
      </c>
      <c r="S267" s="40">
        <f>SUMIF(Tabella1[Nome],Tabella4[[#This Row],[NOME]],Tabella1[Rf])</f>
        <v>0</v>
      </c>
      <c r="T267" s="40">
        <f>SUMIF(Tabella1[Nome],Tabella4[[#This Row],[NOME]],Tabella1[Au])</f>
        <v>0</v>
      </c>
      <c r="U267" s="41">
        <f>SUMIF(Tabella1[Nome],Tabella4[[#This Row],[NOME]],Tabella1[Amm])</f>
        <v>0</v>
      </c>
      <c r="V267" s="42">
        <f>SUMIF(Tabella1[Nome],Tabella4[[#This Row],[NOME]],Tabella1[Esp])</f>
        <v>0</v>
      </c>
      <c r="W267" s="40">
        <f>SUMIF(Tabella1[Nome],Tabella4[[#This Row],[NOME]],Tabella1[Ass])</f>
        <v>0</v>
      </c>
      <c r="X267" s="40">
        <f>SUMIF(Tabella1[Nome],Tabella4[[#This Row],[NOME]],Tabella1[Gdv])</f>
        <v>0</v>
      </c>
      <c r="Y267" s="40">
        <f>SUMIF(Tabella1[Nome],Tabella4[[#This Row],[NOME]],Tabella1[cl sh])</f>
        <v>0</v>
      </c>
      <c r="Z267" s="270">
        <f>_xlfn.IFNA(_xlfn.XLOOKUP(CONCATENATE(Z$4,$C267),Tabella1[CONC X VOTI IN TAB GIOC],Tabella1[Voto],""),"")</f>
        <v>6</v>
      </c>
      <c r="AA267" s="270">
        <f>_xlfn.IFNA(_xlfn.XLOOKUP(CONCATENATE(AA$4,$C267),Tabella1[CONC X VOTI IN TAB GIOC],Tabella1[Voto],""),"")</f>
        <v>5.5</v>
      </c>
      <c r="AB267" s="270">
        <f>_xlfn.IFNA(_xlfn.XLOOKUP(CONCATENATE(AB$4,$C267),Tabella1[CONC X VOTI IN TAB GIOC],Tabella1[Voto]),"")</f>
        <v>5.5</v>
      </c>
      <c r="AC267" s="270" cm="1">
        <f t="array" ref="AC267">_xlfn.IFNA(_xlfn.XLOOKUP(CONCATENATE(AC$4,$C267),INDEX(Tabella1[],0,MATCH("CONC X VOTI IN TAB GIOC",Tabella1[#Headers],0)),INDEX(Tabella1[],0,MATCH("Voto",Tabella1[#Headers],0))),"")</f>
        <v>6</v>
      </c>
      <c r="AD267" s="270" t="str">
        <f>_xlfn.IFNA(_xlfn.XLOOKUP(CONCATENATE(AD$4,$C267),Tabella1[CONC X VOTI IN TAB GIOC],Tabella1[Voto]),"")</f>
        <v/>
      </c>
      <c r="AE267" s="270" t="str">
        <f>_xlfn.IFNA(VLOOKUP(CONCATENATE(AE$4,$C267),'INSER DATA'!$A:$F,6,0),"")</f>
        <v/>
      </c>
      <c r="AF267" s="270" t="str">
        <f>_xlfn.IFNA(VLOOKUP(CONCATENATE(AF$4,$C267),'INSER DATA'!$A:$F,6,0),"")</f>
        <v/>
      </c>
      <c r="AG267" s="270" t="str">
        <f>_xlfn.IFNA(VLOOKUP(CONCATENATE(AG$4,$C267),'INSER DATA'!$A:$F,6,0),"")</f>
        <v/>
      </c>
      <c r="AH267" s="270" t="str">
        <f>_xlfn.IFNA(VLOOKUP(CONCATENATE(AH$4,$C267),'INSER DATA'!$A:$F,7,0),"")</f>
        <v/>
      </c>
      <c r="AI267" s="270" t="str">
        <f>_xlfn.IFNA(VLOOKUP(CONCATENATE(AI$4,$C267),'INSER DATA'!$A:$F,7,0),"")</f>
        <v/>
      </c>
      <c r="AJ267" s="270" t="str">
        <f>_xlfn.IFNA(VLOOKUP(CONCATENATE(AJ$4,$C267),'INSER DATA'!$A:$F,7,0),"")</f>
        <v/>
      </c>
      <c r="AK267" s="270" t="str">
        <f>_xlfn.IFNA(VLOOKUP(CONCATENATE(AK$4,$C267),'INSER DATA'!$A:$F,7,0),"")</f>
        <v/>
      </c>
      <c r="AL267" s="270" t="str">
        <f>_xlfn.IFNA(VLOOKUP(CONCATENATE(AL$4,$C267),'INSER DATA'!$A:$F,7,0),"")</f>
        <v/>
      </c>
      <c r="AM267" s="270" t="str">
        <f>_xlfn.IFNA(VLOOKUP(CONCATENATE(AM$4,$C267),'INSER DATA'!$A:$F,7,0),"")</f>
        <v/>
      </c>
      <c r="AN267" s="270" t="str">
        <f>_xlfn.IFNA(VLOOKUP(CONCATENATE(AN$4,$C267),'INSER DATA'!$A:$F,7,0),"")</f>
        <v/>
      </c>
      <c r="AO267" s="270" t="str">
        <f>_xlfn.IFNA(VLOOKUP(CONCATENATE(AO$4,$C267),'INSER DATA'!$A:$F,7,0),"")</f>
        <v/>
      </c>
      <c r="AP267" s="270" t="str">
        <f>_xlfn.IFNA(VLOOKUP(CONCATENATE(AP$4,$C267),'INSER DATA'!$A:$F,7,0),"")</f>
        <v/>
      </c>
      <c r="AQ267" s="270" t="str">
        <f>_xlfn.IFNA(VLOOKUP(CONCATENATE(AQ$4,$C267),'INSER DATA'!$A:$F,7,0),"")</f>
        <v/>
      </c>
      <c r="AR267" s="270" t="str">
        <f>_xlfn.IFNA(VLOOKUP(CONCATENATE(AR$4,$C267),'INSER DATA'!$A:$F,7,0),"")</f>
        <v/>
      </c>
      <c r="AS267" s="270" t="str">
        <f>_xlfn.IFNA(VLOOKUP(CONCATENATE(AS$4,$C267),'INSER DATA'!$A:$F,7,0),"")</f>
        <v/>
      </c>
      <c r="AT267" s="270" t="str">
        <f>_xlfn.IFNA(VLOOKUP(CONCATENATE(AT$4,$C267),'INSER DATA'!$A:$F,7,0),"")</f>
        <v/>
      </c>
      <c r="AU267" s="270" t="str">
        <f>_xlfn.IFNA(VLOOKUP(CONCATENATE(AU$4,$C267),'INSER DATA'!$A:$F,7,0),"")</f>
        <v/>
      </c>
      <c r="AV267" s="270" t="str">
        <f>_xlfn.IFNA(VLOOKUP(CONCATENATE(AV$4,$C267),'INSER DATA'!$A:$F,7,0),"")</f>
        <v/>
      </c>
      <c r="AW267" s="270" t="str">
        <f>_xlfn.IFNA(VLOOKUP(CONCATENATE(AW$4,$C267),'INSER DATA'!$A:$F,7,0),"")</f>
        <v/>
      </c>
      <c r="AX267" s="270" t="str">
        <f>_xlfn.IFNA(VLOOKUP(CONCATENATE(AX$4,$C267),'INSER DATA'!$A:$F,7,0),"")</f>
        <v/>
      </c>
      <c r="AY267" s="270" t="str">
        <f>_xlfn.IFNA(VLOOKUP(CONCATENATE(AY$4,$C267),'INSER DATA'!$A:$F,7,0),"")</f>
        <v/>
      </c>
      <c r="AZ267" s="270" t="str">
        <f>_xlfn.IFNA(VLOOKUP(CONCATENATE(AZ$4,$C267),'INSER DATA'!$A:$F,7,0),"")</f>
        <v/>
      </c>
      <c r="BA267" s="270" t="str">
        <f>_xlfn.IFNA(VLOOKUP(CONCATENATE(BA$4,$C267),'INSER DATA'!$A:$F,7,0),"")</f>
        <v/>
      </c>
      <c r="BB267" s="270" t="str">
        <f>_xlfn.IFNA(VLOOKUP(CONCATENATE(BB$4,$C267),'INSER DATA'!$A:$F,7,0),"")</f>
        <v/>
      </c>
      <c r="BC267" s="270" t="str">
        <f>_xlfn.IFNA(VLOOKUP(CONCATENATE(BC$4,$C267),'INSER DATA'!$A:$F,7,0),"")</f>
        <v/>
      </c>
      <c r="BD267" s="270" t="str">
        <f>_xlfn.IFNA(VLOOKUP(CONCATENATE(BD$4,$C267),'INSER DATA'!$A:$F,7,0),"")</f>
        <v/>
      </c>
      <c r="BE267" s="270" t="str">
        <f>_xlfn.IFNA(VLOOKUP(CONCATENATE(BE$4,$C267),'INSER DATA'!$A:$F,7,0),"")</f>
        <v/>
      </c>
      <c r="BF267" s="270" t="str">
        <f>_xlfn.IFNA(VLOOKUP(CONCATENATE(BF$4,$C267),'INSER DATA'!$A:$F,7,0),"")</f>
        <v/>
      </c>
      <c r="BG267" s="270" t="str">
        <f>_xlfn.IFNA(VLOOKUP(CONCATENATE(BG$4,$C267),'INSER DATA'!$A:$F,7,0),"")</f>
        <v/>
      </c>
      <c r="BH267" s="270" t="str">
        <f>_xlfn.IFNA(VLOOKUP(CONCATENATE(BH$4,$C267),'INSER DATA'!$A:$F,7,0),"")</f>
        <v/>
      </c>
      <c r="BI267" s="270" t="str">
        <f>_xlfn.IFNA(VLOOKUP(CONCATENATE(BI$4,$C267),'INSER DATA'!$A:$F,7,0),"")</f>
        <v/>
      </c>
      <c r="BJ267" s="270" t="str">
        <f>_xlfn.IFNA(VLOOKUP(CONCATENATE(BJ$4,$C267),'INSER DATA'!$A:$F,7,0),"")</f>
        <v/>
      </c>
      <c r="BK267" s="270" t="str">
        <f>_xlfn.IFNA(VLOOKUP(CONCATENATE(BK$4,$C267),'INSER DATA'!$A:$F,7,0),"")</f>
        <v/>
      </c>
      <c r="BL267" s="272"/>
      <c r="BM267" s="30"/>
      <c r="BN267" s="30"/>
      <c r="BO267" s="30"/>
      <c r="BP267" s="30"/>
      <c r="BQ267" s="30"/>
      <c r="BR267" s="30"/>
      <c r="BS267" s="30"/>
      <c r="BT267" s="30"/>
      <c r="BU267" s="30"/>
      <c r="BV267" s="30"/>
      <c r="BW267" s="30"/>
      <c r="BX267" s="30"/>
      <c r="BY267" s="30"/>
      <c r="BZ267" s="30"/>
      <c r="CA267" s="30"/>
      <c r="CB267" s="30"/>
      <c r="CC267" s="30"/>
      <c r="CD267" s="30"/>
      <c r="CE267" s="30"/>
      <c r="CF267" s="30"/>
      <c r="CG267" s="30"/>
      <c r="CH267" s="30"/>
      <c r="CI267" s="30"/>
      <c r="CJ267" s="30"/>
      <c r="CK267" s="30"/>
      <c r="CL267" s="30"/>
      <c r="CM267" s="30"/>
      <c r="CN267" s="30"/>
      <c r="CO267" s="30"/>
      <c r="CP267" s="30"/>
      <c r="CQ267" s="30"/>
      <c r="CR267" s="30"/>
      <c r="CS267" s="30"/>
      <c r="CT267" s="30"/>
      <c r="CU267" s="30"/>
      <c r="CV267" s="30"/>
      <c r="CW267" s="30"/>
      <c r="CX267" s="30"/>
      <c r="CY267" s="30"/>
      <c r="CZ267" s="30"/>
      <c r="DA267" s="30"/>
    </row>
    <row r="268" spans="1:105" s="184" customFormat="1" ht="19.2" thickTop="1" thickBot="1" x14ac:dyDescent="0.4">
      <c r="A268" s="30"/>
      <c r="B268" s="30"/>
      <c r="C268" s="188" t="s">
        <v>824</v>
      </c>
      <c r="D268" s="46" t="s">
        <v>810</v>
      </c>
      <c r="E268" s="35" t="str">
        <f>_xlfn.XLOOKUP(Tabella4[[#This Row],[NOME]],'ROSE SQUADRE'!$N$3:$N$253,'ROSE SQUADRE'!$O$3:$O$253,"")</f>
        <v/>
      </c>
      <c r="F268" s="36" t="s">
        <v>163</v>
      </c>
      <c r="G268" s="43">
        <v>3</v>
      </c>
      <c r="H268" s="43">
        <v>3</v>
      </c>
      <c r="I268" s="44">
        <f t="shared" si="25"/>
        <v>0</v>
      </c>
      <c r="J268" s="37">
        <f t="shared" si="26"/>
        <v>4</v>
      </c>
      <c r="K268" s="38">
        <f t="shared" si="27"/>
        <v>5.875</v>
      </c>
      <c r="L268" s="38">
        <f t="shared" si="28"/>
        <v>5.75</v>
      </c>
      <c r="M268" s="39">
        <f t="shared" si="29"/>
        <v>23</v>
      </c>
      <c r="N268" s="45">
        <f t="shared" ca="1" si="30"/>
        <v>0</v>
      </c>
      <c r="O268" s="40">
        <f>SUMIF(Tabella1[Nome],Tabella4[[#This Row],[NOME]],Tabella1[Gf])</f>
        <v>0</v>
      </c>
      <c r="P268" s="40">
        <f>-(SUMIF(Tabella1[Nome],Tabella4[[#This Row],[NOME]],Tabella1[Gs]))</f>
        <v>0</v>
      </c>
      <c r="Q268" s="40">
        <f>SUMIF(Tabella1[Nome],Tabella4[[#This Row],[NOME]],Tabella1[Rp])</f>
        <v>0</v>
      </c>
      <c r="R268" s="40">
        <f>SUMIF(Tabella1[Nome],Tabella4[[#This Row],[NOME]],Tabella1[Rs])</f>
        <v>0</v>
      </c>
      <c r="S268" s="40">
        <f>SUMIF(Tabella1[Nome],Tabella4[[#This Row],[NOME]],Tabella1[Rf])</f>
        <v>0</v>
      </c>
      <c r="T268" s="40">
        <f>SUMIF(Tabella1[Nome],Tabella4[[#This Row],[NOME]],Tabella1[Au])</f>
        <v>0</v>
      </c>
      <c r="U268" s="41">
        <f>SUMIF(Tabella1[Nome],Tabella4[[#This Row],[NOME]],Tabella1[Amm])</f>
        <v>1</v>
      </c>
      <c r="V268" s="42">
        <f>SUMIF(Tabella1[Nome],Tabella4[[#This Row],[NOME]],Tabella1[Esp])</f>
        <v>0</v>
      </c>
      <c r="W268" s="40">
        <f>SUMIF(Tabella1[Nome],Tabella4[[#This Row],[NOME]],Tabella1[Ass])</f>
        <v>0</v>
      </c>
      <c r="X268" s="40">
        <f>SUMIF(Tabella1[Nome],Tabella4[[#This Row],[NOME]],Tabella1[Gdv])</f>
        <v>0</v>
      </c>
      <c r="Y268" s="40">
        <f>SUMIF(Tabella1[Nome],Tabella4[[#This Row],[NOME]],Tabella1[cl sh])</f>
        <v>0</v>
      </c>
      <c r="Z268" s="270">
        <f>_xlfn.IFNA(_xlfn.XLOOKUP(CONCATENATE(Z$4,$C268),Tabella1[CONC X VOTI IN TAB GIOC],Tabella1[Voto],""),"")</f>
        <v>5.5</v>
      </c>
      <c r="AA268" s="270">
        <f>_xlfn.IFNA(_xlfn.XLOOKUP(CONCATENATE(AA$4,$C268),Tabella1[CONC X VOTI IN TAB GIOC],Tabella1[Voto],""),"")</f>
        <v>6</v>
      </c>
      <c r="AB268" s="270">
        <f>_xlfn.IFNA(_xlfn.XLOOKUP(CONCATENATE(AB$4,$C268),Tabella1[CONC X VOTI IN TAB GIOC],Tabella1[Voto]),"")</f>
        <v>6</v>
      </c>
      <c r="AC268" s="270" cm="1">
        <f t="array" ref="AC268">_xlfn.IFNA(_xlfn.XLOOKUP(CONCATENATE(AC$4,$C268),INDEX(Tabella1[],0,MATCH("CONC X VOTI IN TAB GIOC",Tabella1[#Headers],0)),INDEX(Tabella1[],0,MATCH("Voto",Tabella1[#Headers],0))),"")</f>
        <v>6</v>
      </c>
      <c r="AD268" s="270" t="str">
        <f>_xlfn.IFNA(_xlfn.XLOOKUP(CONCATENATE(AD$4,$C268),Tabella1[CONC X VOTI IN TAB GIOC],Tabella1[Voto]),"")</f>
        <v/>
      </c>
      <c r="AE268" s="270" t="str">
        <f>_xlfn.IFNA(VLOOKUP(CONCATENATE(AE$4,$C268),'INSER DATA'!$A:$F,6,0),"")</f>
        <v/>
      </c>
      <c r="AF268" s="270" t="str">
        <f>_xlfn.IFNA(VLOOKUP(CONCATENATE(AF$4,$C268),'INSER DATA'!$A:$F,6,0),"")</f>
        <v/>
      </c>
      <c r="AG268" s="270" t="str">
        <f>_xlfn.IFNA(VLOOKUP(CONCATENATE(AG$4,$C268),'INSER DATA'!$A:$F,6,0),"")</f>
        <v/>
      </c>
      <c r="AH268" s="270" t="str">
        <f>_xlfn.IFNA(VLOOKUP(CONCATENATE(AH$4,$C268),'INSER DATA'!$A:$F,7,0),"")</f>
        <v/>
      </c>
      <c r="AI268" s="270" t="str">
        <f>_xlfn.IFNA(VLOOKUP(CONCATENATE(AI$4,$C268),'INSER DATA'!$A:$F,7,0),"")</f>
        <v/>
      </c>
      <c r="AJ268" s="270" t="str">
        <f>_xlfn.IFNA(VLOOKUP(CONCATENATE(AJ$4,$C268),'INSER DATA'!$A:$F,7,0),"")</f>
        <v/>
      </c>
      <c r="AK268" s="270" t="str">
        <f>_xlfn.IFNA(VLOOKUP(CONCATENATE(AK$4,$C268),'INSER DATA'!$A:$F,7,0),"")</f>
        <v/>
      </c>
      <c r="AL268" s="270" t="str">
        <f>_xlfn.IFNA(VLOOKUP(CONCATENATE(AL$4,$C268),'INSER DATA'!$A:$F,7,0),"")</f>
        <v/>
      </c>
      <c r="AM268" s="270" t="str">
        <f>_xlfn.IFNA(VLOOKUP(CONCATENATE(AM$4,$C268),'INSER DATA'!$A:$F,7,0),"")</f>
        <v/>
      </c>
      <c r="AN268" s="270" t="str">
        <f>_xlfn.IFNA(VLOOKUP(CONCATENATE(AN$4,$C268),'INSER DATA'!$A:$F,7,0),"")</f>
        <v/>
      </c>
      <c r="AO268" s="270" t="str">
        <f>_xlfn.IFNA(VLOOKUP(CONCATENATE(AO$4,$C268),'INSER DATA'!$A:$F,7,0),"")</f>
        <v/>
      </c>
      <c r="AP268" s="270" t="str">
        <f>_xlfn.IFNA(VLOOKUP(CONCATENATE(AP$4,$C268),'INSER DATA'!$A:$F,7,0),"")</f>
        <v/>
      </c>
      <c r="AQ268" s="270" t="str">
        <f>_xlfn.IFNA(VLOOKUP(CONCATENATE(AQ$4,$C268),'INSER DATA'!$A:$F,7,0),"")</f>
        <v/>
      </c>
      <c r="AR268" s="270" t="str">
        <f>_xlfn.IFNA(VLOOKUP(CONCATENATE(AR$4,$C268),'INSER DATA'!$A:$F,7,0),"")</f>
        <v/>
      </c>
      <c r="AS268" s="270" t="str">
        <f>_xlfn.IFNA(VLOOKUP(CONCATENATE(AS$4,$C268),'INSER DATA'!$A:$F,7,0),"")</f>
        <v/>
      </c>
      <c r="AT268" s="270" t="str">
        <f>_xlfn.IFNA(VLOOKUP(CONCATENATE(AT$4,$C268),'INSER DATA'!$A:$F,7,0),"")</f>
        <v/>
      </c>
      <c r="AU268" s="270" t="str">
        <f>_xlfn.IFNA(VLOOKUP(CONCATENATE(AU$4,$C268),'INSER DATA'!$A:$F,7,0),"")</f>
        <v/>
      </c>
      <c r="AV268" s="270" t="str">
        <f>_xlfn.IFNA(VLOOKUP(CONCATENATE(AV$4,$C268),'INSER DATA'!$A:$F,7,0),"")</f>
        <v/>
      </c>
      <c r="AW268" s="270" t="str">
        <f>_xlfn.IFNA(VLOOKUP(CONCATENATE(AW$4,$C268),'INSER DATA'!$A:$F,7,0),"")</f>
        <v/>
      </c>
      <c r="AX268" s="270" t="str">
        <f>_xlfn.IFNA(VLOOKUP(CONCATENATE(AX$4,$C268),'INSER DATA'!$A:$F,7,0),"")</f>
        <v/>
      </c>
      <c r="AY268" s="270" t="str">
        <f>_xlfn.IFNA(VLOOKUP(CONCATENATE(AY$4,$C268),'INSER DATA'!$A:$F,7,0),"")</f>
        <v/>
      </c>
      <c r="AZ268" s="270" t="str">
        <f>_xlfn.IFNA(VLOOKUP(CONCATENATE(AZ$4,$C268),'INSER DATA'!$A:$F,7,0),"")</f>
        <v/>
      </c>
      <c r="BA268" s="270" t="str">
        <f>_xlfn.IFNA(VLOOKUP(CONCATENATE(BA$4,$C268),'INSER DATA'!$A:$F,7,0),"")</f>
        <v/>
      </c>
      <c r="BB268" s="270" t="str">
        <f>_xlfn.IFNA(VLOOKUP(CONCATENATE(BB$4,$C268),'INSER DATA'!$A:$F,7,0),"")</f>
        <v/>
      </c>
      <c r="BC268" s="270" t="str">
        <f>_xlfn.IFNA(VLOOKUP(CONCATENATE(BC$4,$C268),'INSER DATA'!$A:$F,7,0),"")</f>
        <v/>
      </c>
      <c r="BD268" s="270" t="str">
        <f>_xlfn.IFNA(VLOOKUP(CONCATENATE(BD$4,$C268),'INSER DATA'!$A:$F,7,0),"")</f>
        <v/>
      </c>
      <c r="BE268" s="270" t="str">
        <f>_xlfn.IFNA(VLOOKUP(CONCATENATE(BE$4,$C268),'INSER DATA'!$A:$F,7,0),"")</f>
        <v/>
      </c>
      <c r="BF268" s="270" t="str">
        <f>_xlfn.IFNA(VLOOKUP(CONCATENATE(BF$4,$C268),'INSER DATA'!$A:$F,7,0),"")</f>
        <v/>
      </c>
      <c r="BG268" s="270" t="str">
        <f>_xlfn.IFNA(VLOOKUP(CONCATENATE(BG$4,$C268),'INSER DATA'!$A:$F,7,0),"")</f>
        <v/>
      </c>
      <c r="BH268" s="270" t="str">
        <f>_xlfn.IFNA(VLOOKUP(CONCATENATE(BH$4,$C268),'INSER DATA'!$A:$F,7,0),"")</f>
        <v/>
      </c>
      <c r="BI268" s="270" t="str">
        <f>_xlfn.IFNA(VLOOKUP(CONCATENATE(BI$4,$C268),'INSER DATA'!$A:$F,7,0),"")</f>
        <v/>
      </c>
      <c r="BJ268" s="270" t="str">
        <f>_xlfn.IFNA(VLOOKUP(CONCATENATE(BJ$4,$C268),'INSER DATA'!$A:$F,7,0),"")</f>
        <v/>
      </c>
      <c r="BK268" s="270" t="str">
        <f>_xlfn.IFNA(VLOOKUP(CONCATENATE(BK$4,$C268),'INSER DATA'!$A:$F,7,0),"")</f>
        <v/>
      </c>
      <c r="BL268" s="272"/>
    </row>
    <row r="269" spans="1:105" ht="19.2" thickTop="1" thickBot="1" x14ac:dyDescent="0.4">
      <c r="A269" s="30"/>
      <c r="B269" s="30"/>
      <c r="C269" s="354" t="s">
        <v>212</v>
      </c>
      <c r="D269" s="357" t="s">
        <v>810</v>
      </c>
      <c r="E269" s="35" t="str">
        <f>_xlfn.XLOOKUP(Tabella4[[#This Row],[NOME]],'ROSE SQUADRE'!$N$3:$N$253,'ROSE SQUADRE'!$O$3:$O$253,"")</f>
        <v>ATL. IMPROVVISATO</v>
      </c>
      <c r="F269" s="36" t="s">
        <v>161</v>
      </c>
      <c r="G269" s="43">
        <v>6</v>
      </c>
      <c r="H269" s="43">
        <v>6</v>
      </c>
      <c r="I269" s="44">
        <f t="shared" si="25"/>
        <v>0</v>
      </c>
      <c r="J269" s="37">
        <f t="shared" si="26"/>
        <v>3</v>
      </c>
      <c r="K269" s="38">
        <f t="shared" si="27"/>
        <v>5.833333333333333</v>
      </c>
      <c r="L269" s="38">
        <f t="shared" si="28"/>
        <v>5.833333333333333</v>
      </c>
      <c r="M269" s="39">
        <f t="shared" si="29"/>
        <v>17.5</v>
      </c>
      <c r="N269" s="45">
        <f t="shared" ca="1" si="30"/>
        <v>0</v>
      </c>
      <c r="O269" s="40">
        <f>SUMIF(Tabella1[Nome],Tabella4[[#This Row],[NOME]],Tabella1[Gf])</f>
        <v>0</v>
      </c>
      <c r="P269" s="40">
        <f>-(SUMIF(Tabella1[Nome],Tabella4[[#This Row],[NOME]],Tabella1[Gs]))</f>
        <v>0</v>
      </c>
      <c r="Q269" s="40">
        <f>SUMIF(Tabella1[Nome],Tabella4[[#This Row],[NOME]],Tabella1[Rp])</f>
        <v>0</v>
      </c>
      <c r="R269" s="40">
        <f>SUMIF(Tabella1[Nome],Tabella4[[#This Row],[NOME]],Tabella1[Rs])</f>
        <v>0</v>
      </c>
      <c r="S269" s="40">
        <f>SUMIF(Tabella1[Nome],Tabella4[[#This Row],[NOME]],Tabella1[Rf])</f>
        <v>0</v>
      </c>
      <c r="T269" s="40">
        <f>SUMIF(Tabella1[Nome],Tabella4[[#This Row],[NOME]],Tabella1[Au])</f>
        <v>0</v>
      </c>
      <c r="U269" s="41">
        <f>SUMIF(Tabella1[Nome],Tabella4[[#This Row],[NOME]],Tabella1[Amm])</f>
        <v>0</v>
      </c>
      <c r="V269" s="42">
        <f>SUMIF(Tabella1[Nome],Tabella4[[#This Row],[NOME]],Tabella1[Esp])</f>
        <v>0</v>
      </c>
      <c r="W269" s="40">
        <f>SUMIF(Tabella1[Nome],Tabella4[[#This Row],[NOME]],Tabella1[Ass])</f>
        <v>0</v>
      </c>
      <c r="X269" s="40">
        <f>SUMIF(Tabella1[Nome],Tabella4[[#This Row],[NOME]],Tabella1[Gdv])</f>
        <v>0</v>
      </c>
      <c r="Y269" s="40">
        <f>SUMIF(Tabella1[Nome],Tabella4[[#This Row],[NOME]],Tabella1[cl sh])</f>
        <v>0</v>
      </c>
      <c r="Z269" s="270">
        <f>_xlfn.IFNA(_xlfn.XLOOKUP(CONCATENATE(Z$4,$C269),Tabella1[CONC X VOTI IN TAB GIOC],Tabella1[Voto],""),"")</f>
        <v>5.5</v>
      </c>
      <c r="AA269" s="270" t="str">
        <f>_xlfn.IFNA(_xlfn.XLOOKUP(CONCATENATE(AA$4,$C269),Tabella1[CONC X VOTI IN TAB GIOC],Tabella1[Voto],""),"")</f>
        <v/>
      </c>
      <c r="AB269" s="270">
        <f>_xlfn.IFNA(_xlfn.XLOOKUP(CONCATENATE(AB$4,$C269),Tabella1[CONC X VOTI IN TAB GIOC],Tabella1[Voto]),"")</f>
        <v>5.5</v>
      </c>
      <c r="AC269" s="270" cm="1">
        <f t="array" ref="AC269">_xlfn.IFNA(_xlfn.XLOOKUP(CONCATENATE(AC$4,$C269),INDEX(Tabella1[],0,MATCH("CONC X VOTI IN TAB GIOC",Tabella1[#Headers],0)),INDEX(Tabella1[],0,MATCH("Voto",Tabella1[#Headers],0))),"")</f>
        <v>6.5</v>
      </c>
      <c r="AD269" s="270" t="str">
        <f>_xlfn.IFNA(_xlfn.XLOOKUP(CONCATENATE(AD$4,$C269),Tabella1[CONC X VOTI IN TAB GIOC],Tabella1[Voto]),"")</f>
        <v/>
      </c>
      <c r="AE269" s="270" t="str">
        <f>_xlfn.IFNA(VLOOKUP(CONCATENATE(AE$4,$C269),'INSER DATA'!$A:$F,6,0),"")</f>
        <v/>
      </c>
      <c r="AF269" s="270" t="str">
        <f>_xlfn.IFNA(VLOOKUP(CONCATENATE(AF$4,$C269),'INSER DATA'!$A:$F,6,0),"")</f>
        <v/>
      </c>
      <c r="AG269" s="270" t="str">
        <f>_xlfn.IFNA(VLOOKUP(CONCATENATE(AG$4,$C269),'INSER DATA'!$A:$F,6,0),"")</f>
        <v/>
      </c>
      <c r="AH269" s="270" t="str">
        <f>_xlfn.IFNA(VLOOKUP(CONCATENATE(AH$4,$C269),'INSER DATA'!$A:$F,7,0),"")</f>
        <v/>
      </c>
      <c r="AI269" s="270" t="str">
        <f>_xlfn.IFNA(VLOOKUP(CONCATENATE(AI$4,$C269),'INSER DATA'!$A:$F,7,0),"")</f>
        <v/>
      </c>
      <c r="AJ269" s="270" t="str">
        <f>_xlfn.IFNA(VLOOKUP(CONCATENATE(AJ$4,$C269),'INSER DATA'!$A:$F,7,0),"")</f>
        <v/>
      </c>
      <c r="AK269" s="270" t="str">
        <f>_xlfn.IFNA(VLOOKUP(CONCATENATE(AK$4,$C269),'INSER DATA'!$A:$F,7,0),"")</f>
        <v/>
      </c>
      <c r="AL269" s="270" t="str">
        <f>_xlfn.IFNA(VLOOKUP(CONCATENATE(AL$4,$C269),'INSER DATA'!$A:$F,7,0),"")</f>
        <v/>
      </c>
      <c r="AM269" s="270" t="str">
        <f>_xlfn.IFNA(VLOOKUP(CONCATENATE(AM$4,$C269),'INSER DATA'!$A:$F,7,0),"")</f>
        <v/>
      </c>
      <c r="AN269" s="270" t="str">
        <f>_xlfn.IFNA(VLOOKUP(CONCATENATE(AN$4,$C269),'INSER DATA'!$A:$F,7,0),"")</f>
        <v/>
      </c>
      <c r="AO269" s="270" t="str">
        <f>_xlfn.IFNA(VLOOKUP(CONCATENATE(AO$4,$C269),'INSER DATA'!$A:$F,7,0),"")</f>
        <v/>
      </c>
      <c r="AP269" s="270" t="str">
        <f>_xlfn.IFNA(VLOOKUP(CONCATENATE(AP$4,$C269),'INSER DATA'!$A:$F,7,0),"")</f>
        <v/>
      </c>
      <c r="AQ269" s="270" t="str">
        <f>_xlfn.IFNA(VLOOKUP(CONCATENATE(AQ$4,$C269),'INSER DATA'!$A:$F,7,0),"")</f>
        <v/>
      </c>
      <c r="AR269" s="270" t="str">
        <f>_xlfn.IFNA(VLOOKUP(CONCATENATE(AR$4,$C269),'INSER DATA'!$A:$F,7,0),"")</f>
        <v/>
      </c>
      <c r="AS269" s="270" t="str">
        <f>_xlfn.IFNA(VLOOKUP(CONCATENATE(AS$4,$C269),'INSER DATA'!$A:$F,7,0),"")</f>
        <v/>
      </c>
      <c r="AT269" s="270" t="str">
        <f>_xlfn.IFNA(VLOOKUP(CONCATENATE(AT$4,$C269),'INSER DATA'!$A:$F,7,0),"")</f>
        <v/>
      </c>
      <c r="AU269" s="270" t="str">
        <f>_xlfn.IFNA(VLOOKUP(CONCATENATE(AU$4,$C269),'INSER DATA'!$A:$F,7,0),"")</f>
        <v/>
      </c>
      <c r="AV269" s="270" t="str">
        <f>_xlfn.IFNA(VLOOKUP(CONCATENATE(AV$4,$C269),'INSER DATA'!$A:$F,7,0),"")</f>
        <v/>
      </c>
      <c r="AW269" s="270" t="str">
        <f>_xlfn.IFNA(VLOOKUP(CONCATENATE(AW$4,$C269),'INSER DATA'!$A:$F,7,0),"")</f>
        <v/>
      </c>
      <c r="AX269" s="270" t="str">
        <f>_xlfn.IFNA(VLOOKUP(CONCATENATE(AX$4,$C269),'INSER DATA'!$A:$F,7,0),"")</f>
        <v/>
      </c>
      <c r="AY269" s="270" t="str">
        <f>_xlfn.IFNA(VLOOKUP(CONCATENATE(AY$4,$C269),'INSER DATA'!$A:$F,7,0),"")</f>
        <v/>
      </c>
      <c r="AZ269" s="270" t="str">
        <f>_xlfn.IFNA(VLOOKUP(CONCATENATE(AZ$4,$C269),'INSER DATA'!$A:$F,7,0),"")</f>
        <v/>
      </c>
      <c r="BA269" s="270" t="str">
        <f>_xlfn.IFNA(VLOOKUP(CONCATENATE(BA$4,$C269),'INSER DATA'!$A:$F,7,0),"")</f>
        <v/>
      </c>
      <c r="BB269" s="270" t="str">
        <f>_xlfn.IFNA(VLOOKUP(CONCATENATE(BB$4,$C269),'INSER DATA'!$A:$F,7,0),"")</f>
        <v/>
      </c>
      <c r="BC269" s="270" t="str">
        <f>_xlfn.IFNA(VLOOKUP(CONCATENATE(BC$4,$C269),'INSER DATA'!$A:$F,7,0),"")</f>
        <v/>
      </c>
      <c r="BD269" s="270" t="str">
        <f>_xlfn.IFNA(VLOOKUP(CONCATENATE(BD$4,$C269),'INSER DATA'!$A:$F,7,0),"")</f>
        <v/>
      </c>
      <c r="BE269" s="270" t="str">
        <f>_xlfn.IFNA(VLOOKUP(CONCATENATE(BE$4,$C269),'INSER DATA'!$A:$F,7,0),"")</f>
        <v/>
      </c>
      <c r="BF269" s="270" t="str">
        <f>_xlfn.IFNA(VLOOKUP(CONCATENATE(BF$4,$C269),'INSER DATA'!$A:$F,7,0),"")</f>
        <v/>
      </c>
      <c r="BG269" s="270" t="str">
        <f>_xlfn.IFNA(VLOOKUP(CONCATENATE(BG$4,$C269),'INSER DATA'!$A:$F,7,0),"")</f>
        <v/>
      </c>
      <c r="BH269" s="270" t="str">
        <f>_xlfn.IFNA(VLOOKUP(CONCATENATE(BH$4,$C269),'INSER DATA'!$A:$F,7,0),"")</f>
        <v/>
      </c>
      <c r="BI269" s="270" t="str">
        <f>_xlfn.IFNA(VLOOKUP(CONCATENATE(BI$4,$C269),'INSER DATA'!$A:$F,7,0),"")</f>
        <v/>
      </c>
      <c r="BJ269" s="270" t="str">
        <f>_xlfn.IFNA(VLOOKUP(CONCATENATE(BJ$4,$C269),'INSER DATA'!$A:$F,7,0),"")</f>
        <v/>
      </c>
      <c r="BK269" s="270" t="str">
        <f>_xlfn.IFNA(VLOOKUP(CONCATENATE(BK$4,$C269),'INSER DATA'!$A:$F,7,0),"")</f>
        <v/>
      </c>
      <c r="BL269" s="272"/>
      <c r="BM269" s="30"/>
      <c r="BN269" s="30"/>
      <c r="BO269" s="30"/>
      <c r="BP269" s="30"/>
      <c r="BQ269" s="30"/>
      <c r="BR269" s="30"/>
      <c r="BS269" s="30"/>
      <c r="BT269" s="30"/>
      <c r="BU269" s="30"/>
      <c r="BV269" s="30"/>
      <c r="BW269" s="30"/>
      <c r="BX269" s="30"/>
      <c r="BY269" s="30"/>
      <c r="BZ269" s="30"/>
      <c r="CA269" s="30"/>
      <c r="CB269" s="30"/>
      <c r="CC269" s="30"/>
      <c r="CD269" s="30"/>
      <c r="CE269" s="30"/>
      <c r="CF269" s="30"/>
      <c r="CG269" s="30"/>
      <c r="CH269" s="30"/>
      <c r="CI269" s="30"/>
      <c r="CJ269" s="30"/>
      <c r="CK269" s="30"/>
      <c r="CL269" s="30"/>
      <c r="CM269" s="30"/>
      <c r="CN269" s="30"/>
      <c r="CO269" s="30"/>
      <c r="CP269" s="30"/>
      <c r="CQ269" s="30"/>
      <c r="CR269" s="30"/>
      <c r="CS269" s="30"/>
      <c r="CT269" s="30"/>
      <c r="CU269" s="30"/>
      <c r="CV269" s="30"/>
      <c r="CW269" s="30"/>
      <c r="CX269" s="30"/>
      <c r="CY269" s="30"/>
      <c r="CZ269" s="30"/>
      <c r="DA269" s="30"/>
    </row>
    <row r="270" spans="1:105" ht="19.2" thickTop="1" thickBot="1" x14ac:dyDescent="0.4">
      <c r="A270" s="30"/>
      <c r="B270" s="30"/>
      <c r="C270" s="356" t="s">
        <v>540</v>
      </c>
      <c r="D270" s="357" t="s">
        <v>810</v>
      </c>
      <c r="E270" s="35" t="str">
        <f>_xlfn.XLOOKUP(Tabella4[[#This Row],[NOME]],'ROSE SQUADRE'!$N$3:$N$253,'ROSE SQUADRE'!$O$3:$O$253,"")</f>
        <v>AS PIPPERIA</v>
      </c>
      <c r="F270" s="36" t="s">
        <v>161</v>
      </c>
      <c r="G270" s="43">
        <v>5</v>
      </c>
      <c r="H270" s="43">
        <v>6</v>
      </c>
      <c r="I270" s="44">
        <f t="shared" si="25"/>
        <v>1</v>
      </c>
      <c r="J270" s="37">
        <f t="shared" si="26"/>
        <v>3</v>
      </c>
      <c r="K270" s="38">
        <f t="shared" si="27"/>
        <v>5.333333333333333</v>
      </c>
      <c r="L270" s="38">
        <f t="shared" si="28"/>
        <v>5</v>
      </c>
      <c r="M270" s="39">
        <f t="shared" si="29"/>
        <v>15</v>
      </c>
      <c r="N270" s="45">
        <f t="shared" ca="1" si="30"/>
        <v>0</v>
      </c>
      <c r="O270" s="40">
        <f>SUMIF(Tabella1[Nome],Tabella4[[#This Row],[NOME]],Tabella1[Gf])</f>
        <v>0</v>
      </c>
      <c r="P270" s="40">
        <f>-(SUMIF(Tabella1[Nome],Tabella4[[#This Row],[NOME]],Tabella1[Gs]))</f>
        <v>0</v>
      </c>
      <c r="Q270" s="40">
        <f>SUMIF(Tabella1[Nome],Tabella4[[#This Row],[NOME]],Tabella1[Rp])</f>
        <v>0</v>
      </c>
      <c r="R270" s="40">
        <f>SUMIF(Tabella1[Nome],Tabella4[[#This Row],[NOME]],Tabella1[Rs])</f>
        <v>0</v>
      </c>
      <c r="S270" s="40">
        <f>SUMIF(Tabella1[Nome],Tabella4[[#This Row],[NOME]],Tabella1[Rf])</f>
        <v>0</v>
      </c>
      <c r="T270" s="40">
        <f>SUMIF(Tabella1[Nome],Tabella4[[#This Row],[NOME]],Tabella1[Au])</f>
        <v>0</v>
      </c>
      <c r="U270" s="41">
        <f>SUMIF(Tabella1[Nome],Tabella4[[#This Row],[NOME]],Tabella1[Amm])</f>
        <v>2</v>
      </c>
      <c r="V270" s="42">
        <f>SUMIF(Tabella1[Nome],Tabella4[[#This Row],[NOME]],Tabella1[Esp])</f>
        <v>0</v>
      </c>
      <c r="W270" s="40">
        <f>SUMIF(Tabella1[Nome],Tabella4[[#This Row],[NOME]],Tabella1[Ass])</f>
        <v>0</v>
      </c>
      <c r="X270" s="40">
        <f>SUMIF(Tabella1[Nome],Tabella4[[#This Row],[NOME]],Tabella1[Gdv])</f>
        <v>0</v>
      </c>
      <c r="Y270" s="40">
        <f>SUMIF(Tabella1[Nome],Tabella4[[#This Row],[NOME]],Tabella1[cl sh])</f>
        <v>0</v>
      </c>
      <c r="Z270" s="270">
        <f>_xlfn.IFNA(_xlfn.XLOOKUP(CONCATENATE(Z$4,$C270),Tabella1[CONC X VOTI IN TAB GIOC],Tabella1[Voto],""),"")</f>
        <v>7</v>
      </c>
      <c r="AA270" s="270">
        <f>_xlfn.IFNA(_xlfn.XLOOKUP(CONCATENATE(AA$4,$C270),Tabella1[CONC X VOTI IN TAB GIOC],Tabella1[Voto],""),"")</f>
        <v>4</v>
      </c>
      <c r="AB270" s="270">
        <f>_xlfn.IFNA(_xlfn.XLOOKUP(CONCATENATE(AB$4,$C270),Tabella1[CONC X VOTI IN TAB GIOC],Tabella1[Voto]),"")</f>
        <v>5</v>
      </c>
      <c r="AC270" s="270" t="str" cm="1">
        <f t="array" ref="AC270">_xlfn.IFNA(_xlfn.XLOOKUP(CONCATENATE(AC$4,$C270),INDEX(Tabella1[],0,MATCH("CONC X VOTI IN TAB GIOC",Tabella1[#Headers],0)),INDEX(Tabella1[],0,MATCH("Voto",Tabella1[#Headers],0))),"")</f>
        <v/>
      </c>
      <c r="AD270" s="270" t="str">
        <f>_xlfn.IFNA(_xlfn.XLOOKUP(CONCATENATE(AD$4,$C270),Tabella1[CONC X VOTI IN TAB GIOC],Tabella1[Voto]),"")</f>
        <v/>
      </c>
      <c r="AE270" s="270" t="str">
        <f>_xlfn.IFNA(VLOOKUP(CONCATENATE(AE$4,$C270),'INSER DATA'!$A:$F,6,0),"")</f>
        <v/>
      </c>
      <c r="AF270" s="270" t="str">
        <f>_xlfn.IFNA(VLOOKUP(CONCATENATE(AF$4,$C270),'INSER DATA'!$A:$F,6,0),"")</f>
        <v/>
      </c>
      <c r="AG270" s="270" t="str">
        <f>_xlfn.IFNA(VLOOKUP(CONCATENATE(AG$4,$C270),'INSER DATA'!$A:$F,6,0),"")</f>
        <v/>
      </c>
      <c r="AH270" s="270" t="str">
        <f>_xlfn.IFNA(VLOOKUP(CONCATENATE(AH$4,$C270),'INSER DATA'!$A:$F,7,0),"")</f>
        <v/>
      </c>
      <c r="AI270" s="270" t="str">
        <f>_xlfn.IFNA(VLOOKUP(CONCATENATE(AI$4,$C270),'INSER DATA'!$A:$F,7,0),"")</f>
        <v/>
      </c>
      <c r="AJ270" s="270" t="str">
        <f>_xlfn.IFNA(VLOOKUP(CONCATENATE(AJ$4,$C270),'INSER DATA'!$A:$F,7,0),"")</f>
        <v/>
      </c>
      <c r="AK270" s="270" t="str">
        <f>_xlfn.IFNA(VLOOKUP(CONCATENATE(AK$4,$C270),'INSER DATA'!$A:$F,7,0),"")</f>
        <v/>
      </c>
      <c r="AL270" s="270" t="str">
        <f>_xlfn.IFNA(VLOOKUP(CONCATENATE(AL$4,$C270),'INSER DATA'!$A:$F,7,0),"")</f>
        <v/>
      </c>
      <c r="AM270" s="270" t="str">
        <f>_xlfn.IFNA(VLOOKUP(CONCATENATE(AM$4,$C270),'INSER DATA'!$A:$F,7,0),"")</f>
        <v/>
      </c>
      <c r="AN270" s="270" t="str">
        <f>_xlfn.IFNA(VLOOKUP(CONCATENATE(AN$4,$C270),'INSER DATA'!$A:$F,7,0),"")</f>
        <v/>
      </c>
      <c r="AO270" s="270" t="str">
        <f>_xlfn.IFNA(VLOOKUP(CONCATENATE(AO$4,$C270),'INSER DATA'!$A:$F,7,0),"")</f>
        <v/>
      </c>
      <c r="AP270" s="270" t="str">
        <f>_xlfn.IFNA(VLOOKUP(CONCATENATE(AP$4,$C270),'INSER DATA'!$A:$F,7,0),"")</f>
        <v/>
      </c>
      <c r="AQ270" s="270" t="str">
        <f>_xlfn.IFNA(VLOOKUP(CONCATENATE(AQ$4,$C270),'INSER DATA'!$A:$F,7,0),"")</f>
        <v/>
      </c>
      <c r="AR270" s="270" t="str">
        <f>_xlfn.IFNA(VLOOKUP(CONCATENATE(AR$4,$C270),'INSER DATA'!$A:$F,7,0),"")</f>
        <v/>
      </c>
      <c r="AS270" s="270" t="str">
        <f>_xlfn.IFNA(VLOOKUP(CONCATENATE(AS$4,$C270),'INSER DATA'!$A:$F,7,0),"")</f>
        <v/>
      </c>
      <c r="AT270" s="270" t="str">
        <f>_xlfn.IFNA(VLOOKUP(CONCATENATE(AT$4,$C270),'INSER DATA'!$A:$F,7,0),"")</f>
        <v/>
      </c>
      <c r="AU270" s="270" t="str">
        <f>_xlfn.IFNA(VLOOKUP(CONCATENATE(AU$4,$C270),'INSER DATA'!$A:$F,7,0),"")</f>
        <v/>
      </c>
      <c r="AV270" s="270" t="str">
        <f>_xlfn.IFNA(VLOOKUP(CONCATENATE(AV$4,$C270),'INSER DATA'!$A:$F,7,0),"")</f>
        <v/>
      </c>
      <c r="AW270" s="270" t="str">
        <f>_xlfn.IFNA(VLOOKUP(CONCATENATE(AW$4,$C270),'INSER DATA'!$A:$F,7,0),"")</f>
        <v/>
      </c>
      <c r="AX270" s="270" t="str">
        <f>_xlfn.IFNA(VLOOKUP(CONCATENATE(AX$4,$C270),'INSER DATA'!$A:$F,7,0),"")</f>
        <v/>
      </c>
      <c r="AY270" s="270" t="str">
        <f>_xlfn.IFNA(VLOOKUP(CONCATENATE(AY$4,$C270),'INSER DATA'!$A:$F,7,0),"")</f>
        <v/>
      </c>
      <c r="AZ270" s="270" t="str">
        <f>_xlfn.IFNA(VLOOKUP(CONCATENATE(AZ$4,$C270),'INSER DATA'!$A:$F,7,0),"")</f>
        <v/>
      </c>
      <c r="BA270" s="270" t="str">
        <f>_xlfn.IFNA(VLOOKUP(CONCATENATE(BA$4,$C270),'INSER DATA'!$A:$F,7,0),"")</f>
        <v/>
      </c>
      <c r="BB270" s="270" t="str">
        <f>_xlfn.IFNA(VLOOKUP(CONCATENATE(BB$4,$C270),'INSER DATA'!$A:$F,7,0),"")</f>
        <v/>
      </c>
      <c r="BC270" s="270" t="str">
        <f>_xlfn.IFNA(VLOOKUP(CONCATENATE(BC$4,$C270),'INSER DATA'!$A:$F,7,0),"")</f>
        <v/>
      </c>
      <c r="BD270" s="270" t="str">
        <f>_xlfn.IFNA(VLOOKUP(CONCATENATE(BD$4,$C270),'INSER DATA'!$A:$F,7,0),"")</f>
        <v/>
      </c>
      <c r="BE270" s="270" t="str">
        <f>_xlfn.IFNA(VLOOKUP(CONCATENATE(BE$4,$C270),'INSER DATA'!$A:$F,7,0),"")</f>
        <v/>
      </c>
      <c r="BF270" s="270" t="str">
        <f>_xlfn.IFNA(VLOOKUP(CONCATENATE(BF$4,$C270),'INSER DATA'!$A:$F,7,0),"")</f>
        <v/>
      </c>
      <c r="BG270" s="270" t="str">
        <f>_xlfn.IFNA(VLOOKUP(CONCATENATE(BG$4,$C270),'INSER DATA'!$A:$F,7,0),"")</f>
        <v/>
      </c>
      <c r="BH270" s="270" t="str">
        <f>_xlfn.IFNA(VLOOKUP(CONCATENATE(BH$4,$C270),'INSER DATA'!$A:$F,7,0),"")</f>
        <v/>
      </c>
      <c r="BI270" s="270" t="str">
        <f>_xlfn.IFNA(VLOOKUP(CONCATENATE(BI$4,$C270),'INSER DATA'!$A:$F,7,0),"")</f>
        <v/>
      </c>
      <c r="BJ270" s="270" t="str">
        <f>_xlfn.IFNA(VLOOKUP(CONCATENATE(BJ$4,$C270),'INSER DATA'!$A:$F,7,0),"")</f>
        <v/>
      </c>
      <c r="BK270" s="270" t="str">
        <f>_xlfn.IFNA(VLOOKUP(CONCATENATE(BK$4,$C270),'INSER DATA'!$A:$F,7,0),"")</f>
        <v/>
      </c>
      <c r="BL270" s="272"/>
      <c r="BM270" s="30"/>
      <c r="BN270" s="30"/>
      <c r="BO270" s="30"/>
      <c r="BP270" s="30"/>
      <c r="BQ270" s="30"/>
      <c r="BR270" s="30"/>
      <c r="BS270" s="30"/>
      <c r="BT270" s="30"/>
      <c r="BU270" s="30"/>
      <c r="BV270" s="30"/>
      <c r="BW270" s="30"/>
      <c r="BX270" s="30"/>
      <c r="BY270" s="30"/>
      <c r="BZ270" s="30"/>
      <c r="CA270" s="30"/>
      <c r="CB270" s="30"/>
      <c r="CC270" s="30"/>
      <c r="CD270" s="30"/>
      <c r="CE270" s="30"/>
      <c r="CF270" s="30"/>
      <c r="CG270" s="30"/>
      <c r="CH270" s="30"/>
      <c r="CI270" s="30"/>
      <c r="CJ270" s="30"/>
      <c r="CK270" s="30"/>
      <c r="CL270" s="30"/>
      <c r="CM270" s="30"/>
      <c r="CN270" s="30"/>
      <c r="CO270" s="30"/>
      <c r="CP270" s="30"/>
      <c r="CQ270" s="30"/>
      <c r="CR270" s="30"/>
      <c r="CS270" s="30"/>
      <c r="CT270" s="30"/>
      <c r="CU270" s="30"/>
      <c r="CV270" s="30"/>
      <c r="CW270" s="30"/>
      <c r="CX270" s="30"/>
      <c r="CY270" s="30"/>
      <c r="CZ270" s="30"/>
      <c r="DA270" s="30"/>
    </row>
    <row r="271" spans="1:105" ht="19.2" thickTop="1" thickBot="1" x14ac:dyDescent="0.4">
      <c r="A271" s="30"/>
      <c r="B271" s="30"/>
      <c r="C271" s="185" t="s">
        <v>813</v>
      </c>
      <c r="D271" s="46" t="s">
        <v>810</v>
      </c>
      <c r="E271" s="35" t="str">
        <f>_xlfn.XLOOKUP(Tabella4[[#This Row],[NOME]],'ROSE SQUADRE'!$N$3:$N$253,'ROSE SQUADRE'!$O$3:$O$253,"")</f>
        <v/>
      </c>
      <c r="F271" s="36" t="s">
        <v>161</v>
      </c>
      <c r="G271" s="43">
        <v>1</v>
      </c>
      <c r="H271" s="43">
        <v>2</v>
      </c>
      <c r="I271" s="44">
        <f t="shared" si="25"/>
        <v>1</v>
      </c>
      <c r="J271" s="37">
        <f t="shared" si="26"/>
        <v>2</v>
      </c>
      <c r="K271" s="38">
        <f t="shared" si="27"/>
        <v>5.5</v>
      </c>
      <c r="L271" s="38">
        <f t="shared" si="28"/>
        <v>5.5</v>
      </c>
      <c r="M271" s="39">
        <f t="shared" si="29"/>
        <v>11</v>
      </c>
      <c r="N271" s="45">
        <f t="shared" ca="1" si="30"/>
        <v>0</v>
      </c>
      <c r="O271" s="40">
        <f>SUMIF(Tabella1[Nome],Tabella4[[#This Row],[NOME]],Tabella1[Gf])</f>
        <v>0</v>
      </c>
      <c r="P271" s="40">
        <f>-(SUMIF(Tabella1[Nome],Tabella4[[#This Row],[NOME]],Tabella1[Gs]))</f>
        <v>0</v>
      </c>
      <c r="Q271" s="40">
        <f>SUMIF(Tabella1[Nome],Tabella4[[#This Row],[NOME]],Tabella1[Rp])</f>
        <v>0</v>
      </c>
      <c r="R271" s="40">
        <f>SUMIF(Tabella1[Nome],Tabella4[[#This Row],[NOME]],Tabella1[Rs])</f>
        <v>0</v>
      </c>
      <c r="S271" s="40">
        <f>SUMIF(Tabella1[Nome],Tabella4[[#This Row],[NOME]],Tabella1[Rf])</f>
        <v>0</v>
      </c>
      <c r="T271" s="40">
        <f>SUMIF(Tabella1[Nome],Tabella4[[#This Row],[NOME]],Tabella1[Au])</f>
        <v>0</v>
      </c>
      <c r="U271" s="41">
        <f>SUMIF(Tabella1[Nome],Tabella4[[#This Row],[NOME]],Tabella1[Amm])</f>
        <v>0</v>
      </c>
      <c r="V271" s="42">
        <f>SUMIF(Tabella1[Nome],Tabella4[[#This Row],[NOME]],Tabella1[Esp])</f>
        <v>0</v>
      </c>
      <c r="W271" s="40">
        <f>SUMIF(Tabella1[Nome],Tabella4[[#This Row],[NOME]],Tabella1[Ass])</f>
        <v>0</v>
      </c>
      <c r="X271" s="40">
        <f>SUMIF(Tabella1[Nome],Tabella4[[#This Row],[NOME]],Tabella1[Gdv])</f>
        <v>0</v>
      </c>
      <c r="Y271" s="40">
        <f>SUMIF(Tabella1[Nome],Tabella4[[#This Row],[NOME]],Tabella1[cl sh])</f>
        <v>0</v>
      </c>
      <c r="Z271" s="270">
        <f>_xlfn.IFNA(_xlfn.XLOOKUP(CONCATENATE(Z$4,$C271),Tabella1[CONC X VOTI IN TAB GIOC],Tabella1[Voto],""),"")</f>
        <v>6</v>
      </c>
      <c r="AA271" s="270">
        <f>_xlfn.IFNA(_xlfn.XLOOKUP(CONCATENATE(AA$4,$C271),Tabella1[CONC X VOTI IN TAB GIOC],Tabella1[Voto],""),"")</f>
        <v>5</v>
      </c>
      <c r="AB271" s="270" t="str">
        <f>_xlfn.IFNA(_xlfn.XLOOKUP(CONCATENATE(AB$4,$C271),Tabella1[CONC X VOTI IN TAB GIOC],Tabella1[Voto]),"")</f>
        <v/>
      </c>
      <c r="AC271" s="270" t="str" cm="1">
        <f t="array" ref="AC271">_xlfn.IFNA(_xlfn.XLOOKUP(CONCATENATE(AC$4,$C271),INDEX(Tabella1[],0,MATCH("CONC X VOTI IN TAB GIOC",Tabella1[#Headers],0)),INDEX(Tabella1[],0,MATCH("Voto",Tabella1[#Headers],0))),"")</f>
        <v/>
      </c>
      <c r="AD271" s="270" t="str">
        <f>_xlfn.IFNA(_xlfn.XLOOKUP(CONCATENATE(AD$4,$C271),Tabella1[CONC X VOTI IN TAB GIOC],Tabella1[Voto]),"")</f>
        <v/>
      </c>
      <c r="AE271" s="270" t="str">
        <f>_xlfn.IFNA(VLOOKUP(CONCATENATE(AE$4,$C271),'INSER DATA'!$A:$F,6,0),"")</f>
        <v/>
      </c>
      <c r="AF271" s="270" t="str">
        <f>_xlfn.IFNA(VLOOKUP(CONCATENATE(AF$4,$C271),'INSER DATA'!$A:$F,6,0),"")</f>
        <v/>
      </c>
      <c r="AG271" s="270" t="str">
        <f>_xlfn.IFNA(VLOOKUP(CONCATENATE(AG$4,$C271),'INSER DATA'!$A:$F,6,0),"")</f>
        <v/>
      </c>
      <c r="AH271" s="270" t="str">
        <f>_xlfn.IFNA(VLOOKUP(CONCATENATE(AH$4,$C271),'INSER DATA'!$A:$F,7,0),"")</f>
        <v/>
      </c>
      <c r="AI271" s="270" t="str">
        <f>_xlfn.IFNA(VLOOKUP(CONCATENATE(AI$4,$C271),'INSER DATA'!$A:$F,7,0),"")</f>
        <v/>
      </c>
      <c r="AJ271" s="270" t="str">
        <f>_xlfn.IFNA(VLOOKUP(CONCATENATE(AJ$4,$C271),'INSER DATA'!$A:$F,7,0),"")</f>
        <v/>
      </c>
      <c r="AK271" s="270" t="str">
        <f>_xlfn.IFNA(VLOOKUP(CONCATENATE(AK$4,$C271),'INSER DATA'!$A:$F,7,0),"")</f>
        <v/>
      </c>
      <c r="AL271" s="270" t="str">
        <f>_xlfn.IFNA(VLOOKUP(CONCATENATE(AL$4,$C271),'INSER DATA'!$A:$F,7,0),"")</f>
        <v/>
      </c>
      <c r="AM271" s="270" t="str">
        <f>_xlfn.IFNA(VLOOKUP(CONCATENATE(AM$4,$C271),'INSER DATA'!$A:$F,7,0),"")</f>
        <v/>
      </c>
      <c r="AN271" s="270" t="str">
        <f>_xlfn.IFNA(VLOOKUP(CONCATENATE(AN$4,$C271),'INSER DATA'!$A:$F,7,0),"")</f>
        <v/>
      </c>
      <c r="AO271" s="270" t="str">
        <f>_xlfn.IFNA(VLOOKUP(CONCATENATE(AO$4,$C271),'INSER DATA'!$A:$F,7,0),"")</f>
        <v/>
      </c>
      <c r="AP271" s="270" t="str">
        <f>_xlfn.IFNA(VLOOKUP(CONCATENATE(AP$4,$C271),'INSER DATA'!$A:$F,7,0),"")</f>
        <v/>
      </c>
      <c r="AQ271" s="270" t="str">
        <f>_xlfn.IFNA(VLOOKUP(CONCATENATE(AQ$4,$C271),'INSER DATA'!$A:$F,7,0),"")</f>
        <v/>
      </c>
      <c r="AR271" s="270" t="str">
        <f>_xlfn.IFNA(VLOOKUP(CONCATENATE(AR$4,$C271),'INSER DATA'!$A:$F,7,0),"")</f>
        <v/>
      </c>
      <c r="AS271" s="270" t="str">
        <f>_xlfn.IFNA(VLOOKUP(CONCATENATE(AS$4,$C271),'INSER DATA'!$A:$F,7,0),"")</f>
        <v/>
      </c>
      <c r="AT271" s="270" t="str">
        <f>_xlfn.IFNA(VLOOKUP(CONCATENATE(AT$4,$C271),'INSER DATA'!$A:$F,7,0),"")</f>
        <v/>
      </c>
      <c r="AU271" s="270" t="str">
        <f>_xlfn.IFNA(VLOOKUP(CONCATENATE(AU$4,$C271),'INSER DATA'!$A:$F,7,0),"")</f>
        <v/>
      </c>
      <c r="AV271" s="270" t="str">
        <f>_xlfn.IFNA(VLOOKUP(CONCATENATE(AV$4,$C271),'INSER DATA'!$A:$F,7,0),"")</f>
        <v/>
      </c>
      <c r="AW271" s="270" t="str">
        <f>_xlfn.IFNA(VLOOKUP(CONCATENATE(AW$4,$C271),'INSER DATA'!$A:$F,7,0),"")</f>
        <v/>
      </c>
      <c r="AX271" s="270" t="str">
        <f>_xlfn.IFNA(VLOOKUP(CONCATENATE(AX$4,$C271),'INSER DATA'!$A:$F,7,0),"")</f>
        <v/>
      </c>
      <c r="AY271" s="270" t="str">
        <f>_xlfn.IFNA(VLOOKUP(CONCATENATE(AY$4,$C271),'INSER DATA'!$A:$F,7,0),"")</f>
        <v/>
      </c>
      <c r="AZ271" s="270" t="str">
        <f>_xlfn.IFNA(VLOOKUP(CONCATENATE(AZ$4,$C271),'INSER DATA'!$A:$F,7,0),"")</f>
        <v/>
      </c>
      <c r="BA271" s="270" t="str">
        <f>_xlfn.IFNA(VLOOKUP(CONCATENATE(BA$4,$C271),'INSER DATA'!$A:$F,7,0),"")</f>
        <v/>
      </c>
      <c r="BB271" s="270" t="str">
        <f>_xlfn.IFNA(VLOOKUP(CONCATENATE(BB$4,$C271),'INSER DATA'!$A:$F,7,0),"")</f>
        <v/>
      </c>
      <c r="BC271" s="270" t="str">
        <f>_xlfn.IFNA(VLOOKUP(CONCATENATE(BC$4,$C271),'INSER DATA'!$A:$F,7,0),"")</f>
        <v/>
      </c>
      <c r="BD271" s="270" t="str">
        <f>_xlfn.IFNA(VLOOKUP(CONCATENATE(BD$4,$C271),'INSER DATA'!$A:$F,7,0),"")</f>
        <v/>
      </c>
      <c r="BE271" s="270" t="str">
        <f>_xlfn.IFNA(VLOOKUP(CONCATENATE(BE$4,$C271),'INSER DATA'!$A:$F,7,0),"")</f>
        <v/>
      </c>
      <c r="BF271" s="270" t="str">
        <f>_xlfn.IFNA(VLOOKUP(CONCATENATE(BF$4,$C271),'INSER DATA'!$A:$F,7,0),"")</f>
        <v/>
      </c>
      <c r="BG271" s="270" t="str">
        <f>_xlfn.IFNA(VLOOKUP(CONCATENATE(BG$4,$C271),'INSER DATA'!$A:$F,7,0),"")</f>
        <v/>
      </c>
      <c r="BH271" s="270" t="str">
        <f>_xlfn.IFNA(VLOOKUP(CONCATENATE(BH$4,$C271),'INSER DATA'!$A:$F,7,0),"")</f>
        <v/>
      </c>
      <c r="BI271" s="270" t="str">
        <f>_xlfn.IFNA(VLOOKUP(CONCATENATE(BI$4,$C271),'INSER DATA'!$A:$F,7,0),"")</f>
        <v/>
      </c>
      <c r="BJ271" s="270" t="str">
        <f>_xlfn.IFNA(VLOOKUP(CONCATENATE(BJ$4,$C271),'INSER DATA'!$A:$F,7,0),"")</f>
        <v/>
      </c>
      <c r="BK271" s="270" t="str">
        <f>_xlfn.IFNA(VLOOKUP(CONCATENATE(BK$4,$C271),'INSER DATA'!$A:$F,7,0),"")</f>
        <v/>
      </c>
      <c r="BL271" s="272"/>
      <c r="BM271" s="30"/>
      <c r="BN271" s="30"/>
      <c r="BO271" s="30"/>
      <c r="BP271" s="30"/>
      <c r="BQ271" s="30"/>
      <c r="BR271" s="30"/>
      <c r="BS271" s="30"/>
      <c r="BT271" s="30"/>
      <c r="BU271" s="30"/>
      <c r="BV271" s="30"/>
      <c r="BW271" s="30"/>
      <c r="BX271" s="30"/>
      <c r="BY271" s="30"/>
      <c r="BZ271" s="30"/>
      <c r="CA271" s="30"/>
      <c r="CB271" s="30"/>
      <c r="CC271" s="30"/>
      <c r="CD271" s="30"/>
      <c r="CE271" s="30"/>
      <c r="CF271" s="30"/>
      <c r="CG271" s="30"/>
      <c r="CH271" s="30"/>
      <c r="CI271" s="30"/>
      <c r="CJ271" s="30"/>
      <c r="CK271" s="30"/>
      <c r="CL271" s="30"/>
      <c r="CM271" s="30"/>
      <c r="CN271" s="30"/>
      <c r="CO271" s="30"/>
      <c r="CP271" s="30"/>
      <c r="CQ271" s="30"/>
      <c r="CR271" s="30"/>
      <c r="CS271" s="30"/>
      <c r="CT271" s="30"/>
      <c r="CU271" s="30"/>
      <c r="CV271" s="30"/>
      <c r="CW271" s="30"/>
      <c r="CX271" s="30"/>
      <c r="CY271" s="30"/>
      <c r="CZ271" s="30"/>
      <c r="DA271" s="30"/>
    </row>
    <row r="272" spans="1:105" ht="19.2" thickTop="1" thickBot="1" x14ac:dyDescent="0.4">
      <c r="A272" s="30"/>
      <c r="B272" s="30"/>
      <c r="C272" s="185" t="s">
        <v>814</v>
      </c>
      <c r="D272" s="46" t="s">
        <v>810</v>
      </c>
      <c r="E272" s="35" t="str">
        <f>_xlfn.XLOOKUP(Tabella4[[#This Row],[NOME]],'ROSE SQUADRE'!$N$3:$N$253,'ROSE SQUADRE'!$O$3:$O$253,"")</f>
        <v/>
      </c>
      <c r="F272" s="36" t="s">
        <v>161</v>
      </c>
      <c r="G272" s="43">
        <v>4</v>
      </c>
      <c r="H272" s="43">
        <v>5</v>
      </c>
      <c r="I272" s="44">
        <f t="shared" si="25"/>
        <v>1</v>
      </c>
      <c r="J272" s="37">
        <f t="shared" si="26"/>
        <v>4</v>
      </c>
      <c r="K272" s="38">
        <f t="shared" si="27"/>
        <v>5.625</v>
      </c>
      <c r="L272" s="38">
        <f t="shared" si="28"/>
        <v>5.5</v>
      </c>
      <c r="M272" s="39">
        <f t="shared" si="29"/>
        <v>22</v>
      </c>
      <c r="N272" s="45">
        <f t="shared" ca="1" si="30"/>
        <v>0</v>
      </c>
      <c r="O272" s="40">
        <f>SUMIF(Tabella1[Nome],Tabella4[[#This Row],[NOME]],Tabella1[Gf])</f>
        <v>0</v>
      </c>
      <c r="P272" s="40">
        <f>-(SUMIF(Tabella1[Nome],Tabella4[[#This Row],[NOME]],Tabella1[Gs]))</f>
        <v>0</v>
      </c>
      <c r="Q272" s="40">
        <f>SUMIF(Tabella1[Nome],Tabella4[[#This Row],[NOME]],Tabella1[Rp])</f>
        <v>0</v>
      </c>
      <c r="R272" s="40">
        <f>SUMIF(Tabella1[Nome],Tabella4[[#This Row],[NOME]],Tabella1[Rs])</f>
        <v>0</v>
      </c>
      <c r="S272" s="40">
        <f>SUMIF(Tabella1[Nome],Tabella4[[#This Row],[NOME]],Tabella1[Rf])</f>
        <v>0</v>
      </c>
      <c r="T272" s="40">
        <f>SUMIF(Tabella1[Nome],Tabella4[[#This Row],[NOME]],Tabella1[Au])</f>
        <v>0</v>
      </c>
      <c r="U272" s="41">
        <f>SUMIF(Tabella1[Nome],Tabella4[[#This Row],[NOME]],Tabella1[Amm])</f>
        <v>1</v>
      </c>
      <c r="V272" s="42">
        <f>SUMIF(Tabella1[Nome],Tabella4[[#This Row],[NOME]],Tabella1[Esp])</f>
        <v>0</v>
      </c>
      <c r="W272" s="40">
        <f>SUMIF(Tabella1[Nome],Tabella4[[#This Row],[NOME]],Tabella1[Ass])</f>
        <v>0</v>
      </c>
      <c r="X272" s="40">
        <f>SUMIF(Tabella1[Nome],Tabella4[[#This Row],[NOME]],Tabella1[Gdv])</f>
        <v>0</v>
      </c>
      <c r="Y272" s="40">
        <f>SUMIF(Tabella1[Nome],Tabella4[[#This Row],[NOME]],Tabella1[cl sh])</f>
        <v>0</v>
      </c>
      <c r="Z272" s="270">
        <f>_xlfn.IFNA(_xlfn.XLOOKUP(CONCATENATE(Z$4,$C272),Tabella1[CONC X VOTI IN TAB GIOC],Tabella1[Voto],""),"")</f>
        <v>6.5</v>
      </c>
      <c r="AA272" s="270">
        <f>_xlfn.IFNA(_xlfn.XLOOKUP(CONCATENATE(AA$4,$C272),Tabella1[CONC X VOTI IN TAB GIOC],Tabella1[Voto],""),"")</f>
        <v>4.5</v>
      </c>
      <c r="AB272" s="270">
        <f>_xlfn.IFNA(_xlfn.XLOOKUP(CONCATENATE(AB$4,$C272),Tabella1[CONC X VOTI IN TAB GIOC],Tabella1[Voto]),"")</f>
        <v>5.5</v>
      </c>
      <c r="AC272" s="270" cm="1">
        <f t="array" ref="AC272">_xlfn.IFNA(_xlfn.XLOOKUP(CONCATENATE(AC$4,$C272),INDEX(Tabella1[],0,MATCH("CONC X VOTI IN TAB GIOC",Tabella1[#Headers],0)),INDEX(Tabella1[],0,MATCH("Voto",Tabella1[#Headers],0))),"")</f>
        <v>6</v>
      </c>
      <c r="AD272" s="270" t="str">
        <f>_xlfn.IFNA(_xlfn.XLOOKUP(CONCATENATE(AD$4,$C272),Tabella1[CONC X VOTI IN TAB GIOC],Tabella1[Voto]),"")</f>
        <v/>
      </c>
      <c r="AE272" s="270" t="str">
        <f>_xlfn.IFNA(VLOOKUP(CONCATENATE(AE$4,$C272),'INSER DATA'!$A:$F,6,0),"")</f>
        <v/>
      </c>
      <c r="AF272" s="270" t="str">
        <f>_xlfn.IFNA(VLOOKUP(CONCATENATE(AF$4,$C272),'INSER DATA'!$A:$F,6,0),"")</f>
        <v/>
      </c>
      <c r="AG272" s="270" t="str">
        <f>_xlfn.IFNA(VLOOKUP(CONCATENATE(AG$4,$C272),'INSER DATA'!$A:$F,6,0),"")</f>
        <v/>
      </c>
      <c r="AH272" s="270" t="str">
        <f>_xlfn.IFNA(VLOOKUP(CONCATENATE(AH$4,$C272),'INSER DATA'!$A:$F,7,0),"")</f>
        <v/>
      </c>
      <c r="AI272" s="270" t="str">
        <f>_xlfn.IFNA(VLOOKUP(CONCATENATE(AI$4,$C272),'INSER DATA'!$A:$F,7,0),"")</f>
        <v/>
      </c>
      <c r="AJ272" s="270" t="str">
        <f>_xlfn.IFNA(VLOOKUP(CONCATENATE(AJ$4,$C272),'INSER DATA'!$A:$F,7,0),"")</f>
        <v/>
      </c>
      <c r="AK272" s="270" t="str">
        <f>_xlfn.IFNA(VLOOKUP(CONCATENATE(AK$4,$C272),'INSER DATA'!$A:$F,7,0),"")</f>
        <v/>
      </c>
      <c r="AL272" s="270" t="str">
        <f>_xlfn.IFNA(VLOOKUP(CONCATENATE(AL$4,$C272),'INSER DATA'!$A:$F,7,0),"")</f>
        <v/>
      </c>
      <c r="AM272" s="270" t="str">
        <f>_xlfn.IFNA(VLOOKUP(CONCATENATE(AM$4,$C272),'INSER DATA'!$A:$F,7,0),"")</f>
        <v/>
      </c>
      <c r="AN272" s="270" t="str">
        <f>_xlfn.IFNA(VLOOKUP(CONCATENATE(AN$4,$C272),'INSER DATA'!$A:$F,7,0),"")</f>
        <v/>
      </c>
      <c r="AO272" s="270" t="str">
        <f>_xlfn.IFNA(VLOOKUP(CONCATENATE(AO$4,$C272),'INSER DATA'!$A:$F,7,0),"")</f>
        <v/>
      </c>
      <c r="AP272" s="270" t="str">
        <f>_xlfn.IFNA(VLOOKUP(CONCATENATE(AP$4,$C272),'INSER DATA'!$A:$F,7,0),"")</f>
        <v/>
      </c>
      <c r="AQ272" s="270" t="str">
        <f>_xlfn.IFNA(VLOOKUP(CONCATENATE(AQ$4,$C272),'INSER DATA'!$A:$F,7,0),"")</f>
        <v/>
      </c>
      <c r="AR272" s="270" t="str">
        <f>_xlfn.IFNA(VLOOKUP(CONCATENATE(AR$4,$C272),'INSER DATA'!$A:$F,7,0),"")</f>
        <v/>
      </c>
      <c r="AS272" s="270" t="str">
        <f>_xlfn.IFNA(VLOOKUP(CONCATENATE(AS$4,$C272),'INSER DATA'!$A:$F,7,0),"")</f>
        <v/>
      </c>
      <c r="AT272" s="270" t="str">
        <f>_xlfn.IFNA(VLOOKUP(CONCATENATE(AT$4,$C272),'INSER DATA'!$A:$F,7,0),"")</f>
        <v/>
      </c>
      <c r="AU272" s="270" t="str">
        <f>_xlfn.IFNA(VLOOKUP(CONCATENATE(AU$4,$C272),'INSER DATA'!$A:$F,7,0),"")</f>
        <v/>
      </c>
      <c r="AV272" s="270" t="str">
        <f>_xlfn.IFNA(VLOOKUP(CONCATENATE(AV$4,$C272),'INSER DATA'!$A:$F,7,0),"")</f>
        <v/>
      </c>
      <c r="AW272" s="270" t="str">
        <f>_xlfn.IFNA(VLOOKUP(CONCATENATE(AW$4,$C272),'INSER DATA'!$A:$F,7,0),"")</f>
        <v/>
      </c>
      <c r="AX272" s="270" t="str">
        <f>_xlfn.IFNA(VLOOKUP(CONCATENATE(AX$4,$C272),'INSER DATA'!$A:$F,7,0),"")</f>
        <v/>
      </c>
      <c r="AY272" s="270" t="str">
        <f>_xlfn.IFNA(VLOOKUP(CONCATENATE(AY$4,$C272),'INSER DATA'!$A:$F,7,0),"")</f>
        <v/>
      </c>
      <c r="AZ272" s="270" t="str">
        <f>_xlfn.IFNA(VLOOKUP(CONCATENATE(AZ$4,$C272),'INSER DATA'!$A:$F,7,0),"")</f>
        <v/>
      </c>
      <c r="BA272" s="270" t="str">
        <f>_xlfn.IFNA(VLOOKUP(CONCATENATE(BA$4,$C272),'INSER DATA'!$A:$F,7,0),"")</f>
        <v/>
      </c>
      <c r="BB272" s="270" t="str">
        <f>_xlfn.IFNA(VLOOKUP(CONCATENATE(BB$4,$C272),'INSER DATA'!$A:$F,7,0),"")</f>
        <v/>
      </c>
      <c r="BC272" s="270" t="str">
        <f>_xlfn.IFNA(VLOOKUP(CONCATENATE(BC$4,$C272),'INSER DATA'!$A:$F,7,0),"")</f>
        <v/>
      </c>
      <c r="BD272" s="270" t="str">
        <f>_xlfn.IFNA(VLOOKUP(CONCATENATE(BD$4,$C272),'INSER DATA'!$A:$F,7,0),"")</f>
        <v/>
      </c>
      <c r="BE272" s="270" t="str">
        <f>_xlfn.IFNA(VLOOKUP(CONCATENATE(BE$4,$C272),'INSER DATA'!$A:$F,7,0),"")</f>
        <v/>
      </c>
      <c r="BF272" s="270" t="str">
        <f>_xlfn.IFNA(VLOOKUP(CONCATENATE(BF$4,$C272),'INSER DATA'!$A:$F,7,0),"")</f>
        <v/>
      </c>
      <c r="BG272" s="270" t="str">
        <f>_xlfn.IFNA(VLOOKUP(CONCATENATE(BG$4,$C272),'INSER DATA'!$A:$F,7,0),"")</f>
        <v/>
      </c>
      <c r="BH272" s="270" t="str">
        <f>_xlfn.IFNA(VLOOKUP(CONCATENATE(BH$4,$C272),'INSER DATA'!$A:$F,7,0),"")</f>
        <v/>
      </c>
      <c r="BI272" s="270" t="str">
        <f>_xlfn.IFNA(VLOOKUP(CONCATENATE(BI$4,$C272),'INSER DATA'!$A:$F,7,0),"")</f>
        <v/>
      </c>
      <c r="BJ272" s="270" t="str">
        <f>_xlfn.IFNA(VLOOKUP(CONCATENATE(BJ$4,$C272),'INSER DATA'!$A:$F,7,0),"")</f>
        <v/>
      </c>
      <c r="BK272" s="270" t="str">
        <f>_xlfn.IFNA(VLOOKUP(CONCATENATE(BK$4,$C272),'INSER DATA'!$A:$F,7,0),"")</f>
        <v/>
      </c>
      <c r="BL272" s="272"/>
      <c r="BM272" s="30"/>
      <c r="BN272" s="30"/>
      <c r="BO272" s="30"/>
      <c r="BP272" s="30"/>
      <c r="BQ272" s="30"/>
      <c r="BR272" s="30"/>
      <c r="BS272" s="30"/>
      <c r="BT272" s="30"/>
      <c r="BU272" s="30"/>
      <c r="BV272" s="30"/>
      <c r="BW272" s="30"/>
      <c r="BX272" s="30"/>
      <c r="BY272" s="30"/>
      <c r="BZ272" s="30"/>
      <c r="CA272" s="30"/>
      <c r="CB272" s="30"/>
      <c r="CC272" s="30"/>
      <c r="CD272" s="30"/>
      <c r="CE272" s="30"/>
      <c r="CF272" s="30"/>
      <c r="CG272" s="30"/>
      <c r="CH272" s="30"/>
      <c r="CI272" s="30"/>
      <c r="CJ272" s="30"/>
      <c r="CK272" s="30"/>
      <c r="CL272" s="30"/>
      <c r="CM272" s="30"/>
      <c r="CN272" s="30"/>
      <c r="CO272" s="30"/>
      <c r="CP272" s="30"/>
      <c r="CQ272" s="30"/>
      <c r="CR272" s="30"/>
      <c r="CS272" s="30"/>
      <c r="CT272" s="30"/>
      <c r="CU272" s="30"/>
      <c r="CV272" s="30"/>
      <c r="CW272" s="30"/>
      <c r="CX272" s="30"/>
      <c r="CY272" s="30"/>
      <c r="CZ272" s="30"/>
      <c r="DA272" s="30"/>
    </row>
    <row r="273" spans="1:105" ht="19.2" thickTop="1" thickBot="1" x14ac:dyDescent="0.4">
      <c r="A273" s="30"/>
      <c r="B273" s="30"/>
      <c r="C273" s="185" t="s">
        <v>822</v>
      </c>
      <c r="D273" s="46" t="s">
        <v>810</v>
      </c>
      <c r="E273" s="35" t="str">
        <f>_xlfn.XLOOKUP(Tabella4[[#This Row],[NOME]],'ROSE SQUADRE'!$N$3:$N$253,'ROSE SQUADRE'!$O$3:$O$253,"")</f>
        <v/>
      </c>
      <c r="F273" s="36" t="s">
        <v>162</v>
      </c>
      <c r="G273" s="43">
        <v>4</v>
      </c>
      <c r="H273" s="43">
        <v>4</v>
      </c>
      <c r="I273" s="44">
        <f t="shared" si="25"/>
        <v>0</v>
      </c>
      <c r="J273" s="37">
        <f t="shared" si="26"/>
        <v>4</v>
      </c>
      <c r="K273" s="38">
        <f t="shared" si="27"/>
        <v>5.625</v>
      </c>
      <c r="L273" s="38">
        <f t="shared" si="28"/>
        <v>5.5</v>
      </c>
      <c r="M273" s="39">
        <f t="shared" si="29"/>
        <v>22</v>
      </c>
      <c r="N273" s="45">
        <f t="shared" ca="1" si="30"/>
        <v>0</v>
      </c>
      <c r="O273" s="40">
        <f>SUMIF(Tabella1[Nome],Tabella4[[#This Row],[NOME]],Tabella1[Gf])</f>
        <v>0</v>
      </c>
      <c r="P273" s="40">
        <f>-(SUMIF(Tabella1[Nome],Tabella4[[#This Row],[NOME]],Tabella1[Gs]))</f>
        <v>0</v>
      </c>
      <c r="Q273" s="40">
        <f>SUMIF(Tabella1[Nome],Tabella4[[#This Row],[NOME]],Tabella1[Rp])</f>
        <v>0</v>
      </c>
      <c r="R273" s="40">
        <f>SUMIF(Tabella1[Nome],Tabella4[[#This Row],[NOME]],Tabella1[Rs])</f>
        <v>0</v>
      </c>
      <c r="S273" s="40">
        <f>SUMIF(Tabella1[Nome],Tabella4[[#This Row],[NOME]],Tabella1[Rf])</f>
        <v>0</v>
      </c>
      <c r="T273" s="40">
        <f>SUMIF(Tabella1[Nome],Tabella4[[#This Row],[NOME]],Tabella1[Au])</f>
        <v>0</v>
      </c>
      <c r="U273" s="41">
        <f>SUMIF(Tabella1[Nome],Tabella4[[#This Row],[NOME]],Tabella1[Amm])</f>
        <v>1</v>
      </c>
      <c r="V273" s="42">
        <f>SUMIF(Tabella1[Nome],Tabella4[[#This Row],[NOME]],Tabella1[Esp])</f>
        <v>0</v>
      </c>
      <c r="W273" s="40">
        <f>SUMIF(Tabella1[Nome],Tabella4[[#This Row],[NOME]],Tabella1[Ass])</f>
        <v>0</v>
      </c>
      <c r="X273" s="40">
        <f>SUMIF(Tabella1[Nome],Tabella4[[#This Row],[NOME]],Tabella1[Gdv])</f>
        <v>0</v>
      </c>
      <c r="Y273" s="40">
        <f>SUMIF(Tabella1[Nome],Tabella4[[#This Row],[NOME]],Tabella1[cl sh])</f>
        <v>0</v>
      </c>
      <c r="Z273" s="270">
        <f>_xlfn.IFNA(_xlfn.XLOOKUP(CONCATENATE(Z$4,$C273),Tabella1[CONC X VOTI IN TAB GIOC],Tabella1[Voto],""),"")</f>
        <v>6</v>
      </c>
      <c r="AA273" s="270">
        <f>_xlfn.IFNA(_xlfn.XLOOKUP(CONCATENATE(AA$4,$C273),Tabella1[CONC X VOTI IN TAB GIOC],Tabella1[Voto],""),"")</f>
        <v>5</v>
      </c>
      <c r="AB273" s="270">
        <f>_xlfn.IFNA(_xlfn.XLOOKUP(CONCATENATE(AB$4,$C273),Tabella1[CONC X VOTI IN TAB GIOC],Tabella1[Voto]),"")</f>
        <v>5.5</v>
      </c>
      <c r="AC273" s="270" cm="1">
        <f t="array" ref="AC273">_xlfn.IFNA(_xlfn.XLOOKUP(CONCATENATE(AC$4,$C273),INDEX(Tabella1[],0,MATCH("CONC X VOTI IN TAB GIOC",Tabella1[#Headers],0)),INDEX(Tabella1[],0,MATCH("Voto",Tabella1[#Headers],0))),"")</f>
        <v>6</v>
      </c>
      <c r="AD273" s="270" t="str">
        <f>_xlfn.IFNA(_xlfn.XLOOKUP(CONCATENATE(AD$4,$C273),Tabella1[CONC X VOTI IN TAB GIOC],Tabella1[Voto]),"")</f>
        <v/>
      </c>
      <c r="AE273" s="270" t="str">
        <f>_xlfn.IFNA(VLOOKUP(CONCATENATE(AE$4,$C273),'INSER DATA'!$A:$F,6,0),"")</f>
        <v/>
      </c>
      <c r="AF273" s="270" t="str">
        <f>_xlfn.IFNA(VLOOKUP(CONCATENATE(AF$4,$C273),'INSER DATA'!$A:$F,6,0),"")</f>
        <v/>
      </c>
      <c r="AG273" s="270" t="str">
        <f>_xlfn.IFNA(VLOOKUP(CONCATENATE(AG$4,$C273),'INSER DATA'!$A:$F,6,0),"")</f>
        <v/>
      </c>
      <c r="AH273" s="270" t="str">
        <f>_xlfn.IFNA(VLOOKUP(CONCATENATE(AH$4,$C273),'INSER DATA'!$A:$F,7,0),"")</f>
        <v/>
      </c>
      <c r="AI273" s="270" t="str">
        <f>_xlfn.IFNA(VLOOKUP(CONCATENATE(AI$4,$C273),'INSER DATA'!$A:$F,7,0),"")</f>
        <v/>
      </c>
      <c r="AJ273" s="270" t="str">
        <f>_xlfn.IFNA(VLOOKUP(CONCATENATE(AJ$4,$C273),'INSER DATA'!$A:$F,7,0),"")</f>
        <v/>
      </c>
      <c r="AK273" s="270" t="str">
        <f>_xlfn.IFNA(VLOOKUP(CONCATENATE(AK$4,$C273),'INSER DATA'!$A:$F,7,0),"")</f>
        <v/>
      </c>
      <c r="AL273" s="270" t="str">
        <f>_xlfn.IFNA(VLOOKUP(CONCATENATE(AL$4,$C273),'INSER DATA'!$A:$F,7,0),"")</f>
        <v/>
      </c>
      <c r="AM273" s="270" t="str">
        <f>_xlfn.IFNA(VLOOKUP(CONCATENATE(AM$4,$C273),'INSER DATA'!$A:$F,7,0),"")</f>
        <v/>
      </c>
      <c r="AN273" s="270" t="str">
        <f>_xlfn.IFNA(VLOOKUP(CONCATENATE(AN$4,$C273),'INSER DATA'!$A:$F,7,0),"")</f>
        <v/>
      </c>
      <c r="AO273" s="270" t="str">
        <f>_xlfn.IFNA(VLOOKUP(CONCATENATE(AO$4,$C273),'INSER DATA'!$A:$F,7,0),"")</f>
        <v/>
      </c>
      <c r="AP273" s="270" t="str">
        <f>_xlfn.IFNA(VLOOKUP(CONCATENATE(AP$4,$C273),'INSER DATA'!$A:$F,7,0),"")</f>
        <v/>
      </c>
      <c r="AQ273" s="270" t="str">
        <f>_xlfn.IFNA(VLOOKUP(CONCATENATE(AQ$4,$C273),'INSER DATA'!$A:$F,7,0),"")</f>
        <v/>
      </c>
      <c r="AR273" s="270" t="str">
        <f>_xlfn.IFNA(VLOOKUP(CONCATENATE(AR$4,$C273),'INSER DATA'!$A:$F,7,0),"")</f>
        <v/>
      </c>
      <c r="AS273" s="270" t="str">
        <f>_xlfn.IFNA(VLOOKUP(CONCATENATE(AS$4,$C273),'INSER DATA'!$A:$F,7,0),"")</f>
        <v/>
      </c>
      <c r="AT273" s="270" t="str">
        <f>_xlfn.IFNA(VLOOKUP(CONCATENATE(AT$4,$C273),'INSER DATA'!$A:$F,7,0),"")</f>
        <v/>
      </c>
      <c r="AU273" s="270" t="str">
        <f>_xlfn.IFNA(VLOOKUP(CONCATENATE(AU$4,$C273),'INSER DATA'!$A:$F,7,0),"")</f>
        <v/>
      </c>
      <c r="AV273" s="270" t="str">
        <f>_xlfn.IFNA(VLOOKUP(CONCATENATE(AV$4,$C273),'INSER DATA'!$A:$F,7,0),"")</f>
        <v/>
      </c>
      <c r="AW273" s="270" t="str">
        <f>_xlfn.IFNA(VLOOKUP(CONCATENATE(AW$4,$C273),'INSER DATA'!$A:$F,7,0),"")</f>
        <v/>
      </c>
      <c r="AX273" s="270" t="str">
        <f>_xlfn.IFNA(VLOOKUP(CONCATENATE(AX$4,$C273),'INSER DATA'!$A:$F,7,0),"")</f>
        <v/>
      </c>
      <c r="AY273" s="270" t="str">
        <f>_xlfn.IFNA(VLOOKUP(CONCATENATE(AY$4,$C273),'INSER DATA'!$A:$F,7,0),"")</f>
        <v/>
      </c>
      <c r="AZ273" s="270" t="str">
        <f>_xlfn.IFNA(VLOOKUP(CONCATENATE(AZ$4,$C273),'INSER DATA'!$A:$F,7,0),"")</f>
        <v/>
      </c>
      <c r="BA273" s="270" t="str">
        <f>_xlfn.IFNA(VLOOKUP(CONCATENATE(BA$4,$C273),'INSER DATA'!$A:$F,7,0),"")</f>
        <v/>
      </c>
      <c r="BB273" s="270" t="str">
        <f>_xlfn.IFNA(VLOOKUP(CONCATENATE(BB$4,$C273),'INSER DATA'!$A:$F,7,0),"")</f>
        <v/>
      </c>
      <c r="BC273" s="270" t="str">
        <f>_xlfn.IFNA(VLOOKUP(CONCATENATE(BC$4,$C273),'INSER DATA'!$A:$F,7,0),"")</f>
        <v/>
      </c>
      <c r="BD273" s="270" t="str">
        <f>_xlfn.IFNA(VLOOKUP(CONCATENATE(BD$4,$C273),'INSER DATA'!$A:$F,7,0),"")</f>
        <v/>
      </c>
      <c r="BE273" s="270" t="str">
        <f>_xlfn.IFNA(VLOOKUP(CONCATENATE(BE$4,$C273),'INSER DATA'!$A:$F,7,0),"")</f>
        <v/>
      </c>
      <c r="BF273" s="270" t="str">
        <f>_xlfn.IFNA(VLOOKUP(CONCATENATE(BF$4,$C273),'INSER DATA'!$A:$F,7,0),"")</f>
        <v/>
      </c>
      <c r="BG273" s="270" t="str">
        <f>_xlfn.IFNA(VLOOKUP(CONCATENATE(BG$4,$C273),'INSER DATA'!$A:$F,7,0),"")</f>
        <v/>
      </c>
      <c r="BH273" s="270" t="str">
        <f>_xlfn.IFNA(VLOOKUP(CONCATENATE(BH$4,$C273),'INSER DATA'!$A:$F,7,0),"")</f>
        <v/>
      </c>
      <c r="BI273" s="270" t="str">
        <f>_xlfn.IFNA(VLOOKUP(CONCATENATE(BI$4,$C273),'INSER DATA'!$A:$F,7,0),"")</f>
        <v/>
      </c>
      <c r="BJ273" s="270" t="str">
        <f>_xlfn.IFNA(VLOOKUP(CONCATENATE(BJ$4,$C273),'INSER DATA'!$A:$F,7,0),"")</f>
        <v/>
      </c>
      <c r="BK273" s="270" t="str">
        <f>_xlfn.IFNA(VLOOKUP(CONCATENATE(BK$4,$C273),'INSER DATA'!$A:$F,7,0),"")</f>
        <v/>
      </c>
      <c r="BL273" s="272"/>
      <c r="BM273" s="30"/>
      <c r="BN273" s="30"/>
      <c r="BO273" s="30"/>
      <c r="BP273" s="30"/>
      <c r="BQ273" s="30"/>
      <c r="BR273" s="30"/>
      <c r="BS273" s="30"/>
      <c r="BT273" s="30"/>
      <c r="BU273" s="30"/>
      <c r="BV273" s="30"/>
      <c r="BW273" s="30"/>
      <c r="BX273" s="30"/>
      <c r="BY273" s="30"/>
      <c r="BZ273" s="30"/>
      <c r="CA273" s="30"/>
      <c r="CB273" s="30"/>
      <c r="CC273" s="30"/>
      <c r="CD273" s="30"/>
      <c r="CE273" s="30"/>
      <c r="CF273" s="30"/>
      <c r="CG273" s="30"/>
      <c r="CH273" s="30"/>
      <c r="CI273" s="30"/>
      <c r="CJ273" s="30"/>
      <c r="CK273" s="30"/>
      <c r="CL273" s="30"/>
      <c r="CM273" s="30"/>
      <c r="CN273" s="30"/>
      <c r="CO273" s="30"/>
      <c r="CP273" s="30"/>
      <c r="CQ273" s="30"/>
      <c r="CR273" s="30"/>
      <c r="CS273" s="30"/>
      <c r="CT273" s="30"/>
      <c r="CU273" s="30"/>
      <c r="CV273" s="30"/>
      <c r="CW273" s="30"/>
      <c r="CX273" s="30"/>
      <c r="CY273" s="30"/>
      <c r="CZ273" s="30"/>
      <c r="DA273" s="30"/>
    </row>
    <row r="274" spans="1:105" ht="19.2" thickTop="1" thickBot="1" x14ac:dyDescent="0.4">
      <c r="A274" s="30"/>
      <c r="B274" s="30"/>
      <c r="C274" s="185" t="s">
        <v>208</v>
      </c>
      <c r="D274" s="46" t="s">
        <v>810</v>
      </c>
      <c r="E274" s="35" t="str">
        <f>_xlfn.XLOOKUP(Tabella4[[#This Row],[NOME]],'ROSE SQUADRE'!$N$3:$N$253,'ROSE SQUADRE'!$O$3:$O$253,"")</f>
        <v/>
      </c>
      <c r="F274" s="36" t="s">
        <v>162</v>
      </c>
      <c r="G274" s="43">
        <v>1</v>
      </c>
      <c r="H274" s="43">
        <v>1</v>
      </c>
      <c r="I274" s="44">
        <f t="shared" si="25"/>
        <v>0</v>
      </c>
      <c r="J274" s="37">
        <f t="shared" si="26"/>
        <v>3</v>
      </c>
      <c r="K274" s="178">
        <f t="shared" si="27"/>
        <v>5.833333333333333</v>
      </c>
      <c r="L274" s="178">
        <f t="shared" si="28"/>
        <v>6.333333333333333</v>
      </c>
      <c r="M274" s="179">
        <f t="shared" si="29"/>
        <v>19</v>
      </c>
      <c r="N274" s="45">
        <f t="shared" ca="1" si="30"/>
        <v>0</v>
      </c>
      <c r="O274" s="40">
        <f>SUMIF(Tabella1[Nome],Tabella4[[#This Row],[NOME]],Tabella1[Gf])</f>
        <v>0</v>
      </c>
      <c r="P274" s="40">
        <f>-(SUMIF(Tabella1[Nome],Tabella4[[#This Row],[NOME]],Tabella1[Gs]))</f>
        <v>0</v>
      </c>
      <c r="Q274" s="40">
        <f>SUMIF(Tabella1[Nome],Tabella4[[#This Row],[NOME]],Tabella1[Rp])</f>
        <v>0</v>
      </c>
      <c r="R274" s="40">
        <f>SUMIF(Tabella1[Nome],Tabella4[[#This Row],[NOME]],Tabella1[Rs])</f>
        <v>0</v>
      </c>
      <c r="S274" s="40">
        <f>SUMIF(Tabella1[Nome],Tabella4[[#This Row],[NOME]],Tabella1[Rf])</f>
        <v>0</v>
      </c>
      <c r="T274" s="40">
        <f>SUMIF(Tabella1[Nome],Tabella4[[#This Row],[NOME]],Tabella1[Au])</f>
        <v>0</v>
      </c>
      <c r="U274" s="41">
        <f>SUMIF(Tabella1[Nome],Tabella4[[#This Row],[NOME]],Tabella1[Amm])</f>
        <v>1</v>
      </c>
      <c r="V274" s="42">
        <f>SUMIF(Tabella1[Nome],Tabella4[[#This Row],[NOME]],Tabella1[Esp])</f>
        <v>0</v>
      </c>
      <c r="W274" s="40">
        <f>SUMIF(Tabella1[Nome],Tabella4[[#This Row],[NOME]],Tabella1[Ass])</f>
        <v>2</v>
      </c>
      <c r="X274" s="40">
        <f>SUMIF(Tabella1[Nome],Tabella4[[#This Row],[NOME]],Tabella1[Gdv])</f>
        <v>0</v>
      </c>
      <c r="Y274" s="40">
        <f>SUMIF(Tabella1[Nome],Tabella4[[#This Row],[NOME]],Tabella1[cl sh])</f>
        <v>0</v>
      </c>
      <c r="Z274" s="270" t="str">
        <f>_xlfn.IFNA(_xlfn.XLOOKUP(CONCATENATE(Z$4,$C274),Tabella1[CONC X VOTI IN TAB GIOC],Tabella1[Voto],""),"")</f>
        <v/>
      </c>
      <c r="AA274" s="270">
        <f>_xlfn.IFNA(_xlfn.XLOOKUP(CONCATENATE(AA$4,$C274),Tabella1[CONC X VOTI IN TAB GIOC],Tabella1[Voto],""),"")</f>
        <v>5.5</v>
      </c>
      <c r="AB274" s="270">
        <f>_xlfn.IFNA(_xlfn.XLOOKUP(CONCATENATE(AB$4,$C274),Tabella1[CONC X VOTI IN TAB GIOC],Tabella1[Voto]),"")</f>
        <v>5</v>
      </c>
      <c r="AC274" s="270" cm="1">
        <f t="array" ref="AC274">_xlfn.IFNA(_xlfn.XLOOKUP(CONCATENATE(AC$4,$C274),INDEX(Tabella1[],0,MATCH("CONC X VOTI IN TAB GIOC",Tabella1[#Headers],0)),INDEX(Tabella1[],0,MATCH("Voto",Tabella1[#Headers],0))),"")</f>
        <v>7</v>
      </c>
      <c r="AD274" s="270" t="str">
        <f>_xlfn.IFNA(_xlfn.XLOOKUP(CONCATENATE(AD$4,$C274),Tabella1[CONC X VOTI IN TAB GIOC],Tabella1[Voto]),"")</f>
        <v/>
      </c>
      <c r="AE274" s="270" t="str">
        <f>_xlfn.IFNA(VLOOKUP(CONCATENATE(AE$4,$C274),'INSER DATA'!$A:$F,6,0),"")</f>
        <v/>
      </c>
      <c r="AF274" s="270" t="str">
        <f>_xlfn.IFNA(VLOOKUP(CONCATENATE(AF$4,$C274),'INSER DATA'!$A:$F,6,0),"")</f>
        <v/>
      </c>
      <c r="AG274" s="270" t="str">
        <f>_xlfn.IFNA(VLOOKUP(CONCATENATE(AG$4,$C274),'INSER DATA'!$A:$F,6,0),"")</f>
        <v/>
      </c>
      <c r="AH274" s="270" t="str">
        <f>_xlfn.IFNA(VLOOKUP(CONCATENATE(AH$4,$C274),'INSER DATA'!$A:$F,7,0),"")</f>
        <v/>
      </c>
      <c r="AI274" s="270" t="str">
        <f>_xlfn.IFNA(VLOOKUP(CONCATENATE(AI$4,$C274),'INSER DATA'!$A:$F,7,0),"")</f>
        <v/>
      </c>
      <c r="AJ274" s="270" t="str">
        <f>_xlfn.IFNA(VLOOKUP(CONCATENATE(AJ$4,$C274),'INSER DATA'!$A:$F,7,0),"")</f>
        <v/>
      </c>
      <c r="AK274" s="270" t="str">
        <f>_xlfn.IFNA(VLOOKUP(CONCATENATE(AK$4,$C274),'INSER DATA'!$A:$F,7,0),"")</f>
        <v/>
      </c>
      <c r="AL274" s="270" t="str">
        <f>_xlfn.IFNA(VLOOKUP(CONCATENATE(AL$4,$C274),'INSER DATA'!$A:$F,7,0),"")</f>
        <v/>
      </c>
      <c r="AM274" s="270" t="str">
        <f>_xlfn.IFNA(VLOOKUP(CONCATENATE(AM$4,$C274),'INSER DATA'!$A:$F,7,0),"")</f>
        <v/>
      </c>
      <c r="AN274" s="270" t="str">
        <f>_xlfn.IFNA(VLOOKUP(CONCATENATE(AN$4,$C274),'INSER DATA'!$A:$F,7,0),"")</f>
        <v/>
      </c>
      <c r="AO274" s="270" t="str">
        <f>_xlfn.IFNA(VLOOKUP(CONCATENATE(AO$4,$C274),'INSER DATA'!$A:$F,7,0),"")</f>
        <v/>
      </c>
      <c r="AP274" s="270" t="str">
        <f>_xlfn.IFNA(VLOOKUP(CONCATENATE(AP$4,$C274),'INSER DATA'!$A:$F,7,0),"")</f>
        <v/>
      </c>
      <c r="AQ274" s="270" t="str">
        <f>_xlfn.IFNA(VLOOKUP(CONCATENATE(AQ$4,$C274),'INSER DATA'!$A:$F,7,0),"")</f>
        <v/>
      </c>
      <c r="AR274" s="270" t="str">
        <f>_xlfn.IFNA(VLOOKUP(CONCATENATE(AR$4,$C274),'INSER DATA'!$A:$F,7,0),"")</f>
        <v/>
      </c>
      <c r="AS274" s="270" t="str">
        <f>_xlfn.IFNA(VLOOKUP(CONCATENATE(AS$4,$C274),'INSER DATA'!$A:$F,7,0),"")</f>
        <v/>
      </c>
      <c r="AT274" s="270" t="str">
        <f>_xlfn.IFNA(VLOOKUP(CONCATENATE(AT$4,$C274),'INSER DATA'!$A:$F,7,0),"")</f>
        <v/>
      </c>
      <c r="AU274" s="270" t="str">
        <f>_xlfn.IFNA(VLOOKUP(CONCATENATE(AU$4,$C274),'INSER DATA'!$A:$F,7,0),"")</f>
        <v/>
      </c>
      <c r="AV274" s="270" t="str">
        <f>_xlfn.IFNA(VLOOKUP(CONCATENATE(AV$4,$C274),'INSER DATA'!$A:$F,7,0),"")</f>
        <v/>
      </c>
      <c r="AW274" s="270" t="str">
        <f>_xlfn.IFNA(VLOOKUP(CONCATENATE(AW$4,$C274),'INSER DATA'!$A:$F,7,0),"")</f>
        <v/>
      </c>
      <c r="AX274" s="270" t="str">
        <f>_xlfn.IFNA(VLOOKUP(CONCATENATE(AX$4,$C274),'INSER DATA'!$A:$F,7,0),"")</f>
        <v/>
      </c>
      <c r="AY274" s="270" t="str">
        <f>_xlfn.IFNA(VLOOKUP(CONCATENATE(AY$4,$C274),'INSER DATA'!$A:$F,7,0),"")</f>
        <v/>
      </c>
      <c r="AZ274" s="270" t="str">
        <f>_xlfn.IFNA(VLOOKUP(CONCATENATE(AZ$4,$C274),'INSER DATA'!$A:$F,7,0),"")</f>
        <v/>
      </c>
      <c r="BA274" s="270" t="str">
        <f>_xlfn.IFNA(VLOOKUP(CONCATENATE(BA$4,$C274),'INSER DATA'!$A:$F,7,0),"")</f>
        <v/>
      </c>
      <c r="BB274" s="270" t="str">
        <f>_xlfn.IFNA(VLOOKUP(CONCATENATE(BB$4,$C274),'INSER DATA'!$A:$F,7,0),"")</f>
        <v/>
      </c>
      <c r="BC274" s="270" t="str">
        <f>_xlfn.IFNA(VLOOKUP(CONCATENATE(BC$4,$C274),'INSER DATA'!$A:$F,7,0),"")</f>
        <v/>
      </c>
      <c r="BD274" s="270" t="str">
        <f>_xlfn.IFNA(VLOOKUP(CONCATENATE(BD$4,$C274),'INSER DATA'!$A:$F,7,0),"")</f>
        <v/>
      </c>
      <c r="BE274" s="270" t="str">
        <f>_xlfn.IFNA(VLOOKUP(CONCATENATE(BE$4,$C274),'INSER DATA'!$A:$F,7,0),"")</f>
        <v/>
      </c>
      <c r="BF274" s="270" t="str">
        <f>_xlfn.IFNA(VLOOKUP(CONCATENATE(BF$4,$C274),'INSER DATA'!$A:$F,7,0),"")</f>
        <v/>
      </c>
      <c r="BG274" s="270" t="str">
        <f>_xlfn.IFNA(VLOOKUP(CONCATENATE(BG$4,$C274),'INSER DATA'!$A:$F,7,0),"")</f>
        <v/>
      </c>
      <c r="BH274" s="270" t="str">
        <f>_xlfn.IFNA(VLOOKUP(CONCATENATE(BH$4,$C274),'INSER DATA'!$A:$F,7,0),"")</f>
        <v/>
      </c>
      <c r="BI274" s="270" t="str">
        <f>_xlfn.IFNA(VLOOKUP(CONCATENATE(BI$4,$C274),'INSER DATA'!$A:$F,7,0),"")</f>
        <v/>
      </c>
      <c r="BJ274" s="270" t="str">
        <f>_xlfn.IFNA(VLOOKUP(CONCATENATE(BJ$4,$C274),'INSER DATA'!$A:$F,7,0),"")</f>
        <v/>
      </c>
      <c r="BK274" s="270" t="str">
        <f>_xlfn.IFNA(VLOOKUP(CONCATENATE(BK$4,$C274),'INSER DATA'!$A:$F,7,0),"")</f>
        <v/>
      </c>
      <c r="BL274" s="272"/>
      <c r="BM274" s="30"/>
      <c r="BN274" s="30"/>
      <c r="BO274" s="30"/>
      <c r="BP274" s="30"/>
      <c r="BQ274" s="30"/>
      <c r="BR274" s="30"/>
      <c r="BS274" s="30"/>
      <c r="BT274" s="30"/>
      <c r="BU274" s="30"/>
      <c r="BV274" s="30"/>
      <c r="BW274" s="30"/>
      <c r="BX274" s="30"/>
      <c r="BY274" s="30"/>
      <c r="BZ274" s="30"/>
      <c r="CA274" s="30"/>
      <c r="CB274" s="30"/>
      <c r="CC274" s="30"/>
      <c r="CD274" s="30"/>
      <c r="CE274" s="30"/>
      <c r="CF274" s="30"/>
      <c r="CG274" s="30"/>
      <c r="CH274" s="30"/>
      <c r="CI274" s="30"/>
      <c r="CJ274" s="30"/>
      <c r="CK274" s="30"/>
      <c r="CL274" s="30"/>
      <c r="CM274" s="30"/>
      <c r="CN274" s="30"/>
      <c r="CO274" s="30"/>
      <c r="CP274" s="30"/>
      <c r="CQ274" s="30"/>
      <c r="CR274" s="30"/>
      <c r="CS274" s="30"/>
      <c r="CT274" s="30"/>
      <c r="CU274" s="30"/>
      <c r="CV274" s="30"/>
      <c r="CW274" s="30"/>
      <c r="CX274" s="30"/>
      <c r="CY274" s="30"/>
      <c r="CZ274" s="30"/>
      <c r="DA274" s="30"/>
    </row>
    <row r="275" spans="1:105" ht="19.2" thickTop="1" thickBot="1" x14ac:dyDescent="0.4">
      <c r="A275" s="30"/>
      <c r="B275" s="30"/>
      <c r="C275" s="188" t="s">
        <v>1017</v>
      </c>
      <c r="D275" s="187" t="s">
        <v>810</v>
      </c>
      <c r="E275" s="35" t="str">
        <f>_xlfn.XLOOKUP(Tabella4[[#This Row],[NOME]],'ROSE SQUADRE'!$N$3:$N$253,'ROSE SQUADRE'!$O$3:$O$253,"")</f>
        <v/>
      </c>
      <c r="F275" s="36" t="s">
        <v>163</v>
      </c>
      <c r="G275" s="43"/>
      <c r="H275" s="43"/>
      <c r="I275" s="44">
        <f t="shared" si="25"/>
        <v>0</v>
      </c>
      <c r="J275" s="37">
        <f t="shared" si="26"/>
        <v>3</v>
      </c>
      <c r="K275" s="178">
        <f t="shared" si="27"/>
        <v>5.666666666666667</v>
      </c>
      <c r="L275" s="178">
        <f t="shared" si="28"/>
        <v>5.666666666666667</v>
      </c>
      <c r="M275" s="179">
        <f t="shared" si="29"/>
        <v>17</v>
      </c>
      <c r="N275" s="45">
        <f t="shared" ca="1" si="30"/>
        <v>0</v>
      </c>
      <c r="O275" s="40">
        <f>SUMIF(Tabella1[Nome],Tabella4[[#This Row],[NOME]],Tabella1[Gf])</f>
        <v>0</v>
      </c>
      <c r="P275" s="40">
        <f>-(SUMIF(Tabella1[Nome],Tabella4[[#This Row],[NOME]],Tabella1[Gs]))</f>
        <v>0</v>
      </c>
      <c r="Q275" s="40">
        <f>SUMIF(Tabella1[Nome],Tabella4[[#This Row],[NOME]],Tabella1[Rp])</f>
        <v>0</v>
      </c>
      <c r="R275" s="40">
        <f>SUMIF(Tabella1[Nome],Tabella4[[#This Row],[NOME]],Tabella1[Rs])</f>
        <v>0</v>
      </c>
      <c r="S275" s="40">
        <f>SUMIF(Tabella1[Nome],Tabella4[[#This Row],[NOME]],Tabella1[Rf])</f>
        <v>0</v>
      </c>
      <c r="T275" s="40">
        <f>SUMIF(Tabella1[Nome],Tabella4[[#This Row],[NOME]],Tabella1[Au])</f>
        <v>0</v>
      </c>
      <c r="U275" s="41">
        <f>SUMIF(Tabella1[Nome],Tabella4[[#This Row],[NOME]],Tabella1[Amm])</f>
        <v>0</v>
      </c>
      <c r="V275" s="42">
        <f>SUMIF(Tabella1[Nome],Tabella4[[#This Row],[NOME]],Tabella1[Esp])</f>
        <v>0</v>
      </c>
      <c r="W275" s="40">
        <f>SUMIF(Tabella1[Nome],Tabella4[[#This Row],[NOME]],Tabella1[Ass])</f>
        <v>0</v>
      </c>
      <c r="X275" s="40">
        <f>SUMIF(Tabella1[Nome],Tabella4[[#This Row],[NOME]],Tabella1[Gdv])</f>
        <v>0</v>
      </c>
      <c r="Y275" s="40">
        <f>SUMIF(Tabella1[Nome],Tabella4[[#This Row],[NOME]],Tabella1[cl sh])</f>
        <v>0</v>
      </c>
      <c r="Z275" s="270" t="str">
        <f>_xlfn.IFNA(_xlfn.XLOOKUP(CONCATENATE(Z$4,$C275),Tabella1[CONC X VOTI IN TAB GIOC],Tabella1[Voto],""),"")</f>
        <v/>
      </c>
      <c r="AA275" s="270">
        <f>_xlfn.IFNA(_xlfn.XLOOKUP(CONCATENATE(AA$4,$C275),Tabella1[CONC X VOTI IN TAB GIOC],Tabella1[Voto],""),"")</f>
        <v>5.5</v>
      </c>
      <c r="AB275" s="270">
        <f>_xlfn.IFNA(_xlfn.XLOOKUP(CONCATENATE(AB$4,$C275),Tabella1[CONC X VOTI IN TAB GIOC],Tabella1[Voto]),"")</f>
        <v>5.5</v>
      </c>
      <c r="AC275" s="270" cm="1">
        <f t="array" ref="AC275">_xlfn.IFNA(_xlfn.XLOOKUP(CONCATENATE(AC$4,$C275),INDEX(Tabella1[],0,MATCH("CONC X VOTI IN TAB GIOC",Tabella1[#Headers],0)),INDEX(Tabella1[],0,MATCH("Voto",Tabella1[#Headers],0))),"")</f>
        <v>6</v>
      </c>
      <c r="AD275" s="270" t="str">
        <f>_xlfn.IFNA(_xlfn.XLOOKUP(CONCATENATE(AD$4,$C275),Tabella1[CONC X VOTI IN TAB GIOC],Tabella1[Voto]),"")</f>
        <v/>
      </c>
      <c r="AE275" s="270" t="str">
        <f>_xlfn.IFNA(VLOOKUP(CONCATENATE(AE$4,$C275),'INSER DATA'!$A:$F,6,0),"")</f>
        <v/>
      </c>
      <c r="AF275" s="270" t="str">
        <f>_xlfn.IFNA(VLOOKUP(CONCATENATE(AF$4,$C275),'INSER DATA'!$A:$F,6,0),"")</f>
        <v/>
      </c>
      <c r="AG275" s="270" t="str">
        <f>_xlfn.IFNA(VLOOKUP(CONCATENATE(AG$4,$C275),'INSER DATA'!$A:$F,6,0),"")</f>
        <v/>
      </c>
      <c r="AH275" s="270" t="str">
        <f>_xlfn.IFNA(VLOOKUP(CONCATENATE(AH$4,$C275),'INSER DATA'!$A:$F,7,0),"")</f>
        <v/>
      </c>
      <c r="AI275" s="270" t="str">
        <f>_xlfn.IFNA(VLOOKUP(CONCATENATE(AI$4,$C275),'INSER DATA'!$A:$F,7,0),"")</f>
        <v/>
      </c>
      <c r="AJ275" s="270" t="str">
        <f>_xlfn.IFNA(VLOOKUP(CONCATENATE(AJ$4,$C275),'INSER DATA'!$A:$F,7,0),"")</f>
        <v/>
      </c>
      <c r="AK275" s="270" t="str">
        <f>_xlfn.IFNA(VLOOKUP(CONCATENATE(AK$4,$C275),'INSER DATA'!$A:$F,7,0),"")</f>
        <v/>
      </c>
      <c r="AL275" s="270" t="str">
        <f>_xlfn.IFNA(VLOOKUP(CONCATENATE(AL$4,$C275),'INSER DATA'!$A:$F,7,0),"")</f>
        <v/>
      </c>
      <c r="AM275" s="270" t="str">
        <f>_xlfn.IFNA(VLOOKUP(CONCATENATE(AM$4,$C275),'INSER DATA'!$A:$F,7,0),"")</f>
        <v/>
      </c>
      <c r="AN275" s="270" t="str">
        <f>_xlfn.IFNA(VLOOKUP(CONCATENATE(AN$4,$C275),'INSER DATA'!$A:$F,7,0),"")</f>
        <v/>
      </c>
      <c r="AO275" s="270" t="str">
        <f>_xlfn.IFNA(VLOOKUP(CONCATENATE(AO$4,$C275),'INSER DATA'!$A:$F,7,0),"")</f>
        <v/>
      </c>
      <c r="AP275" s="270" t="str">
        <f>_xlfn.IFNA(VLOOKUP(CONCATENATE(AP$4,$C275),'INSER DATA'!$A:$F,7,0),"")</f>
        <v/>
      </c>
      <c r="AQ275" s="270" t="str">
        <f>_xlfn.IFNA(VLOOKUP(CONCATENATE(AQ$4,$C275),'INSER DATA'!$A:$F,7,0),"")</f>
        <v/>
      </c>
      <c r="AR275" s="270" t="str">
        <f>_xlfn.IFNA(VLOOKUP(CONCATENATE(AR$4,$C275),'INSER DATA'!$A:$F,7,0),"")</f>
        <v/>
      </c>
      <c r="AS275" s="270" t="str">
        <f>_xlfn.IFNA(VLOOKUP(CONCATENATE(AS$4,$C275),'INSER DATA'!$A:$F,7,0),"")</f>
        <v/>
      </c>
      <c r="AT275" s="270" t="str">
        <f>_xlfn.IFNA(VLOOKUP(CONCATENATE(AT$4,$C275),'INSER DATA'!$A:$F,7,0),"")</f>
        <v/>
      </c>
      <c r="AU275" s="270" t="str">
        <f>_xlfn.IFNA(VLOOKUP(CONCATENATE(AU$4,$C275),'INSER DATA'!$A:$F,7,0),"")</f>
        <v/>
      </c>
      <c r="AV275" s="270" t="str">
        <f>_xlfn.IFNA(VLOOKUP(CONCATENATE(AV$4,$C275),'INSER DATA'!$A:$F,7,0),"")</f>
        <v/>
      </c>
      <c r="AW275" s="270" t="str">
        <f>_xlfn.IFNA(VLOOKUP(CONCATENATE(AW$4,$C275),'INSER DATA'!$A:$F,7,0),"")</f>
        <v/>
      </c>
      <c r="AX275" s="270" t="str">
        <f>_xlfn.IFNA(VLOOKUP(CONCATENATE(AX$4,$C275),'INSER DATA'!$A:$F,7,0),"")</f>
        <v/>
      </c>
      <c r="AY275" s="270" t="str">
        <f>_xlfn.IFNA(VLOOKUP(CONCATENATE(AY$4,$C275),'INSER DATA'!$A:$F,7,0),"")</f>
        <v/>
      </c>
      <c r="AZ275" s="270" t="str">
        <f>_xlfn.IFNA(VLOOKUP(CONCATENATE(AZ$4,$C275),'INSER DATA'!$A:$F,7,0),"")</f>
        <v/>
      </c>
      <c r="BA275" s="270" t="str">
        <f>_xlfn.IFNA(VLOOKUP(CONCATENATE(BA$4,$C275),'INSER DATA'!$A:$F,7,0),"")</f>
        <v/>
      </c>
      <c r="BB275" s="270" t="str">
        <f>_xlfn.IFNA(VLOOKUP(CONCATENATE(BB$4,$C275),'INSER DATA'!$A:$F,7,0),"")</f>
        <v/>
      </c>
      <c r="BC275" s="270" t="str">
        <f>_xlfn.IFNA(VLOOKUP(CONCATENATE(BC$4,$C275),'INSER DATA'!$A:$F,7,0),"")</f>
        <v/>
      </c>
      <c r="BD275" s="270" t="str">
        <f>_xlfn.IFNA(VLOOKUP(CONCATENATE(BD$4,$C275),'INSER DATA'!$A:$F,7,0),"")</f>
        <v/>
      </c>
      <c r="BE275" s="270" t="str">
        <f>_xlfn.IFNA(VLOOKUP(CONCATENATE(BE$4,$C275),'INSER DATA'!$A:$F,7,0),"")</f>
        <v/>
      </c>
      <c r="BF275" s="270" t="str">
        <f>_xlfn.IFNA(VLOOKUP(CONCATENATE(BF$4,$C275),'INSER DATA'!$A:$F,7,0),"")</f>
        <v/>
      </c>
      <c r="BG275" s="270" t="str">
        <f>_xlfn.IFNA(VLOOKUP(CONCATENATE(BG$4,$C275),'INSER DATA'!$A:$F,7,0),"")</f>
        <v/>
      </c>
      <c r="BH275" s="270" t="str">
        <f>_xlfn.IFNA(VLOOKUP(CONCATENATE(BH$4,$C275),'INSER DATA'!$A:$F,7,0),"")</f>
        <v/>
      </c>
      <c r="BI275" s="270" t="str">
        <f>_xlfn.IFNA(VLOOKUP(CONCATENATE(BI$4,$C275),'INSER DATA'!$A:$F,7,0),"")</f>
        <v/>
      </c>
      <c r="BJ275" s="270" t="str">
        <f>_xlfn.IFNA(VLOOKUP(CONCATENATE(BJ$4,$C275),'INSER DATA'!$A:$F,7,0),"")</f>
        <v/>
      </c>
      <c r="BK275" s="270" t="str">
        <f>_xlfn.IFNA(VLOOKUP(CONCATENATE(BK$4,$C275),'INSER DATA'!$A:$F,7,0),"")</f>
        <v/>
      </c>
      <c r="BL275" s="272"/>
      <c r="BM275" s="30"/>
      <c r="BN275" s="30"/>
      <c r="BO275" s="30"/>
      <c r="BP275" s="30"/>
      <c r="BQ275" s="30"/>
      <c r="BR275" s="30"/>
      <c r="BS275" s="30"/>
      <c r="BT275" s="30"/>
      <c r="BU275" s="30"/>
      <c r="BV275" s="30"/>
      <c r="BW275" s="30"/>
      <c r="BX275" s="30"/>
      <c r="BY275" s="30"/>
      <c r="BZ275" s="30"/>
      <c r="CA275" s="30"/>
      <c r="CB275" s="30"/>
      <c r="CC275" s="30"/>
      <c r="CD275" s="30"/>
      <c r="CE275" s="30"/>
      <c r="CF275" s="30"/>
      <c r="CG275" s="30"/>
      <c r="CH275" s="30"/>
      <c r="CI275" s="30"/>
      <c r="CJ275" s="30"/>
      <c r="CK275" s="30"/>
      <c r="CL275" s="30"/>
      <c r="CM275" s="30"/>
      <c r="CN275" s="30"/>
      <c r="CO275" s="30"/>
      <c r="CP275" s="30"/>
      <c r="CQ275" s="30"/>
      <c r="CR275" s="30"/>
      <c r="CS275" s="30"/>
      <c r="CT275" s="30"/>
      <c r="CU275" s="30"/>
      <c r="CV275" s="30"/>
      <c r="CW275" s="30"/>
      <c r="CX275" s="30"/>
      <c r="CY275" s="30"/>
      <c r="CZ275" s="30"/>
      <c r="DA275" s="30"/>
    </row>
    <row r="276" spans="1:105" ht="19.2" thickTop="1" thickBot="1" x14ac:dyDescent="0.4">
      <c r="A276" s="30"/>
      <c r="B276" s="30"/>
      <c r="C276" s="354" t="s">
        <v>823</v>
      </c>
      <c r="D276" s="357" t="s">
        <v>810</v>
      </c>
      <c r="E276" s="35" t="str">
        <f>_xlfn.XLOOKUP(Tabella4[[#This Row],[NOME]],'ROSE SQUADRE'!$N$3:$N$253,'ROSE SQUADRE'!$O$3:$O$253,"")</f>
        <v>AS PIPPERIA</v>
      </c>
      <c r="F276" s="36" t="s">
        <v>163</v>
      </c>
      <c r="G276" s="43">
        <v>9</v>
      </c>
      <c r="H276" s="43">
        <v>9</v>
      </c>
      <c r="I276" s="44">
        <f t="shared" si="25"/>
        <v>0</v>
      </c>
      <c r="J276" s="37">
        <f t="shared" si="26"/>
        <v>2</v>
      </c>
      <c r="K276" s="38">
        <f t="shared" si="27"/>
        <v>5.25</v>
      </c>
      <c r="L276" s="38">
        <f t="shared" si="28"/>
        <v>5.25</v>
      </c>
      <c r="M276" s="39">
        <f t="shared" si="29"/>
        <v>10.5</v>
      </c>
      <c r="N276" s="45">
        <f t="shared" ca="1" si="30"/>
        <v>0</v>
      </c>
      <c r="O276" s="40">
        <f>SUMIF(Tabella1[Nome],Tabella4[[#This Row],[NOME]],Tabella1[Gf])</f>
        <v>0</v>
      </c>
      <c r="P276" s="40">
        <f>-(SUMIF(Tabella1[Nome],Tabella4[[#This Row],[NOME]],Tabella1[Gs]))</f>
        <v>0</v>
      </c>
      <c r="Q276" s="40">
        <f>SUMIF(Tabella1[Nome],Tabella4[[#This Row],[NOME]],Tabella1[Rp])</f>
        <v>0</v>
      </c>
      <c r="R276" s="40">
        <f>SUMIF(Tabella1[Nome],Tabella4[[#This Row],[NOME]],Tabella1[Rs])</f>
        <v>0</v>
      </c>
      <c r="S276" s="40">
        <f>SUMIF(Tabella1[Nome],Tabella4[[#This Row],[NOME]],Tabella1[Rf])</f>
        <v>0</v>
      </c>
      <c r="T276" s="40">
        <f>SUMIF(Tabella1[Nome],Tabella4[[#This Row],[NOME]],Tabella1[Au])</f>
        <v>0</v>
      </c>
      <c r="U276" s="41">
        <f>SUMIF(Tabella1[Nome],Tabella4[[#This Row],[NOME]],Tabella1[Amm])</f>
        <v>0</v>
      </c>
      <c r="V276" s="42">
        <f>SUMIF(Tabella1[Nome],Tabella4[[#This Row],[NOME]],Tabella1[Esp])</f>
        <v>0</v>
      </c>
      <c r="W276" s="40">
        <f>SUMIF(Tabella1[Nome],Tabella4[[#This Row],[NOME]],Tabella1[Ass])</f>
        <v>0</v>
      </c>
      <c r="X276" s="40">
        <f>SUMIF(Tabella1[Nome],Tabella4[[#This Row],[NOME]],Tabella1[Gdv])</f>
        <v>0</v>
      </c>
      <c r="Y276" s="40">
        <f>SUMIF(Tabella1[Nome],Tabella4[[#This Row],[NOME]],Tabella1[cl sh])</f>
        <v>0</v>
      </c>
      <c r="Z276" s="270">
        <f>_xlfn.IFNA(_xlfn.XLOOKUP(CONCATENATE(Z$4,$C276),Tabella1[CONC X VOTI IN TAB GIOC],Tabella1[Voto],""),"")</f>
        <v>5.5</v>
      </c>
      <c r="AA276" s="270">
        <f>_xlfn.IFNA(_xlfn.XLOOKUP(CONCATENATE(AA$4,$C276),Tabella1[CONC X VOTI IN TAB GIOC],Tabella1[Voto],""),"")</f>
        <v>5</v>
      </c>
      <c r="AB276" s="270" t="str">
        <f>_xlfn.IFNA(_xlfn.XLOOKUP(CONCATENATE(AB$4,$C276),Tabella1[CONC X VOTI IN TAB GIOC],Tabella1[Voto]),"")</f>
        <v/>
      </c>
      <c r="AC276" s="270" t="str" cm="1">
        <f t="array" ref="AC276">_xlfn.IFNA(_xlfn.XLOOKUP(CONCATENATE(AC$4,$C276),INDEX(Tabella1[],0,MATCH("CONC X VOTI IN TAB GIOC",Tabella1[#Headers],0)),INDEX(Tabella1[],0,MATCH("Voto",Tabella1[#Headers],0))),"")</f>
        <v/>
      </c>
      <c r="AD276" s="270" t="str">
        <f>_xlfn.IFNA(_xlfn.XLOOKUP(CONCATENATE(AD$4,$C276),Tabella1[CONC X VOTI IN TAB GIOC],Tabella1[Voto]),"")</f>
        <v/>
      </c>
      <c r="AE276" s="270" t="str">
        <f>_xlfn.IFNA(VLOOKUP(CONCATENATE(AE$4,$C276),'INSER DATA'!$A:$F,6,0),"")</f>
        <v/>
      </c>
      <c r="AF276" s="270" t="str">
        <f>_xlfn.IFNA(VLOOKUP(CONCATENATE(AF$4,$C276),'INSER DATA'!$A:$F,6,0),"")</f>
        <v/>
      </c>
      <c r="AG276" s="270" t="str">
        <f>_xlfn.IFNA(VLOOKUP(CONCATENATE(AG$4,$C276),'INSER DATA'!$A:$F,6,0),"")</f>
        <v/>
      </c>
      <c r="AH276" s="270" t="str">
        <f>_xlfn.IFNA(VLOOKUP(CONCATENATE(AH$4,$C276),'INSER DATA'!$A:$F,7,0),"")</f>
        <v/>
      </c>
      <c r="AI276" s="270" t="str">
        <f>_xlfn.IFNA(VLOOKUP(CONCATENATE(AI$4,$C276),'INSER DATA'!$A:$F,7,0),"")</f>
        <v/>
      </c>
      <c r="AJ276" s="270" t="str">
        <f>_xlfn.IFNA(VLOOKUP(CONCATENATE(AJ$4,$C276),'INSER DATA'!$A:$F,7,0),"")</f>
        <v/>
      </c>
      <c r="AK276" s="270" t="str">
        <f>_xlfn.IFNA(VLOOKUP(CONCATENATE(AK$4,$C276),'INSER DATA'!$A:$F,7,0),"")</f>
        <v/>
      </c>
      <c r="AL276" s="270" t="str">
        <f>_xlfn.IFNA(VLOOKUP(CONCATENATE(AL$4,$C276),'INSER DATA'!$A:$F,7,0),"")</f>
        <v/>
      </c>
      <c r="AM276" s="270" t="str">
        <f>_xlfn.IFNA(VLOOKUP(CONCATENATE(AM$4,$C276),'INSER DATA'!$A:$F,7,0),"")</f>
        <v/>
      </c>
      <c r="AN276" s="270" t="str">
        <f>_xlfn.IFNA(VLOOKUP(CONCATENATE(AN$4,$C276),'INSER DATA'!$A:$F,7,0),"")</f>
        <v/>
      </c>
      <c r="AO276" s="270" t="str">
        <f>_xlfn.IFNA(VLOOKUP(CONCATENATE(AO$4,$C276),'INSER DATA'!$A:$F,7,0),"")</f>
        <v/>
      </c>
      <c r="AP276" s="270" t="str">
        <f>_xlfn.IFNA(VLOOKUP(CONCATENATE(AP$4,$C276),'INSER DATA'!$A:$F,7,0),"")</f>
        <v/>
      </c>
      <c r="AQ276" s="270" t="str">
        <f>_xlfn.IFNA(VLOOKUP(CONCATENATE(AQ$4,$C276),'INSER DATA'!$A:$F,7,0),"")</f>
        <v/>
      </c>
      <c r="AR276" s="270" t="str">
        <f>_xlfn.IFNA(VLOOKUP(CONCATENATE(AR$4,$C276),'INSER DATA'!$A:$F,7,0),"")</f>
        <v/>
      </c>
      <c r="AS276" s="270" t="str">
        <f>_xlfn.IFNA(VLOOKUP(CONCATENATE(AS$4,$C276),'INSER DATA'!$A:$F,7,0),"")</f>
        <v/>
      </c>
      <c r="AT276" s="270" t="str">
        <f>_xlfn.IFNA(VLOOKUP(CONCATENATE(AT$4,$C276),'INSER DATA'!$A:$F,7,0),"")</f>
        <v/>
      </c>
      <c r="AU276" s="270" t="str">
        <f>_xlfn.IFNA(VLOOKUP(CONCATENATE(AU$4,$C276),'INSER DATA'!$A:$F,7,0),"")</f>
        <v/>
      </c>
      <c r="AV276" s="270" t="str">
        <f>_xlfn.IFNA(VLOOKUP(CONCATENATE(AV$4,$C276),'INSER DATA'!$A:$F,7,0),"")</f>
        <v/>
      </c>
      <c r="AW276" s="270" t="str">
        <f>_xlfn.IFNA(VLOOKUP(CONCATENATE(AW$4,$C276),'INSER DATA'!$A:$F,7,0),"")</f>
        <v/>
      </c>
      <c r="AX276" s="270" t="str">
        <f>_xlfn.IFNA(VLOOKUP(CONCATENATE(AX$4,$C276),'INSER DATA'!$A:$F,7,0),"")</f>
        <v/>
      </c>
      <c r="AY276" s="270" t="str">
        <f>_xlfn.IFNA(VLOOKUP(CONCATENATE(AY$4,$C276),'INSER DATA'!$A:$F,7,0),"")</f>
        <v/>
      </c>
      <c r="AZ276" s="270" t="str">
        <f>_xlfn.IFNA(VLOOKUP(CONCATENATE(AZ$4,$C276),'INSER DATA'!$A:$F,7,0),"")</f>
        <v/>
      </c>
      <c r="BA276" s="270" t="str">
        <f>_xlfn.IFNA(VLOOKUP(CONCATENATE(BA$4,$C276),'INSER DATA'!$A:$F,7,0),"")</f>
        <v/>
      </c>
      <c r="BB276" s="270" t="str">
        <f>_xlfn.IFNA(VLOOKUP(CONCATENATE(BB$4,$C276),'INSER DATA'!$A:$F,7,0),"")</f>
        <v/>
      </c>
      <c r="BC276" s="270" t="str">
        <f>_xlfn.IFNA(VLOOKUP(CONCATENATE(BC$4,$C276),'INSER DATA'!$A:$F,7,0),"")</f>
        <v/>
      </c>
      <c r="BD276" s="270" t="str">
        <f>_xlfn.IFNA(VLOOKUP(CONCATENATE(BD$4,$C276),'INSER DATA'!$A:$F,7,0),"")</f>
        <v/>
      </c>
      <c r="BE276" s="270" t="str">
        <f>_xlfn.IFNA(VLOOKUP(CONCATENATE(BE$4,$C276),'INSER DATA'!$A:$F,7,0),"")</f>
        <v/>
      </c>
      <c r="BF276" s="270" t="str">
        <f>_xlfn.IFNA(VLOOKUP(CONCATENATE(BF$4,$C276),'INSER DATA'!$A:$F,7,0),"")</f>
        <v/>
      </c>
      <c r="BG276" s="270" t="str">
        <f>_xlfn.IFNA(VLOOKUP(CONCATENATE(BG$4,$C276),'INSER DATA'!$A:$F,7,0),"")</f>
        <v/>
      </c>
      <c r="BH276" s="270" t="str">
        <f>_xlfn.IFNA(VLOOKUP(CONCATENATE(BH$4,$C276),'INSER DATA'!$A:$F,7,0),"")</f>
        <v/>
      </c>
      <c r="BI276" s="270" t="str">
        <f>_xlfn.IFNA(VLOOKUP(CONCATENATE(BI$4,$C276),'INSER DATA'!$A:$F,7,0),"")</f>
        <v/>
      </c>
      <c r="BJ276" s="270" t="str">
        <f>_xlfn.IFNA(VLOOKUP(CONCATENATE(BJ$4,$C276),'INSER DATA'!$A:$F,7,0),"")</f>
        <v/>
      </c>
      <c r="BK276" s="270" t="str">
        <f>_xlfn.IFNA(VLOOKUP(CONCATENATE(BK$4,$C276),'INSER DATA'!$A:$F,7,0),"")</f>
        <v/>
      </c>
      <c r="BL276" s="272"/>
      <c r="BM276" s="30"/>
      <c r="BN276" s="30"/>
      <c r="BO276" s="30"/>
      <c r="BP276" s="30"/>
      <c r="BQ276" s="30"/>
      <c r="BR276" s="30"/>
      <c r="BS276" s="30"/>
      <c r="BT276" s="30"/>
      <c r="BU276" s="30"/>
      <c r="BV276" s="30"/>
      <c r="BW276" s="30"/>
      <c r="BX276" s="30"/>
      <c r="BY276" s="30"/>
      <c r="BZ276" s="30"/>
      <c r="CA276" s="30"/>
      <c r="CB276" s="30"/>
      <c r="CC276" s="30"/>
      <c r="CD276" s="30"/>
      <c r="CE276" s="30"/>
      <c r="CF276" s="30"/>
      <c r="CG276" s="30"/>
      <c r="CH276" s="30"/>
      <c r="CI276" s="30"/>
      <c r="CJ276" s="30"/>
      <c r="CK276" s="30"/>
      <c r="CL276" s="30"/>
      <c r="CM276" s="30"/>
      <c r="CN276" s="30"/>
      <c r="CO276" s="30"/>
      <c r="CP276" s="30"/>
      <c r="CQ276" s="30"/>
      <c r="CR276" s="30"/>
      <c r="CS276" s="30"/>
      <c r="CT276" s="30"/>
      <c r="CU276" s="30"/>
      <c r="CV276" s="30"/>
      <c r="CW276" s="30"/>
      <c r="CX276" s="30"/>
      <c r="CY276" s="30"/>
      <c r="CZ276" s="30"/>
      <c r="DA276" s="30"/>
    </row>
    <row r="277" spans="1:105" ht="19.2" thickTop="1" thickBot="1" x14ac:dyDescent="0.4">
      <c r="A277" s="30"/>
      <c r="B277" s="30"/>
      <c r="C277" s="188" t="s">
        <v>825</v>
      </c>
      <c r="D277" s="46" t="s">
        <v>810</v>
      </c>
      <c r="E277" s="35" t="str">
        <f>_xlfn.XLOOKUP(Tabella4[[#This Row],[NOME]],'ROSE SQUADRE'!$N$3:$N$253,'ROSE SQUADRE'!$O$3:$O$253,"")</f>
        <v/>
      </c>
      <c r="F277" s="36" t="s">
        <v>163</v>
      </c>
      <c r="G277" s="43">
        <v>7</v>
      </c>
      <c r="H277" s="43">
        <v>7</v>
      </c>
      <c r="I277" s="44">
        <f t="shared" si="25"/>
        <v>0</v>
      </c>
      <c r="J277" s="37">
        <f t="shared" si="26"/>
        <v>4</v>
      </c>
      <c r="K277" s="38">
        <f t="shared" si="27"/>
        <v>5.5</v>
      </c>
      <c r="L277" s="38">
        <f t="shared" si="28"/>
        <v>5.5</v>
      </c>
      <c r="M277" s="39">
        <f t="shared" si="29"/>
        <v>22</v>
      </c>
      <c r="N277" s="45">
        <f t="shared" ca="1" si="30"/>
        <v>0</v>
      </c>
      <c r="O277" s="40">
        <f>SUMIF(Tabella1[Nome],Tabella4[[#This Row],[NOME]],Tabella1[Gf])</f>
        <v>0</v>
      </c>
      <c r="P277" s="40">
        <f>-(SUMIF(Tabella1[Nome],Tabella4[[#This Row],[NOME]],Tabella1[Gs]))</f>
        <v>0</v>
      </c>
      <c r="Q277" s="40">
        <f>SUMIF(Tabella1[Nome],Tabella4[[#This Row],[NOME]],Tabella1[Rp])</f>
        <v>0</v>
      </c>
      <c r="R277" s="40">
        <f>SUMIF(Tabella1[Nome],Tabella4[[#This Row],[NOME]],Tabella1[Rs])</f>
        <v>0</v>
      </c>
      <c r="S277" s="40">
        <f>SUMIF(Tabella1[Nome],Tabella4[[#This Row],[NOME]],Tabella1[Rf])</f>
        <v>0</v>
      </c>
      <c r="T277" s="40">
        <f>SUMIF(Tabella1[Nome],Tabella4[[#This Row],[NOME]],Tabella1[Au])</f>
        <v>0</v>
      </c>
      <c r="U277" s="41">
        <f>SUMIF(Tabella1[Nome],Tabella4[[#This Row],[NOME]],Tabella1[Amm])</f>
        <v>0</v>
      </c>
      <c r="V277" s="42">
        <f>SUMIF(Tabella1[Nome],Tabella4[[#This Row],[NOME]],Tabella1[Esp])</f>
        <v>0</v>
      </c>
      <c r="W277" s="40">
        <f>SUMIF(Tabella1[Nome],Tabella4[[#This Row],[NOME]],Tabella1[Ass])</f>
        <v>0</v>
      </c>
      <c r="X277" s="40">
        <f>SUMIF(Tabella1[Nome],Tabella4[[#This Row],[NOME]],Tabella1[Gdv])</f>
        <v>0</v>
      </c>
      <c r="Y277" s="40">
        <f>SUMIF(Tabella1[Nome],Tabella4[[#This Row],[NOME]],Tabella1[cl sh])</f>
        <v>0</v>
      </c>
      <c r="Z277" s="270">
        <f>_xlfn.IFNA(_xlfn.XLOOKUP(CONCATENATE(Z$4,$C277),Tabella1[CONC X VOTI IN TAB GIOC],Tabella1[Voto],""),"")</f>
        <v>5.5</v>
      </c>
      <c r="AA277" s="270">
        <f>_xlfn.IFNA(_xlfn.XLOOKUP(CONCATENATE(AA$4,$C277),Tabella1[CONC X VOTI IN TAB GIOC],Tabella1[Voto],""),"")</f>
        <v>5</v>
      </c>
      <c r="AB277" s="270">
        <f>_xlfn.IFNA(_xlfn.XLOOKUP(CONCATENATE(AB$4,$C277),Tabella1[CONC X VOTI IN TAB GIOC],Tabella1[Voto]),"")</f>
        <v>5.5</v>
      </c>
      <c r="AC277" s="270" cm="1">
        <f t="array" ref="AC277">_xlfn.IFNA(_xlfn.XLOOKUP(CONCATENATE(AC$4,$C277),INDEX(Tabella1[],0,MATCH("CONC X VOTI IN TAB GIOC",Tabella1[#Headers],0)),INDEX(Tabella1[],0,MATCH("Voto",Tabella1[#Headers],0))),"")</f>
        <v>6</v>
      </c>
      <c r="AD277" s="270" t="str">
        <f>_xlfn.IFNA(_xlfn.XLOOKUP(CONCATENATE(AD$4,$C277),Tabella1[CONC X VOTI IN TAB GIOC],Tabella1[Voto]),"")</f>
        <v/>
      </c>
      <c r="AE277" s="270" t="str">
        <f>_xlfn.IFNA(VLOOKUP(CONCATENATE(AE$4,$C277),'INSER DATA'!$A:$F,6,0),"")</f>
        <v/>
      </c>
      <c r="AF277" s="270" t="str">
        <f>_xlfn.IFNA(VLOOKUP(CONCATENATE(AF$4,$C277),'INSER DATA'!$A:$F,6,0),"")</f>
        <v/>
      </c>
      <c r="AG277" s="270" t="str">
        <f>_xlfn.IFNA(VLOOKUP(CONCATENATE(AG$4,$C277),'INSER DATA'!$A:$F,6,0),"")</f>
        <v/>
      </c>
      <c r="AH277" s="270" t="str">
        <f>_xlfn.IFNA(VLOOKUP(CONCATENATE(AH$4,$C277),'INSER DATA'!$A:$F,7,0),"")</f>
        <v/>
      </c>
      <c r="AI277" s="270" t="str">
        <f>_xlfn.IFNA(VLOOKUP(CONCATENATE(AI$4,$C277),'INSER DATA'!$A:$F,7,0),"")</f>
        <v/>
      </c>
      <c r="AJ277" s="270" t="str">
        <f>_xlfn.IFNA(VLOOKUP(CONCATENATE(AJ$4,$C277),'INSER DATA'!$A:$F,7,0),"")</f>
        <v/>
      </c>
      <c r="AK277" s="270" t="str">
        <f>_xlfn.IFNA(VLOOKUP(CONCATENATE(AK$4,$C277),'INSER DATA'!$A:$F,7,0),"")</f>
        <v/>
      </c>
      <c r="AL277" s="270" t="str">
        <f>_xlfn.IFNA(VLOOKUP(CONCATENATE(AL$4,$C277),'INSER DATA'!$A:$F,7,0),"")</f>
        <v/>
      </c>
      <c r="AM277" s="270" t="str">
        <f>_xlfn.IFNA(VLOOKUP(CONCATENATE(AM$4,$C277),'INSER DATA'!$A:$F,7,0),"")</f>
        <v/>
      </c>
      <c r="AN277" s="270" t="str">
        <f>_xlfn.IFNA(VLOOKUP(CONCATENATE(AN$4,$C277),'INSER DATA'!$A:$F,7,0),"")</f>
        <v/>
      </c>
      <c r="AO277" s="270" t="str">
        <f>_xlfn.IFNA(VLOOKUP(CONCATENATE(AO$4,$C277),'INSER DATA'!$A:$F,7,0),"")</f>
        <v/>
      </c>
      <c r="AP277" s="270" t="str">
        <f>_xlfn.IFNA(VLOOKUP(CONCATENATE(AP$4,$C277),'INSER DATA'!$A:$F,7,0),"")</f>
        <v/>
      </c>
      <c r="AQ277" s="270" t="str">
        <f>_xlfn.IFNA(VLOOKUP(CONCATENATE(AQ$4,$C277),'INSER DATA'!$A:$F,7,0),"")</f>
        <v/>
      </c>
      <c r="AR277" s="270" t="str">
        <f>_xlfn.IFNA(VLOOKUP(CONCATENATE(AR$4,$C277),'INSER DATA'!$A:$F,7,0),"")</f>
        <v/>
      </c>
      <c r="AS277" s="270" t="str">
        <f>_xlfn.IFNA(VLOOKUP(CONCATENATE(AS$4,$C277),'INSER DATA'!$A:$F,7,0),"")</f>
        <v/>
      </c>
      <c r="AT277" s="270" t="str">
        <f>_xlfn.IFNA(VLOOKUP(CONCATENATE(AT$4,$C277),'INSER DATA'!$A:$F,7,0),"")</f>
        <v/>
      </c>
      <c r="AU277" s="270" t="str">
        <f>_xlfn.IFNA(VLOOKUP(CONCATENATE(AU$4,$C277),'INSER DATA'!$A:$F,7,0),"")</f>
        <v/>
      </c>
      <c r="AV277" s="270" t="str">
        <f>_xlfn.IFNA(VLOOKUP(CONCATENATE(AV$4,$C277),'INSER DATA'!$A:$F,7,0),"")</f>
        <v/>
      </c>
      <c r="AW277" s="270" t="str">
        <f>_xlfn.IFNA(VLOOKUP(CONCATENATE(AW$4,$C277),'INSER DATA'!$A:$F,7,0),"")</f>
        <v/>
      </c>
      <c r="AX277" s="270" t="str">
        <f>_xlfn.IFNA(VLOOKUP(CONCATENATE(AX$4,$C277),'INSER DATA'!$A:$F,7,0),"")</f>
        <v/>
      </c>
      <c r="AY277" s="270" t="str">
        <f>_xlfn.IFNA(VLOOKUP(CONCATENATE(AY$4,$C277),'INSER DATA'!$A:$F,7,0),"")</f>
        <v/>
      </c>
      <c r="AZ277" s="270" t="str">
        <f>_xlfn.IFNA(VLOOKUP(CONCATENATE(AZ$4,$C277),'INSER DATA'!$A:$F,7,0),"")</f>
        <v/>
      </c>
      <c r="BA277" s="270" t="str">
        <f>_xlfn.IFNA(VLOOKUP(CONCATENATE(BA$4,$C277),'INSER DATA'!$A:$F,7,0),"")</f>
        <v/>
      </c>
      <c r="BB277" s="270" t="str">
        <f>_xlfn.IFNA(VLOOKUP(CONCATENATE(BB$4,$C277),'INSER DATA'!$A:$F,7,0),"")</f>
        <v/>
      </c>
      <c r="BC277" s="270" t="str">
        <f>_xlfn.IFNA(VLOOKUP(CONCATENATE(BC$4,$C277),'INSER DATA'!$A:$F,7,0),"")</f>
        <v/>
      </c>
      <c r="BD277" s="270" t="str">
        <f>_xlfn.IFNA(VLOOKUP(CONCATENATE(BD$4,$C277),'INSER DATA'!$A:$F,7,0),"")</f>
        <v/>
      </c>
      <c r="BE277" s="270" t="str">
        <f>_xlfn.IFNA(VLOOKUP(CONCATENATE(BE$4,$C277),'INSER DATA'!$A:$F,7,0),"")</f>
        <v/>
      </c>
      <c r="BF277" s="270" t="str">
        <f>_xlfn.IFNA(VLOOKUP(CONCATENATE(BF$4,$C277),'INSER DATA'!$A:$F,7,0),"")</f>
        <v/>
      </c>
      <c r="BG277" s="270" t="str">
        <f>_xlfn.IFNA(VLOOKUP(CONCATENATE(BG$4,$C277),'INSER DATA'!$A:$F,7,0),"")</f>
        <v/>
      </c>
      <c r="BH277" s="270" t="str">
        <f>_xlfn.IFNA(VLOOKUP(CONCATENATE(BH$4,$C277),'INSER DATA'!$A:$F,7,0),"")</f>
        <v/>
      </c>
      <c r="BI277" s="270" t="str">
        <f>_xlfn.IFNA(VLOOKUP(CONCATENATE(BI$4,$C277),'INSER DATA'!$A:$F,7,0),"")</f>
        <v/>
      </c>
      <c r="BJ277" s="270" t="str">
        <f>_xlfn.IFNA(VLOOKUP(CONCATENATE(BJ$4,$C277),'INSER DATA'!$A:$F,7,0),"")</f>
        <v/>
      </c>
      <c r="BK277" s="270" t="str">
        <f>_xlfn.IFNA(VLOOKUP(CONCATENATE(BK$4,$C277),'INSER DATA'!$A:$F,7,0),"")</f>
        <v/>
      </c>
      <c r="BL277" s="272"/>
      <c r="BM277" s="30"/>
      <c r="BN277" s="30"/>
      <c r="BO277" s="30"/>
      <c r="BP277" s="30"/>
      <c r="BQ277" s="30"/>
      <c r="BR277" s="30"/>
      <c r="BS277" s="30"/>
      <c r="BT277" s="30"/>
      <c r="BU277" s="30"/>
      <c r="BV277" s="30"/>
      <c r="BW277" s="30"/>
      <c r="BX277" s="30"/>
      <c r="BY277" s="30"/>
      <c r="BZ277" s="30"/>
      <c r="CA277" s="30"/>
      <c r="CB277" s="30"/>
      <c r="CC277" s="30"/>
      <c r="CD277" s="30"/>
      <c r="CE277" s="30"/>
      <c r="CF277" s="30"/>
      <c r="CG277" s="30"/>
      <c r="CH277" s="30"/>
      <c r="CI277" s="30"/>
      <c r="CJ277" s="30"/>
      <c r="CK277" s="30"/>
      <c r="CL277" s="30"/>
      <c r="CM277" s="30"/>
      <c r="CN277" s="30"/>
      <c r="CO277" s="30"/>
      <c r="CP277" s="30"/>
      <c r="CQ277" s="30"/>
      <c r="CR277" s="30"/>
      <c r="CS277" s="30"/>
      <c r="CT277" s="30"/>
      <c r="CU277" s="30"/>
      <c r="CV277" s="30"/>
      <c r="CW277" s="30"/>
      <c r="CX277" s="30"/>
      <c r="CY277" s="30"/>
      <c r="CZ277" s="30"/>
      <c r="DA277" s="30"/>
    </row>
    <row r="278" spans="1:105" ht="19.2" thickTop="1" thickBot="1" x14ac:dyDescent="0.4">
      <c r="A278" s="30"/>
      <c r="B278" s="30"/>
      <c r="C278" s="185" t="s">
        <v>809</v>
      </c>
      <c r="D278" s="46" t="s">
        <v>810</v>
      </c>
      <c r="E278" s="35" t="str">
        <f>_xlfn.XLOOKUP(Tabella4[[#This Row],[NOME]],'ROSE SQUADRE'!$N$3:$N$253,'ROSE SQUADRE'!$O$3:$O$253,"")</f>
        <v/>
      </c>
      <c r="F278" s="36" t="s">
        <v>5</v>
      </c>
      <c r="G278" s="43">
        <v>1</v>
      </c>
      <c r="H278" s="43">
        <v>1</v>
      </c>
      <c r="I278" s="44">
        <f t="shared" si="25"/>
        <v>0</v>
      </c>
      <c r="J278" s="37">
        <f t="shared" si="26"/>
        <v>0</v>
      </c>
      <c r="K278" s="38">
        <f t="shared" si="27"/>
        <v>0</v>
      </c>
      <c r="L278" s="38">
        <f t="shared" si="28"/>
        <v>0</v>
      </c>
      <c r="M278" s="39">
        <f t="shared" si="29"/>
        <v>0</v>
      </c>
      <c r="N278" s="45">
        <f t="shared" ca="1" si="30"/>
        <v>0</v>
      </c>
      <c r="O278" s="40">
        <f>SUMIF(Tabella1[Nome],Tabella4[[#This Row],[NOME]],Tabella1[Gf])</f>
        <v>0</v>
      </c>
      <c r="P278" s="40">
        <f>-(SUMIF(Tabella1[Nome],Tabella4[[#This Row],[NOME]],Tabella1[Gs]))</f>
        <v>0</v>
      </c>
      <c r="Q278" s="40">
        <f>SUMIF(Tabella1[Nome],Tabella4[[#This Row],[NOME]],Tabella1[Rp])</f>
        <v>0</v>
      </c>
      <c r="R278" s="40">
        <f>SUMIF(Tabella1[Nome],Tabella4[[#This Row],[NOME]],Tabella1[Rs])</f>
        <v>0</v>
      </c>
      <c r="S278" s="40">
        <f>SUMIF(Tabella1[Nome],Tabella4[[#This Row],[NOME]],Tabella1[Rf])</f>
        <v>0</v>
      </c>
      <c r="T278" s="40">
        <f>SUMIF(Tabella1[Nome],Tabella4[[#This Row],[NOME]],Tabella1[Au])</f>
        <v>0</v>
      </c>
      <c r="U278" s="41">
        <f>SUMIF(Tabella1[Nome],Tabella4[[#This Row],[NOME]],Tabella1[Amm])</f>
        <v>0</v>
      </c>
      <c r="V278" s="42">
        <f>SUMIF(Tabella1[Nome],Tabella4[[#This Row],[NOME]],Tabella1[Esp])</f>
        <v>0</v>
      </c>
      <c r="W278" s="40">
        <f>SUMIF(Tabella1[Nome],Tabella4[[#This Row],[NOME]],Tabella1[Ass])</f>
        <v>0</v>
      </c>
      <c r="X278" s="40">
        <f>SUMIF(Tabella1[Nome],Tabella4[[#This Row],[NOME]],Tabella1[Gdv])</f>
        <v>0</v>
      </c>
      <c r="Y278" s="40">
        <f>SUMIF(Tabella1[Nome],Tabella4[[#This Row],[NOME]],Tabella1[cl sh])</f>
        <v>0</v>
      </c>
      <c r="Z278" s="270" t="str">
        <f>_xlfn.IFNA(_xlfn.XLOOKUP(CONCATENATE(Z$4,$C278),Tabella1[CONC X VOTI IN TAB GIOC],Tabella1[Voto],""),"")</f>
        <v/>
      </c>
      <c r="AA278" s="270" t="str">
        <f>_xlfn.IFNA(_xlfn.XLOOKUP(CONCATENATE(AA$4,$C278),Tabella1[CONC X VOTI IN TAB GIOC],Tabella1[Voto],""),"")</f>
        <v/>
      </c>
      <c r="AB278" s="270" t="str">
        <f>_xlfn.IFNA(_xlfn.XLOOKUP(CONCATENATE(AB$4,$C278),Tabella1[CONC X VOTI IN TAB GIOC],Tabella1[Voto]),"")</f>
        <v/>
      </c>
      <c r="AC278" s="270" t="str" cm="1">
        <f t="array" ref="AC278">_xlfn.IFNA(_xlfn.XLOOKUP(CONCATENATE(AC$4,$C278),INDEX(Tabella1[],0,MATCH("CONC X VOTI IN TAB GIOC",Tabella1[#Headers],0)),INDEX(Tabella1[],0,MATCH("Voto",Tabella1[#Headers],0))),"")</f>
        <v/>
      </c>
      <c r="AD278" s="270" t="str">
        <f>_xlfn.IFNA(_xlfn.XLOOKUP(CONCATENATE(AD$4,$C278),Tabella1[CONC X VOTI IN TAB GIOC],Tabella1[Voto]),"")</f>
        <v/>
      </c>
      <c r="AE278" s="270" t="str">
        <f>_xlfn.IFNA(VLOOKUP(CONCATENATE(AE$4,$C278),'INSER DATA'!$A:$F,6,0),"")</f>
        <v/>
      </c>
      <c r="AF278" s="270" t="str">
        <f>_xlfn.IFNA(VLOOKUP(CONCATENATE(AF$4,$C278),'INSER DATA'!$A:$F,6,0),"")</f>
        <v/>
      </c>
      <c r="AG278" s="270" t="str">
        <f>_xlfn.IFNA(VLOOKUP(CONCATENATE(AG$4,$C278),'INSER DATA'!$A:$F,6,0),"")</f>
        <v/>
      </c>
      <c r="AH278" s="270" t="str">
        <f>_xlfn.IFNA(VLOOKUP(CONCATENATE(AH$4,$C278),'INSER DATA'!$A:$F,7,0),"")</f>
        <v/>
      </c>
      <c r="AI278" s="270" t="str">
        <f>_xlfn.IFNA(VLOOKUP(CONCATENATE(AI$4,$C278),'INSER DATA'!$A:$F,7,0),"")</f>
        <v/>
      </c>
      <c r="AJ278" s="270" t="str">
        <f>_xlfn.IFNA(VLOOKUP(CONCATENATE(AJ$4,$C278),'INSER DATA'!$A:$F,7,0),"")</f>
        <v/>
      </c>
      <c r="AK278" s="270" t="str">
        <f>_xlfn.IFNA(VLOOKUP(CONCATENATE(AK$4,$C278),'INSER DATA'!$A:$F,7,0),"")</f>
        <v/>
      </c>
      <c r="AL278" s="270" t="str">
        <f>_xlfn.IFNA(VLOOKUP(CONCATENATE(AL$4,$C278),'INSER DATA'!$A:$F,7,0),"")</f>
        <v/>
      </c>
      <c r="AM278" s="270" t="str">
        <f>_xlfn.IFNA(VLOOKUP(CONCATENATE(AM$4,$C278),'INSER DATA'!$A:$F,7,0),"")</f>
        <v/>
      </c>
      <c r="AN278" s="270" t="str">
        <f>_xlfn.IFNA(VLOOKUP(CONCATENATE(AN$4,$C278),'INSER DATA'!$A:$F,7,0),"")</f>
        <v/>
      </c>
      <c r="AO278" s="270" t="str">
        <f>_xlfn.IFNA(VLOOKUP(CONCATENATE(AO$4,$C278),'INSER DATA'!$A:$F,7,0),"")</f>
        <v/>
      </c>
      <c r="AP278" s="270" t="str">
        <f>_xlfn.IFNA(VLOOKUP(CONCATENATE(AP$4,$C278),'INSER DATA'!$A:$F,7,0),"")</f>
        <v/>
      </c>
      <c r="AQ278" s="270" t="str">
        <f>_xlfn.IFNA(VLOOKUP(CONCATENATE(AQ$4,$C278),'INSER DATA'!$A:$F,7,0),"")</f>
        <v/>
      </c>
      <c r="AR278" s="270" t="str">
        <f>_xlfn.IFNA(VLOOKUP(CONCATENATE(AR$4,$C278),'INSER DATA'!$A:$F,7,0),"")</f>
        <v/>
      </c>
      <c r="AS278" s="270" t="str">
        <f>_xlfn.IFNA(VLOOKUP(CONCATENATE(AS$4,$C278),'INSER DATA'!$A:$F,7,0),"")</f>
        <v/>
      </c>
      <c r="AT278" s="270" t="str">
        <f>_xlfn.IFNA(VLOOKUP(CONCATENATE(AT$4,$C278),'INSER DATA'!$A:$F,7,0),"")</f>
        <v/>
      </c>
      <c r="AU278" s="270" t="str">
        <f>_xlfn.IFNA(VLOOKUP(CONCATENATE(AU$4,$C278),'INSER DATA'!$A:$F,7,0),"")</f>
        <v/>
      </c>
      <c r="AV278" s="270" t="str">
        <f>_xlfn.IFNA(VLOOKUP(CONCATENATE(AV$4,$C278),'INSER DATA'!$A:$F,7,0),"")</f>
        <v/>
      </c>
      <c r="AW278" s="270" t="str">
        <f>_xlfn.IFNA(VLOOKUP(CONCATENATE(AW$4,$C278),'INSER DATA'!$A:$F,7,0),"")</f>
        <v/>
      </c>
      <c r="AX278" s="270" t="str">
        <f>_xlfn.IFNA(VLOOKUP(CONCATENATE(AX$4,$C278),'INSER DATA'!$A:$F,7,0),"")</f>
        <v/>
      </c>
      <c r="AY278" s="270" t="str">
        <f>_xlfn.IFNA(VLOOKUP(CONCATENATE(AY$4,$C278),'INSER DATA'!$A:$F,7,0),"")</f>
        <v/>
      </c>
      <c r="AZ278" s="270" t="str">
        <f>_xlfn.IFNA(VLOOKUP(CONCATENATE(AZ$4,$C278),'INSER DATA'!$A:$F,7,0),"")</f>
        <v/>
      </c>
      <c r="BA278" s="270" t="str">
        <f>_xlfn.IFNA(VLOOKUP(CONCATENATE(BA$4,$C278),'INSER DATA'!$A:$F,7,0),"")</f>
        <v/>
      </c>
      <c r="BB278" s="270" t="str">
        <f>_xlfn.IFNA(VLOOKUP(CONCATENATE(BB$4,$C278),'INSER DATA'!$A:$F,7,0),"")</f>
        <v/>
      </c>
      <c r="BC278" s="270" t="str">
        <f>_xlfn.IFNA(VLOOKUP(CONCATENATE(BC$4,$C278),'INSER DATA'!$A:$F,7,0),"")</f>
        <v/>
      </c>
      <c r="BD278" s="270" t="str">
        <f>_xlfn.IFNA(VLOOKUP(CONCATENATE(BD$4,$C278),'INSER DATA'!$A:$F,7,0),"")</f>
        <v/>
      </c>
      <c r="BE278" s="270" t="str">
        <f>_xlfn.IFNA(VLOOKUP(CONCATENATE(BE$4,$C278),'INSER DATA'!$A:$F,7,0),"")</f>
        <v/>
      </c>
      <c r="BF278" s="270" t="str">
        <f>_xlfn.IFNA(VLOOKUP(CONCATENATE(BF$4,$C278),'INSER DATA'!$A:$F,7,0),"")</f>
        <v/>
      </c>
      <c r="BG278" s="270" t="str">
        <f>_xlfn.IFNA(VLOOKUP(CONCATENATE(BG$4,$C278),'INSER DATA'!$A:$F,7,0),"")</f>
        <v/>
      </c>
      <c r="BH278" s="270" t="str">
        <f>_xlfn.IFNA(VLOOKUP(CONCATENATE(BH$4,$C278),'INSER DATA'!$A:$F,7,0),"")</f>
        <v/>
      </c>
      <c r="BI278" s="270" t="str">
        <f>_xlfn.IFNA(VLOOKUP(CONCATENATE(BI$4,$C278),'INSER DATA'!$A:$F,7,0),"")</f>
        <v/>
      </c>
      <c r="BJ278" s="270" t="str">
        <f>_xlfn.IFNA(VLOOKUP(CONCATENATE(BJ$4,$C278),'INSER DATA'!$A:$F,7,0),"")</f>
        <v/>
      </c>
      <c r="BK278" s="270" t="str">
        <f>_xlfn.IFNA(VLOOKUP(CONCATENATE(BK$4,$C278),'INSER DATA'!$A:$F,7,0),"")</f>
        <v/>
      </c>
      <c r="BL278" s="272"/>
      <c r="BM278" s="30"/>
      <c r="BN278" s="30"/>
      <c r="BO278" s="30"/>
      <c r="BP278" s="30"/>
      <c r="BQ278" s="30"/>
      <c r="BR278" s="30"/>
      <c r="BS278" s="30"/>
      <c r="BT278" s="30"/>
      <c r="BU278" s="30"/>
      <c r="BV278" s="30"/>
      <c r="BW278" s="30"/>
      <c r="BX278" s="30"/>
      <c r="BY278" s="30"/>
      <c r="BZ278" s="30"/>
      <c r="CA278" s="30"/>
      <c r="CB278" s="30"/>
      <c r="CC278" s="30"/>
      <c r="CD278" s="30"/>
      <c r="CE278" s="30"/>
      <c r="CF278" s="30"/>
      <c r="CG278" s="30"/>
      <c r="CH278" s="30"/>
      <c r="CI278" s="30"/>
      <c r="CJ278" s="30"/>
      <c r="CK278" s="30"/>
      <c r="CL278" s="30"/>
      <c r="CM278" s="30"/>
      <c r="CN278" s="30"/>
      <c r="CO278" s="30"/>
      <c r="CP278" s="30"/>
      <c r="CQ278" s="30"/>
      <c r="CR278" s="30"/>
      <c r="CS278" s="30"/>
      <c r="CT278" s="30"/>
      <c r="CU278" s="30"/>
      <c r="CV278" s="30"/>
      <c r="CW278" s="30"/>
      <c r="CX278" s="30"/>
      <c r="CY278" s="30"/>
      <c r="CZ278" s="30"/>
      <c r="DA278" s="30"/>
    </row>
    <row r="279" spans="1:105" ht="19.2" thickTop="1" thickBot="1" x14ac:dyDescent="0.4">
      <c r="A279" s="30"/>
      <c r="B279" s="30"/>
      <c r="C279" s="188" t="s">
        <v>811</v>
      </c>
      <c r="D279" s="46" t="s">
        <v>810</v>
      </c>
      <c r="E279" s="35" t="str">
        <f>_xlfn.XLOOKUP(Tabella4[[#This Row],[NOME]],'ROSE SQUADRE'!$N$3:$N$253,'ROSE SQUADRE'!$O$3:$O$253,"")</f>
        <v/>
      </c>
      <c r="F279" s="36" t="s">
        <v>5</v>
      </c>
      <c r="G279" s="43">
        <v>1</v>
      </c>
      <c r="H279" s="43">
        <v>1</v>
      </c>
      <c r="I279" s="44">
        <f t="shared" si="25"/>
        <v>0</v>
      </c>
      <c r="J279" s="37">
        <f t="shared" si="26"/>
        <v>0</v>
      </c>
      <c r="K279" s="38">
        <f t="shared" si="27"/>
        <v>0</v>
      </c>
      <c r="L279" s="38">
        <f t="shared" si="28"/>
        <v>0</v>
      </c>
      <c r="M279" s="39">
        <f t="shared" si="29"/>
        <v>0</v>
      </c>
      <c r="N279" s="45">
        <f t="shared" ca="1" si="30"/>
        <v>0</v>
      </c>
      <c r="O279" s="40">
        <f>SUMIF(Tabella1[Nome],Tabella4[[#This Row],[NOME]],Tabella1[Gf])</f>
        <v>0</v>
      </c>
      <c r="P279" s="40">
        <f>-(SUMIF(Tabella1[Nome],Tabella4[[#This Row],[NOME]],Tabella1[Gs]))</f>
        <v>0</v>
      </c>
      <c r="Q279" s="40">
        <f>SUMIF(Tabella1[Nome],Tabella4[[#This Row],[NOME]],Tabella1[Rp])</f>
        <v>0</v>
      </c>
      <c r="R279" s="40">
        <f>SUMIF(Tabella1[Nome],Tabella4[[#This Row],[NOME]],Tabella1[Rs])</f>
        <v>0</v>
      </c>
      <c r="S279" s="40">
        <f>SUMIF(Tabella1[Nome],Tabella4[[#This Row],[NOME]],Tabella1[Rf])</f>
        <v>0</v>
      </c>
      <c r="T279" s="40">
        <f>SUMIF(Tabella1[Nome],Tabella4[[#This Row],[NOME]],Tabella1[Au])</f>
        <v>0</v>
      </c>
      <c r="U279" s="41">
        <f>SUMIF(Tabella1[Nome],Tabella4[[#This Row],[NOME]],Tabella1[Amm])</f>
        <v>0</v>
      </c>
      <c r="V279" s="42">
        <f>SUMIF(Tabella1[Nome],Tabella4[[#This Row],[NOME]],Tabella1[Esp])</f>
        <v>0</v>
      </c>
      <c r="W279" s="40">
        <f>SUMIF(Tabella1[Nome],Tabella4[[#This Row],[NOME]],Tabella1[Ass])</f>
        <v>0</v>
      </c>
      <c r="X279" s="40">
        <f>SUMIF(Tabella1[Nome],Tabella4[[#This Row],[NOME]],Tabella1[Gdv])</f>
        <v>0</v>
      </c>
      <c r="Y279" s="40">
        <f>SUMIF(Tabella1[Nome],Tabella4[[#This Row],[NOME]],Tabella1[cl sh])</f>
        <v>0</v>
      </c>
      <c r="Z279" s="270" t="str">
        <f>_xlfn.IFNA(_xlfn.XLOOKUP(CONCATENATE(Z$4,$C279),Tabella1[CONC X VOTI IN TAB GIOC],Tabella1[Voto],""),"")</f>
        <v/>
      </c>
      <c r="AA279" s="270" t="str">
        <f>_xlfn.IFNA(_xlfn.XLOOKUP(CONCATENATE(AA$4,$C279),Tabella1[CONC X VOTI IN TAB GIOC],Tabella1[Voto],""),"")</f>
        <v/>
      </c>
      <c r="AB279" s="270" t="str">
        <f>_xlfn.IFNA(_xlfn.XLOOKUP(CONCATENATE(AB$4,$C279),Tabella1[CONC X VOTI IN TAB GIOC],Tabella1[Voto]),"")</f>
        <v/>
      </c>
      <c r="AC279" s="270" t="str" cm="1">
        <f t="array" ref="AC279">_xlfn.IFNA(_xlfn.XLOOKUP(CONCATENATE(AC$4,$C279),INDEX(Tabella1[],0,MATCH("CONC X VOTI IN TAB GIOC",Tabella1[#Headers],0)),INDEX(Tabella1[],0,MATCH("Voto",Tabella1[#Headers],0))),"")</f>
        <v/>
      </c>
      <c r="AD279" s="270" t="str">
        <f>_xlfn.IFNA(_xlfn.XLOOKUP(CONCATENATE(AD$4,$C279),Tabella1[CONC X VOTI IN TAB GIOC],Tabella1[Voto]),"")</f>
        <v/>
      </c>
      <c r="AE279" s="270" t="str">
        <f>_xlfn.IFNA(VLOOKUP(CONCATENATE(AE$4,$C279),'INSER DATA'!$A:$F,6,0),"")</f>
        <v/>
      </c>
      <c r="AF279" s="270" t="str">
        <f>_xlfn.IFNA(VLOOKUP(CONCATENATE(AF$4,$C279),'INSER DATA'!$A:$F,6,0),"")</f>
        <v/>
      </c>
      <c r="AG279" s="270" t="str">
        <f>_xlfn.IFNA(VLOOKUP(CONCATENATE(AG$4,$C279),'INSER DATA'!$A:$F,6,0),"")</f>
        <v/>
      </c>
      <c r="AH279" s="270" t="str">
        <f>_xlfn.IFNA(VLOOKUP(CONCATENATE(AH$4,$C279),'INSER DATA'!$A:$F,7,0),"")</f>
        <v/>
      </c>
      <c r="AI279" s="270" t="str">
        <f>_xlfn.IFNA(VLOOKUP(CONCATENATE(AI$4,$C279),'INSER DATA'!$A:$F,7,0),"")</f>
        <v/>
      </c>
      <c r="AJ279" s="270" t="str">
        <f>_xlfn.IFNA(VLOOKUP(CONCATENATE(AJ$4,$C279),'INSER DATA'!$A:$F,7,0),"")</f>
        <v/>
      </c>
      <c r="AK279" s="270" t="str">
        <f>_xlfn.IFNA(VLOOKUP(CONCATENATE(AK$4,$C279),'INSER DATA'!$A:$F,7,0),"")</f>
        <v/>
      </c>
      <c r="AL279" s="270" t="str">
        <f>_xlfn.IFNA(VLOOKUP(CONCATENATE(AL$4,$C279),'INSER DATA'!$A:$F,7,0),"")</f>
        <v/>
      </c>
      <c r="AM279" s="270" t="str">
        <f>_xlfn.IFNA(VLOOKUP(CONCATENATE(AM$4,$C279),'INSER DATA'!$A:$F,7,0),"")</f>
        <v/>
      </c>
      <c r="AN279" s="270" t="str">
        <f>_xlfn.IFNA(VLOOKUP(CONCATENATE(AN$4,$C279),'INSER DATA'!$A:$F,7,0),"")</f>
        <v/>
      </c>
      <c r="AO279" s="270" t="str">
        <f>_xlfn.IFNA(VLOOKUP(CONCATENATE(AO$4,$C279),'INSER DATA'!$A:$F,7,0),"")</f>
        <v/>
      </c>
      <c r="AP279" s="270" t="str">
        <f>_xlfn.IFNA(VLOOKUP(CONCATENATE(AP$4,$C279),'INSER DATA'!$A:$F,7,0),"")</f>
        <v/>
      </c>
      <c r="AQ279" s="270" t="str">
        <f>_xlfn.IFNA(VLOOKUP(CONCATENATE(AQ$4,$C279),'INSER DATA'!$A:$F,7,0),"")</f>
        <v/>
      </c>
      <c r="AR279" s="270" t="str">
        <f>_xlfn.IFNA(VLOOKUP(CONCATENATE(AR$4,$C279),'INSER DATA'!$A:$F,7,0),"")</f>
        <v/>
      </c>
      <c r="AS279" s="270" t="str">
        <f>_xlfn.IFNA(VLOOKUP(CONCATENATE(AS$4,$C279),'INSER DATA'!$A:$F,7,0),"")</f>
        <v/>
      </c>
      <c r="AT279" s="270" t="str">
        <f>_xlfn.IFNA(VLOOKUP(CONCATENATE(AT$4,$C279),'INSER DATA'!$A:$F,7,0),"")</f>
        <v/>
      </c>
      <c r="AU279" s="270" t="str">
        <f>_xlfn.IFNA(VLOOKUP(CONCATENATE(AU$4,$C279),'INSER DATA'!$A:$F,7,0),"")</f>
        <v/>
      </c>
      <c r="AV279" s="270" t="str">
        <f>_xlfn.IFNA(VLOOKUP(CONCATENATE(AV$4,$C279),'INSER DATA'!$A:$F,7,0),"")</f>
        <v/>
      </c>
      <c r="AW279" s="270" t="str">
        <f>_xlfn.IFNA(VLOOKUP(CONCATENATE(AW$4,$C279),'INSER DATA'!$A:$F,7,0),"")</f>
        <v/>
      </c>
      <c r="AX279" s="270" t="str">
        <f>_xlfn.IFNA(VLOOKUP(CONCATENATE(AX$4,$C279),'INSER DATA'!$A:$F,7,0),"")</f>
        <v/>
      </c>
      <c r="AY279" s="270" t="str">
        <f>_xlfn.IFNA(VLOOKUP(CONCATENATE(AY$4,$C279),'INSER DATA'!$A:$F,7,0),"")</f>
        <v/>
      </c>
      <c r="AZ279" s="270" t="str">
        <f>_xlfn.IFNA(VLOOKUP(CONCATENATE(AZ$4,$C279),'INSER DATA'!$A:$F,7,0),"")</f>
        <v/>
      </c>
      <c r="BA279" s="270" t="str">
        <f>_xlfn.IFNA(VLOOKUP(CONCATENATE(BA$4,$C279),'INSER DATA'!$A:$F,7,0),"")</f>
        <v/>
      </c>
      <c r="BB279" s="270" t="str">
        <f>_xlfn.IFNA(VLOOKUP(CONCATENATE(BB$4,$C279),'INSER DATA'!$A:$F,7,0),"")</f>
        <v/>
      </c>
      <c r="BC279" s="270" t="str">
        <f>_xlfn.IFNA(VLOOKUP(CONCATENATE(BC$4,$C279),'INSER DATA'!$A:$F,7,0),"")</f>
        <v/>
      </c>
      <c r="BD279" s="270" t="str">
        <f>_xlfn.IFNA(VLOOKUP(CONCATENATE(BD$4,$C279),'INSER DATA'!$A:$F,7,0),"")</f>
        <v/>
      </c>
      <c r="BE279" s="270" t="str">
        <f>_xlfn.IFNA(VLOOKUP(CONCATENATE(BE$4,$C279),'INSER DATA'!$A:$F,7,0),"")</f>
        <v/>
      </c>
      <c r="BF279" s="270" t="str">
        <f>_xlfn.IFNA(VLOOKUP(CONCATENATE(BF$4,$C279),'INSER DATA'!$A:$F,7,0),"")</f>
        <v/>
      </c>
      <c r="BG279" s="270" t="str">
        <f>_xlfn.IFNA(VLOOKUP(CONCATENATE(BG$4,$C279),'INSER DATA'!$A:$F,7,0),"")</f>
        <v/>
      </c>
      <c r="BH279" s="270" t="str">
        <f>_xlfn.IFNA(VLOOKUP(CONCATENATE(BH$4,$C279),'INSER DATA'!$A:$F,7,0),"")</f>
        <v/>
      </c>
      <c r="BI279" s="270" t="str">
        <f>_xlfn.IFNA(VLOOKUP(CONCATENATE(BI$4,$C279),'INSER DATA'!$A:$F,7,0),"")</f>
        <v/>
      </c>
      <c r="BJ279" s="270" t="str">
        <f>_xlfn.IFNA(VLOOKUP(CONCATENATE(BJ$4,$C279),'INSER DATA'!$A:$F,7,0),"")</f>
        <v/>
      </c>
      <c r="BK279" s="270" t="str">
        <f>_xlfn.IFNA(VLOOKUP(CONCATENATE(BK$4,$C279),'INSER DATA'!$A:$F,7,0),"")</f>
        <v/>
      </c>
      <c r="BL279" s="272"/>
      <c r="BM279" s="30"/>
      <c r="BN279" s="30"/>
      <c r="BO279" s="30"/>
      <c r="BP279" s="30"/>
      <c r="BQ279" s="30"/>
      <c r="BR279" s="30"/>
      <c r="BS279" s="30"/>
      <c r="BT279" s="30"/>
      <c r="BU279" s="30"/>
      <c r="BV279" s="30"/>
      <c r="BW279" s="30"/>
      <c r="BX279" s="30"/>
      <c r="BY279" s="30"/>
      <c r="BZ279" s="30"/>
      <c r="CA279" s="30"/>
      <c r="CB279" s="30"/>
      <c r="CC279" s="30"/>
      <c r="CD279" s="30"/>
      <c r="CE279" s="30"/>
      <c r="CF279" s="30"/>
      <c r="CG279" s="30"/>
      <c r="CH279" s="30"/>
      <c r="CI279" s="30"/>
      <c r="CJ279" s="30"/>
      <c r="CK279" s="30"/>
      <c r="CL279" s="30"/>
      <c r="CM279" s="30"/>
      <c r="CN279" s="30"/>
      <c r="CO279" s="30"/>
      <c r="CP279" s="30"/>
      <c r="CQ279" s="30"/>
      <c r="CR279" s="30"/>
      <c r="CS279" s="30"/>
      <c r="CT279" s="30"/>
      <c r="CU279" s="30"/>
      <c r="CV279" s="30"/>
      <c r="CW279" s="30"/>
      <c r="CX279" s="30"/>
      <c r="CY279" s="30"/>
      <c r="CZ279" s="30"/>
      <c r="DA279" s="30"/>
    </row>
    <row r="280" spans="1:105" ht="19.2" thickTop="1" thickBot="1" x14ac:dyDescent="0.4">
      <c r="A280" s="30"/>
      <c r="B280" s="30"/>
      <c r="C280" s="185" t="s">
        <v>812</v>
      </c>
      <c r="D280" s="46" t="s">
        <v>810</v>
      </c>
      <c r="E280" s="35" t="str">
        <f>_xlfn.XLOOKUP(Tabella4[[#This Row],[NOME]],'ROSE SQUADRE'!$N$3:$N$253,'ROSE SQUADRE'!$O$3:$O$253,"")</f>
        <v/>
      </c>
      <c r="F280" s="36" t="s">
        <v>161</v>
      </c>
      <c r="G280" s="43">
        <v>2</v>
      </c>
      <c r="H280" s="43">
        <v>2</v>
      </c>
      <c r="I280" s="44">
        <f t="shared" si="25"/>
        <v>0</v>
      </c>
      <c r="J280" s="37">
        <f t="shared" si="26"/>
        <v>0</v>
      </c>
      <c r="K280" s="178">
        <f t="shared" si="27"/>
        <v>0</v>
      </c>
      <c r="L280" s="178">
        <f t="shared" si="28"/>
        <v>0</v>
      </c>
      <c r="M280" s="179">
        <f t="shared" si="29"/>
        <v>0</v>
      </c>
      <c r="N280" s="45">
        <f t="shared" ca="1" si="30"/>
        <v>0</v>
      </c>
      <c r="O280" s="40">
        <f>SUMIF(Tabella1[Nome],Tabella4[[#This Row],[NOME]],Tabella1[Gf])</f>
        <v>0</v>
      </c>
      <c r="P280" s="40">
        <f>-(SUMIF(Tabella1[Nome],Tabella4[[#This Row],[NOME]],Tabella1[Gs]))</f>
        <v>0</v>
      </c>
      <c r="Q280" s="40">
        <f>SUMIF(Tabella1[Nome],Tabella4[[#This Row],[NOME]],Tabella1[Rp])</f>
        <v>0</v>
      </c>
      <c r="R280" s="40">
        <f>SUMIF(Tabella1[Nome],Tabella4[[#This Row],[NOME]],Tabella1[Rs])</f>
        <v>0</v>
      </c>
      <c r="S280" s="40">
        <f>SUMIF(Tabella1[Nome],Tabella4[[#This Row],[NOME]],Tabella1[Rf])</f>
        <v>0</v>
      </c>
      <c r="T280" s="40">
        <f>SUMIF(Tabella1[Nome],Tabella4[[#This Row],[NOME]],Tabella1[Au])</f>
        <v>0</v>
      </c>
      <c r="U280" s="41">
        <f>SUMIF(Tabella1[Nome],Tabella4[[#This Row],[NOME]],Tabella1[Amm])</f>
        <v>0</v>
      </c>
      <c r="V280" s="42">
        <f>SUMIF(Tabella1[Nome],Tabella4[[#This Row],[NOME]],Tabella1[Esp])</f>
        <v>0</v>
      </c>
      <c r="W280" s="40">
        <f>SUMIF(Tabella1[Nome],Tabella4[[#This Row],[NOME]],Tabella1[Ass])</f>
        <v>0</v>
      </c>
      <c r="X280" s="40">
        <f>SUMIF(Tabella1[Nome],Tabella4[[#This Row],[NOME]],Tabella1[Gdv])</f>
        <v>0</v>
      </c>
      <c r="Y280" s="40">
        <f>SUMIF(Tabella1[Nome],Tabella4[[#This Row],[NOME]],Tabella1[cl sh])</f>
        <v>0</v>
      </c>
      <c r="Z280" s="270" t="str">
        <f>_xlfn.IFNA(_xlfn.XLOOKUP(CONCATENATE(Z$4,$C280),Tabella1[CONC X VOTI IN TAB GIOC],Tabella1[Voto],""),"")</f>
        <v/>
      </c>
      <c r="AA280" s="270" t="str">
        <f>_xlfn.IFNA(_xlfn.XLOOKUP(CONCATENATE(AA$4,$C280),Tabella1[CONC X VOTI IN TAB GIOC],Tabella1[Voto],""),"")</f>
        <v/>
      </c>
      <c r="AB280" s="270" t="str">
        <f>_xlfn.IFNA(_xlfn.XLOOKUP(CONCATENATE(AB$4,$C280),Tabella1[CONC X VOTI IN TAB GIOC],Tabella1[Voto]),"")</f>
        <v/>
      </c>
      <c r="AC280" s="270" t="str" cm="1">
        <f t="array" ref="AC280">_xlfn.IFNA(_xlfn.XLOOKUP(CONCATENATE(AC$4,$C280),INDEX(Tabella1[],0,MATCH("CONC X VOTI IN TAB GIOC",Tabella1[#Headers],0)),INDEX(Tabella1[],0,MATCH("Voto",Tabella1[#Headers],0))),"")</f>
        <v/>
      </c>
      <c r="AD280" s="270" t="str">
        <f>_xlfn.IFNA(_xlfn.XLOOKUP(CONCATENATE(AD$4,$C280),Tabella1[CONC X VOTI IN TAB GIOC],Tabella1[Voto]),"")</f>
        <v/>
      </c>
      <c r="AE280" s="270" t="str">
        <f>_xlfn.IFNA(VLOOKUP(CONCATENATE(AE$4,$C280),'INSER DATA'!$A:$F,6,0),"")</f>
        <v/>
      </c>
      <c r="AF280" s="270" t="str">
        <f>_xlfn.IFNA(VLOOKUP(CONCATENATE(AF$4,$C280),'INSER DATA'!$A:$F,6,0),"")</f>
        <v/>
      </c>
      <c r="AG280" s="270" t="str">
        <f>_xlfn.IFNA(VLOOKUP(CONCATENATE(AG$4,$C280),'INSER DATA'!$A:$F,6,0),"")</f>
        <v/>
      </c>
      <c r="AH280" s="270" t="str">
        <f>_xlfn.IFNA(VLOOKUP(CONCATENATE(AH$4,$C280),'INSER DATA'!$A:$F,7,0),"")</f>
        <v/>
      </c>
      <c r="AI280" s="270" t="str">
        <f>_xlfn.IFNA(VLOOKUP(CONCATENATE(AI$4,$C280),'INSER DATA'!$A:$F,7,0),"")</f>
        <v/>
      </c>
      <c r="AJ280" s="270" t="str">
        <f>_xlfn.IFNA(VLOOKUP(CONCATENATE(AJ$4,$C280),'INSER DATA'!$A:$F,7,0),"")</f>
        <v/>
      </c>
      <c r="AK280" s="270" t="str">
        <f>_xlfn.IFNA(VLOOKUP(CONCATENATE(AK$4,$C280),'INSER DATA'!$A:$F,7,0),"")</f>
        <v/>
      </c>
      <c r="AL280" s="270" t="str">
        <f>_xlfn.IFNA(VLOOKUP(CONCATENATE(AL$4,$C280),'INSER DATA'!$A:$F,7,0),"")</f>
        <v/>
      </c>
      <c r="AM280" s="270" t="str">
        <f>_xlfn.IFNA(VLOOKUP(CONCATENATE(AM$4,$C280),'INSER DATA'!$A:$F,7,0),"")</f>
        <v/>
      </c>
      <c r="AN280" s="270" t="str">
        <f>_xlfn.IFNA(VLOOKUP(CONCATENATE(AN$4,$C280),'INSER DATA'!$A:$F,7,0),"")</f>
        <v/>
      </c>
      <c r="AO280" s="270" t="str">
        <f>_xlfn.IFNA(VLOOKUP(CONCATENATE(AO$4,$C280),'INSER DATA'!$A:$F,7,0),"")</f>
        <v/>
      </c>
      <c r="AP280" s="270" t="str">
        <f>_xlfn.IFNA(VLOOKUP(CONCATENATE(AP$4,$C280),'INSER DATA'!$A:$F,7,0),"")</f>
        <v/>
      </c>
      <c r="AQ280" s="270" t="str">
        <f>_xlfn.IFNA(VLOOKUP(CONCATENATE(AQ$4,$C280),'INSER DATA'!$A:$F,7,0),"")</f>
        <v/>
      </c>
      <c r="AR280" s="270" t="str">
        <f>_xlfn.IFNA(VLOOKUP(CONCATENATE(AR$4,$C280),'INSER DATA'!$A:$F,7,0),"")</f>
        <v/>
      </c>
      <c r="AS280" s="270" t="str">
        <f>_xlfn.IFNA(VLOOKUP(CONCATENATE(AS$4,$C280),'INSER DATA'!$A:$F,7,0),"")</f>
        <v/>
      </c>
      <c r="AT280" s="270" t="str">
        <f>_xlfn.IFNA(VLOOKUP(CONCATENATE(AT$4,$C280),'INSER DATA'!$A:$F,7,0),"")</f>
        <v/>
      </c>
      <c r="AU280" s="270" t="str">
        <f>_xlfn.IFNA(VLOOKUP(CONCATENATE(AU$4,$C280),'INSER DATA'!$A:$F,7,0),"")</f>
        <v/>
      </c>
      <c r="AV280" s="270" t="str">
        <f>_xlfn.IFNA(VLOOKUP(CONCATENATE(AV$4,$C280),'INSER DATA'!$A:$F,7,0),"")</f>
        <v/>
      </c>
      <c r="AW280" s="270" t="str">
        <f>_xlfn.IFNA(VLOOKUP(CONCATENATE(AW$4,$C280),'INSER DATA'!$A:$F,7,0),"")</f>
        <v/>
      </c>
      <c r="AX280" s="270" t="str">
        <f>_xlfn.IFNA(VLOOKUP(CONCATENATE(AX$4,$C280),'INSER DATA'!$A:$F,7,0),"")</f>
        <v/>
      </c>
      <c r="AY280" s="270" t="str">
        <f>_xlfn.IFNA(VLOOKUP(CONCATENATE(AY$4,$C280),'INSER DATA'!$A:$F,7,0),"")</f>
        <v/>
      </c>
      <c r="AZ280" s="270" t="str">
        <f>_xlfn.IFNA(VLOOKUP(CONCATENATE(AZ$4,$C280),'INSER DATA'!$A:$F,7,0),"")</f>
        <v/>
      </c>
      <c r="BA280" s="270" t="str">
        <f>_xlfn.IFNA(VLOOKUP(CONCATENATE(BA$4,$C280),'INSER DATA'!$A:$F,7,0),"")</f>
        <v/>
      </c>
      <c r="BB280" s="270" t="str">
        <f>_xlfn.IFNA(VLOOKUP(CONCATENATE(BB$4,$C280),'INSER DATA'!$A:$F,7,0),"")</f>
        <v/>
      </c>
      <c r="BC280" s="270" t="str">
        <f>_xlfn.IFNA(VLOOKUP(CONCATENATE(BC$4,$C280),'INSER DATA'!$A:$F,7,0),"")</f>
        <v/>
      </c>
      <c r="BD280" s="270" t="str">
        <f>_xlfn.IFNA(VLOOKUP(CONCATENATE(BD$4,$C280),'INSER DATA'!$A:$F,7,0),"")</f>
        <v/>
      </c>
      <c r="BE280" s="270" t="str">
        <f>_xlfn.IFNA(VLOOKUP(CONCATENATE(BE$4,$C280),'INSER DATA'!$A:$F,7,0),"")</f>
        <v/>
      </c>
      <c r="BF280" s="270" t="str">
        <f>_xlfn.IFNA(VLOOKUP(CONCATENATE(BF$4,$C280),'INSER DATA'!$A:$F,7,0),"")</f>
        <v/>
      </c>
      <c r="BG280" s="270" t="str">
        <f>_xlfn.IFNA(VLOOKUP(CONCATENATE(BG$4,$C280),'INSER DATA'!$A:$F,7,0),"")</f>
        <v/>
      </c>
      <c r="BH280" s="270" t="str">
        <f>_xlfn.IFNA(VLOOKUP(CONCATENATE(BH$4,$C280),'INSER DATA'!$A:$F,7,0),"")</f>
        <v/>
      </c>
      <c r="BI280" s="270" t="str">
        <f>_xlfn.IFNA(VLOOKUP(CONCATENATE(BI$4,$C280),'INSER DATA'!$A:$F,7,0),"")</f>
        <v/>
      </c>
      <c r="BJ280" s="270" t="str">
        <f>_xlfn.IFNA(VLOOKUP(CONCATENATE(BJ$4,$C280),'INSER DATA'!$A:$F,7,0),"")</f>
        <v/>
      </c>
      <c r="BK280" s="270" t="str">
        <f>_xlfn.IFNA(VLOOKUP(CONCATENATE(BK$4,$C280),'INSER DATA'!$A:$F,7,0),"")</f>
        <v/>
      </c>
      <c r="BL280" s="272"/>
      <c r="BM280" s="30"/>
      <c r="BN280" s="30"/>
      <c r="BO280" s="30"/>
      <c r="BP280" s="30"/>
      <c r="BQ280" s="30"/>
      <c r="BR280" s="30"/>
      <c r="BS280" s="30"/>
      <c r="BT280" s="30"/>
      <c r="BU280" s="30"/>
      <c r="BV280" s="30"/>
      <c r="BW280" s="30"/>
      <c r="BX280" s="30"/>
      <c r="BY280" s="30"/>
      <c r="BZ280" s="30"/>
      <c r="CA280" s="30"/>
      <c r="CB280" s="30"/>
      <c r="CC280" s="30"/>
      <c r="CD280" s="30"/>
      <c r="CE280" s="30"/>
      <c r="CF280" s="30"/>
      <c r="CG280" s="30"/>
      <c r="CH280" s="30"/>
      <c r="CI280" s="30"/>
      <c r="CJ280" s="30"/>
      <c r="CK280" s="30"/>
      <c r="CL280" s="30"/>
      <c r="CM280" s="30"/>
      <c r="CN280" s="30"/>
      <c r="CO280" s="30"/>
      <c r="CP280" s="30"/>
      <c r="CQ280" s="30"/>
      <c r="CR280" s="30"/>
      <c r="CS280" s="30"/>
      <c r="CT280" s="30"/>
      <c r="CU280" s="30"/>
      <c r="CV280" s="30"/>
      <c r="CW280" s="30"/>
      <c r="CX280" s="30"/>
      <c r="CY280" s="30"/>
      <c r="CZ280" s="30"/>
      <c r="DA280" s="30"/>
    </row>
    <row r="281" spans="1:105" ht="19.2" thickTop="1" thickBot="1" x14ac:dyDescent="0.4">
      <c r="A281" s="30"/>
      <c r="B281" s="30"/>
      <c r="C281" s="188" t="s">
        <v>541</v>
      </c>
      <c r="D281" s="46" t="s">
        <v>810</v>
      </c>
      <c r="E281" s="35" t="str">
        <f>_xlfn.XLOOKUP(Tabella4[[#This Row],[NOME]],'ROSE SQUADRE'!$N$3:$N$253,'ROSE SQUADRE'!$O$3:$O$253,"")</f>
        <v/>
      </c>
      <c r="F281" s="36" t="s">
        <v>162</v>
      </c>
      <c r="G281" s="43">
        <v>5</v>
      </c>
      <c r="H281" s="43">
        <v>5</v>
      </c>
      <c r="I281" s="44">
        <f t="shared" si="25"/>
        <v>0</v>
      </c>
      <c r="J281" s="37">
        <f t="shared" si="26"/>
        <v>0</v>
      </c>
      <c r="K281" s="178">
        <f t="shared" si="27"/>
        <v>0</v>
      </c>
      <c r="L281" s="178">
        <f t="shared" si="28"/>
        <v>0</v>
      </c>
      <c r="M281" s="179">
        <f t="shared" si="29"/>
        <v>0</v>
      </c>
      <c r="N281" s="45">
        <f t="shared" ca="1" si="30"/>
        <v>0</v>
      </c>
      <c r="O281" s="40">
        <f>SUMIF(Tabella1[Nome],Tabella4[[#This Row],[NOME]],Tabella1[Gf])</f>
        <v>0</v>
      </c>
      <c r="P281" s="40">
        <f>-(SUMIF(Tabella1[Nome],Tabella4[[#This Row],[NOME]],Tabella1[Gs]))</f>
        <v>0</v>
      </c>
      <c r="Q281" s="40">
        <f>SUMIF(Tabella1[Nome],Tabella4[[#This Row],[NOME]],Tabella1[Rp])</f>
        <v>0</v>
      </c>
      <c r="R281" s="40">
        <f>SUMIF(Tabella1[Nome],Tabella4[[#This Row],[NOME]],Tabella1[Rs])</f>
        <v>0</v>
      </c>
      <c r="S281" s="40">
        <f>SUMIF(Tabella1[Nome],Tabella4[[#This Row],[NOME]],Tabella1[Rf])</f>
        <v>0</v>
      </c>
      <c r="T281" s="40">
        <f>SUMIF(Tabella1[Nome],Tabella4[[#This Row],[NOME]],Tabella1[Au])</f>
        <v>0</v>
      </c>
      <c r="U281" s="41">
        <f>SUMIF(Tabella1[Nome],Tabella4[[#This Row],[NOME]],Tabella1[Amm])</f>
        <v>0</v>
      </c>
      <c r="V281" s="42">
        <f>SUMIF(Tabella1[Nome],Tabella4[[#This Row],[NOME]],Tabella1[Esp])</f>
        <v>0</v>
      </c>
      <c r="W281" s="40">
        <f>SUMIF(Tabella1[Nome],Tabella4[[#This Row],[NOME]],Tabella1[Ass])</f>
        <v>0</v>
      </c>
      <c r="X281" s="40">
        <f>SUMIF(Tabella1[Nome],Tabella4[[#This Row],[NOME]],Tabella1[Gdv])</f>
        <v>0</v>
      </c>
      <c r="Y281" s="40">
        <f>SUMIF(Tabella1[Nome],Tabella4[[#This Row],[NOME]],Tabella1[cl sh])</f>
        <v>0</v>
      </c>
      <c r="Z281" s="270" t="str">
        <f>_xlfn.IFNA(_xlfn.XLOOKUP(CONCATENATE(Z$4,$C281),Tabella1[CONC X VOTI IN TAB GIOC],Tabella1[Voto],""),"")</f>
        <v/>
      </c>
      <c r="AA281" s="270" t="str">
        <f>_xlfn.IFNA(_xlfn.XLOOKUP(CONCATENATE(AA$4,$C281),Tabella1[CONC X VOTI IN TAB GIOC],Tabella1[Voto],""),"")</f>
        <v/>
      </c>
      <c r="AB281" s="270" t="str">
        <f>_xlfn.IFNA(_xlfn.XLOOKUP(CONCATENATE(AB$4,$C281),Tabella1[CONC X VOTI IN TAB GIOC],Tabella1[Voto]),"")</f>
        <v/>
      </c>
      <c r="AC281" s="270" t="str" cm="1">
        <f t="array" ref="AC281">_xlfn.IFNA(_xlfn.XLOOKUP(CONCATENATE(AC$4,$C281),INDEX(Tabella1[],0,MATCH("CONC X VOTI IN TAB GIOC",Tabella1[#Headers],0)),INDEX(Tabella1[],0,MATCH("Voto",Tabella1[#Headers],0))),"")</f>
        <v/>
      </c>
      <c r="AD281" s="270" t="str">
        <f>_xlfn.IFNA(_xlfn.XLOOKUP(CONCATENATE(AD$4,$C281),Tabella1[CONC X VOTI IN TAB GIOC],Tabella1[Voto]),"")</f>
        <v/>
      </c>
      <c r="AE281" s="270" t="str">
        <f>_xlfn.IFNA(VLOOKUP(CONCATENATE(AE$4,$C281),'INSER DATA'!$A:$F,6,0),"")</f>
        <v/>
      </c>
      <c r="AF281" s="270" t="str">
        <f>_xlfn.IFNA(VLOOKUP(CONCATENATE(AF$4,$C281),'INSER DATA'!$A:$F,6,0),"")</f>
        <v/>
      </c>
      <c r="AG281" s="270" t="str">
        <f>_xlfn.IFNA(VLOOKUP(CONCATENATE(AG$4,$C281),'INSER DATA'!$A:$F,6,0),"")</f>
        <v/>
      </c>
      <c r="AH281" s="270" t="str">
        <f>_xlfn.IFNA(VLOOKUP(CONCATENATE(AH$4,$C281),'INSER DATA'!$A:$F,7,0),"")</f>
        <v/>
      </c>
      <c r="AI281" s="270" t="str">
        <f>_xlfn.IFNA(VLOOKUP(CONCATENATE(AI$4,$C281),'INSER DATA'!$A:$F,7,0),"")</f>
        <v/>
      </c>
      <c r="AJ281" s="270" t="str">
        <f>_xlfn.IFNA(VLOOKUP(CONCATENATE(AJ$4,$C281),'INSER DATA'!$A:$F,7,0),"")</f>
        <v/>
      </c>
      <c r="AK281" s="270" t="str">
        <f>_xlfn.IFNA(VLOOKUP(CONCATENATE(AK$4,$C281),'INSER DATA'!$A:$F,7,0),"")</f>
        <v/>
      </c>
      <c r="AL281" s="270" t="str">
        <f>_xlfn.IFNA(VLOOKUP(CONCATENATE(AL$4,$C281),'INSER DATA'!$A:$F,7,0),"")</f>
        <v/>
      </c>
      <c r="AM281" s="270" t="str">
        <f>_xlfn.IFNA(VLOOKUP(CONCATENATE(AM$4,$C281),'INSER DATA'!$A:$F,7,0),"")</f>
        <v/>
      </c>
      <c r="AN281" s="270" t="str">
        <f>_xlfn.IFNA(VLOOKUP(CONCATENATE(AN$4,$C281),'INSER DATA'!$A:$F,7,0),"")</f>
        <v/>
      </c>
      <c r="AO281" s="270" t="str">
        <f>_xlfn.IFNA(VLOOKUP(CONCATENATE(AO$4,$C281),'INSER DATA'!$A:$F,7,0),"")</f>
        <v/>
      </c>
      <c r="AP281" s="270" t="str">
        <f>_xlfn.IFNA(VLOOKUP(CONCATENATE(AP$4,$C281),'INSER DATA'!$A:$F,7,0),"")</f>
        <v/>
      </c>
      <c r="AQ281" s="270" t="str">
        <f>_xlfn.IFNA(VLOOKUP(CONCATENATE(AQ$4,$C281),'INSER DATA'!$A:$F,7,0),"")</f>
        <v/>
      </c>
      <c r="AR281" s="270" t="str">
        <f>_xlfn.IFNA(VLOOKUP(CONCATENATE(AR$4,$C281),'INSER DATA'!$A:$F,7,0),"")</f>
        <v/>
      </c>
      <c r="AS281" s="270" t="str">
        <f>_xlfn.IFNA(VLOOKUP(CONCATENATE(AS$4,$C281),'INSER DATA'!$A:$F,7,0),"")</f>
        <v/>
      </c>
      <c r="AT281" s="270" t="str">
        <f>_xlfn.IFNA(VLOOKUP(CONCATENATE(AT$4,$C281),'INSER DATA'!$A:$F,7,0),"")</f>
        <v/>
      </c>
      <c r="AU281" s="270" t="str">
        <f>_xlfn.IFNA(VLOOKUP(CONCATENATE(AU$4,$C281),'INSER DATA'!$A:$F,7,0),"")</f>
        <v/>
      </c>
      <c r="AV281" s="270" t="str">
        <f>_xlfn.IFNA(VLOOKUP(CONCATENATE(AV$4,$C281),'INSER DATA'!$A:$F,7,0),"")</f>
        <v/>
      </c>
      <c r="AW281" s="270" t="str">
        <f>_xlfn.IFNA(VLOOKUP(CONCATENATE(AW$4,$C281),'INSER DATA'!$A:$F,7,0),"")</f>
        <v/>
      </c>
      <c r="AX281" s="270" t="str">
        <f>_xlfn.IFNA(VLOOKUP(CONCATENATE(AX$4,$C281),'INSER DATA'!$A:$F,7,0),"")</f>
        <v/>
      </c>
      <c r="AY281" s="270" t="str">
        <f>_xlfn.IFNA(VLOOKUP(CONCATENATE(AY$4,$C281),'INSER DATA'!$A:$F,7,0),"")</f>
        <v/>
      </c>
      <c r="AZ281" s="270" t="str">
        <f>_xlfn.IFNA(VLOOKUP(CONCATENATE(AZ$4,$C281),'INSER DATA'!$A:$F,7,0),"")</f>
        <v/>
      </c>
      <c r="BA281" s="270" t="str">
        <f>_xlfn.IFNA(VLOOKUP(CONCATENATE(BA$4,$C281),'INSER DATA'!$A:$F,7,0),"")</f>
        <v/>
      </c>
      <c r="BB281" s="270" t="str">
        <f>_xlfn.IFNA(VLOOKUP(CONCATENATE(BB$4,$C281),'INSER DATA'!$A:$F,7,0),"")</f>
        <v/>
      </c>
      <c r="BC281" s="270" t="str">
        <f>_xlfn.IFNA(VLOOKUP(CONCATENATE(BC$4,$C281),'INSER DATA'!$A:$F,7,0),"")</f>
        <v/>
      </c>
      <c r="BD281" s="270" t="str">
        <f>_xlfn.IFNA(VLOOKUP(CONCATENATE(BD$4,$C281),'INSER DATA'!$A:$F,7,0),"")</f>
        <v/>
      </c>
      <c r="BE281" s="270" t="str">
        <f>_xlfn.IFNA(VLOOKUP(CONCATENATE(BE$4,$C281),'INSER DATA'!$A:$F,7,0),"")</f>
        <v/>
      </c>
      <c r="BF281" s="270" t="str">
        <f>_xlfn.IFNA(VLOOKUP(CONCATENATE(BF$4,$C281),'INSER DATA'!$A:$F,7,0),"")</f>
        <v/>
      </c>
      <c r="BG281" s="270" t="str">
        <f>_xlfn.IFNA(VLOOKUP(CONCATENATE(BG$4,$C281),'INSER DATA'!$A:$F,7,0),"")</f>
        <v/>
      </c>
      <c r="BH281" s="270" t="str">
        <f>_xlfn.IFNA(VLOOKUP(CONCATENATE(BH$4,$C281),'INSER DATA'!$A:$F,7,0),"")</f>
        <v/>
      </c>
      <c r="BI281" s="270" t="str">
        <f>_xlfn.IFNA(VLOOKUP(CONCATENATE(BI$4,$C281),'INSER DATA'!$A:$F,7,0),"")</f>
        <v/>
      </c>
      <c r="BJ281" s="270" t="str">
        <f>_xlfn.IFNA(VLOOKUP(CONCATENATE(BJ$4,$C281),'INSER DATA'!$A:$F,7,0),"")</f>
        <v/>
      </c>
      <c r="BK281" s="270" t="str">
        <f>_xlfn.IFNA(VLOOKUP(CONCATENATE(BK$4,$C281),'INSER DATA'!$A:$F,7,0),"")</f>
        <v/>
      </c>
      <c r="BL281" s="272"/>
      <c r="BM281" s="30"/>
      <c r="BN281" s="30"/>
      <c r="BO281" s="30"/>
      <c r="BP281" s="30"/>
      <c r="BQ281" s="30"/>
      <c r="BR281" s="30"/>
      <c r="BS281" s="30"/>
      <c r="BT281" s="30"/>
      <c r="BU281" s="30"/>
      <c r="BV281" s="30"/>
      <c r="BW281" s="30"/>
      <c r="BX281" s="30"/>
      <c r="BY281" s="30"/>
      <c r="BZ281" s="30"/>
      <c r="CA281" s="30"/>
      <c r="CB281" s="30"/>
      <c r="CC281" s="30"/>
      <c r="CD281" s="30"/>
      <c r="CE281" s="30"/>
      <c r="CF281" s="30"/>
      <c r="CG281" s="30"/>
      <c r="CH281" s="30"/>
      <c r="CI281" s="30"/>
      <c r="CJ281" s="30"/>
      <c r="CK281" s="30"/>
      <c r="CL281" s="30"/>
      <c r="CM281" s="30"/>
      <c r="CN281" s="30"/>
      <c r="CO281" s="30"/>
      <c r="CP281" s="30"/>
      <c r="CQ281" s="30"/>
      <c r="CR281" s="30"/>
      <c r="CS281" s="30"/>
      <c r="CT281" s="30"/>
      <c r="CU281" s="30"/>
      <c r="CV281" s="30"/>
      <c r="CW281" s="30"/>
      <c r="CX281" s="30"/>
      <c r="CY281" s="30"/>
      <c r="CZ281" s="30"/>
      <c r="DA281" s="30"/>
    </row>
    <row r="282" spans="1:105" ht="19.2" thickTop="1" thickBot="1" x14ac:dyDescent="0.4">
      <c r="A282" s="30"/>
      <c r="B282" s="30"/>
      <c r="C282" s="188" t="s">
        <v>817</v>
      </c>
      <c r="D282" s="46" t="s">
        <v>810</v>
      </c>
      <c r="E282" s="35" t="str">
        <f>_xlfn.XLOOKUP(Tabella4[[#This Row],[NOME]],'ROSE SQUADRE'!$N$3:$N$253,'ROSE SQUADRE'!$O$3:$O$253,"")</f>
        <v/>
      </c>
      <c r="F282" s="36" t="s">
        <v>162</v>
      </c>
      <c r="G282" s="43">
        <v>1</v>
      </c>
      <c r="H282" s="43">
        <v>1</v>
      </c>
      <c r="I282" s="44">
        <f t="shared" si="25"/>
        <v>0</v>
      </c>
      <c r="J282" s="37">
        <f t="shared" si="26"/>
        <v>0</v>
      </c>
      <c r="K282" s="38">
        <f t="shared" si="27"/>
        <v>0</v>
      </c>
      <c r="L282" s="38">
        <f t="shared" si="28"/>
        <v>0</v>
      </c>
      <c r="M282" s="39">
        <f t="shared" si="29"/>
        <v>0</v>
      </c>
      <c r="N282" s="45">
        <f t="shared" ca="1" si="30"/>
        <v>0</v>
      </c>
      <c r="O282" s="40">
        <f>SUMIF(Tabella1[Nome],Tabella4[[#This Row],[NOME]],Tabella1[Gf])</f>
        <v>0</v>
      </c>
      <c r="P282" s="40">
        <f>-(SUMIF(Tabella1[Nome],Tabella4[[#This Row],[NOME]],Tabella1[Gs]))</f>
        <v>0</v>
      </c>
      <c r="Q282" s="40">
        <f>SUMIF(Tabella1[Nome],Tabella4[[#This Row],[NOME]],Tabella1[Rp])</f>
        <v>0</v>
      </c>
      <c r="R282" s="40">
        <f>SUMIF(Tabella1[Nome],Tabella4[[#This Row],[NOME]],Tabella1[Rs])</f>
        <v>0</v>
      </c>
      <c r="S282" s="40">
        <f>SUMIF(Tabella1[Nome],Tabella4[[#This Row],[NOME]],Tabella1[Rf])</f>
        <v>0</v>
      </c>
      <c r="T282" s="40">
        <f>SUMIF(Tabella1[Nome],Tabella4[[#This Row],[NOME]],Tabella1[Au])</f>
        <v>0</v>
      </c>
      <c r="U282" s="41">
        <f>SUMIF(Tabella1[Nome],Tabella4[[#This Row],[NOME]],Tabella1[Amm])</f>
        <v>0</v>
      </c>
      <c r="V282" s="42">
        <f>SUMIF(Tabella1[Nome],Tabella4[[#This Row],[NOME]],Tabella1[Esp])</f>
        <v>0</v>
      </c>
      <c r="W282" s="40">
        <f>SUMIF(Tabella1[Nome],Tabella4[[#This Row],[NOME]],Tabella1[Ass])</f>
        <v>0</v>
      </c>
      <c r="X282" s="40">
        <f>SUMIF(Tabella1[Nome],Tabella4[[#This Row],[NOME]],Tabella1[Gdv])</f>
        <v>0</v>
      </c>
      <c r="Y282" s="40">
        <f>SUMIF(Tabella1[Nome],Tabella4[[#This Row],[NOME]],Tabella1[cl sh])</f>
        <v>0</v>
      </c>
      <c r="Z282" s="270" t="str">
        <f>_xlfn.IFNA(_xlfn.XLOOKUP(CONCATENATE(Z$4,$C282),Tabella1[CONC X VOTI IN TAB GIOC],Tabella1[Voto],""),"")</f>
        <v/>
      </c>
      <c r="AA282" s="270" t="str">
        <f>_xlfn.IFNA(_xlfn.XLOOKUP(CONCATENATE(AA$4,$C282),Tabella1[CONC X VOTI IN TAB GIOC],Tabella1[Voto],""),"")</f>
        <v/>
      </c>
      <c r="AB282" s="270" t="str">
        <f>_xlfn.IFNA(_xlfn.XLOOKUP(CONCATENATE(AB$4,$C282),Tabella1[CONC X VOTI IN TAB GIOC],Tabella1[Voto]),"")</f>
        <v/>
      </c>
      <c r="AC282" s="270" t="str" cm="1">
        <f t="array" ref="AC282">_xlfn.IFNA(_xlfn.XLOOKUP(CONCATENATE(AC$4,$C282),INDEX(Tabella1[],0,MATCH("CONC X VOTI IN TAB GIOC",Tabella1[#Headers],0)),INDEX(Tabella1[],0,MATCH("Voto",Tabella1[#Headers],0))),"")</f>
        <v/>
      </c>
      <c r="AD282" s="270" t="str">
        <f>_xlfn.IFNA(_xlfn.XLOOKUP(CONCATENATE(AD$4,$C282),Tabella1[CONC X VOTI IN TAB GIOC],Tabella1[Voto]),"")</f>
        <v/>
      </c>
      <c r="AE282" s="270" t="str">
        <f>_xlfn.IFNA(VLOOKUP(CONCATENATE(AE$4,$C282),'INSER DATA'!$A:$F,6,0),"")</f>
        <v/>
      </c>
      <c r="AF282" s="270" t="str">
        <f>_xlfn.IFNA(VLOOKUP(CONCATENATE(AF$4,$C282),'INSER DATA'!$A:$F,6,0),"")</f>
        <v/>
      </c>
      <c r="AG282" s="270" t="str">
        <f>_xlfn.IFNA(VLOOKUP(CONCATENATE(AG$4,$C282),'INSER DATA'!$A:$F,6,0),"")</f>
        <v/>
      </c>
      <c r="AH282" s="270" t="str">
        <f>_xlfn.IFNA(VLOOKUP(CONCATENATE(AH$4,$C282),'INSER DATA'!$A:$F,7,0),"")</f>
        <v/>
      </c>
      <c r="AI282" s="270" t="str">
        <f>_xlfn.IFNA(VLOOKUP(CONCATENATE(AI$4,$C282),'INSER DATA'!$A:$F,7,0),"")</f>
        <v/>
      </c>
      <c r="AJ282" s="270" t="str">
        <f>_xlfn.IFNA(VLOOKUP(CONCATENATE(AJ$4,$C282),'INSER DATA'!$A:$F,7,0),"")</f>
        <v/>
      </c>
      <c r="AK282" s="270" t="str">
        <f>_xlfn.IFNA(VLOOKUP(CONCATENATE(AK$4,$C282),'INSER DATA'!$A:$F,7,0),"")</f>
        <v/>
      </c>
      <c r="AL282" s="270" t="str">
        <f>_xlfn.IFNA(VLOOKUP(CONCATENATE(AL$4,$C282),'INSER DATA'!$A:$F,7,0),"")</f>
        <v/>
      </c>
      <c r="AM282" s="270" t="str">
        <f>_xlfn.IFNA(VLOOKUP(CONCATENATE(AM$4,$C282),'INSER DATA'!$A:$F,7,0),"")</f>
        <v/>
      </c>
      <c r="AN282" s="270" t="str">
        <f>_xlfn.IFNA(VLOOKUP(CONCATENATE(AN$4,$C282),'INSER DATA'!$A:$F,7,0),"")</f>
        <v/>
      </c>
      <c r="AO282" s="270" t="str">
        <f>_xlfn.IFNA(VLOOKUP(CONCATENATE(AO$4,$C282),'INSER DATA'!$A:$F,7,0),"")</f>
        <v/>
      </c>
      <c r="AP282" s="270" t="str">
        <f>_xlfn.IFNA(VLOOKUP(CONCATENATE(AP$4,$C282),'INSER DATA'!$A:$F,7,0),"")</f>
        <v/>
      </c>
      <c r="AQ282" s="270" t="str">
        <f>_xlfn.IFNA(VLOOKUP(CONCATENATE(AQ$4,$C282),'INSER DATA'!$A:$F,7,0),"")</f>
        <v/>
      </c>
      <c r="AR282" s="270" t="str">
        <f>_xlfn.IFNA(VLOOKUP(CONCATENATE(AR$4,$C282),'INSER DATA'!$A:$F,7,0),"")</f>
        <v/>
      </c>
      <c r="AS282" s="270" t="str">
        <f>_xlfn.IFNA(VLOOKUP(CONCATENATE(AS$4,$C282),'INSER DATA'!$A:$F,7,0),"")</f>
        <v/>
      </c>
      <c r="AT282" s="270" t="str">
        <f>_xlfn.IFNA(VLOOKUP(CONCATENATE(AT$4,$C282),'INSER DATA'!$A:$F,7,0),"")</f>
        <v/>
      </c>
      <c r="AU282" s="270" t="str">
        <f>_xlfn.IFNA(VLOOKUP(CONCATENATE(AU$4,$C282),'INSER DATA'!$A:$F,7,0),"")</f>
        <v/>
      </c>
      <c r="AV282" s="270" t="str">
        <f>_xlfn.IFNA(VLOOKUP(CONCATENATE(AV$4,$C282),'INSER DATA'!$A:$F,7,0),"")</f>
        <v/>
      </c>
      <c r="AW282" s="270" t="str">
        <f>_xlfn.IFNA(VLOOKUP(CONCATENATE(AW$4,$C282),'INSER DATA'!$A:$F,7,0),"")</f>
        <v/>
      </c>
      <c r="AX282" s="270" t="str">
        <f>_xlfn.IFNA(VLOOKUP(CONCATENATE(AX$4,$C282),'INSER DATA'!$A:$F,7,0),"")</f>
        <v/>
      </c>
      <c r="AY282" s="270" t="str">
        <f>_xlfn.IFNA(VLOOKUP(CONCATENATE(AY$4,$C282),'INSER DATA'!$A:$F,7,0),"")</f>
        <v/>
      </c>
      <c r="AZ282" s="270" t="str">
        <f>_xlfn.IFNA(VLOOKUP(CONCATENATE(AZ$4,$C282),'INSER DATA'!$A:$F,7,0),"")</f>
        <v/>
      </c>
      <c r="BA282" s="270" t="str">
        <f>_xlfn.IFNA(VLOOKUP(CONCATENATE(BA$4,$C282),'INSER DATA'!$A:$F,7,0),"")</f>
        <v/>
      </c>
      <c r="BB282" s="270" t="str">
        <f>_xlfn.IFNA(VLOOKUP(CONCATENATE(BB$4,$C282),'INSER DATA'!$A:$F,7,0),"")</f>
        <v/>
      </c>
      <c r="BC282" s="270" t="str">
        <f>_xlfn.IFNA(VLOOKUP(CONCATENATE(BC$4,$C282),'INSER DATA'!$A:$F,7,0),"")</f>
        <v/>
      </c>
      <c r="BD282" s="270" t="str">
        <f>_xlfn.IFNA(VLOOKUP(CONCATENATE(BD$4,$C282),'INSER DATA'!$A:$F,7,0),"")</f>
        <v/>
      </c>
      <c r="BE282" s="270" t="str">
        <f>_xlfn.IFNA(VLOOKUP(CONCATENATE(BE$4,$C282),'INSER DATA'!$A:$F,7,0),"")</f>
        <v/>
      </c>
      <c r="BF282" s="270" t="str">
        <f>_xlfn.IFNA(VLOOKUP(CONCATENATE(BF$4,$C282),'INSER DATA'!$A:$F,7,0),"")</f>
        <v/>
      </c>
      <c r="BG282" s="270" t="str">
        <f>_xlfn.IFNA(VLOOKUP(CONCATENATE(BG$4,$C282),'INSER DATA'!$A:$F,7,0),"")</f>
        <v/>
      </c>
      <c r="BH282" s="270" t="str">
        <f>_xlfn.IFNA(VLOOKUP(CONCATENATE(BH$4,$C282),'INSER DATA'!$A:$F,7,0),"")</f>
        <v/>
      </c>
      <c r="BI282" s="270" t="str">
        <f>_xlfn.IFNA(VLOOKUP(CONCATENATE(BI$4,$C282),'INSER DATA'!$A:$F,7,0),"")</f>
        <v/>
      </c>
      <c r="BJ282" s="270" t="str">
        <f>_xlfn.IFNA(VLOOKUP(CONCATENATE(BJ$4,$C282),'INSER DATA'!$A:$F,7,0),"")</f>
        <v/>
      </c>
      <c r="BK282" s="270" t="str">
        <f>_xlfn.IFNA(VLOOKUP(CONCATENATE(BK$4,$C282),'INSER DATA'!$A:$F,7,0),"")</f>
        <v/>
      </c>
      <c r="BL282" s="272"/>
      <c r="BM282" s="30"/>
      <c r="BN282" s="30"/>
      <c r="BO282" s="30"/>
      <c r="BP282" s="30"/>
      <c r="BQ282" s="30"/>
      <c r="BR282" s="30"/>
      <c r="BS282" s="30"/>
      <c r="BT282" s="30"/>
      <c r="BU282" s="30"/>
      <c r="BV282" s="30"/>
      <c r="BW282" s="30"/>
      <c r="BX282" s="30"/>
      <c r="BY282" s="30"/>
      <c r="BZ282" s="30"/>
      <c r="CA282" s="30"/>
      <c r="CB282" s="30"/>
      <c r="CC282" s="30"/>
      <c r="CD282" s="30"/>
      <c r="CE282" s="30"/>
      <c r="CF282" s="30"/>
      <c r="CG282" s="30"/>
      <c r="CH282" s="30"/>
      <c r="CI282" s="30"/>
      <c r="CJ282" s="30"/>
      <c r="CK282" s="30"/>
      <c r="CL282" s="30"/>
      <c r="CM282" s="30"/>
      <c r="CN282" s="30"/>
      <c r="CO282" s="30"/>
      <c r="CP282" s="30"/>
      <c r="CQ282" s="30"/>
      <c r="CR282" s="30"/>
      <c r="CS282" s="30"/>
      <c r="CT282" s="30"/>
      <c r="CU282" s="30"/>
      <c r="CV282" s="30"/>
      <c r="CW282" s="30"/>
      <c r="CX282" s="30"/>
      <c r="CY282" s="30"/>
      <c r="CZ282" s="30"/>
      <c r="DA282" s="30"/>
    </row>
    <row r="283" spans="1:105" ht="19.2" thickTop="1" thickBot="1" x14ac:dyDescent="0.4">
      <c r="A283" s="30"/>
      <c r="B283" s="30"/>
      <c r="C283" s="188" t="s">
        <v>818</v>
      </c>
      <c r="D283" s="46" t="s">
        <v>810</v>
      </c>
      <c r="E283" s="35" t="str">
        <f>_xlfn.XLOOKUP(Tabella4[[#This Row],[NOME]],'ROSE SQUADRE'!$N$3:$N$253,'ROSE SQUADRE'!$O$3:$O$253,"")</f>
        <v/>
      </c>
      <c r="F283" s="36" t="s">
        <v>162</v>
      </c>
      <c r="G283" s="43">
        <v>5</v>
      </c>
      <c r="H283" s="43">
        <v>5</v>
      </c>
      <c r="I283" s="44">
        <f t="shared" si="25"/>
        <v>0</v>
      </c>
      <c r="J283" s="37">
        <f t="shared" si="26"/>
        <v>0</v>
      </c>
      <c r="K283" s="38">
        <f t="shared" si="27"/>
        <v>0</v>
      </c>
      <c r="L283" s="38">
        <f t="shared" si="28"/>
        <v>0</v>
      </c>
      <c r="M283" s="39">
        <f t="shared" si="29"/>
        <v>0</v>
      </c>
      <c r="N283" s="45">
        <f t="shared" ca="1" si="30"/>
        <v>0</v>
      </c>
      <c r="O283" s="40">
        <f>SUMIF(Tabella1[Nome],Tabella4[[#This Row],[NOME]],Tabella1[Gf])</f>
        <v>0</v>
      </c>
      <c r="P283" s="40">
        <f>-(SUMIF(Tabella1[Nome],Tabella4[[#This Row],[NOME]],Tabella1[Gs]))</f>
        <v>0</v>
      </c>
      <c r="Q283" s="40">
        <f>SUMIF(Tabella1[Nome],Tabella4[[#This Row],[NOME]],Tabella1[Rp])</f>
        <v>0</v>
      </c>
      <c r="R283" s="40">
        <f>SUMIF(Tabella1[Nome],Tabella4[[#This Row],[NOME]],Tabella1[Rs])</f>
        <v>0</v>
      </c>
      <c r="S283" s="40">
        <f>SUMIF(Tabella1[Nome],Tabella4[[#This Row],[NOME]],Tabella1[Rf])</f>
        <v>0</v>
      </c>
      <c r="T283" s="40">
        <f>SUMIF(Tabella1[Nome],Tabella4[[#This Row],[NOME]],Tabella1[Au])</f>
        <v>0</v>
      </c>
      <c r="U283" s="41">
        <f>SUMIF(Tabella1[Nome],Tabella4[[#This Row],[NOME]],Tabella1[Amm])</f>
        <v>0</v>
      </c>
      <c r="V283" s="42">
        <f>SUMIF(Tabella1[Nome],Tabella4[[#This Row],[NOME]],Tabella1[Esp])</f>
        <v>0</v>
      </c>
      <c r="W283" s="40">
        <f>SUMIF(Tabella1[Nome],Tabella4[[#This Row],[NOME]],Tabella1[Ass])</f>
        <v>0</v>
      </c>
      <c r="X283" s="40">
        <f>SUMIF(Tabella1[Nome],Tabella4[[#This Row],[NOME]],Tabella1[Gdv])</f>
        <v>0</v>
      </c>
      <c r="Y283" s="40">
        <f>SUMIF(Tabella1[Nome],Tabella4[[#This Row],[NOME]],Tabella1[cl sh])</f>
        <v>0</v>
      </c>
      <c r="Z283" s="270" t="str">
        <f>_xlfn.IFNA(_xlfn.XLOOKUP(CONCATENATE(Z$4,$C283),Tabella1[CONC X VOTI IN TAB GIOC],Tabella1[Voto],""),"")</f>
        <v/>
      </c>
      <c r="AA283" s="270" t="str">
        <f>_xlfn.IFNA(_xlfn.XLOOKUP(CONCATENATE(AA$4,$C283),Tabella1[CONC X VOTI IN TAB GIOC],Tabella1[Voto],""),"")</f>
        <v/>
      </c>
      <c r="AB283" s="270" t="str">
        <f>_xlfn.IFNA(_xlfn.XLOOKUP(CONCATENATE(AB$4,$C283),Tabella1[CONC X VOTI IN TAB GIOC],Tabella1[Voto]),"")</f>
        <v/>
      </c>
      <c r="AC283" s="270" t="str" cm="1">
        <f t="array" ref="AC283">_xlfn.IFNA(_xlfn.XLOOKUP(CONCATENATE(AC$4,$C283),INDEX(Tabella1[],0,MATCH("CONC X VOTI IN TAB GIOC",Tabella1[#Headers],0)),INDEX(Tabella1[],0,MATCH("Voto",Tabella1[#Headers],0))),"")</f>
        <v/>
      </c>
      <c r="AD283" s="270" t="str">
        <f>_xlfn.IFNA(_xlfn.XLOOKUP(CONCATENATE(AD$4,$C283),Tabella1[CONC X VOTI IN TAB GIOC],Tabella1[Voto]),"")</f>
        <v/>
      </c>
      <c r="AE283" s="270" t="str">
        <f>_xlfn.IFNA(VLOOKUP(CONCATENATE(AE$4,$C283),'INSER DATA'!$A:$F,6,0),"")</f>
        <v/>
      </c>
      <c r="AF283" s="270" t="str">
        <f>_xlfn.IFNA(VLOOKUP(CONCATENATE(AF$4,$C283),'INSER DATA'!$A:$F,6,0),"")</f>
        <v/>
      </c>
      <c r="AG283" s="270" t="str">
        <f>_xlfn.IFNA(VLOOKUP(CONCATENATE(AG$4,$C283),'INSER DATA'!$A:$F,6,0),"")</f>
        <v/>
      </c>
      <c r="AH283" s="270" t="str">
        <f>_xlfn.IFNA(VLOOKUP(CONCATENATE(AH$4,$C283),'INSER DATA'!$A:$F,7,0),"")</f>
        <v/>
      </c>
      <c r="AI283" s="270" t="str">
        <f>_xlfn.IFNA(VLOOKUP(CONCATENATE(AI$4,$C283),'INSER DATA'!$A:$F,7,0),"")</f>
        <v/>
      </c>
      <c r="AJ283" s="270" t="str">
        <f>_xlfn.IFNA(VLOOKUP(CONCATENATE(AJ$4,$C283),'INSER DATA'!$A:$F,7,0),"")</f>
        <v/>
      </c>
      <c r="AK283" s="270" t="str">
        <f>_xlfn.IFNA(VLOOKUP(CONCATENATE(AK$4,$C283),'INSER DATA'!$A:$F,7,0),"")</f>
        <v/>
      </c>
      <c r="AL283" s="270" t="str">
        <f>_xlfn.IFNA(VLOOKUP(CONCATENATE(AL$4,$C283),'INSER DATA'!$A:$F,7,0),"")</f>
        <v/>
      </c>
      <c r="AM283" s="270" t="str">
        <f>_xlfn.IFNA(VLOOKUP(CONCATENATE(AM$4,$C283),'INSER DATA'!$A:$F,7,0),"")</f>
        <v/>
      </c>
      <c r="AN283" s="270" t="str">
        <f>_xlfn.IFNA(VLOOKUP(CONCATENATE(AN$4,$C283),'INSER DATA'!$A:$F,7,0),"")</f>
        <v/>
      </c>
      <c r="AO283" s="270" t="str">
        <f>_xlfn.IFNA(VLOOKUP(CONCATENATE(AO$4,$C283),'INSER DATA'!$A:$F,7,0),"")</f>
        <v/>
      </c>
      <c r="AP283" s="270" t="str">
        <f>_xlfn.IFNA(VLOOKUP(CONCATENATE(AP$4,$C283),'INSER DATA'!$A:$F,7,0),"")</f>
        <v/>
      </c>
      <c r="AQ283" s="270" t="str">
        <f>_xlfn.IFNA(VLOOKUP(CONCATENATE(AQ$4,$C283),'INSER DATA'!$A:$F,7,0),"")</f>
        <v/>
      </c>
      <c r="AR283" s="270" t="str">
        <f>_xlfn.IFNA(VLOOKUP(CONCATENATE(AR$4,$C283),'INSER DATA'!$A:$F,7,0),"")</f>
        <v/>
      </c>
      <c r="AS283" s="270" t="str">
        <f>_xlfn.IFNA(VLOOKUP(CONCATENATE(AS$4,$C283),'INSER DATA'!$A:$F,7,0),"")</f>
        <v/>
      </c>
      <c r="AT283" s="270" t="str">
        <f>_xlfn.IFNA(VLOOKUP(CONCATENATE(AT$4,$C283),'INSER DATA'!$A:$F,7,0),"")</f>
        <v/>
      </c>
      <c r="AU283" s="270" t="str">
        <f>_xlfn.IFNA(VLOOKUP(CONCATENATE(AU$4,$C283),'INSER DATA'!$A:$F,7,0),"")</f>
        <v/>
      </c>
      <c r="AV283" s="270" t="str">
        <f>_xlfn.IFNA(VLOOKUP(CONCATENATE(AV$4,$C283),'INSER DATA'!$A:$F,7,0),"")</f>
        <v/>
      </c>
      <c r="AW283" s="270" t="str">
        <f>_xlfn.IFNA(VLOOKUP(CONCATENATE(AW$4,$C283),'INSER DATA'!$A:$F,7,0),"")</f>
        <v/>
      </c>
      <c r="AX283" s="270" t="str">
        <f>_xlfn.IFNA(VLOOKUP(CONCATENATE(AX$4,$C283),'INSER DATA'!$A:$F,7,0),"")</f>
        <v/>
      </c>
      <c r="AY283" s="270" t="str">
        <f>_xlfn.IFNA(VLOOKUP(CONCATENATE(AY$4,$C283),'INSER DATA'!$A:$F,7,0),"")</f>
        <v/>
      </c>
      <c r="AZ283" s="270" t="str">
        <f>_xlfn.IFNA(VLOOKUP(CONCATENATE(AZ$4,$C283),'INSER DATA'!$A:$F,7,0),"")</f>
        <v/>
      </c>
      <c r="BA283" s="270" t="str">
        <f>_xlfn.IFNA(VLOOKUP(CONCATENATE(BA$4,$C283),'INSER DATA'!$A:$F,7,0),"")</f>
        <v/>
      </c>
      <c r="BB283" s="270" t="str">
        <f>_xlfn.IFNA(VLOOKUP(CONCATENATE(BB$4,$C283),'INSER DATA'!$A:$F,7,0),"")</f>
        <v/>
      </c>
      <c r="BC283" s="270" t="str">
        <f>_xlfn.IFNA(VLOOKUP(CONCATENATE(BC$4,$C283),'INSER DATA'!$A:$F,7,0),"")</f>
        <v/>
      </c>
      <c r="BD283" s="270" t="str">
        <f>_xlfn.IFNA(VLOOKUP(CONCATENATE(BD$4,$C283),'INSER DATA'!$A:$F,7,0),"")</f>
        <v/>
      </c>
      <c r="BE283" s="270" t="str">
        <f>_xlfn.IFNA(VLOOKUP(CONCATENATE(BE$4,$C283),'INSER DATA'!$A:$F,7,0),"")</f>
        <v/>
      </c>
      <c r="BF283" s="270" t="str">
        <f>_xlfn.IFNA(VLOOKUP(CONCATENATE(BF$4,$C283),'INSER DATA'!$A:$F,7,0),"")</f>
        <v/>
      </c>
      <c r="BG283" s="270" t="str">
        <f>_xlfn.IFNA(VLOOKUP(CONCATENATE(BG$4,$C283),'INSER DATA'!$A:$F,7,0),"")</f>
        <v/>
      </c>
      <c r="BH283" s="270" t="str">
        <f>_xlfn.IFNA(VLOOKUP(CONCATENATE(BH$4,$C283),'INSER DATA'!$A:$F,7,0),"")</f>
        <v/>
      </c>
      <c r="BI283" s="270" t="str">
        <f>_xlfn.IFNA(VLOOKUP(CONCATENATE(BI$4,$C283),'INSER DATA'!$A:$F,7,0),"")</f>
        <v/>
      </c>
      <c r="BJ283" s="270" t="str">
        <f>_xlfn.IFNA(VLOOKUP(CONCATENATE(BJ$4,$C283),'INSER DATA'!$A:$F,7,0),"")</f>
        <v/>
      </c>
      <c r="BK283" s="270" t="str">
        <f>_xlfn.IFNA(VLOOKUP(CONCATENATE(BK$4,$C283),'INSER DATA'!$A:$F,7,0),"")</f>
        <v/>
      </c>
      <c r="BL283" s="272"/>
      <c r="BM283" s="30"/>
      <c r="BN283" s="30"/>
      <c r="BO283" s="30"/>
      <c r="BP283" s="30"/>
      <c r="BQ283" s="30"/>
      <c r="BR283" s="30"/>
      <c r="BS283" s="30"/>
      <c r="BT283" s="30"/>
      <c r="BU283" s="30"/>
      <c r="BV283" s="30"/>
      <c r="BW283" s="30"/>
      <c r="BX283" s="30"/>
      <c r="BY283" s="30"/>
      <c r="BZ283" s="30"/>
      <c r="CA283" s="30"/>
      <c r="CB283" s="30"/>
      <c r="CC283" s="30"/>
      <c r="CD283" s="30"/>
      <c r="CE283" s="30"/>
      <c r="CF283" s="30"/>
      <c r="CG283" s="30"/>
      <c r="CH283" s="30"/>
      <c r="CI283" s="30"/>
      <c r="CJ283" s="30"/>
      <c r="CK283" s="30"/>
      <c r="CL283" s="30"/>
      <c r="CM283" s="30"/>
      <c r="CN283" s="30"/>
      <c r="CO283" s="30"/>
      <c r="CP283" s="30"/>
      <c r="CQ283" s="30"/>
      <c r="CR283" s="30"/>
      <c r="CS283" s="30"/>
      <c r="CT283" s="30"/>
      <c r="CU283" s="30"/>
      <c r="CV283" s="30"/>
      <c r="CW283" s="30"/>
      <c r="CX283" s="30"/>
      <c r="CY283" s="30"/>
      <c r="CZ283" s="30"/>
      <c r="DA283" s="30"/>
    </row>
    <row r="284" spans="1:105" ht="19.2" thickTop="1" thickBot="1" x14ac:dyDescent="0.4">
      <c r="A284" s="30"/>
      <c r="B284" s="30"/>
      <c r="C284" s="185" t="s">
        <v>820</v>
      </c>
      <c r="D284" s="46" t="s">
        <v>810</v>
      </c>
      <c r="E284" s="35" t="str">
        <f>_xlfn.XLOOKUP(Tabella4[[#This Row],[NOME]],'ROSE SQUADRE'!$N$3:$N$253,'ROSE SQUADRE'!$O$3:$O$253,"")</f>
        <v/>
      </c>
      <c r="F284" s="36" t="s">
        <v>162</v>
      </c>
      <c r="G284" s="43">
        <v>1</v>
      </c>
      <c r="H284" s="43">
        <v>1</v>
      </c>
      <c r="I284" s="44">
        <f t="shared" si="25"/>
        <v>0</v>
      </c>
      <c r="J284" s="37">
        <f t="shared" si="26"/>
        <v>0</v>
      </c>
      <c r="K284" s="38">
        <f t="shared" si="27"/>
        <v>0</v>
      </c>
      <c r="L284" s="38">
        <f t="shared" si="28"/>
        <v>0</v>
      </c>
      <c r="M284" s="39">
        <f t="shared" si="29"/>
        <v>0</v>
      </c>
      <c r="N284" s="45">
        <f t="shared" ca="1" si="30"/>
        <v>0</v>
      </c>
      <c r="O284" s="40">
        <f>SUMIF(Tabella1[Nome],Tabella4[[#This Row],[NOME]],Tabella1[Gf])</f>
        <v>0</v>
      </c>
      <c r="P284" s="40">
        <f>-(SUMIF(Tabella1[Nome],Tabella4[[#This Row],[NOME]],Tabella1[Gs]))</f>
        <v>0</v>
      </c>
      <c r="Q284" s="40">
        <f>SUMIF(Tabella1[Nome],Tabella4[[#This Row],[NOME]],Tabella1[Rp])</f>
        <v>0</v>
      </c>
      <c r="R284" s="40">
        <f>SUMIF(Tabella1[Nome],Tabella4[[#This Row],[NOME]],Tabella1[Rs])</f>
        <v>0</v>
      </c>
      <c r="S284" s="40">
        <f>SUMIF(Tabella1[Nome],Tabella4[[#This Row],[NOME]],Tabella1[Rf])</f>
        <v>0</v>
      </c>
      <c r="T284" s="40">
        <f>SUMIF(Tabella1[Nome],Tabella4[[#This Row],[NOME]],Tabella1[Au])</f>
        <v>0</v>
      </c>
      <c r="U284" s="41">
        <f>SUMIF(Tabella1[Nome],Tabella4[[#This Row],[NOME]],Tabella1[Amm])</f>
        <v>0</v>
      </c>
      <c r="V284" s="42">
        <f>SUMIF(Tabella1[Nome],Tabella4[[#This Row],[NOME]],Tabella1[Esp])</f>
        <v>0</v>
      </c>
      <c r="W284" s="40">
        <f>SUMIF(Tabella1[Nome],Tabella4[[#This Row],[NOME]],Tabella1[Ass])</f>
        <v>0</v>
      </c>
      <c r="X284" s="40">
        <f>SUMIF(Tabella1[Nome],Tabella4[[#This Row],[NOME]],Tabella1[Gdv])</f>
        <v>0</v>
      </c>
      <c r="Y284" s="40">
        <f>SUMIF(Tabella1[Nome],Tabella4[[#This Row],[NOME]],Tabella1[cl sh])</f>
        <v>0</v>
      </c>
      <c r="Z284" s="270" t="str">
        <f>_xlfn.IFNA(_xlfn.XLOOKUP(CONCATENATE(Z$4,$C284),Tabella1[CONC X VOTI IN TAB GIOC],Tabella1[Voto],""),"")</f>
        <v/>
      </c>
      <c r="AA284" s="270" t="str">
        <f>_xlfn.IFNA(_xlfn.XLOOKUP(CONCATENATE(AA$4,$C284),Tabella1[CONC X VOTI IN TAB GIOC],Tabella1[Voto],""),"")</f>
        <v/>
      </c>
      <c r="AB284" s="270" t="str">
        <f>_xlfn.IFNA(_xlfn.XLOOKUP(CONCATENATE(AB$4,$C284),Tabella1[CONC X VOTI IN TAB GIOC],Tabella1[Voto]),"")</f>
        <v/>
      </c>
      <c r="AC284" s="270" t="str" cm="1">
        <f t="array" ref="AC284">_xlfn.IFNA(_xlfn.XLOOKUP(CONCATENATE(AC$4,$C284),INDEX(Tabella1[],0,MATCH("CONC X VOTI IN TAB GIOC",Tabella1[#Headers],0)),INDEX(Tabella1[],0,MATCH("Voto",Tabella1[#Headers],0))),"")</f>
        <v/>
      </c>
      <c r="AD284" s="270" t="str">
        <f>_xlfn.IFNA(_xlfn.XLOOKUP(CONCATENATE(AD$4,$C284),Tabella1[CONC X VOTI IN TAB GIOC],Tabella1[Voto]),"")</f>
        <v/>
      </c>
      <c r="AE284" s="270" t="str">
        <f>_xlfn.IFNA(VLOOKUP(CONCATENATE(AE$4,$C284),'INSER DATA'!$A:$F,6,0),"")</f>
        <v/>
      </c>
      <c r="AF284" s="270" t="str">
        <f>_xlfn.IFNA(VLOOKUP(CONCATENATE(AF$4,$C284),'INSER DATA'!$A:$F,6,0),"")</f>
        <v/>
      </c>
      <c r="AG284" s="270" t="str">
        <f>_xlfn.IFNA(VLOOKUP(CONCATENATE(AG$4,$C284),'INSER DATA'!$A:$F,6,0),"")</f>
        <v/>
      </c>
      <c r="AH284" s="270" t="str">
        <f>_xlfn.IFNA(VLOOKUP(CONCATENATE(AH$4,$C284),'INSER DATA'!$A:$F,7,0),"")</f>
        <v/>
      </c>
      <c r="AI284" s="270" t="str">
        <f>_xlfn.IFNA(VLOOKUP(CONCATENATE(AI$4,$C284),'INSER DATA'!$A:$F,7,0),"")</f>
        <v/>
      </c>
      <c r="AJ284" s="270" t="str">
        <f>_xlfn.IFNA(VLOOKUP(CONCATENATE(AJ$4,$C284),'INSER DATA'!$A:$F,7,0),"")</f>
        <v/>
      </c>
      <c r="AK284" s="270" t="str">
        <f>_xlfn.IFNA(VLOOKUP(CONCATENATE(AK$4,$C284),'INSER DATA'!$A:$F,7,0),"")</f>
        <v/>
      </c>
      <c r="AL284" s="270" t="str">
        <f>_xlfn.IFNA(VLOOKUP(CONCATENATE(AL$4,$C284),'INSER DATA'!$A:$F,7,0),"")</f>
        <v/>
      </c>
      <c r="AM284" s="270" t="str">
        <f>_xlfn.IFNA(VLOOKUP(CONCATENATE(AM$4,$C284),'INSER DATA'!$A:$F,7,0),"")</f>
        <v/>
      </c>
      <c r="AN284" s="270" t="str">
        <f>_xlfn.IFNA(VLOOKUP(CONCATENATE(AN$4,$C284),'INSER DATA'!$A:$F,7,0),"")</f>
        <v/>
      </c>
      <c r="AO284" s="270" t="str">
        <f>_xlfn.IFNA(VLOOKUP(CONCATENATE(AO$4,$C284),'INSER DATA'!$A:$F,7,0),"")</f>
        <v/>
      </c>
      <c r="AP284" s="270" t="str">
        <f>_xlfn.IFNA(VLOOKUP(CONCATENATE(AP$4,$C284),'INSER DATA'!$A:$F,7,0),"")</f>
        <v/>
      </c>
      <c r="AQ284" s="270" t="str">
        <f>_xlfn.IFNA(VLOOKUP(CONCATENATE(AQ$4,$C284),'INSER DATA'!$A:$F,7,0),"")</f>
        <v/>
      </c>
      <c r="AR284" s="270" t="str">
        <f>_xlfn.IFNA(VLOOKUP(CONCATENATE(AR$4,$C284),'INSER DATA'!$A:$F,7,0),"")</f>
        <v/>
      </c>
      <c r="AS284" s="270" t="str">
        <f>_xlfn.IFNA(VLOOKUP(CONCATENATE(AS$4,$C284),'INSER DATA'!$A:$F,7,0),"")</f>
        <v/>
      </c>
      <c r="AT284" s="270" t="str">
        <f>_xlfn.IFNA(VLOOKUP(CONCATENATE(AT$4,$C284),'INSER DATA'!$A:$F,7,0),"")</f>
        <v/>
      </c>
      <c r="AU284" s="270" t="str">
        <f>_xlfn.IFNA(VLOOKUP(CONCATENATE(AU$4,$C284),'INSER DATA'!$A:$F,7,0),"")</f>
        <v/>
      </c>
      <c r="AV284" s="270" t="str">
        <f>_xlfn.IFNA(VLOOKUP(CONCATENATE(AV$4,$C284),'INSER DATA'!$A:$F,7,0),"")</f>
        <v/>
      </c>
      <c r="AW284" s="270" t="str">
        <f>_xlfn.IFNA(VLOOKUP(CONCATENATE(AW$4,$C284),'INSER DATA'!$A:$F,7,0),"")</f>
        <v/>
      </c>
      <c r="AX284" s="270" t="str">
        <f>_xlfn.IFNA(VLOOKUP(CONCATENATE(AX$4,$C284),'INSER DATA'!$A:$F,7,0),"")</f>
        <v/>
      </c>
      <c r="AY284" s="270" t="str">
        <f>_xlfn.IFNA(VLOOKUP(CONCATENATE(AY$4,$C284),'INSER DATA'!$A:$F,7,0),"")</f>
        <v/>
      </c>
      <c r="AZ284" s="270" t="str">
        <f>_xlfn.IFNA(VLOOKUP(CONCATENATE(AZ$4,$C284),'INSER DATA'!$A:$F,7,0),"")</f>
        <v/>
      </c>
      <c r="BA284" s="270" t="str">
        <f>_xlfn.IFNA(VLOOKUP(CONCATENATE(BA$4,$C284),'INSER DATA'!$A:$F,7,0),"")</f>
        <v/>
      </c>
      <c r="BB284" s="270" t="str">
        <f>_xlfn.IFNA(VLOOKUP(CONCATENATE(BB$4,$C284),'INSER DATA'!$A:$F,7,0),"")</f>
        <v/>
      </c>
      <c r="BC284" s="270" t="str">
        <f>_xlfn.IFNA(VLOOKUP(CONCATENATE(BC$4,$C284),'INSER DATA'!$A:$F,7,0),"")</f>
        <v/>
      </c>
      <c r="BD284" s="270" t="str">
        <f>_xlfn.IFNA(VLOOKUP(CONCATENATE(BD$4,$C284),'INSER DATA'!$A:$F,7,0),"")</f>
        <v/>
      </c>
      <c r="BE284" s="270" t="str">
        <f>_xlfn.IFNA(VLOOKUP(CONCATENATE(BE$4,$C284),'INSER DATA'!$A:$F,7,0),"")</f>
        <v/>
      </c>
      <c r="BF284" s="270" t="str">
        <f>_xlfn.IFNA(VLOOKUP(CONCATENATE(BF$4,$C284),'INSER DATA'!$A:$F,7,0),"")</f>
        <v/>
      </c>
      <c r="BG284" s="270" t="str">
        <f>_xlfn.IFNA(VLOOKUP(CONCATENATE(BG$4,$C284),'INSER DATA'!$A:$F,7,0),"")</f>
        <v/>
      </c>
      <c r="BH284" s="270" t="str">
        <f>_xlfn.IFNA(VLOOKUP(CONCATENATE(BH$4,$C284),'INSER DATA'!$A:$F,7,0),"")</f>
        <v/>
      </c>
      <c r="BI284" s="270" t="str">
        <f>_xlfn.IFNA(VLOOKUP(CONCATENATE(BI$4,$C284),'INSER DATA'!$A:$F,7,0),"")</f>
        <v/>
      </c>
      <c r="BJ284" s="270" t="str">
        <f>_xlfn.IFNA(VLOOKUP(CONCATENATE(BJ$4,$C284),'INSER DATA'!$A:$F,7,0),"")</f>
        <v/>
      </c>
      <c r="BK284" s="270" t="str">
        <f>_xlfn.IFNA(VLOOKUP(CONCATENATE(BK$4,$C284),'INSER DATA'!$A:$F,7,0),"")</f>
        <v/>
      </c>
      <c r="BL284" s="272"/>
      <c r="BM284" s="30"/>
      <c r="BN284" s="30"/>
      <c r="BO284" s="30"/>
      <c r="BP284" s="30"/>
      <c r="BQ284" s="30"/>
      <c r="BR284" s="30"/>
      <c r="BS284" s="30"/>
      <c r="BT284" s="30"/>
      <c r="BU284" s="30"/>
      <c r="BV284" s="30"/>
      <c r="BW284" s="30"/>
      <c r="BX284" s="30"/>
      <c r="BY284" s="30"/>
      <c r="BZ284" s="30"/>
      <c r="CA284" s="30"/>
      <c r="CB284" s="30"/>
      <c r="CC284" s="30"/>
      <c r="CD284" s="30"/>
      <c r="CE284" s="30"/>
      <c r="CF284" s="30"/>
      <c r="CG284" s="30"/>
      <c r="CH284" s="30"/>
      <c r="CI284" s="30"/>
      <c r="CJ284" s="30"/>
      <c r="CK284" s="30"/>
      <c r="CL284" s="30"/>
      <c r="CM284" s="30"/>
      <c r="CN284" s="30"/>
      <c r="CO284" s="30"/>
      <c r="CP284" s="30"/>
      <c r="CQ284" s="30"/>
      <c r="CR284" s="30"/>
      <c r="CS284" s="30"/>
      <c r="CT284" s="30"/>
      <c r="CU284" s="30"/>
      <c r="CV284" s="30"/>
      <c r="CW284" s="30"/>
      <c r="CX284" s="30"/>
      <c r="CY284" s="30"/>
      <c r="CZ284" s="30"/>
      <c r="DA284" s="30"/>
    </row>
    <row r="285" spans="1:105" ht="19.2" thickTop="1" thickBot="1" x14ac:dyDescent="0.4">
      <c r="A285" s="30"/>
      <c r="B285" s="30"/>
      <c r="C285" s="185" t="s">
        <v>821</v>
      </c>
      <c r="D285" s="46" t="s">
        <v>810</v>
      </c>
      <c r="E285" s="35" t="str">
        <f>_xlfn.XLOOKUP(Tabella4[[#This Row],[NOME]],'ROSE SQUADRE'!$N$3:$N$253,'ROSE SQUADRE'!$O$3:$O$253,"")</f>
        <v/>
      </c>
      <c r="F285" s="36" t="s">
        <v>162</v>
      </c>
      <c r="G285" s="43">
        <v>1</v>
      </c>
      <c r="H285" s="43">
        <v>1</v>
      </c>
      <c r="I285" s="44">
        <f t="shared" si="25"/>
        <v>0</v>
      </c>
      <c r="J285" s="37">
        <f t="shared" si="26"/>
        <v>0</v>
      </c>
      <c r="K285" s="38">
        <f t="shared" si="27"/>
        <v>0</v>
      </c>
      <c r="L285" s="38">
        <f t="shared" si="28"/>
        <v>0</v>
      </c>
      <c r="M285" s="39">
        <f t="shared" si="29"/>
        <v>0</v>
      </c>
      <c r="N285" s="45">
        <f t="shared" ca="1" si="30"/>
        <v>0</v>
      </c>
      <c r="O285" s="40">
        <f>SUMIF(Tabella1[Nome],Tabella4[[#This Row],[NOME]],Tabella1[Gf])</f>
        <v>0</v>
      </c>
      <c r="P285" s="40">
        <f>-(SUMIF(Tabella1[Nome],Tabella4[[#This Row],[NOME]],Tabella1[Gs]))</f>
        <v>0</v>
      </c>
      <c r="Q285" s="40">
        <f>SUMIF(Tabella1[Nome],Tabella4[[#This Row],[NOME]],Tabella1[Rp])</f>
        <v>0</v>
      </c>
      <c r="R285" s="40">
        <f>SUMIF(Tabella1[Nome],Tabella4[[#This Row],[NOME]],Tabella1[Rs])</f>
        <v>0</v>
      </c>
      <c r="S285" s="40">
        <f>SUMIF(Tabella1[Nome],Tabella4[[#This Row],[NOME]],Tabella1[Rf])</f>
        <v>0</v>
      </c>
      <c r="T285" s="40">
        <f>SUMIF(Tabella1[Nome],Tabella4[[#This Row],[NOME]],Tabella1[Au])</f>
        <v>0</v>
      </c>
      <c r="U285" s="41">
        <f>SUMIF(Tabella1[Nome],Tabella4[[#This Row],[NOME]],Tabella1[Amm])</f>
        <v>0</v>
      </c>
      <c r="V285" s="42">
        <f>SUMIF(Tabella1[Nome],Tabella4[[#This Row],[NOME]],Tabella1[Esp])</f>
        <v>0</v>
      </c>
      <c r="W285" s="40">
        <f>SUMIF(Tabella1[Nome],Tabella4[[#This Row],[NOME]],Tabella1[Ass])</f>
        <v>0</v>
      </c>
      <c r="X285" s="40">
        <f>SUMIF(Tabella1[Nome],Tabella4[[#This Row],[NOME]],Tabella1[Gdv])</f>
        <v>0</v>
      </c>
      <c r="Y285" s="40">
        <f>SUMIF(Tabella1[Nome],Tabella4[[#This Row],[NOME]],Tabella1[cl sh])</f>
        <v>0</v>
      </c>
      <c r="Z285" s="270" t="str">
        <f>_xlfn.IFNA(_xlfn.XLOOKUP(CONCATENATE(Z$4,$C285),Tabella1[CONC X VOTI IN TAB GIOC],Tabella1[Voto],""),"")</f>
        <v/>
      </c>
      <c r="AA285" s="270" t="str">
        <f>_xlfn.IFNA(_xlfn.XLOOKUP(CONCATENATE(AA$4,$C285),Tabella1[CONC X VOTI IN TAB GIOC],Tabella1[Voto],""),"")</f>
        <v/>
      </c>
      <c r="AB285" s="270" t="str">
        <f>_xlfn.IFNA(_xlfn.XLOOKUP(CONCATENATE(AB$4,$C285),Tabella1[CONC X VOTI IN TAB GIOC],Tabella1[Voto]),"")</f>
        <v/>
      </c>
      <c r="AC285" s="270" t="str" cm="1">
        <f t="array" ref="AC285">_xlfn.IFNA(_xlfn.XLOOKUP(CONCATENATE(AC$4,$C285),INDEX(Tabella1[],0,MATCH("CONC X VOTI IN TAB GIOC",Tabella1[#Headers],0)),INDEX(Tabella1[],0,MATCH("Voto",Tabella1[#Headers],0))),"")</f>
        <v/>
      </c>
      <c r="AD285" s="270" t="str">
        <f>_xlfn.IFNA(_xlfn.XLOOKUP(CONCATENATE(AD$4,$C285),Tabella1[CONC X VOTI IN TAB GIOC],Tabella1[Voto]),"")</f>
        <v/>
      </c>
      <c r="AE285" s="270" t="str">
        <f>_xlfn.IFNA(VLOOKUP(CONCATENATE(AE$4,$C285),'INSER DATA'!$A:$F,6,0),"")</f>
        <v/>
      </c>
      <c r="AF285" s="270" t="str">
        <f>_xlfn.IFNA(VLOOKUP(CONCATENATE(AF$4,$C285),'INSER DATA'!$A:$F,6,0),"")</f>
        <v/>
      </c>
      <c r="AG285" s="270" t="str">
        <f>_xlfn.IFNA(VLOOKUP(CONCATENATE(AG$4,$C285),'INSER DATA'!$A:$F,6,0),"")</f>
        <v/>
      </c>
      <c r="AH285" s="270" t="str">
        <f>_xlfn.IFNA(VLOOKUP(CONCATENATE(AH$4,$C285),'INSER DATA'!$A:$F,7,0),"")</f>
        <v/>
      </c>
      <c r="AI285" s="270" t="str">
        <f>_xlfn.IFNA(VLOOKUP(CONCATENATE(AI$4,$C285),'INSER DATA'!$A:$F,7,0),"")</f>
        <v/>
      </c>
      <c r="AJ285" s="270" t="str">
        <f>_xlfn.IFNA(VLOOKUP(CONCATENATE(AJ$4,$C285),'INSER DATA'!$A:$F,7,0),"")</f>
        <v/>
      </c>
      <c r="AK285" s="270" t="str">
        <f>_xlfn.IFNA(VLOOKUP(CONCATENATE(AK$4,$C285),'INSER DATA'!$A:$F,7,0),"")</f>
        <v/>
      </c>
      <c r="AL285" s="270" t="str">
        <f>_xlfn.IFNA(VLOOKUP(CONCATENATE(AL$4,$C285),'INSER DATA'!$A:$F,7,0),"")</f>
        <v/>
      </c>
      <c r="AM285" s="270" t="str">
        <f>_xlfn.IFNA(VLOOKUP(CONCATENATE(AM$4,$C285),'INSER DATA'!$A:$F,7,0),"")</f>
        <v/>
      </c>
      <c r="AN285" s="270" t="str">
        <f>_xlfn.IFNA(VLOOKUP(CONCATENATE(AN$4,$C285),'INSER DATA'!$A:$F,7,0),"")</f>
        <v/>
      </c>
      <c r="AO285" s="270" t="str">
        <f>_xlfn.IFNA(VLOOKUP(CONCATENATE(AO$4,$C285),'INSER DATA'!$A:$F,7,0),"")</f>
        <v/>
      </c>
      <c r="AP285" s="270" t="str">
        <f>_xlfn.IFNA(VLOOKUP(CONCATENATE(AP$4,$C285),'INSER DATA'!$A:$F,7,0),"")</f>
        <v/>
      </c>
      <c r="AQ285" s="270" t="str">
        <f>_xlfn.IFNA(VLOOKUP(CONCATENATE(AQ$4,$C285),'INSER DATA'!$A:$F,7,0),"")</f>
        <v/>
      </c>
      <c r="AR285" s="270" t="str">
        <f>_xlfn.IFNA(VLOOKUP(CONCATENATE(AR$4,$C285),'INSER DATA'!$A:$F,7,0),"")</f>
        <v/>
      </c>
      <c r="AS285" s="270" t="str">
        <f>_xlfn.IFNA(VLOOKUP(CONCATENATE(AS$4,$C285),'INSER DATA'!$A:$F,7,0),"")</f>
        <v/>
      </c>
      <c r="AT285" s="270" t="str">
        <f>_xlfn.IFNA(VLOOKUP(CONCATENATE(AT$4,$C285),'INSER DATA'!$A:$F,7,0),"")</f>
        <v/>
      </c>
      <c r="AU285" s="270" t="str">
        <f>_xlfn.IFNA(VLOOKUP(CONCATENATE(AU$4,$C285),'INSER DATA'!$A:$F,7,0),"")</f>
        <v/>
      </c>
      <c r="AV285" s="270" t="str">
        <f>_xlfn.IFNA(VLOOKUP(CONCATENATE(AV$4,$C285),'INSER DATA'!$A:$F,7,0),"")</f>
        <v/>
      </c>
      <c r="AW285" s="270" t="str">
        <f>_xlfn.IFNA(VLOOKUP(CONCATENATE(AW$4,$C285),'INSER DATA'!$A:$F,7,0),"")</f>
        <v/>
      </c>
      <c r="AX285" s="270" t="str">
        <f>_xlfn.IFNA(VLOOKUP(CONCATENATE(AX$4,$C285),'INSER DATA'!$A:$F,7,0),"")</f>
        <v/>
      </c>
      <c r="AY285" s="270" t="str">
        <f>_xlfn.IFNA(VLOOKUP(CONCATENATE(AY$4,$C285),'INSER DATA'!$A:$F,7,0),"")</f>
        <v/>
      </c>
      <c r="AZ285" s="270" t="str">
        <f>_xlfn.IFNA(VLOOKUP(CONCATENATE(AZ$4,$C285),'INSER DATA'!$A:$F,7,0),"")</f>
        <v/>
      </c>
      <c r="BA285" s="270" t="str">
        <f>_xlfn.IFNA(VLOOKUP(CONCATENATE(BA$4,$C285),'INSER DATA'!$A:$F,7,0),"")</f>
        <v/>
      </c>
      <c r="BB285" s="270" t="str">
        <f>_xlfn.IFNA(VLOOKUP(CONCATENATE(BB$4,$C285),'INSER DATA'!$A:$F,7,0),"")</f>
        <v/>
      </c>
      <c r="BC285" s="270" t="str">
        <f>_xlfn.IFNA(VLOOKUP(CONCATENATE(BC$4,$C285),'INSER DATA'!$A:$F,7,0),"")</f>
        <v/>
      </c>
      <c r="BD285" s="270" t="str">
        <f>_xlfn.IFNA(VLOOKUP(CONCATENATE(BD$4,$C285),'INSER DATA'!$A:$F,7,0),"")</f>
        <v/>
      </c>
      <c r="BE285" s="270" t="str">
        <f>_xlfn.IFNA(VLOOKUP(CONCATENATE(BE$4,$C285),'INSER DATA'!$A:$F,7,0),"")</f>
        <v/>
      </c>
      <c r="BF285" s="270" t="str">
        <f>_xlfn.IFNA(VLOOKUP(CONCATENATE(BF$4,$C285),'INSER DATA'!$A:$F,7,0),"")</f>
        <v/>
      </c>
      <c r="BG285" s="270" t="str">
        <f>_xlfn.IFNA(VLOOKUP(CONCATENATE(BG$4,$C285),'INSER DATA'!$A:$F,7,0),"")</f>
        <v/>
      </c>
      <c r="BH285" s="270" t="str">
        <f>_xlfn.IFNA(VLOOKUP(CONCATENATE(BH$4,$C285),'INSER DATA'!$A:$F,7,0),"")</f>
        <v/>
      </c>
      <c r="BI285" s="270" t="str">
        <f>_xlfn.IFNA(VLOOKUP(CONCATENATE(BI$4,$C285),'INSER DATA'!$A:$F,7,0),"")</f>
        <v/>
      </c>
      <c r="BJ285" s="270" t="str">
        <f>_xlfn.IFNA(VLOOKUP(CONCATENATE(BJ$4,$C285),'INSER DATA'!$A:$F,7,0),"")</f>
        <v/>
      </c>
      <c r="BK285" s="270" t="str">
        <f>_xlfn.IFNA(VLOOKUP(CONCATENATE(BK$4,$C285),'INSER DATA'!$A:$F,7,0),"")</f>
        <v/>
      </c>
      <c r="BL285" s="272"/>
      <c r="BM285" s="30"/>
      <c r="BN285" s="30"/>
      <c r="BO285" s="30"/>
      <c r="BP285" s="30"/>
      <c r="BQ285" s="30"/>
      <c r="BR285" s="30"/>
      <c r="BS285" s="30"/>
      <c r="BT285" s="30"/>
      <c r="BU285" s="30"/>
      <c r="BV285" s="30"/>
      <c r="BW285" s="30"/>
      <c r="BX285" s="30"/>
      <c r="BY285" s="30"/>
      <c r="BZ285" s="30"/>
      <c r="CA285" s="30"/>
      <c r="CB285" s="30"/>
      <c r="CC285" s="30"/>
      <c r="CD285" s="30"/>
      <c r="CE285" s="30"/>
      <c r="CF285" s="30"/>
      <c r="CG285" s="30"/>
      <c r="CH285" s="30"/>
      <c r="CI285" s="30"/>
      <c r="CJ285" s="30"/>
      <c r="CK285" s="30"/>
      <c r="CL285" s="30"/>
      <c r="CM285" s="30"/>
      <c r="CN285" s="30"/>
      <c r="CO285" s="30"/>
      <c r="CP285" s="30"/>
      <c r="CQ285" s="30"/>
      <c r="CR285" s="30"/>
      <c r="CS285" s="30"/>
      <c r="CT285" s="30"/>
      <c r="CU285" s="30"/>
      <c r="CV285" s="30"/>
      <c r="CW285" s="30"/>
      <c r="CX285" s="30"/>
      <c r="CY285" s="30"/>
      <c r="CZ285" s="30"/>
      <c r="DA285" s="30"/>
    </row>
    <row r="286" spans="1:105" ht="19.2" thickTop="1" thickBot="1" x14ac:dyDescent="0.4">
      <c r="A286" s="30"/>
      <c r="B286" s="30"/>
      <c r="C286" s="356" t="s">
        <v>307</v>
      </c>
      <c r="D286" s="357" t="s">
        <v>826</v>
      </c>
      <c r="E286" s="35" t="str">
        <f>_xlfn.XLOOKUP(Tabella4[[#This Row],[NOME]],'ROSE SQUADRE'!$N$3:$N$253,'ROSE SQUADRE'!$O$3:$O$253,"")</f>
        <v>SESTO ASENSIO</v>
      </c>
      <c r="F286" s="36" t="s">
        <v>161</v>
      </c>
      <c r="G286" s="43">
        <v>3</v>
      </c>
      <c r="H286" s="43">
        <v>4</v>
      </c>
      <c r="I286" s="44">
        <f t="shared" si="25"/>
        <v>1</v>
      </c>
      <c r="J286" s="37">
        <f t="shared" si="26"/>
        <v>4</v>
      </c>
      <c r="K286" s="38">
        <f t="shared" si="27"/>
        <v>6.375</v>
      </c>
      <c r="L286" s="38">
        <f t="shared" si="28"/>
        <v>6.25</v>
      </c>
      <c r="M286" s="39">
        <f t="shared" si="29"/>
        <v>25</v>
      </c>
      <c r="N286" s="45">
        <f t="shared" ca="1" si="30"/>
        <v>0</v>
      </c>
      <c r="O286" s="40">
        <f>SUMIF(Tabella1[Nome],Tabella4[[#This Row],[NOME]],Tabella1[Gf])</f>
        <v>0</v>
      </c>
      <c r="P286" s="40">
        <f>-(SUMIF(Tabella1[Nome],Tabella4[[#This Row],[NOME]],Tabella1[Gs]))</f>
        <v>0</v>
      </c>
      <c r="Q286" s="40">
        <f>SUMIF(Tabella1[Nome],Tabella4[[#This Row],[NOME]],Tabella1[Rp])</f>
        <v>0</v>
      </c>
      <c r="R286" s="40">
        <f>SUMIF(Tabella1[Nome],Tabella4[[#This Row],[NOME]],Tabella1[Rs])</f>
        <v>0</v>
      </c>
      <c r="S286" s="40">
        <f>SUMIF(Tabella1[Nome],Tabella4[[#This Row],[NOME]],Tabella1[Rf])</f>
        <v>0</v>
      </c>
      <c r="T286" s="40">
        <f>SUMIF(Tabella1[Nome],Tabella4[[#This Row],[NOME]],Tabella1[Au])</f>
        <v>0</v>
      </c>
      <c r="U286" s="41">
        <f>SUMIF(Tabella1[Nome],Tabella4[[#This Row],[NOME]],Tabella1[Amm])</f>
        <v>1</v>
      </c>
      <c r="V286" s="42">
        <f>SUMIF(Tabella1[Nome],Tabella4[[#This Row],[NOME]],Tabella1[Esp])</f>
        <v>0</v>
      </c>
      <c r="W286" s="40">
        <f>SUMIF(Tabella1[Nome],Tabella4[[#This Row],[NOME]],Tabella1[Ass])</f>
        <v>0</v>
      </c>
      <c r="X286" s="40">
        <f>SUMIF(Tabella1[Nome],Tabella4[[#This Row],[NOME]],Tabella1[Gdv])</f>
        <v>0</v>
      </c>
      <c r="Y286" s="40">
        <f>SUMIF(Tabella1[Nome],Tabella4[[#This Row],[NOME]],Tabella1[cl sh])</f>
        <v>0</v>
      </c>
      <c r="Z286" s="270">
        <f>_xlfn.IFNA(_xlfn.XLOOKUP(CONCATENATE(Z$4,$C286),Tabella1[CONC X VOTI IN TAB GIOC],Tabella1[Voto],""),"")</f>
        <v>7</v>
      </c>
      <c r="AA286" s="270">
        <f>_xlfn.IFNA(_xlfn.XLOOKUP(CONCATENATE(AA$4,$C286),Tabella1[CONC X VOTI IN TAB GIOC],Tabella1[Voto],""),"")</f>
        <v>6.5</v>
      </c>
      <c r="AB286" s="270">
        <f>_xlfn.IFNA(_xlfn.XLOOKUP(CONCATENATE(AB$4,$C286),Tabella1[CONC X VOTI IN TAB GIOC],Tabella1[Voto]),"")</f>
        <v>6.5</v>
      </c>
      <c r="AC286" s="270" cm="1">
        <f t="array" ref="AC286">_xlfn.IFNA(_xlfn.XLOOKUP(CONCATENATE(AC$4,$C286),INDEX(Tabella1[],0,MATCH("CONC X VOTI IN TAB GIOC",Tabella1[#Headers],0)),INDEX(Tabella1[],0,MATCH("Voto",Tabella1[#Headers],0))),"")</f>
        <v>5.5</v>
      </c>
      <c r="AD286" s="270" t="str">
        <f>_xlfn.IFNA(_xlfn.XLOOKUP(CONCATENATE(AD$4,$C286),Tabella1[CONC X VOTI IN TAB GIOC],Tabella1[Voto]),"")</f>
        <v/>
      </c>
      <c r="AE286" s="270" t="str">
        <f>_xlfn.IFNA(VLOOKUP(CONCATENATE(AE$4,$C286),'INSER DATA'!$A:$F,6,0),"")</f>
        <v/>
      </c>
      <c r="AF286" s="270" t="str">
        <f>_xlfn.IFNA(VLOOKUP(CONCATENATE(AF$4,$C286),'INSER DATA'!$A:$F,6,0),"")</f>
        <v/>
      </c>
      <c r="AG286" s="270" t="str">
        <f>_xlfn.IFNA(VLOOKUP(CONCATENATE(AG$4,$C286),'INSER DATA'!$A:$F,6,0),"")</f>
        <v/>
      </c>
      <c r="AH286" s="270" t="str">
        <f>_xlfn.IFNA(VLOOKUP(CONCATENATE(AH$4,$C286),'INSER DATA'!$A:$F,7,0),"")</f>
        <v/>
      </c>
      <c r="AI286" s="270" t="str">
        <f>_xlfn.IFNA(VLOOKUP(CONCATENATE(AI$4,$C286),'INSER DATA'!$A:$F,7,0),"")</f>
        <v/>
      </c>
      <c r="AJ286" s="270" t="str">
        <f>_xlfn.IFNA(VLOOKUP(CONCATENATE(AJ$4,$C286),'INSER DATA'!$A:$F,7,0),"")</f>
        <v/>
      </c>
      <c r="AK286" s="270" t="str">
        <f>_xlfn.IFNA(VLOOKUP(CONCATENATE(AK$4,$C286),'INSER DATA'!$A:$F,7,0),"")</f>
        <v/>
      </c>
      <c r="AL286" s="270" t="str">
        <f>_xlfn.IFNA(VLOOKUP(CONCATENATE(AL$4,$C286),'INSER DATA'!$A:$F,7,0),"")</f>
        <v/>
      </c>
      <c r="AM286" s="270" t="str">
        <f>_xlfn.IFNA(VLOOKUP(CONCATENATE(AM$4,$C286),'INSER DATA'!$A:$F,7,0),"")</f>
        <v/>
      </c>
      <c r="AN286" s="270" t="str">
        <f>_xlfn.IFNA(VLOOKUP(CONCATENATE(AN$4,$C286),'INSER DATA'!$A:$F,7,0),"")</f>
        <v/>
      </c>
      <c r="AO286" s="270" t="str">
        <f>_xlfn.IFNA(VLOOKUP(CONCATENATE(AO$4,$C286),'INSER DATA'!$A:$F,7,0),"")</f>
        <v/>
      </c>
      <c r="AP286" s="270" t="str">
        <f>_xlfn.IFNA(VLOOKUP(CONCATENATE(AP$4,$C286),'INSER DATA'!$A:$F,7,0),"")</f>
        <v/>
      </c>
      <c r="AQ286" s="270" t="str">
        <f>_xlfn.IFNA(VLOOKUP(CONCATENATE(AQ$4,$C286),'INSER DATA'!$A:$F,7,0),"")</f>
        <v/>
      </c>
      <c r="AR286" s="270" t="str">
        <f>_xlfn.IFNA(VLOOKUP(CONCATENATE(AR$4,$C286),'INSER DATA'!$A:$F,7,0),"")</f>
        <v/>
      </c>
      <c r="AS286" s="270" t="str">
        <f>_xlfn.IFNA(VLOOKUP(CONCATENATE(AS$4,$C286),'INSER DATA'!$A:$F,7,0),"")</f>
        <v/>
      </c>
      <c r="AT286" s="270" t="str">
        <f>_xlfn.IFNA(VLOOKUP(CONCATENATE(AT$4,$C286),'INSER DATA'!$A:$F,7,0),"")</f>
        <v/>
      </c>
      <c r="AU286" s="270" t="str">
        <f>_xlfn.IFNA(VLOOKUP(CONCATENATE(AU$4,$C286),'INSER DATA'!$A:$F,7,0),"")</f>
        <v/>
      </c>
      <c r="AV286" s="270" t="str">
        <f>_xlfn.IFNA(VLOOKUP(CONCATENATE(AV$4,$C286),'INSER DATA'!$A:$F,7,0),"")</f>
        <v/>
      </c>
      <c r="AW286" s="270" t="str">
        <f>_xlfn.IFNA(VLOOKUP(CONCATENATE(AW$4,$C286),'INSER DATA'!$A:$F,7,0),"")</f>
        <v/>
      </c>
      <c r="AX286" s="270" t="str">
        <f>_xlfn.IFNA(VLOOKUP(CONCATENATE(AX$4,$C286),'INSER DATA'!$A:$F,7,0),"")</f>
        <v/>
      </c>
      <c r="AY286" s="270" t="str">
        <f>_xlfn.IFNA(VLOOKUP(CONCATENATE(AY$4,$C286),'INSER DATA'!$A:$F,7,0),"")</f>
        <v/>
      </c>
      <c r="AZ286" s="270" t="str">
        <f>_xlfn.IFNA(VLOOKUP(CONCATENATE(AZ$4,$C286),'INSER DATA'!$A:$F,7,0),"")</f>
        <v/>
      </c>
      <c r="BA286" s="270" t="str">
        <f>_xlfn.IFNA(VLOOKUP(CONCATENATE(BA$4,$C286),'INSER DATA'!$A:$F,7,0),"")</f>
        <v/>
      </c>
      <c r="BB286" s="270" t="str">
        <f>_xlfn.IFNA(VLOOKUP(CONCATENATE(BB$4,$C286),'INSER DATA'!$A:$F,7,0),"")</f>
        <v/>
      </c>
      <c r="BC286" s="270" t="str">
        <f>_xlfn.IFNA(VLOOKUP(CONCATENATE(BC$4,$C286),'INSER DATA'!$A:$F,7,0),"")</f>
        <v/>
      </c>
      <c r="BD286" s="270" t="str">
        <f>_xlfn.IFNA(VLOOKUP(CONCATENATE(BD$4,$C286),'INSER DATA'!$A:$F,7,0),"")</f>
        <v/>
      </c>
      <c r="BE286" s="270" t="str">
        <f>_xlfn.IFNA(VLOOKUP(CONCATENATE(BE$4,$C286),'INSER DATA'!$A:$F,7,0),"")</f>
        <v/>
      </c>
      <c r="BF286" s="270" t="str">
        <f>_xlfn.IFNA(VLOOKUP(CONCATENATE(BF$4,$C286),'INSER DATA'!$A:$F,7,0),"")</f>
        <v/>
      </c>
      <c r="BG286" s="270" t="str">
        <f>_xlfn.IFNA(VLOOKUP(CONCATENATE(BG$4,$C286),'INSER DATA'!$A:$F,7,0),"")</f>
        <v/>
      </c>
      <c r="BH286" s="270" t="str">
        <f>_xlfn.IFNA(VLOOKUP(CONCATENATE(BH$4,$C286),'INSER DATA'!$A:$F,7,0),"")</f>
        <v/>
      </c>
      <c r="BI286" s="270" t="str">
        <f>_xlfn.IFNA(VLOOKUP(CONCATENATE(BI$4,$C286),'INSER DATA'!$A:$F,7,0),"")</f>
        <v/>
      </c>
      <c r="BJ286" s="270" t="str">
        <f>_xlfn.IFNA(VLOOKUP(CONCATENATE(BJ$4,$C286),'INSER DATA'!$A:$F,7,0),"")</f>
        <v/>
      </c>
      <c r="BK286" s="270" t="str">
        <f>_xlfn.IFNA(VLOOKUP(CONCATENATE(BK$4,$C286),'INSER DATA'!$A:$F,7,0),"")</f>
        <v/>
      </c>
      <c r="BL286" s="272"/>
      <c r="BM286" s="30"/>
      <c r="BN286" s="30"/>
      <c r="BO286" s="30"/>
      <c r="BP286" s="30"/>
      <c r="BQ286" s="30"/>
      <c r="BR286" s="30"/>
      <c r="BS286" s="30"/>
      <c r="BT286" s="30"/>
      <c r="BU286" s="30"/>
      <c r="BV286" s="30"/>
      <c r="BW286" s="30"/>
      <c r="BX286" s="30"/>
      <c r="BY286" s="30"/>
      <c r="BZ286" s="30"/>
      <c r="CA286" s="30"/>
      <c r="CB286" s="30"/>
      <c r="CC286" s="30"/>
      <c r="CD286" s="30"/>
      <c r="CE286" s="30"/>
      <c r="CF286" s="30"/>
      <c r="CG286" s="30"/>
      <c r="CH286" s="30"/>
      <c r="CI286" s="30"/>
      <c r="CJ286" s="30"/>
      <c r="CK286" s="30"/>
      <c r="CL286" s="30"/>
      <c r="CM286" s="30"/>
      <c r="CN286" s="30"/>
      <c r="CO286" s="30"/>
      <c r="CP286" s="30"/>
      <c r="CQ286" s="30"/>
      <c r="CR286" s="30"/>
      <c r="CS286" s="30"/>
      <c r="CT286" s="30"/>
      <c r="CU286" s="30"/>
      <c r="CV286" s="30"/>
      <c r="CW286" s="30"/>
      <c r="CX286" s="30"/>
      <c r="CY286" s="30"/>
      <c r="CZ286" s="30"/>
      <c r="DA286" s="30"/>
    </row>
    <row r="287" spans="1:105" ht="19.2" thickTop="1" thickBot="1" x14ac:dyDescent="0.4">
      <c r="A287" s="30"/>
      <c r="B287" s="30"/>
      <c r="C287" s="356" t="s">
        <v>462</v>
      </c>
      <c r="D287" s="357" t="s">
        <v>826</v>
      </c>
      <c r="E287" s="35" t="str">
        <f>_xlfn.XLOOKUP(Tabella4[[#This Row],[NOME]],'ROSE SQUADRE'!$N$3:$N$253,'ROSE SQUADRE'!$O$3:$O$253,"")</f>
        <v>SAN GRIA</v>
      </c>
      <c r="F287" s="36" t="s">
        <v>162</v>
      </c>
      <c r="G287" s="43">
        <v>6</v>
      </c>
      <c r="H287" s="43">
        <v>7</v>
      </c>
      <c r="I287" s="44">
        <f t="shared" si="25"/>
        <v>1</v>
      </c>
      <c r="J287" s="37">
        <f t="shared" si="26"/>
        <v>4</v>
      </c>
      <c r="K287" s="38">
        <f t="shared" si="27"/>
        <v>6.5</v>
      </c>
      <c r="L287" s="38">
        <f t="shared" si="28"/>
        <v>7</v>
      </c>
      <c r="M287" s="39">
        <f t="shared" si="29"/>
        <v>28</v>
      </c>
      <c r="N287" s="45">
        <f t="shared" ca="1" si="30"/>
        <v>1</v>
      </c>
      <c r="O287" s="40">
        <f>SUMIF(Tabella1[Nome],Tabella4[[#This Row],[NOME]],Tabella1[Gf])</f>
        <v>0</v>
      </c>
      <c r="P287" s="40">
        <f>-(SUMIF(Tabella1[Nome],Tabella4[[#This Row],[NOME]],Tabella1[Gs]))</f>
        <v>0</v>
      </c>
      <c r="Q287" s="40">
        <f>SUMIF(Tabella1[Nome],Tabella4[[#This Row],[NOME]],Tabella1[Rp])</f>
        <v>0</v>
      </c>
      <c r="R287" s="40">
        <f>SUMIF(Tabella1[Nome],Tabella4[[#This Row],[NOME]],Tabella1[Rs])</f>
        <v>0</v>
      </c>
      <c r="S287" s="40">
        <f>SUMIF(Tabella1[Nome],Tabella4[[#This Row],[NOME]],Tabella1[Rf])</f>
        <v>0</v>
      </c>
      <c r="T287" s="40">
        <f>SUMIF(Tabella1[Nome],Tabella4[[#This Row],[NOME]],Tabella1[Au])</f>
        <v>0</v>
      </c>
      <c r="U287" s="41">
        <f>SUMIF(Tabella1[Nome],Tabella4[[#This Row],[NOME]],Tabella1[Amm])</f>
        <v>0</v>
      </c>
      <c r="V287" s="42">
        <f>SUMIF(Tabella1[Nome],Tabella4[[#This Row],[NOME]],Tabella1[Esp])</f>
        <v>0</v>
      </c>
      <c r="W287" s="40">
        <f>SUMIF(Tabella1[Nome],Tabella4[[#This Row],[NOME]],Tabella1[Ass])</f>
        <v>2</v>
      </c>
      <c r="X287" s="40">
        <f>SUMIF(Tabella1[Nome],Tabella4[[#This Row],[NOME]],Tabella1[Gdv])</f>
        <v>0</v>
      </c>
      <c r="Y287" s="40">
        <f>SUMIF(Tabella1[Nome],Tabella4[[#This Row],[NOME]],Tabella1[cl sh])</f>
        <v>0</v>
      </c>
      <c r="Z287" s="270">
        <f>_xlfn.IFNA(_xlfn.XLOOKUP(CONCATENATE(Z$4,$C287),Tabella1[CONC X VOTI IN TAB GIOC],Tabella1[Voto],""),"")</f>
        <v>7</v>
      </c>
      <c r="AA287" s="270">
        <f>_xlfn.IFNA(_xlfn.XLOOKUP(CONCATENATE(AA$4,$C287),Tabella1[CONC X VOTI IN TAB GIOC],Tabella1[Voto],""),"")</f>
        <v>6.5</v>
      </c>
      <c r="AB287" s="400">
        <f>_xlfn.IFNA(_xlfn.XLOOKUP(CONCATENATE(AB$4,$C287),Tabella1[CONC X VOTI IN TAB GIOC],Tabella1[Voto]),"")</f>
        <v>6.5</v>
      </c>
      <c r="AC287" s="270" cm="1">
        <f t="array" ref="AC287">_xlfn.IFNA(_xlfn.XLOOKUP(CONCATENATE(AC$4,$C287),INDEX(Tabella1[],0,MATCH("CONC X VOTI IN TAB GIOC",Tabella1[#Headers],0)),INDEX(Tabella1[],0,MATCH("Voto",Tabella1[#Headers],0))),"")</f>
        <v>6</v>
      </c>
      <c r="AD287" s="270" t="str">
        <f>_xlfn.IFNA(_xlfn.XLOOKUP(CONCATENATE(AD$4,$C287),Tabella1[CONC X VOTI IN TAB GIOC],Tabella1[Voto]),"")</f>
        <v/>
      </c>
      <c r="AE287" s="270" t="str">
        <f>_xlfn.IFNA(VLOOKUP(CONCATENATE(AE$4,$C287),'INSER DATA'!$A:$F,6,0),"")</f>
        <v/>
      </c>
      <c r="AF287" s="270" t="str">
        <f>_xlfn.IFNA(VLOOKUP(CONCATENATE(AF$4,$C287),'INSER DATA'!$A:$F,6,0),"")</f>
        <v/>
      </c>
      <c r="AG287" s="270" t="str">
        <f>_xlfn.IFNA(VLOOKUP(CONCATENATE(AG$4,$C287),'INSER DATA'!$A:$F,6,0),"")</f>
        <v/>
      </c>
      <c r="AH287" s="270" t="str">
        <f>_xlfn.IFNA(VLOOKUP(CONCATENATE(AH$4,$C287),'INSER DATA'!$A:$F,7,0),"")</f>
        <v/>
      </c>
      <c r="AI287" s="270" t="str">
        <f>_xlfn.IFNA(VLOOKUP(CONCATENATE(AI$4,$C287),'INSER DATA'!$A:$F,7,0),"")</f>
        <v/>
      </c>
      <c r="AJ287" s="270" t="str">
        <f>_xlfn.IFNA(VLOOKUP(CONCATENATE(AJ$4,$C287),'INSER DATA'!$A:$F,7,0),"")</f>
        <v/>
      </c>
      <c r="AK287" s="270" t="str">
        <f>_xlfn.IFNA(VLOOKUP(CONCATENATE(AK$4,$C287),'INSER DATA'!$A:$F,7,0),"")</f>
        <v/>
      </c>
      <c r="AL287" s="270" t="str">
        <f>_xlfn.IFNA(VLOOKUP(CONCATENATE(AL$4,$C287),'INSER DATA'!$A:$F,7,0),"")</f>
        <v/>
      </c>
      <c r="AM287" s="270" t="str">
        <f>_xlfn.IFNA(VLOOKUP(CONCATENATE(AM$4,$C287),'INSER DATA'!$A:$F,7,0),"")</f>
        <v/>
      </c>
      <c r="AN287" s="270" t="str">
        <f>_xlfn.IFNA(VLOOKUP(CONCATENATE(AN$4,$C287),'INSER DATA'!$A:$F,7,0),"")</f>
        <v/>
      </c>
      <c r="AO287" s="270" t="str">
        <f>_xlfn.IFNA(VLOOKUP(CONCATENATE(AO$4,$C287),'INSER DATA'!$A:$F,7,0),"")</f>
        <v/>
      </c>
      <c r="AP287" s="270" t="str">
        <f>_xlfn.IFNA(VLOOKUP(CONCATENATE(AP$4,$C287),'INSER DATA'!$A:$F,7,0),"")</f>
        <v/>
      </c>
      <c r="AQ287" s="270" t="str">
        <f>_xlfn.IFNA(VLOOKUP(CONCATENATE(AQ$4,$C287),'INSER DATA'!$A:$F,7,0),"")</f>
        <v/>
      </c>
      <c r="AR287" s="270" t="str">
        <f>_xlfn.IFNA(VLOOKUP(CONCATENATE(AR$4,$C287),'INSER DATA'!$A:$F,7,0),"")</f>
        <v/>
      </c>
      <c r="AS287" s="270" t="str">
        <f>_xlfn.IFNA(VLOOKUP(CONCATENATE(AS$4,$C287),'INSER DATA'!$A:$F,7,0),"")</f>
        <v/>
      </c>
      <c r="AT287" s="270" t="str">
        <f>_xlfn.IFNA(VLOOKUP(CONCATENATE(AT$4,$C287),'INSER DATA'!$A:$F,7,0),"")</f>
        <v/>
      </c>
      <c r="AU287" s="270" t="str">
        <f>_xlfn.IFNA(VLOOKUP(CONCATENATE(AU$4,$C287),'INSER DATA'!$A:$F,7,0),"")</f>
        <v/>
      </c>
      <c r="AV287" s="270" t="str">
        <f>_xlfn.IFNA(VLOOKUP(CONCATENATE(AV$4,$C287),'INSER DATA'!$A:$F,7,0),"")</f>
        <v/>
      </c>
      <c r="AW287" s="270" t="str">
        <f>_xlfn.IFNA(VLOOKUP(CONCATENATE(AW$4,$C287),'INSER DATA'!$A:$F,7,0),"")</f>
        <v/>
      </c>
      <c r="AX287" s="270" t="str">
        <f>_xlfn.IFNA(VLOOKUP(CONCATENATE(AX$4,$C287),'INSER DATA'!$A:$F,7,0),"")</f>
        <v/>
      </c>
      <c r="AY287" s="270" t="str">
        <f>_xlfn.IFNA(VLOOKUP(CONCATENATE(AY$4,$C287),'INSER DATA'!$A:$F,7,0),"")</f>
        <v/>
      </c>
      <c r="AZ287" s="270" t="str">
        <f>_xlfn.IFNA(VLOOKUP(CONCATENATE(AZ$4,$C287),'INSER DATA'!$A:$F,7,0),"")</f>
        <v/>
      </c>
      <c r="BA287" s="270" t="str">
        <f>_xlfn.IFNA(VLOOKUP(CONCATENATE(BA$4,$C287),'INSER DATA'!$A:$F,7,0),"")</f>
        <v/>
      </c>
      <c r="BB287" s="270" t="str">
        <f>_xlfn.IFNA(VLOOKUP(CONCATENATE(BB$4,$C287),'INSER DATA'!$A:$F,7,0),"")</f>
        <v/>
      </c>
      <c r="BC287" s="270" t="str">
        <f>_xlfn.IFNA(VLOOKUP(CONCATENATE(BC$4,$C287),'INSER DATA'!$A:$F,7,0),"")</f>
        <v/>
      </c>
      <c r="BD287" s="270" t="str">
        <f>_xlfn.IFNA(VLOOKUP(CONCATENATE(BD$4,$C287),'INSER DATA'!$A:$F,7,0),"")</f>
        <v/>
      </c>
      <c r="BE287" s="270" t="str">
        <f>_xlfn.IFNA(VLOOKUP(CONCATENATE(BE$4,$C287),'INSER DATA'!$A:$F,7,0),"")</f>
        <v/>
      </c>
      <c r="BF287" s="270" t="str">
        <f>_xlfn.IFNA(VLOOKUP(CONCATENATE(BF$4,$C287),'INSER DATA'!$A:$F,7,0),"")</f>
        <v/>
      </c>
      <c r="BG287" s="270" t="str">
        <f>_xlfn.IFNA(VLOOKUP(CONCATENATE(BG$4,$C287),'INSER DATA'!$A:$F,7,0),"")</f>
        <v/>
      </c>
      <c r="BH287" s="270" t="str">
        <f>_xlfn.IFNA(VLOOKUP(CONCATENATE(BH$4,$C287),'INSER DATA'!$A:$F,7,0),"")</f>
        <v/>
      </c>
      <c r="BI287" s="270" t="str">
        <f>_xlfn.IFNA(VLOOKUP(CONCATENATE(BI$4,$C287),'INSER DATA'!$A:$F,7,0),"")</f>
        <v/>
      </c>
      <c r="BJ287" s="270" t="str">
        <f>_xlfn.IFNA(VLOOKUP(CONCATENATE(BJ$4,$C287),'INSER DATA'!$A:$F,7,0),"")</f>
        <v/>
      </c>
      <c r="BK287" s="270" t="str">
        <f>_xlfn.IFNA(VLOOKUP(CONCATENATE(BK$4,$C287),'INSER DATA'!$A:$F,7,0),"")</f>
        <v/>
      </c>
      <c r="BL287" s="272"/>
      <c r="BM287" s="30"/>
      <c r="BN287" s="30"/>
      <c r="BO287" s="30"/>
      <c r="BP287" s="30"/>
      <c r="BQ287" s="30"/>
      <c r="BR287" s="30"/>
      <c r="BS287" s="30"/>
      <c r="BT287" s="30"/>
      <c r="BU287" s="30"/>
      <c r="BV287" s="30"/>
      <c r="BW287" s="30"/>
      <c r="BX287" s="30"/>
      <c r="BY287" s="30"/>
      <c r="BZ287" s="30"/>
      <c r="CA287" s="30"/>
      <c r="CB287" s="30"/>
      <c r="CC287" s="30"/>
      <c r="CD287" s="30"/>
      <c r="CE287" s="30"/>
      <c r="CF287" s="30"/>
      <c r="CG287" s="30"/>
      <c r="CH287" s="30"/>
      <c r="CI287" s="30"/>
      <c r="CJ287" s="30"/>
      <c r="CK287" s="30"/>
      <c r="CL287" s="30"/>
      <c r="CM287" s="30"/>
      <c r="CN287" s="30"/>
      <c r="CO287" s="30"/>
      <c r="CP287" s="30"/>
      <c r="CQ287" s="30"/>
      <c r="CR287" s="30"/>
      <c r="CS287" s="30"/>
      <c r="CT287" s="30"/>
      <c r="CU287" s="30"/>
      <c r="CV287" s="30"/>
      <c r="CW287" s="30"/>
      <c r="CX287" s="30"/>
      <c r="CY287" s="30"/>
      <c r="CZ287" s="30"/>
      <c r="DA287" s="30"/>
    </row>
    <row r="288" spans="1:105" ht="19.2" thickTop="1" thickBot="1" x14ac:dyDescent="0.4">
      <c r="A288" s="30"/>
      <c r="B288" s="30"/>
      <c r="C288" s="354" t="s">
        <v>838</v>
      </c>
      <c r="D288" s="355" t="s">
        <v>826</v>
      </c>
      <c r="E288" s="35" t="str">
        <f>_xlfn.XLOOKUP(Tabella4[[#This Row],[NOME]],'ROSE SQUADRE'!$N$3:$N$253,'ROSE SQUADRE'!$O$3:$O$253,"")</f>
        <v>SAN GRIA</v>
      </c>
      <c r="F288" s="36" t="s">
        <v>162</v>
      </c>
      <c r="G288" s="43">
        <v>22</v>
      </c>
      <c r="H288" s="43">
        <v>23</v>
      </c>
      <c r="I288" s="44">
        <f t="shared" si="25"/>
        <v>1</v>
      </c>
      <c r="J288" s="37">
        <f t="shared" si="26"/>
        <v>4</v>
      </c>
      <c r="K288" s="38">
        <f t="shared" si="27"/>
        <v>6.25</v>
      </c>
      <c r="L288" s="38">
        <f t="shared" si="28"/>
        <v>7.75</v>
      </c>
      <c r="M288" s="39">
        <f t="shared" si="29"/>
        <v>31</v>
      </c>
      <c r="N288" s="45">
        <f t="shared" ca="1" si="30"/>
        <v>1</v>
      </c>
      <c r="O288" s="40">
        <f>SUMIF(Tabella1[Nome],Tabella4[[#This Row],[NOME]],Tabella1[Gf])</f>
        <v>1</v>
      </c>
      <c r="P288" s="40">
        <f>-(SUMIF(Tabella1[Nome],Tabella4[[#This Row],[NOME]],Tabella1[Gs]))</f>
        <v>0</v>
      </c>
      <c r="Q288" s="40">
        <f>SUMIF(Tabella1[Nome],Tabella4[[#This Row],[NOME]],Tabella1[Rp])</f>
        <v>0</v>
      </c>
      <c r="R288" s="40">
        <f>SUMIF(Tabella1[Nome],Tabella4[[#This Row],[NOME]],Tabella1[Rs])</f>
        <v>0</v>
      </c>
      <c r="S288" s="40">
        <f>SUMIF(Tabella1[Nome],Tabella4[[#This Row],[NOME]],Tabella1[Rf])</f>
        <v>0</v>
      </c>
      <c r="T288" s="40">
        <f>SUMIF(Tabella1[Nome],Tabella4[[#This Row],[NOME]],Tabella1[Au])</f>
        <v>0</v>
      </c>
      <c r="U288" s="41">
        <f>SUMIF(Tabella1[Nome],Tabella4[[#This Row],[NOME]],Tabella1[Amm])</f>
        <v>0</v>
      </c>
      <c r="V288" s="42">
        <f>SUMIF(Tabella1[Nome],Tabella4[[#This Row],[NOME]],Tabella1[Esp])</f>
        <v>0</v>
      </c>
      <c r="W288" s="40">
        <f>SUMIF(Tabella1[Nome],Tabella4[[#This Row],[NOME]],Tabella1[Ass])</f>
        <v>2</v>
      </c>
      <c r="X288" s="40">
        <f>SUMIF(Tabella1[Nome],Tabella4[[#This Row],[NOME]],Tabella1[Gdv])</f>
        <v>1</v>
      </c>
      <c r="Y288" s="40">
        <f>SUMIF(Tabella1[Nome],Tabella4[[#This Row],[NOME]],Tabella1[cl sh])</f>
        <v>0</v>
      </c>
      <c r="Z288" s="270">
        <f>_xlfn.IFNA(_xlfn.XLOOKUP(CONCATENATE(Z$4,$C288),Tabella1[CONC X VOTI IN TAB GIOC],Tabella1[Voto],""),"")</f>
        <v>7.5</v>
      </c>
      <c r="AA288" s="270">
        <f>_xlfn.IFNA(_xlfn.XLOOKUP(CONCATENATE(AA$4,$C288),Tabella1[CONC X VOTI IN TAB GIOC],Tabella1[Voto],""),"")</f>
        <v>6</v>
      </c>
      <c r="AB288" s="400">
        <f>_xlfn.IFNA(_xlfn.XLOOKUP(CONCATENATE(AB$4,$C288),Tabella1[CONC X VOTI IN TAB GIOC],Tabella1[Voto]),"")</f>
        <v>5</v>
      </c>
      <c r="AC288" s="270" cm="1">
        <f t="array" ref="AC288">_xlfn.IFNA(_xlfn.XLOOKUP(CONCATENATE(AC$4,$C288),INDEX(Tabella1[],0,MATCH("CONC X VOTI IN TAB GIOC",Tabella1[#Headers],0)),INDEX(Tabella1[],0,MATCH("Voto",Tabella1[#Headers],0))),"")</f>
        <v>6.5</v>
      </c>
      <c r="AD288" s="270" t="str">
        <f>_xlfn.IFNA(_xlfn.XLOOKUP(CONCATENATE(AD$4,$C288),Tabella1[CONC X VOTI IN TAB GIOC],Tabella1[Voto]),"")</f>
        <v/>
      </c>
      <c r="AE288" s="270" t="str">
        <f>_xlfn.IFNA(VLOOKUP(CONCATENATE(AE$4,$C288),'INSER DATA'!$A:$F,6,0),"")</f>
        <v/>
      </c>
      <c r="AF288" s="270" t="str">
        <f>_xlfn.IFNA(VLOOKUP(CONCATENATE(AF$4,$C288),'INSER DATA'!$A:$F,6,0),"")</f>
        <v/>
      </c>
      <c r="AG288" s="270" t="str">
        <f>_xlfn.IFNA(VLOOKUP(CONCATENATE(AG$4,$C288),'INSER DATA'!$A:$F,6,0),"")</f>
        <v/>
      </c>
      <c r="AH288" s="270" t="str">
        <f>_xlfn.IFNA(VLOOKUP(CONCATENATE(AH$4,$C288),'INSER DATA'!$A:$F,7,0),"")</f>
        <v/>
      </c>
      <c r="AI288" s="270" t="str">
        <f>_xlfn.IFNA(VLOOKUP(CONCATENATE(AI$4,$C288),'INSER DATA'!$A:$F,7,0),"")</f>
        <v/>
      </c>
      <c r="AJ288" s="270" t="str">
        <f>_xlfn.IFNA(VLOOKUP(CONCATENATE(AJ$4,$C288),'INSER DATA'!$A:$F,7,0),"")</f>
        <v/>
      </c>
      <c r="AK288" s="270" t="str">
        <f>_xlfn.IFNA(VLOOKUP(CONCATENATE(AK$4,$C288),'INSER DATA'!$A:$F,7,0),"")</f>
        <v/>
      </c>
      <c r="AL288" s="270" t="str">
        <f>_xlfn.IFNA(VLOOKUP(CONCATENATE(AL$4,$C288),'INSER DATA'!$A:$F,7,0),"")</f>
        <v/>
      </c>
      <c r="AM288" s="270" t="str">
        <f>_xlfn.IFNA(VLOOKUP(CONCATENATE(AM$4,$C288),'INSER DATA'!$A:$F,7,0),"")</f>
        <v/>
      </c>
      <c r="AN288" s="270" t="str">
        <f>_xlfn.IFNA(VLOOKUP(CONCATENATE(AN$4,$C288),'INSER DATA'!$A:$F,7,0),"")</f>
        <v/>
      </c>
      <c r="AO288" s="270" t="str">
        <f>_xlfn.IFNA(VLOOKUP(CONCATENATE(AO$4,$C288),'INSER DATA'!$A:$F,7,0),"")</f>
        <v/>
      </c>
      <c r="AP288" s="270" t="str">
        <f>_xlfn.IFNA(VLOOKUP(CONCATENATE(AP$4,$C288),'INSER DATA'!$A:$F,7,0),"")</f>
        <v/>
      </c>
      <c r="AQ288" s="270" t="str">
        <f>_xlfn.IFNA(VLOOKUP(CONCATENATE(AQ$4,$C288),'INSER DATA'!$A:$F,7,0),"")</f>
        <v/>
      </c>
      <c r="AR288" s="270" t="str">
        <f>_xlfn.IFNA(VLOOKUP(CONCATENATE(AR$4,$C288),'INSER DATA'!$A:$F,7,0),"")</f>
        <v/>
      </c>
      <c r="AS288" s="270" t="str">
        <f>_xlfn.IFNA(VLOOKUP(CONCATENATE(AS$4,$C288),'INSER DATA'!$A:$F,7,0),"")</f>
        <v/>
      </c>
      <c r="AT288" s="270" t="str">
        <f>_xlfn.IFNA(VLOOKUP(CONCATENATE(AT$4,$C288),'INSER DATA'!$A:$F,7,0),"")</f>
        <v/>
      </c>
      <c r="AU288" s="270" t="str">
        <f>_xlfn.IFNA(VLOOKUP(CONCATENATE(AU$4,$C288),'INSER DATA'!$A:$F,7,0),"")</f>
        <v/>
      </c>
      <c r="AV288" s="270" t="str">
        <f>_xlfn.IFNA(VLOOKUP(CONCATENATE(AV$4,$C288),'INSER DATA'!$A:$F,7,0),"")</f>
        <v/>
      </c>
      <c r="AW288" s="270" t="str">
        <f>_xlfn.IFNA(VLOOKUP(CONCATENATE(AW$4,$C288),'INSER DATA'!$A:$F,7,0),"")</f>
        <v/>
      </c>
      <c r="AX288" s="270" t="str">
        <f>_xlfn.IFNA(VLOOKUP(CONCATENATE(AX$4,$C288),'INSER DATA'!$A:$F,7,0),"")</f>
        <v/>
      </c>
      <c r="AY288" s="270" t="str">
        <f>_xlfn.IFNA(VLOOKUP(CONCATENATE(AY$4,$C288),'INSER DATA'!$A:$F,7,0),"")</f>
        <v/>
      </c>
      <c r="AZ288" s="270" t="str">
        <f>_xlfn.IFNA(VLOOKUP(CONCATENATE(AZ$4,$C288),'INSER DATA'!$A:$F,7,0),"")</f>
        <v/>
      </c>
      <c r="BA288" s="270" t="str">
        <f>_xlfn.IFNA(VLOOKUP(CONCATENATE(BA$4,$C288),'INSER DATA'!$A:$F,7,0),"")</f>
        <v/>
      </c>
      <c r="BB288" s="270" t="str">
        <f>_xlfn.IFNA(VLOOKUP(CONCATENATE(BB$4,$C288),'INSER DATA'!$A:$F,7,0),"")</f>
        <v/>
      </c>
      <c r="BC288" s="270" t="str">
        <f>_xlfn.IFNA(VLOOKUP(CONCATENATE(BC$4,$C288),'INSER DATA'!$A:$F,7,0),"")</f>
        <v/>
      </c>
      <c r="BD288" s="270" t="str">
        <f>_xlfn.IFNA(VLOOKUP(CONCATENATE(BD$4,$C288),'INSER DATA'!$A:$F,7,0),"")</f>
        <v/>
      </c>
      <c r="BE288" s="270" t="str">
        <f>_xlfn.IFNA(VLOOKUP(CONCATENATE(BE$4,$C288),'INSER DATA'!$A:$F,7,0),"")</f>
        <v/>
      </c>
      <c r="BF288" s="270" t="str">
        <f>_xlfn.IFNA(VLOOKUP(CONCATENATE(BF$4,$C288),'INSER DATA'!$A:$F,7,0),"")</f>
        <v/>
      </c>
      <c r="BG288" s="270" t="str">
        <f>_xlfn.IFNA(VLOOKUP(CONCATENATE(BG$4,$C288),'INSER DATA'!$A:$F,7,0),"")</f>
        <v/>
      </c>
      <c r="BH288" s="270" t="str">
        <f>_xlfn.IFNA(VLOOKUP(CONCATENATE(BH$4,$C288),'INSER DATA'!$A:$F,7,0),"")</f>
        <v/>
      </c>
      <c r="BI288" s="270" t="str">
        <f>_xlfn.IFNA(VLOOKUP(CONCATENATE(BI$4,$C288),'INSER DATA'!$A:$F,7,0),"")</f>
        <v/>
      </c>
      <c r="BJ288" s="270" t="str">
        <f>_xlfn.IFNA(VLOOKUP(CONCATENATE(BJ$4,$C288),'INSER DATA'!$A:$F,7,0),"")</f>
        <v/>
      </c>
      <c r="BK288" s="270" t="str">
        <f>_xlfn.IFNA(VLOOKUP(CONCATENATE(BK$4,$C288),'INSER DATA'!$A:$F,7,0),"")</f>
        <v/>
      </c>
      <c r="BL288" s="272"/>
      <c r="BM288" s="30"/>
      <c r="BN288" s="30"/>
      <c r="BO288" s="30"/>
      <c r="BP288" s="30"/>
      <c r="BQ288" s="30"/>
      <c r="BR288" s="30"/>
      <c r="BS288" s="30"/>
      <c r="BT288" s="30"/>
      <c r="BU288" s="30"/>
      <c r="BV288" s="30"/>
      <c r="BW288" s="30"/>
      <c r="BX288" s="30"/>
      <c r="BY288" s="30"/>
      <c r="BZ288" s="30"/>
      <c r="CA288" s="30"/>
      <c r="CB288" s="30"/>
      <c r="CC288" s="30"/>
      <c r="CD288" s="30"/>
      <c r="CE288" s="30"/>
      <c r="CF288" s="30"/>
      <c r="CG288" s="30"/>
      <c r="CH288" s="30"/>
      <c r="CI288" s="30"/>
      <c r="CJ288" s="30"/>
      <c r="CK288" s="30"/>
      <c r="CL288" s="30"/>
      <c r="CM288" s="30"/>
      <c r="CN288" s="30"/>
      <c r="CO288" s="30"/>
      <c r="CP288" s="30"/>
      <c r="CQ288" s="30"/>
      <c r="CR288" s="30"/>
      <c r="CS288" s="30"/>
      <c r="CT288" s="30"/>
      <c r="CU288" s="30"/>
      <c r="CV288" s="30"/>
      <c r="CW288" s="30"/>
      <c r="CX288" s="30"/>
      <c r="CY288" s="30"/>
      <c r="CZ288" s="30"/>
      <c r="DA288" s="30"/>
    </row>
    <row r="289" spans="1:105" ht="19.2" thickTop="1" thickBot="1" x14ac:dyDescent="0.4">
      <c r="A289" s="30"/>
      <c r="B289" s="30"/>
      <c r="C289" s="356" t="s">
        <v>832</v>
      </c>
      <c r="D289" s="357" t="s">
        <v>826</v>
      </c>
      <c r="E289" s="35" t="str">
        <f>_xlfn.XLOOKUP(Tabella4[[#This Row],[NOME]],'ROSE SQUADRE'!$N$3:$N$253,'ROSE SQUADRE'!$O$3:$O$253,"")</f>
        <v>SAN GRIA</v>
      </c>
      <c r="F289" s="36" t="s">
        <v>161</v>
      </c>
      <c r="G289" s="43">
        <v>12</v>
      </c>
      <c r="H289" s="43">
        <v>12</v>
      </c>
      <c r="I289" s="44">
        <f t="shared" si="25"/>
        <v>0</v>
      </c>
      <c r="J289" s="37">
        <f t="shared" si="26"/>
        <v>4</v>
      </c>
      <c r="K289" s="38">
        <f t="shared" si="27"/>
        <v>6.25</v>
      </c>
      <c r="L289" s="38">
        <f t="shared" si="28"/>
        <v>6.125</v>
      </c>
      <c r="M289" s="39">
        <f t="shared" si="29"/>
        <v>24.5</v>
      </c>
      <c r="N289" s="45">
        <f t="shared" ca="1" si="30"/>
        <v>1</v>
      </c>
      <c r="O289" s="40">
        <f>SUMIF(Tabella1[Nome],Tabella4[[#This Row],[NOME]],Tabella1[Gf])</f>
        <v>0</v>
      </c>
      <c r="P289" s="40">
        <f>-(SUMIF(Tabella1[Nome],Tabella4[[#This Row],[NOME]],Tabella1[Gs]))</f>
        <v>0</v>
      </c>
      <c r="Q289" s="40">
        <f>SUMIF(Tabella1[Nome],Tabella4[[#This Row],[NOME]],Tabella1[Rp])</f>
        <v>0</v>
      </c>
      <c r="R289" s="40">
        <f>SUMIF(Tabella1[Nome],Tabella4[[#This Row],[NOME]],Tabella1[Rs])</f>
        <v>0</v>
      </c>
      <c r="S289" s="40">
        <f>SUMIF(Tabella1[Nome],Tabella4[[#This Row],[NOME]],Tabella1[Rf])</f>
        <v>0</v>
      </c>
      <c r="T289" s="40">
        <f>SUMIF(Tabella1[Nome],Tabella4[[#This Row],[NOME]],Tabella1[Au])</f>
        <v>0</v>
      </c>
      <c r="U289" s="41">
        <f>SUMIF(Tabella1[Nome],Tabella4[[#This Row],[NOME]],Tabella1[Amm])</f>
        <v>1</v>
      </c>
      <c r="V289" s="42">
        <f>SUMIF(Tabella1[Nome],Tabella4[[#This Row],[NOME]],Tabella1[Esp])</f>
        <v>0</v>
      </c>
      <c r="W289" s="40">
        <f>SUMIF(Tabella1[Nome],Tabella4[[#This Row],[NOME]],Tabella1[Ass])</f>
        <v>0</v>
      </c>
      <c r="X289" s="40">
        <f>SUMIF(Tabella1[Nome],Tabella4[[#This Row],[NOME]],Tabella1[Gdv])</f>
        <v>0</v>
      </c>
      <c r="Y289" s="40">
        <f>SUMIF(Tabella1[Nome],Tabella4[[#This Row],[NOME]],Tabella1[cl sh])</f>
        <v>0</v>
      </c>
      <c r="Z289" s="270">
        <f>_xlfn.IFNA(_xlfn.XLOOKUP(CONCATENATE(Z$4,$C289),Tabella1[CONC X VOTI IN TAB GIOC],Tabella1[Voto],""),"")</f>
        <v>6.5</v>
      </c>
      <c r="AA289" s="270">
        <f>_xlfn.IFNA(_xlfn.XLOOKUP(CONCATENATE(AA$4,$C289),Tabella1[CONC X VOTI IN TAB GIOC],Tabella1[Voto],""),"")</f>
        <v>6.5</v>
      </c>
      <c r="AB289" s="400">
        <f>_xlfn.IFNA(_xlfn.XLOOKUP(CONCATENATE(AB$4,$C289),Tabella1[CONC X VOTI IN TAB GIOC],Tabella1[Voto]),"")</f>
        <v>6.5</v>
      </c>
      <c r="AC289" s="270" cm="1">
        <f t="array" ref="AC289">_xlfn.IFNA(_xlfn.XLOOKUP(CONCATENATE(AC$4,$C289),INDEX(Tabella1[],0,MATCH("CONC X VOTI IN TAB GIOC",Tabella1[#Headers],0)),INDEX(Tabella1[],0,MATCH("Voto",Tabella1[#Headers],0))),"")</f>
        <v>5.5</v>
      </c>
      <c r="AD289" s="270" t="str">
        <f>_xlfn.IFNA(_xlfn.XLOOKUP(CONCATENATE(AD$4,$C289),Tabella1[CONC X VOTI IN TAB GIOC],Tabella1[Voto]),"")</f>
        <v/>
      </c>
      <c r="AE289" s="270" t="str">
        <f>_xlfn.IFNA(VLOOKUP(CONCATENATE(AE$4,$C289),'INSER DATA'!$A:$F,6,0),"")</f>
        <v/>
      </c>
      <c r="AF289" s="270" t="str">
        <f>_xlfn.IFNA(VLOOKUP(CONCATENATE(AF$4,$C289),'INSER DATA'!$A:$F,6,0),"")</f>
        <v/>
      </c>
      <c r="AG289" s="270" t="str">
        <f>_xlfn.IFNA(VLOOKUP(CONCATENATE(AG$4,$C289),'INSER DATA'!$A:$F,6,0),"")</f>
        <v/>
      </c>
      <c r="AH289" s="270" t="str">
        <f>_xlfn.IFNA(VLOOKUP(CONCATENATE(AH$4,$C289),'INSER DATA'!$A:$F,7,0),"")</f>
        <v/>
      </c>
      <c r="AI289" s="270" t="str">
        <f>_xlfn.IFNA(VLOOKUP(CONCATENATE(AI$4,$C289),'INSER DATA'!$A:$F,7,0),"")</f>
        <v/>
      </c>
      <c r="AJ289" s="270" t="str">
        <f>_xlfn.IFNA(VLOOKUP(CONCATENATE(AJ$4,$C289),'INSER DATA'!$A:$F,7,0),"")</f>
        <v/>
      </c>
      <c r="AK289" s="270" t="str">
        <f>_xlfn.IFNA(VLOOKUP(CONCATENATE(AK$4,$C289),'INSER DATA'!$A:$F,7,0),"")</f>
        <v/>
      </c>
      <c r="AL289" s="270" t="str">
        <f>_xlfn.IFNA(VLOOKUP(CONCATENATE(AL$4,$C289),'INSER DATA'!$A:$F,7,0),"")</f>
        <v/>
      </c>
      <c r="AM289" s="270" t="str">
        <f>_xlfn.IFNA(VLOOKUP(CONCATENATE(AM$4,$C289),'INSER DATA'!$A:$F,7,0),"")</f>
        <v/>
      </c>
      <c r="AN289" s="270" t="str">
        <f>_xlfn.IFNA(VLOOKUP(CONCATENATE(AN$4,$C289),'INSER DATA'!$A:$F,7,0),"")</f>
        <v/>
      </c>
      <c r="AO289" s="270" t="str">
        <f>_xlfn.IFNA(VLOOKUP(CONCATENATE(AO$4,$C289),'INSER DATA'!$A:$F,7,0),"")</f>
        <v/>
      </c>
      <c r="AP289" s="270" t="str">
        <f>_xlfn.IFNA(VLOOKUP(CONCATENATE(AP$4,$C289),'INSER DATA'!$A:$F,7,0),"")</f>
        <v/>
      </c>
      <c r="AQ289" s="270" t="str">
        <f>_xlfn.IFNA(VLOOKUP(CONCATENATE(AQ$4,$C289),'INSER DATA'!$A:$F,7,0),"")</f>
        <v/>
      </c>
      <c r="AR289" s="270" t="str">
        <f>_xlfn.IFNA(VLOOKUP(CONCATENATE(AR$4,$C289),'INSER DATA'!$A:$F,7,0),"")</f>
        <v/>
      </c>
      <c r="AS289" s="270" t="str">
        <f>_xlfn.IFNA(VLOOKUP(CONCATENATE(AS$4,$C289),'INSER DATA'!$A:$F,7,0),"")</f>
        <v/>
      </c>
      <c r="AT289" s="270" t="str">
        <f>_xlfn.IFNA(VLOOKUP(CONCATENATE(AT$4,$C289),'INSER DATA'!$A:$F,7,0),"")</f>
        <v/>
      </c>
      <c r="AU289" s="270" t="str">
        <f>_xlfn.IFNA(VLOOKUP(CONCATENATE(AU$4,$C289),'INSER DATA'!$A:$F,7,0),"")</f>
        <v/>
      </c>
      <c r="AV289" s="270" t="str">
        <f>_xlfn.IFNA(VLOOKUP(CONCATENATE(AV$4,$C289),'INSER DATA'!$A:$F,7,0),"")</f>
        <v/>
      </c>
      <c r="AW289" s="270" t="str">
        <f>_xlfn.IFNA(VLOOKUP(CONCATENATE(AW$4,$C289),'INSER DATA'!$A:$F,7,0),"")</f>
        <v/>
      </c>
      <c r="AX289" s="270" t="str">
        <f>_xlfn.IFNA(VLOOKUP(CONCATENATE(AX$4,$C289),'INSER DATA'!$A:$F,7,0),"")</f>
        <v/>
      </c>
      <c r="AY289" s="270" t="str">
        <f>_xlfn.IFNA(VLOOKUP(CONCATENATE(AY$4,$C289),'INSER DATA'!$A:$F,7,0),"")</f>
        <v/>
      </c>
      <c r="AZ289" s="270" t="str">
        <f>_xlfn.IFNA(VLOOKUP(CONCATENATE(AZ$4,$C289),'INSER DATA'!$A:$F,7,0),"")</f>
        <v/>
      </c>
      <c r="BA289" s="270" t="str">
        <f>_xlfn.IFNA(VLOOKUP(CONCATENATE(BA$4,$C289),'INSER DATA'!$A:$F,7,0),"")</f>
        <v/>
      </c>
      <c r="BB289" s="270" t="str">
        <f>_xlfn.IFNA(VLOOKUP(CONCATENATE(BB$4,$C289),'INSER DATA'!$A:$F,7,0),"")</f>
        <v/>
      </c>
      <c r="BC289" s="270" t="str">
        <f>_xlfn.IFNA(VLOOKUP(CONCATENATE(BC$4,$C289),'INSER DATA'!$A:$F,7,0),"")</f>
        <v/>
      </c>
      <c r="BD289" s="270" t="str">
        <f>_xlfn.IFNA(VLOOKUP(CONCATENATE(BD$4,$C289),'INSER DATA'!$A:$F,7,0),"")</f>
        <v/>
      </c>
      <c r="BE289" s="270" t="str">
        <f>_xlfn.IFNA(VLOOKUP(CONCATENATE(BE$4,$C289),'INSER DATA'!$A:$F,7,0),"")</f>
        <v/>
      </c>
      <c r="BF289" s="270" t="str">
        <f>_xlfn.IFNA(VLOOKUP(CONCATENATE(BF$4,$C289),'INSER DATA'!$A:$F,7,0),"")</f>
        <v/>
      </c>
      <c r="BG289" s="270" t="str">
        <f>_xlfn.IFNA(VLOOKUP(CONCATENATE(BG$4,$C289),'INSER DATA'!$A:$F,7,0),"")</f>
        <v/>
      </c>
      <c r="BH289" s="270" t="str">
        <f>_xlfn.IFNA(VLOOKUP(CONCATENATE(BH$4,$C289),'INSER DATA'!$A:$F,7,0),"")</f>
        <v/>
      </c>
      <c r="BI289" s="270" t="str">
        <f>_xlfn.IFNA(VLOOKUP(CONCATENATE(BI$4,$C289),'INSER DATA'!$A:$F,7,0),"")</f>
        <v/>
      </c>
      <c r="BJ289" s="270" t="str">
        <f>_xlfn.IFNA(VLOOKUP(CONCATENATE(BJ$4,$C289),'INSER DATA'!$A:$F,7,0),"")</f>
        <v/>
      </c>
      <c r="BK289" s="270" t="str">
        <f>_xlfn.IFNA(VLOOKUP(CONCATENATE(BK$4,$C289),'INSER DATA'!$A:$F,7,0),"")</f>
        <v/>
      </c>
      <c r="BL289" s="272"/>
      <c r="BM289" s="30"/>
      <c r="BN289" s="30"/>
      <c r="BO289" s="30"/>
      <c r="BP289" s="30"/>
      <c r="BQ289" s="30"/>
      <c r="BR289" s="30"/>
      <c r="BS289" s="30"/>
      <c r="BT289" s="30"/>
      <c r="BU289" s="30"/>
      <c r="BV289" s="30"/>
      <c r="BW289" s="30"/>
      <c r="BX289" s="30"/>
      <c r="BY289" s="30"/>
      <c r="BZ289" s="30"/>
      <c r="CA289" s="30"/>
      <c r="CB289" s="30"/>
      <c r="CC289" s="30"/>
      <c r="CD289" s="30"/>
      <c r="CE289" s="30"/>
      <c r="CF289" s="30"/>
      <c r="CG289" s="30"/>
      <c r="CH289" s="30"/>
      <c r="CI289" s="30"/>
      <c r="CJ289" s="30"/>
      <c r="CK289" s="30"/>
      <c r="CL289" s="30"/>
      <c r="CM289" s="30"/>
      <c r="CN289" s="30"/>
      <c r="CO289" s="30"/>
      <c r="CP289" s="30"/>
      <c r="CQ289" s="30"/>
      <c r="CR289" s="30"/>
      <c r="CS289" s="30"/>
      <c r="CT289" s="30"/>
      <c r="CU289" s="30"/>
      <c r="CV289" s="30"/>
      <c r="CW289" s="30"/>
      <c r="CX289" s="30"/>
      <c r="CY289" s="30"/>
      <c r="CZ289" s="30"/>
      <c r="DA289" s="30"/>
    </row>
    <row r="290" spans="1:105" ht="19.2" thickTop="1" thickBot="1" x14ac:dyDescent="0.4">
      <c r="A290" s="30"/>
      <c r="B290" s="30"/>
      <c r="C290" s="356" t="s">
        <v>249</v>
      </c>
      <c r="D290" s="355" t="s">
        <v>826</v>
      </c>
      <c r="E290" s="35" t="str">
        <f>_xlfn.XLOOKUP(Tabella4[[#This Row],[NOME]],'ROSE SQUADRE'!$N$3:$N$253,'ROSE SQUADRE'!$O$3:$O$253,"")</f>
        <v>SAN GRIA</v>
      </c>
      <c r="F290" s="36" t="s">
        <v>162</v>
      </c>
      <c r="G290" s="43">
        <v>10</v>
      </c>
      <c r="H290" s="43">
        <v>10</v>
      </c>
      <c r="I290" s="44">
        <f t="shared" si="25"/>
        <v>0</v>
      </c>
      <c r="J290" s="37">
        <f t="shared" si="26"/>
        <v>3</v>
      </c>
      <c r="K290" s="178">
        <f t="shared" si="27"/>
        <v>6.166666666666667</v>
      </c>
      <c r="L290" s="178">
        <f t="shared" si="28"/>
        <v>6.5</v>
      </c>
      <c r="M290" s="179">
        <f t="shared" si="29"/>
        <v>19.5</v>
      </c>
      <c r="N290" s="45">
        <f t="shared" ca="1" si="30"/>
        <v>0</v>
      </c>
      <c r="O290" s="40">
        <f>SUMIF(Tabella1[Nome],Tabella4[[#This Row],[NOME]],Tabella1[Gf])</f>
        <v>0</v>
      </c>
      <c r="P290" s="40">
        <f>-(SUMIF(Tabella1[Nome],Tabella4[[#This Row],[NOME]],Tabella1[Gs]))</f>
        <v>0</v>
      </c>
      <c r="Q290" s="40">
        <f>SUMIF(Tabella1[Nome],Tabella4[[#This Row],[NOME]],Tabella1[Rp])</f>
        <v>0</v>
      </c>
      <c r="R290" s="40">
        <f>SUMIF(Tabella1[Nome],Tabella4[[#This Row],[NOME]],Tabella1[Rs])</f>
        <v>0</v>
      </c>
      <c r="S290" s="40">
        <f>SUMIF(Tabella1[Nome],Tabella4[[#This Row],[NOME]],Tabella1[Rf])</f>
        <v>0</v>
      </c>
      <c r="T290" s="40">
        <f>SUMIF(Tabella1[Nome],Tabella4[[#This Row],[NOME]],Tabella1[Au])</f>
        <v>0</v>
      </c>
      <c r="U290" s="41">
        <f>SUMIF(Tabella1[Nome],Tabella4[[#This Row],[NOME]],Tabella1[Amm])</f>
        <v>0</v>
      </c>
      <c r="V290" s="42">
        <f>SUMIF(Tabella1[Nome],Tabella4[[#This Row],[NOME]],Tabella1[Esp])</f>
        <v>0</v>
      </c>
      <c r="W290" s="40">
        <f>SUMIF(Tabella1[Nome],Tabella4[[#This Row],[NOME]],Tabella1[Ass])</f>
        <v>1</v>
      </c>
      <c r="X290" s="40">
        <f>SUMIF(Tabella1[Nome],Tabella4[[#This Row],[NOME]],Tabella1[Gdv])</f>
        <v>0</v>
      </c>
      <c r="Y290" s="40">
        <f>SUMIF(Tabella1[Nome],Tabella4[[#This Row],[NOME]],Tabella1[cl sh])</f>
        <v>0</v>
      </c>
      <c r="Z290" s="270">
        <f>_xlfn.IFNA(_xlfn.XLOOKUP(CONCATENATE(Z$4,$C290),Tabella1[CONC X VOTI IN TAB GIOC],Tabella1[Voto],""),"")</f>
        <v>6</v>
      </c>
      <c r="AA290" s="270">
        <f>_xlfn.IFNA(_xlfn.XLOOKUP(CONCATENATE(AA$4,$C290),Tabella1[CONC X VOTI IN TAB GIOC],Tabella1[Voto],""),"")</f>
        <v>7</v>
      </c>
      <c r="AB290" s="270">
        <f>_xlfn.IFNA(_xlfn.XLOOKUP(CONCATENATE(AB$4,$C290),Tabella1[CONC X VOTI IN TAB GIOC],Tabella1[Voto]),"")</f>
        <v>5.5</v>
      </c>
      <c r="AC290" s="270" t="str" cm="1">
        <f t="array" ref="AC290">_xlfn.IFNA(_xlfn.XLOOKUP(CONCATENATE(AC$4,$C290),INDEX(Tabella1[],0,MATCH("CONC X VOTI IN TAB GIOC",Tabella1[#Headers],0)),INDEX(Tabella1[],0,MATCH("Voto",Tabella1[#Headers],0))),"")</f>
        <v/>
      </c>
      <c r="AD290" s="270" t="str">
        <f>_xlfn.IFNA(_xlfn.XLOOKUP(CONCATENATE(AD$4,$C290),Tabella1[CONC X VOTI IN TAB GIOC],Tabella1[Voto]),"")</f>
        <v/>
      </c>
      <c r="AE290" s="270" t="str">
        <f>_xlfn.IFNA(VLOOKUP(CONCATENATE(AE$4,$C290),'INSER DATA'!$A:$F,6,0),"")</f>
        <v/>
      </c>
      <c r="AF290" s="270" t="str">
        <f>_xlfn.IFNA(VLOOKUP(CONCATENATE(AF$4,$C290),'INSER DATA'!$A:$F,6,0),"")</f>
        <v/>
      </c>
      <c r="AG290" s="270" t="str">
        <f>_xlfn.IFNA(VLOOKUP(CONCATENATE(AG$4,$C290),'INSER DATA'!$A:$F,6,0),"")</f>
        <v/>
      </c>
      <c r="AH290" s="270" t="str">
        <f>_xlfn.IFNA(VLOOKUP(CONCATENATE(AH$4,$C290),'INSER DATA'!$A:$F,7,0),"")</f>
        <v/>
      </c>
      <c r="AI290" s="270" t="str">
        <f>_xlfn.IFNA(VLOOKUP(CONCATENATE(AI$4,$C290),'INSER DATA'!$A:$F,7,0),"")</f>
        <v/>
      </c>
      <c r="AJ290" s="270" t="str">
        <f>_xlfn.IFNA(VLOOKUP(CONCATENATE(AJ$4,$C290),'INSER DATA'!$A:$F,7,0),"")</f>
        <v/>
      </c>
      <c r="AK290" s="270" t="str">
        <f>_xlfn.IFNA(VLOOKUP(CONCATENATE(AK$4,$C290),'INSER DATA'!$A:$F,7,0),"")</f>
        <v/>
      </c>
      <c r="AL290" s="270" t="str">
        <f>_xlfn.IFNA(VLOOKUP(CONCATENATE(AL$4,$C290),'INSER DATA'!$A:$F,7,0),"")</f>
        <v/>
      </c>
      <c r="AM290" s="270" t="str">
        <f>_xlfn.IFNA(VLOOKUP(CONCATENATE(AM$4,$C290),'INSER DATA'!$A:$F,7,0),"")</f>
        <v/>
      </c>
      <c r="AN290" s="270" t="str">
        <f>_xlfn.IFNA(VLOOKUP(CONCATENATE(AN$4,$C290),'INSER DATA'!$A:$F,7,0),"")</f>
        <v/>
      </c>
      <c r="AO290" s="270" t="str">
        <f>_xlfn.IFNA(VLOOKUP(CONCATENATE(AO$4,$C290),'INSER DATA'!$A:$F,7,0),"")</f>
        <v/>
      </c>
      <c r="AP290" s="270" t="str">
        <f>_xlfn.IFNA(VLOOKUP(CONCATENATE(AP$4,$C290),'INSER DATA'!$A:$F,7,0),"")</f>
        <v/>
      </c>
      <c r="AQ290" s="270" t="str">
        <f>_xlfn.IFNA(VLOOKUP(CONCATENATE(AQ$4,$C290),'INSER DATA'!$A:$F,7,0),"")</f>
        <v/>
      </c>
      <c r="AR290" s="270" t="str">
        <f>_xlfn.IFNA(VLOOKUP(CONCATENATE(AR$4,$C290),'INSER DATA'!$A:$F,7,0),"")</f>
        <v/>
      </c>
      <c r="AS290" s="270" t="str">
        <f>_xlfn.IFNA(VLOOKUP(CONCATENATE(AS$4,$C290),'INSER DATA'!$A:$F,7,0),"")</f>
        <v/>
      </c>
      <c r="AT290" s="270" t="str">
        <f>_xlfn.IFNA(VLOOKUP(CONCATENATE(AT$4,$C290),'INSER DATA'!$A:$F,7,0),"")</f>
        <v/>
      </c>
      <c r="AU290" s="270" t="str">
        <f>_xlfn.IFNA(VLOOKUP(CONCATENATE(AU$4,$C290),'INSER DATA'!$A:$F,7,0),"")</f>
        <v/>
      </c>
      <c r="AV290" s="270" t="str">
        <f>_xlfn.IFNA(VLOOKUP(CONCATENATE(AV$4,$C290),'INSER DATA'!$A:$F,7,0),"")</f>
        <v/>
      </c>
      <c r="AW290" s="270" t="str">
        <f>_xlfn.IFNA(VLOOKUP(CONCATENATE(AW$4,$C290),'INSER DATA'!$A:$F,7,0),"")</f>
        <v/>
      </c>
      <c r="AX290" s="270" t="str">
        <f>_xlfn.IFNA(VLOOKUP(CONCATENATE(AX$4,$C290),'INSER DATA'!$A:$F,7,0),"")</f>
        <v/>
      </c>
      <c r="AY290" s="270" t="str">
        <f>_xlfn.IFNA(VLOOKUP(CONCATENATE(AY$4,$C290),'INSER DATA'!$A:$F,7,0),"")</f>
        <v/>
      </c>
      <c r="AZ290" s="270" t="str">
        <f>_xlfn.IFNA(VLOOKUP(CONCATENATE(AZ$4,$C290),'INSER DATA'!$A:$F,7,0),"")</f>
        <v/>
      </c>
      <c r="BA290" s="270" t="str">
        <f>_xlfn.IFNA(VLOOKUP(CONCATENATE(BA$4,$C290),'INSER DATA'!$A:$F,7,0),"")</f>
        <v/>
      </c>
      <c r="BB290" s="270" t="str">
        <f>_xlfn.IFNA(VLOOKUP(CONCATENATE(BB$4,$C290),'INSER DATA'!$A:$F,7,0),"")</f>
        <v/>
      </c>
      <c r="BC290" s="270" t="str">
        <f>_xlfn.IFNA(VLOOKUP(CONCATENATE(BC$4,$C290),'INSER DATA'!$A:$F,7,0),"")</f>
        <v/>
      </c>
      <c r="BD290" s="270" t="str">
        <f>_xlfn.IFNA(VLOOKUP(CONCATENATE(BD$4,$C290),'INSER DATA'!$A:$F,7,0),"")</f>
        <v/>
      </c>
      <c r="BE290" s="270" t="str">
        <f>_xlfn.IFNA(VLOOKUP(CONCATENATE(BE$4,$C290),'INSER DATA'!$A:$F,7,0),"")</f>
        <v/>
      </c>
      <c r="BF290" s="270" t="str">
        <f>_xlfn.IFNA(VLOOKUP(CONCATENATE(BF$4,$C290),'INSER DATA'!$A:$F,7,0),"")</f>
        <v/>
      </c>
      <c r="BG290" s="270" t="str">
        <f>_xlfn.IFNA(VLOOKUP(CONCATENATE(BG$4,$C290),'INSER DATA'!$A:$F,7,0),"")</f>
        <v/>
      </c>
      <c r="BH290" s="270" t="str">
        <f>_xlfn.IFNA(VLOOKUP(CONCATENATE(BH$4,$C290),'INSER DATA'!$A:$F,7,0),"")</f>
        <v/>
      </c>
      <c r="BI290" s="270" t="str">
        <f>_xlfn.IFNA(VLOOKUP(CONCATENATE(BI$4,$C290),'INSER DATA'!$A:$F,7,0),"")</f>
        <v/>
      </c>
      <c r="BJ290" s="270" t="str">
        <f>_xlfn.IFNA(VLOOKUP(CONCATENATE(BJ$4,$C290),'INSER DATA'!$A:$F,7,0),"")</f>
        <v/>
      </c>
      <c r="BK290" s="270" t="str">
        <f>_xlfn.IFNA(VLOOKUP(CONCATENATE(BK$4,$C290),'INSER DATA'!$A:$F,7,0),"")</f>
        <v/>
      </c>
      <c r="BL290" s="272"/>
      <c r="BM290" s="30"/>
      <c r="BN290" s="30"/>
      <c r="BO290" s="30"/>
      <c r="BP290" s="30"/>
      <c r="BQ290" s="30"/>
      <c r="BR290" s="30"/>
      <c r="BS290" s="30"/>
      <c r="BT290" s="30"/>
      <c r="BU290" s="30"/>
      <c r="BV290" s="30"/>
      <c r="BW290" s="30"/>
      <c r="BX290" s="30"/>
      <c r="BY290" s="30"/>
      <c r="BZ290" s="30"/>
      <c r="CA290" s="30"/>
      <c r="CB290" s="30"/>
      <c r="CC290" s="30"/>
      <c r="CD290" s="30"/>
      <c r="CE290" s="30"/>
      <c r="CF290" s="30"/>
      <c r="CG290" s="30"/>
      <c r="CH290" s="30"/>
      <c r="CI290" s="30"/>
      <c r="CJ290" s="30"/>
      <c r="CK290" s="30"/>
      <c r="CL290" s="30"/>
      <c r="CM290" s="30"/>
      <c r="CN290" s="30"/>
      <c r="CO290" s="30"/>
      <c r="CP290" s="30"/>
      <c r="CQ290" s="30"/>
      <c r="CR290" s="30"/>
      <c r="CS290" s="30"/>
      <c r="CT290" s="30"/>
      <c r="CU290" s="30"/>
      <c r="CV290" s="30"/>
      <c r="CW290" s="30"/>
      <c r="CX290" s="30"/>
      <c r="CY290" s="30"/>
      <c r="CZ290" s="30"/>
      <c r="DA290" s="30"/>
    </row>
    <row r="291" spans="1:105" ht="19.2" thickTop="1" thickBot="1" x14ac:dyDescent="0.4">
      <c r="A291" s="30"/>
      <c r="B291" s="30"/>
      <c r="C291" s="356" t="s">
        <v>841</v>
      </c>
      <c r="D291" s="355" t="s">
        <v>826</v>
      </c>
      <c r="E291" s="35" t="str">
        <f>_xlfn.XLOOKUP(Tabella4[[#This Row],[NOME]],'ROSE SQUADRE'!$N$3:$N$253,'ROSE SQUADRE'!$O$3:$O$253,"")</f>
        <v>AS PIPPERIA</v>
      </c>
      <c r="F291" s="36" t="s">
        <v>163</v>
      </c>
      <c r="G291" s="43">
        <v>27</v>
      </c>
      <c r="H291" s="43">
        <v>27</v>
      </c>
      <c r="I291" s="44">
        <f t="shared" si="25"/>
        <v>0</v>
      </c>
      <c r="J291" s="37">
        <f t="shared" si="26"/>
        <v>4</v>
      </c>
      <c r="K291" s="38">
        <f t="shared" si="27"/>
        <v>5.875</v>
      </c>
      <c r="L291" s="38">
        <f t="shared" si="28"/>
        <v>6.875</v>
      </c>
      <c r="M291" s="39">
        <f t="shared" si="29"/>
        <v>27.5</v>
      </c>
      <c r="N291" s="45">
        <f t="shared" ca="1" si="30"/>
        <v>0</v>
      </c>
      <c r="O291" s="40">
        <f>SUMIF(Tabella1[Nome],Tabella4[[#This Row],[NOME]],Tabella1[Gf])</f>
        <v>1</v>
      </c>
      <c r="P291" s="40">
        <f>-(SUMIF(Tabella1[Nome],Tabella4[[#This Row],[NOME]],Tabella1[Gs]))</f>
        <v>0</v>
      </c>
      <c r="Q291" s="40">
        <f>SUMIF(Tabella1[Nome],Tabella4[[#This Row],[NOME]],Tabella1[Rp])</f>
        <v>0</v>
      </c>
      <c r="R291" s="40">
        <f>SUMIF(Tabella1[Nome],Tabella4[[#This Row],[NOME]],Tabella1[Rs])</f>
        <v>0</v>
      </c>
      <c r="S291" s="40">
        <f>SUMIF(Tabella1[Nome],Tabella4[[#This Row],[NOME]],Tabella1[Rf])</f>
        <v>0</v>
      </c>
      <c r="T291" s="40">
        <f>SUMIF(Tabella1[Nome],Tabella4[[#This Row],[NOME]],Tabella1[Au])</f>
        <v>0</v>
      </c>
      <c r="U291" s="41">
        <f>SUMIF(Tabella1[Nome],Tabella4[[#This Row],[NOME]],Tabella1[Amm])</f>
        <v>0</v>
      </c>
      <c r="V291" s="42">
        <f>SUMIF(Tabella1[Nome],Tabella4[[#This Row],[NOME]],Tabella1[Esp])</f>
        <v>0</v>
      </c>
      <c r="W291" s="40">
        <f>SUMIF(Tabella1[Nome],Tabella4[[#This Row],[NOME]],Tabella1[Ass])</f>
        <v>0</v>
      </c>
      <c r="X291" s="40">
        <f>SUMIF(Tabella1[Nome],Tabella4[[#This Row],[NOME]],Tabella1[Gdv])</f>
        <v>1</v>
      </c>
      <c r="Y291" s="40">
        <f>SUMIF(Tabella1[Nome],Tabella4[[#This Row],[NOME]],Tabella1[cl sh])</f>
        <v>0</v>
      </c>
      <c r="Z291" s="270">
        <f>_xlfn.IFNA(_xlfn.XLOOKUP(CONCATENATE(Z$4,$C291),Tabella1[CONC X VOTI IN TAB GIOC],Tabella1[Voto],""),"")</f>
        <v>6</v>
      </c>
      <c r="AA291" s="270">
        <f>_xlfn.IFNA(_xlfn.XLOOKUP(CONCATENATE(AA$4,$C291),Tabella1[CONC X VOTI IN TAB GIOC],Tabella1[Voto],""),"")</f>
        <v>7</v>
      </c>
      <c r="AB291" s="270">
        <f>_xlfn.IFNA(_xlfn.XLOOKUP(CONCATENATE(AB$4,$C291),Tabella1[CONC X VOTI IN TAB GIOC],Tabella1[Voto]),"")</f>
        <v>5</v>
      </c>
      <c r="AC291" s="270" cm="1">
        <f t="array" ref="AC291">_xlfn.IFNA(_xlfn.XLOOKUP(CONCATENATE(AC$4,$C291),INDEX(Tabella1[],0,MATCH("CONC X VOTI IN TAB GIOC",Tabella1[#Headers],0)),INDEX(Tabella1[],0,MATCH("Voto",Tabella1[#Headers],0))),"")</f>
        <v>5.5</v>
      </c>
      <c r="AD291" s="270" t="str">
        <f>_xlfn.IFNA(_xlfn.XLOOKUP(CONCATENATE(AD$4,$C291),Tabella1[CONC X VOTI IN TAB GIOC],Tabella1[Voto]),"")</f>
        <v/>
      </c>
      <c r="AE291" s="270" t="str">
        <f>_xlfn.IFNA(VLOOKUP(CONCATENATE(AE$4,$C291),'INSER DATA'!$A:$F,6,0),"")</f>
        <v/>
      </c>
      <c r="AF291" s="270" t="str">
        <f>_xlfn.IFNA(VLOOKUP(CONCATENATE(AF$4,$C291),'INSER DATA'!$A:$F,6,0),"")</f>
        <v/>
      </c>
      <c r="AG291" s="270" t="str">
        <f>_xlfn.IFNA(VLOOKUP(CONCATENATE(AG$4,$C291),'INSER DATA'!$A:$F,6,0),"")</f>
        <v/>
      </c>
      <c r="AH291" s="270" t="str">
        <f>_xlfn.IFNA(VLOOKUP(CONCATENATE(AH$4,$C291),'INSER DATA'!$A:$F,7,0),"")</f>
        <v/>
      </c>
      <c r="AI291" s="270" t="str">
        <f>_xlfn.IFNA(VLOOKUP(CONCATENATE(AI$4,$C291),'INSER DATA'!$A:$F,7,0),"")</f>
        <v/>
      </c>
      <c r="AJ291" s="270" t="str">
        <f>_xlfn.IFNA(VLOOKUP(CONCATENATE(AJ$4,$C291),'INSER DATA'!$A:$F,7,0),"")</f>
        <v/>
      </c>
      <c r="AK291" s="270" t="str">
        <f>_xlfn.IFNA(VLOOKUP(CONCATENATE(AK$4,$C291),'INSER DATA'!$A:$F,7,0),"")</f>
        <v/>
      </c>
      <c r="AL291" s="270" t="str">
        <f>_xlfn.IFNA(VLOOKUP(CONCATENATE(AL$4,$C291),'INSER DATA'!$A:$F,7,0),"")</f>
        <v/>
      </c>
      <c r="AM291" s="270" t="str">
        <f>_xlfn.IFNA(VLOOKUP(CONCATENATE(AM$4,$C291),'INSER DATA'!$A:$F,7,0),"")</f>
        <v/>
      </c>
      <c r="AN291" s="270" t="str">
        <f>_xlfn.IFNA(VLOOKUP(CONCATENATE(AN$4,$C291),'INSER DATA'!$A:$F,7,0),"")</f>
        <v/>
      </c>
      <c r="AO291" s="270" t="str">
        <f>_xlfn.IFNA(VLOOKUP(CONCATENATE(AO$4,$C291),'INSER DATA'!$A:$F,7,0),"")</f>
        <v/>
      </c>
      <c r="AP291" s="270" t="str">
        <f>_xlfn.IFNA(VLOOKUP(CONCATENATE(AP$4,$C291),'INSER DATA'!$A:$F,7,0),"")</f>
        <v/>
      </c>
      <c r="AQ291" s="270" t="str">
        <f>_xlfn.IFNA(VLOOKUP(CONCATENATE(AQ$4,$C291),'INSER DATA'!$A:$F,7,0),"")</f>
        <v/>
      </c>
      <c r="AR291" s="270" t="str">
        <f>_xlfn.IFNA(VLOOKUP(CONCATENATE(AR$4,$C291),'INSER DATA'!$A:$F,7,0),"")</f>
        <v/>
      </c>
      <c r="AS291" s="270" t="str">
        <f>_xlfn.IFNA(VLOOKUP(CONCATENATE(AS$4,$C291),'INSER DATA'!$A:$F,7,0),"")</f>
        <v/>
      </c>
      <c r="AT291" s="270" t="str">
        <f>_xlfn.IFNA(VLOOKUP(CONCATENATE(AT$4,$C291),'INSER DATA'!$A:$F,7,0),"")</f>
        <v/>
      </c>
      <c r="AU291" s="270" t="str">
        <f>_xlfn.IFNA(VLOOKUP(CONCATENATE(AU$4,$C291),'INSER DATA'!$A:$F,7,0),"")</f>
        <v/>
      </c>
      <c r="AV291" s="270" t="str">
        <f>_xlfn.IFNA(VLOOKUP(CONCATENATE(AV$4,$C291),'INSER DATA'!$A:$F,7,0),"")</f>
        <v/>
      </c>
      <c r="AW291" s="270" t="str">
        <f>_xlfn.IFNA(VLOOKUP(CONCATENATE(AW$4,$C291),'INSER DATA'!$A:$F,7,0),"")</f>
        <v/>
      </c>
      <c r="AX291" s="270" t="str">
        <f>_xlfn.IFNA(VLOOKUP(CONCATENATE(AX$4,$C291),'INSER DATA'!$A:$F,7,0),"")</f>
        <v/>
      </c>
      <c r="AY291" s="270" t="str">
        <f>_xlfn.IFNA(VLOOKUP(CONCATENATE(AY$4,$C291),'INSER DATA'!$A:$F,7,0),"")</f>
        <v/>
      </c>
      <c r="AZ291" s="270" t="str">
        <f>_xlfn.IFNA(VLOOKUP(CONCATENATE(AZ$4,$C291),'INSER DATA'!$A:$F,7,0),"")</f>
        <v/>
      </c>
      <c r="BA291" s="270" t="str">
        <f>_xlfn.IFNA(VLOOKUP(CONCATENATE(BA$4,$C291),'INSER DATA'!$A:$F,7,0),"")</f>
        <v/>
      </c>
      <c r="BB291" s="270" t="str">
        <f>_xlfn.IFNA(VLOOKUP(CONCATENATE(BB$4,$C291),'INSER DATA'!$A:$F,7,0),"")</f>
        <v/>
      </c>
      <c r="BC291" s="270" t="str">
        <f>_xlfn.IFNA(VLOOKUP(CONCATENATE(BC$4,$C291),'INSER DATA'!$A:$F,7,0),"")</f>
        <v/>
      </c>
      <c r="BD291" s="270" t="str">
        <f>_xlfn.IFNA(VLOOKUP(CONCATENATE(BD$4,$C291),'INSER DATA'!$A:$F,7,0),"")</f>
        <v/>
      </c>
      <c r="BE291" s="270" t="str">
        <f>_xlfn.IFNA(VLOOKUP(CONCATENATE(BE$4,$C291),'INSER DATA'!$A:$F,7,0),"")</f>
        <v/>
      </c>
      <c r="BF291" s="270" t="str">
        <f>_xlfn.IFNA(VLOOKUP(CONCATENATE(BF$4,$C291),'INSER DATA'!$A:$F,7,0),"")</f>
        <v/>
      </c>
      <c r="BG291" s="270" t="str">
        <f>_xlfn.IFNA(VLOOKUP(CONCATENATE(BG$4,$C291),'INSER DATA'!$A:$F,7,0),"")</f>
        <v/>
      </c>
      <c r="BH291" s="270" t="str">
        <f>_xlfn.IFNA(VLOOKUP(CONCATENATE(BH$4,$C291),'INSER DATA'!$A:$F,7,0),"")</f>
        <v/>
      </c>
      <c r="BI291" s="270" t="str">
        <f>_xlfn.IFNA(VLOOKUP(CONCATENATE(BI$4,$C291),'INSER DATA'!$A:$F,7,0),"")</f>
        <v/>
      </c>
      <c r="BJ291" s="270" t="str">
        <f>_xlfn.IFNA(VLOOKUP(CONCATENATE(BJ$4,$C291),'INSER DATA'!$A:$F,7,0),"")</f>
        <v/>
      </c>
      <c r="BK291" s="270" t="str">
        <f>_xlfn.IFNA(VLOOKUP(CONCATENATE(BK$4,$C291),'INSER DATA'!$A:$F,7,0),"")</f>
        <v/>
      </c>
      <c r="BL291" s="272"/>
      <c r="BM291" s="30"/>
      <c r="BN291" s="30"/>
      <c r="BO291" s="30"/>
      <c r="BP291" s="30"/>
      <c r="BQ291" s="30"/>
      <c r="BR291" s="30"/>
      <c r="BS291" s="30"/>
      <c r="BT291" s="30"/>
      <c r="BU291" s="30"/>
      <c r="BV291" s="30"/>
      <c r="BW291" s="30"/>
      <c r="BX291" s="30"/>
      <c r="BY291" s="30"/>
      <c r="BZ291" s="30"/>
      <c r="CA291" s="30"/>
      <c r="CB291" s="30"/>
      <c r="CC291" s="30"/>
      <c r="CD291" s="30"/>
      <c r="CE291" s="30"/>
      <c r="CF291" s="30"/>
      <c r="CG291" s="30"/>
      <c r="CH291" s="30"/>
      <c r="CI291" s="30"/>
      <c r="CJ291" s="30"/>
      <c r="CK291" s="30"/>
      <c r="CL291" s="30"/>
      <c r="CM291" s="30"/>
      <c r="CN291" s="30"/>
      <c r="CO291" s="30"/>
      <c r="CP291" s="30"/>
      <c r="CQ291" s="30"/>
      <c r="CR291" s="30"/>
      <c r="CS291" s="30"/>
      <c r="CT291" s="30"/>
      <c r="CU291" s="30"/>
      <c r="CV291" s="30"/>
      <c r="CW291" s="30"/>
      <c r="CX291" s="30"/>
      <c r="CY291" s="30"/>
      <c r="CZ291" s="30"/>
      <c r="DA291" s="30"/>
    </row>
    <row r="292" spans="1:105" ht="19.2" thickTop="1" thickBot="1" x14ac:dyDescent="0.4">
      <c r="A292" s="30"/>
      <c r="B292" s="30"/>
      <c r="C292" s="354" t="s">
        <v>615</v>
      </c>
      <c r="D292" s="357" t="s">
        <v>826</v>
      </c>
      <c r="E292" s="35" t="str">
        <f>_xlfn.XLOOKUP(Tabella4[[#This Row],[NOME]],'ROSE SQUADRE'!$N$3:$N$253,'ROSE SQUADRE'!$O$3:$O$253,"")</f>
        <v>SESTO ASENSIO</v>
      </c>
      <c r="F292" s="36" t="s">
        <v>161</v>
      </c>
      <c r="G292" s="43">
        <v>14</v>
      </c>
      <c r="H292" s="43">
        <v>14</v>
      </c>
      <c r="I292" s="44">
        <f t="shared" si="25"/>
        <v>0</v>
      </c>
      <c r="J292" s="37">
        <f t="shared" si="26"/>
        <v>4</v>
      </c>
      <c r="K292" s="38">
        <f t="shared" si="27"/>
        <v>6</v>
      </c>
      <c r="L292" s="38">
        <f t="shared" si="28"/>
        <v>5.75</v>
      </c>
      <c r="M292" s="39">
        <f t="shared" si="29"/>
        <v>23</v>
      </c>
      <c r="N292" s="45">
        <f t="shared" ca="1" si="30"/>
        <v>0</v>
      </c>
      <c r="O292" s="40">
        <f>SUMIF(Tabella1[Nome],Tabella4[[#This Row],[NOME]],Tabella1[Gf])</f>
        <v>0</v>
      </c>
      <c r="P292" s="40">
        <f>-(SUMIF(Tabella1[Nome],Tabella4[[#This Row],[NOME]],Tabella1[Gs]))</f>
        <v>0</v>
      </c>
      <c r="Q292" s="40">
        <f>SUMIF(Tabella1[Nome],Tabella4[[#This Row],[NOME]],Tabella1[Rp])</f>
        <v>0</v>
      </c>
      <c r="R292" s="40">
        <f>SUMIF(Tabella1[Nome],Tabella4[[#This Row],[NOME]],Tabella1[Rs])</f>
        <v>0</v>
      </c>
      <c r="S292" s="40">
        <f>SUMIF(Tabella1[Nome],Tabella4[[#This Row],[NOME]],Tabella1[Rf])</f>
        <v>0</v>
      </c>
      <c r="T292" s="40">
        <f>SUMIF(Tabella1[Nome],Tabella4[[#This Row],[NOME]],Tabella1[Au])</f>
        <v>0</v>
      </c>
      <c r="U292" s="41">
        <f>SUMIF(Tabella1[Nome],Tabella4[[#This Row],[NOME]],Tabella1[Amm])</f>
        <v>2</v>
      </c>
      <c r="V292" s="42">
        <f>SUMIF(Tabella1[Nome],Tabella4[[#This Row],[NOME]],Tabella1[Esp])</f>
        <v>0</v>
      </c>
      <c r="W292" s="40">
        <f>SUMIF(Tabella1[Nome],Tabella4[[#This Row],[NOME]],Tabella1[Ass])</f>
        <v>0</v>
      </c>
      <c r="X292" s="40">
        <f>SUMIF(Tabella1[Nome],Tabella4[[#This Row],[NOME]],Tabella1[Gdv])</f>
        <v>0</v>
      </c>
      <c r="Y292" s="40">
        <f>SUMIF(Tabella1[Nome],Tabella4[[#This Row],[NOME]],Tabella1[cl sh])</f>
        <v>0</v>
      </c>
      <c r="Z292" s="270">
        <f>_xlfn.IFNA(_xlfn.XLOOKUP(CONCATENATE(Z$4,$C292),Tabella1[CONC X VOTI IN TAB GIOC],Tabella1[Voto],""),"")</f>
        <v>6</v>
      </c>
      <c r="AA292" s="270">
        <f>_xlfn.IFNA(_xlfn.XLOOKUP(CONCATENATE(AA$4,$C292),Tabella1[CONC X VOTI IN TAB GIOC],Tabella1[Voto],""),"")</f>
        <v>6.5</v>
      </c>
      <c r="AB292" s="270">
        <f>_xlfn.IFNA(_xlfn.XLOOKUP(CONCATENATE(AB$4,$C292),Tabella1[CONC X VOTI IN TAB GIOC],Tabella1[Voto]),"")</f>
        <v>6</v>
      </c>
      <c r="AC292" s="270" cm="1">
        <f t="array" ref="AC292">_xlfn.IFNA(_xlfn.XLOOKUP(CONCATENATE(AC$4,$C292),INDEX(Tabella1[],0,MATCH("CONC X VOTI IN TAB GIOC",Tabella1[#Headers],0)),INDEX(Tabella1[],0,MATCH("Voto",Tabella1[#Headers],0))),"")</f>
        <v>5.5</v>
      </c>
      <c r="AD292" s="270" t="str">
        <f>_xlfn.IFNA(_xlfn.XLOOKUP(CONCATENATE(AD$4,$C292),Tabella1[CONC X VOTI IN TAB GIOC],Tabella1[Voto]),"")</f>
        <v/>
      </c>
      <c r="AE292" s="270" t="str">
        <f>_xlfn.IFNA(VLOOKUP(CONCATENATE(AE$4,$C292),'INSER DATA'!$A:$F,6,0),"")</f>
        <v/>
      </c>
      <c r="AF292" s="270" t="str">
        <f>_xlfn.IFNA(VLOOKUP(CONCATENATE(AF$4,$C292),'INSER DATA'!$A:$F,6,0),"")</f>
        <v/>
      </c>
      <c r="AG292" s="270" t="str">
        <f>_xlfn.IFNA(VLOOKUP(CONCATENATE(AG$4,$C292),'INSER DATA'!$A:$F,6,0),"")</f>
        <v/>
      </c>
      <c r="AH292" s="270" t="str">
        <f>_xlfn.IFNA(VLOOKUP(CONCATENATE(AH$4,$C292),'INSER DATA'!$A:$F,7,0),"")</f>
        <v/>
      </c>
      <c r="AI292" s="270" t="str">
        <f>_xlfn.IFNA(VLOOKUP(CONCATENATE(AI$4,$C292),'INSER DATA'!$A:$F,7,0),"")</f>
        <v/>
      </c>
      <c r="AJ292" s="270" t="str">
        <f>_xlfn.IFNA(VLOOKUP(CONCATENATE(AJ$4,$C292),'INSER DATA'!$A:$F,7,0),"")</f>
        <v/>
      </c>
      <c r="AK292" s="270" t="str">
        <f>_xlfn.IFNA(VLOOKUP(CONCATENATE(AK$4,$C292),'INSER DATA'!$A:$F,7,0),"")</f>
        <v/>
      </c>
      <c r="AL292" s="270" t="str">
        <f>_xlfn.IFNA(VLOOKUP(CONCATENATE(AL$4,$C292),'INSER DATA'!$A:$F,7,0),"")</f>
        <v/>
      </c>
      <c r="AM292" s="270" t="str">
        <f>_xlfn.IFNA(VLOOKUP(CONCATENATE(AM$4,$C292),'INSER DATA'!$A:$F,7,0),"")</f>
        <v/>
      </c>
      <c r="AN292" s="270" t="str">
        <f>_xlfn.IFNA(VLOOKUP(CONCATENATE(AN$4,$C292),'INSER DATA'!$A:$F,7,0),"")</f>
        <v/>
      </c>
      <c r="AO292" s="270" t="str">
        <f>_xlfn.IFNA(VLOOKUP(CONCATENATE(AO$4,$C292),'INSER DATA'!$A:$F,7,0),"")</f>
        <v/>
      </c>
      <c r="AP292" s="270" t="str">
        <f>_xlfn.IFNA(VLOOKUP(CONCATENATE(AP$4,$C292),'INSER DATA'!$A:$F,7,0),"")</f>
        <v/>
      </c>
      <c r="AQ292" s="270" t="str">
        <f>_xlfn.IFNA(VLOOKUP(CONCATENATE(AQ$4,$C292),'INSER DATA'!$A:$F,7,0),"")</f>
        <v/>
      </c>
      <c r="AR292" s="270" t="str">
        <f>_xlfn.IFNA(VLOOKUP(CONCATENATE(AR$4,$C292),'INSER DATA'!$A:$F,7,0),"")</f>
        <v/>
      </c>
      <c r="AS292" s="270" t="str">
        <f>_xlfn.IFNA(VLOOKUP(CONCATENATE(AS$4,$C292),'INSER DATA'!$A:$F,7,0),"")</f>
        <v/>
      </c>
      <c r="AT292" s="270" t="str">
        <f>_xlfn.IFNA(VLOOKUP(CONCATENATE(AT$4,$C292),'INSER DATA'!$A:$F,7,0),"")</f>
        <v/>
      </c>
      <c r="AU292" s="270" t="str">
        <f>_xlfn.IFNA(VLOOKUP(CONCATENATE(AU$4,$C292),'INSER DATA'!$A:$F,7,0),"")</f>
        <v/>
      </c>
      <c r="AV292" s="270" t="str">
        <f>_xlfn.IFNA(VLOOKUP(CONCATENATE(AV$4,$C292),'INSER DATA'!$A:$F,7,0),"")</f>
        <v/>
      </c>
      <c r="AW292" s="270" t="str">
        <f>_xlfn.IFNA(VLOOKUP(CONCATENATE(AW$4,$C292),'INSER DATA'!$A:$F,7,0),"")</f>
        <v/>
      </c>
      <c r="AX292" s="270" t="str">
        <f>_xlfn.IFNA(VLOOKUP(CONCATENATE(AX$4,$C292),'INSER DATA'!$A:$F,7,0),"")</f>
        <v/>
      </c>
      <c r="AY292" s="270" t="str">
        <f>_xlfn.IFNA(VLOOKUP(CONCATENATE(AY$4,$C292),'INSER DATA'!$A:$F,7,0),"")</f>
        <v/>
      </c>
      <c r="AZ292" s="270" t="str">
        <f>_xlfn.IFNA(VLOOKUP(CONCATENATE(AZ$4,$C292),'INSER DATA'!$A:$F,7,0),"")</f>
        <v/>
      </c>
      <c r="BA292" s="270" t="str">
        <f>_xlfn.IFNA(VLOOKUP(CONCATENATE(BA$4,$C292),'INSER DATA'!$A:$F,7,0),"")</f>
        <v/>
      </c>
      <c r="BB292" s="270" t="str">
        <f>_xlfn.IFNA(VLOOKUP(CONCATENATE(BB$4,$C292),'INSER DATA'!$A:$F,7,0),"")</f>
        <v/>
      </c>
      <c r="BC292" s="270" t="str">
        <f>_xlfn.IFNA(VLOOKUP(CONCATENATE(BC$4,$C292),'INSER DATA'!$A:$F,7,0),"")</f>
        <v/>
      </c>
      <c r="BD292" s="270" t="str">
        <f>_xlfn.IFNA(VLOOKUP(CONCATENATE(BD$4,$C292),'INSER DATA'!$A:$F,7,0),"")</f>
        <v/>
      </c>
      <c r="BE292" s="270" t="str">
        <f>_xlfn.IFNA(VLOOKUP(CONCATENATE(BE$4,$C292),'INSER DATA'!$A:$F,7,0),"")</f>
        <v/>
      </c>
      <c r="BF292" s="270" t="str">
        <f>_xlfn.IFNA(VLOOKUP(CONCATENATE(BF$4,$C292),'INSER DATA'!$A:$F,7,0),"")</f>
        <v/>
      </c>
      <c r="BG292" s="270" t="str">
        <f>_xlfn.IFNA(VLOOKUP(CONCATENATE(BG$4,$C292),'INSER DATA'!$A:$F,7,0),"")</f>
        <v/>
      </c>
      <c r="BH292" s="270" t="str">
        <f>_xlfn.IFNA(VLOOKUP(CONCATENATE(BH$4,$C292),'INSER DATA'!$A:$F,7,0),"")</f>
        <v/>
      </c>
      <c r="BI292" s="270" t="str">
        <f>_xlfn.IFNA(VLOOKUP(CONCATENATE(BI$4,$C292),'INSER DATA'!$A:$F,7,0),"")</f>
        <v/>
      </c>
      <c r="BJ292" s="270" t="str">
        <f>_xlfn.IFNA(VLOOKUP(CONCATENATE(BJ$4,$C292),'INSER DATA'!$A:$F,7,0),"")</f>
        <v/>
      </c>
      <c r="BK292" s="270" t="str">
        <f>_xlfn.IFNA(VLOOKUP(CONCATENATE(BK$4,$C292),'INSER DATA'!$A:$F,7,0),"")</f>
        <v/>
      </c>
      <c r="BL292" s="272"/>
      <c r="BM292" s="30"/>
      <c r="BN292" s="30"/>
      <c r="BO292" s="30"/>
      <c r="BP292" s="30"/>
      <c r="BQ292" s="30"/>
      <c r="BR292" s="30"/>
      <c r="BS292" s="30"/>
      <c r="BT292" s="30"/>
      <c r="BU292" s="30"/>
      <c r="BV292" s="30"/>
      <c r="BW292" s="30"/>
      <c r="BX292" s="30"/>
      <c r="BY292" s="30"/>
      <c r="BZ292" s="30"/>
      <c r="CA292" s="30"/>
      <c r="CB292" s="30"/>
      <c r="CC292" s="30"/>
      <c r="CD292" s="30"/>
      <c r="CE292" s="30"/>
      <c r="CF292" s="30"/>
      <c r="CG292" s="30"/>
      <c r="CH292" s="30"/>
      <c r="CI292" s="30"/>
      <c r="CJ292" s="30"/>
      <c r="CK292" s="30"/>
      <c r="CL292" s="30"/>
      <c r="CM292" s="30"/>
      <c r="CN292" s="30"/>
      <c r="CO292" s="30"/>
      <c r="CP292" s="30"/>
      <c r="CQ292" s="30"/>
      <c r="CR292" s="30"/>
      <c r="CS292" s="30"/>
      <c r="CT292" s="30"/>
      <c r="CU292" s="30"/>
      <c r="CV292" s="30"/>
      <c r="CW292" s="30"/>
      <c r="CX292" s="30"/>
      <c r="CY292" s="30"/>
      <c r="CZ292" s="30"/>
      <c r="DA292" s="30"/>
    </row>
    <row r="293" spans="1:105" s="184" customFormat="1" ht="19.2" thickTop="1" thickBot="1" x14ac:dyDescent="0.4">
      <c r="A293" s="30"/>
      <c r="B293" s="30"/>
      <c r="C293" s="354" t="s">
        <v>833</v>
      </c>
      <c r="D293" s="357" t="s">
        <v>826</v>
      </c>
      <c r="E293" s="35" t="str">
        <f>_xlfn.XLOOKUP(Tabella4[[#This Row],[NOME]],'ROSE SQUADRE'!$N$3:$N$253,'ROSE SQUADRE'!$O$3:$O$253,"")</f>
        <v>SESTO ASENSIO</v>
      </c>
      <c r="F293" s="36" t="s">
        <v>162</v>
      </c>
      <c r="G293" s="43"/>
      <c r="H293" s="43"/>
      <c r="I293" s="44">
        <f t="shared" si="25"/>
        <v>0</v>
      </c>
      <c r="J293" s="37">
        <f t="shared" si="26"/>
        <v>4</v>
      </c>
      <c r="K293" s="38">
        <f t="shared" si="27"/>
        <v>6.25</v>
      </c>
      <c r="L293" s="38">
        <f t="shared" si="28"/>
        <v>7.625</v>
      </c>
      <c r="M293" s="39">
        <f t="shared" si="29"/>
        <v>30.5</v>
      </c>
      <c r="N293" s="45">
        <f t="shared" ca="1" si="30"/>
        <v>0</v>
      </c>
      <c r="O293" s="40">
        <f>SUMIF(Tabella1[Nome],Tabella4[[#This Row],[NOME]],Tabella1[Gf])</f>
        <v>2</v>
      </c>
      <c r="P293" s="40">
        <f>-(SUMIF(Tabella1[Nome],Tabella4[[#This Row],[NOME]],Tabella1[Gs]))</f>
        <v>0</v>
      </c>
      <c r="Q293" s="40">
        <f>SUMIF(Tabella1[Nome],Tabella4[[#This Row],[NOME]],Tabella1[Rp])</f>
        <v>0</v>
      </c>
      <c r="R293" s="40">
        <f>SUMIF(Tabella1[Nome],Tabella4[[#This Row],[NOME]],Tabella1[Rs])</f>
        <v>0</v>
      </c>
      <c r="S293" s="40">
        <f>SUMIF(Tabella1[Nome],Tabella4[[#This Row],[NOME]],Tabella1[Rf])</f>
        <v>0</v>
      </c>
      <c r="T293" s="40">
        <f>SUMIF(Tabella1[Nome],Tabella4[[#This Row],[NOME]],Tabella1[Au])</f>
        <v>0</v>
      </c>
      <c r="U293" s="41">
        <f>SUMIF(Tabella1[Nome],Tabella4[[#This Row],[NOME]],Tabella1[Amm])</f>
        <v>1</v>
      </c>
      <c r="V293" s="42">
        <f>SUMIF(Tabella1[Nome],Tabella4[[#This Row],[NOME]],Tabella1[Esp])</f>
        <v>0</v>
      </c>
      <c r="W293" s="40">
        <f>SUMIF(Tabella1[Nome],Tabella4[[#This Row],[NOME]],Tabella1[Ass])</f>
        <v>0</v>
      </c>
      <c r="X293" s="40">
        <f>SUMIF(Tabella1[Nome],Tabella4[[#This Row],[NOME]],Tabella1[Gdv])</f>
        <v>0</v>
      </c>
      <c r="Y293" s="40">
        <f>SUMIF(Tabella1[Nome],Tabella4[[#This Row],[NOME]],Tabella1[cl sh])</f>
        <v>0</v>
      </c>
      <c r="Z293" s="270">
        <f>_xlfn.IFNA(_xlfn.XLOOKUP(CONCATENATE(Z$4,$C293),Tabella1[CONC X VOTI IN TAB GIOC],Tabella1[Voto],""),"")</f>
        <v>7</v>
      </c>
      <c r="AA293" s="270">
        <f>_xlfn.IFNA(_xlfn.XLOOKUP(CONCATENATE(AA$4,$C293),Tabella1[CONC X VOTI IN TAB GIOC],Tabella1[Voto],""),"")</f>
        <v>5.5</v>
      </c>
      <c r="AB293" s="270">
        <f>_xlfn.IFNA(_xlfn.XLOOKUP(CONCATENATE(AB$4,$C293),Tabella1[CONC X VOTI IN TAB GIOC],Tabella1[Voto]),"")</f>
        <v>7</v>
      </c>
      <c r="AC293" s="270" cm="1">
        <f t="array" ref="AC293">_xlfn.IFNA(_xlfn.XLOOKUP(CONCATENATE(AC$4,$C293),INDEX(Tabella1[],0,MATCH("CONC X VOTI IN TAB GIOC",Tabella1[#Headers],0)),INDEX(Tabella1[],0,MATCH("Voto",Tabella1[#Headers],0))),"")</f>
        <v>5.5</v>
      </c>
      <c r="AD293" s="270" t="str">
        <f>_xlfn.IFNA(_xlfn.XLOOKUP(CONCATENATE(AD$4,$C293),Tabella1[CONC X VOTI IN TAB GIOC],Tabella1[Voto]),"")</f>
        <v/>
      </c>
      <c r="AE293" s="270" t="str">
        <f>_xlfn.IFNA(VLOOKUP(CONCATENATE(AE$4,$C293),'INSER DATA'!$A:$F,6,0),"")</f>
        <v/>
      </c>
      <c r="AF293" s="270" t="str">
        <f>_xlfn.IFNA(VLOOKUP(CONCATENATE(AF$4,$C293),'INSER DATA'!$A:$F,6,0),"")</f>
        <v/>
      </c>
      <c r="AG293" s="270" t="str">
        <f>_xlfn.IFNA(VLOOKUP(CONCATENATE(AG$4,$C293),'INSER DATA'!$A:$F,6,0),"")</f>
        <v/>
      </c>
      <c r="AH293" s="270" t="str">
        <f>_xlfn.IFNA(VLOOKUP(CONCATENATE(AH$4,$C293),'INSER DATA'!$A:$F,7,0),"")</f>
        <v/>
      </c>
      <c r="AI293" s="270" t="str">
        <f>_xlfn.IFNA(VLOOKUP(CONCATENATE(AI$4,$C293),'INSER DATA'!$A:$F,7,0),"")</f>
        <v/>
      </c>
      <c r="AJ293" s="270" t="str">
        <f>_xlfn.IFNA(VLOOKUP(CONCATENATE(AJ$4,$C293),'INSER DATA'!$A:$F,7,0),"")</f>
        <v/>
      </c>
      <c r="AK293" s="270" t="str">
        <f>_xlfn.IFNA(VLOOKUP(CONCATENATE(AK$4,$C293),'INSER DATA'!$A:$F,7,0),"")</f>
        <v/>
      </c>
      <c r="AL293" s="270" t="str">
        <f>_xlfn.IFNA(VLOOKUP(CONCATENATE(AL$4,$C293),'INSER DATA'!$A:$F,7,0),"")</f>
        <v/>
      </c>
      <c r="AM293" s="270" t="str">
        <f>_xlfn.IFNA(VLOOKUP(CONCATENATE(AM$4,$C293),'INSER DATA'!$A:$F,7,0),"")</f>
        <v/>
      </c>
      <c r="AN293" s="270" t="str">
        <f>_xlfn.IFNA(VLOOKUP(CONCATENATE(AN$4,$C293),'INSER DATA'!$A:$F,7,0),"")</f>
        <v/>
      </c>
      <c r="AO293" s="270" t="str">
        <f>_xlfn.IFNA(VLOOKUP(CONCATENATE(AO$4,$C293),'INSER DATA'!$A:$F,7,0),"")</f>
        <v/>
      </c>
      <c r="AP293" s="270" t="str">
        <f>_xlfn.IFNA(VLOOKUP(CONCATENATE(AP$4,$C293),'INSER DATA'!$A:$F,7,0),"")</f>
        <v/>
      </c>
      <c r="AQ293" s="270" t="str">
        <f>_xlfn.IFNA(VLOOKUP(CONCATENATE(AQ$4,$C293),'INSER DATA'!$A:$F,7,0),"")</f>
        <v/>
      </c>
      <c r="AR293" s="270" t="str">
        <f>_xlfn.IFNA(VLOOKUP(CONCATENATE(AR$4,$C293),'INSER DATA'!$A:$F,7,0),"")</f>
        <v/>
      </c>
      <c r="AS293" s="270" t="str">
        <f>_xlfn.IFNA(VLOOKUP(CONCATENATE(AS$4,$C293),'INSER DATA'!$A:$F,7,0),"")</f>
        <v/>
      </c>
      <c r="AT293" s="270" t="str">
        <f>_xlfn.IFNA(VLOOKUP(CONCATENATE(AT$4,$C293),'INSER DATA'!$A:$F,7,0),"")</f>
        <v/>
      </c>
      <c r="AU293" s="270" t="str">
        <f>_xlfn.IFNA(VLOOKUP(CONCATENATE(AU$4,$C293),'INSER DATA'!$A:$F,7,0),"")</f>
        <v/>
      </c>
      <c r="AV293" s="270" t="str">
        <f>_xlfn.IFNA(VLOOKUP(CONCATENATE(AV$4,$C293),'INSER DATA'!$A:$F,7,0),"")</f>
        <v/>
      </c>
      <c r="AW293" s="270" t="str">
        <f>_xlfn.IFNA(VLOOKUP(CONCATENATE(AW$4,$C293),'INSER DATA'!$A:$F,7,0),"")</f>
        <v/>
      </c>
      <c r="AX293" s="270" t="str">
        <f>_xlfn.IFNA(VLOOKUP(CONCATENATE(AX$4,$C293),'INSER DATA'!$A:$F,7,0),"")</f>
        <v/>
      </c>
      <c r="AY293" s="270" t="str">
        <f>_xlfn.IFNA(VLOOKUP(CONCATENATE(AY$4,$C293),'INSER DATA'!$A:$F,7,0),"")</f>
        <v/>
      </c>
      <c r="AZ293" s="270" t="str">
        <f>_xlfn.IFNA(VLOOKUP(CONCATENATE(AZ$4,$C293),'INSER DATA'!$A:$F,7,0),"")</f>
        <v/>
      </c>
      <c r="BA293" s="270" t="str">
        <f>_xlfn.IFNA(VLOOKUP(CONCATENATE(BA$4,$C293),'INSER DATA'!$A:$F,7,0),"")</f>
        <v/>
      </c>
      <c r="BB293" s="270" t="str">
        <f>_xlfn.IFNA(VLOOKUP(CONCATENATE(BB$4,$C293),'INSER DATA'!$A:$F,7,0),"")</f>
        <v/>
      </c>
      <c r="BC293" s="270" t="str">
        <f>_xlfn.IFNA(VLOOKUP(CONCATENATE(BC$4,$C293),'INSER DATA'!$A:$F,7,0),"")</f>
        <v/>
      </c>
      <c r="BD293" s="270" t="str">
        <f>_xlfn.IFNA(VLOOKUP(CONCATENATE(BD$4,$C293),'INSER DATA'!$A:$F,7,0),"")</f>
        <v/>
      </c>
      <c r="BE293" s="270" t="str">
        <f>_xlfn.IFNA(VLOOKUP(CONCATENATE(BE$4,$C293),'INSER DATA'!$A:$F,7,0),"")</f>
        <v/>
      </c>
      <c r="BF293" s="270" t="str">
        <f>_xlfn.IFNA(VLOOKUP(CONCATENATE(BF$4,$C293),'INSER DATA'!$A:$F,7,0),"")</f>
        <v/>
      </c>
      <c r="BG293" s="270" t="str">
        <f>_xlfn.IFNA(VLOOKUP(CONCATENATE(BG$4,$C293),'INSER DATA'!$A:$F,7,0),"")</f>
        <v/>
      </c>
      <c r="BH293" s="270" t="str">
        <f>_xlfn.IFNA(VLOOKUP(CONCATENATE(BH$4,$C293),'INSER DATA'!$A:$F,7,0),"")</f>
        <v/>
      </c>
      <c r="BI293" s="270" t="str">
        <f>_xlfn.IFNA(VLOOKUP(CONCATENATE(BI$4,$C293),'INSER DATA'!$A:$F,7,0),"")</f>
        <v/>
      </c>
      <c r="BJ293" s="270" t="str">
        <f>_xlfn.IFNA(VLOOKUP(CONCATENATE(BJ$4,$C293),'INSER DATA'!$A:$F,7,0),"")</f>
        <v/>
      </c>
      <c r="BK293" s="270" t="str">
        <f>_xlfn.IFNA(VLOOKUP(CONCATENATE(BK$4,$C293),'INSER DATA'!$A:$F,7,0),"")</f>
        <v/>
      </c>
      <c r="BL293" s="272"/>
    </row>
    <row r="294" spans="1:105" ht="19.2" thickTop="1" thickBot="1" x14ac:dyDescent="0.4">
      <c r="A294" s="30"/>
      <c r="B294" s="30"/>
      <c r="C294" s="356" t="s">
        <v>835</v>
      </c>
      <c r="D294" s="355" t="s">
        <v>826</v>
      </c>
      <c r="E294" s="35" t="str">
        <f>_xlfn.XLOOKUP(Tabella4[[#This Row],[NOME]],'ROSE SQUADRE'!$N$3:$N$253,'ROSE SQUADRE'!$O$3:$O$253,"")</f>
        <v>ATL. IMPROVVISATO</v>
      </c>
      <c r="F294" s="36" t="s">
        <v>162</v>
      </c>
      <c r="G294" s="43">
        <v>4</v>
      </c>
      <c r="H294" s="43">
        <v>5</v>
      </c>
      <c r="I294" s="44">
        <f t="shared" si="25"/>
        <v>1</v>
      </c>
      <c r="J294" s="37">
        <f t="shared" si="26"/>
        <v>2</v>
      </c>
      <c r="K294" s="38">
        <f t="shared" si="27"/>
        <v>6.25</v>
      </c>
      <c r="L294" s="38">
        <f t="shared" si="28"/>
        <v>6.25</v>
      </c>
      <c r="M294" s="39">
        <f t="shared" si="29"/>
        <v>12.5</v>
      </c>
      <c r="N294" s="45">
        <f t="shared" ca="1" si="30"/>
        <v>0</v>
      </c>
      <c r="O294" s="40">
        <f>SUMIF(Tabella1[Nome],Tabella4[[#This Row],[NOME]],Tabella1[Gf])</f>
        <v>0</v>
      </c>
      <c r="P294" s="40">
        <f>-(SUMIF(Tabella1[Nome],Tabella4[[#This Row],[NOME]],Tabella1[Gs]))</f>
        <v>0</v>
      </c>
      <c r="Q294" s="40">
        <f>SUMIF(Tabella1[Nome],Tabella4[[#This Row],[NOME]],Tabella1[Rp])</f>
        <v>0</v>
      </c>
      <c r="R294" s="40">
        <f>SUMIF(Tabella1[Nome],Tabella4[[#This Row],[NOME]],Tabella1[Rs])</f>
        <v>0</v>
      </c>
      <c r="S294" s="40">
        <f>SUMIF(Tabella1[Nome],Tabella4[[#This Row],[NOME]],Tabella1[Rf])</f>
        <v>0</v>
      </c>
      <c r="T294" s="40">
        <f>SUMIF(Tabella1[Nome],Tabella4[[#This Row],[NOME]],Tabella1[Au])</f>
        <v>0</v>
      </c>
      <c r="U294" s="41">
        <f>SUMIF(Tabella1[Nome],Tabella4[[#This Row],[NOME]],Tabella1[Amm])</f>
        <v>0</v>
      </c>
      <c r="V294" s="42">
        <f>SUMIF(Tabella1[Nome],Tabella4[[#This Row],[NOME]],Tabella1[Esp])</f>
        <v>0</v>
      </c>
      <c r="W294" s="40">
        <f>SUMIF(Tabella1[Nome],Tabella4[[#This Row],[NOME]],Tabella1[Ass])</f>
        <v>0</v>
      </c>
      <c r="X294" s="40">
        <f>SUMIF(Tabella1[Nome],Tabella4[[#This Row],[NOME]],Tabella1[Gdv])</f>
        <v>0</v>
      </c>
      <c r="Y294" s="40">
        <f>SUMIF(Tabella1[Nome],Tabella4[[#This Row],[NOME]],Tabella1[cl sh])</f>
        <v>0</v>
      </c>
      <c r="Z294" s="270">
        <f>_xlfn.IFNA(_xlfn.XLOOKUP(CONCATENATE(Z$4,$C294),Tabella1[CONC X VOTI IN TAB GIOC],Tabella1[Voto],""),"")</f>
        <v>6.5</v>
      </c>
      <c r="AA294" s="270">
        <f>_xlfn.IFNA(_xlfn.XLOOKUP(CONCATENATE(AA$4,$C294),Tabella1[CONC X VOTI IN TAB GIOC],Tabella1[Voto],""),"")</f>
        <v>6</v>
      </c>
      <c r="AB294" s="270" t="str">
        <f>_xlfn.IFNA(_xlfn.XLOOKUP(CONCATENATE(AB$4,$C294),Tabella1[CONC X VOTI IN TAB GIOC],Tabella1[Voto]),"")</f>
        <v/>
      </c>
      <c r="AC294" s="270" t="str" cm="1">
        <f t="array" ref="AC294">_xlfn.IFNA(_xlfn.XLOOKUP(CONCATENATE(AC$4,$C294),INDEX(Tabella1[],0,MATCH("CONC X VOTI IN TAB GIOC",Tabella1[#Headers],0)),INDEX(Tabella1[],0,MATCH("Voto",Tabella1[#Headers],0))),"")</f>
        <v/>
      </c>
      <c r="AD294" s="270" t="str">
        <f>_xlfn.IFNA(_xlfn.XLOOKUP(CONCATENATE(AD$4,$C294),Tabella1[CONC X VOTI IN TAB GIOC],Tabella1[Voto]),"")</f>
        <v/>
      </c>
      <c r="AE294" s="270" t="str">
        <f>_xlfn.IFNA(VLOOKUP(CONCATENATE(AE$4,$C294),'INSER DATA'!$A:$F,6,0),"")</f>
        <v/>
      </c>
      <c r="AF294" s="270" t="str">
        <f>_xlfn.IFNA(VLOOKUP(CONCATENATE(AF$4,$C294),'INSER DATA'!$A:$F,6,0),"")</f>
        <v/>
      </c>
      <c r="AG294" s="270" t="str">
        <f>_xlfn.IFNA(VLOOKUP(CONCATENATE(AG$4,$C294),'INSER DATA'!$A:$F,6,0),"")</f>
        <v/>
      </c>
      <c r="AH294" s="270" t="str">
        <f>_xlfn.IFNA(VLOOKUP(CONCATENATE(AH$4,$C294),'INSER DATA'!$A:$F,7,0),"")</f>
        <v/>
      </c>
      <c r="AI294" s="270" t="str">
        <f>_xlfn.IFNA(VLOOKUP(CONCATENATE(AI$4,$C294),'INSER DATA'!$A:$F,7,0),"")</f>
        <v/>
      </c>
      <c r="AJ294" s="270" t="str">
        <f>_xlfn.IFNA(VLOOKUP(CONCATENATE(AJ$4,$C294),'INSER DATA'!$A:$F,7,0),"")</f>
        <v/>
      </c>
      <c r="AK294" s="270" t="str">
        <f>_xlfn.IFNA(VLOOKUP(CONCATENATE(AK$4,$C294),'INSER DATA'!$A:$F,7,0),"")</f>
        <v/>
      </c>
      <c r="AL294" s="270" t="str">
        <f>_xlfn.IFNA(VLOOKUP(CONCATENATE(AL$4,$C294),'INSER DATA'!$A:$F,7,0),"")</f>
        <v/>
      </c>
      <c r="AM294" s="270" t="str">
        <f>_xlfn.IFNA(VLOOKUP(CONCATENATE(AM$4,$C294),'INSER DATA'!$A:$F,7,0),"")</f>
        <v/>
      </c>
      <c r="AN294" s="270" t="str">
        <f>_xlfn.IFNA(VLOOKUP(CONCATENATE(AN$4,$C294),'INSER DATA'!$A:$F,7,0),"")</f>
        <v/>
      </c>
      <c r="AO294" s="270" t="str">
        <f>_xlfn.IFNA(VLOOKUP(CONCATENATE(AO$4,$C294),'INSER DATA'!$A:$F,7,0),"")</f>
        <v/>
      </c>
      <c r="AP294" s="270" t="str">
        <f>_xlfn.IFNA(VLOOKUP(CONCATENATE(AP$4,$C294),'INSER DATA'!$A:$F,7,0),"")</f>
        <v/>
      </c>
      <c r="AQ294" s="270" t="str">
        <f>_xlfn.IFNA(VLOOKUP(CONCATENATE(AQ$4,$C294),'INSER DATA'!$A:$F,7,0),"")</f>
        <v/>
      </c>
      <c r="AR294" s="270" t="str">
        <f>_xlfn.IFNA(VLOOKUP(CONCATENATE(AR$4,$C294),'INSER DATA'!$A:$F,7,0),"")</f>
        <v/>
      </c>
      <c r="AS294" s="270" t="str">
        <f>_xlfn.IFNA(VLOOKUP(CONCATENATE(AS$4,$C294),'INSER DATA'!$A:$F,7,0),"")</f>
        <v/>
      </c>
      <c r="AT294" s="270" t="str">
        <f>_xlfn.IFNA(VLOOKUP(CONCATENATE(AT$4,$C294),'INSER DATA'!$A:$F,7,0),"")</f>
        <v/>
      </c>
      <c r="AU294" s="270" t="str">
        <f>_xlfn.IFNA(VLOOKUP(CONCATENATE(AU$4,$C294),'INSER DATA'!$A:$F,7,0),"")</f>
        <v/>
      </c>
      <c r="AV294" s="270" t="str">
        <f>_xlfn.IFNA(VLOOKUP(CONCATENATE(AV$4,$C294),'INSER DATA'!$A:$F,7,0),"")</f>
        <v/>
      </c>
      <c r="AW294" s="270" t="str">
        <f>_xlfn.IFNA(VLOOKUP(CONCATENATE(AW$4,$C294),'INSER DATA'!$A:$F,7,0),"")</f>
        <v/>
      </c>
      <c r="AX294" s="270" t="str">
        <f>_xlfn.IFNA(VLOOKUP(CONCATENATE(AX$4,$C294),'INSER DATA'!$A:$F,7,0),"")</f>
        <v/>
      </c>
      <c r="AY294" s="270" t="str">
        <f>_xlfn.IFNA(VLOOKUP(CONCATENATE(AY$4,$C294),'INSER DATA'!$A:$F,7,0),"")</f>
        <v/>
      </c>
      <c r="AZ294" s="270" t="str">
        <f>_xlfn.IFNA(VLOOKUP(CONCATENATE(AZ$4,$C294),'INSER DATA'!$A:$F,7,0),"")</f>
        <v/>
      </c>
      <c r="BA294" s="270" t="str">
        <f>_xlfn.IFNA(VLOOKUP(CONCATENATE(BA$4,$C294),'INSER DATA'!$A:$F,7,0),"")</f>
        <v/>
      </c>
      <c r="BB294" s="270" t="str">
        <f>_xlfn.IFNA(VLOOKUP(CONCATENATE(BB$4,$C294),'INSER DATA'!$A:$F,7,0),"")</f>
        <v/>
      </c>
      <c r="BC294" s="270" t="str">
        <f>_xlfn.IFNA(VLOOKUP(CONCATENATE(BC$4,$C294),'INSER DATA'!$A:$F,7,0),"")</f>
        <v/>
      </c>
      <c r="BD294" s="270" t="str">
        <f>_xlfn.IFNA(VLOOKUP(CONCATENATE(BD$4,$C294),'INSER DATA'!$A:$F,7,0),"")</f>
        <v/>
      </c>
      <c r="BE294" s="270" t="str">
        <f>_xlfn.IFNA(VLOOKUP(CONCATENATE(BE$4,$C294),'INSER DATA'!$A:$F,7,0),"")</f>
        <v/>
      </c>
      <c r="BF294" s="270" t="str">
        <f>_xlfn.IFNA(VLOOKUP(CONCATENATE(BF$4,$C294),'INSER DATA'!$A:$F,7,0),"")</f>
        <v/>
      </c>
      <c r="BG294" s="270" t="str">
        <f>_xlfn.IFNA(VLOOKUP(CONCATENATE(BG$4,$C294),'INSER DATA'!$A:$F,7,0),"")</f>
        <v/>
      </c>
      <c r="BH294" s="270" t="str">
        <f>_xlfn.IFNA(VLOOKUP(CONCATENATE(BH$4,$C294),'INSER DATA'!$A:$F,7,0),"")</f>
        <v/>
      </c>
      <c r="BI294" s="270" t="str">
        <f>_xlfn.IFNA(VLOOKUP(CONCATENATE(BI$4,$C294),'INSER DATA'!$A:$F,7,0),"")</f>
        <v/>
      </c>
      <c r="BJ294" s="270" t="str">
        <f>_xlfn.IFNA(VLOOKUP(CONCATENATE(BJ$4,$C294),'INSER DATA'!$A:$F,7,0),"")</f>
        <v/>
      </c>
      <c r="BK294" s="270" t="str">
        <f>_xlfn.IFNA(VLOOKUP(CONCATENATE(BK$4,$C294),'INSER DATA'!$A:$F,7,0),"")</f>
        <v/>
      </c>
      <c r="BL294" s="272"/>
      <c r="BM294" s="30"/>
      <c r="BN294" s="30"/>
      <c r="BO294" s="30"/>
      <c r="BP294" s="30"/>
      <c r="BQ294" s="30"/>
      <c r="BR294" s="30"/>
      <c r="BS294" s="30"/>
      <c r="BT294" s="30"/>
      <c r="BU294" s="30"/>
      <c r="BV294" s="30"/>
      <c r="BW294" s="30"/>
      <c r="BX294" s="30"/>
      <c r="BY294" s="30"/>
      <c r="BZ294" s="30"/>
      <c r="CA294" s="30"/>
      <c r="CB294" s="30"/>
      <c r="CC294" s="30"/>
      <c r="CD294" s="30"/>
      <c r="CE294" s="30"/>
      <c r="CF294" s="30"/>
      <c r="CG294" s="30"/>
      <c r="CH294" s="30"/>
      <c r="CI294" s="30"/>
      <c r="CJ294" s="30"/>
      <c r="CK294" s="30"/>
      <c r="CL294" s="30"/>
      <c r="CM294" s="30"/>
      <c r="CN294" s="30"/>
      <c r="CO294" s="30"/>
      <c r="CP294" s="30"/>
      <c r="CQ294" s="30"/>
      <c r="CR294" s="30"/>
      <c r="CS294" s="30"/>
      <c r="CT294" s="30"/>
      <c r="CU294" s="30"/>
      <c r="CV294" s="30"/>
      <c r="CW294" s="30"/>
      <c r="CX294" s="30"/>
      <c r="CY294" s="30"/>
      <c r="CZ294" s="30"/>
      <c r="DA294" s="30"/>
    </row>
    <row r="295" spans="1:105" ht="19.2" thickTop="1" thickBot="1" x14ac:dyDescent="0.4">
      <c r="A295" s="30"/>
      <c r="B295" s="30"/>
      <c r="C295" s="356" t="s">
        <v>466</v>
      </c>
      <c r="D295" s="355" t="s">
        <v>826</v>
      </c>
      <c r="E295" s="35" t="str">
        <f>_xlfn.XLOOKUP(Tabella4[[#This Row],[NOME]],'ROSE SQUADRE'!$N$3:$N$253,'ROSE SQUADRE'!$O$3:$O$253,"")</f>
        <v>SHARK</v>
      </c>
      <c r="F295" s="36" t="s">
        <v>162</v>
      </c>
      <c r="G295" s="43">
        <v>2</v>
      </c>
      <c r="H295" s="43">
        <v>3</v>
      </c>
      <c r="I295" s="44">
        <f t="shared" si="25"/>
        <v>1</v>
      </c>
      <c r="J295" s="37">
        <f t="shared" si="26"/>
        <v>4</v>
      </c>
      <c r="K295" s="38">
        <f t="shared" si="27"/>
        <v>6.25</v>
      </c>
      <c r="L295" s="38">
        <f t="shared" si="28"/>
        <v>6.25</v>
      </c>
      <c r="M295" s="39">
        <f t="shared" si="29"/>
        <v>25</v>
      </c>
      <c r="N295" s="45">
        <f t="shared" ca="1" si="30"/>
        <v>0</v>
      </c>
      <c r="O295" s="40">
        <f>SUMIF(Tabella1[Nome],Tabella4[[#This Row],[NOME]],Tabella1[Gf])</f>
        <v>0</v>
      </c>
      <c r="P295" s="40">
        <f>-(SUMIF(Tabella1[Nome],Tabella4[[#This Row],[NOME]],Tabella1[Gs]))</f>
        <v>0</v>
      </c>
      <c r="Q295" s="40">
        <f>SUMIF(Tabella1[Nome],Tabella4[[#This Row],[NOME]],Tabella1[Rp])</f>
        <v>0</v>
      </c>
      <c r="R295" s="40">
        <f>SUMIF(Tabella1[Nome],Tabella4[[#This Row],[NOME]],Tabella1[Rs])</f>
        <v>0</v>
      </c>
      <c r="S295" s="40">
        <f>SUMIF(Tabella1[Nome],Tabella4[[#This Row],[NOME]],Tabella1[Rf])</f>
        <v>0</v>
      </c>
      <c r="T295" s="40">
        <f>SUMIF(Tabella1[Nome],Tabella4[[#This Row],[NOME]],Tabella1[Au])</f>
        <v>0</v>
      </c>
      <c r="U295" s="41">
        <f>SUMIF(Tabella1[Nome],Tabella4[[#This Row],[NOME]],Tabella1[Amm])</f>
        <v>0</v>
      </c>
      <c r="V295" s="42">
        <f>SUMIF(Tabella1[Nome],Tabella4[[#This Row],[NOME]],Tabella1[Esp])</f>
        <v>0</v>
      </c>
      <c r="W295" s="40">
        <f>SUMIF(Tabella1[Nome],Tabella4[[#This Row],[NOME]],Tabella1[Ass])</f>
        <v>0</v>
      </c>
      <c r="X295" s="40">
        <f>SUMIF(Tabella1[Nome],Tabella4[[#This Row],[NOME]],Tabella1[Gdv])</f>
        <v>0</v>
      </c>
      <c r="Y295" s="40">
        <f>SUMIF(Tabella1[Nome],Tabella4[[#This Row],[NOME]],Tabella1[cl sh])</f>
        <v>0</v>
      </c>
      <c r="Z295" s="270">
        <f>_xlfn.IFNA(_xlfn.XLOOKUP(CONCATENATE(Z$4,$C295),Tabella1[CONC X VOTI IN TAB GIOC],Tabella1[Voto],""),"")</f>
        <v>6</v>
      </c>
      <c r="AA295" s="270">
        <f>_xlfn.IFNA(_xlfn.XLOOKUP(CONCATENATE(AA$4,$C295),Tabella1[CONC X VOTI IN TAB GIOC],Tabella1[Voto],""),"")</f>
        <v>6.5</v>
      </c>
      <c r="AB295" s="270">
        <f>_xlfn.IFNA(_xlfn.XLOOKUP(CONCATENATE(AB$4,$C295),Tabella1[CONC X VOTI IN TAB GIOC],Tabella1[Voto]),"")</f>
        <v>6</v>
      </c>
      <c r="AC295" s="270" cm="1">
        <f t="array" ref="AC295">_xlfn.IFNA(_xlfn.XLOOKUP(CONCATENATE(AC$4,$C295),INDEX(Tabella1[],0,MATCH("CONC X VOTI IN TAB GIOC",Tabella1[#Headers],0)),INDEX(Tabella1[],0,MATCH("Voto",Tabella1[#Headers],0))),"")</f>
        <v>6.5</v>
      </c>
      <c r="AD295" s="270" t="str">
        <f>_xlfn.IFNA(_xlfn.XLOOKUP(CONCATENATE(AD$4,$C295),Tabella1[CONC X VOTI IN TAB GIOC],Tabella1[Voto]),"")</f>
        <v/>
      </c>
      <c r="AE295" s="270" t="str">
        <f>_xlfn.IFNA(VLOOKUP(CONCATENATE(AE$4,$C295),'INSER DATA'!$A:$F,6,0),"")</f>
        <v/>
      </c>
      <c r="AF295" s="270" t="str">
        <f>_xlfn.IFNA(VLOOKUP(CONCATENATE(AF$4,$C295),'INSER DATA'!$A:$F,6,0),"")</f>
        <v/>
      </c>
      <c r="AG295" s="270" t="str">
        <f>_xlfn.IFNA(VLOOKUP(CONCATENATE(AG$4,$C295),'INSER DATA'!$A:$F,6,0),"")</f>
        <v/>
      </c>
      <c r="AH295" s="270" t="str">
        <f>_xlfn.IFNA(VLOOKUP(CONCATENATE(AH$4,$C295),'INSER DATA'!$A:$F,7,0),"")</f>
        <v/>
      </c>
      <c r="AI295" s="270" t="str">
        <f>_xlfn.IFNA(VLOOKUP(CONCATENATE(AI$4,$C295),'INSER DATA'!$A:$F,7,0),"")</f>
        <v/>
      </c>
      <c r="AJ295" s="270" t="str">
        <f>_xlfn.IFNA(VLOOKUP(CONCATENATE(AJ$4,$C295),'INSER DATA'!$A:$F,7,0),"")</f>
        <v/>
      </c>
      <c r="AK295" s="270" t="str">
        <f>_xlfn.IFNA(VLOOKUP(CONCATENATE(AK$4,$C295),'INSER DATA'!$A:$F,7,0),"")</f>
        <v/>
      </c>
      <c r="AL295" s="270" t="str">
        <f>_xlfn.IFNA(VLOOKUP(CONCATENATE(AL$4,$C295),'INSER DATA'!$A:$F,7,0),"")</f>
        <v/>
      </c>
      <c r="AM295" s="270" t="str">
        <f>_xlfn.IFNA(VLOOKUP(CONCATENATE(AM$4,$C295),'INSER DATA'!$A:$F,7,0),"")</f>
        <v/>
      </c>
      <c r="AN295" s="270" t="str">
        <f>_xlfn.IFNA(VLOOKUP(CONCATENATE(AN$4,$C295),'INSER DATA'!$A:$F,7,0),"")</f>
        <v/>
      </c>
      <c r="AO295" s="270" t="str">
        <f>_xlfn.IFNA(VLOOKUP(CONCATENATE(AO$4,$C295),'INSER DATA'!$A:$F,7,0),"")</f>
        <v/>
      </c>
      <c r="AP295" s="270" t="str">
        <f>_xlfn.IFNA(VLOOKUP(CONCATENATE(AP$4,$C295),'INSER DATA'!$A:$F,7,0),"")</f>
        <v/>
      </c>
      <c r="AQ295" s="270" t="str">
        <f>_xlfn.IFNA(VLOOKUP(CONCATENATE(AQ$4,$C295),'INSER DATA'!$A:$F,7,0),"")</f>
        <v/>
      </c>
      <c r="AR295" s="270" t="str">
        <f>_xlfn.IFNA(VLOOKUP(CONCATENATE(AR$4,$C295),'INSER DATA'!$A:$F,7,0),"")</f>
        <v/>
      </c>
      <c r="AS295" s="270" t="str">
        <f>_xlfn.IFNA(VLOOKUP(CONCATENATE(AS$4,$C295),'INSER DATA'!$A:$F,7,0),"")</f>
        <v/>
      </c>
      <c r="AT295" s="270" t="str">
        <f>_xlfn.IFNA(VLOOKUP(CONCATENATE(AT$4,$C295),'INSER DATA'!$A:$F,7,0),"")</f>
        <v/>
      </c>
      <c r="AU295" s="270" t="str">
        <f>_xlfn.IFNA(VLOOKUP(CONCATENATE(AU$4,$C295),'INSER DATA'!$A:$F,7,0),"")</f>
        <v/>
      </c>
      <c r="AV295" s="270" t="str">
        <f>_xlfn.IFNA(VLOOKUP(CONCATENATE(AV$4,$C295),'INSER DATA'!$A:$F,7,0),"")</f>
        <v/>
      </c>
      <c r="AW295" s="270" t="str">
        <f>_xlfn.IFNA(VLOOKUP(CONCATENATE(AW$4,$C295),'INSER DATA'!$A:$F,7,0),"")</f>
        <v/>
      </c>
      <c r="AX295" s="270" t="str">
        <f>_xlfn.IFNA(VLOOKUP(CONCATENATE(AX$4,$C295),'INSER DATA'!$A:$F,7,0),"")</f>
        <v/>
      </c>
      <c r="AY295" s="270" t="str">
        <f>_xlfn.IFNA(VLOOKUP(CONCATENATE(AY$4,$C295),'INSER DATA'!$A:$F,7,0),"")</f>
        <v/>
      </c>
      <c r="AZ295" s="270" t="str">
        <f>_xlfn.IFNA(VLOOKUP(CONCATENATE(AZ$4,$C295),'INSER DATA'!$A:$F,7,0),"")</f>
        <v/>
      </c>
      <c r="BA295" s="270" t="str">
        <f>_xlfn.IFNA(VLOOKUP(CONCATENATE(BA$4,$C295),'INSER DATA'!$A:$F,7,0),"")</f>
        <v/>
      </c>
      <c r="BB295" s="270" t="str">
        <f>_xlfn.IFNA(VLOOKUP(CONCATENATE(BB$4,$C295),'INSER DATA'!$A:$F,7,0),"")</f>
        <v/>
      </c>
      <c r="BC295" s="270" t="str">
        <f>_xlfn.IFNA(VLOOKUP(CONCATENATE(BC$4,$C295),'INSER DATA'!$A:$F,7,0),"")</f>
        <v/>
      </c>
      <c r="BD295" s="270" t="str">
        <f>_xlfn.IFNA(VLOOKUP(CONCATENATE(BD$4,$C295),'INSER DATA'!$A:$F,7,0),"")</f>
        <v/>
      </c>
      <c r="BE295" s="270" t="str">
        <f>_xlfn.IFNA(VLOOKUP(CONCATENATE(BE$4,$C295),'INSER DATA'!$A:$F,7,0),"")</f>
        <v/>
      </c>
      <c r="BF295" s="270" t="str">
        <f>_xlfn.IFNA(VLOOKUP(CONCATENATE(BF$4,$C295),'INSER DATA'!$A:$F,7,0),"")</f>
        <v/>
      </c>
      <c r="BG295" s="270" t="str">
        <f>_xlfn.IFNA(VLOOKUP(CONCATENATE(BG$4,$C295),'INSER DATA'!$A:$F,7,0),"")</f>
        <v/>
      </c>
      <c r="BH295" s="270" t="str">
        <f>_xlfn.IFNA(VLOOKUP(CONCATENATE(BH$4,$C295),'INSER DATA'!$A:$F,7,0),"")</f>
        <v/>
      </c>
      <c r="BI295" s="270" t="str">
        <f>_xlfn.IFNA(VLOOKUP(CONCATENATE(BI$4,$C295),'INSER DATA'!$A:$F,7,0),"")</f>
        <v/>
      </c>
      <c r="BJ295" s="270" t="str">
        <f>_xlfn.IFNA(VLOOKUP(CONCATENATE(BJ$4,$C295),'INSER DATA'!$A:$F,7,0),"")</f>
        <v/>
      </c>
      <c r="BK295" s="270" t="str">
        <f>_xlfn.IFNA(VLOOKUP(CONCATENATE(BK$4,$C295),'INSER DATA'!$A:$F,7,0),"")</f>
        <v/>
      </c>
      <c r="BL295" s="272"/>
      <c r="BM295" s="30"/>
      <c r="BN295" s="30"/>
      <c r="BO295" s="30"/>
      <c r="BP295" s="30"/>
      <c r="BQ295" s="30"/>
      <c r="BR295" s="30"/>
      <c r="BS295" s="30"/>
      <c r="BT295" s="30"/>
      <c r="BU295" s="30"/>
      <c r="BV295" s="30"/>
      <c r="BW295" s="30"/>
      <c r="BX295" s="30"/>
      <c r="BY295" s="30"/>
      <c r="BZ295" s="30"/>
      <c r="CA295" s="30"/>
      <c r="CB295" s="30"/>
      <c r="CC295" s="30"/>
      <c r="CD295" s="30"/>
      <c r="CE295" s="30"/>
      <c r="CF295" s="30"/>
      <c r="CG295" s="30"/>
      <c r="CH295" s="30"/>
      <c r="CI295" s="30"/>
      <c r="CJ295" s="30"/>
      <c r="CK295" s="30"/>
      <c r="CL295" s="30"/>
      <c r="CM295" s="30"/>
      <c r="CN295" s="30"/>
      <c r="CO295" s="30"/>
      <c r="CP295" s="30"/>
      <c r="CQ295" s="30"/>
      <c r="CR295" s="30"/>
      <c r="CS295" s="30"/>
      <c r="CT295" s="30"/>
      <c r="CU295" s="30"/>
      <c r="CV295" s="30"/>
      <c r="CW295" s="30"/>
      <c r="CX295" s="30"/>
      <c r="CY295" s="30"/>
      <c r="CZ295" s="30"/>
      <c r="DA295" s="30"/>
    </row>
    <row r="296" spans="1:105" ht="19.2" thickTop="1" thickBot="1" x14ac:dyDescent="0.4">
      <c r="A296" s="30"/>
      <c r="B296" s="30"/>
      <c r="C296" s="354" t="s">
        <v>265</v>
      </c>
      <c r="D296" s="357" t="s">
        <v>826</v>
      </c>
      <c r="E296" s="35" t="str">
        <f>_xlfn.XLOOKUP(Tabella4[[#This Row],[NOME]],'ROSE SQUADRE'!$N$3:$N$253,'ROSE SQUADRE'!$O$3:$O$253,"")</f>
        <v>SESTO ASENSIO</v>
      </c>
      <c r="F296" s="36" t="s">
        <v>5</v>
      </c>
      <c r="G296" s="43">
        <v>15</v>
      </c>
      <c r="H296" s="43">
        <v>15</v>
      </c>
      <c r="I296" s="44">
        <f t="shared" si="25"/>
        <v>0</v>
      </c>
      <c r="J296" s="37">
        <f t="shared" si="26"/>
        <v>4</v>
      </c>
      <c r="K296" s="178">
        <f t="shared" si="27"/>
        <v>6.125</v>
      </c>
      <c r="L296" s="178">
        <f t="shared" si="28"/>
        <v>5.375</v>
      </c>
      <c r="M296" s="179">
        <f t="shared" si="29"/>
        <v>21.5</v>
      </c>
      <c r="N296" s="45">
        <f t="shared" ca="1" si="30"/>
        <v>0</v>
      </c>
      <c r="O296" s="40">
        <f>SUMIF(Tabella1[Nome],Tabella4[[#This Row],[NOME]],Tabella1[Gf])</f>
        <v>0</v>
      </c>
      <c r="P296" s="40">
        <f>-(SUMIF(Tabella1[Nome],Tabella4[[#This Row],[NOME]],Tabella1[Gs]))</f>
        <v>-4</v>
      </c>
      <c r="Q296" s="40">
        <f>SUMIF(Tabella1[Nome],Tabella4[[#This Row],[NOME]],Tabella1[Rp])</f>
        <v>0</v>
      </c>
      <c r="R296" s="40">
        <f>SUMIF(Tabella1[Nome],Tabella4[[#This Row],[NOME]],Tabella1[Rs])</f>
        <v>0</v>
      </c>
      <c r="S296" s="40">
        <f>SUMIF(Tabella1[Nome],Tabella4[[#This Row],[NOME]],Tabella1[Rf])</f>
        <v>0</v>
      </c>
      <c r="T296" s="40">
        <f>SUMIF(Tabella1[Nome],Tabella4[[#This Row],[NOME]],Tabella1[Au])</f>
        <v>0</v>
      </c>
      <c r="U296" s="41">
        <f>SUMIF(Tabella1[Nome],Tabella4[[#This Row],[NOME]],Tabella1[Amm])</f>
        <v>0</v>
      </c>
      <c r="V296" s="42">
        <f>SUMIF(Tabella1[Nome],Tabella4[[#This Row],[NOME]],Tabella1[Esp])</f>
        <v>0</v>
      </c>
      <c r="W296" s="40">
        <f>SUMIF(Tabella1[Nome],Tabella4[[#This Row],[NOME]],Tabella1[Ass])</f>
        <v>0</v>
      </c>
      <c r="X296" s="40">
        <f>SUMIF(Tabella1[Nome],Tabella4[[#This Row],[NOME]],Tabella1[Gdv])</f>
        <v>0</v>
      </c>
      <c r="Y296" s="40">
        <f>SUMIF(Tabella1[Nome],Tabella4[[#This Row],[NOME]],Tabella1[cl sh])</f>
        <v>1</v>
      </c>
      <c r="Z296" s="270">
        <f>_xlfn.IFNA(_xlfn.XLOOKUP(CONCATENATE(Z$4,$C296),Tabella1[CONC X VOTI IN TAB GIOC],Tabella1[Voto],""),"")</f>
        <v>6</v>
      </c>
      <c r="AA296" s="270">
        <f>_xlfn.IFNA(_xlfn.XLOOKUP(CONCATENATE(AA$4,$C296),Tabella1[CONC X VOTI IN TAB GIOC],Tabella1[Voto],""),"")</f>
        <v>6</v>
      </c>
      <c r="AB296" s="270">
        <f>_xlfn.IFNA(_xlfn.XLOOKUP(CONCATENATE(AB$4,$C296),Tabella1[CONC X VOTI IN TAB GIOC],Tabella1[Voto]),"")</f>
        <v>6</v>
      </c>
      <c r="AC296" s="270" cm="1">
        <f t="array" ref="AC296">_xlfn.IFNA(_xlfn.XLOOKUP(CONCATENATE(AC$4,$C296),INDEX(Tabella1[],0,MATCH("CONC X VOTI IN TAB GIOC",Tabella1[#Headers],0)),INDEX(Tabella1[],0,MATCH("Voto",Tabella1[#Headers],0))),"")</f>
        <v>6.5</v>
      </c>
      <c r="AD296" s="270" t="str">
        <f>_xlfn.IFNA(_xlfn.XLOOKUP(CONCATENATE(AD$4,$C296),Tabella1[CONC X VOTI IN TAB GIOC],Tabella1[Voto]),"")</f>
        <v/>
      </c>
      <c r="AE296" s="270" t="str">
        <f>_xlfn.IFNA(VLOOKUP(CONCATENATE(AE$4,$C296),'INSER DATA'!$A:$F,6,0),"")</f>
        <v/>
      </c>
      <c r="AF296" s="270" t="str">
        <f>_xlfn.IFNA(VLOOKUP(CONCATENATE(AF$4,$C296),'INSER DATA'!$A:$F,6,0),"")</f>
        <v/>
      </c>
      <c r="AG296" s="270" t="str">
        <f>_xlfn.IFNA(VLOOKUP(CONCATENATE(AG$4,$C296),'INSER DATA'!$A:$F,6,0),"")</f>
        <v/>
      </c>
      <c r="AH296" s="270" t="str">
        <f>_xlfn.IFNA(VLOOKUP(CONCATENATE(AH$4,$C296),'INSER DATA'!$A:$F,7,0),"")</f>
        <v/>
      </c>
      <c r="AI296" s="270" t="str">
        <f>_xlfn.IFNA(VLOOKUP(CONCATENATE(AI$4,$C296),'INSER DATA'!$A:$F,7,0),"")</f>
        <v/>
      </c>
      <c r="AJ296" s="270" t="str">
        <f>_xlfn.IFNA(VLOOKUP(CONCATENATE(AJ$4,$C296),'INSER DATA'!$A:$F,7,0),"")</f>
        <v/>
      </c>
      <c r="AK296" s="270" t="str">
        <f>_xlfn.IFNA(VLOOKUP(CONCATENATE(AK$4,$C296),'INSER DATA'!$A:$F,7,0),"")</f>
        <v/>
      </c>
      <c r="AL296" s="270" t="str">
        <f>_xlfn.IFNA(VLOOKUP(CONCATENATE(AL$4,$C296),'INSER DATA'!$A:$F,7,0),"")</f>
        <v/>
      </c>
      <c r="AM296" s="270" t="str">
        <f>_xlfn.IFNA(VLOOKUP(CONCATENATE(AM$4,$C296),'INSER DATA'!$A:$F,7,0),"")</f>
        <v/>
      </c>
      <c r="AN296" s="270" t="str">
        <f>_xlfn.IFNA(VLOOKUP(CONCATENATE(AN$4,$C296),'INSER DATA'!$A:$F,7,0),"")</f>
        <v/>
      </c>
      <c r="AO296" s="270" t="str">
        <f>_xlfn.IFNA(VLOOKUP(CONCATENATE(AO$4,$C296),'INSER DATA'!$A:$F,7,0),"")</f>
        <v/>
      </c>
      <c r="AP296" s="270" t="str">
        <f>_xlfn.IFNA(VLOOKUP(CONCATENATE(AP$4,$C296),'INSER DATA'!$A:$F,7,0),"")</f>
        <v/>
      </c>
      <c r="AQ296" s="270" t="str">
        <f>_xlfn.IFNA(VLOOKUP(CONCATENATE(AQ$4,$C296),'INSER DATA'!$A:$F,7,0),"")</f>
        <v/>
      </c>
      <c r="AR296" s="270" t="str">
        <f>_xlfn.IFNA(VLOOKUP(CONCATENATE(AR$4,$C296),'INSER DATA'!$A:$F,7,0),"")</f>
        <v/>
      </c>
      <c r="AS296" s="270" t="str">
        <f>_xlfn.IFNA(VLOOKUP(CONCATENATE(AS$4,$C296),'INSER DATA'!$A:$F,7,0),"")</f>
        <v/>
      </c>
      <c r="AT296" s="270" t="str">
        <f>_xlfn.IFNA(VLOOKUP(CONCATENATE(AT$4,$C296),'INSER DATA'!$A:$F,7,0),"")</f>
        <v/>
      </c>
      <c r="AU296" s="270" t="str">
        <f>_xlfn.IFNA(VLOOKUP(CONCATENATE(AU$4,$C296),'INSER DATA'!$A:$F,7,0),"")</f>
        <v/>
      </c>
      <c r="AV296" s="270" t="str">
        <f>_xlfn.IFNA(VLOOKUP(CONCATENATE(AV$4,$C296),'INSER DATA'!$A:$F,7,0),"")</f>
        <v/>
      </c>
      <c r="AW296" s="270" t="str">
        <f>_xlfn.IFNA(VLOOKUP(CONCATENATE(AW$4,$C296),'INSER DATA'!$A:$F,7,0),"")</f>
        <v/>
      </c>
      <c r="AX296" s="270" t="str">
        <f>_xlfn.IFNA(VLOOKUP(CONCATENATE(AX$4,$C296),'INSER DATA'!$A:$F,7,0),"")</f>
        <v/>
      </c>
      <c r="AY296" s="270" t="str">
        <f>_xlfn.IFNA(VLOOKUP(CONCATENATE(AY$4,$C296),'INSER DATA'!$A:$F,7,0),"")</f>
        <v/>
      </c>
      <c r="AZ296" s="270" t="str">
        <f>_xlfn.IFNA(VLOOKUP(CONCATENATE(AZ$4,$C296),'INSER DATA'!$A:$F,7,0),"")</f>
        <v/>
      </c>
      <c r="BA296" s="270" t="str">
        <f>_xlfn.IFNA(VLOOKUP(CONCATENATE(BA$4,$C296),'INSER DATA'!$A:$F,7,0),"")</f>
        <v/>
      </c>
      <c r="BB296" s="270" t="str">
        <f>_xlfn.IFNA(VLOOKUP(CONCATENATE(BB$4,$C296),'INSER DATA'!$A:$F,7,0),"")</f>
        <v/>
      </c>
      <c r="BC296" s="270" t="str">
        <f>_xlfn.IFNA(VLOOKUP(CONCATENATE(BC$4,$C296),'INSER DATA'!$A:$F,7,0),"")</f>
        <v/>
      </c>
      <c r="BD296" s="270" t="str">
        <f>_xlfn.IFNA(VLOOKUP(CONCATENATE(BD$4,$C296),'INSER DATA'!$A:$F,7,0),"")</f>
        <v/>
      </c>
      <c r="BE296" s="270" t="str">
        <f>_xlfn.IFNA(VLOOKUP(CONCATENATE(BE$4,$C296),'INSER DATA'!$A:$F,7,0),"")</f>
        <v/>
      </c>
      <c r="BF296" s="270" t="str">
        <f>_xlfn.IFNA(VLOOKUP(CONCATENATE(BF$4,$C296),'INSER DATA'!$A:$F,7,0),"")</f>
        <v/>
      </c>
      <c r="BG296" s="270" t="str">
        <f>_xlfn.IFNA(VLOOKUP(CONCATENATE(BG$4,$C296),'INSER DATA'!$A:$F,7,0),"")</f>
        <v/>
      </c>
      <c r="BH296" s="270" t="str">
        <f>_xlfn.IFNA(VLOOKUP(CONCATENATE(BH$4,$C296),'INSER DATA'!$A:$F,7,0),"")</f>
        <v/>
      </c>
      <c r="BI296" s="270" t="str">
        <f>_xlfn.IFNA(VLOOKUP(CONCATENATE(BI$4,$C296),'INSER DATA'!$A:$F,7,0),"")</f>
        <v/>
      </c>
      <c r="BJ296" s="270" t="str">
        <f>_xlfn.IFNA(VLOOKUP(CONCATENATE(BJ$4,$C296),'INSER DATA'!$A:$F,7,0),"")</f>
        <v/>
      </c>
      <c r="BK296" s="270" t="str">
        <f>_xlfn.IFNA(VLOOKUP(CONCATENATE(BK$4,$C296),'INSER DATA'!$A:$F,7,0),"")</f>
        <v/>
      </c>
      <c r="BL296" s="272"/>
      <c r="BM296" s="30"/>
      <c r="BN296" s="30"/>
      <c r="BO296" s="30"/>
      <c r="BP296" s="30"/>
      <c r="BQ296" s="30"/>
      <c r="BR296" s="30"/>
      <c r="BS296" s="30"/>
      <c r="BT296" s="30"/>
      <c r="BU296" s="30"/>
      <c r="BV296" s="30"/>
      <c r="BW296" s="30"/>
      <c r="BX296" s="30"/>
      <c r="BY296" s="30"/>
      <c r="BZ296" s="30"/>
      <c r="CA296" s="30"/>
      <c r="CB296" s="30"/>
      <c r="CC296" s="30"/>
      <c r="CD296" s="30"/>
      <c r="CE296" s="30"/>
      <c r="CF296" s="30"/>
      <c r="CG296" s="30"/>
      <c r="CH296" s="30"/>
      <c r="CI296" s="30"/>
      <c r="CJ296" s="30"/>
      <c r="CK296" s="30"/>
      <c r="CL296" s="30"/>
      <c r="CM296" s="30"/>
      <c r="CN296" s="30"/>
      <c r="CO296" s="30"/>
      <c r="CP296" s="30"/>
      <c r="CQ296" s="30"/>
      <c r="CR296" s="30"/>
      <c r="CS296" s="30"/>
      <c r="CT296" s="30"/>
      <c r="CU296" s="30"/>
      <c r="CV296" s="30"/>
      <c r="CW296" s="30"/>
      <c r="CX296" s="30"/>
      <c r="CY296" s="30"/>
      <c r="CZ296" s="30"/>
      <c r="DA296" s="30"/>
    </row>
    <row r="297" spans="1:105" ht="19.2" thickTop="1" thickBot="1" x14ac:dyDescent="0.4">
      <c r="A297" s="30"/>
      <c r="B297" s="30"/>
      <c r="C297" s="356" t="s">
        <v>828</v>
      </c>
      <c r="D297" s="357" t="s">
        <v>826</v>
      </c>
      <c r="E297" s="35" t="str">
        <f>_xlfn.XLOOKUP(Tabella4[[#This Row],[NOME]],'ROSE SQUADRE'!$N$3:$N$253,'ROSE SQUADRE'!$O$3:$O$253,"")</f>
        <v>AS PIPPERIA</v>
      </c>
      <c r="F297" s="36" t="s">
        <v>161</v>
      </c>
      <c r="G297" s="43">
        <v>8</v>
      </c>
      <c r="H297" s="43">
        <v>8</v>
      </c>
      <c r="I297" s="44">
        <f t="shared" si="25"/>
        <v>0</v>
      </c>
      <c r="J297" s="37">
        <f t="shared" si="26"/>
        <v>2</v>
      </c>
      <c r="K297" s="178">
        <f t="shared" si="27"/>
        <v>6</v>
      </c>
      <c r="L297" s="178">
        <f t="shared" si="28"/>
        <v>6</v>
      </c>
      <c r="M297" s="179">
        <f t="shared" si="29"/>
        <v>12</v>
      </c>
      <c r="N297" s="45">
        <f t="shared" ca="1" si="30"/>
        <v>0</v>
      </c>
      <c r="O297" s="40">
        <f>SUMIF(Tabella1[Nome],Tabella4[[#This Row],[NOME]],Tabella1[Gf])</f>
        <v>0</v>
      </c>
      <c r="P297" s="40">
        <f>-(SUMIF(Tabella1[Nome],Tabella4[[#This Row],[NOME]],Tabella1[Gs]))</f>
        <v>0</v>
      </c>
      <c r="Q297" s="40">
        <f>SUMIF(Tabella1[Nome],Tabella4[[#This Row],[NOME]],Tabella1[Rp])</f>
        <v>0</v>
      </c>
      <c r="R297" s="40">
        <f>SUMIF(Tabella1[Nome],Tabella4[[#This Row],[NOME]],Tabella1[Rs])</f>
        <v>0</v>
      </c>
      <c r="S297" s="40">
        <f>SUMIF(Tabella1[Nome],Tabella4[[#This Row],[NOME]],Tabella1[Rf])</f>
        <v>0</v>
      </c>
      <c r="T297" s="40">
        <f>SUMIF(Tabella1[Nome],Tabella4[[#This Row],[NOME]],Tabella1[Au])</f>
        <v>0</v>
      </c>
      <c r="U297" s="41">
        <f>SUMIF(Tabella1[Nome],Tabella4[[#This Row],[NOME]],Tabella1[Amm])</f>
        <v>0</v>
      </c>
      <c r="V297" s="42">
        <f>SUMIF(Tabella1[Nome],Tabella4[[#This Row],[NOME]],Tabella1[Esp])</f>
        <v>0</v>
      </c>
      <c r="W297" s="40">
        <f>SUMIF(Tabella1[Nome],Tabella4[[#This Row],[NOME]],Tabella1[Ass])</f>
        <v>0</v>
      </c>
      <c r="X297" s="40">
        <f>SUMIF(Tabella1[Nome],Tabella4[[#This Row],[NOME]],Tabella1[Gdv])</f>
        <v>0</v>
      </c>
      <c r="Y297" s="40">
        <f>SUMIF(Tabella1[Nome],Tabella4[[#This Row],[NOME]],Tabella1[cl sh])</f>
        <v>0</v>
      </c>
      <c r="Z297" s="270">
        <f>_xlfn.IFNA(_xlfn.XLOOKUP(CONCATENATE(Z$4,$C297),Tabella1[CONC X VOTI IN TAB GIOC],Tabella1[Voto],""),"")</f>
        <v>6</v>
      </c>
      <c r="AA297" s="270">
        <f>_xlfn.IFNA(_xlfn.XLOOKUP(CONCATENATE(AA$4,$C297),Tabella1[CONC X VOTI IN TAB GIOC],Tabella1[Voto],""),"")</f>
        <v>6</v>
      </c>
      <c r="AB297" s="270" t="str">
        <f>_xlfn.IFNA(_xlfn.XLOOKUP(CONCATENATE(AB$4,$C297),Tabella1[CONC X VOTI IN TAB GIOC],Tabella1[Voto]),"")</f>
        <v/>
      </c>
      <c r="AC297" s="270" t="str" cm="1">
        <f t="array" ref="AC297">_xlfn.IFNA(_xlfn.XLOOKUP(CONCATENATE(AC$4,$C297),INDEX(Tabella1[],0,MATCH("CONC X VOTI IN TAB GIOC",Tabella1[#Headers],0)),INDEX(Tabella1[],0,MATCH("Voto",Tabella1[#Headers],0))),"")</f>
        <v/>
      </c>
      <c r="AD297" s="270" t="str">
        <f>_xlfn.IFNA(_xlfn.XLOOKUP(CONCATENATE(AD$4,$C297),Tabella1[CONC X VOTI IN TAB GIOC],Tabella1[Voto]),"")</f>
        <v/>
      </c>
      <c r="AE297" s="270" t="str">
        <f>_xlfn.IFNA(VLOOKUP(CONCATENATE(AE$4,$C297),'INSER DATA'!$A:$F,6,0),"")</f>
        <v/>
      </c>
      <c r="AF297" s="270" t="str">
        <f>_xlfn.IFNA(VLOOKUP(CONCATENATE(AF$4,$C297),'INSER DATA'!$A:$F,6,0),"")</f>
        <v/>
      </c>
      <c r="AG297" s="270" t="str">
        <f>_xlfn.IFNA(VLOOKUP(CONCATENATE(AG$4,$C297),'INSER DATA'!$A:$F,6,0),"")</f>
        <v/>
      </c>
      <c r="AH297" s="270" t="str">
        <f>_xlfn.IFNA(VLOOKUP(CONCATENATE(AH$4,$C297),'INSER DATA'!$A:$F,7,0),"")</f>
        <v/>
      </c>
      <c r="AI297" s="270" t="str">
        <f>_xlfn.IFNA(VLOOKUP(CONCATENATE(AI$4,$C297),'INSER DATA'!$A:$F,7,0),"")</f>
        <v/>
      </c>
      <c r="AJ297" s="270" t="str">
        <f>_xlfn.IFNA(VLOOKUP(CONCATENATE(AJ$4,$C297),'INSER DATA'!$A:$F,7,0),"")</f>
        <v/>
      </c>
      <c r="AK297" s="270" t="str">
        <f>_xlfn.IFNA(VLOOKUP(CONCATENATE(AK$4,$C297),'INSER DATA'!$A:$F,7,0),"")</f>
        <v/>
      </c>
      <c r="AL297" s="270" t="str">
        <f>_xlfn.IFNA(VLOOKUP(CONCATENATE(AL$4,$C297),'INSER DATA'!$A:$F,7,0),"")</f>
        <v/>
      </c>
      <c r="AM297" s="270" t="str">
        <f>_xlfn.IFNA(VLOOKUP(CONCATENATE(AM$4,$C297),'INSER DATA'!$A:$F,7,0),"")</f>
        <v/>
      </c>
      <c r="AN297" s="270" t="str">
        <f>_xlfn.IFNA(VLOOKUP(CONCATENATE(AN$4,$C297),'INSER DATA'!$A:$F,7,0),"")</f>
        <v/>
      </c>
      <c r="AO297" s="270" t="str">
        <f>_xlfn.IFNA(VLOOKUP(CONCATENATE(AO$4,$C297),'INSER DATA'!$A:$F,7,0),"")</f>
        <v/>
      </c>
      <c r="AP297" s="270" t="str">
        <f>_xlfn.IFNA(VLOOKUP(CONCATENATE(AP$4,$C297),'INSER DATA'!$A:$F,7,0),"")</f>
        <v/>
      </c>
      <c r="AQ297" s="270" t="str">
        <f>_xlfn.IFNA(VLOOKUP(CONCATENATE(AQ$4,$C297),'INSER DATA'!$A:$F,7,0),"")</f>
        <v/>
      </c>
      <c r="AR297" s="270" t="str">
        <f>_xlfn.IFNA(VLOOKUP(CONCATENATE(AR$4,$C297),'INSER DATA'!$A:$F,7,0),"")</f>
        <v/>
      </c>
      <c r="AS297" s="270" t="str">
        <f>_xlfn.IFNA(VLOOKUP(CONCATENATE(AS$4,$C297),'INSER DATA'!$A:$F,7,0),"")</f>
        <v/>
      </c>
      <c r="AT297" s="270" t="str">
        <f>_xlfn.IFNA(VLOOKUP(CONCATENATE(AT$4,$C297),'INSER DATA'!$A:$F,7,0),"")</f>
        <v/>
      </c>
      <c r="AU297" s="270" t="str">
        <f>_xlfn.IFNA(VLOOKUP(CONCATENATE(AU$4,$C297),'INSER DATA'!$A:$F,7,0),"")</f>
        <v/>
      </c>
      <c r="AV297" s="270" t="str">
        <f>_xlfn.IFNA(VLOOKUP(CONCATENATE(AV$4,$C297),'INSER DATA'!$A:$F,7,0),"")</f>
        <v/>
      </c>
      <c r="AW297" s="270" t="str">
        <f>_xlfn.IFNA(VLOOKUP(CONCATENATE(AW$4,$C297),'INSER DATA'!$A:$F,7,0),"")</f>
        <v/>
      </c>
      <c r="AX297" s="270" t="str">
        <f>_xlfn.IFNA(VLOOKUP(CONCATENATE(AX$4,$C297),'INSER DATA'!$A:$F,7,0),"")</f>
        <v/>
      </c>
      <c r="AY297" s="270" t="str">
        <f>_xlfn.IFNA(VLOOKUP(CONCATENATE(AY$4,$C297),'INSER DATA'!$A:$F,7,0),"")</f>
        <v/>
      </c>
      <c r="AZ297" s="270" t="str">
        <f>_xlfn.IFNA(VLOOKUP(CONCATENATE(AZ$4,$C297),'INSER DATA'!$A:$F,7,0),"")</f>
        <v/>
      </c>
      <c r="BA297" s="270" t="str">
        <f>_xlfn.IFNA(VLOOKUP(CONCATENATE(BA$4,$C297),'INSER DATA'!$A:$F,7,0),"")</f>
        <v/>
      </c>
      <c r="BB297" s="270" t="str">
        <f>_xlfn.IFNA(VLOOKUP(CONCATENATE(BB$4,$C297),'INSER DATA'!$A:$F,7,0),"")</f>
        <v/>
      </c>
      <c r="BC297" s="270" t="str">
        <f>_xlfn.IFNA(VLOOKUP(CONCATENATE(BC$4,$C297),'INSER DATA'!$A:$F,7,0),"")</f>
        <v/>
      </c>
      <c r="BD297" s="270" t="str">
        <f>_xlfn.IFNA(VLOOKUP(CONCATENATE(BD$4,$C297),'INSER DATA'!$A:$F,7,0),"")</f>
        <v/>
      </c>
      <c r="BE297" s="270" t="str">
        <f>_xlfn.IFNA(VLOOKUP(CONCATENATE(BE$4,$C297),'INSER DATA'!$A:$F,7,0),"")</f>
        <v/>
      </c>
      <c r="BF297" s="270" t="str">
        <f>_xlfn.IFNA(VLOOKUP(CONCATENATE(BF$4,$C297),'INSER DATA'!$A:$F,7,0),"")</f>
        <v/>
      </c>
      <c r="BG297" s="270" t="str">
        <f>_xlfn.IFNA(VLOOKUP(CONCATENATE(BG$4,$C297),'INSER DATA'!$A:$F,7,0),"")</f>
        <v/>
      </c>
      <c r="BH297" s="270" t="str">
        <f>_xlfn.IFNA(VLOOKUP(CONCATENATE(BH$4,$C297),'INSER DATA'!$A:$F,7,0),"")</f>
        <v/>
      </c>
      <c r="BI297" s="270" t="str">
        <f>_xlfn.IFNA(VLOOKUP(CONCATENATE(BI$4,$C297),'INSER DATA'!$A:$F,7,0),"")</f>
        <v/>
      </c>
      <c r="BJ297" s="270" t="str">
        <f>_xlfn.IFNA(VLOOKUP(CONCATENATE(BJ$4,$C297),'INSER DATA'!$A:$F,7,0),"")</f>
        <v/>
      </c>
      <c r="BK297" s="270" t="str">
        <f>_xlfn.IFNA(VLOOKUP(CONCATENATE(BK$4,$C297),'INSER DATA'!$A:$F,7,0),"")</f>
        <v/>
      </c>
      <c r="BL297" s="272"/>
      <c r="BM297" s="30"/>
      <c r="BN297" s="30"/>
      <c r="BO297" s="30"/>
      <c r="BP297" s="30"/>
      <c r="BQ297" s="30"/>
      <c r="BR297" s="30"/>
      <c r="BS297" s="30"/>
      <c r="BT297" s="30"/>
      <c r="BU297" s="30"/>
      <c r="BV297" s="30"/>
      <c r="BW297" s="30"/>
      <c r="BX297" s="30"/>
      <c r="BY297" s="30"/>
      <c r="BZ297" s="30"/>
      <c r="CA297" s="30"/>
      <c r="CB297" s="30"/>
      <c r="CC297" s="30"/>
      <c r="CD297" s="30"/>
      <c r="CE297" s="30"/>
      <c r="CF297" s="30"/>
      <c r="CG297" s="30"/>
      <c r="CH297" s="30"/>
      <c r="CI297" s="30"/>
      <c r="CJ297" s="30"/>
      <c r="CK297" s="30"/>
      <c r="CL297" s="30"/>
      <c r="CM297" s="30"/>
      <c r="CN297" s="30"/>
      <c r="CO297" s="30"/>
      <c r="CP297" s="30"/>
      <c r="CQ297" s="30"/>
      <c r="CR297" s="30"/>
      <c r="CS297" s="30"/>
      <c r="CT297" s="30"/>
      <c r="CU297" s="30"/>
      <c r="CV297" s="30"/>
      <c r="CW297" s="30"/>
      <c r="CX297" s="30"/>
      <c r="CY297" s="30"/>
      <c r="CZ297" s="30"/>
      <c r="DA297" s="30"/>
    </row>
    <row r="298" spans="1:105" ht="19.2" thickTop="1" thickBot="1" x14ac:dyDescent="0.4">
      <c r="A298" s="30"/>
      <c r="B298" s="30"/>
      <c r="C298" s="354" t="s">
        <v>830</v>
      </c>
      <c r="D298" s="357" t="s">
        <v>826</v>
      </c>
      <c r="E298" s="35" t="str">
        <f>_xlfn.XLOOKUP(Tabella4[[#This Row],[NOME]],'ROSE SQUADRE'!$N$3:$N$253,'ROSE SQUADRE'!$O$3:$O$253,"")</f>
        <v>PESCICULINI</v>
      </c>
      <c r="F298" s="36" t="s">
        <v>161</v>
      </c>
      <c r="G298" s="43">
        <v>3</v>
      </c>
      <c r="H298" s="43">
        <v>4</v>
      </c>
      <c r="I298" s="44">
        <f t="shared" si="25"/>
        <v>1</v>
      </c>
      <c r="J298" s="37">
        <f t="shared" si="26"/>
        <v>3</v>
      </c>
      <c r="K298" s="178">
        <f t="shared" si="27"/>
        <v>5.666666666666667</v>
      </c>
      <c r="L298" s="178">
        <f t="shared" si="28"/>
        <v>5.5</v>
      </c>
      <c r="M298" s="179">
        <f t="shared" si="29"/>
        <v>16.5</v>
      </c>
      <c r="N298" s="45">
        <f t="shared" ca="1" si="30"/>
        <v>0</v>
      </c>
      <c r="O298" s="40">
        <f>SUMIF(Tabella1[Nome],Tabella4[[#This Row],[NOME]],Tabella1[Gf])</f>
        <v>0</v>
      </c>
      <c r="P298" s="40">
        <f>-(SUMIF(Tabella1[Nome],Tabella4[[#This Row],[NOME]],Tabella1[Gs]))</f>
        <v>0</v>
      </c>
      <c r="Q298" s="40">
        <f>SUMIF(Tabella1[Nome],Tabella4[[#This Row],[NOME]],Tabella1[Rp])</f>
        <v>0</v>
      </c>
      <c r="R298" s="40">
        <f>SUMIF(Tabella1[Nome],Tabella4[[#This Row],[NOME]],Tabella1[Rs])</f>
        <v>0</v>
      </c>
      <c r="S298" s="40">
        <f>SUMIF(Tabella1[Nome],Tabella4[[#This Row],[NOME]],Tabella1[Rf])</f>
        <v>0</v>
      </c>
      <c r="T298" s="40">
        <f>SUMIF(Tabella1[Nome],Tabella4[[#This Row],[NOME]],Tabella1[Au])</f>
        <v>0</v>
      </c>
      <c r="U298" s="41">
        <f>SUMIF(Tabella1[Nome],Tabella4[[#This Row],[NOME]],Tabella1[Amm])</f>
        <v>1</v>
      </c>
      <c r="V298" s="42">
        <f>SUMIF(Tabella1[Nome],Tabella4[[#This Row],[NOME]],Tabella1[Esp])</f>
        <v>0</v>
      </c>
      <c r="W298" s="40">
        <f>SUMIF(Tabella1[Nome],Tabella4[[#This Row],[NOME]],Tabella1[Ass])</f>
        <v>0</v>
      </c>
      <c r="X298" s="40">
        <f>SUMIF(Tabella1[Nome],Tabella4[[#This Row],[NOME]],Tabella1[Gdv])</f>
        <v>0</v>
      </c>
      <c r="Y298" s="40">
        <f>SUMIF(Tabella1[Nome],Tabella4[[#This Row],[NOME]],Tabella1[cl sh])</f>
        <v>0</v>
      </c>
      <c r="Z298" s="270">
        <f>_xlfn.IFNA(_xlfn.XLOOKUP(CONCATENATE(Z$4,$C298),Tabella1[CONC X VOTI IN TAB GIOC],Tabella1[Voto],""),"")</f>
        <v>6</v>
      </c>
      <c r="AA298" s="270" t="str">
        <f>_xlfn.IFNA(_xlfn.XLOOKUP(CONCATENATE(AA$4,$C298),Tabella1[CONC X VOTI IN TAB GIOC],Tabella1[Voto],""),"")</f>
        <v/>
      </c>
      <c r="AB298" s="270">
        <f>_xlfn.IFNA(_xlfn.XLOOKUP(CONCATENATE(AB$4,$C298),Tabella1[CONC X VOTI IN TAB GIOC],Tabella1[Voto]),"")</f>
        <v>6</v>
      </c>
      <c r="AC298" s="270" cm="1">
        <f t="array" ref="AC298">_xlfn.IFNA(_xlfn.XLOOKUP(CONCATENATE(AC$4,$C298),INDEX(Tabella1[],0,MATCH("CONC X VOTI IN TAB GIOC",Tabella1[#Headers],0)),INDEX(Tabella1[],0,MATCH("Voto",Tabella1[#Headers],0))),"")</f>
        <v>5</v>
      </c>
      <c r="AD298" s="270" t="str">
        <f>_xlfn.IFNA(_xlfn.XLOOKUP(CONCATENATE(AD$4,$C298),Tabella1[CONC X VOTI IN TAB GIOC],Tabella1[Voto]),"")</f>
        <v/>
      </c>
      <c r="AE298" s="270" t="str">
        <f>_xlfn.IFNA(VLOOKUP(CONCATENATE(AE$4,$C298),'INSER DATA'!$A:$F,6,0),"")</f>
        <v/>
      </c>
      <c r="AF298" s="270" t="str">
        <f>_xlfn.IFNA(VLOOKUP(CONCATENATE(AF$4,$C298),'INSER DATA'!$A:$F,6,0),"")</f>
        <v/>
      </c>
      <c r="AG298" s="270" t="str">
        <f>_xlfn.IFNA(VLOOKUP(CONCATENATE(AG$4,$C298),'INSER DATA'!$A:$F,6,0),"")</f>
        <v/>
      </c>
      <c r="AH298" s="270" t="str">
        <f>_xlfn.IFNA(VLOOKUP(CONCATENATE(AH$4,$C298),'INSER DATA'!$A:$F,7,0),"")</f>
        <v/>
      </c>
      <c r="AI298" s="270" t="str">
        <f>_xlfn.IFNA(VLOOKUP(CONCATENATE(AI$4,$C298),'INSER DATA'!$A:$F,7,0),"")</f>
        <v/>
      </c>
      <c r="AJ298" s="270" t="str">
        <f>_xlfn.IFNA(VLOOKUP(CONCATENATE(AJ$4,$C298),'INSER DATA'!$A:$F,7,0),"")</f>
        <v/>
      </c>
      <c r="AK298" s="270" t="str">
        <f>_xlfn.IFNA(VLOOKUP(CONCATENATE(AK$4,$C298),'INSER DATA'!$A:$F,7,0),"")</f>
        <v/>
      </c>
      <c r="AL298" s="270" t="str">
        <f>_xlfn.IFNA(VLOOKUP(CONCATENATE(AL$4,$C298),'INSER DATA'!$A:$F,7,0),"")</f>
        <v/>
      </c>
      <c r="AM298" s="270" t="str">
        <f>_xlfn.IFNA(VLOOKUP(CONCATENATE(AM$4,$C298),'INSER DATA'!$A:$F,7,0),"")</f>
        <v/>
      </c>
      <c r="AN298" s="270" t="str">
        <f>_xlfn.IFNA(VLOOKUP(CONCATENATE(AN$4,$C298),'INSER DATA'!$A:$F,7,0),"")</f>
        <v/>
      </c>
      <c r="AO298" s="270" t="str">
        <f>_xlfn.IFNA(VLOOKUP(CONCATENATE(AO$4,$C298),'INSER DATA'!$A:$F,7,0),"")</f>
        <v/>
      </c>
      <c r="AP298" s="270" t="str">
        <f>_xlfn.IFNA(VLOOKUP(CONCATENATE(AP$4,$C298),'INSER DATA'!$A:$F,7,0),"")</f>
        <v/>
      </c>
      <c r="AQ298" s="270" t="str">
        <f>_xlfn.IFNA(VLOOKUP(CONCATENATE(AQ$4,$C298),'INSER DATA'!$A:$F,7,0),"")</f>
        <v/>
      </c>
      <c r="AR298" s="270" t="str">
        <f>_xlfn.IFNA(VLOOKUP(CONCATENATE(AR$4,$C298),'INSER DATA'!$A:$F,7,0),"")</f>
        <v/>
      </c>
      <c r="AS298" s="270" t="str">
        <f>_xlfn.IFNA(VLOOKUP(CONCATENATE(AS$4,$C298),'INSER DATA'!$A:$F,7,0),"")</f>
        <v/>
      </c>
      <c r="AT298" s="270" t="str">
        <f>_xlfn.IFNA(VLOOKUP(CONCATENATE(AT$4,$C298),'INSER DATA'!$A:$F,7,0),"")</f>
        <v/>
      </c>
      <c r="AU298" s="270" t="str">
        <f>_xlfn.IFNA(VLOOKUP(CONCATENATE(AU$4,$C298),'INSER DATA'!$A:$F,7,0),"")</f>
        <v/>
      </c>
      <c r="AV298" s="270" t="str">
        <f>_xlfn.IFNA(VLOOKUP(CONCATENATE(AV$4,$C298),'INSER DATA'!$A:$F,7,0),"")</f>
        <v/>
      </c>
      <c r="AW298" s="270" t="str">
        <f>_xlfn.IFNA(VLOOKUP(CONCATENATE(AW$4,$C298),'INSER DATA'!$A:$F,7,0),"")</f>
        <v/>
      </c>
      <c r="AX298" s="270" t="str">
        <f>_xlfn.IFNA(VLOOKUP(CONCATENATE(AX$4,$C298),'INSER DATA'!$A:$F,7,0),"")</f>
        <v/>
      </c>
      <c r="AY298" s="270" t="str">
        <f>_xlfn.IFNA(VLOOKUP(CONCATENATE(AY$4,$C298),'INSER DATA'!$A:$F,7,0),"")</f>
        <v/>
      </c>
      <c r="AZ298" s="270" t="str">
        <f>_xlfn.IFNA(VLOOKUP(CONCATENATE(AZ$4,$C298),'INSER DATA'!$A:$F,7,0),"")</f>
        <v/>
      </c>
      <c r="BA298" s="270" t="str">
        <f>_xlfn.IFNA(VLOOKUP(CONCATENATE(BA$4,$C298),'INSER DATA'!$A:$F,7,0),"")</f>
        <v/>
      </c>
      <c r="BB298" s="270" t="str">
        <f>_xlfn.IFNA(VLOOKUP(CONCATENATE(BB$4,$C298),'INSER DATA'!$A:$F,7,0),"")</f>
        <v/>
      </c>
      <c r="BC298" s="270" t="str">
        <f>_xlfn.IFNA(VLOOKUP(CONCATENATE(BC$4,$C298),'INSER DATA'!$A:$F,7,0),"")</f>
        <v/>
      </c>
      <c r="BD298" s="270" t="str">
        <f>_xlfn.IFNA(VLOOKUP(CONCATENATE(BD$4,$C298),'INSER DATA'!$A:$F,7,0),"")</f>
        <v/>
      </c>
      <c r="BE298" s="270" t="str">
        <f>_xlfn.IFNA(VLOOKUP(CONCATENATE(BE$4,$C298),'INSER DATA'!$A:$F,7,0),"")</f>
        <v/>
      </c>
      <c r="BF298" s="270" t="str">
        <f>_xlfn.IFNA(VLOOKUP(CONCATENATE(BF$4,$C298),'INSER DATA'!$A:$F,7,0),"")</f>
        <v/>
      </c>
      <c r="BG298" s="270" t="str">
        <f>_xlfn.IFNA(VLOOKUP(CONCATENATE(BG$4,$C298),'INSER DATA'!$A:$F,7,0),"")</f>
        <v/>
      </c>
      <c r="BH298" s="270" t="str">
        <f>_xlfn.IFNA(VLOOKUP(CONCATENATE(BH$4,$C298),'INSER DATA'!$A:$F,7,0),"")</f>
        <v/>
      </c>
      <c r="BI298" s="270" t="str">
        <f>_xlfn.IFNA(VLOOKUP(CONCATENATE(BI$4,$C298),'INSER DATA'!$A:$F,7,0),"")</f>
        <v/>
      </c>
      <c r="BJ298" s="270" t="str">
        <f>_xlfn.IFNA(VLOOKUP(CONCATENATE(BJ$4,$C298),'INSER DATA'!$A:$F,7,0),"")</f>
        <v/>
      </c>
      <c r="BK298" s="270" t="str">
        <f>_xlfn.IFNA(VLOOKUP(CONCATENATE(BK$4,$C298),'INSER DATA'!$A:$F,7,0),"")</f>
        <v/>
      </c>
      <c r="BL298" s="272"/>
      <c r="BM298" s="30"/>
      <c r="BN298" s="30"/>
      <c r="BO298" s="30"/>
      <c r="BP298" s="30"/>
      <c r="BQ298" s="30"/>
      <c r="BR298" s="30"/>
      <c r="BS298" s="30"/>
      <c r="BT298" s="30"/>
      <c r="BU298" s="30"/>
      <c r="BV298" s="30"/>
      <c r="BW298" s="30"/>
      <c r="BX298" s="30"/>
      <c r="BY298" s="30"/>
      <c r="BZ298" s="30"/>
      <c r="CA298" s="30"/>
      <c r="CB298" s="30"/>
      <c r="CC298" s="30"/>
      <c r="CD298" s="30"/>
      <c r="CE298" s="30"/>
      <c r="CF298" s="30"/>
      <c r="CG298" s="30"/>
      <c r="CH298" s="30"/>
      <c r="CI298" s="30"/>
      <c r="CJ298" s="30"/>
      <c r="CK298" s="30"/>
      <c r="CL298" s="30"/>
      <c r="CM298" s="30"/>
      <c r="CN298" s="30"/>
      <c r="CO298" s="30"/>
      <c r="CP298" s="30"/>
      <c r="CQ298" s="30"/>
      <c r="CR298" s="30"/>
      <c r="CS298" s="30"/>
      <c r="CT298" s="30"/>
      <c r="CU298" s="30"/>
      <c r="CV298" s="30"/>
      <c r="CW298" s="30"/>
      <c r="CX298" s="30"/>
      <c r="CY298" s="30"/>
      <c r="CZ298" s="30"/>
      <c r="DA298" s="30"/>
    </row>
    <row r="299" spans="1:105" ht="19.2" thickTop="1" thickBot="1" x14ac:dyDescent="0.4">
      <c r="A299" s="30"/>
      <c r="B299" s="30"/>
      <c r="C299" s="354" t="s">
        <v>831</v>
      </c>
      <c r="D299" s="357" t="s">
        <v>826</v>
      </c>
      <c r="E299" s="35" t="str">
        <f>_xlfn.XLOOKUP(Tabella4[[#This Row],[NOME]],'ROSE SQUADRE'!$N$3:$N$253,'ROSE SQUADRE'!$O$3:$O$253,"")</f>
        <v>AC ASPARAGHESE</v>
      </c>
      <c r="F299" s="36" t="s">
        <v>161</v>
      </c>
      <c r="G299" s="43">
        <v>7</v>
      </c>
      <c r="H299" s="43">
        <v>7</v>
      </c>
      <c r="I299" s="44">
        <f t="shared" si="25"/>
        <v>0</v>
      </c>
      <c r="J299" s="37">
        <f t="shared" si="26"/>
        <v>1</v>
      </c>
      <c r="K299" s="38">
        <f t="shared" si="27"/>
        <v>6</v>
      </c>
      <c r="L299" s="38">
        <f t="shared" si="28"/>
        <v>6</v>
      </c>
      <c r="M299" s="39">
        <f t="shared" si="29"/>
        <v>6</v>
      </c>
      <c r="N299" s="45">
        <f t="shared" ca="1" si="30"/>
        <v>0</v>
      </c>
      <c r="O299" s="40">
        <f>SUMIF(Tabella1[Nome],Tabella4[[#This Row],[NOME]],Tabella1[Gf])</f>
        <v>0</v>
      </c>
      <c r="P299" s="40">
        <f>-(SUMIF(Tabella1[Nome],Tabella4[[#This Row],[NOME]],Tabella1[Gs]))</f>
        <v>0</v>
      </c>
      <c r="Q299" s="40">
        <f>SUMIF(Tabella1[Nome],Tabella4[[#This Row],[NOME]],Tabella1[Rp])</f>
        <v>0</v>
      </c>
      <c r="R299" s="40">
        <f>SUMIF(Tabella1[Nome],Tabella4[[#This Row],[NOME]],Tabella1[Rs])</f>
        <v>0</v>
      </c>
      <c r="S299" s="40">
        <f>SUMIF(Tabella1[Nome],Tabella4[[#This Row],[NOME]],Tabella1[Rf])</f>
        <v>0</v>
      </c>
      <c r="T299" s="40">
        <f>SUMIF(Tabella1[Nome],Tabella4[[#This Row],[NOME]],Tabella1[Au])</f>
        <v>0</v>
      </c>
      <c r="U299" s="41">
        <f>SUMIF(Tabella1[Nome],Tabella4[[#This Row],[NOME]],Tabella1[Amm])</f>
        <v>0</v>
      </c>
      <c r="V299" s="42">
        <f>SUMIF(Tabella1[Nome],Tabella4[[#This Row],[NOME]],Tabella1[Esp])</f>
        <v>0</v>
      </c>
      <c r="W299" s="40">
        <f>SUMIF(Tabella1[Nome],Tabella4[[#This Row],[NOME]],Tabella1[Ass])</f>
        <v>0</v>
      </c>
      <c r="X299" s="40">
        <f>SUMIF(Tabella1[Nome],Tabella4[[#This Row],[NOME]],Tabella1[Gdv])</f>
        <v>0</v>
      </c>
      <c r="Y299" s="40">
        <f>SUMIF(Tabella1[Nome],Tabella4[[#This Row],[NOME]],Tabella1[cl sh])</f>
        <v>0</v>
      </c>
      <c r="Z299" s="270">
        <f>_xlfn.IFNA(_xlfn.XLOOKUP(CONCATENATE(Z$4,$C299),Tabella1[CONC X VOTI IN TAB GIOC],Tabella1[Voto],""),"")</f>
        <v>6</v>
      </c>
      <c r="AA299" s="270" t="str">
        <f>_xlfn.IFNA(_xlfn.XLOOKUP(CONCATENATE(AA$4,$C299),Tabella1[CONC X VOTI IN TAB GIOC],Tabella1[Voto],""),"")</f>
        <v/>
      </c>
      <c r="AB299" s="270" t="str">
        <f>_xlfn.IFNA(_xlfn.XLOOKUP(CONCATENATE(AB$4,$C299),Tabella1[CONC X VOTI IN TAB GIOC],Tabella1[Voto]),"")</f>
        <v/>
      </c>
      <c r="AC299" s="270" t="str" cm="1">
        <f t="array" ref="AC299">_xlfn.IFNA(_xlfn.XLOOKUP(CONCATENATE(AC$4,$C299),INDEX(Tabella1[],0,MATCH("CONC X VOTI IN TAB GIOC",Tabella1[#Headers],0)),INDEX(Tabella1[],0,MATCH("Voto",Tabella1[#Headers],0))),"")</f>
        <v/>
      </c>
      <c r="AD299" s="270" t="str">
        <f>_xlfn.IFNA(_xlfn.XLOOKUP(CONCATENATE(AD$4,$C299),Tabella1[CONC X VOTI IN TAB GIOC],Tabella1[Voto]),"")</f>
        <v/>
      </c>
      <c r="AE299" s="270" t="str">
        <f>_xlfn.IFNA(VLOOKUP(CONCATENATE(AE$4,$C299),'INSER DATA'!$A:$F,6,0),"")</f>
        <v/>
      </c>
      <c r="AF299" s="270" t="str">
        <f>_xlfn.IFNA(VLOOKUP(CONCATENATE(AF$4,$C299),'INSER DATA'!$A:$F,6,0),"")</f>
        <v/>
      </c>
      <c r="AG299" s="270" t="str">
        <f>_xlfn.IFNA(VLOOKUP(CONCATENATE(AG$4,$C299),'INSER DATA'!$A:$F,6,0),"")</f>
        <v/>
      </c>
      <c r="AH299" s="270" t="str">
        <f>_xlfn.IFNA(VLOOKUP(CONCATENATE(AH$4,$C299),'INSER DATA'!$A:$F,7,0),"")</f>
        <v/>
      </c>
      <c r="AI299" s="270" t="str">
        <f>_xlfn.IFNA(VLOOKUP(CONCATENATE(AI$4,$C299),'INSER DATA'!$A:$F,7,0),"")</f>
        <v/>
      </c>
      <c r="AJ299" s="270" t="str">
        <f>_xlfn.IFNA(VLOOKUP(CONCATENATE(AJ$4,$C299),'INSER DATA'!$A:$F,7,0),"")</f>
        <v/>
      </c>
      <c r="AK299" s="270" t="str">
        <f>_xlfn.IFNA(VLOOKUP(CONCATENATE(AK$4,$C299),'INSER DATA'!$A:$F,7,0),"")</f>
        <v/>
      </c>
      <c r="AL299" s="270" t="str">
        <f>_xlfn.IFNA(VLOOKUP(CONCATENATE(AL$4,$C299),'INSER DATA'!$A:$F,7,0),"")</f>
        <v/>
      </c>
      <c r="AM299" s="270" t="str">
        <f>_xlfn.IFNA(VLOOKUP(CONCATENATE(AM$4,$C299),'INSER DATA'!$A:$F,7,0),"")</f>
        <v/>
      </c>
      <c r="AN299" s="270" t="str">
        <f>_xlfn.IFNA(VLOOKUP(CONCATENATE(AN$4,$C299),'INSER DATA'!$A:$F,7,0),"")</f>
        <v/>
      </c>
      <c r="AO299" s="270" t="str">
        <f>_xlfn.IFNA(VLOOKUP(CONCATENATE(AO$4,$C299),'INSER DATA'!$A:$F,7,0),"")</f>
        <v/>
      </c>
      <c r="AP299" s="270" t="str">
        <f>_xlfn.IFNA(VLOOKUP(CONCATENATE(AP$4,$C299),'INSER DATA'!$A:$F,7,0),"")</f>
        <v/>
      </c>
      <c r="AQ299" s="270" t="str">
        <f>_xlfn.IFNA(VLOOKUP(CONCATENATE(AQ$4,$C299),'INSER DATA'!$A:$F,7,0),"")</f>
        <v/>
      </c>
      <c r="AR299" s="270" t="str">
        <f>_xlfn.IFNA(VLOOKUP(CONCATENATE(AR$4,$C299),'INSER DATA'!$A:$F,7,0),"")</f>
        <v/>
      </c>
      <c r="AS299" s="270" t="str">
        <f>_xlfn.IFNA(VLOOKUP(CONCATENATE(AS$4,$C299),'INSER DATA'!$A:$F,7,0),"")</f>
        <v/>
      </c>
      <c r="AT299" s="270" t="str">
        <f>_xlfn.IFNA(VLOOKUP(CONCATENATE(AT$4,$C299),'INSER DATA'!$A:$F,7,0),"")</f>
        <v/>
      </c>
      <c r="AU299" s="270" t="str">
        <f>_xlfn.IFNA(VLOOKUP(CONCATENATE(AU$4,$C299),'INSER DATA'!$A:$F,7,0),"")</f>
        <v/>
      </c>
      <c r="AV299" s="270" t="str">
        <f>_xlfn.IFNA(VLOOKUP(CONCATENATE(AV$4,$C299),'INSER DATA'!$A:$F,7,0),"")</f>
        <v/>
      </c>
      <c r="AW299" s="270" t="str">
        <f>_xlfn.IFNA(VLOOKUP(CONCATENATE(AW$4,$C299),'INSER DATA'!$A:$F,7,0),"")</f>
        <v/>
      </c>
      <c r="AX299" s="270" t="str">
        <f>_xlfn.IFNA(VLOOKUP(CONCATENATE(AX$4,$C299),'INSER DATA'!$A:$F,7,0),"")</f>
        <v/>
      </c>
      <c r="AY299" s="270" t="str">
        <f>_xlfn.IFNA(VLOOKUP(CONCATENATE(AY$4,$C299),'INSER DATA'!$A:$F,7,0),"")</f>
        <v/>
      </c>
      <c r="AZ299" s="270" t="str">
        <f>_xlfn.IFNA(VLOOKUP(CONCATENATE(AZ$4,$C299),'INSER DATA'!$A:$F,7,0),"")</f>
        <v/>
      </c>
      <c r="BA299" s="270" t="str">
        <f>_xlfn.IFNA(VLOOKUP(CONCATENATE(BA$4,$C299),'INSER DATA'!$A:$F,7,0),"")</f>
        <v/>
      </c>
      <c r="BB299" s="270" t="str">
        <f>_xlfn.IFNA(VLOOKUP(CONCATENATE(BB$4,$C299),'INSER DATA'!$A:$F,7,0),"")</f>
        <v/>
      </c>
      <c r="BC299" s="270" t="str">
        <f>_xlfn.IFNA(VLOOKUP(CONCATENATE(BC$4,$C299),'INSER DATA'!$A:$F,7,0),"")</f>
        <v/>
      </c>
      <c r="BD299" s="270" t="str">
        <f>_xlfn.IFNA(VLOOKUP(CONCATENATE(BD$4,$C299),'INSER DATA'!$A:$F,7,0),"")</f>
        <v/>
      </c>
      <c r="BE299" s="270" t="str">
        <f>_xlfn.IFNA(VLOOKUP(CONCATENATE(BE$4,$C299),'INSER DATA'!$A:$F,7,0),"")</f>
        <v/>
      </c>
      <c r="BF299" s="270" t="str">
        <f>_xlfn.IFNA(VLOOKUP(CONCATENATE(BF$4,$C299),'INSER DATA'!$A:$F,7,0),"")</f>
        <v/>
      </c>
      <c r="BG299" s="270" t="str">
        <f>_xlfn.IFNA(VLOOKUP(CONCATENATE(BG$4,$C299),'INSER DATA'!$A:$F,7,0),"")</f>
        <v/>
      </c>
      <c r="BH299" s="270" t="str">
        <f>_xlfn.IFNA(VLOOKUP(CONCATENATE(BH$4,$C299),'INSER DATA'!$A:$F,7,0),"")</f>
        <v/>
      </c>
      <c r="BI299" s="270" t="str">
        <f>_xlfn.IFNA(VLOOKUP(CONCATENATE(BI$4,$C299),'INSER DATA'!$A:$F,7,0),"")</f>
        <v/>
      </c>
      <c r="BJ299" s="270" t="str">
        <f>_xlfn.IFNA(VLOOKUP(CONCATENATE(BJ$4,$C299),'INSER DATA'!$A:$F,7,0),"")</f>
        <v/>
      </c>
      <c r="BK299" s="270" t="str">
        <f>_xlfn.IFNA(VLOOKUP(CONCATENATE(BK$4,$C299),'INSER DATA'!$A:$F,7,0),"")</f>
        <v/>
      </c>
      <c r="BL299" s="272"/>
      <c r="BM299" s="30"/>
      <c r="BN299" s="30"/>
      <c r="BO299" s="30"/>
      <c r="BP299" s="30"/>
      <c r="BQ299" s="30"/>
      <c r="BR299" s="30"/>
      <c r="BS299" s="30"/>
      <c r="BT299" s="30"/>
      <c r="BU299" s="30"/>
      <c r="BV299" s="30"/>
      <c r="BW299" s="30"/>
      <c r="BX299" s="30"/>
      <c r="BY299" s="30"/>
      <c r="BZ299" s="30"/>
      <c r="CA299" s="30"/>
      <c r="CB299" s="30"/>
      <c r="CC299" s="30"/>
      <c r="CD299" s="30"/>
      <c r="CE299" s="30"/>
      <c r="CF299" s="30"/>
      <c r="CG299" s="30"/>
      <c r="CH299" s="30"/>
      <c r="CI299" s="30"/>
      <c r="CJ299" s="30"/>
      <c r="CK299" s="30"/>
      <c r="CL299" s="30"/>
      <c r="CM299" s="30"/>
      <c r="CN299" s="30"/>
      <c r="CO299" s="30"/>
      <c r="CP299" s="30"/>
      <c r="CQ299" s="30"/>
      <c r="CR299" s="30"/>
      <c r="CS299" s="30"/>
      <c r="CT299" s="30"/>
      <c r="CU299" s="30"/>
      <c r="CV299" s="30"/>
      <c r="CW299" s="30"/>
      <c r="CX299" s="30"/>
      <c r="CY299" s="30"/>
      <c r="CZ299" s="30"/>
      <c r="DA299" s="30"/>
    </row>
    <row r="300" spans="1:105" ht="19.2" thickTop="1" thickBot="1" x14ac:dyDescent="0.4">
      <c r="A300" s="30"/>
      <c r="B300" s="30"/>
      <c r="C300" s="354" t="s">
        <v>464</v>
      </c>
      <c r="D300" s="355" t="s">
        <v>826</v>
      </c>
      <c r="E300" s="35" t="str">
        <f>_xlfn.XLOOKUP(Tabella4[[#This Row],[NOME]],'ROSE SQUADRE'!$N$3:$N$253,'ROSE SQUADRE'!$O$3:$O$253,"")</f>
        <v>SHARK</v>
      </c>
      <c r="F300" s="36" t="s">
        <v>162</v>
      </c>
      <c r="G300" s="43">
        <v>4</v>
      </c>
      <c r="H300" s="43">
        <v>4</v>
      </c>
      <c r="I300" s="44">
        <f t="shared" si="25"/>
        <v>0</v>
      </c>
      <c r="J300" s="37">
        <f t="shared" si="26"/>
        <v>4</v>
      </c>
      <c r="K300" s="38">
        <f t="shared" si="27"/>
        <v>5.75</v>
      </c>
      <c r="L300" s="38">
        <f t="shared" si="28"/>
        <v>5.625</v>
      </c>
      <c r="M300" s="39">
        <f t="shared" si="29"/>
        <v>22.5</v>
      </c>
      <c r="N300" s="45">
        <f t="shared" ca="1" si="30"/>
        <v>0</v>
      </c>
      <c r="O300" s="40">
        <f>SUMIF(Tabella1[Nome],Tabella4[[#This Row],[NOME]],Tabella1[Gf])</f>
        <v>0</v>
      </c>
      <c r="P300" s="40">
        <f>-(SUMIF(Tabella1[Nome],Tabella4[[#This Row],[NOME]],Tabella1[Gs]))</f>
        <v>0</v>
      </c>
      <c r="Q300" s="40">
        <f>SUMIF(Tabella1[Nome],Tabella4[[#This Row],[NOME]],Tabella1[Rp])</f>
        <v>0</v>
      </c>
      <c r="R300" s="40">
        <f>SUMIF(Tabella1[Nome],Tabella4[[#This Row],[NOME]],Tabella1[Rs])</f>
        <v>0</v>
      </c>
      <c r="S300" s="40">
        <f>SUMIF(Tabella1[Nome],Tabella4[[#This Row],[NOME]],Tabella1[Rf])</f>
        <v>0</v>
      </c>
      <c r="T300" s="40">
        <f>SUMIF(Tabella1[Nome],Tabella4[[#This Row],[NOME]],Tabella1[Au])</f>
        <v>0</v>
      </c>
      <c r="U300" s="41">
        <f>SUMIF(Tabella1[Nome],Tabella4[[#This Row],[NOME]],Tabella1[Amm])</f>
        <v>1</v>
      </c>
      <c r="V300" s="42">
        <f>SUMIF(Tabella1[Nome],Tabella4[[#This Row],[NOME]],Tabella1[Esp])</f>
        <v>0</v>
      </c>
      <c r="W300" s="40">
        <f>SUMIF(Tabella1[Nome],Tabella4[[#This Row],[NOME]],Tabella1[Ass])</f>
        <v>0</v>
      </c>
      <c r="X300" s="40">
        <f>SUMIF(Tabella1[Nome],Tabella4[[#This Row],[NOME]],Tabella1[Gdv])</f>
        <v>0</v>
      </c>
      <c r="Y300" s="40">
        <f>SUMIF(Tabella1[Nome],Tabella4[[#This Row],[NOME]],Tabella1[cl sh])</f>
        <v>0</v>
      </c>
      <c r="Z300" s="270">
        <f>_xlfn.IFNA(_xlfn.XLOOKUP(CONCATENATE(Z$4,$C300),Tabella1[CONC X VOTI IN TAB GIOC],Tabella1[Voto],""),"")</f>
        <v>6</v>
      </c>
      <c r="AA300" s="270">
        <f>_xlfn.IFNA(_xlfn.XLOOKUP(CONCATENATE(AA$4,$C300),Tabella1[CONC X VOTI IN TAB GIOC],Tabella1[Voto],""),"")</f>
        <v>6</v>
      </c>
      <c r="AB300" s="270">
        <f>_xlfn.IFNA(_xlfn.XLOOKUP(CONCATENATE(AB$4,$C300),Tabella1[CONC X VOTI IN TAB GIOC],Tabella1[Voto]),"")</f>
        <v>5.5</v>
      </c>
      <c r="AC300" s="270" cm="1">
        <f t="array" ref="AC300">_xlfn.IFNA(_xlfn.XLOOKUP(CONCATENATE(AC$4,$C300),INDEX(Tabella1[],0,MATCH("CONC X VOTI IN TAB GIOC",Tabella1[#Headers],0)),INDEX(Tabella1[],0,MATCH("Voto",Tabella1[#Headers],0))),"")</f>
        <v>5.5</v>
      </c>
      <c r="AD300" s="270" t="str">
        <f>_xlfn.IFNA(_xlfn.XLOOKUP(CONCATENATE(AD$4,$C300),Tabella1[CONC X VOTI IN TAB GIOC],Tabella1[Voto]),"")</f>
        <v/>
      </c>
      <c r="AE300" s="270" t="str">
        <f>_xlfn.IFNA(VLOOKUP(CONCATENATE(AE$4,$C300),'INSER DATA'!$A:$F,6,0),"")</f>
        <v/>
      </c>
      <c r="AF300" s="270" t="str">
        <f>_xlfn.IFNA(VLOOKUP(CONCATENATE(AF$4,$C300),'INSER DATA'!$A:$F,6,0),"")</f>
        <v/>
      </c>
      <c r="AG300" s="270" t="str">
        <f>_xlfn.IFNA(VLOOKUP(CONCATENATE(AG$4,$C300),'INSER DATA'!$A:$F,6,0),"")</f>
        <v/>
      </c>
      <c r="AH300" s="270" t="str">
        <f>_xlfn.IFNA(VLOOKUP(CONCATENATE(AH$4,$C300),'INSER DATA'!$A:$F,7,0),"")</f>
        <v/>
      </c>
      <c r="AI300" s="270" t="str">
        <f>_xlfn.IFNA(VLOOKUP(CONCATENATE(AI$4,$C300),'INSER DATA'!$A:$F,7,0),"")</f>
        <v/>
      </c>
      <c r="AJ300" s="270" t="str">
        <f>_xlfn.IFNA(VLOOKUP(CONCATENATE(AJ$4,$C300),'INSER DATA'!$A:$F,7,0),"")</f>
        <v/>
      </c>
      <c r="AK300" s="270" t="str">
        <f>_xlfn.IFNA(VLOOKUP(CONCATENATE(AK$4,$C300),'INSER DATA'!$A:$F,7,0),"")</f>
        <v/>
      </c>
      <c r="AL300" s="270" t="str">
        <f>_xlfn.IFNA(VLOOKUP(CONCATENATE(AL$4,$C300),'INSER DATA'!$A:$F,7,0),"")</f>
        <v/>
      </c>
      <c r="AM300" s="270" t="str">
        <f>_xlfn.IFNA(VLOOKUP(CONCATENATE(AM$4,$C300),'INSER DATA'!$A:$F,7,0),"")</f>
        <v/>
      </c>
      <c r="AN300" s="270" t="str">
        <f>_xlfn.IFNA(VLOOKUP(CONCATENATE(AN$4,$C300),'INSER DATA'!$A:$F,7,0),"")</f>
        <v/>
      </c>
      <c r="AO300" s="270" t="str">
        <f>_xlfn.IFNA(VLOOKUP(CONCATENATE(AO$4,$C300),'INSER DATA'!$A:$F,7,0),"")</f>
        <v/>
      </c>
      <c r="AP300" s="270" t="str">
        <f>_xlfn.IFNA(VLOOKUP(CONCATENATE(AP$4,$C300),'INSER DATA'!$A:$F,7,0),"")</f>
        <v/>
      </c>
      <c r="AQ300" s="270" t="str">
        <f>_xlfn.IFNA(VLOOKUP(CONCATENATE(AQ$4,$C300),'INSER DATA'!$A:$F,7,0),"")</f>
        <v/>
      </c>
      <c r="AR300" s="270" t="str">
        <f>_xlfn.IFNA(VLOOKUP(CONCATENATE(AR$4,$C300),'INSER DATA'!$A:$F,7,0),"")</f>
        <v/>
      </c>
      <c r="AS300" s="270" t="str">
        <f>_xlfn.IFNA(VLOOKUP(CONCATENATE(AS$4,$C300),'INSER DATA'!$A:$F,7,0),"")</f>
        <v/>
      </c>
      <c r="AT300" s="270" t="str">
        <f>_xlfn.IFNA(VLOOKUP(CONCATENATE(AT$4,$C300),'INSER DATA'!$A:$F,7,0),"")</f>
        <v/>
      </c>
      <c r="AU300" s="270" t="str">
        <f>_xlfn.IFNA(VLOOKUP(CONCATENATE(AU$4,$C300),'INSER DATA'!$A:$F,7,0),"")</f>
        <v/>
      </c>
      <c r="AV300" s="270" t="str">
        <f>_xlfn.IFNA(VLOOKUP(CONCATENATE(AV$4,$C300),'INSER DATA'!$A:$F,7,0),"")</f>
        <v/>
      </c>
      <c r="AW300" s="270" t="str">
        <f>_xlfn.IFNA(VLOOKUP(CONCATENATE(AW$4,$C300),'INSER DATA'!$A:$F,7,0),"")</f>
        <v/>
      </c>
      <c r="AX300" s="270" t="str">
        <f>_xlfn.IFNA(VLOOKUP(CONCATENATE(AX$4,$C300),'INSER DATA'!$A:$F,7,0),"")</f>
        <v/>
      </c>
      <c r="AY300" s="270" t="str">
        <f>_xlfn.IFNA(VLOOKUP(CONCATENATE(AY$4,$C300),'INSER DATA'!$A:$F,7,0),"")</f>
        <v/>
      </c>
      <c r="AZ300" s="270" t="str">
        <f>_xlfn.IFNA(VLOOKUP(CONCATENATE(AZ$4,$C300),'INSER DATA'!$A:$F,7,0),"")</f>
        <v/>
      </c>
      <c r="BA300" s="270" t="str">
        <f>_xlfn.IFNA(VLOOKUP(CONCATENATE(BA$4,$C300),'INSER DATA'!$A:$F,7,0),"")</f>
        <v/>
      </c>
      <c r="BB300" s="270" t="str">
        <f>_xlfn.IFNA(VLOOKUP(CONCATENATE(BB$4,$C300),'INSER DATA'!$A:$F,7,0),"")</f>
        <v/>
      </c>
      <c r="BC300" s="270" t="str">
        <f>_xlfn.IFNA(VLOOKUP(CONCATENATE(BC$4,$C300),'INSER DATA'!$A:$F,7,0),"")</f>
        <v/>
      </c>
      <c r="BD300" s="270" t="str">
        <f>_xlfn.IFNA(VLOOKUP(CONCATENATE(BD$4,$C300),'INSER DATA'!$A:$F,7,0),"")</f>
        <v/>
      </c>
      <c r="BE300" s="270" t="str">
        <f>_xlfn.IFNA(VLOOKUP(CONCATENATE(BE$4,$C300),'INSER DATA'!$A:$F,7,0),"")</f>
        <v/>
      </c>
      <c r="BF300" s="270" t="str">
        <f>_xlfn.IFNA(VLOOKUP(CONCATENATE(BF$4,$C300),'INSER DATA'!$A:$F,7,0),"")</f>
        <v/>
      </c>
      <c r="BG300" s="270" t="str">
        <f>_xlfn.IFNA(VLOOKUP(CONCATENATE(BG$4,$C300),'INSER DATA'!$A:$F,7,0),"")</f>
        <v/>
      </c>
      <c r="BH300" s="270" t="str">
        <f>_xlfn.IFNA(VLOOKUP(CONCATENATE(BH$4,$C300),'INSER DATA'!$A:$F,7,0),"")</f>
        <v/>
      </c>
      <c r="BI300" s="270" t="str">
        <f>_xlfn.IFNA(VLOOKUP(CONCATENATE(BI$4,$C300),'INSER DATA'!$A:$F,7,0),"")</f>
        <v/>
      </c>
      <c r="BJ300" s="270" t="str">
        <f>_xlfn.IFNA(VLOOKUP(CONCATENATE(BJ$4,$C300),'INSER DATA'!$A:$F,7,0),"")</f>
        <v/>
      </c>
      <c r="BK300" s="270" t="str">
        <f>_xlfn.IFNA(VLOOKUP(CONCATENATE(BK$4,$C300),'INSER DATA'!$A:$F,7,0),"")</f>
        <v/>
      </c>
      <c r="BL300" s="272"/>
      <c r="BM300" s="30"/>
      <c r="BN300" s="30"/>
      <c r="BO300" s="30"/>
      <c r="BP300" s="30"/>
      <c r="BQ300" s="30"/>
      <c r="BR300" s="30"/>
      <c r="BS300" s="30"/>
      <c r="BT300" s="30"/>
      <c r="BU300" s="30"/>
      <c r="BV300" s="30"/>
      <c r="BW300" s="30"/>
      <c r="BX300" s="30"/>
      <c r="BY300" s="30"/>
      <c r="BZ300" s="30"/>
      <c r="CA300" s="30"/>
      <c r="CB300" s="30"/>
      <c r="CC300" s="30"/>
      <c r="CD300" s="30"/>
      <c r="CE300" s="30"/>
      <c r="CF300" s="30"/>
      <c r="CG300" s="30"/>
      <c r="CH300" s="30"/>
      <c r="CI300" s="30"/>
      <c r="CJ300" s="30"/>
      <c r="CK300" s="30"/>
      <c r="CL300" s="30"/>
      <c r="CM300" s="30"/>
      <c r="CN300" s="30"/>
      <c r="CO300" s="30"/>
      <c r="CP300" s="30"/>
      <c r="CQ300" s="30"/>
      <c r="CR300" s="30"/>
      <c r="CS300" s="30"/>
      <c r="CT300" s="30"/>
      <c r="CU300" s="30"/>
      <c r="CV300" s="30"/>
      <c r="CW300" s="30"/>
      <c r="CX300" s="30"/>
      <c r="CY300" s="30"/>
      <c r="CZ300" s="30"/>
      <c r="DA300" s="30"/>
    </row>
    <row r="301" spans="1:105" ht="19.2" thickTop="1" thickBot="1" x14ac:dyDescent="0.4">
      <c r="A301" s="30"/>
      <c r="B301" s="30"/>
      <c r="C301" s="356" t="s">
        <v>836</v>
      </c>
      <c r="D301" s="355" t="s">
        <v>826</v>
      </c>
      <c r="E301" s="35" t="str">
        <f>_xlfn.XLOOKUP(Tabella4[[#This Row],[NOME]],'ROSE SQUADRE'!$N$3:$N$253,'ROSE SQUADRE'!$O$3:$O$253,"")</f>
        <v>SESTO ASENSIO</v>
      </c>
      <c r="F301" s="36" t="s">
        <v>162</v>
      </c>
      <c r="G301" s="43">
        <v>12</v>
      </c>
      <c r="H301" s="43">
        <v>12</v>
      </c>
      <c r="I301" s="44">
        <f t="shared" si="25"/>
        <v>0</v>
      </c>
      <c r="J301" s="37">
        <f t="shared" si="26"/>
        <v>4</v>
      </c>
      <c r="K301" s="38">
        <f t="shared" si="27"/>
        <v>5.875</v>
      </c>
      <c r="L301" s="38">
        <f t="shared" si="28"/>
        <v>5.875</v>
      </c>
      <c r="M301" s="39">
        <f t="shared" si="29"/>
        <v>23.5</v>
      </c>
      <c r="N301" s="45">
        <f t="shared" ca="1" si="30"/>
        <v>0</v>
      </c>
      <c r="O301" s="40">
        <f>SUMIF(Tabella1[Nome],Tabella4[[#This Row],[NOME]],Tabella1[Gf])</f>
        <v>0</v>
      </c>
      <c r="P301" s="40">
        <f>-(SUMIF(Tabella1[Nome],Tabella4[[#This Row],[NOME]],Tabella1[Gs]))</f>
        <v>0</v>
      </c>
      <c r="Q301" s="40">
        <f>SUMIF(Tabella1[Nome],Tabella4[[#This Row],[NOME]],Tabella1[Rp])</f>
        <v>0</v>
      </c>
      <c r="R301" s="40">
        <f>SUMIF(Tabella1[Nome],Tabella4[[#This Row],[NOME]],Tabella1[Rs])</f>
        <v>0</v>
      </c>
      <c r="S301" s="40">
        <f>SUMIF(Tabella1[Nome],Tabella4[[#This Row],[NOME]],Tabella1[Rf])</f>
        <v>0</v>
      </c>
      <c r="T301" s="40">
        <f>SUMIF(Tabella1[Nome],Tabella4[[#This Row],[NOME]],Tabella1[Au])</f>
        <v>0</v>
      </c>
      <c r="U301" s="41">
        <f>SUMIF(Tabella1[Nome],Tabella4[[#This Row],[NOME]],Tabella1[Amm])</f>
        <v>0</v>
      </c>
      <c r="V301" s="42">
        <f>SUMIF(Tabella1[Nome],Tabella4[[#This Row],[NOME]],Tabella1[Esp])</f>
        <v>0</v>
      </c>
      <c r="W301" s="40">
        <f>SUMIF(Tabella1[Nome],Tabella4[[#This Row],[NOME]],Tabella1[Ass])</f>
        <v>0</v>
      </c>
      <c r="X301" s="40">
        <f>SUMIF(Tabella1[Nome],Tabella4[[#This Row],[NOME]],Tabella1[Gdv])</f>
        <v>0</v>
      </c>
      <c r="Y301" s="40">
        <f>SUMIF(Tabella1[Nome],Tabella4[[#This Row],[NOME]],Tabella1[cl sh])</f>
        <v>0</v>
      </c>
      <c r="Z301" s="270">
        <f>_xlfn.IFNA(_xlfn.XLOOKUP(CONCATENATE(Z$4,$C301),Tabella1[CONC X VOTI IN TAB GIOC],Tabella1[Voto],""),"")</f>
        <v>6</v>
      </c>
      <c r="AA301" s="270">
        <f>_xlfn.IFNA(_xlfn.XLOOKUP(CONCATENATE(AA$4,$C301),Tabella1[CONC X VOTI IN TAB GIOC],Tabella1[Voto],""),"")</f>
        <v>6</v>
      </c>
      <c r="AB301" s="270">
        <f>_xlfn.IFNA(_xlfn.XLOOKUP(CONCATENATE(AB$4,$C301),Tabella1[CONC X VOTI IN TAB GIOC],Tabella1[Voto]),"")</f>
        <v>6</v>
      </c>
      <c r="AC301" s="270" cm="1">
        <f t="array" ref="AC301">_xlfn.IFNA(_xlfn.XLOOKUP(CONCATENATE(AC$4,$C301),INDEX(Tabella1[],0,MATCH("CONC X VOTI IN TAB GIOC",Tabella1[#Headers],0)),INDEX(Tabella1[],0,MATCH("Voto",Tabella1[#Headers],0))),"")</f>
        <v>5.5</v>
      </c>
      <c r="AD301" s="270" t="str">
        <f>_xlfn.IFNA(_xlfn.XLOOKUP(CONCATENATE(AD$4,$C301),Tabella1[CONC X VOTI IN TAB GIOC],Tabella1[Voto]),"")</f>
        <v/>
      </c>
      <c r="AE301" s="270" t="str">
        <f>_xlfn.IFNA(VLOOKUP(CONCATENATE(AE$4,$C301),'INSER DATA'!$A:$F,6,0),"")</f>
        <v/>
      </c>
      <c r="AF301" s="270" t="str">
        <f>_xlfn.IFNA(VLOOKUP(CONCATENATE(AF$4,$C301),'INSER DATA'!$A:$F,6,0),"")</f>
        <v/>
      </c>
      <c r="AG301" s="270" t="str">
        <f>_xlfn.IFNA(VLOOKUP(CONCATENATE(AG$4,$C301),'INSER DATA'!$A:$F,6,0),"")</f>
        <v/>
      </c>
      <c r="AH301" s="270" t="str">
        <f>_xlfn.IFNA(VLOOKUP(CONCATENATE(AH$4,$C301),'INSER DATA'!$A:$F,7,0),"")</f>
        <v/>
      </c>
      <c r="AI301" s="270" t="str">
        <f>_xlfn.IFNA(VLOOKUP(CONCATENATE(AI$4,$C301),'INSER DATA'!$A:$F,7,0),"")</f>
        <v/>
      </c>
      <c r="AJ301" s="270" t="str">
        <f>_xlfn.IFNA(VLOOKUP(CONCATENATE(AJ$4,$C301),'INSER DATA'!$A:$F,7,0),"")</f>
        <v/>
      </c>
      <c r="AK301" s="270" t="str">
        <f>_xlfn.IFNA(VLOOKUP(CONCATENATE(AK$4,$C301),'INSER DATA'!$A:$F,7,0),"")</f>
        <v/>
      </c>
      <c r="AL301" s="270" t="str">
        <f>_xlfn.IFNA(VLOOKUP(CONCATENATE(AL$4,$C301),'INSER DATA'!$A:$F,7,0),"")</f>
        <v/>
      </c>
      <c r="AM301" s="270" t="str">
        <f>_xlfn.IFNA(VLOOKUP(CONCATENATE(AM$4,$C301),'INSER DATA'!$A:$F,7,0),"")</f>
        <v/>
      </c>
      <c r="AN301" s="270" t="str">
        <f>_xlfn.IFNA(VLOOKUP(CONCATENATE(AN$4,$C301),'INSER DATA'!$A:$F,7,0),"")</f>
        <v/>
      </c>
      <c r="AO301" s="270" t="str">
        <f>_xlfn.IFNA(VLOOKUP(CONCATENATE(AO$4,$C301),'INSER DATA'!$A:$F,7,0),"")</f>
        <v/>
      </c>
      <c r="AP301" s="270" t="str">
        <f>_xlfn.IFNA(VLOOKUP(CONCATENATE(AP$4,$C301),'INSER DATA'!$A:$F,7,0),"")</f>
        <v/>
      </c>
      <c r="AQ301" s="270" t="str">
        <f>_xlfn.IFNA(VLOOKUP(CONCATENATE(AQ$4,$C301),'INSER DATA'!$A:$F,7,0),"")</f>
        <v/>
      </c>
      <c r="AR301" s="270" t="str">
        <f>_xlfn.IFNA(VLOOKUP(CONCATENATE(AR$4,$C301),'INSER DATA'!$A:$F,7,0),"")</f>
        <v/>
      </c>
      <c r="AS301" s="270" t="str">
        <f>_xlfn.IFNA(VLOOKUP(CONCATENATE(AS$4,$C301),'INSER DATA'!$A:$F,7,0),"")</f>
        <v/>
      </c>
      <c r="AT301" s="270" t="str">
        <f>_xlfn.IFNA(VLOOKUP(CONCATENATE(AT$4,$C301),'INSER DATA'!$A:$F,7,0),"")</f>
        <v/>
      </c>
      <c r="AU301" s="270" t="str">
        <f>_xlfn.IFNA(VLOOKUP(CONCATENATE(AU$4,$C301),'INSER DATA'!$A:$F,7,0),"")</f>
        <v/>
      </c>
      <c r="AV301" s="270" t="str">
        <f>_xlfn.IFNA(VLOOKUP(CONCATENATE(AV$4,$C301),'INSER DATA'!$A:$F,7,0),"")</f>
        <v/>
      </c>
      <c r="AW301" s="270" t="str">
        <f>_xlfn.IFNA(VLOOKUP(CONCATENATE(AW$4,$C301),'INSER DATA'!$A:$F,7,0),"")</f>
        <v/>
      </c>
      <c r="AX301" s="270" t="str">
        <f>_xlfn.IFNA(VLOOKUP(CONCATENATE(AX$4,$C301),'INSER DATA'!$A:$F,7,0),"")</f>
        <v/>
      </c>
      <c r="AY301" s="270" t="str">
        <f>_xlfn.IFNA(VLOOKUP(CONCATENATE(AY$4,$C301),'INSER DATA'!$A:$F,7,0),"")</f>
        <v/>
      </c>
      <c r="AZ301" s="270" t="str">
        <f>_xlfn.IFNA(VLOOKUP(CONCATENATE(AZ$4,$C301),'INSER DATA'!$A:$F,7,0),"")</f>
        <v/>
      </c>
      <c r="BA301" s="270" t="str">
        <f>_xlfn.IFNA(VLOOKUP(CONCATENATE(BA$4,$C301),'INSER DATA'!$A:$F,7,0),"")</f>
        <v/>
      </c>
      <c r="BB301" s="270" t="str">
        <f>_xlfn.IFNA(VLOOKUP(CONCATENATE(BB$4,$C301),'INSER DATA'!$A:$F,7,0),"")</f>
        <v/>
      </c>
      <c r="BC301" s="270" t="str">
        <f>_xlfn.IFNA(VLOOKUP(CONCATENATE(BC$4,$C301),'INSER DATA'!$A:$F,7,0),"")</f>
        <v/>
      </c>
      <c r="BD301" s="270" t="str">
        <f>_xlfn.IFNA(VLOOKUP(CONCATENATE(BD$4,$C301),'INSER DATA'!$A:$F,7,0),"")</f>
        <v/>
      </c>
      <c r="BE301" s="270" t="str">
        <f>_xlfn.IFNA(VLOOKUP(CONCATENATE(BE$4,$C301),'INSER DATA'!$A:$F,7,0),"")</f>
        <v/>
      </c>
      <c r="BF301" s="270" t="str">
        <f>_xlfn.IFNA(VLOOKUP(CONCATENATE(BF$4,$C301),'INSER DATA'!$A:$F,7,0),"")</f>
        <v/>
      </c>
      <c r="BG301" s="270" t="str">
        <f>_xlfn.IFNA(VLOOKUP(CONCATENATE(BG$4,$C301),'INSER DATA'!$A:$F,7,0),"")</f>
        <v/>
      </c>
      <c r="BH301" s="270" t="str">
        <f>_xlfn.IFNA(VLOOKUP(CONCATENATE(BH$4,$C301),'INSER DATA'!$A:$F,7,0),"")</f>
        <v/>
      </c>
      <c r="BI301" s="270" t="str">
        <f>_xlfn.IFNA(VLOOKUP(CONCATENATE(BI$4,$C301),'INSER DATA'!$A:$F,7,0),"")</f>
        <v/>
      </c>
      <c r="BJ301" s="270" t="str">
        <f>_xlfn.IFNA(VLOOKUP(CONCATENATE(BJ$4,$C301),'INSER DATA'!$A:$F,7,0),"")</f>
        <v/>
      </c>
      <c r="BK301" s="270" t="str">
        <f>_xlfn.IFNA(VLOOKUP(CONCATENATE(BK$4,$C301),'INSER DATA'!$A:$F,7,0),"")</f>
        <v/>
      </c>
      <c r="BL301" s="272"/>
      <c r="BM301" s="30"/>
      <c r="BN301" s="30"/>
      <c r="BO301" s="30"/>
      <c r="BP301" s="30"/>
      <c r="BQ301" s="30"/>
      <c r="BR301" s="30"/>
      <c r="BS301" s="30"/>
      <c r="BT301" s="30"/>
      <c r="BU301" s="30"/>
      <c r="BV301" s="30"/>
      <c r="BW301" s="30"/>
      <c r="BX301" s="30"/>
      <c r="BY301" s="30"/>
      <c r="BZ301" s="30"/>
      <c r="CA301" s="30"/>
      <c r="CB301" s="30"/>
      <c r="CC301" s="30"/>
      <c r="CD301" s="30"/>
      <c r="CE301" s="30"/>
      <c r="CF301" s="30"/>
      <c r="CG301" s="30"/>
      <c r="CH301" s="30"/>
      <c r="CI301" s="30"/>
      <c r="CJ301" s="30"/>
      <c r="CK301" s="30"/>
      <c r="CL301" s="30"/>
      <c r="CM301" s="30"/>
      <c r="CN301" s="30"/>
      <c r="CO301" s="30"/>
      <c r="CP301" s="30"/>
      <c r="CQ301" s="30"/>
      <c r="CR301" s="30"/>
      <c r="CS301" s="30"/>
      <c r="CT301" s="30"/>
      <c r="CU301" s="30"/>
      <c r="CV301" s="30"/>
      <c r="CW301" s="30"/>
      <c r="CX301" s="30"/>
      <c r="CY301" s="30"/>
      <c r="CZ301" s="30"/>
      <c r="DA301" s="30"/>
    </row>
    <row r="302" spans="1:105" ht="19.2" thickTop="1" thickBot="1" x14ac:dyDescent="0.4">
      <c r="A302" s="30"/>
      <c r="B302" s="30"/>
      <c r="C302" s="185" t="s">
        <v>335</v>
      </c>
      <c r="D302" s="46" t="s">
        <v>826</v>
      </c>
      <c r="E302" s="35" t="str">
        <f>_xlfn.XLOOKUP(Tabella4[[#This Row],[NOME]],'ROSE SQUADRE'!$N$3:$N$253,'ROSE SQUADRE'!$O$3:$O$253,"")</f>
        <v/>
      </c>
      <c r="F302" s="36" t="s">
        <v>5</v>
      </c>
      <c r="G302" s="43">
        <v>1</v>
      </c>
      <c r="H302" s="43">
        <v>1</v>
      </c>
      <c r="I302" s="44">
        <f t="shared" si="25"/>
        <v>0</v>
      </c>
      <c r="J302" s="37">
        <f t="shared" si="26"/>
        <v>0</v>
      </c>
      <c r="K302" s="178">
        <f t="shared" si="27"/>
        <v>0</v>
      </c>
      <c r="L302" s="178">
        <f t="shared" si="28"/>
        <v>0</v>
      </c>
      <c r="M302" s="179">
        <f t="shared" si="29"/>
        <v>0</v>
      </c>
      <c r="N302" s="45">
        <f t="shared" ca="1" si="30"/>
        <v>0</v>
      </c>
      <c r="O302" s="40">
        <f>SUMIF(Tabella1[Nome],Tabella4[[#This Row],[NOME]],Tabella1[Gf])</f>
        <v>0</v>
      </c>
      <c r="P302" s="40">
        <f>-(SUMIF(Tabella1[Nome],Tabella4[[#This Row],[NOME]],Tabella1[Gs]))</f>
        <v>0</v>
      </c>
      <c r="Q302" s="40">
        <f>SUMIF(Tabella1[Nome],Tabella4[[#This Row],[NOME]],Tabella1[Rp])</f>
        <v>0</v>
      </c>
      <c r="R302" s="40">
        <f>SUMIF(Tabella1[Nome],Tabella4[[#This Row],[NOME]],Tabella1[Rs])</f>
        <v>0</v>
      </c>
      <c r="S302" s="40">
        <f>SUMIF(Tabella1[Nome],Tabella4[[#This Row],[NOME]],Tabella1[Rf])</f>
        <v>0</v>
      </c>
      <c r="T302" s="40">
        <f>SUMIF(Tabella1[Nome],Tabella4[[#This Row],[NOME]],Tabella1[Au])</f>
        <v>0</v>
      </c>
      <c r="U302" s="41">
        <f>SUMIF(Tabella1[Nome],Tabella4[[#This Row],[NOME]],Tabella1[Amm])</f>
        <v>0</v>
      </c>
      <c r="V302" s="42">
        <f>SUMIF(Tabella1[Nome],Tabella4[[#This Row],[NOME]],Tabella1[Esp])</f>
        <v>0</v>
      </c>
      <c r="W302" s="40">
        <f>SUMIF(Tabella1[Nome],Tabella4[[#This Row],[NOME]],Tabella1[Ass])</f>
        <v>0</v>
      </c>
      <c r="X302" s="40">
        <f>SUMIF(Tabella1[Nome],Tabella4[[#This Row],[NOME]],Tabella1[Gdv])</f>
        <v>0</v>
      </c>
      <c r="Y302" s="40">
        <f>SUMIF(Tabella1[Nome],Tabella4[[#This Row],[NOME]],Tabella1[cl sh])</f>
        <v>0</v>
      </c>
      <c r="Z302" s="270" t="str">
        <f>_xlfn.IFNA(_xlfn.XLOOKUP(CONCATENATE(Z$4,$C302),Tabella1[CONC X VOTI IN TAB GIOC],Tabella1[Voto],""),"")</f>
        <v/>
      </c>
      <c r="AA302" s="270" t="str">
        <f>_xlfn.IFNA(_xlfn.XLOOKUP(CONCATENATE(AA$4,$C302),Tabella1[CONC X VOTI IN TAB GIOC],Tabella1[Voto],""),"")</f>
        <v/>
      </c>
      <c r="AB302" s="270" t="str">
        <f>_xlfn.IFNA(_xlfn.XLOOKUP(CONCATENATE(AB$4,$C302),Tabella1[CONC X VOTI IN TAB GIOC],Tabella1[Voto]),"")</f>
        <v/>
      </c>
      <c r="AC302" s="270" t="str" cm="1">
        <f t="array" ref="AC302">_xlfn.IFNA(_xlfn.XLOOKUP(CONCATENATE(AC$4,$C302),INDEX(Tabella1[],0,MATCH("CONC X VOTI IN TAB GIOC",Tabella1[#Headers],0)),INDEX(Tabella1[],0,MATCH("Voto",Tabella1[#Headers],0))),"")</f>
        <v/>
      </c>
      <c r="AD302" s="270" t="str">
        <f>_xlfn.IFNA(_xlfn.XLOOKUP(CONCATENATE(AD$4,$C302),Tabella1[CONC X VOTI IN TAB GIOC],Tabella1[Voto]),"")</f>
        <v/>
      </c>
      <c r="AE302" s="270" t="str">
        <f>_xlfn.IFNA(VLOOKUP(CONCATENATE(AE$4,$C302),'INSER DATA'!$A:$F,6,0),"")</f>
        <v/>
      </c>
      <c r="AF302" s="270" t="str">
        <f>_xlfn.IFNA(VLOOKUP(CONCATENATE(AF$4,$C302),'INSER DATA'!$A:$F,6,0),"")</f>
        <v/>
      </c>
      <c r="AG302" s="270" t="str">
        <f>_xlfn.IFNA(VLOOKUP(CONCATENATE(AG$4,$C302),'INSER DATA'!$A:$F,6,0),"")</f>
        <v/>
      </c>
      <c r="AH302" s="270" t="str">
        <f>_xlfn.IFNA(VLOOKUP(CONCATENATE(AH$4,$C302),'INSER DATA'!$A:$F,7,0),"")</f>
        <v/>
      </c>
      <c r="AI302" s="270" t="str">
        <f>_xlfn.IFNA(VLOOKUP(CONCATENATE(AI$4,$C302),'INSER DATA'!$A:$F,7,0),"")</f>
        <v/>
      </c>
      <c r="AJ302" s="270" t="str">
        <f>_xlfn.IFNA(VLOOKUP(CONCATENATE(AJ$4,$C302),'INSER DATA'!$A:$F,7,0),"")</f>
        <v/>
      </c>
      <c r="AK302" s="270" t="str">
        <f>_xlfn.IFNA(VLOOKUP(CONCATENATE(AK$4,$C302),'INSER DATA'!$A:$F,7,0),"")</f>
        <v/>
      </c>
      <c r="AL302" s="270" t="str">
        <f>_xlfn.IFNA(VLOOKUP(CONCATENATE(AL$4,$C302),'INSER DATA'!$A:$F,7,0),"")</f>
        <v/>
      </c>
      <c r="AM302" s="270" t="str">
        <f>_xlfn.IFNA(VLOOKUP(CONCATENATE(AM$4,$C302),'INSER DATA'!$A:$F,7,0),"")</f>
        <v/>
      </c>
      <c r="AN302" s="270" t="str">
        <f>_xlfn.IFNA(VLOOKUP(CONCATENATE(AN$4,$C302),'INSER DATA'!$A:$F,7,0),"")</f>
        <v/>
      </c>
      <c r="AO302" s="270" t="str">
        <f>_xlfn.IFNA(VLOOKUP(CONCATENATE(AO$4,$C302),'INSER DATA'!$A:$F,7,0),"")</f>
        <v/>
      </c>
      <c r="AP302" s="270" t="str">
        <f>_xlfn.IFNA(VLOOKUP(CONCATENATE(AP$4,$C302),'INSER DATA'!$A:$F,7,0),"")</f>
        <v/>
      </c>
      <c r="AQ302" s="270" t="str">
        <f>_xlfn.IFNA(VLOOKUP(CONCATENATE(AQ$4,$C302),'INSER DATA'!$A:$F,7,0),"")</f>
        <v/>
      </c>
      <c r="AR302" s="270" t="str">
        <f>_xlfn.IFNA(VLOOKUP(CONCATENATE(AR$4,$C302),'INSER DATA'!$A:$F,7,0),"")</f>
        <v/>
      </c>
      <c r="AS302" s="270" t="str">
        <f>_xlfn.IFNA(VLOOKUP(CONCATENATE(AS$4,$C302),'INSER DATA'!$A:$F,7,0),"")</f>
        <v/>
      </c>
      <c r="AT302" s="270" t="str">
        <f>_xlfn.IFNA(VLOOKUP(CONCATENATE(AT$4,$C302),'INSER DATA'!$A:$F,7,0),"")</f>
        <v/>
      </c>
      <c r="AU302" s="270" t="str">
        <f>_xlfn.IFNA(VLOOKUP(CONCATENATE(AU$4,$C302),'INSER DATA'!$A:$F,7,0),"")</f>
        <v/>
      </c>
      <c r="AV302" s="270" t="str">
        <f>_xlfn.IFNA(VLOOKUP(CONCATENATE(AV$4,$C302),'INSER DATA'!$A:$F,7,0),"")</f>
        <v/>
      </c>
      <c r="AW302" s="270" t="str">
        <f>_xlfn.IFNA(VLOOKUP(CONCATENATE(AW$4,$C302),'INSER DATA'!$A:$F,7,0),"")</f>
        <v/>
      </c>
      <c r="AX302" s="270" t="str">
        <f>_xlfn.IFNA(VLOOKUP(CONCATENATE(AX$4,$C302),'INSER DATA'!$A:$F,7,0),"")</f>
        <v/>
      </c>
      <c r="AY302" s="270" t="str">
        <f>_xlfn.IFNA(VLOOKUP(CONCATENATE(AY$4,$C302),'INSER DATA'!$A:$F,7,0),"")</f>
        <v/>
      </c>
      <c r="AZ302" s="270" t="str">
        <f>_xlfn.IFNA(VLOOKUP(CONCATENATE(AZ$4,$C302),'INSER DATA'!$A:$F,7,0),"")</f>
        <v/>
      </c>
      <c r="BA302" s="270" t="str">
        <f>_xlfn.IFNA(VLOOKUP(CONCATENATE(BA$4,$C302),'INSER DATA'!$A:$F,7,0),"")</f>
        <v/>
      </c>
      <c r="BB302" s="270" t="str">
        <f>_xlfn.IFNA(VLOOKUP(CONCATENATE(BB$4,$C302),'INSER DATA'!$A:$F,7,0),"")</f>
        <v/>
      </c>
      <c r="BC302" s="270" t="str">
        <f>_xlfn.IFNA(VLOOKUP(CONCATENATE(BC$4,$C302),'INSER DATA'!$A:$F,7,0),"")</f>
        <v/>
      </c>
      <c r="BD302" s="270" t="str">
        <f>_xlfn.IFNA(VLOOKUP(CONCATENATE(BD$4,$C302),'INSER DATA'!$A:$F,7,0),"")</f>
        <v/>
      </c>
      <c r="BE302" s="270" t="str">
        <f>_xlfn.IFNA(VLOOKUP(CONCATENATE(BE$4,$C302),'INSER DATA'!$A:$F,7,0),"")</f>
        <v/>
      </c>
      <c r="BF302" s="270" t="str">
        <f>_xlfn.IFNA(VLOOKUP(CONCATENATE(BF$4,$C302),'INSER DATA'!$A:$F,7,0),"")</f>
        <v/>
      </c>
      <c r="BG302" s="270" t="str">
        <f>_xlfn.IFNA(VLOOKUP(CONCATENATE(BG$4,$C302),'INSER DATA'!$A:$F,7,0),"")</f>
        <v/>
      </c>
      <c r="BH302" s="270" t="str">
        <f>_xlfn.IFNA(VLOOKUP(CONCATENATE(BH$4,$C302),'INSER DATA'!$A:$F,7,0),"")</f>
        <v/>
      </c>
      <c r="BI302" s="270" t="str">
        <f>_xlfn.IFNA(VLOOKUP(CONCATENATE(BI$4,$C302),'INSER DATA'!$A:$F,7,0),"")</f>
        <v/>
      </c>
      <c r="BJ302" s="270" t="str">
        <f>_xlfn.IFNA(VLOOKUP(CONCATENATE(BJ$4,$C302),'INSER DATA'!$A:$F,7,0),"")</f>
        <v/>
      </c>
      <c r="BK302" s="270" t="str">
        <f>_xlfn.IFNA(VLOOKUP(CONCATENATE(BK$4,$C302),'INSER DATA'!$A:$F,7,0),"")</f>
        <v/>
      </c>
      <c r="BL302" s="272"/>
      <c r="BM302" s="30"/>
      <c r="BN302" s="30"/>
      <c r="BO302" s="30"/>
      <c r="BP302" s="30"/>
      <c r="BQ302" s="30"/>
      <c r="BR302" s="30"/>
      <c r="BS302" s="30"/>
      <c r="BT302" s="30"/>
      <c r="BU302" s="30"/>
      <c r="BV302" s="30"/>
      <c r="BW302" s="30"/>
      <c r="BX302" s="30"/>
      <c r="BY302" s="30"/>
      <c r="BZ302" s="30"/>
      <c r="CA302" s="30"/>
      <c r="CB302" s="30"/>
      <c r="CC302" s="30"/>
      <c r="CD302" s="30"/>
      <c r="CE302" s="30"/>
      <c r="CF302" s="30"/>
      <c r="CG302" s="30"/>
      <c r="CH302" s="30"/>
      <c r="CI302" s="30"/>
      <c r="CJ302" s="30"/>
      <c r="CK302" s="30"/>
      <c r="CL302" s="30"/>
      <c r="CM302" s="30"/>
      <c r="CN302" s="30"/>
      <c r="CO302" s="30"/>
      <c r="CP302" s="30"/>
      <c r="CQ302" s="30"/>
      <c r="CR302" s="30"/>
      <c r="CS302" s="30"/>
      <c r="CT302" s="30"/>
      <c r="CU302" s="30"/>
      <c r="CV302" s="30"/>
      <c r="CW302" s="30"/>
      <c r="CX302" s="30"/>
      <c r="CY302" s="30"/>
      <c r="CZ302" s="30"/>
      <c r="DA302" s="30"/>
    </row>
    <row r="303" spans="1:105" ht="19.2" thickTop="1" thickBot="1" x14ac:dyDescent="0.4">
      <c r="A303" s="30"/>
      <c r="B303" s="30"/>
      <c r="C303" s="356" t="s">
        <v>827</v>
      </c>
      <c r="D303" s="357" t="s">
        <v>826</v>
      </c>
      <c r="E303" s="35" t="str">
        <f>_xlfn.XLOOKUP(Tabella4[[#This Row],[NOME]],'ROSE SQUADRE'!$N$3:$N$253,'ROSE SQUADRE'!$O$3:$O$253,"")</f>
        <v>SESTO ASENSIO</v>
      </c>
      <c r="F303" s="36" t="s">
        <v>5</v>
      </c>
      <c r="G303" s="43">
        <v>1</v>
      </c>
      <c r="H303" s="43">
        <v>1</v>
      </c>
      <c r="I303" s="44">
        <f t="shared" si="25"/>
        <v>0</v>
      </c>
      <c r="J303" s="37">
        <f t="shared" si="26"/>
        <v>0</v>
      </c>
      <c r="K303" s="38">
        <f t="shared" si="27"/>
        <v>0</v>
      </c>
      <c r="L303" s="38">
        <f t="shared" si="28"/>
        <v>0</v>
      </c>
      <c r="M303" s="39">
        <f t="shared" si="29"/>
        <v>0</v>
      </c>
      <c r="N303" s="45">
        <f t="shared" ca="1" si="30"/>
        <v>0</v>
      </c>
      <c r="O303" s="40">
        <f>SUMIF(Tabella1[Nome],Tabella4[[#This Row],[NOME]],Tabella1[Gf])</f>
        <v>0</v>
      </c>
      <c r="P303" s="40">
        <f>-(SUMIF(Tabella1[Nome],Tabella4[[#This Row],[NOME]],Tabella1[Gs]))</f>
        <v>0</v>
      </c>
      <c r="Q303" s="40">
        <f>SUMIF(Tabella1[Nome],Tabella4[[#This Row],[NOME]],Tabella1[Rp])</f>
        <v>0</v>
      </c>
      <c r="R303" s="40">
        <f>SUMIF(Tabella1[Nome],Tabella4[[#This Row],[NOME]],Tabella1[Rs])</f>
        <v>0</v>
      </c>
      <c r="S303" s="40">
        <f>SUMIF(Tabella1[Nome],Tabella4[[#This Row],[NOME]],Tabella1[Rf])</f>
        <v>0</v>
      </c>
      <c r="T303" s="40">
        <f>SUMIF(Tabella1[Nome],Tabella4[[#This Row],[NOME]],Tabella1[Au])</f>
        <v>0</v>
      </c>
      <c r="U303" s="41">
        <f>SUMIF(Tabella1[Nome],Tabella4[[#This Row],[NOME]],Tabella1[Amm])</f>
        <v>0</v>
      </c>
      <c r="V303" s="42">
        <f>SUMIF(Tabella1[Nome],Tabella4[[#This Row],[NOME]],Tabella1[Esp])</f>
        <v>0</v>
      </c>
      <c r="W303" s="40">
        <f>SUMIF(Tabella1[Nome],Tabella4[[#This Row],[NOME]],Tabella1[Ass])</f>
        <v>0</v>
      </c>
      <c r="X303" s="40">
        <f>SUMIF(Tabella1[Nome],Tabella4[[#This Row],[NOME]],Tabella1[Gdv])</f>
        <v>0</v>
      </c>
      <c r="Y303" s="40">
        <f>SUMIF(Tabella1[Nome],Tabella4[[#This Row],[NOME]],Tabella1[cl sh])</f>
        <v>0</v>
      </c>
      <c r="Z303" s="270" t="str">
        <f>_xlfn.IFNA(_xlfn.XLOOKUP(CONCATENATE(Z$4,$C303),Tabella1[CONC X VOTI IN TAB GIOC],Tabella1[Voto],""),"")</f>
        <v/>
      </c>
      <c r="AA303" s="270" t="str">
        <f>_xlfn.IFNA(_xlfn.XLOOKUP(CONCATENATE(AA$4,$C303),Tabella1[CONC X VOTI IN TAB GIOC],Tabella1[Voto],""),"")</f>
        <v/>
      </c>
      <c r="AB303" s="270" t="str">
        <f>_xlfn.IFNA(_xlfn.XLOOKUP(CONCATENATE(AB$4,$C303),Tabella1[CONC X VOTI IN TAB GIOC],Tabella1[Voto]),"")</f>
        <v/>
      </c>
      <c r="AC303" s="270" t="str" cm="1">
        <f t="array" ref="AC303">_xlfn.IFNA(_xlfn.XLOOKUP(CONCATENATE(AC$4,$C303),INDEX(Tabella1[],0,MATCH("CONC X VOTI IN TAB GIOC",Tabella1[#Headers],0)),INDEX(Tabella1[],0,MATCH("Voto",Tabella1[#Headers],0))),"")</f>
        <v/>
      </c>
      <c r="AD303" s="270" t="str">
        <f>_xlfn.IFNA(_xlfn.XLOOKUP(CONCATENATE(AD$4,$C303),Tabella1[CONC X VOTI IN TAB GIOC],Tabella1[Voto]),"")</f>
        <v/>
      </c>
      <c r="AE303" s="270" t="str">
        <f>_xlfn.IFNA(VLOOKUP(CONCATENATE(AE$4,$C303),'INSER DATA'!$A:$F,6,0),"")</f>
        <v/>
      </c>
      <c r="AF303" s="270" t="str">
        <f>_xlfn.IFNA(VLOOKUP(CONCATENATE(AF$4,$C303),'INSER DATA'!$A:$F,6,0),"")</f>
        <v/>
      </c>
      <c r="AG303" s="270" t="str">
        <f>_xlfn.IFNA(VLOOKUP(CONCATENATE(AG$4,$C303),'INSER DATA'!$A:$F,6,0),"")</f>
        <v/>
      </c>
      <c r="AH303" s="270" t="str">
        <f>_xlfn.IFNA(VLOOKUP(CONCATENATE(AH$4,$C303),'INSER DATA'!$A:$F,7,0),"")</f>
        <v/>
      </c>
      <c r="AI303" s="270" t="str">
        <f>_xlfn.IFNA(VLOOKUP(CONCATENATE(AI$4,$C303),'INSER DATA'!$A:$F,7,0),"")</f>
        <v/>
      </c>
      <c r="AJ303" s="270" t="str">
        <f>_xlfn.IFNA(VLOOKUP(CONCATENATE(AJ$4,$C303),'INSER DATA'!$A:$F,7,0),"")</f>
        <v/>
      </c>
      <c r="AK303" s="270" t="str">
        <f>_xlfn.IFNA(VLOOKUP(CONCATENATE(AK$4,$C303),'INSER DATA'!$A:$F,7,0),"")</f>
        <v/>
      </c>
      <c r="AL303" s="270" t="str">
        <f>_xlfn.IFNA(VLOOKUP(CONCATENATE(AL$4,$C303),'INSER DATA'!$A:$F,7,0),"")</f>
        <v/>
      </c>
      <c r="AM303" s="270" t="str">
        <f>_xlfn.IFNA(VLOOKUP(CONCATENATE(AM$4,$C303),'INSER DATA'!$A:$F,7,0),"")</f>
        <v/>
      </c>
      <c r="AN303" s="270" t="str">
        <f>_xlfn.IFNA(VLOOKUP(CONCATENATE(AN$4,$C303),'INSER DATA'!$A:$F,7,0),"")</f>
        <v/>
      </c>
      <c r="AO303" s="270" t="str">
        <f>_xlfn.IFNA(VLOOKUP(CONCATENATE(AO$4,$C303),'INSER DATA'!$A:$F,7,0),"")</f>
        <v/>
      </c>
      <c r="AP303" s="270" t="str">
        <f>_xlfn.IFNA(VLOOKUP(CONCATENATE(AP$4,$C303),'INSER DATA'!$A:$F,7,0),"")</f>
        <v/>
      </c>
      <c r="AQ303" s="270" t="str">
        <f>_xlfn.IFNA(VLOOKUP(CONCATENATE(AQ$4,$C303),'INSER DATA'!$A:$F,7,0),"")</f>
        <v/>
      </c>
      <c r="AR303" s="270" t="str">
        <f>_xlfn.IFNA(VLOOKUP(CONCATENATE(AR$4,$C303),'INSER DATA'!$A:$F,7,0),"")</f>
        <v/>
      </c>
      <c r="AS303" s="270" t="str">
        <f>_xlfn.IFNA(VLOOKUP(CONCATENATE(AS$4,$C303),'INSER DATA'!$A:$F,7,0),"")</f>
        <v/>
      </c>
      <c r="AT303" s="270" t="str">
        <f>_xlfn.IFNA(VLOOKUP(CONCATENATE(AT$4,$C303),'INSER DATA'!$A:$F,7,0),"")</f>
        <v/>
      </c>
      <c r="AU303" s="270" t="str">
        <f>_xlfn.IFNA(VLOOKUP(CONCATENATE(AU$4,$C303),'INSER DATA'!$A:$F,7,0),"")</f>
        <v/>
      </c>
      <c r="AV303" s="270" t="str">
        <f>_xlfn.IFNA(VLOOKUP(CONCATENATE(AV$4,$C303),'INSER DATA'!$A:$F,7,0),"")</f>
        <v/>
      </c>
      <c r="AW303" s="270" t="str">
        <f>_xlfn.IFNA(VLOOKUP(CONCATENATE(AW$4,$C303),'INSER DATA'!$A:$F,7,0),"")</f>
        <v/>
      </c>
      <c r="AX303" s="270" t="str">
        <f>_xlfn.IFNA(VLOOKUP(CONCATENATE(AX$4,$C303),'INSER DATA'!$A:$F,7,0),"")</f>
        <v/>
      </c>
      <c r="AY303" s="270" t="str">
        <f>_xlfn.IFNA(VLOOKUP(CONCATENATE(AY$4,$C303),'INSER DATA'!$A:$F,7,0),"")</f>
        <v/>
      </c>
      <c r="AZ303" s="270" t="str">
        <f>_xlfn.IFNA(VLOOKUP(CONCATENATE(AZ$4,$C303),'INSER DATA'!$A:$F,7,0),"")</f>
        <v/>
      </c>
      <c r="BA303" s="270" t="str">
        <f>_xlfn.IFNA(VLOOKUP(CONCATENATE(BA$4,$C303),'INSER DATA'!$A:$F,7,0),"")</f>
        <v/>
      </c>
      <c r="BB303" s="270" t="str">
        <f>_xlfn.IFNA(VLOOKUP(CONCATENATE(BB$4,$C303),'INSER DATA'!$A:$F,7,0),"")</f>
        <v/>
      </c>
      <c r="BC303" s="270" t="str">
        <f>_xlfn.IFNA(VLOOKUP(CONCATENATE(BC$4,$C303),'INSER DATA'!$A:$F,7,0),"")</f>
        <v/>
      </c>
      <c r="BD303" s="270" t="str">
        <f>_xlfn.IFNA(VLOOKUP(CONCATENATE(BD$4,$C303),'INSER DATA'!$A:$F,7,0),"")</f>
        <v/>
      </c>
      <c r="BE303" s="270" t="str">
        <f>_xlfn.IFNA(VLOOKUP(CONCATENATE(BE$4,$C303),'INSER DATA'!$A:$F,7,0),"")</f>
        <v/>
      </c>
      <c r="BF303" s="270" t="str">
        <f>_xlfn.IFNA(VLOOKUP(CONCATENATE(BF$4,$C303),'INSER DATA'!$A:$F,7,0),"")</f>
        <v/>
      </c>
      <c r="BG303" s="270" t="str">
        <f>_xlfn.IFNA(VLOOKUP(CONCATENATE(BG$4,$C303),'INSER DATA'!$A:$F,7,0),"")</f>
        <v/>
      </c>
      <c r="BH303" s="270" t="str">
        <f>_xlfn.IFNA(VLOOKUP(CONCATENATE(BH$4,$C303),'INSER DATA'!$A:$F,7,0),"")</f>
        <v/>
      </c>
      <c r="BI303" s="270" t="str">
        <f>_xlfn.IFNA(VLOOKUP(CONCATENATE(BI$4,$C303),'INSER DATA'!$A:$F,7,0),"")</f>
        <v/>
      </c>
      <c r="BJ303" s="270" t="str">
        <f>_xlfn.IFNA(VLOOKUP(CONCATENATE(BJ$4,$C303),'INSER DATA'!$A:$F,7,0),"")</f>
        <v/>
      </c>
      <c r="BK303" s="270" t="str">
        <f>_xlfn.IFNA(VLOOKUP(CONCATENATE(BK$4,$C303),'INSER DATA'!$A:$F,7,0),"")</f>
        <v/>
      </c>
      <c r="BL303" s="272"/>
      <c r="BM303" s="30"/>
      <c r="BN303" s="30"/>
      <c r="BO303" s="30"/>
      <c r="BP303" s="30"/>
      <c r="BQ303" s="30"/>
      <c r="BR303" s="30"/>
      <c r="BS303" s="30"/>
      <c r="BT303" s="30"/>
      <c r="BU303" s="30"/>
      <c r="BV303" s="30"/>
      <c r="BW303" s="30"/>
      <c r="BX303" s="30"/>
      <c r="BY303" s="30"/>
      <c r="BZ303" s="30"/>
      <c r="CA303" s="30"/>
      <c r="CB303" s="30"/>
      <c r="CC303" s="30"/>
      <c r="CD303" s="30"/>
      <c r="CE303" s="30"/>
      <c r="CF303" s="30"/>
      <c r="CG303" s="30"/>
      <c r="CH303" s="30"/>
      <c r="CI303" s="30"/>
      <c r="CJ303" s="30"/>
      <c r="CK303" s="30"/>
      <c r="CL303" s="30"/>
      <c r="CM303" s="30"/>
      <c r="CN303" s="30"/>
      <c r="CO303" s="30"/>
      <c r="CP303" s="30"/>
      <c r="CQ303" s="30"/>
      <c r="CR303" s="30"/>
      <c r="CS303" s="30"/>
      <c r="CT303" s="30"/>
      <c r="CU303" s="30"/>
      <c r="CV303" s="30"/>
      <c r="CW303" s="30"/>
      <c r="CX303" s="30"/>
      <c r="CY303" s="30"/>
      <c r="CZ303" s="30"/>
      <c r="DA303" s="30"/>
    </row>
    <row r="304" spans="1:105" ht="19.2" thickTop="1" thickBot="1" x14ac:dyDescent="0.4">
      <c r="A304" s="30"/>
      <c r="B304" s="30"/>
      <c r="C304" s="185" t="s">
        <v>829</v>
      </c>
      <c r="D304" s="46" t="s">
        <v>826</v>
      </c>
      <c r="E304" s="35" t="str">
        <f>_xlfn.XLOOKUP(Tabella4[[#This Row],[NOME]],'ROSE SQUADRE'!$N$3:$N$253,'ROSE SQUADRE'!$O$3:$O$253,"")</f>
        <v/>
      </c>
      <c r="F304" s="36" t="s">
        <v>161</v>
      </c>
      <c r="G304" s="43">
        <v>2</v>
      </c>
      <c r="H304" s="43">
        <v>2</v>
      </c>
      <c r="I304" s="44">
        <f t="shared" si="25"/>
        <v>0</v>
      </c>
      <c r="J304" s="37">
        <f t="shared" si="26"/>
        <v>0</v>
      </c>
      <c r="K304" s="38">
        <f t="shared" si="27"/>
        <v>0</v>
      </c>
      <c r="L304" s="38">
        <f t="shared" si="28"/>
        <v>0</v>
      </c>
      <c r="M304" s="39">
        <f t="shared" si="29"/>
        <v>0</v>
      </c>
      <c r="N304" s="45">
        <f t="shared" ca="1" si="30"/>
        <v>0</v>
      </c>
      <c r="O304" s="40">
        <f>SUMIF(Tabella1[Nome],Tabella4[[#This Row],[NOME]],Tabella1[Gf])</f>
        <v>0</v>
      </c>
      <c r="P304" s="40">
        <f>-(SUMIF(Tabella1[Nome],Tabella4[[#This Row],[NOME]],Tabella1[Gs]))</f>
        <v>0</v>
      </c>
      <c r="Q304" s="40">
        <f>SUMIF(Tabella1[Nome],Tabella4[[#This Row],[NOME]],Tabella1[Rp])</f>
        <v>0</v>
      </c>
      <c r="R304" s="40">
        <f>SUMIF(Tabella1[Nome],Tabella4[[#This Row],[NOME]],Tabella1[Rs])</f>
        <v>0</v>
      </c>
      <c r="S304" s="40">
        <f>SUMIF(Tabella1[Nome],Tabella4[[#This Row],[NOME]],Tabella1[Rf])</f>
        <v>0</v>
      </c>
      <c r="T304" s="40">
        <f>SUMIF(Tabella1[Nome],Tabella4[[#This Row],[NOME]],Tabella1[Au])</f>
        <v>0</v>
      </c>
      <c r="U304" s="41">
        <f>SUMIF(Tabella1[Nome],Tabella4[[#This Row],[NOME]],Tabella1[Amm])</f>
        <v>0</v>
      </c>
      <c r="V304" s="42">
        <f>SUMIF(Tabella1[Nome],Tabella4[[#This Row],[NOME]],Tabella1[Esp])</f>
        <v>0</v>
      </c>
      <c r="W304" s="40">
        <f>SUMIF(Tabella1[Nome],Tabella4[[#This Row],[NOME]],Tabella1[Ass])</f>
        <v>0</v>
      </c>
      <c r="X304" s="40">
        <f>SUMIF(Tabella1[Nome],Tabella4[[#This Row],[NOME]],Tabella1[Gdv])</f>
        <v>0</v>
      </c>
      <c r="Y304" s="40">
        <f>SUMIF(Tabella1[Nome],Tabella4[[#This Row],[NOME]],Tabella1[cl sh])</f>
        <v>0</v>
      </c>
      <c r="Z304" s="270" t="str">
        <f>_xlfn.IFNA(_xlfn.XLOOKUP(CONCATENATE(Z$4,$C304),Tabella1[CONC X VOTI IN TAB GIOC],Tabella1[Voto],""),"")</f>
        <v/>
      </c>
      <c r="AA304" s="270" t="str">
        <f>_xlfn.IFNA(_xlfn.XLOOKUP(CONCATENATE(AA$4,$C304),Tabella1[CONC X VOTI IN TAB GIOC],Tabella1[Voto],""),"")</f>
        <v/>
      </c>
      <c r="AB304" s="270" t="str">
        <f>_xlfn.IFNA(_xlfn.XLOOKUP(CONCATENATE(AB$4,$C304),Tabella1[CONC X VOTI IN TAB GIOC],Tabella1[Voto]),"")</f>
        <v/>
      </c>
      <c r="AC304" s="270" t="str" cm="1">
        <f t="array" ref="AC304">_xlfn.IFNA(_xlfn.XLOOKUP(CONCATENATE(AC$4,$C304),INDEX(Tabella1[],0,MATCH("CONC X VOTI IN TAB GIOC",Tabella1[#Headers],0)),INDEX(Tabella1[],0,MATCH("Voto",Tabella1[#Headers],0))),"")</f>
        <v/>
      </c>
      <c r="AD304" s="270" t="str">
        <f>_xlfn.IFNA(_xlfn.XLOOKUP(CONCATENATE(AD$4,$C304),Tabella1[CONC X VOTI IN TAB GIOC],Tabella1[Voto]),"")</f>
        <v/>
      </c>
      <c r="AE304" s="270" t="str">
        <f>_xlfn.IFNA(VLOOKUP(CONCATENATE(AE$4,$C304),'INSER DATA'!$A:$F,6,0),"")</f>
        <v/>
      </c>
      <c r="AF304" s="270" t="str">
        <f>_xlfn.IFNA(VLOOKUP(CONCATENATE(AF$4,$C304),'INSER DATA'!$A:$F,6,0),"")</f>
        <v/>
      </c>
      <c r="AG304" s="270" t="str">
        <f>_xlfn.IFNA(VLOOKUP(CONCATENATE(AG$4,$C304),'INSER DATA'!$A:$F,6,0),"")</f>
        <v/>
      </c>
      <c r="AH304" s="270" t="str">
        <f>_xlfn.IFNA(VLOOKUP(CONCATENATE(AH$4,$C304),'INSER DATA'!$A:$F,7,0),"")</f>
        <v/>
      </c>
      <c r="AI304" s="270" t="str">
        <f>_xlfn.IFNA(VLOOKUP(CONCATENATE(AI$4,$C304),'INSER DATA'!$A:$F,7,0),"")</f>
        <v/>
      </c>
      <c r="AJ304" s="270" t="str">
        <f>_xlfn.IFNA(VLOOKUP(CONCATENATE(AJ$4,$C304),'INSER DATA'!$A:$F,7,0),"")</f>
        <v/>
      </c>
      <c r="AK304" s="270" t="str">
        <f>_xlfn.IFNA(VLOOKUP(CONCATENATE(AK$4,$C304),'INSER DATA'!$A:$F,7,0),"")</f>
        <v/>
      </c>
      <c r="AL304" s="270" t="str">
        <f>_xlfn.IFNA(VLOOKUP(CONCATENATE(AL$4,$C304),'INSER DATA'!$A:$F,7,0),"")</f>
        <v/>
      </c>
      <c r="AM304" s="270" t="str">
        <f>_xlfn.IFNA(VLOOKUP(CONCATENATE(AM$4,$C304),'INSER DATA'!$A:$F,7,0),"")</f>
        <v/>
      </c>
      <c r="AN304" s="270" t="str">
        <f>_xlfn.IFNA(VLOOKUP(CONCATENATE(AN$4,$C304),'INSER DATA'!$A:$F,7,0),"")</f>
        <v/>
      </c>
      <c r="AO304" s="270" t="str">
        <f>_xlfn.IFNA(VLOOKUP(CONCATENATE(AO$4,$C304),'INSER DATA'!$A:$F,7,0),"")</f>
        <v/>
      </c>
      <c r="AP304" s="270" t="str">
        <f>_xlfn.IFNA(VLOOKUP(CONCATENATE(AP$4,$C304),'INSER DATA'!$A:$F,7,0),"")</f>
        <v/>
      </c>
      <c r="AQ304" s="270" t="str">
        <f>_xlfn.IFNA(VLOOKUP(CONCATENATE(AQ$4,$C304),'INSER DATA'!$A:$F,7,0),"")</f>
        <v/>
      </c>
      <c r="AR304" s="270" t="str">
        <f>_xlfn.IFNA(VLOOKUP(CONCATENATE(AR$4,$C304),'INSER DATA'!$A:$F,7,0),"")</f>
        <v/>
      </c>
      <c r="AS304" s="270" t="str">
        <f>_xlfn.IFNA(VLOOKUP(CONCATENATE(AS$4,$C304),'INSER DATA'!$A:$F,7,0),"")</f>
        <v/>
      </c>
      <c r="AT304" s="270" t="str">
        <f>_xlfn.IFNA(VLOOKUP(CONCATENATE(AT$4,$C304),'INSER DATA'!$A:$F,7,0),"")</f>
        <v/>
      </c>
      <c r="AU304" s="270" t="str">
        <f>_xlfn.IFNA(VLOOKUP(CONCATENATE(AU$4,$C304),'INSER DATA'!$A:$F,7,0),"")</f>
        <v/>
      </c>
      <c r="AV304" s="270" t="str">
        <f>_xlfn.IFNA(VLOOKUP(CONCATENATE(AV$4,$C304),'INSER DATA'!$A:$F,7,0),"")</f>
        <v/>
      </c>
      <c r="AW304" s="270" t="str">
        <f>_xlfn.IFNA(VLOOKUP(CONCATENATE(AW$4,$C304),'INSER DATA'!$A:$F,7,0),"")</f>
        <v/>
      </c>
      <c r="AX304" s="270" t="str">
        <f>_xlfn.IFNA(VLOOKUP(CONCATENATE(AX$4,$C304),'INSER DATA'!$A:$F,7,0),"")</f>
        <v/>
      </c>
      <c r="AY304" s="270" t="str">
        <f>_xlfn.IFNA(VLOOKUP(CONCATENATE(AY$4,$C304),'INSER DATA'!$A:$F,7,0),"")</f>
        <v/>
      </c>
      <c r="AZ304" s="270" t="str">
        <f>_xlfn.IFNA(VLOOKUP(CONCATENATE(AZ$4,$C304),'INSER DATA'!$A:$F,7,0),"")</f>
        <v/>
      </c>
      <c r="BA304" s="270" t="str">
        <f>_xlfn.IFNA(VLOOKUP(CONCATENATE(BA$4,$C304),'INSER DATA'!$A:$F,7,0),"")</f>
        <v/>
      </c>
      <c r="BB304" s="270" t="str">
        <f>_xlfn.IFNA(VLOOKUP(CONCATENATE(BB$4,$C304),'INSER DATA'!$A:$F,7,0),"")</f>
        <v/>
      </c>
      <c r="BC304" s="270" t="str">
        <f>_xlfn.IFNA(VLOOKUP(CONCATENATE(BC$4,$C304),'INSER DATA'!$A:$F,7,0),"")</f>
        <v/>
      </c>
      <c r="BD304" s="270" t="str">
        <f>_xlfn.IFNA(VLOOKUP(CONCATENATE(BD$4,$C304),'INSER DATA'!$A:$F,7,0),"")</f>
        <v/>
      </c>
      <c r="BE304" s="270" t="str">
        <f>_xlfn.IFNA(VLOOKUP(CONCATENATE(BE$4,$C304),'INSER DATA'!$A:$F,7,0),"")</f>
        <v/>
      </c>
      <c r="BF304" s="270" t="str">
        <f>_xlfn.IFNA(VLOOKUP(CONCATENATE(BF$4,$C304),'INSER DATA'!$A:$F,7,0),"")</f>
        <v/>
      </c>
      <c r="BG304" s="270" t="str">
        <f>_xlfn.IFNA(VLOOKUP(CONCATENATE(BG$4,$C304),'INSER DATA'!$A:$F,7,0),"")</f>
        <v/>
      </c>
      <c r="BH304" s="270" t="str">
        <f>_xlfn.IFNA(VLOOKUP(CONCATENATE(BH$4,$C304),'INSER DATA'!$A:$F,7,0),"")</f>
        <v/>
      </c>
      <c r="BI304" s="270" t="str">
        <f>_xlfn.IFNA(VLOOKUP(CONCATENATE(BI$4,$C304),'INSER DATA'!$A:$F,7,0),"")</f>
        <v/>
      </c>
      <c r="BJ304" s="270" t="str">
        <f>_xlfn.IFNA(VLOOKUP(CONCATENATE(BJ$4,$C304),'INSER DATA'!$A:$F,7,0),"")</f>
        <v/>
      </c>
      <c r="BK304" s="270" t="str">
        <f>_xlfn.IFNA(VLOOKUP(CONCATENATE(BK$4,$C304),'INSER DATA'!$A:$F,7,0),"")</f>
        <v/>
      </c>
      <c r="BL304" s="272"/>
      <c r="BM304" s="30"/>
      <c r="BN304" s="30"/>
      <c r="BO304" s="30"/>
      <c r="BP304" s="30"/>
      <c r="BQ304" s="30"/>
      <c r="BR304" s="30"/>
      <c r="BS304" s="30"/>
      <c r="BT304" s="30"/>
      <c r="BU304" s="30"/>
      <c r="BV304" s="30"/>
      <c r="BW304" s="30"/>
      <c r="BX304" s="30"/>
      <c r="BY304" s="30"/>
      <c r="BZ304" s="30"/>
      <c r="CA304" s="30"/>
      <c r="CB304" s="30"/>
      <c r="CC304" s="30"/>
      <c r="CD304" s="30"/>
      <c r="CE304" s="30"/>
      <c r="CF304" s="30"/>
      <c r="CG304" s="30"/>
      <c r="CH304" s="30"/>
      <c r="CI304" s="30"/>
      <c r="CJ304" s="30"/>
      <c r="CK304" s="30"/>
      <c r="CL304" s="30"/>
      <c r="CM304" s="30"/>
      <c r="CN304" s="30"/>
      <c r="CO304" s="30"/>
      <c r="CP304" s="30"/>
      <c r="CQ304" s="30"/>
      <c r="CR304" s="30"/>
      <c r="CS304" s="30"/>
      <c r="CT304" s="30"/>
      <c r="CU304" s="30"/>
      <c r="CV304" s="30"/>
      <c r="CW304" s="30"/>
      <c r="CX304" s="30"/>
      <c r="CY304" s="30"/>
      <c r="CZ304" s="30"/>
      <c r="DA304" s="30"/>
    </row>
    <row r="305" spans="1:105" ht="19.2" thickTop="1" thickBot="1" x14ac:dyDescent="0.4">
      <c r="A305" s="30"/>
      <c r="B305" s="30"/>
      <c r="C305" s="185" t="s">
        <v>246</v>
      </c>
      <c r="D305" s="46" t="s">
        <v>826</v>
      </c>
      <c r="E305" s="35" t="str">
        <f>_xlfn.XLOOKUP(Tabella4[[#This Row],[NOME]],'ROSE SQUADRE'!$N$3:$N$253,'ROSE SQUADRE'!$O$3:$O$253,"")</f>
        <v/>
      </c>
      <c r="F305" s="36" t="s">
        <v>161</v>
      </c>
      <c r="G305" s="43">
        <v>7</v>
      </c>
      <c r="H305" s="43">
        <v>7</v>
      </c>
      <c r="I305" s="44">
        <f t="shared" si="25"/>
        <v>0</v>
      </c>
      <c r="J305" s="37">
        <f t="shared" si="26"/>
        <v>0</v>
      </c>
      <c r="K305" s="178">
        <f t="shared" si="27"/>
        <v>0</v>
      </c>
      <c r="L305" s="178">
        <f t="shared" si="28"/>
        <v>0</v>
      </c>
      <c r="M305" s="179">
        <f t="shared" si="29"/>
        <v>0</v>
      </c>
      <c r="N305" s="45">
        <f t="shared" ca="1" si="30"/>
        <v>0</v>
      </c>
      <c r="O305" s="40">
        <f>SUMIF(Tabella1[Nome],Tabella4[[#This Row],[NOME]],Tabella1[Gf])</f>
        <v>0</v>
      </c>
      <c r="P305" s="40">
        <f>-(SUMIF(Tabella1[Nome],Tabella4[[#This Row],[NOME]],Tabella1[Gs]))</f>
        <v>0</v>
      </c>
      <c r="Q305" s="40">
        <f>SUMIF(Tabella1[Nome],Tabella4[[#This Row],[NOME]],Tabella1[Rp])</f>
        <v>0</v>
      </c>
      <c r="R305" s="40">
        <f>SUMIF(Tabella1[Nome],Tabella4[[#This Row],[NOME]],Tabella1[Rs])</f>
        <v>0</v>
      </c>
      <c r="S305" s="40">
        <f>SUMIF(Tabella1[Nome],Tabella4[[#This Row],[NOME]],Tabella1[Rf])</f>
        <v>0</v>
      </c>
      <c r="T305" s="40">
        <f>SUMIF(Tabella1[Nome],Tabella4[[#This Row],[NOME]],Tabella1[Au])</f>
        <v>0</v>
      </c>
      <c r="U305" s="41">
        <f>SUMIF(Tabella1[Nome],Tabella4[[#This Row],[NOME]],Tabella1[Amm])</f>
        <v>0</v>
      </c>
      <c r="V305" s="42">
        <f>SUMIF(Tabella1[Nome],Tabella4[[#This Row],[NOME]],Tabella1[Esp])</f>
        <v>0</v>
      </c>
      <c r="W305" s="40">
        <f>SUMIF(Tabella1[Nome],Tabella4[[#This Row],[NOME]],Tabella1[Ass])</f>
        <v>0</v>
      </c>
      <c r="X305" s="40">
        <f>SUMIF(Tabella1[Nome],Tabella4[[#This Row],[NOME]],Tabella1[Gdv])</f>
        <v>0</v>
      </c>
      <c r="Y305" s="40">
        <f>SUMIF(Tabella1[Nome],Tabella4[[#This Row],[NOME]],Tabella1[cl sh])</f>
        <v>0</v>
      </c>
      <c r="Z305" s="270" t="str">
        <f>_xlfn.IFNA(_xlfn.XLOOKUP(CONCATENATE(Z$4,$C305),Tabella1[CONC X VOTI IN TAB GIOC],Tabella1[Voto],""),"")</f>
        <v/>
      </c>
      <c r="AA305" s="270" t="str">
        <f>_xlfn.IFNA(_xlfn.XLOOKUP(CONCATENATE(AA$4,$C305),Tabella1[CONC X VOTI IN TAB GIOC],Tabella1[Voto],""),"")</f>
        <v/>
      </c>
      <c r="AB305" s="270" t="str">
        <f>_xlfn.IFNA(_xlfn.XLOOKUP(CONCATENATE(AB$4,$C305),Tabella1[CONC X VOTI IN TAB GIOC],Tabella1[Voto]),"")</f>
        <v/>
      </c>
      <c r="AC305" s="270" t="str" cm="1">
        <f t="array" ref="AC305">_xlfn.IFNA(_xlfn.XLOOKUP(CONCATENATE(AC$4,$C305),INDEX(Tabella1[],0,MATCH("CONC X VOTI IN TAB GIOC",Tabella1[#Headers],0)),INDEX(Tabella1[],0,MATCH("Voto",Tabella1[#Headers],0))),"")</f>
        <v/>
      </c>
      <c r="AD305" s="270" t="str">
        <f>_xlfn.IFNA(_xlfn.XLOOKUP(CONCATENATE(AD$4,$C305),Tabella1[CONC X VOTI IN TAB GIOC],Tabella1[Voto]),"")</f>
        <v/>
      </c>
      <c r="AE305" s="270" t="str">
        <f>_xlfn.IFNA(VLOOKUP(CONCATENATE(AE$4,$C305),'INSER DATA'!$A:$F,6,0),"")</f>
        <v/>
      </c>
      <c r="AF305" s="270" t="str">
        <f>_xlfn.IFNA(VLOOKUP(CONCATENATE(AF$4,$C305),'INSER DATA'!$A:$F,6,0),"")</f>
        <v/>
      </c>
      <c r="AG305" s="270" t="str">
        <f>_xlfn.IFNA(VLOOKUP(CONCATENATE(AG$4,$C305),'INSER DATA'!$A:$F,6,0),"")</f>
        <v/>
      </c>
      <c r="AH305" s="270" t="str">
        <f>_xlfn.IFNA(VLOOKUP(CONCATENATE(AH$4,$C305),'INSER DATA'!$A:$F,7,0),"")</f>
        <v/>
      </c>
      <c r="AI305" s="270" t="str">
        <f>_xlfn.IFNA(VLOOKUP(CONCATENATE(AI$4,$C305),'INSER DATA'!$A:$F,7,0),"")</f>
        <v/>
      </c>
      <c r="AJ305" s="270" t="str">
        <f>_xlfn.IFNA(VLOOKUP(CONCATENATE(AJ$4,$C305),'INSER DATA'!$A:$F,7,0),"")</f>
        <v/>
      </c>
      <c r="AK305" s="270" t="str">
        <f>_xlfn.IFNA(VLOOKUP(CONCATENATE(AK$4,$C305),'INSER DATA'!$A:$F,7,0),"")</f>
        <v/>
      </c>
      <c r="AL305" s="270" t="str">
        <f>_xlfn.IFNA(VLOOKUP(CONCATENATE(AL$4,$C305),'INSER DATA'!$A:$F,7,0),"")</f>
        <v/>
      </c>
      <c r="AM305" s="270" t="str">
        <f>_xlfn.IFNA(VLOOKUP(CONCATENATE(AM$4,$C305),'INSER DATA'!$A:$F,7,0),"")</f>
        <v/>
      </c>
      <c r="AN305" s="270" t="str">
        <f>_xlfn.IFNA(VLOOKUP(CONCATENATE(AN$4,$C305),'INSER DATA'!$A:$F,7,0),"")</f>
        <v/>
      </c>
      <c r="AO305" s="270" t="str">
        <f>_xlfn.IFNA(VLOOKUP(CONCATENATE(AO$4,$C305),'INSER DATA'!$A:$F,7,0),"")</f>
        <v/>
      </c>
      <c r="AP305" s="270" t="str">
        <f>_xlfn.IFNA(VLOOKUP(CONCATENATE(AP$4,$C305),'INSER DATA'!$A:$F,7,0),"")</f>
        <v/>
      </c>
      <c r="AQ305" s="270" t="str">
        <f>_xlfn.IFNA(VLOOKUP(CONCATENATE(AQ$4,$C305),'INSER DATA'!$A:$F,7,0),"")</f>
        <v/>
      </c>
      <c r="AR305" s="270" t="str">
        <f>_xlfn.IFNA(VLOOKUP(CONCATENATE(AR$4,$C305),'INSER DATA'!$A:$F,7,0),"")</f>
        <v/>
      </c>
      <c r="AS305" s="270" t="str">
        <f>_xlfn.IFNA(VLOOKUP(CONCATENATE(AS$4,$C305),'INSER DATA'!$A:$F,7,0),"")</f>
        <v/>
      </c>
      <c r="AT305" s="270" t="str">
        <f>_xlfn.IFNA(VLOOKUP(CONCATENATE(AT$4,$C305),'INSER DATA'!$A:$F,7,0),"")</f>
        <v/>
      </c>
      <c r="AU305" s="270" t="str">
        <f>_xlfn.IFNA(VLOOKUP(CONCATENATE(AU$4,$C305),'INSER DATA'!$A:$F,7,0),"")</f>
        <v/>
      </c>
      <c r="AV305" s="270" t="str">
        <f>_xlfn.IFNA(VLOOKUP(CONCATENATE(AV$4,$C305),'INSER DATA'!$A:$F,7,0),"")</f>
        <v/>
      </c>
      <c r="AW305" s="270" t="str">
        <f>_xlfn.IFNA(VLOOKUP(CONCATENATE(AW$4,$C305),'INSER DATA'!$A:$F,7,0),"")</f>
        <v/>
      </c>
      <c r="AX305" s="270" t="str">
        <f>_xlfn.IFNA(VLOOKUP(CONCATENATE(AX$4,$C305),'INSER DATA'!$A:$F,7,0),"")</f>
        <v/>
      </c>
      <c r="AY305" s="270" t="str">
        <f>_xlfn.IFNA(VLOOKUP(CONCATENATE(AY$4,$C305),'INSER DATA'!$A:$F,7,0),"")</f>
        <v/>
      </c>
      <c r="AZ305" s="270" t="str">
        <f>_xlfn.IFNA(VLOOKUP(CONCATENATE(AZ$4,$C305),'INSER DATA'!$A:$F,7,0),"")</f>
        <v/>
      </c>
      <c r="BA305" s="270" t="str">
        <f>_xlfn.IFNA(VLOOKUP(CONCATENATE(BA$4,$C305),'INSER DATA'!$A:$F,7,0),"")</f>
        <v/>
      </c>
      <c r="BB305" s="270" t="str">
        <f>_xlfn.IFNA(VLOOKUP(CONCATENATE(BB$4,$C305),'INSER DATA'!$A:$F,7,0),"")</f>
        <v/>
      </c>
      <c r="BC305" s="270" t="str">
        <f>_xlfn.IFNA(VLOOKUP(CONCATENATE(BC$4,$C305),'INSER DATA'!$A:$F,7,0),"")</f>
        <v/>
      </c>
      <c r="BD305" s="270" t="str">
        <f>_xlfn.IFNA(VLOOKUP(CONCATENATE(BD$4,$C305),'INSER DATA'!$A:$F,7,0),"")</f>
        <v/>
      </c>
      <c r="BE305" s="270" t="str">
        <f>_xlfn.IFNA(VLOOKUP(CONCATENATE(BE$4,$C305),'INSER DATA'!$A:$F,7,0),"")</f>
        <v/>
      </c>
      <c r="BF305" s="270" t="str">
        <f>_xlfn.IFNA(VLOOKUP(CONCATENATE(BF$4,$C305),'INSER DATA'!$A:$F,7,0),"")</f>
        <v/>
      </c>
      <c r="BG305" s="270" t="str">
        <f>_xlfn.IFNA(VLOOKUP(CONCATENATE(BG$4,$C305),'INSER DATA'!$A:$F,7,0),"")</f>
        <v/>
      </c>
      <c r="BH305" s="270" t="str">
        <f>_xlfn.IFNA(VLOOKUP(CONCATENATE(BH$4,$C305),'INSER DATA'!$A:$F,7,0),"")</f>
        <v/>
      </c>
      <c r="BI305" s="270" t="str">
        <f>_xlfn.IFNA(VLOOKUP(CONCATENATE(BI$4,$C305),'INSER DATA'!$A:$F,7,0),"")</f>
        <v/>
      </c>
      <c r="BJ305" s="270" t="str">
        <f>_xlfn.IFNA(VLOOKUP(CONCATENATE(BJ$4,$C305),'INSER DATA'!$A:$F,7,0),"")</f>
        <v/>
      </c>
      <c r="BK305" s="270" t="str">
        <f>_xlfn.IFNA(VLOOKUP(CONCATENATE(BK$4,$C305),'INSER DATA'!$A:$F,7,0),"")</f>
        <v/>
      </c>
      <c r="BL305" s="272"/>
      <c r="BM305" s="30"/>
      <c r="BN305" s="30"/>
      <c r="BO305" s="30"/>
      <c r="BP305" s="30"/>
      <c r="BQ305" s="30"/>
      <c r="BR305" s="30"/>
      <c r="BS305" s="30"/>
      <c r="BT305" s="30"/>
      <c r="BU305" s="30"/>
      <c r="BV305" s="30"/>
      <c r="BW305" s="30"/>
      <c r="BX305" s="30"/>
      <c r="BY305" s="30"/>
      <c r="BZ305" s="30"/>
      <c r="CA305" s="30"/>
      <c r="CB305" s="30"/>
      <c r="CC305" s="30"/>
      <c r="CD305" s="30"/>
      <c r="CE305" s="30"/>
      <c r="CF305" s="30"/>
      <c r="CG305" s="30"/>
      <c r="CH305" s="30"/>
      <c r="CI305" s="30"/>
      <c r="CJ305" s="30"/>
      <c r="CK305" s="30"/>
      <c r="CL305" s="30"/>
      <c r="CM305" s="30"/>
      <c r="CN305" s="30"/>
      <c r="CO305" s="30"/>
      <c r="CP305" s="30"/>
      <c r="CQ305" s="30"/>
      <c r="CR305" s="30"/>
      <c r="CS305" s="30"/>
      <c r="CT305" s="30"/>
      <c r="CU305" s="30"/>
      <c r="CV305" s="30"/>
      <c r="CW305" s="30"/>
      <c r="CX305" s="30"/>
      <c r="CY305" s="30"/>
      <c r="CZ305" s="30"/>
      <c r="DA305" s="30"/>
    </row>
    <row r="306" spans="1:105" ht="19.2" thickTop="1" thickBot="1" x14ac:dyDescent="0.4">
      <c r="A306" s="30"/>
      <c r="B306" s="30"/>
      <c r="C306" s="188" t="s">
        <v>834</v>
      </c>
      <c r="D306" s="187" t="s">
        <v>826</v>
      </c>
      <c r="E306" s="35" t="str">
        <f>_xlfn.XLOOKUP(Tabella4[[#This Row],[NOME]],'ROSE SQUADRE'!$N$3:$N$253,'ROSE SQUADRE'!$O$3:$O$253,"")</f>
        <v/>
      </c>
      <c r="F306" s="36" t="s">
        <v>162</v>
      </c>
      <c r="G306" s="43">
        <v>1</v>
      </c>
      <c r="H306" s="43">
        <v>1</v>
      </c>
      <c r="I306" s="44">
        <f t="shared" si="25"/>
        <v>0</v>
      </c>
      <c r="J306" s="37">
        <f t="shared" si="26"/>
        <v>0</v>
      </c>
      <c r="K306" s="38">
        <f t="shared" si="27"/>
        <v>0</v>
      </c>
      <c r="L306" s="38">
        <f t="shared" si="28"/>
        <v>0</v>
      </c>
      <c r="M306" s="39">
        <f t="shared" si="29"/>
        <v>0</v>
      </c>
      <c r="N306" s="45">
        <f t="shared" ca="1" si="30"/>
        <v>0</v>
      </c>
      <c r="O306" s="40">
        <f>SUMIF(Tabella1[Nome],Tabella4[[#This Row],[NOME]],Tabella1[Gf])</f>
        <v>0</v>
      </c>
      <c r="P306" s="40">
        <f>-(SUMIF(Tabella1[Nome],Tabella4[[#This Row],[NOME]],Tabella1[Gs]))</f>
        <v>0</v>
      </c>
      <c r="Q306" s="40">
        <f>SUMIF(Tabella1[Nome],Tabella4[[#This Row],[NOME]],Tabella1[Rp])</f>
        <v>0</v>
      </c>
      <c r="R306" s="40">
        <f>SUMIF(Tabella1[Nome],Tabella4[[#This Row],[NOME]],Tabella1[Rs])</f>
        <v>0</v>
      </c>
      <c r="S306" s="40">
        <f>SUMIF(Tabella1[Nome],Tabella4[[#This Row],[NOME]],Tabella1[Rf])</f>
        <v>0</v>
      </c>
      <c r="T306" s="40">
        <f>SUMIF(Tabella1[Nome],Tabella4[[#This Row],[NOME]],Tabella1[Au])</f>
        <v>0</v>
      </c>
      <c r="U306" s="41">
        <f>SUMIF(Tabella1[Nome],Tabella4[[#This Row],[NOME]],Tabella1[Amm])</f>
        <v>0</v>
      </c>
      <c r="V306" s="42">
        <f>SUMIF(Tabella1[Nome],Tabella4[[#This Row],[NOME]],Tabella1[Esp])</f>
        <v>0</v>
      </c>
      <c r="W306" s="40">
        <f>SUMIF(Tabella1[Nome],Tabella4[[#This Row],[NOME]],Tabella1[Ass])</f>
        <v>0</v>
      </c>
      <c r="X306" s="40">
        <f>SUMIF(Tabella1[Nome],Tabella4[[#This Row],[NOME]],Tabella1[Gdv])</f>
        <v>0</v>
      </c>
      <c r="Y306" s="40">
        <f>SUMIF(Tabella1[Nome],Tabella4[[#This Row],[NOME]],Tabella1[cl sh])</f>
        <v>0</v>
      </c>
      <c r="Z306" s="270" t="str">
        <f>_xlfn.IFNA(_xlfn.XLOOKUP(CONCATENATE(Z$4,$C306),Tabella1[CONC X VOTI IN TAB GIOC],Tabella1[Voto],""),"")</f>
        <v/>
      </c>
      <c r="AA306" s="270" t="str">
        <f>_xlfn.IFNA(_xlfn.XLOOKUP(CONCATENATE(AA$4,$C306),Tabella1[CONC X VOTI IN TAB GIOC],Tabella1[Voto],""),"")</f>
        <v/>
      </c>
      <c r="AB306" s="270" t="str">
        <f>_xlfn.IFNA(_xlfn.XLOOKUP(CONCATENATE(AB$4,$C306),Tabella1[CONC X VOTI IN TAB GIOC],Tabella1[Voto]),"")</f>
        <v/>
      </c>
      <c r="AC306" s="270" t="str" cm="1">
        <f t="array" ref="AC306">_xlfn.IFNA(_xlfn.XLOOKUP(CONCATENATE(AC$4,$C306),INDEX(Tabella1[],0,MATCH("CONC X VOTI IN TAB GIOC",Tabella1[#Headers],0)),INDEX(Tabella1[],0,MATCH("Voto",Tabella1[#Headers],0))),"")</f>
        <v/>
      </c>
      <c r="AD306" s="270" t="str">
        <f>_xlfn.IFNA(_xlfn.XLOOKUP(CONCATENATE(AD$4,$C306),Tabella1[CONC X VOTI IN TAB GIOC],Tabella1[Voto]),"")</f>
        <v/>
      </c>
      <c r="AE306" s="270" t="str">
        <f>_xlfn.IFNA(VLOOKUP(CONCATENATE(AE$4,$C306),'INSER DATA'!$A:$F,6,0),"")</f>
        <v/>
      </c>
      <c r="AF306" s="270" t="str">
        <f>_xlfn.IFNA(VLOOKUP(CONCATENATE(AF$4,$C306),'INSER DATA'!$A:$F,6,0),"")</f>
        <v/>
      </c>
      <c r="AG306" s="270" t="str">
        <f>_xlfn.IFNA(VLOOKUP(CONCATENATE(AG$4,$C306),'INSER DATA'!$A:$F,6,0),"")</f>
        <v/>
      </c>
      <c r="AH306" s="270" t="str">
        <f>_xlfn.IFNA(VLOOKUP(CONCATENATE(AH$4,$C306),'INSER DATA'!$A:$F,7,0),"")</f>
        <v/>
      </c>
      <c r="AI306" s="270" t="str">
        <f>_xlfn.IFNA(VLOOKUP(CONCATENATE(AI$4,$C306),'INSER DATA'!$A:$F,7,0),"")</f>
        <v/>
      </c>
      <c r="AJ306" s="270" t="str">
        <f>_xlfn.IFNA(VLOOKUP(CONCATENATE(AJ$4,$C306),'INSER DATA'!$A:$F,7,0),"")</f>
        <v/>
      </c>
      <c r="AK306" s="270" t="str">
        <f>_xlfn.IFNA(VLOOKUP(CONCATENATE(AK$4,$C306),'INSER DATA'!$A:$F,7,0),"")</f>
        <v/>
      </c>
      <c r="AL306" s="270" t="str">
        <f>_xlfn.IFNA(VLOOKUP(CONCATENATE(AL$4,$C306),'INSER DATA'!$A:$F,7,0),"")</f>
        <v/>
      </c>
      <c r="AM306" s="270" t="str">
        <f>_xlfn.IFNA(VLOOKUP(CONCATENATE(AM$4,$C306),'INSER DATA'!$A:$F,7,0),"")</f>
        <v/>
      </c>
      <c r="AN306" s="270" t="str">
        <f>_xlfn.IFNA(VLOOKUP(CONCATENATE(AN$4,$C306),'INSER DATA'!$A:$F,7,0),"")</f>
        <v/>
      </c>
      <c r="AO306" s="270" t="str">
        <f>_xlfn.IFNA(VLOOKUP(CONCATENATE(AO$4,$C306),'INSER DATA'!$A:$F,7,0),"")</f>
        <v/>
      </c>
      <c r="AP306" s="270" t="str">
        <f>_xlfn.IFNA(VLOOKUP(CONCATENATE(AP$4,$C306),'INSER DATA'!$A:$F,7,0),"")</f>
        <v/>
      </c>
      <c r="AQ306" s="270" t="str">
        <f>_xlfn.IFNA(VLOOKUP(CONCATENATE(AQ$4,$C306),'INSER DATA'!$A:$F,7,0),"")</f>
        <v/>
      </c>
      <c r="AR306" s="270" t="str">
        <f>_xlfn.IFNA(VLOOKUP(CONCATENATE(AR$4,$C306),'INSER DATA'!$A:$F,7,0),"")</f>
        <v/>
      </c>
      <c r="AS306" s="270" t="str">
        <f>_xlfn.IFNA(VLOOKUP(CONCATENATE(AS$4,$C306),'INSER DATA'!$A:$F,7,0),"")</f>
        <v/>
      </c>
      <c r="AT306" s="270" t="str">
        <f>_xlfn.IFNA(VLOOKUP(CONCATENATE(AT$4,$C306),'INSER DATA'!$A:$F,7,0),"")</f>
        <v/>
      </c>
      <c r="AU306" s="270" t="str">
        <f>_xlfn.IFNA(VLOOKUP(CONCATENATE(AU$4,$C306),'INSER DATA'!$A:$F,7,0),"")</f>
        <v/>
      </c>
      <c r="AV306" s="270" t="str">
        <f>_xlfn.IFNA(VLOOKUP(CONCATENATE(AV$4,$C306),'INSER DATA'!$A:$F,7,0),"")</f>
        <v/>
      </c>
      <c r="AW306" s="270" t="str">
        <f>_xlfn.IFNA(VLOOKUP(CONCATENATE(AW$4,$C306),'INSER DATA'!$A:$F,7,0),"")</f>
        <v/>
      </c>
      <c r="AX306" s="270" t="str">
        <f>_xlfn.IFNA(VLOOKUP(CONCATENATE(AX$4,$C306),'INSER DATA'!$A:$F,7,0),"")</f>
        <v/>
      </c>
      <c r="AY306" s="270" t="str">
        <f>_xlfn.IFNA(VLOOKUP(CONCATENATE(AY$4,$C306),'INSER DATA'!$A:$F,7,0),"")</f>
        <v/>
      </c>
      <c r="AZ306" s="270" t="str">
        <f>_xlfn.IFNA(VLOOKUP(CONCATENATE(AZ$4,$C306),'INSER DATA'!$A:$F,7,0),"")</f>
        <v/>
      </c>
      <c r="BA306" s="270" t="str">
        <f>_xlfn.IFNA(VLOOKUP(CONCATENATE(BA$4,$C306),'INSER DATA'!$A:$F,7,0),"")</f>
        <v/>
      </c>
      <c r="BB306" s="270" t="str">
        <f>_xlfn.IFNA(VLOOKUP(CONCATENATE(BB$4,$C306),'INSER DATA'!$A:$F,7,0),"")</f>
        <v/>
      </c>
      <c r="BC306" s="270" t="str">
        <f>_xlfn.IFNA(VLOOKUP(CONCATENATE(BC$4,$C306),'INSER DATA'!$A:$F,7,0),"")</f>
        <v/>
      </c>
      <c r="BD306" s="270" t="str">
        <f>_xlfn.IFNA(VLOOKUP(CONCATENATE(BD$4,$C306),'INSER DATA'!$A:$F,7,0),"")</f>
        <v/>
      </c>
      <c r="BE306" s="270" t="str">
        <f>_xlfn.IFNA(VLOOKUP(CONCATENATE(BE$4,$C306),'INSER DATA'!$A:$F,7,0),"")</f>
        <v/>
      </c>
      <c r="BF306" s="270" t="str">
        <f>_xlfn.IFNA(VLOOKUP(CONCATENATE(BF$4,$C306),'INSER DATA'!$A:$F,7,0),"")</f>
        <v/>
      </c>
      <c r="BG306" s="270" t="str">
        <f>_xlfn.IFNA(VLOOKUP(CONCATENATE(BG$4,$C306),'INSER DATA'!$A:$F,7,0),"")</f>
        <v/>
      </c>
      <c r="BH306" s="270" t="str">
        <f>_xlfn.IFNA(VLOOKUP(CONCATENATE(BH$4,$C306),'INSER DATA'!$A:$F,7,0),"")</f>
        <v/>
      </c>
      <c r="BI306" s="270" t="str">
        <f>_xlfn.IFNA(VLOOKUP(CONCATENATE(BI$4,$C306),'INSER DATA'!$A:$F,7,0),"")</f>
        <v/>
      </c>
      <c r="BJ306" s="270" t="str">
        <f>_xlfn.IFNA(VLOOKUP(CONCATENATE(BJ$4,$C306),'INSER DATA'!$A:$F,7,0),"")</f>
        <v/>
      </c>
      <c r="BK306" s="270" t="str">
        <f>_xlfn.IFNA(VLOOKUP(CONCATENATE(BK$4,$C306),'INSER DATA'!$A:$F,7,0),"")</f>
        <v/>
      </c>
      <c r="BL306" s="272"/>
      <c r="BM306" s="30"/>
      <c r="BN306" s="30"/>
      <c r="BO306" s="30"/>
      <c r="BP306" s="30"/>
      <c r="BQ306" s="30"/>
      <c r="BR306" s="30"/>
      <c r="BS306" s="30"/>
      <c r="BT306" s="30"/>
      <c r="BU306" s="30"/>
      <c r="BV306" s="30"/>
      <c r="BW306" s="30"/>
      <c r="BX306" s="30"/>
      <c r="BY306" s="30"/>
      <c r="BZ306" s="30"/>
      <c r="CA306" s="30"/>
      <c r="CB306" s="30"/>
      <c r="CC306" s="30"/>
      <c r="CD306" s="30"/>
      <c r="CE306" s="30"/>
      <c r="CF306" s="30"/>
      <c r="CG306" s="30"/>
      <c r="CH306" s="30"/>
      <c r="CI306" s="30"/>
      <c r="CJ306" s="30"/>
      <c r="CK306" s="30"/>
      <c r="CL306" s="30"/>
      <c r="CM306" s="30"/>
      <c r="CN306" s="30"/>
      <c r="CO306" s="30"/>
      <c r="CP306" s="30"/>
      <c r="CQ306" s="30"/>
      <c r="CR306" s="30"/>
      <c r="CS306" s="30"/>
      <c r="CT306" s="30"/>
      <c r="CU306" s="30"/>
      <c r="CV306" s="30"/>
      <c r="CW306" s="30"/>
      <c r="CX306" s="30"/>
      <c r="CY306" s="30"/>
      <c r="CZ306" s="30"/>
      <c r="DA306" s="30"/>
    </row>
    <row r="307" spans="1:105" ht="19.2" thickTop="1" thickBot="1" x14ac:dyDescent="0.4">
      <c r="A307" s="30"/>
      <c r="B307" s="30"/>
      <c r="C307" s="185" t="s">
        <v>616</v>
      </c>
      <c r="D307" s="187" t="s">
        <v>826</v>
      </c>
      <c r="E307" s="35" t="str">
        <f>_xlfn.XLOOKUP(Tabella4[[#This Row],[NOME]],'ROSE SQUADRE'!$N$3:$N$253,'ROSE SQUADRE'!$O$3:$O$253,"")</f>
        <v/>
      </c>
      <c r="F307" s="36" t="s">
        <v>162</v>
      </c>
      <c r="G307" s="43">
        <v>5</v>
      </c>
      <c r="H307" s="43">
        <v>5</v>
      </c>
      <c r="I307" s="44">
        <f t="shared" si="25"/>
        <v>0</v>
      </c>
      <c r="J307" s="37">
        <f t="shared" si="26"/>
        <v>0</v>
      </c>
      <c r="K307" s="38">
        <f t="shared" si="27"/>
        <v>0</v>
      </c>
      <c r="L307" s="38">
        <f t="shared" si="28"/>
        <v>0</v>
      </c>
      <c r="M307" s="39">
        <f t="shared" si="29"/>
        <v>0</v>
      </c>
      <c r="N307" s="45">
        <f t="shared" ca="1" si="30"/>
        <v>0</v>
      </c>
      <c r="O307" s="40">
        <f>SUMIF(Tabella1[Nome],Tabella4[[#This Row],[NOME]],Tabella1[Gf])</f>
        <v>0</v>
      </c>
      <c r="P307" s="40">
        <f>-(SUMIF(Tabella1[Nome],Tabella4[[#This Row],[NOME]],Tabella1[Gs]))</f>
        <v>0</v>
      </c>
      <c r="Q307" s="40">
        <f>SUMIF(Tabella1[Nome],Tabella4[[#This Row],[NOME]],Tabella1[Rp])</f>
        <v>0</v>
      </c>
      <c r="R307" s="40">
        <f>SUMIF(Tabella1[Nome],Tabella4[[#This Row],[NOME]],Tabella1[Rs])</f>
        <v>0</v>
      </c>
      <c r="S307" s="40">
        <f>SUMIF(Tabella1[Nome],Tabella4[[#This Row],[NOME]],Tabella1[Rf])</f>
        <v>0</v>
      </c>
      <c r="T307" s="40">
        <f>SUMIF(Tabella1[Nome],Tabella4[[#This Row],[NOME]],Tabella1[Au])</f>
        <v>0</v>
      </c>
      <c r="U307" s="41">
        <f>SUMIF(Tabella1[Nome],Tabella4[[#This Row],[NOME]],Tabella1[Amm])</f>
        <v>0</v>
      </c>
      <c r="V307" s="42">
        <f>SUMIF(Tabella1[Nome],Tabella4[[#This Row],[NOME]],Tabella1[Esp])</f>
        <v>0</v>
      </c>
      <c r="W307" s="40">
        <f>SUMIF(Tabella1[Nome],Tabella4[[#This Row],[NOME]],Tabella1[Ass])</f>
        <v>0</v>
      </c>
      <c r="X307" s="40">
        <f>SUMIF(Tabella1[Nome],Tabella4[[#This Row],[NOME]],Tabella1[Gdv])</f>
        <v>0</v>
      </c>
      <c r="Y307" s="40">
        <f>SUMIF(Tabella1[Nome],Tabella4[[#This Row],[NOME]],Tabella1[cl sh])</f>
        <v>0</v>
      </c>
      <c r="Z307" s="270" t="str">
        <f>_xlfn.IFNA(_xlfn.XLOOKUP(CONCATENATE(Z$4,$C307),Tabella1[CONC X VOTI IN TAB GIOC],Tabella1[Voto],""),"")</f>
        <v/>
      </c>
      <c r="AA307" s="270" t="str">
        <f>_xlfn.IFNA(_xlfn.XLOOKUP(CONCATENATE(AA$4,$C307),Tabella1[CONC X VOTI IN TAB GIOC],Tabella1[Voto],""),"")</f>
        <v/>
      </c>
      <c r="AB307" s="270" t="str">
        <f>_xlfn.IFNA(_xlfn.XLOOKUP(CONCATENATE(AB$4,$C307),Tabella1[CONC X VOTI IN TAB GIOC],Tabella1[Voto]),"")</f>
        <v/>
      </c>
      <c r="AC307" s="270" t="str" cm="1">
        <f t="array" ref="AC307">_xlfn.IFNA(_xlfn.XLOOKUP(CONCATENATE(AC$4,$C307),INDEX(Tabella1[],0,MATCH("CONC X VOTI IN TAB GIOC",Tabella1[#Headers],0)),INDEX(Tabella1[],0,MATCH("Voto",Tabella1[#Headers],0))),"")</f>
        <v/>
      </c>
      <c r="AD307" s="270" t="str">
        <f>_xlfn.IFNA(_xlfn.XLOOKUP(CONCATENATE(AD$4,$C307),Tabella1[CONC X VOTI IN TAB GIOC],Tabella1[Voto]),"")</f>
        <v/>
      </c>
      <c r="AE307" s="270" t="str">
        <f>_xlfn.IFNA(VLOOKUP(CONCATENATE(AE$4,$C307),'INSER DATA'!$A:$F,6,0),"")</f>
        <v/>
      </c>
      <c r="AF307" s="270" t="str">
        <f>_xlfn.IFNA(VLOOKUP(CONCATENATE(AF$4,$C307),'INSER DATA'!$A:$F,6,0),"")</f>
        <v/>
      </c>
      <c r="AG307" s="270" t="str">
        <f>_xlfn.IFNA(VLOOKUP(CONCATENATE(AG$4,$C307),'INSER DATA'!$A:$F,6,0),"")</f>
        <v/>
      </c>
      <c r="AH307" s="270" t="str">
        <f>_xlfn.IFNA(VLOOKUP(CONCATENATE(AH$4,$C307),'INSER DATA'!$A:$F,7,0),"")</f>
        <v/>
      </c>
      <c r="AI307" s="270" t="str">
        <f>_xlfn.IFNA(VLOOKUP(CONCATENATE(AI$4,$C307),'INSER DATA'!$A:$F,7,0),"")</f>
        <v/>
      </c>
      <c r="AJ307" s="270" t="str">
        <f>_xlfn.IFNA(VLOOKUP(CONCATENATE(AJ$4,$C307),'INSER DATA'!$A:$F,7,0),"")</f>
        <v/>
      </c>
      <c r="AK307" s="270" t="str">
        <f>_xlfn.IFNA(VLOOKUP(CONCATENATE(AK$4,$C307),'INSER DATA'!$A:$F,7,0),"")</f>
        <v/>
      </c>
      <c r="AL307" s="270" t="str">
        <f>_xlfn.IFNA(VLOOKUP(CONCATENATE(AL$4,$C307),'INSER DATA'!$A:$F,7,0),"")</f>
        <v/>
      </c>
      <c r="AM307" s="270" t="str">
        <f>_xlfn.IFNA(VLOOKUP(CONCATENATE(AM$4,$C307),'INSER DATA'!$A:$F,7,0),"")</f>
        <v/>
      </c>
      <c r="AN307" s="270" t="str">
        <f>_xlfn.IFNA(VLOOKUP(CONCATENATE(AN$4,$C307),'INSER DATA'!$A:$F,7,0),"")</f>
        <v/>
      </c>
      <c r="AO307" s="270" t="str">
        <f>_xlfn.IFNA(VLOOKUP(CONCATENATE(AO$4,$C307),'INSER DATA'!$A:$F,7,0),"")</f>
        <v/>
      </c>
      <c r="AP307" s="270" t="str">
        <f>_xlfn.IFNA(VLOOKUP(CONCATENATE(AP$4,$C307),'INSER DATA'!$A:$F,7,0),"")</f>
        <v/>
      </c>
      <c r="AQ307" s="270" t="str">
        <f>_xlfn.IFNA(VLOOKUP(CONCATENATE(AQ$4,$C307),'INSER DATA'!$A:$F,7,0),"")</f>
        <v/>
      </c>
      <c r="AR307" s="270" t="str">
        <f>_xlfn.IFNA(VLOOKUP(CONCATENATE(AR$4,$C307),'INSER DATA'!$A:$F,7,0),"")</f>
        <v/>
      </c>
      <c r="AS307" s="270" t="str">
        <f>_xlfn.IFNA(VLOOKUP(CONCATENATE(AS$4,$C307),'INSER DATA'!$A:$F,7,0),"")</f>
        <v/>
      </c>
      <c r="AT307" s="270" t="str">
        <f>_xlfn.IFNA(VLOOKUP(CONCATENATE(AT$4,$C307),'INSER DATA'!$A:$F,7,0),"")</f>
        <v/>
      </c>
      <c r="AU307" s="270" t="str">
        <f>_xlfn.IFNA(VLOOKUP(CONCATENATE(AU$4,$C307),'INSER DATA'!$A:$F,7,0),"")</f>
        <v/>
      </c>
      <c r="AV307" s="270" t="str">
        <f>_xlfn.IFNA(VLOOKUP(CONCATENATE(AV$4,$C307),'INSER DATA'!$A:$F,7,0),"")</f>
        <v/>
      </c>
      <c r="AW307" s="270" t="str">
        <f>_xlfn.IFNA(VLOOKUP(CONCATENATE(AW$4,$C307),'INSER DATA'!$A:$F,7,0),"")</f>
        <v/>
      </c>
      <c r="AX307" s="270" t="str">
        <f>_xlfn.IFNA(VLOOKUP(CONCATENATE(AX$4,$C307),'INSER DATA'!$A:$F,7,0),"")</f>
        <v/>
      </c>
      <c r="AY307" s="270" t="str">
        <f>_xlfn.IFNA(VLOOKUP(CONCATENATE(AY$4,$C307),'INSER DATA'!$A:$F,7,0),"")</f>
        <v/>
      </c>
      <c r="AZ307" s="270" t="str">
        <f>_xlfn.IFNA(VLOOKUP(CONCATENATE(AZ$4,$C307),'INSER DATA'!$A:$F,7,0),"")</f>
        <v/>
      </c>
      <c r="BA307" s="270" t="str">
        <f>_xlfn.IFNA(VLOOKUP(CONCATENATE(BA$4,$C307),'INSER DATA'!$A:$F,7,0),"")</f>
        <v/>
      </c>
      <c r="BB307" s="270" t="str">
        <f>_xlfn.IFNA(VLOOKUP(CONCATENATE(BB$4,$C307),'INSER DATA'!$A:$F,7,0),"")</f>
        <v/>
      </c>
      <c r="BC307" s="270" t="str">
        <f>_xlfn.IFNA(VLOOKUP(CONCATENATE(BC$4,$C307),'INSER DATA'!$A:$F,7,0),"")</f>
        <v/>
      </c>
      <c r="BD307" s="270" t="str">
        <f>_xlfn.IFNA(VLOOKUP(CONCATENATE(BD$4,$C307),'INSER DATA'!$A:$F,7,0),"")</f>
        <v/>
      </c>
      <c r="BE307" s="270" t="str">
        <f>_xlfn.IFNA(VLOOKUP(CONCATENATE(BE$4,$C307),'INSER DATA'!$A:$F,7,0),"")</f>
        <v/>
      </c>
      <c r="BF307" s="270" t="str">
        <f>_xlfn.IFNA(VLOOKUP(CONCATENATE(BF$4,$C307),'INSER DATA'!$A:$F,7,0),"")</f>
        <v/>
      </c>
      <c r="BG307" s="270" t="str">
        <f>_xlfn.IFNA(VLOOKUP(CONCATENATE(BG$4,$C307),'INSER DATA'!$A:$F,7,0),"")</f>
        <v/>
      </c>
      <c r="BH307" s="270" t="str">
        <f>_xlfn.IFNA(VLOOKUP(CONCATENATE(BH$4,$C307),'INSER DATA'!$A:$F,7,0),"")</f>
        <v/>
      </c>
      <c r="BI307" s="270" t="str">
        <f>_xlfn.IFNA(VLOOKUP(CONCATENATE(BI$4,$C307),'INSER DATA'!$A:$F,7,0),"")</f>
        <v/>
      </c>
      <c r="BJ307" s="270" t="str">
        <f>_xlfn.IFNA(VLOOKUP(CONCATENATE(BJ$4,$C307),'INSER DATA'!$A:$F,7,0),"")</f>
        <v/>
      </c>
      <c r="BK307" s="270" t="str">
        <f>_xlfn.IFNA(VLOOKUP(CONCATENATE(BK$4,$C307),'INSER DATA'!$A:$F,7,0),"")</f>
        <v/>
      </c>
      <c r="BL307" s="272"/>
      <c r="BM307" s="30"/>
      <c r="BN307" s="30"/>
      <c r="BO307" s="30"/>
      <c r="BP307" s="30"/>
      <c r="BQ307" s="30"/>
      <c r="BR307" s="30"/>
      <c r="BS307" s="30"/>
      <c r="BT307" s="30"/>
      <c r="BU307" s="30"/>
      <c r="BV307" s="30"/>
      <c r="BW307" s="30"/>
      <c r="BX307" s="30"/>
      <c r="BY307" s="30"/>
      <c r="BZ307" s="30"/>
      <c r="CA307" s="30"/>
      <c r="CB307" s="30"/>
      <c r="CC307" s="30"/>
      <c r="CD307" s="30"/>
      <c r="CE307" s="30"/>
      <c r="CF307" s="30"/>
      <c r="CG307" s="30"/>
      <c r="CH307" s="30"/>
      <c r="CI307" s="30"/>
      <c r="CJ307" s="30"/>
      <c r="CK307" s="30"/>
      <c r="CL307" s="30"/>
      <c r="CM307" s="30"/>
      <c r="CN307" s="30"/>
      <c r="CO307" s="30"/>
      <c r="CP307" s="30"/>
      <c r="CQ307" s="30"/>
      <c r="CR307" s="30"/>
      <c r="CS307" s="30"/>
      <c r="CT307" s="30"/>
      <c r="CU307" s="30"/>
      <c r="CV307" s="30"/>
      <c r="CW307" s="30"/>
      <c r="CX307" s="30"/>
      <c r="CY307" s="30"/>
      <c r="CZ307" s="30"/>
      <c r="DA307" s="30"/>
    </row>
    <row r="308" spans="1:105" ht="19.2" thickTop="1" thickBot="1" x14ac:dyDescent="0.4">
      <c r="A308" s="30"/>
      <c r="B308" s="30"/>
      <c r="C308" s="356" t="s">
        <v>837</v>
      </c>
      <c r="D308" s="355" t="s">
        <v>826</v>
      </c>
      <c r="E308" s="35" t="str">
        <f>_xlfn.XLOOKUP(Tabella4[[#This Row],[NOME]],'ROSE SQUADRE'!$N$3:$N$253,'ROSE SQUADRE'!$O$3:$O$253,"")</f>
        <v>AS PIPPERIA</v>
      </c>
      <c r="F308" s="36" t="s">
        <v>162</v>
      </c>
      <c r="G308" s="43">
        <v>12</v>
      </c>
      <c r="H308" s="43">
        <v>12</v>
      </c>
      <c r="I308" s="44">
        <f t="shared" si="25"/>
        <v>0</v>
      </c>
      <c r="J308" s="37">
        <f t="shared" si="26"/>
        <v>2</v>
      </c>
      <c r="K308" s="38">
        <f t="shared" si="27"/>
        <v>6.5</v>
      </c>
      <c r="L308" s="38">
        <f t="shared" si="28"/>
        <v>9.5</v>
      </c>
      <c r="M308" s="39">
        <f t="shared" si="29"/>
        <v>19</v>
      </c>
      <c r="N308" s="45">
        <f t="shared" ca="1" si="30"/>
        <v>0</v>
      </c>
      <c r="O308" s="40">
        <f>SUMIF(Tabella1[Nome],Tabella4[[#This Row],[NOME]],Tabella1[Gf])</f>
        <v>2</v>
      </c>
      <c r="P308" s="40">
        <f>-(SUMIF(Tabella1[Nome],Tabella4[[#This Row],[NOME]],Tabella1[Gs]))</f>
        <v>0</v>
      </c>
      <c r="Q308" s="40">
        <f>SUMIF(Tabella1[Nome],Tabella4[[#This Row],[NOME]],Tabella1[Rp])</f>
        <v>0</v>
      </c>
      <c r="R308" s="40">
        <f>SUMIF(Tabella1[Nome],Tabella4[[#This Row],[NOME]],Tabella1[Rs])</f>
        <v>0</v>
      </c>
      <c r="S308" s="40">
        <f>SUMIF(Tabella1[Nome],Tabella4[[#This Row],[NOME]],Tabella1[Rf])</f>
        <v>0</v>
      </c>
      <c r="T308" s="40">
        <f>SUMIF(Tabella1[Nome],Tabella4[[#This Row],[NOME]],Tabella1[Au])</f>
        <v>0</v>
      </c>
      <c r="U308" s="41">
        <f>SUMIF(Tabella1[Nome],Tabella4[[#This Row],[NOME]],Tabella1[Amm])</f>
        <v>0</v>
      </c>
      <c r="V308" s="42">
        <f>SUMIF(Tabella1[Nome],Tabella4[[#This Row],[NOME]],Tabella1[Esp])</f>
        <v>0</v>
      </c>
      <c r="W308" s="40">
        <f>SUMIF(Tabella1[Nome],Tabella4[[#This Row],[NOME]],Tabella1[Ass])</f>
        <v>0</v>
      </c>
      <c r="X308" s="40">
        <f>SUMIF(Tabella1[Nome],Tabella4[[#This Row],[NOME]],Tabella1[Gdv])</f>
        <v>0</v>
      </c>
      <c r="Y308" s="40">
        <f>SUMIF(Tabella1[Nome],Tabella4[[#This Row],[NOME]],Tabella1[cl sh])</f>
        <v>0</v>
      </c>
      <c r="Z308" s="270" t="str">
        <f>_xlfn.IFNA(_xlfn.XLOOKUP(CONCATENATE(Z$4,$C308),Tabella1[CONC X VOTI IN TAB GIOC],Tabella1[Voto],""),"")</f>
        <v/>
      </c>
      <c r="AA308" s="270" t="str">
        <f>_xlfn.IFNA(_xlfn.XLOOKUP(CONCATENATE(AA$4,$C308),Tabella1[CONC X VOTI IN TAB GIOC],Tabella1[Voto],""),"")</f>
        <v/>
      </c>
      <c r="AB308" s="270">
        <f>_xlfn.IFNA(_xlfn.XLOOKUP(CONCATENATE(AB$4,$C308),Tabella1[CONC X VOTI IN TAB GIOC],Tabella1[Voto]),"")</f>
        <v>5</v>
      </c>
      <c r="AC308" s="270" cm="1">
        <f t="array" ref="AC308">_xlfn.IFNA(_xlfn.XLOOKUP(CONCATENATE(AC$4,$C308),INDEX(Tabella1[],0,MATCH("CONC X VOTI IN TAB GIOC",Tabella1[#Headers],0)),INDEX(Tabella1[],0,MATCH("Voto",Tabella1[#Headers],0))),"")</f>
        <v>8</v>
      </c>
      <c r="AD308" s="270" t="str">
        <f>_xlfn.IFNA(_xlfn.XLOOKUP(CONCATENATE(AD$4,$C308),Tabella1[CONC X VOTI IN TAB GIOC],Tabella1[Voto]),"")</f>
        <v/>
      </c>
      <c r="AE308" s="270" t="str">
        <f>_xlfn.IFNA(VLOOKUP(CONCATENATE(AE$4,$C308),'INSER DATA'!$A:$F,6,0),"")</f>
        <v/>
      </c>
      <c r="AF308" s="270" t="str">
        <f>_xlfn.IFNA(VLOOKUP(CONCATENATE(AF$4,$C308),'INSER DATA'!$A:$F,6,0),"")</f>
        <v/>
      </c>
      <c r="AG308" s="270" t="str">
        <f>_xlfn.IFNA(VLOOKUP(CONCATENATE(AG$4,$C308),'INSER DATA'!$A:$F,6,0),"")</f>
        <v/>
      </c>
      <c r="AH308" s="270" t="str">
        <f>_xlfn.IFNA(VLOOKUP(CONCATENATE(AH$4,$C308),'INSER DATA'!$A:$F,7,0),"")</f>
        <v/>
      </c>
      <c r="AI308" s="270" t="str">
        <f>_xlfn.IFNA(VLOOKUP(CONCATENATE(AI$4,$C308),'INSER DATA'!$A:$F,7,0),"")</f>
        <v/>
      </c>
      <c r="AJ308" s="270" t="str">
        <f>_xlfn.IFNA(VLOOKUP(CONCATENATE(AJ$4,$C308),'INSER DATA'!$A:$F,7,0),"")</f>
        <v/>
      </c>
      <c r="AK308" s="270" t="str">
        <f>_xlfn.IFNA(VLOOKUP(CONCATENATE(AK$4,$C308),'INSER DATA'!$A:$F,7,0),"")</f>
        <v/>
      </c>
      <c r="AL308" s="270" t="str">
        <f>_xlfn.IFNA(VLOOKUP(CONCATENATE(AL$4,$C308),'INSER DATA'!$A:$F,7,0),"")</f>
        <v/>
      </c>
      <c r="AM308" s="270" t="str">
        <f>_xlfn.IFNA(VLOOKUP(CONCATENATE(AM$4,$C308),'INSER DATA'!$A:$F,7,0),"")</f>
        <v/>
      </c>
      <c r="AN308" s="270" t="str">
        <f>_xlfn.IFNA(VLOOKUP(CONCATENATE(AN$4,$C308),'INSER DATA'!$A:$F,7,0),"")</f>
        <v/>
      </c>
      <c r="AO308" s="270" t="str">
        <f>_xlfn.IFNA(VLOOKUP(CONCATENATE(AO$4,$C308),'INSER DATA'!$A:$F,7,0),"")</f>
        <v/>
      </c>
      <c r="AP308" s="270" t="str">
        <f>_xlfn.IFNA(VLOOKUP(CONCATENATE(AP$4,$C308),'INSER DATA'!$A:$F,7,0),"")</f>
        <v/>
      </c>
      <c r="AQ308" s="270" t="str">
        <f>_xlfn.IFNA(VLOOKUP(CONCATENATE(AQ$4,$C308),'INSER DATA'!$A:$F,7,0),"")</f>
        <v/>
      </c>
      <c r="AR308" s="270" t="str">
        <f>_xlfn.IFNA(VLOOKUP(CONCATENATE(AR$4,$C308),'INSER DATA'!$A:$F,7,0),"")</f>
        <v/>
      </c>
      <c r="AS308" s="270" t="str">
        <f>_xlfn.IFNA(VLOOKUP(CONCATENATE(AS$4,$C308),'INSER DATA'!$A:$F,7,0),"")</f>
        <v/>
      </c>
      <c r="AT308" s="270" t="str">
        <f>_xlfn.IFNA(VLOOKUP(CONCATENATE(AT$4,$C308),'INSER DATA'!$A:$F,7,0),"")</f>
        <v/>
      </c>
      <c r="AU308" s="270" t="str">
        <f>_xlfn.IFNA(VLOOKUP(CONCATENATE(AU$4,$C308),'INSER DATA'!$A:$F,7,0),"")</f>
        <v/>
      </c>
      <c r="AV308" s="270" t="str">
        <f>_xlfn.IFNA(VLOOKUP(CONCATENATE(AV$4,$C308),'INSER DATA'!$A:$F,7,0),"")</f>
        <v/>
      </c>
      <c r="AW308" s="270" t="str">
        <f>_xlfn.IFNA(VLOOKUP(CONCATENATE(AW$4,$C308),'INSER DATA'!$A:$F,7,0),"")</f>
        <v/>
      </c>
      <c r="AX308" s="270" t="str">
        <f>_xlfn.IFNA(VLOOKUP(CONCATENATE(AX$4,$C308),'INSER DATA'!$A:$F,7,0),"")</f>
        <v/>
      </c>
      <c r="AY308" s="270" t="str">
        <f>_xlfn.IFNA(VLOOKUP(CONCATENATE(AY$4,$C308),'INSER DATA'!$A:$F,7,0),"")</f>
        <v/>
      </c>
      <c r="AZ308" s="270" t="str">
        <f>_xlfn.IFNA(VLOOKUP(CONCATENATE(AZ$4,$C308),'INSER DATA'!$A:$F,7,0),"")</f>
        <v/>
      </c>
      <c r="BA308" s="270" t="str">
        <f>_xlfn.IFNA(VLOOKUP(CONCATENATE(BA$4,$C308),'INSER DATA'!$A:$F,7,0),"")</f>
        <v/>
      </c>
      <c r="BB308" s="270" t="str">
        <f>_xlfn.IFNA(VLOOKUP(CONCATENATE(BB$4,$C308),'INSER DATA'!$A:$F,7,0),"")</f>
        <v/>
      </c>
      <c r="BC308" s="270" t="str">
        <f>_xlfn.IFNA(VLOOKUP(CONCATENATE(BC$4,$C308),'INSER DATA'!$A:$F,7,0),"")</f>
        <v/>
      </c>
      <c r="BD308" s="270" t="str">
        <f>_xlfn.IFNA(VLOOKUP(CONCATENATE(BD$4,$C308),'INSER DATA'!$A:$F,7,0),"")</f>
        <v/>
      </c>
      <c r="BE308" s="270" t="str">
        <f>_xlfn.IFNA(VLOOKUP(CONCATENATE(BE$4,$C308),'INSER DATA'!$A:$F,7,0),"")</f>
        <v/>
      </c>
      <c r="BF308" s="270" t="str">
        <f>_xlfn.IFNA(VLOOKUP(CONCATENATE(BF$4,$C308),'INSER DATA'!$A:$F,7,0),"")</f>
        <v/>
      </c>
      <c r="BG308" s="270" t="str">
        <f>_xlfn.IFNA(VLOOKUP(CONCATENATE(BG$4,$C308),'INSER DATA'!$A:$F,7,0),"")</f>
        <v/>
      </c>
      <c r="BH308" s="270" t="str">
        <f>_xlfn.IFNA(VLOOKUP(CONCATENATE(BH$4,$C308),'INSER DATA'!$A:$F,7,0),"")</f>
        <v/>
      </c>
      <c r="BI308" s="270" t="str">
        <f>_xlfn.IFNA(VLOOKUP(CONCATENATE(BI$4,$C308),'INSER DATA'!$A:$F,7,0),"")</f>
        <v/>
      </c>
      <c r="BJ308" s="270" t="str">
        <f>_xlfn.IFNA(VLOOKUP(CONCATENATE(BJ$4,$C308),'INSER DATA'!$A:$F,7,0),"")</f>
        <v/>
      </c>
      <c r="BK308" s="270" t="str">
        <f>_xlfn.IFNA(VLOOKUP(CONCATENATE(BK$4,$C308),'INSER DATA'!$A:$F,7,0),"")</f>
        <v/>
      </c>
      <c r="BL308" s="272"/>
      <c r="BM308" s="30"/>
      <c r="BN308" s="30"/>
      <c r="BO308" s="30"/>
      <c r="BP308" s="30"/>
      <c r="BQ308" s="30"/>
      <c r="BR308" s="30"/>
      <c r="BS308" s="30"/>
      <c r="BT308" s="30"/>
      <c r="BU308" s="30"/>
      <c r="BV308" s="30"/>
      <c r="BW308" s="30"/>
      <c r="BX308" s="30"/>
      <c r="BY308" s="30"/>
      <c r="BZ308" s="30"/>
      <c r="CA308" s="30"/>
      <c r="CB308" s="30"/>
      <c r="CC308" s="30"/>
      <c r="CD308" s="30"/>
      <c r="CE308" s="30"/>
      <c r="CF308" s="30"/>
      <c r="CG308" s="30"/>
      <c r="CH308" s="30"/>
      <c r="CI308" s="30"/>
      <c r="CJ308" s="30"/>
      <c r="CK308" s="30"/>
      <c r="CL308" s="30"/>
      <c r="CM308" s="30"/>
      <c r="CN308" s="30"/>
      <c r="CO308" s="30"/>
      <c r="CP308" s="30"/>
      <c r="CQ308" s="30"/>
      <c r="CR308" s="30"/>
      <c r="CS308" s="30"/>
      <c r="CT308" s="30"/>
      <c r="CU308" s="30"/>
      <c r="CV308" s="30"/>
      <c r="CW308" s="30"/>
      <c r="CX308" s="30"/>
      <c r="CY308" s="30"/>
      <c r="CZ308" s="30"/>
      <c r="DA308" s="30"/>
    </row>
    <row r="309" spans="1:105" ht="19.2" thickTop="1" thickBot="1" x14ac:dyDescent="0.4">
      <c r="A309" s="30"/>
      <c r="B309" s="30"/>
      <c r="C309" s="354" t="s">
        <v>463</v>
      </c>
      <c r="D309" s="355" t="s">
        <v>826</v>
      </c>
      <c r="E309" s="35" t="str">
        <f>_xlfn.XLOOKUP(Tabella4[[#This Row],[NOME]],'ROSE SQUADRE'!$N$3:$N$253,'ROSE SQUADRE'!$O$3:$O$253,"")</f>
        <v>AC ASPARAGHESE</v>
      </c>
      <c r="F309" s="36" t="s">
        <v>162</v>
      </c>
      <c r="G309" s="43">
        <v>25</v>
      </c>
      <c r="H309" s="43">
        <v>24</v>
      </c>
      <c r="I309" s="44">
        <f t="shared" si="25"/>
        <v>-1</v>
      </c>
      <c r="J309" s="37">
        <f t="shared" si="26"/>
        <v>1</v>
      </c>
      <c r="K309" s="178">
        <f t="shared" si="27"/>
        <v>6.5</v>
      </c>
      <c r="L309" s="178">
        <f t="shared" si="28"/>
        <v>7</v>
      </c>
      <c r="M309" s="179">
        <f t="shared" si="29"/>
        <v>7</v>
      </c>
      <c r="N309" s="45">
        <f t="shared" ca="1" si="30"/>
        <v>0</v>
      </c>
      <c r="O309" s="40">
        <f>SUMIF(Tabella1[Nome],Tabella4[[#This Row],[NOME]],Tabella1[Gf])</f>
        <v>0</v>
      </c>
      <c r="P309" s="40">
        <f>-(SUMIF(Tabella1[Nome],Tabella4[[#This Row],[NOME]],Tabella1[Gs]))</f>
        <v>0</v>
      </c>
      <c r="Q309" s="40">
        <f>SUMIF(Tabella1[Nome],Tabella4[[#This Row],[NOME]],Tabella1[Rp])</f>
        <v>0</v>
      </c>
      <c r="R309" s="40">
        <f>SUMIF(Tabella1[Nome],Tabella4[[#This Row],[NOME]],Tabella1[Rs])</f>
        <v>0</v>
      </c>
      <c r="S309" s="40">
        <f>SUMIF(Tabella1[Nome],Tabella4[[#This Row],[NOME]],Tabella1[Rf])</f>
        <v>0</v>
      </c>
      <c r="T309" s="40">
        <f>SUMIF(Tabella1[Nome],Tabella4[[#This Row],[NOME]],Tabella1[Au])</f>
        <v>0</v>
      </c>
      <c r="U309" s="41">
        <f>SUMIF(Tabella1[Nome],Tabella4[[#This Row],[NOME]],Tabella1[Amm])</f>
        <v>1</v>
      </c>
      <c r="V309" s="42">
        <f>SUMIF(Tabella1[Nome],Tabella4[[#This Row],[NOME]],Tabella1[Esp])</f>
        <v>0</v>
      </c>
      <c r="W309" s="40">
        <f>SUMIF(Tabella1[Nome],Tabella4[[#This Row],[NOME]],Tabella1[Ass])</f>
        <v>1</v>
      </c>
      <c r="X309" s="40">
        <f>SUMIF(Tabella1[Nome],Tabella4[[#This Row],[NOME]],Tabella1[Gdv])</f>
        <v>0</v>
      </c>
      <c r="Y309" s="40">
        <f>SUMIF(Tabella1[Nome],Tabella4[[#This Row],[NOME]],Tabella1[cl sh])</f>
        <v>0</v>
      </c>
      <c r="Z309" s="270" t="str">
        <f>_xlfn.IFNA(_xlfn.XLOOKUP(CONCATENATE(Z$4,$C309),Tabella1[CONC X VOTI IN TAB GIOC],Tabella1[Voto],""),"")</f>
        <v/>
      </c>
      <c r="AA309" s="270" t="str">
        <f>_xlfn.IFNA(_xlfn.XLOOKUP(CONCATENATE(AA$4,$C309),Tabella1[CONC X VOTI IN TAB GIOC],Tabella1[Voto],""),"")</f>
        <v/>
      </c>
      <c r="AB309" s="270" t="str">
        <f>_xlfn.IFNA(_xlfn.XLOOKUP(CONCATENATE(AB$4,$C309),Tabella1[CONC X VOTI IN TAB GIOC],Tabella1[Voto]),"")</f>
        <v/>
      </c>
      <c r="AC309" s="270" cm="1">
        <f t="array" ref="AC309">_xlfn.IFNA(_xlfn.XLOOKUP(CONCATENATE(AC$4,$C309),INDEX(Tabella1[],0,MATCH("CONC X VOTI IN TAB GIOC",Tabella1[#Headers],0)),INDEX(Tabella1[],0,MATCH("Voto",Tabella1[#Headers],0))),"")</f>
        <v>6.5</v>
      </c>
      <c r="AD309" s="270" t="str">
        <f>_xlfn.IFNA(_xlfn.XLOOKUP(CONCATENATE(AD$4,$C309),Tabella1[CONC X VOTI IN TAB GIOC],Tabella1[Voto]),"")</f>
        <v/>
      </c>
      <c r="AE309" s="270" t="str">
        <f>_xlfn.IFNA(VLOOKUP(CONCATENATE(AE$4,$C309),'INSER DATA'!$A:$F,6,0),"")</f>
        <v/>
      </c>
      <c r="AF309" s="270" t="str">
        <f>_xlfn.IFNA(VLOOKUP(CONCATENATE(AF$4,$C309),'INSER DATA'!$A:$F,6,0),"")</f>
        <v/>
      </c>
      <c r="AG309" s="270" t="str">
        <f>_xlfn.IFNA(VLOOKUP(CONCATENATE(AG$4,$C309),'INSER DATA'!$A:$F,6,0),"")</f>
        <v/>
      </c>
      <c r="AH309" s="270" t="str">
        <f>_xlfn.IFNA(VLOOKUP(CONCATENATE(AH$4,$C309),'INSER DATA'!$A:$F,7,0),"")</f>
        <v/>
      </c>
      <c r="AI309" s="270" t="str">
        <f>_xlfn.IFNA(VLOOKUP(CONCATENATE(AI$4,$C309),'INSER DATA'!$A:$F,7,0),"")</f>
        <v/>
      </c>
      <c r="AJ309" s="270" t="str">
        <f>_xlfn.IFNA(VLOOKUP(CONCATENATE(AJ$4,$C309),'INSER DATA'!$A:$F,7,0),"")</f>
        <v/>
      </c>
      <c r="AK309" s="270" t="str">
        <f>_xlfn.IFNA(VLOOKUP(CONCATENATE(AK$4,$C309),'INSER DATA'!$A:$F,7,0),"")</f>
        <v/>
      </c>
      <c r="AL309" s="270" t="str">
        <f>_xlfn.IFNA(VLOOKUP(CONCATENATE(AL$4,$C309),'INSER DATA'!$A:$F,7,0),"")</f>
        <v/>
      </c>
      <c r="AM309" s="270" t="str">
        <f>_xlfn.IFNA(VLOOKUP(CONCATENATE(AM$4,$C309),'INSER DATA'!$A:$F,7,0),"")</f>
        <v/>
      </c>
      <c r="AN309" s="270" t="str">
        <f>_xlfn.IFNA(VLOOKUP(CONCATENATE(AN$4,$C309),'INSER DATA'!$A:$F,7,0),"")</f>
        <v/>
      </c>
      <c r="AO309" s="270" t="str">
        <f>_xlfn.IFNA(VLOOKUP(CONCATENATE(AO$4,$C309),'INSER DATA'!$A:$F,7,0),"")</f>
        <v/>
      </c>
      <c r="AP309" s="270" t="str">
        <f>_xlfn.IFNA(VLOOKUP(CONCATENATE(AP$4,$C309),'INSER DATA'!$A:$F,7,0),"")</f>
        <v/>
      </c>
      <c r="AQ309" s="270" t="str">
        <f>_xlfn.IFNA(VLOOKUP(CONCATENATE(AQ$4,$C309),'INSER DATA'!$A:$F,7,0),"")</f>
        <v/>
      </c>
      <c r="AR309" s="270" t="str">
        <f>_xlfn.IFNA(VLOOKUP(CONCATENATE(AR$4,$C309),'INSER DATA'!$A:$F,7,0),"")</f>
        <v/>
      </c>
      <c r="AS309" s="270" t="str">
        <f>_xlfn.IFNA(VLOOKUP(CONCATENATE(AS$4,$C309),'INSER DATA'!$A:$F,7,0),"")</f>
        <v/>
      </c>
      <c r="AT309" s="270" t="str">
        <f>_xlfn.IFNA(VLOOKUP(CONCATENATE(AT$4,$C309),'INSER DATA'!$A:$F,7,0),"")</f>
        <v/>
      </c>
      <c r="AU309" s="270" t="str">
        <f>_xlfn.IFNA(VLOOKUP(CONCATENATE(AU$4,$C309),'INSER DATA'!$A:$F,7,0),"")</f>
        <v/>
      </c>
      <c r="AV309" s="270" t="str">
        <f>_xlfn.IFNA(VLOOKUP(CONCATENATE(AV$4,$C309),'INSER DATA'!$A:$F,7,0),"")</f>
        <v/>
      </c>
      <c r="AW309" s="270" t="str">
        <f>_xlfn.IFNA(VLOOKUP(CONCATENATE(AW$4,$C309),'INSER DATA'!$A:$F,7,0),"")</f>
        <v/>
      </c>
      <c r="AX309" s="270" t="str">
        <f>_xlfn.IFNA(VLOOKUP(CONCATENATE(AX$4,$C309),'INSER DATA'!$A:$F,7,0),"")</f>
        <v/>
      </c>
      <c r="AY309" s="270" t="str">
        <f>_xlfn.IFNA(VLOOKUP(CONCATENATE(AY$4,$C309),'INSER DATA'!$A:$F,7,0),"")</f>
        <v/>
      </c>
      <c r="AZ309" s="270" t="str">
        <f>_xlfn.IFNA(VLOOKUP(CONCATENATE(AZ$4,$C309),'INSER DATA'!$A:$F,7,0),"")</f>
        <v/>
      </c>
      <c r="BA309" s="270" t="str">
        <f>_xlfn.IFNA(VLOOKUP(CONCATENATE(BA$4,$C309),'INSER DATA'!$A:$F,7,0),"")</f>
        <v/>
      </c>
      <c r="BB309" s="270" t="str">
        <f>_xlfn.IFNA(VLOOKUP(CONCATENATE(BB$4,$C309),'INSER DATA'!$A:$F,7,0),"")</f>
        <v/>
      </c>
      <c r="BC309" s="270" t="str">
        <f>_xlfn.IFNA(VLOOKUP(CONCATENATE(BC$4,$C309),'INSER DATA'!$A:$F,7,0),"")</f>
        <v/>
      </c>
      <c r="BD309" s="270" t="str">
        <f>_xlfn.IFNA(VLOOKUP(CONCATENATE(BD$4,$C309),'INSER DATA'!$A:$F,7,0),"")</f>
        <v/>
      </c>
      <c r="BE309" s="270" t="str">
        <f>_xlfn.IFNA(VLOOKUP(CONCATENATE(BE$4,$C309),'INSER DATA'!$A:$F,7,0),"")</f>
        <v/>
      </c>
      <c r="BF309" s="270" t="str">
        <f>_xlfn.IFNA(VLOOKUP(CONCATENATE(BF$4,$C309),'INSER DATA'!$A:$F,7,0),"")</f>
        <v/>
      </c>
      <c r="BG309" s="270" t="str">
        <f>_xlfn.IFNA(VLOOKUP(CONCATENATE(BG$4,$C309),'INSER DATA'!$A:$F,7,0),"")</f>
        <v/>
      </c>
      <c r="BH309" s="270" t="str">
        <f>_xlfn.IFNA(VLOOKUP(CONCATENATE(BH$4,$C309),'INSER DATA'!$A:$F,7,0),"")</f>
        <v/>
      </c>
      <c r="BI309" s="270" t="str">
        <f>_xlfn.IFNA(VLOOKUP(CONCATENATE(BI$4,$C309),'INSER DATA'!$A:$F,7,0),"")</f>
        <v/>
      </c>
      <c r="BJ309" s="270" t="str">
        <f>_xlfn.IFNA(VLOOKUP(CONCATENATE(BJ$4,$C309),'INSER DATA'!$A:$F,7,0),"")</f>
        <v/>
      </c>
      <c r="BK309" s="270" t="str">
        <f>_xlfn.IFNA(VLOOKUP(CONCATENATE(BK$4,$C309),'INSER DATA'!$A:$F,7,0),"")</f>
        <v/>
      </c>
      <c r="BL309" s="272"/>
      <c r="BM309" s="30"/>
      <c r="BN309" s="30"/>
      <c r="BO309" s="30"/>
      <c r="BP309" s="30"/>
      <c r="BQ309" s="30"/>
      <c r="BR309" s="30"/>
      <c r="BS309" s="30"/>
      <c r="BT309" s="30"/>
      <c r="BU309" s="30"/>
      <c r="BV309" s="30"/>
      <c r="BW309" s="30"/>
      <c r="BX309" s="30"/>
      <c r="BY309" s="30"/>
      <c r="BZ309" s="30"/>
      <c r="CA309" s="30"/>
      <c r="CB309" s="30"/>
      <c r="CC309" s="30"/>
      <c r="CD309" s="30"/>
      <c r="CE309" s="30"/>
      <c r="CF309" s="30"/>
      <c r="CG309" s="30"/>
      <c r="CH309" s="30"/>
      <c r="CI309" s="30"/>
      <c r="CJ309" s="30"/>
      <c r="CK309" s="30"/>
      <c r="CL309" s="30"/>
      <c r="CM309" s="30"/>
      <c r="CN309" s="30"/>
      <c r="CO309" s="30"/>
      <c r="CP309" s="30"/>
      <c r="CQ309" s="30"/>
      <c r="CR309" s="30"/>
      <c r="CS309" s="30"/>
      <c r="CT309" s="30"/>
      <c r="CU309" s="30"/>
      <c r="CV309" s="30"/>
      <c r="CW309" s="30"/>
      <c r="CX309" s="30"/>
      <c r="CY309" s="30"/>
      <c r="CZ309" s="30"/>
      <c r="DA309" s="30"/>
    </row>
    <row r="310" spans="1:105" ht="19.2" thickTop="1" thickBot="1" x14ac:dyDescent="0.4">
      <c r="A310" s="30"/>
      <c r="B310" s="30"/>
      <c r="C310" s="188" t="s">
        <v>288</v>
      </c>
      <c r="D310" s="187" t="s">
        <v>826</v>
      </c>
      <c r="E310" s="35" t="str">
        <f>_xlfn.XLOOKUP(Tabella4[[#This Row],[NOME]],'ROSE SQUADRE'!$N$3:$N$253,'ROSE SQUADRE'!$O$3:$O$253,"")</f>
        <v/>
      </c>
      <c r="F310" s="36" t="s">
        <v>162</v>
      </c>
      <c r="G310" s="43">
        <v>4</v>
      </c>
      <c r="H310" s="43">
        <v>4</v>
      </c>
      <c r="I310" s="44">
        <f t="shared" si="25"/>
        <v>0</v>
      </c>
      <c r="J310" s="37">
        <f t="shared" si="26"/>
        <v>0</v>
      </c>
      <c r="K310" s="178">
        <f t="shared" si="27"/>
        <v>0</v>
      </c>
      <c r="L310" s="178">
        <f t="shared" si="28"/>
        <v>0</v>
      </c>
      <c r="M310" s="179">
        <f t="shared" si="29"/>
        <v>0</v>
      </c>
      <c r="N310" s="45">
        <f t="shared" ca="1" si="30"/>
        <v>0</v>
      </c>
      <c r="O310" s="40">
        <f>SUMIF(Tabella1[Nome],Tabella4[[#This Row],[NOME]],Tabella1[Gf])</f>
        <v>0</v>
      </c>
      <c r="P310" s="40">
        <f>-(SUMIF(Tabella1[Nome],Tabella4[[#This Row],[NOME]],Tabella1[Gs]))</f>
        <v>0</v>
      </c>
      <c r="Q310" s="40">
        <f>SUMIF(Tabella1[Nome],Tabella4[[#This Row],[NOME]],Tabella1[Rp])</f>
        <v>0</v>
      </c>
      <c r="R310" s="40">
        <f>SUMIF(Tabella1[Nome],Tabella4[[#This Row],[NOME]],Tabella1[Rs])</f>
        <v>0</v>
      </c>
      <c r="S310" s="40">
        <f>SUMIF(Tabella1[Nome],Tabella4[[#This Row],[NOME]],Tabella1[Rf])</f>
        <v>0</v>
      </c>
      <c r="T310" s="40">
        <f>SUMIF(Tabella1[Nome],Tabella4[[#This Row],[NOME]],Tabella1[Au])</f>
        <v>0</v>
      </c>
      <c r="U310" s="41">
        <f>SUMIF(Tabella1[Nome],Tabella4[[#This Row],[NOME]],Tabella1[Amm])</f>
        <v>0</v>
      </c>
      <c r="V310" s="42">
        <f>SUMIF(Tabella1[Nome],Tabella4[[#This Row],[NOME]],Tabella1[Esp])</f>
        <v>0</v>
      </c>
      <c r="W310" s="40">
        <f>SUMIF(Tabella1[Nome],Tabella4[[#This Row],[NOME]],Tabella1[Ass])</f>
        <v>0</v>
      </c>
      <c r="X310" s="40">
        <f>SUMIF(Tabella1[Nome],Tabella4[[#This Row],[NOME]],Tabella1[Gdv])</f>
        <v>0</v>
      </c>
      <c r="Y310" s="40">
        <f>SUMIF(Tabella1[Nome],Tabella4[[#This Row],[NOME]],Tabella1[cl sh])</f>
        <v>0</v>
      </c>
      <c r="Z310" s="270" t="str">
        <f>_xlfn.IFNA(_xlfn.XLOOKUP(CONCATENATE(Z$4,$C310),Tabella1[CONC X VOTI IN TAB GIOC],Tabella1[Voto],""),"")</f>
        <v/>
      </c>
      <c r="AA310" s="270" t="str">
        <f>_xlfn.IFNA(_xlfn.XLOOKUP(CONCATENATE(AA$4,$C310),Tabella1[CONC X VOTI IN TAB GIOC],Tabella1[Voto],""),"")</f>
        <v/>
      </c>
      <c r="AB310" s="270" t="str">
        <f>_xlfn.IFNA(_xlfn.XLOOKUP(CONCATENATE(AB$4,$C310),Tabella1[CONC X VOTI IN TAB GIOC],Tabella1[Voto]),"")</f>
        <v/>
      </c>
      <c r="AC310" s="270" t="str" cm="1">
        <f t="array" ref="AC310">_xlfn.IFNA(_xlfn.XLOOKUP(CONCATENATE(AC$4,$C310),INDEX(Tabella1[],0,MATCH("CONC X VOTI IN TAB GIOC",Tabella1[#Headers],0)),INDEX(Tabella1[],0,MATCH("Voto",Tabella1[#Headers],0))),"")</f>
        <v/>
      </c>
      <c r="AD310" s="270" t="str">
        <f>_xlfn.IFNA(_xlfn.XLOOKUP(CONCATENATE(AD$4,$C310),Tabella1[CONC X VOTI IN TAB GIOC],Tabella1[Voto]),"")</f>
        <v/>
      </c>
      <c r="AE310" s="270" t="str">
        <f>_xlfn.IFNA(VLOOKUP(CONCATENATE(AE$4,$C310),'INSER DATA'!$A:$F,6,0),"")</f>
        <v/>
      </c>
      <c r="AF310" s="270" t="str">
        <f>_xlfn.IFNA(VLOOKUP(CONCATENATE(AF$4,$C310),'INSER DATA'!$A:$F,6,0),"")</f>
        <v/>
      </c>
      <c r="AG310" s="270" t="str">
        <f>_xlfn.IFNA(VLOOKUP(CONCATENATE(AG$4,$C310),'INSER DATA'!$A:$F,6,0),"")</f>
        <v/>
      </c>
      <c r="AH310" s="270" t="str">
        <f>_xlfn.IFNA(VLOOKUP(CONCATENATE(AH$4,$C310),'INSER DATA'!$A:$F,7,0),"")</f>
        <v/>
      </c>
      <c r="AI310" s="270" t="str">
        <f>_xlfn.IFNA(VLOOKUP(CONCATENATE(AI$4,$C310),'INSER DATA'!$A:$F,7,0),"")</f>
        <v/>
      </c>
      <c r="AJ310" s="270" t="str">
        <f>_xlfn.IFNA(VLOOKUP(CONCATENATE(AJ$4,$C310),'INSER DATA'!$A:$F,7,0),"")</f>
        <v/>
      </c>
      <c r="AK310" s="270" t="str">
        <f>_xlfn.IFNA(VLOOKUP(CONCATENATE(AK$4,$C310),'INSER DATA'!$A:$F,7,0),"")</f>
        <v/>
      </c>
      <c r="AL310" s="270" t="str">
        <f>_xlfn.IFNA(VLOOKUP(CONCATENATE(AL$4,$C310),'INSER DATA'!$A:$F,7,0),"")</f>
        <v/>
      </c>
      <c r="AM310" s="270" t="str">
        <f>_xlfn.IFNA(VLOOKUP(CONCATENATE(AM$4,$C310),'INSER DATA'!$A:$F,7,0),"")</f>
        <v/>
      </c>
      <c r="AN310" s="270" t="str">
        <f>_xlfn.IFNA(VLOOKUP(CONCATENATE(AN$4,$C310),'INSER DATA'!$A:$F,7,0),"")</f>
        <v/>
      </c>
      <c r="AO310" s="270" t="str">
        <f>_xlfn.IFNA(VLOOKUP(CONCATENATE(AO$4,$C310),'INSER DATA'!$A:$F,7,0),"")</f>
        <v/>
      </c>
      <c r="AP310" s="270" t="str">
        <f>_xlfn.IFNA(VLOOKUP(CONCATENATE(AP$4,$C310),'INSER DATA'!$A:$F,7,0),"")</f>
        <v/>
      </c>
      <c r="AQ310" s="270" t="str">
        <f>_xlfn.IFNA(VLOOKUP(CONCATENATE(AQ$4,$C310),'INSER DATA'!$A:$F,7,0),"")</f>
        <v/>
      </c>
      <c r="AR310" s="270" t="str">
        <f>_xlfn.IFNA(VLOOKUP(CONCATENATE(AR$4,$C310),'INSER DATA'!$A:$F,7,0),"")</f>
        <v/>
      </c>
      <c r="AS310" s="270" t="str">
        <f>_xlfn.IFNA(VLOOKUP(CONCATENATE(AS$4,$C310),'INSER DATA'!$A:$F,7,0),"")</f>
        <v/>
      </c>
      <c r="AT310" s="270" t="str">
        <f>_xlfn.IFNA(VLOOKUP(CONCATENATE(AT$4,$C310),'INSER DATA'!$A:$F,7,0),"")</f>
        <v/>
      </c>
      <c r="AU310" s="270" t="str">
        <f>_xlfn.IFNA(VLOOKUP(CONCATENATE(AU$4,$C310),'INSER DATA'!$A:$F,7,0),"")</f>
        <v/>
      </c>
      <c r="AV310" s="270" t="str">
        <f>_xlfn.IFNA(VLOOKUP(CONCATENATE(AV$4,$C310),'INSER DATA'!$A:$F,7,0),"")</f>
        <v/>
      </c>
      <c r="AW310" s="270" t="str">
        <f>_xlfn.IFNA(VLOOKUP(CONCATENATE(AW$4,$C310),'INSER DATA'!$A:$F,7,0),"")</f>
        <v/>
      </c>
      <c r="AX310" s="270" t="str">
        <f>_xlfn.IFNA(VLOOKUP(CONCATENATE(AX$4,$C310),'INSER DATA'!$A:$F,7,0),"")</f>
        <v/>
      </c>
      <c r="AY310" s="270" t="str">
        <f>_xlfn.IFNA(VLOOKUP(CONCATENATE(AY$4,$C310),'INSER DATA'!$A:$F,7,0),"")</f>
        <v/>
      </c>
      <c r="AZ310" s="270" t="str">
        <f>_xlfn.IFNA(VLOOKUP(CONCATENATE(AZ$4,$C310),'INSER DATA'!$A:$F,7,0),"")</f>
        <v/>
      </c>
      <c r="BA310" s="270" t="str">
        <f>_xlfn.IFNA(VLOOKUP(CONCATENATE(BA$4,$C310),'INSER DATA'!$A:$F,7,0),"")</f>
        <v/>
      </c>
      <c r="BB310" s="270" t="str">
        <f>_xlfn.IFNA(VLOOKUP(CONCATENATE(BB$4,$C310),'INSER DATA'!$A:$F,7,0),"")</f>
        <v/>
      </c>
      <c r="BC310" s="270" t="str">
        <f>_xlfn.IFNA(VLOOKUP(CONCATENATE(BC$4,$C310),'INSER DATA'!$A:$F,7,0),"")</f>
        <v/>
      </c>
      <c r="BD310" s="270" t="str">
        <f>_xlfn.IFNA(VLOOKUP(CONCATENATE(BD$4,$C310),'INSER DATA'!$A:$F,7,0),"")</f>
        <v/>
      </c>
      <c r="BE310" s="270" t="str">
        <f>_xlfn.IFNA(VLOOKUP(CONCATENATE(BE$4,$C310),'INSER DATA'!$A:$F,7,0),"")</f>
        <v/>
      </c>
      <c r="BF310" s="270" t="str">
        <f>_xlfn.IFNA(VLOOKUP(CONCATENATE(BF$4,$C310),'INSER DATA'!$A:$F,7,0),"")</f>
        <v/>
      </c>
      <c r="BG310" s="270" t="str">
        <f>_xlfn.IFNA(VLOOKUP(CONCATENATE(BG$4,$C310),'INSER DATA'!$A:$F,7,0),"")</f>
        <v/>
      </c>
      <c r="BH310" s="270" t="str">
        <f>_xlfn.IFNA(VLOOKUP(CONCATENATE(BH$4,$C310),'INSER DATA'!$A:$F,7,0),"")</f>
        <v/>
      </c>
      <c r="BI310" s="270" t="str">
        <f>_xlfn.IFNA(VLOOKUP(CONCATENATE(BI$4,$C310),'INSER DATA'!$A:$F,7,0),"")</f>
        <v/>
      </c>
      <c r="BJ310" s="270" t="str">
        <f>_xlfn.IFNA(VLOOKUP(CONCATENATE(BJ$4,$C310),'INSER DATA'!$A:$F,7,0),"")</f>
        <v/>
      </c>
      <c r="BK310" s="270" t="str">
        <f>_xlfn.IFNA(VLOOKUP(CONCATENATE(BK$4,$C310),'INSER DATA'!$A:$F,7,0),"")</f>
        <v/>
      </c>
      <c r="BL310" s="272"/>
      <c r="BM310" s="30"/>
      <c r="BN310" s="30"/>
      <c r="BO310" s="30"/>
      <c r="BP310" s="30"/>
      <c r="BQ310" s="30"/>
      <c r="BR310" s="30"/>
      <c r="BS310" s="30"/>
      <c r="BT310" s="30"/>
      <c r="BU310" s="30"/>
      <c r="BV310" s="30"/>
      <c r="BW310" s="30"/>
      <c r="BX310" s="30"/>
      <c r="BY310" s="30"/>
      <c r="BZ310" s="30"/>
      <c r="CA310" s="30"/>
      <c r="CB310" s="30"/>
      <c r="CC310" s="30"/>
      <c r="CD310" s="30"/>
      <c r="CE310" s="30"/>
      <c r="CF310" s="30"/>
      <c r="CG310" s="30"/>
      <c r="CH310" s="30"/>
      <c r="CI310" s="30"/>
      <c r="CJ310" s="30"/>
      <c r="CK310" s="30"/>
      <c r="CL310" s="30"/>
      <c r="CM310" s="30"/>
      <c r="CN310" s="30"/>
      <c r="CO310" s="30"/>
      <c r="CP310" s="30"/>
      <c r="CQ310" s="30"/>
      <c r="CR310" s="30"/>
      <c r="CS310" s="30"/>
      <c r="CT310" s="30"/>
      <c r="CU310" s="30"/>
      <c r="CV310" s="30"/>
      <c r="CW310" s="30"/>
      <c r="CX310" s="30"/>
      <c r="CY310" s="30"/>
      <c r="CZ310" s="30"/>
      <c r="DA310" s="30"/>
    </row>
    <row r="311" spans="1:105" ht="19.2" thickTop="1" thickBot="1" x14ac:dyDescent="0.4">
      <c r="A311" s="30"/>
      <c r="B311" s="30"/>
      <c r="C311" s="356" t="s">
        <v>839</v>
      </c>
      <c r="D311" s="355" t="s">
        <v>826</v>
      </c>
      <c r="E311" s="35" t="str">
        <f>_xlfn.XLOOKUP(Tabella4[[#This Row],[NOME]],'ROSE SQUADRE'!$N$3:$N$253,'ROSE SQUADRE'!$O$3:$O$253,"")</f>
        <v>SESTO ASENSIO</v>
      </c>
      <c r="F311" s="36" t="s">
        <v>163</v>
      </c>
      <c r="G311" s="43">
        <v>5</v>
      </c>
      <c r="H311" s="43">
        <v>5</v>
      </c>
      <c r="I311" s="44">
        <f t="shared" si="25"/>
        <v>0</v>
      </c>
      <c r="J311" s="37">
        <f t="shared" si="26"/>
        <v>0</v>
      </c>
      <c r="K311" s="38">
        <f t="shared" si="27"/>
        <v>0</v>
      </c>
      <c r="L311" s="38">
        <f t="shared" si="28"/>
        <v>0</v>
      </c>
      <c r="M311" s="39">
        <f t="shared" si="29"/>
        <v>0</v>
      </c>
      <c r="N311" s="45">
        <f t="shared" ca="1" si="30"/>
        <v>0</v>
      </c>
      <c r="O311" s="40">
        <f>SUMIF(Tabella1[Nome],Tabella4[[#This Row],[NOME]],Tabella1[Gf])</f>
        <v>0</v>
      </c>
      <c r="P311" s="40">
        <f>-(SUMIF(Tabella1[Nome],Tabella4[[#This Row],[NOME]],Tabella1[Gs]))</f>
        <v>0</v>
      </c>
      <c r="Q311" s="40">
        <f>SUMIF(Tabella1[Nome],Tabella4[[#This Row],[NOME]],Tabella1[Rp])</f>
        <v>0</v>
      </c>
      <c r="R311" s="40">
        <f>SUMIF(Tabella1[Nome],Tabella4[[#This Row],[NOME]],Tabella1[Rs])</f>
        <v>0</v>
      </c>
      <c r="S311" s="40">
        <f>SUMIF(Tabella1[Nome],Tabella4[[#This Row],[NOME]],Tabella1[Rf])</f>
        <v>0</v>
      </c>
      <c r="T311" s="40">
        <f>SUMIF(Tabella1[Nome],Tabella4[[#This Row],[NOME]],Tabella1[Au])</f>
        <v>0</v>
      </c>
      <c r="U311" s="41">
        <f>SUMIF(Tabella1[Nome],Tabella4[[#This Row],[NOME]],Tabella1[Amm])</f>
        <v>0</v>
      </c>
      <c r="V311" s="42">
        <f>SUMIF(Tabella1[Nome],Tabella4[[#This Row],[NOME]],Tabella1[Esp])</f>
        <v>0</v>
      </c>
      <c r="W311" s="40">
        <f>SUMIF(Tabella1[Nome],Tabella4[[#This Row],[NOME]],Tabella1[Ass])</f>
        <v>0</v>
      </c>
      <c r="X311" s="40">
        <f>SUMIF(Tabella1[Nome],Tabella4[[#This Row],[NOME]],Tabella1[Gdv])</f>
        <v>0</v>
      </c>
      <c r="Y311" s="40">
        <f>SUMIF(Tabella1[Nome],Tabella4[[#This Row],[NOME]],Tabella1[cl sh])</f>
        <v>0</v>
      </c>
      <c r="Z311" s="270" t="str">
        <f>_xlfn.IFNA(_xlfn.XLOOKUP(CONCATENATE(Z$4,$C311),Tabella1[CONC X VOTI IN TAB GIOC],Tabella1[Voto],""),"")</f>
        <v/>
      </c>
      <c r="AA311" s="270" t="str">
        <f>_xlfn.IFNA(_xlfn.XLOOKUP(CONCATENATE(AA$4,$C311),Tabella1[CONC X VOTI IN TAB GIOC],Tabella1[Voto],""),"")</f>
        <v/>
      </c>
      <c r="AB311" s="270" t="str">
        <f>_xlfn.IFNA(_xlfn.XLOOKUP(CONCATENATE(AB$4,$C311),Tabella1[CONC X VOTI IN TAB GIOC],Tabella1[Voto]),"")</f>
        <v/>
      </c>
      <c r="AC311" s="270" t="str" cm="1">
        <f t="array" ref="AC311">_xlfn.IFNA(_xlfn.XLOOKUP(CONCATENATE(AC$4,$C311),INDEX(Tabella1[],0,MATCH("CONC X VOTI IN TAB GIOC",Tabella1[#Headers],0)),INDEX(Tabella1[],0,MATCH("Voto",Tabella1[#Headers],0))),"")</f>
        <v/>
      </c>
      <c r="AD311" s="270" t="str">
        <f>_xlfn.IFNA(_xlfn.XLOOKUP(CONCATENATE(AD$4,$C311),Tabella1[CONC X VOTI IN TAB GIOC],Tabella1[Voto]),"")</f>
        <v/>
      </c>
      <c r="AE311" s="270" t="str">
        <f>_xlfn.IFNA(VLOOKUP(CONCATENATE(AE$4,$C311),'INSER DATA'!$A:$F,6,0),"")</f>
        <v/>
      </c>
      <c r="AF311" s="270" t="str">
        <f>_xlfn.IFNA(VLOOKUP(CONCATENATE(AF$4,$C311),'INSER DATA'!$A:$F,6,0),"")</f>
        <v/>
      </c>
      <c r="AG311" s="270" t="str">
        <f>_xlfn.IFNA(VLOOKUP(CONCATENATE(AG$4,$C311),'INSER DATA'!$A:$F,6,0),"")</f>
        <v/>
      </c>
      <c r="AH311" s="270" t="str">
        <f>_xlfn.IFNA(VLOOKUP(CONCATENATE(AH$4,$C311),'INSER DATA'!$A:$F,7,0),"")</f>
        <v/>
      </c>
      <c r="AI311" s="270" t="str">
        <f>_xlfn.IFNA(VLOOKUP(CONCATENATE(AI$4,$C311),'INSER DATA'!$A:$F,7,0),"")</f>
        <v/>
      </c>
      <c r="AJ311" s="270" t="str">
        <f>_xlfn.IFNA(VLOOKUP(CONCATENATE(AJ$4,$C311),'INSER DATA'!$A:$F,7,0),"")</f>
        <v/>
      </c>
      <c r="AK311" s="270" t="str">
        <f>_xlfn.IFNA(VLOOKUP(CONCATENATE(AK$4,$C311),'INSER DATA'!$A:$F,7,0),"")</f>
        <v/>
      </c>
      <c r="AL311" s="270" t="str">
        <f>_xlfn.IFNA(VLOOKUP(CONCATENATE(AL$4,$C311),'INSER DATA'!$A:$F,7,0),"")</f>
        <v/>
      </c>
      <c r="AM311" s="270" t="str">
        <f>_xlfn.IFNA(VLOOKUP(CONCATENATE(AM$4,$C311),'INSER DATA'!$A:$F,7,0),"")</f>
        <v/>
      </c>
      <c r="AN311" s="270" t="str">
        <f>_xlfn.IFNA(VLOOKUP(CONCATENATE(AN$4,$C311),'INSER DATA'!$A:$F,7,0),"")</f>
        <v/>
      </c>
      <c r="AO311" s="270" t="str">
        <f>_xlfn.IFNA(VLOOKUP(CONCATENATE(AO$4,$C311),'INSER DATA'!$A:$F,7,0),"")</f>
        <v/>
      </c>
      <c r="AP311" s="270" t="str">
        <f>_xlfn.IFNA(VLOOKUP(CONCATENATE(AP$4,$C311),'INSER DATA'!$A:$F,7,0),"")</f>
        <v/>
      </c>
      <c r="AQ311" s="270" t="str">
        <f>_xlfn.IFNA(VLOOKUP(CONCATENATE(AQ$4,$C311),'INSER DATA'!$A:$F,7,0),"")</f>
        <v/>
      </c>
      <c r="AR311" s="270" t="str">
        <f>_xlfn.IFNA(VLOOKUP(CONCATENATE(AR$4,$C311),'INSER DATA'!$A:$F,7,0),"")</f>
        <v/>
      </c>
      <c r="AS311" s="270" t="str">
        <f>_xlfn.IFNA(VLOOKUP(CONCATENATE(AS$4,$C311),'INSER DATA'!$A:$F,7,0),"")</f>
        <v/>
      </c>
      <c r="AT311" s="270" t="str">
        <f>_xlfn.IFNA(VLOOKUP(CONCATENATE(AT$4,$C311),'INSER DATA'!$A:$F,7,0),"")</f>
        <v/>
      </c>
      <c r="AU311" s="270" t="str">
        <f>_xlfn.IFNA(VLOOKUP(CONCATENATE(AU$4,$C311),'INSER DATA'!$A:$F,7,0),"")</f>
        <v/>
      </c>
      <c r="AV311" s="270" t="str">
        <f>_xlfn.IFNA(VLOOKUP(CONCATENATE(AV$4,$C311),'INSER DATA'!$A:$F,7,0),"")</f>
        <v/>
      </c>
      <c r="AW311" s="270" t="str">
        <f>_xlfn.IFNA(VLOOKUP(CONCATENATE(AW$4,$C311),'INSER DATA'!$A:$F,7,0),"")</f>
        <v/>
      </c>
      <c r="AX311" s="270" t="str">
        <f>_xlfn.IFNA(VLOOKUP(CONCATENATE(AX$4,$C311),'INSER DATA'!$A:$F,7,0),"")</f>
        <v/>
      </c>
      <c r="AY311" s="270" t="str">
        <f>_xlfn.IFNA(VLOOKUP(CONCATENATE(AY$4,$C311),'INSER DATA'!$A:$F,7,0),"")</f>
        <v/>
      </c>
      <c r="AZ311" s="270" t="str">
        <f>_xlfn.IFNA(VLOOKUP(CONCATENATE(AZ$4,$C311),'INSER DATA'!$A:$F,7,0),"")</f>
        <v/>
      </c>
      <c r="BA311" s="270" t="str">
        <f>_xlfn.IFNA(VLOOKUP(CONCATENATE(BA$4,$C311),'INSER DATA'!$A:$F,7,0),"")</f>
        <v/>
      </c>
      <c r="BB311" s="270" t="str">
        <f>_xlfn.IFNA(VLOOKUP(CONCATENATE(BB$4,$C311),'INSER DATA'!$A:$F,7,0),"")</f>
        <v/>
      </c>
      <c r="BC311" s="270" t="str">
        <f>_xlfn.IFNA(VLOOKUP(CONCATENATE(BC$4,$C311),'INSER DATA'!$A:$F,7,0),"")</f>
        <v/>
      </c>
      <c r="BD311" s="270" t="str">
        <f>_xlfn.IFNA(VLOOKUP(CONCATENATE(BD$4,$C311),'INSER DATA'!$A:$F,7,0),"")</f>
        <v/>
      </c>
      <c r="BE311" s="270" t="str">
        <f>_xlfn.IFNA(VLOOKUP(CONCATENATE(BE$4,$C311),'INSER DATA'!$A:$F,7,0),"")</f>
        <v/>
      </c>
      <c r="BF311" s="270" t="str">
        <f>_xlfn.IFNA(VLOOKUP(CONCATENATE(BF$4,$C311),'INSER DATA'!$A:$F,7,0),"")</f>
        <v/>
      </c>
      <c r="BG311" s="270" t="str">
        <f>_xlfn.IFNA(VLOOKUP(CONCATENATE(BG$4,$C311),'INSER DATA'!$A:$F,7,0),"")</f>
        <v/>
      </c>
      <c r="BH311" s="270" t="str">
        <f>_xlfn.IFNA(VLOOKUP(CONCATENATE(BH$4,$C311),'INSER DATA'!$A:$F,7,0),"")</f>
        <v/>
      </c>
      <c r="BI311" s="270" t="str">
        <f>_xlfn.IFNA(VLOOKUP(CONCATENATE(BI$4,$C311),'INSER DATA'!$A:$F,7,0),"")</f>
        <v/>
      </c>
      <c r="BJ311" s="270" t="str">
        <f>_xlfn.IFNA(VLOOKUP(CONCATENATE(BJ$4,$C311),'INSER DATA'!$A:$F,7,0),"")</f>
        <v/>
      </c>
      <c r="BK311" s="270" t="str">
        <f>_xlfn.IFNA(VLOOKUP(CONCATENATE(BK$4,$C311),'INSER DATA'!$A:$F,7,0),"")</f>
        <v/>
      </c>
      <c r="BL311" s="272"/>
      <c r="BM311" s="30"/>
      <c r="BN311" s="30"/>
      <c r="BO311" s="30"/>
      <c r="BP311" s="30"/>
      <c r="BQ311" s="30"/>
      <c r="BR311" s="30"/>
      <c r="BS311" s="30"/>
      <c r="BT311" s="30"/>
      <c r="BU311" s="30"/>
      <c r="BV311" s="30"/>
      <c r="BW311" s="30"/>
      <c r="BX311" s="30"/>
      <c r="BY311" s="30"/>
      <c r="BZ311" s="30"/>
      <c r="CA311" s="30"/>
      <c r="CB311" s="30"/>
      <c r="CC311" s="30"/>
      <c r="CD311" s="30"/>
      <c r="CE311" s="30"/>
      <c r="CF311" s="30"/>
      <c r="CG311" s="30"/>
      <c r="CH311" s="30"/>
      <c r="CI311" s="30"/>
      <c r="CJ311" s="30"/>
      <c r="CK311" s="30"/>
      <c r="CL311" s="30"/>
      <c r="CM311" s="30"/>
      <c r="CN311" s="30"/>
      <c r="CO311" s="30"/>
      <c r="CP311" s="30"/>
      <c r="CQ311" s="30"/>
      <c r="CR311" s="30"/>
      <c r="CS311" s="30"/>
      <c r="CT311" s="30"/>
      <c r="CU311" s="30"/>
      <c r="CV311" s="30"/>
      <c r="CW311" s="30"/>
      <c r="CX311" s="30"/>
      <c r="CY311" s="30"/>
      <c r="CZ311" s="30"/>
      <c r="DA311" s="30"/>
    </row>
    <row r="312" spans="1:105" ht="19.2" thickTop="1" thickBot="1" x14ac:dyDescent="0.4">
      <c r="A312" s="30"/>
      <c r="B312" s="30"/>
      <c r="C312" s="188" t="s">
        <v>840</v>
      </c>
      <c r="D312" s="187" t="s">
        <v>826</v>
      </c>
      <c r="E312" s="35" t="str">
        <f>_xlfn.XLOOKUP(Tabella4[[#This Row],[NOME]],'ROSE SQUADRE'!$N$3:$N$253,'ROSE SQUADRE'!$O$3:$O$253,"")</f>
        <v/>
      </c>
      <c r="F312" s="36" t="s">
        <v>163</v>
      </c>
      <c r="G312" s="43">
        <v>6</v>
      </c>
      <c r="H312" s="43">
        <v>6</v>
      </c>
      <c r="I312" s="44">
        <f t="shared" si="25"/>
        <v>0</v>
      </c>
      <c r="J312" s="37">
        <f t="shared" si="26"/>
        <v>0</v>
      </c>
      <c r="K312" s="38">
        <f t="shared" si="27"/>
        <v>0</v>
      </c>
      <c r="L312" s="38">
        <f t="shared" si="28"/>
        <v>0</v>
      </c>
      <c r="M312" s="39">
        <f t="shared" si="29"/>
        <v>0</v>
      </c>
      <c r="N312" s="45">
        <f t="shared" ca="1" si="30"/>
        <v>0</v>
      </c>
      <c r="O312" s="40">
        <f>SUMIF(Tabella1[Nome],Tabella4[[#This Row],[NOME]],Tabella1[Gf])</f>
        <v>0</v>
      </c>
      <c r="P312" s="40">
        <f>-(SUMIF(Tabella1[Nome],Tabella4[[#This Row],[NOME]],Tabella1[Gs]))</f>
        <v>0</v>
      </c>
      <c r="Q312" s="40">
        <f>SUMIF(Tabella1[Nome],Tabella4[[#This Row],[NOME]],Tabella1[Rp])</f>
        <v>0</v>
      </c>
      <c r="R312" s="40">
        <f>SUMIF(Tabella1[Nome],Tabella4[[#This Row],[NOME]],Tabella1[Rs])</f>
        <v>0</v>
      </c>
      <c r="S312" s="40">
        <f>SUMIF(Tabella1[Nome],Tabella4[[#This Row],[NOME]],Tabella1[Rf])</f>
        <v>0</v>
      </c>
      <c r="T312" s="40">
        <f>SUMIF(Tabella1[Nome],Tabella4[[#This Row],[NOME]],Tabella1[Au])</f>
        <v>0</v>
      </c>
      <c r="U312" s="41">
        <f>SUMIF(Tabella1[Nome],Tabella4[[#This Row],[NOME]],Tabella1[Amm])</f>
        <v>0</v>
      </c>
      <c r="V312" s="42">
        <f>SUMIF(Tabella1[Nome],Tabella4[[#This Row],[NOME]],Tabella1[Esp])</f>
        <v>0</v>
      </c>
      <c r="W312" s="40">
        <f>SUMIF(Tabella1[Nome],Tabella4[[#This Row],[NOME]],Tabella1[Ass])</f>
        <v>0</v>
      </c>
      <c r="X312" s="40">
        <f>SUMIF(Tabella1[Nome],Tabella4[[#This Row],[NOME]],Tabella1[Gdv])</f>
        <v>0</v>
      </c>
      <c r="Y312" s="40">
        <f>SUMIF(Tabella1[Nome],Tabella4[[#This Row],[NOME]],Tabella1[cl sh])</f>
        <v>0</v>
      </c>
      <c r="Z312" s="270" t="str">
        <f>_xlfn.IFNA(_xlfn.XLOOKUP(CONCATENATE(Z$4,$C312),Tabella1[CONC X VOTI IN TAB GIOC],Tabella1[Voto],""),"")</f>
        <v/>
      </c>
      <c r="AA312" s="270" t="str">
        <f>_xlfn.IFNA(_xlfn.XLOOKUP(CONCATENATE(AA$4,$C312),Tabella1[CONC X VOTI IN TAB GIOC],Tabella1[Voto],""),"")</f>
        <v/>
      </c>
      <c r="AB312" s="270" t="str">
        <f>_xlfn.IFNA(_xlfn.XLOOKUP(CONCATENATE(AB$4,$C312),Tabella1[CONC X VOTI IN TAB GIOC],Tabella1[Voto]),"")</f>
        <v/>
      </c>
      <c r="AC312" s="270" t="str" cm="1">
        <f t="array" ref="AC312">_xlfn.IFNA(_xlfn.XLOOKUP(CONCATENATE(AC$4,$C312),INDEX(Tabella1[],0,MATCH("CONC X VOTI IN TAB GIOC",Tabella1[#Headers],0)),INDEX(Tabella1[],0,MATCH("Voto",Tabella1[#Headers],0))),"")</f>
        <v/>
      </c>
      <c r="AD312" s="270" t="str">
        <f>_xlfn.IFNA(_xlfn.XLOOKUP(CONCATENATE(AD$4,$C312),Tabella1[CONC X VOTI IN TAB GIOC],Tabella1[Voto]),"")</f>
        <v/>
      </c>
      <c r="AE312" s="270" t="str">
        <f>_xlfn.IFNA(VLOOKUP(CONCATENATE(AE$4,$C312),'INSER DATA'!$A:$F,6,0),"")</f>
        <v/>
      </c>
      <c r="AF312" s="270" t="str">
        <f>_xlfn.IFNA(VLOOKUP(CONCATENATE(AF$4,$C312),'INSER DATA'!$A:$F,6,0),"")</f>
        <v/>
      </c>
      <c r="AG312" s="270" t="str">
        <f>_xlfn.IFNA(VLOOKUP(CONCATENATE(AG$4,$C312),'INSER DATA'!$A:$F,6,0),"")</f>
        <v/>
      </c>
      <c r="AH312" s="270" t="str">
        <f>_xlfn.IFNA(VLOOKUP(CONCATENATE(AH$4,$C312),'INSER DATA'!$A:$F,7,0),"")</f>
        <v/>
      </c>
      <c r="AI312" s="270" t="str">
        <f>_xlfn.IFNA(VLOOKUP(CONCATENATE(AI$4,$C312),'INSER DATA'!$A:$F,7,0),"")</f>
        <v/>
      </c>
      <c r="AJ312" s="270" t="str">
        <f>_xlfn.IFNA(VLOOKUP(CONCATENATE(AJ$4,$C312),'INSER DATA'!$A:$F,7,0),"")</f>
        <v/>
      </c>
      <c r="AK312" s="270" t="str">
        <f>_xlfn.IFNA(VLOOKUP(CONCATENATE(AK$4,$C312),'INSER DATA'!$A:$F,7,0),"")</f>
        <v/>
      </c>
      <c r="AL312" s="270" t="str">
        <f>_xlfn.IFNA(VLOOKUP(CONCATENATE(AL$4,$C312),'INSER DATA'!$A:$F,7,0),"")</f>
        <v/>
      </c>
      <c r="AM312" s="270" t="str">
        <f>_xlfn.IFNA(VLOOKUP(CONCATENATE(AM$4,$C312),'INSER DATA'!$A:$F,7,0),"")</f>
        <v/>
      </c>
      <c r="AN312" s="270" t="str">
        <f>_xlfn.IFNA(VLOOKUP(CONCATENATE(AN$4,$C312),'INSER DATA'!$A:$F,7,0),"")</f>
        <v/>
      </c>
      <c r="AO312" s="270" t="str">
        <f>_xlfn.IFNA(VLOOKUP(CONCATENATE(AO$4,$C312),'INSER DATA'!$A:$F,7,0),"")</f>
        <v/>
      </c>
      <c r="AP312" s="270" t="str">
        <f>_xlfn.IFNA(VLOOKUP(CONCATENATE(AP$4,$C312),'INSER DATA'!$A:$F,7,0),"")</f>
        <v/>
      </c>
      <c r="AQ312" s="270" t="str">
        <f>_xlfn.IFNA(VLOOKUP(CONCATENATE(AQ$4,$C312),'INSER DATA'!$A:$F,7,0),"")</f>
        <v/>
      </c>
      <c r="AR312" s="270" t="str">
        <f>_xlfn.IFNA(VLOOKUP(CONCATENATE(AR$4,$C312),'INSER DATA'!$A:$F,7,0),"")</f>
        <v/>
      </c>
      <c r="AS312" s="270" t="str">
        <f>_xlfn.IFNA(VLOOKUP(CONCATENATE(AS$4,$C312),'INSER DATA'!$A:$F,7,0),"")</f>
        <v/>
      </c>
      <c r="AT312" s="270" t="str">
        <f>_xlfn.IFNA(VLOOKUP(CONCATENATE(AT$4,$C312),'INSER DATA'!$A:$F,7,0),"")</f>
        <v/>
      </c>
      <c r="AU312" s="270" t="str">
        <f>_xlfn.IFNA(VLOOKUP(CONCATENATE(AU$4,$C312),'INSER DATA'!$A:$F,7,0),"")</f>
        <v/>
      </c>
      <c r="AV312" s="270" t="str">
        <f>_xlfn.IFNA(VLOOKUP(CONCATENATE(AV$4,$C312),'INSER DATA'!$A:$F,7,0),"")</f>
        <v/>
      </c>
      <c r="AW312" s="270" t="str">
        <f>_xlfn.IFNA(VLOOKUP(CONCATENATE(AW$4,$C312),'INSER DATA'!$A:$F,7,0),"")</f>
        <v/>
      </c>
      <c r="AX312" s="270" t="str">
        <f>_xlfn.IFNA(VLOOKUP(CONCATENATE(AX$4,$C312),'INSER DATA'!$A:$F,7,0),"")</f>
        <v/>
      </c>
      <c r="AY312" s="270" t="str">
        <f>_xlfn.IFNA(VLOOKUP(CONCATENATE(AY$4,$C312),'INSER DATA'!$A:$F,7,0),"")</f>
        <v/>
      </c>
      <c r="AZ312" s="270" t="str">
        <f>_xlfn.IFNA(VLOOKUP(CONCATENATE(AZ$4,$C312),'INSER DATA'!$A:$F,7,0),"")</f>
        <v/>
      </c>
      <c r="BA312" s="270" t="str">
        <f>_xlfn.IFNA(VLOOKUP(CONCATENATE(BA$4,$C312),'INSER DATA'!$A:$F,7,0),"")</f>
        <v/>
      </c>
      <c r="BB312" s="270" t="str">
        <f>_xlfn.IFNA(VLOOKUP(CONCATENATE(BB$4,$C312),'INSER DATA'!$A:$F,7,0),"")</f>
        <v/>
      </c>
      <c r="BC312" s="270" t="str">
        <f>_xlfn.IFNA(VLOOKUP(CONCATENATE(BC$4,$C312),'INSER DATA'!$A:$F,7,0),"")</f>
        <v/>
      </c>
      <c r="BD312" s="270" t="str">
        <f>_xlfn.IFNA(VLOOKUP(CONCATENATE(BD$4,$C312),'INSER DATA'!$A:$F,7,0),"")</f>
        <v/>
      </c>
      <c r="BE312" s="270" t="str">
        <f>_xlfn.IFNA(VLOOKUP(CONCATENATE(BE$4,$C312),'INSER DATA'!$A:$F,7,0),"")</f>
        <v/>
      </c>
      <c r="BF312" s="270" t="str">
        <f>_xlfn.IFNA(VLOOKUP(CONCATENATE(BF$4,$C312),'INSER DATA'!$A:$F,7,0),"")</f>
        <v/>
      </c>
      <c r="BG312" s="270" t="str">
        <f>_xlfn.IFNA(VLOOKUP(CONCATENATE(BG$4,$C312),'INSER DATA'!$A:$F,7,0),"")</f>
        <v/>
      </c>
      <c r="BH312" s="270" t="str">
        <f>_xlfn.IFNA(VLOOKUP(CONCATENATE(BH$4,$C312),'INSER DATA'!$A:$F,7,0),"")</f>
        <v/>
      </c>
      <c r="BI312" s="270" t="str">
        <f>_xlfn.IFNA(VLOOKUP(CONCATENATE(BI$4,$C312),'INSER DATA'!$A:$F,7,0),"")</f>
        <v/>
      </c>
      <c r="BJ312" s="270" t="str">
        <f>_xlfn.IFNA(VLOOKUP(CONCATENATE(BJ$4,$C312),'INSER DATA'!$A:$F,7,0),"")</f>
        <v/>
      </c>
      <c r="BK312" s="270" t="str">
        <f>_xlfn.IFNA(VLOOKUP(CONCATENATE(BK$4,$C312),'INSER DATA'!$A:$F,7,0),"")</f>
        <v/>
      </c>
      <c r="BL312" s="272"/>
      <c r="BM312" s="30"/>
      <c r="BN312" s="30"/>
      <c r="BO312" s="30"/>
      <c r="BP312" s="30"/>
      <c r="BQ312" s="30"/>
      <c r="BR312" s="30"/>
      <c r="BS312" s="30"/>
      <c r="BT312" s="30"/>
      <c r="BU312" s="30"/>
      <c r="BV312" s="30"/>
      <c r="BW312" s="30"/>
      <c r="BX312" s="30"/>
      <c r="BY312" s="30"/>
      <c r="BZ312" s="30"/>
      <c r="CA312" s="30"/>
      <c r="CB312" s="30"/>
      <c r="CC312" s="30"/>
      <c r="CD312" s="30"/>
      <c r="CE312" s="30"/>
      <c r="CF312" s="30"/>
      <c r="CG312" s="30"/>
      <c r="CH312" s="30"/>
      <c r="CI312" s="30"/>
      <c r="CJ312" s="30"/>
      <c r="CK312" s="30"/>
      <c r="CL312" s="30"/>
      <c r="CM312" s="30"/>
      <c r="CN312" s="30"/>
      <c r="CO312" s="30"/>
      <c r="CP312" s="30"/>
      <c r="CQ312" s="30"/>
      <c r="CR312" s="30"/>
      <c r="CS312" s="30"/>
      <c r="CT312" s="30"/>
      <c r="CU312" s="30"/>
      <c r="CV312" s="30"/>
      <c r="CW312" s="30"/>
      <c r="CX312" s="30"/>
      <c r="CY312" s="30"/>
      <c r="CZ312" s="30"/>
      <c r="DA312" s="30"/>
    </row>
    <row r="313" spans="1:105" ht="19.2" thickTop="1" thickBot="1" x14ac:dyDescent="0.4">
      <c r="A313" s="30"/>
      <c r="B313" s="30"/>
      <c r="C313" s="356" t="s">
        <v>858</v>
      </c>
      <c r="D313" s="355" t="s">
        <v>842</v>
      </c>
      <c r="E313" s="35" t="str">
        <f>_xlfn.XLOOKUP(Tabella4[[#This Row],[NOME]],'ROSE SQUADRE'!$N$3:$N$253,'ROSE SQUADRE'!$O$3:$O$253,"")</f>
        <v>AC ASPARAGHESE</v>
      </c>
      <c r="F313" s="36" t="s">
        <v>163</v>
      </c>
      <c r="G313" s="43">
        <v>3</v>
      </c>
      <c r="H313" s="43">
        <v>5</v>
      </c>
      <c r="I313" s="44">
        <f t="shared" si="25"/>
        <v>2</v>
      </c>
      <c r="J313" s="37">
        <f t="shared" si="26"/>
        <v>3</v>
      </c>
      <c r="K313" s="178">
        <f t="shared" si="27"/>
        <v>6.666666666666667</v>
      </c>
      <c r="L313" s="178">
        <f t="shared" si="28"/>
        <v>8.6666666666666661</v>
      </c>
      <c r="M313" s="179">
        <f t="shared" si="29"/>
        <v>26</v>
      </c>
      <c r="N313" s="45">
        <f t="shared" ca="1" si="30"/>
        <v>0</v>
      </c>
      <c r="O313" s="40">
        <f>SUMIF(Tabella1[Nome],Tabella4[[#This Row],[NOME]],Tabella1[Gf])</f>
        <v>2</v>
      </c>
      <c r="P313" s="40">
        <f>-(SUMIF(Tabella1[Nome],Tabella4[[#This Row],[NOME]],Tabella1[Gs]))</f>
        <v>0</v>
      </c>
      <c r="Q313" s="40">
        <f>SUMIF(Tabella1[Nome],Tabella4[[#This Row],[NOME]],Tabella1[Rp])</f>
        <v>0</v>
      </c>
      <c r="R313" s="40">
        <f>SUMIF(Tabella1[Nome],Tabella4[[#This Row],[NOME]],Tabella1[Rs])</f>
        <v>0</v>
      </c>
      <c r="S313" s="40">
        <f>SUMIF(Tabella1[Nome],Tabella4[[#This Row],[NOME]],Tabella1[Rf])</f>
        <v>0</v>
      </c>
      <c r="T313" s="40">
        <f>SUMIF(Tabella1[Nome],Tabella4[[#This Row],[NOME]],Tabella1[Au])</f>
        <v>0</v>
      </c>
      <c r="U313" s="41">
        <f>SUMIF(Tabella1[Nome],Tabella4[[#This Row],[NOME]],Tabella1[Amm])</f>
        <v>0</v>
      </c>
      <c r="V313" s="42">
        <f>SUMIF(Tabella1[Nome],Tabella4[[#This Row],[NOME]],Tabella1[Esp])</f>
        <v>0</v>
      </c>
      <c r="W313" s="40">
        <f>SUMIF(Tabella1[Nome],Tabella4[[#This Row],[NOME]],Tabella1[Ass])</f>
        <v>0</v>
      </c>
      <c r="X313" s="40">
        <f>SUMIF(Tabella1[Nome],Tabella4[[#This Row],[NOME]],Tabella1[Gdv])</f>
        <v>0</v>
      </c>
      <c r="Y313" s="40">
        <f>SUMIF(Tabella1[Nome],Tabella4[[#This Row],[NOME]],Tabella1[cl sh])</f>
        <v>0</v>
      </c>
      <c r="Z313" s="270">
        <f>_xlfn.IFNA(_xlfn.XLOOKUP(CONCATENATE(Z$4,$C313),Tabella1[CONC X VOTI IN TAB GIOC],Tabella1[Voto],""),"")</f>
        <v>7</v>
      </c>
      <c r="AA313" s="270">
        <f>_xlfn.IFNA(_xlfn.XLOOKUP(CONCATENATE(AA$4,$C313),Tabella1[CONC X VOTI IN TAB GIOC],Tabella1[Voto],""),"")</f>
        <v>7</v>
      </c>
      <c r="AB313" s="270" t="str">
        <f>_xlfn.IFNA(_xlfn.XLOOKUP(CONCATENATE(AB$4,$C313),Tabella1[CONC X VOTI IN TAB GIOC],Tabella1[Voto]),"")</f>
        <v/>
      </c>
      <c r="AC313" s="270" cm="1">
        <f t="array" ref="AC313">_xlfn.IFNA(_xlfn.XLOOKUP(CONCATENATE(AC$4,$C313),INDEX(Tabella1[],0,MATCH("CONC X VOTI IN TAB GIOC",Tabella1[#Headers],0)),INDEX(Tabella1[],0,MATCH("Voto",Tabella1[#Headers],0))),"")</f>
        <v>6</v>
      </c>
      <c r="AD313" s="270" t="str">
        <f>_xlfn.IFNA(_xlfn.XLOOKUP(CONCATENATE(AD$4,$C313),Tabella1[CONC X VOTI IN TAB GIOC],Tabella1[Voto]),"")</f>
        <v/>
      </c>
      <c r="AE313" s="270" t="str">
        <f>_xlfn.IFNA(VLOOKUP(CONCATENATE(AE$4,$C313),'INSER DATA'!$A:$F,6,0),"")</f>
        <v/>
      </c>
      <c r="AF313" s="270" t="str">
        <f>_xlfn.IFNA(VLOOKUP(CONCATENATE(AF$4,$C313),'INSER DATA'!$A:$F,6,0),"")</f>
        <v/>
      </c>
      <c r="AG313" s="270" t="str">
        <f>_xlfn.IFNA(VLOOKUP(CONCATENATE(AG$4,$C313),'INSER DATA'!$A:$F,6,0),"")</f>
        <v/>
      </c>
      <c r="AH313" s="270" t="str">
        <f>_xlfn.IFNA(VLOOKUP(CONCATENATE(AH$4,$C313),'INSER DATA'!$A:$F,7,0),"")</f>
        <v/>
      </c>
      <c r="AI313" s="270" t="str">
        <f>_xlfn.IFNA(VLOOKUP(CONCATENATE(AI$4,$C313),'INSER DATA'!$A:$F,7,0),"")</f>
        <v/>
      </c>
      <c r="AJ313" s="270" t="str">
        <f>_xlfn.IFNA(VLOOKUP(CONCATENATE(AJ$4,$C313),'INSER DATA'!$A:$F,7,0),"")</f>
        <v/>
      </c>
      <c r="AK313" s="270" t="str">
        <f>_xlfn.IFNA(VLOOKUP(CONCATENATE(AK$4,$C313),'INSER DATA'!$A:$F,7,0),"")</f>
        <v/>
      </c>
      <c r="AL313" s="270" t="str">
        <f>_xlfn.IFNA(VLOOKUP(CONCATENATE(AL$4,$C313),'INSER DATA'!$A:$F,7,0),"")</f>
        <v/>
      </c>
      <c r="AM313" s="270" t="str">
        <f>_xlfn.IFNA(VLOOKUP(CONCATENATE(AM$4,$C313),'INSER DATA'!$A:$F,7,0),"")</f>
        <v/>
      </c>
      <c r="AN313" s="270" t="str">
        <f>_xlfn.IFNA(VLOOKUP(CONCATENATE(AN$4,$C313),'INSER DATA'!$A:$F,7,0),"")</f>
        <v/>
      </c>
      <c r="AO313" s="270" t="str">
        <f>_xlfn.IFNA(VLOOKUP(CONCATENATE(AO$4,$C313),'INSER DATA'!$A:$F,7,0),"")</f>
        <v/>
      </c>
      <c r="AP313" s="270" t="str">
        <f>_xlfn.IFNA(VLOOKUP(CONCATENATE(AP$4,$C313),'INSER DATA'!$A:$F,7,0),"")</f>
        <v/>
      </c>
      <c r="AQ313" s="270" t="str">
        <f>_xlfn.IFNA(VLOOKUP(CONCATENATE(AQ$4,$C313),'INSER DATA'!$A:$F,7,0),"")</f>
        <v/>
      </c>
      <c r="AR313" s="270" t="str">
        <f>_xlfn.IFNA(VLOOKUP(CONCATENATE(AR$4,$C313),'INSER DATA'!$A:$F,7,0),"")</f>
        <v/>
      </c>
      <c r="AS313" s="270" t="str">
        <f>_xlfn.IFNA(VLOOKUP(CONCATENATE(AS$4,$C313),'INSER DATA'!$A:$F,7,0),"")</f>
        <v/>
      </c>
      <c r="AT313" s="270" t="str">
        <f>_xlfn.IFNA(VLOOKUP(CONCATENATE(AT$4,$C313),'INSER DATA'!$A:$F,7,0),"")</f>
        <v/>
      </c>
      <c r="AU313" s="270" t="str">
        <f>_xlfn.IFNA(VLOOKUP(CONCATENATE(AU$4,$C313),'INSER DATA'!$A:$F,7,0),"")</f>
        <v/>
      </c>
      <c r="AV313" s="270" t="str">
        <f>_xlfn.IFNA(VLOOKUP(CONCATENATE(AV$4,$C313),'INSER DATA'!$A:$F,7,0),"")</f>
        <v/>
      </c>
      <c r="AW313" s="270" t="str">
        <f>_xlfn.IFNA(VLOOKUP(CONCATENATE(AW$4,$C313),'INSER DATA'!$A:$F,7,0),"")</f>
        <v/>
      </c>
      <c r="AX313" s="270" t="str">
        <f>_xlfn.IFNA(VLOOKUP(CONCATENATE(AX$4,$C313),'INSER DATA'!$A:$F,7,0),"")</f>
        <v/>
      </c>
      <c r="AY313" s="270" t="str">
        <f>_xlfn.IFNA(VLOOKUP(CONCATENATE(AY$4,$C313),'INSER DATA'!$A:$F,7,0),"")</f>
        <v/>
      </c>
      <c r="AZ313" s="270" t="str">
        <f>_xlfn.IFNA(VLOOKUP(CONCATENATE(AZ$4,$C313),'INSER DATA'!$A:$F,7,0),"")</f>
        <v/>
      </c>
      <c r="BA313" s="270" t="str">
        <f>_xlfn.IFNA(VLOOKUP(CONCATENATE(BA$4,$C313),'INSER DATA'!$A:$F,7,0),"")</f>
        <v/>
      </c>
      <c r="BB313" s="270" t="str">
        <f>_xlfn.IFNA(VLOOKUP(CONCATENATE(BB$4,$C313),'INSER DATA'!$A:$F,7,0),"")</f>
        <v/>
      </c>
      <c r="BC313" s="270" t="str">
        <f>_xlfn.IFNA(VLOOKUP(CONCATENATE(BC$4,$C313),'INSER DATA'!$A:$F,7,0),"")</f>
        <v/>
      </c>
      <c r="BD313" s="270" t="str">
        <f>_xlfn.IFNA(VLOOKUP(CONCATENATE(BD$4,$C313),'INSER DATA'!$A:$F,7,0),"")</f>
        <v/>
      </c>
      <c r="BE313" s="270" t="str">
        <f>_xlfn.IFNA(VLOOKUP(CONCATENATE(BE$4,$C313),'INSER DATA'!$A:$F,7,0),"")</f>
        <v/>
      </c>
      <c r="BF313" s="270" t="str">
        <f>_xlfn.IFNA(VLOOKUP(CONCATENATE(BF$4,$C313),'INSER DATA'!$A:$F,7,0),"")</f>
        <v/>
      </c>
      <c r="BG313" s="270" t="str">
        <f>_xlfn.IFNA(VLOOKUP(CONCATENATE(BG$4,$C313),'INSER DATA'!$A:$F,7,0),"")</f>
        <v/>
      </c>
      <c r="BH313" s="270" t="str">
        <f>_xlfn.IFNA(VLOOKUP(CONCATENATE(BH$4,$C313),'INSER DATA'!$A:$F,7,0),"")</f>
        <v/>
      </c>
      <c r="BI313" s="270" t="str">
        <f>_xlfn.IFNA(VLOOKUP(CONCATENATE(BI$4,$C313),'INSER DATA'!$A:$F,7,0),"")</f>
        <v/>
      </c>
      <c r="BJ313" s="270" t="str">
        <f>_xlfn.IFNA(VLOOKUP(CONCATENATE(BJ$4,$C313),'INSER DATA'!$A:$F,7,0),"")</f>
        <v/>
      </c>
      <c r="BK313" s="270" t="str">
        <f>_xlfn.IFNA(VLOOKUP(CONCATENATE(BK$4,$C313),'INSER DATA'!$A:$F,7,0),"")</f>
        <v/>
      </c>
      <c r="BL313" s="272"/>
      <c r="BM313" s="30"/>
      <c r="BN313" s="30"/>
      <c r="BO313" s="30"/>
      <c r="BP313" s="30"/>
      <c r="BQ313" s="30"/>
      <c r="BR313" s="30"/>
      <c r="BS313" s="30"/>
      <c r="BT313" s="30"/>
      <c r="BU313" s="30"/>
      <c r="BV313" s="30"/>
      <c r="BW313" s="30"/>
      <c r="BX313" s="30"/>
      <c r="BY313" s="30"/>
      <c r="BZ313" s="30"/>
      <c r="CA313" s="30"/>
      <c r="CB313" s="30"/>
      <c r="CC313" s="30"/>
      <c r="CD313" s="30"/>
      <c r="CE313" s="30"/>
      <c r="CF313" s="30"/>
      <c r="CG313" s="30"/>
      <c r="CH313" s="30"/>
      <c r="CI313" s="30"/>
      <c r="CJ313" s="30"/>
      <c r="CK313" s="30"/>
      <c r="CL313" s="30"/>
      <c r="CM313" s="30"/>
      <c r="CN313" s="30"/>
      <c r="CO313" s="30"/>
      <c r="CP313" s="30"/>
      <c r="CQ313" s="30"/>
      <c r="CR313" s="30"/>
      <c r="CS313" s="30"/>
      <c r="CT313" s="30"/>
      <c r="CU313" s="30"/>
      <c r="CV313" s="30"/>
      <c r="CW313" s="30"/>
      <c r="CX313" s="30"/>
      <c r="CY313" s="30"/>
      <c r="CZ313" s="30"/>
      <c r="DA313" s="30"/>
    </row>
    <row r="314" spans="1:105" ht="19.2" thickTop="1" thickBot="1" x14ac:dyDescent="0.4">
      <c r="A314" s="30"/>
      <c r="B314" s="30"/>
      <c r="C314" s="185" t="s">
        <v>852</v>
      </c>
      <c r="D314" s="46" t="s">
        <v>842</v>
      </c>
      <c r="E314" s="35" t="str">
        <f>_xlfn.XLOOKUP(Tabella4[[#This Row],[NOME]],'ROSE SQUADRE'!$N$3:$N$253,'ROSE SQUADRE'!$O$3:$O$253,"")</f>
        <v/>
      </c>
      <c r="F314" s="36" t="s">
        <v>162</v>
      </c>
      <c r="G314" s="43">
        <v>6</v>
      </c>
      <c r="H314" s="43">
        <v>6</v>
      </c>
      <c r="I314" s="44">
        <f t="shared" si="25"/>
        <v>0</v>
      </c>
      <c r="J314" s="37">
        <f t="shared" si="26"/>
        <v>3</v>
      </c>
      <c r="K314" s="38">
        <f t="shared" si="27"/>
        <v>6</v>
      </c>
      <c r="L314" s="38">
        <f t="shared" si="28"/>
        <v>6.333333333333333</v>
      </c>
      <c r="M314" s="39">
        <f t="shared" si="29"/>
        <v>19</v>
      </c>
      <c r="N314" s="45">
        <f t="shared" ca="1" si="30"/>
        <v>0</v>
      </c>
      <c r="O314" s="40">
        <f>SUMIF(Tabella1[Nome],Tabella4[[#This Row],[NOME]],Tabella1[Gf])</f>
        <v>0</v>
      </c>
      <c r="P314" s="40">
        <f>-(SUMIF(Tabella1[Nome],Tabella4[[#This Row],[NOME]],Tabella1[Gs]))</f>
        <v>0</v>
      </c>
      <c r="Q314" s="40">
        <f>SUMIF(Tabella1[Nome],Tabella4[[#This Row],[NOME]],Tabella1[Rp])</f>
        <v>0</v>
      </c>
      <c r="R314" s="40">
        <f>SUMIF(Tabella1[Nome],Tabella4[[#This Row],[NOME]],Tabella1[Rs])</f>
        <v>0</v>
      </c>
      <c r="S314" s="40">
        <f>SUMIF(Tabella1[Nome],Tabella4[[#This Row],[NOME]],Tabella1[Rf])</f>
        <v>0</v>
      </c>
      <c r="T314" s="40">
        <f>SUMIF(Tabella1[Nome],Tabella4[[#This Row],[NOME]],Tabella1[Au])</f>
        <v>0</v>
      </c>
      <c r="U314" s="41">
        <f>SUMIF(Tabella1[Nome],Tabella4[[#This Row],[NOME]],Tabella1[Amm])</f>
        <v>0</v>
      </c>
      <c r="V314" s="42">
        <f>SUMIF(Tabella1[Nome],Tabella4[[#This Row],[NOME]],Tabella1[Esp])</f>
        <v>0</v>
      </c>
      <c r="W314" s="40">
        <f>SUMIF(Tabella1[Nome],Tabella4[[#This Row],[NOME]],Tabella1[Ass])</f>
        <v>1</v>
      </c>
      <c r="X314" s="40">
        <f>SUMIF(Tabella1[Nome],Tabella4[[#This Row],[NOME]],Tabella1[Gdv])</f>
        <v>0</v>
      </c>
      <c r="Y314" s="40">
        <f>SUMIF(Tabella1[Nome],Tabella4[[#This Row],[NOME]],Tabella1[cl sh])</f>
        <v>0</v>
      </c>
      <c r="Z314" s="270" t="str">
        <f>_xlfn.IFNA(_xlfn.XLOOKUP(CONCATENATE(Z$4,$C314),Tabella1[CONC X VOTI IN TAB GIOC],Tabella1[Voto],""),"")</f>
        <v/>
      </c>
      <c r="AA314" s="270">
        <f>_xlfn.IFNA(_xlfn.XLOOKUP(CONCATENATE(AA$4,$C314),Tabella1[CONC X VOTI IN TAB GIOC],Tabella1[Voto],""),"")</f>
        <v>6.5</v>
      </c>
      <c r="AB314" s="270">
        <f>_xlfn.IFNA(_xlfn.XLOOKUP(CONCATENATE(AB$4,$C314),Tabella1[CONC X VOTI IN TAB GIOC],Tabella1[Voto]),"")</f>
        <v>6</v>
      </c>
      <c r="AC314" s="270" cm="1">
        <f t="array" ref="AC314">_xlfn.IFNA(_xlfn.XLOOKUP(CONCATENATE(AC$4,$C314),INDEX(Tabella1[],0,MATCH("CONC X VOTI IN TAB GIOC",Tabella1[#Headers],0)),INDEX(Tabella1[],0,MATCH("Voto",Tabella1[#Headers],0))),"")</f>
        <v>5.5</v>
      </c>
      <c r="AD314" s="270" t="str">
        <f>_xlfn.IFNA(_xlfn.XLOOKUP(CONCATENATE(AD$4,$C314),Tabella1[CONC X VOTI IN TAB GIOC],Tabella1[Voto]),"")</f>
        <v/>
      </c>
      <c r="AE314" s="270" t="str">
        <f>_xlfn.IFNA(VLOOKUP(CONCATENATE(AE$4,$C314),'INSER DATA'!$A:$F,6,0),"")</f>
        <v/>
      </c>
      <c r="AF314" s="270" t="str">
        <f>_xlfn.IFNA(VLOOKUP(CONCATENATE(AF$4,$C314),'INSER DATA'!$A:$F,6,0),"")</f>
        <v/>
      </c>
      <c r="AG314" s="270" t="str">
        <f>_xlfn.IFNA(VLOOKUP(CONCATENATE(AG$4,$C314),'INSER DATA'!$A:$F,6,0),"")</f>
        <v/>
      </c>
      <c r="AH314" s="270" t="str">
        <f>_xlfn.IFNA(VLOOKUP(CONCATENATE(AH$4,$C314),'INSER DATA'!$A:$F,7,0),"")</f>
        <v/>
      </c>
      <c r="AI314" s="270" t="str">
        <f>_xlfn.IFNA(VLOOKUP(CONCATENATE(AI$4,$C314),'INSER DATA'!$A:$F,7,0),"")</f>
        <v/>
      </c>
      <c r="AJ314" s="270" t="str">
        <f>_xlfn.IFNA(VLOOKUP(CONCATENATE(AJ$4,$C314),'INSER DATA'!$A:$F,7,0),"")</f>
        <v/>
      </c>
      <c r="AK314" s="270" t="str">
        <f>_xlfn.IFNA(VLOOKUP(CONCATENATE(AK$4,$C314),'INSER DATA'!$A:$F,7,0),"")</f>
        <v/>
      </c>
      <c r="AL314" s="270" t="str">
        <f>_xlfn.IFNA(VLOOKUP(CONCATENATE(AL$4,$C314),'INSER DATA'!$A:$F,7,0),"")</f>
        <v/>
      </c>
      <c r="AM314" s="270" t="str">
        <f>_xlfn.IFNA(VLOOKUP(CONCATENATE(AM$4,$C314),'INSER DATA'!$A:$F,7,0),"")</f>
        <v/>
      </c>
      <c r="AN314" s="270" t="str">
        <f>_xlfn.IFNA(VLOOKUP(CONCATENATE(AN$4,$C314),'INSER DATA'!$A:$F,7,0),"")</f>
        <v/>
      </c>
      <c r="AO314" s="270" t="str">
        <f>_xlfn.IFNA(VLOOKUP(CONCATENATE(AO$4,$C314),'INSER DATA'!$A:$F,7,0),"")</f>
        <v/>
      </c>
      <c r="AP314" s="270" t="str">
        <f>_xlfn.IFNA(VLOOKUP(CONCATENATE(AP$4,$C314),'INSER DATA'!$A:$F,7,0),"")</f>
        <v/>
      </c>
      <c r="AQ314" s="270" t="str">
        <f>_xlfn.IFNA(VLOOKUP(CONCATENATE(AQ$4,$C314),'INSER DATA'!$A:$F,7,0),"")</f>
        <v/>
      </c>
      <c r="AR314" s="270" t="str">
        <f>_xlfn.IFNA(VLOOKUP(CONCATENATE(AR$4,$C314),'INSER DATA'!$A:$F,7,0),"")</f>
        <v/>
      </c>
      <c r="AS314" s="270" t="str">
        <f>_xlfn.IFNA(VLOOKUP(CONCATENATE(AS$4,$C314),'INSER DATA'!$A:$F,7,0),"")</f>
        <v/>
      </c>
      <c r="AT314" s="270" t="str">
        <f>_xlfn.IFNA(VLOOKUP(CONCATENATE(AT$4,$C314),'INSER DATA'!$A:$F,7,0),"")</f>
        <v/>
      </c>
      <c r="AU314" s="270" t="str">
        <f>_xlfn.IFNA(VLOOKUP(CONCATENATE(AU$4,$C314),'INSER DATA'!$A:$F,7,0),"")</f>
        <v/>
      </c>
      <c r="AV314" s="270" t="str">
        <f>_xlfn.IFNA(VLOOKUP(CONCATENATE(AV$4,$C314),'INSER DATA'!$A:$F,7,0),"")</f>
        <v/>
      </c>
      <c r="AW314" s="270" t="str">
        <f>_xlfn.IFNA(VLOOKUP(CONCATENATE(AW$4,$C314),'INSER DATA'!$A:$F,7,0),"")</f>
        <v/>
      </c>
      <c r="AX314" s="270" t="str">
        <f>_xlfn.IFNA(VLOOKUP(CONCATENATE(AX$4,$C314),'INSER DATA'!$A:$F,7,0),"")</f>
        <v/>
      </c>
      <c r="AY314" s="270" t="str">
        <f>_xlfn.IFNA(VLOOKUP(CONCATENATE(AY$4,$C314),'INSER DATA'!$A:$F,7,0),"")</f>
        <v/>
      </c>
      <c r="AZ314" s="270" t="str">
        <f>_xlfn.IFNA(VLOOKUP(CONCATENATE(AZ$4,$C314),'INSER DATA'!$A:$F,7,0),"")</f>
        <v/>
      </c>
      <c r="BA314" s="270" t="str">
        <f>_xlfn.IFNA(VLOOKUP(CONCATENATE(BA$4,$C314),'INSER DATA'!$A:$F,7,0),"")</f>
        <v/>
      </c>
      <c r="BB314" s="270" t="str">
        <f>_xlfn.IFNA(VLOOKUP(CONCATENATE(BB$4,$C314),'INSER DATA'!$A:$F,7,0),"")</f>
        <v/>
      </c>
      <c r="BC314" s="270" t="str">
        <f>_xlfn.IFNA(VLOOKUP(CONCATENATE(BC$4,$C314),'INSER DATA'!$A:$F,7,0),"")</f>
        <v/>
      </c>
      <c r="BD314" s="270" t="str">
        <f>_xlfn.IFNA(VLOOKUP(CONCATENATE(BD$4,$C314),'INSER DATA'!$A:$F,7,0),"")</f>
        <v/>
      </c>
      <c r="BE314" s="270" t="str">
        <f>_xlfn.IFNA(VLOOKUP(CONCATENATE(BE$4,$C314),'INSER DATA'!$A:$F,7,0),"")</f>
        <v/>
      </c>
      <c r="BF314" s="270" t="str">
        <f>_xlfn.IFNA(VLOOKUP(CONCATENATE(BF$4,$C314),'INSER DATA'!$A:$F,7,0),"")</f>
        <v/>
      </c>
      <c r="BG314" s="270" t="str">
        <f>_xlfn.IFNA(VLOOKUP(CONCATENATE(BG$4,$C314),'INSER DATA'!$A:$F,7,0),"")</f>
        <v/>
      </c>
      <c r="BH314" s="270" t="str">
        <f>_xlfn.IFNA(VLOOKUP(CONCATENATE(BH$4,$C314),'INSER DATA'!$A:$F,7,0),"")</f>
        <v/>
      </c>
      <c r="BI314" s="270" t="str">
        <f>_xlfn.IFNA(VLOOKUP(CONCATENATE(BI$4,$C314),'INSER DATA'!$A:$F,7,0),"")</f>
        <v/>
      </c>
      <c r="BJ314" s="270" t="str">
        <f>_xlfn.IFNA(VLOOKUP(CONCATENATE(BJ$4,$C314),'INSER DATA'!$A:$F,7,0),"")</f>
        <v/>
      </c>
      <c r="BK314" s="270" t="str">
        <f>_xlfn.IFNA(VLOOKUP(CONCATENATE(BK$4,$C314),'INSER DATA'!$A:$F,7,0),"")</f>
        <v/>
      </c>
      <c r="BL314" s="272"/>
      <c r="BM314" s="30"/>
      <c r="BN314" s="30"/>
      <c r="BO314" s="30"/>
      <c r="BP314" s="30"/>
      <c r="BQ314" s="30"/>
      <c r="BR314" s="30"/>
      <c r="BS314" s="30"/>
      <c r="BT314" s="30"/>
      <c r="BU314" s="30"/>
      <c r="BV314" s="30"/>
      <c r="BW314" s="30"/>
      <c r="BX314" s="30"/>
      <c r="BY314" s="30"/>
      <c r="BZ314" s="30"/>
      <c r="CA314" s="30"/>
      <c r="CB314" s="30"/>
      <c r="CC314" s="30"/>
      <c r="CD314" s="30"/>
      <c r="CE314" s="30"/>
      <c r="CF314" s="30"/>
      <c r="CG314" s="30"/>
      <c r="CH314" s="30"/>
      <c r="CI314" s="30"/>
      <c r="CJ314" s="30"/>
      <c r="CK314" s="30"/>
      <c r="CL314" s="30"/>
      <c r="CM314" s="30"/>
      <c r="CN314" s="30"/>
      <c r="CO314" s="30"/>
      <c r="CP314" s="30"/>
      <c r="CQ314" s="30"/>
      <c r="CR314" s="30"/>
      <c r="CS314" s="30"/>
      <c r="CT314" s="30"/>
      <c r="CU314" s="30"/>
      <c r="CV314" s="30"/>
      <c r="CW314" s="30"/>
      <c r="CX314" s="30"/>
      <c r="CY314" s="30"/>
      <c r="CZ314" s="30"/>
      <c r="DA314" s="30"/>
    </row>
    <row r="315" spans="1:105" ht="19.2" thickTop="1" thickBot="1" x14ac:dyDescent="0.4">
      <c r="A315" s="30"/>
      <c r="B315" s="30"/>
      <c r="C315" s="188" t="s">
        <v>846</v>
      </c>
      <c r="D315" s="187" t="s">
        <v>842</v>
      </c>
      <c r="E315" s="35" t="str">
        <f>_xlfn.XLOOKUP(Tabella4[[#This Row],[NOME]],'ROSE SQUADRE'!$N$3:$N$253,'ROSE SQUADRE'!$O$3:$O$253,"")</f>
        <v/>
      </c>
      <c r="F315" s="36" t="s">
        <v>161</v>
      </c>
      <c r="G315" s="43">
        <v>1</v>
      </c>
      <c r="H315" s="43">
        <v>2</v>
      </c>
      <c r="I315" s="44">
        <f t="shared" si="25"/>
        <v>1</v>
      </c>
      <c r="J315" s="37">
        <f t="shared" si="26"/>
        <v>2</v>
      </c>
      <c r="K315" s="178">
        <f t="shared" si="27"/>
        <v>5.75</v>
      </c>
      <c r="L315" s="178">
        <f t="shared" si="28"/>
        <v>5.75</v>
      </c>
      <c r="M315" s="179">
        <f t="shared" si="29"/>
        <v>11.5</v>
      </c>
      <c r="N315" s="45">
        <f t="shared" ca="1" si="30"/>
        <v>0</v>
      </c>
      <c r="O315" s="40">
        <f>SUMIF(Tabella1[Nome],Tabella4[[#This Row],[NOME]],Tabella1[Gf])</f>
        <v>0</v>
      </c>
      <c r="P315" s="40">
        <f>-(SUMIF(Tabella1[Nome],Tabella4[[#This Row],[NOME]],Tabella1[Gs]))</f>
        <v>0</v>
      </c>
      <c r="Q315" s="40">
        <f>SUMIF(Tabella1[Nome],Tabella4[[#This Row],[NOME]],Tabella1[Rp])</f>
        <v>0</v>
      </c>
      <c r="R315" s="40">
        <f>SUMIF(Tabella1[Nome],Tabella4[[#This Row],[NOME]],Tabella1[Rs])</f>
        <v>0</v>
      </c>
      <c r="S315" s="40">
        <f>SUMIF(Tabella1[Nome],Tabella4[[#This Row],[NOME]],Tabella1[Rf])</f>
        <v>0</v>
      </c>
      <c r="T315" s="40">
        <f>SUMIF(Tabella1[Nome],Tabella4[[#This Row],[NOME]],Tabella1[Au])</f>
        <v>0</v>
      </c>
      <c r="U315" s="41">
        <f>SUMIF(Tabella1[Nome],Tabella4[[#This Row],[NOME]],Tabella1[Amm])</f>
        <v>0</v>
      </c>
      <c r="V315" s="42">
        <f>SUMIF(Tabella1[Nome],Tabella4[[#This Row],[NOME]],Tabella1[Esp])</f>
        <v>0</v>
      </c>
      <c r="W315" s="40">
        <f>SUMIF(Tabella1[Nome],Tabella4[[#This Row],[NOME]],Tabella1[Ass])</f>
        <v>0</v>
      </c>
      <c r="X315" s="40">
        <f>SUMIF(Tabella1[Nome],Tabella4[[#This Row],[NOME]],Tabella1[Gdv])</f>
        <v>0</v>
      </c>
      <c r="Y315" s="40">
        <f>SUMIF(Tabella1[Nome],Tabella4[[#This Row],[NOME]],Tabella1[cl sh])</f>
        <v>0</v>
      </c>
      <c r="Z315" s="270">
        <f>_xlfn.IFNA(_xlfn.XLOOKUP(CONCATENATE(Z$4,$C315),Tabella1[CONC X VOTI IN TAB GIOC],Tabella1[Voto],""),"")</f>
        <v>6</v>
      </c>
      <c r="AA315" s="270" t="str">
        <f>_xlfn.IFNA(_xlfn.XLOOKUP(CONCATENATE(AA$4,$C315),Tabella1[CONC X VOTI IN TAB GIOC],Tabella1[Voto],""),"")</f>
        <v/>
      </c>
      <c r="AB315" s="270" t="str">
        <f>_xlfn.IFNA(_xlfn.XLOOKUP(CONCATENATE(AB$4,$C315),Tabella1[CONC X VOTI IN TAB GIOC],Tabella1[Voto]),"")</f>
        <v/>
      </c>
      <c r="AC315" s="270" cm="1">
        <f t="array" ref="AC315">_xlfn.IFNA(_xlfn.XLOOKUP(CONCATENATE(AC$4,$C315),INDEX(Tabella1[],0,MATCH("CONC X VOTI IN TAB GIOC",Tabella1[#Headers],0)),INDEX(Tabella1[],0,MATCH("Voto",Tabella1[#Headers],0))),"")</f>
        <v>5.5</v>
      </c>
      <c r="AD315" s="270" t="str">
        <f>_xlfn.IFNA(_xlfn.XLOOKUP(CONCATENATE(AD$4,$C315),Tabella1[CONC X VOTI IN TAB GIOC],Tabella1[Voto]),"")</f>
        <v/>
      </c>
      <c r="AE315" s="270" t="str">
        <f>_xlfn.IFNA(VLOOKUP(CONCATENATE(AE$4,$C315),'INSER DATA'!$A:$F,6,0),"")</f>
        <v/>
      </c>
      <c r="AF315" s="270" t="str">
        <f>_xlfn.IFNA(VLOOKUP(CONCATENATE(AF$4,$C315),'INSER DATA'!$A:$F,6,0),"")</f>
        <v/>
      </c>
      <c r="AG315" s="270" t="str">
        <f>_xlfn.IFNA(VLOOKUP(CONCATENATE(AG$4,$C315),'INSER DATA'!$A:$F,6,0),"")</f>
        <v/>
      </c>
      <c r="AH315" s="270" t="str">
        <f>_xlfn.IFNA(VLOOKUP(CONCATENATE(AH$4,$C315),'INSER DATA'!$A:$F,7,0),"")</f>
        <v/>
      </c>
      <c r="AI315" s="270" t="str">
        <f>_xlfn.IFNA(VLOOKUP(CONCATENATE(AI$4,$C315),'INSER DATA'!$A:$F,7,0),"")</f>
        <v/>
      </c>
      <c r="AJ315" s="270" t="str">
        <f>_xlfn.IFNA(VLOOKUP(CONCATENATE(AJ$4,$C315),'INSER DATA'!$A:$F,7,0),"")</f>
        <v/>
      </c>
      <c r="AK315" s="270" t="str">
        <f>_xlfn.IFNA(VLOOKUP(CONCATENATE(AK$4,$C315),'INSER DATA'!$A:$F,7,0),"")</f>
        <v/>
      </c>
      <c r="AL315" s="270" t="str">
        <f>_xlfn.IFNA(VLOOKUP(CONCATENATE(AL$4,$C315),'INSER DATA'!$A:$F,7,0),"")</f>
        <v/>
      </c>
      <c r="AM315" s="270" t="str">
        <f>_xlfn.IFNA(VLOOKUP(CONCATENATE(AM$4,$C315),'INSER DATA'!$A:$F,7,0),"")</f>
        <v/>
      </c>
      <c r="AN315" s="270" t="str">
        <f>_xlfn.IFNA(VLOOKUP(CONCATENATE(AN$4,$C315),'INSER DATA'!$A:$F,7,0),"")</f>
        <v/>
      </c>
      <c r="AO315" s="270" t="str">
        <f>_xlfn.IFNA(VLOOKUP(CONCATENATE(AO$4,$C315),'INSER DATA'!$A:$F,7,0),"")</f>
        <v/>
      </c>
      <c r="AP315" s="270" t="str">
        <f>_xlfn.IFNA(VLOOKUP(CONCATENATE(AP$4,$C315),'INSER DATA'!$A:$F,7,0),"")</f>
        <v/>
      </c>
      <c r="AQ315" s="270" t="str">
        <f>_xlfn.IFNA(VLOOKUP(CONCATENATE(AQ$4,$C315),'INSER DATA'!$A:$F,7,0),"")</f>
        <v/>
      </c>
      <c r="AR315" s="270" t="str">
        <f>_xlfn.IFNA(VLOOKUP(CONCATENATE(AR$4,$C315),'INSER DATA'!$A:$F,7,0),"")</f>
        <v/>
      </c>
      <c r="AS315" s="270" t="str">
        <f>_xlfn.IFNA(VLOOKUP(CONCATENATE(AS$4,$C315),'INSER DATA'!$A:$F,7,0),"")</f>
        <v/>
      </c>
      <c r="AT315" s="270" t="str">
        <f>_xlfn.IFNA(VLOOKUP(CONCATENATE(AT$4,$C315),'INSER DATA'!$A:$F,7,0),"")</f>
        <v/>
      </c>
      <c r="AU315" s="270" t="str">
        <f>_xlfn.IFNA(VLOOKUP(CONCATENATE(AU$4,$C315),'INSER DATA'!$A:$F,7,0),"")</f>
        <v/>
      </c>
      <c r="AV315" s="270" t="str">
        <f>_xlfn.IFNA(VLOOKUP(CONCATENATE(AV$4,$C315),'INSER DATA'!$A:$F,7,0),"")</f>
        <v/>
      </c>
      <c r="AW315" s="270" t="str">
        <f>_xlfn.IFNA(VLOOKUP(CONCATENATE(AW$4,$C315),'INSER DATA'!$A:$F,7,0),"")</f>
        <v/>
      </c>
      <c r="AX315" s="270" t="str">
        <f>_xlfn.IFNA(VLOOKUP(CONCATENATE(AX$4,$C315),'INSER DATA'!$A:$F,7,0),"")</f>
        <v/>
      </c>
      <c r="AY315" s="270" t="str">
        <f>_xlfn.IFNA(VLOOKUP(CONCATENATE(AY$4,$C315),'INSER DATA'!$A:$F,7,0),"")</f>
        <v/>
      </c>
      <c r="AZ315" s="270" t="str">
        <f>_xlfn.IFNA(VLOOKUP(CONCATENATE(AZ$4,$C315),'INSER DATA'!$A:$F,7,0),"")</f>
        <v/>
      </c>
      <c r="BA315" s="270" t="str">
        <f>_xlfn.IFNA(VLOOKUP(CONCATENATE(BA$4,$C315),'INSER DATA'!$A:$F,7,0),"")</f>
        <v/>
      </c>
      <c r="BB315" s="270" t="str">
        <f>_xlfn.IFNA(VLOOKUP(CONCATENATE(BB$4,$C315),'INSER DATA'!$A:$F,7,0),"")</f>
        <v/>
      </c>
      <c r="BC315" s="270" t="str">
        <f>_xlfn.IFNA(VLOOKUP(CONCATENATE(BC$4,$C315),'INSER DATA'!$A:$F,7,0),"")</f>
        <v/>
      </c>
      <c r="BD315" s="270" t="str">
        <f>_xlfn.IFNA(VLOOKUP(CONCATENATE(BD$4,$C315),'INSER DATA'!$A:$F,7,0),"")</f>
        <v/>
      </c>
      <c r="BE315" s="270" t="str">
        <f>_xlfn.IFNA(VLOOKUP(CONCATENATE(BE$4,$C315),'INSER DATA'!$A:$F,7,0),"")</f>
        <v/>
      </c>
      <c r="BF315" s="270" t="str">
        <f>_xlfn.IFNA(VLOOKUP(CONCATENATE(BF$4,$C315),'INSER DATA'!$A:$F,7,0),"")</f>
        <v/>
      </c>
      <c r="BG315" s="270" t="str">
        <f>_xlfn.IFNA(VLOOKUP(CONCATENATE(BG$4,$C315),'INSER DATA'!$A:$F,7,0),"")</f>
        <v/>
      </c>
      <c r="BH315" s="270" t="str">
        <f>_xlfn.IFNA(VLOOKUP(CONCATENATE(BH$4,$C315),'INSER DATA'!$A:$F,7,0),"")</f>
        <v/>
      </c>
      <c r="BI315" s="270" t="str">
        <f>_xlfn.IFNA(VLOOKUP(CONCATENATE(BI$4,$C315),'INSER DATA'!$A:$F,7,0),"")</f>
        <v/>
      </c>
      <c r="BJ315" s="270" t="str">
        <f>_xlfn.IFNA(VLOOKUP(CONCATENATE(BJ$4,$C315),'INSER DATA'!$A:$F,7,0),"")</f>
        <v/>
      </c>
      <c r="BK315" s="270" t="str">
        <f>_xlfn.IFNA(VLOOKUP(CONCATENATE(BK$4,$C315),'INSER DATA'!$A:$F,7,0),"")</f>
        <v/>
      </c>
      <c r="BL315" s="272"/>
      <c r="BM315" s="30"/>
      <c r="BN315" s="30"/>
      <c r="BO315" s="30"/>
      <c r="BP315" s="30"/>
      <c r="BQ315" s="30"/>
      <c r="BR315" s="30"/>
      <c r="BS315" s="30"/>
      <c r="BT315" s="30"/>
      <c r="BU315" s="30"/>
      <c r="BV315" s="30"/>
      <c r="BW315" s="30"/>
      <c r="BX315" s="30"/>
      <c r="BY315" s="30"/>
      <c r="BZ315" s="30"/>
      <c r="CA315" s="30"/>
      <c r="CB315" s="30"/>
      <c r="CC315" s="30"/>
      <c r="CD315" s="30"/>
      <c r="CE315" s="30"/>
      <c r="CF315" s="30"/>
      <c r="CG315" s="30"/>
      <c r="CH315" s="30"/>
      <c r="CI315" s="30"/>
      <c r="CJ315" s="30"/>
      <c r="CK315" s="30"/>
      <c r="CL315" s="30"/>
      <c r="CM315" s="30"/>
      <c r="CN315" s="30"/>
      <c r="CO315" s="30"/>
      <c r="CP315" s="30"/>
      <c r="CQ315" s="30"/>
      <c r="CR315" s="30"/>
      <c r="CS315" s="30"/>
      <c r="CT315" s="30"/>
      <c r="CU315" s="30"/>
      <c r="CV315" s="30"/>
      <c r="CW315" s="30"/>
      <c r="CX315" s="30"/>
      <c r="CY315" s="30"/>
      <c r="CZ315" s="30"/>
      <c r="DA315" s="30"/>
    </row>
    <row r="316" spans="1:105" ht="19.2" thickTop="1" thickBot="1" x14ac:dyDescent="0.4">
      <c r="A316" s="30"/>
      <c r="B316" s="30"/>
      <c r="C316" s="188" t="s">
        <v>848</v>
      </c>
      <c r="D316" s="187" t="s">
        <v>842</v>
      </c>
      <c r="E316" s="35" t="str">
        <f>_xlfn.XLOOKUP(Tabella4[[#This Row],[NOME]],'ROSE SQUADRE'!$N$3:$N$253,'ROSE SQUADRE'!$O$3:$O$253,"")</f>
        <v/>
      </c>
      <c r="F316" s="36" t="s">
        <v>161</v>
      </c>
      <c r="G316" s="43">
        <v>4</v>
      </c>
      <c r="H316" s="43">
        <v>4</v>
      </c>
      <c r="I316" s="44">
        <f t="shared" si="25"/>
        <v>0</v>
      </c>
      <c r="J316" s="37">
        <f t="shared" si="26"/>
        <v>1</v>
      </c>
      <c r="K316" s="178">
        <f t="shared" si="27"/>
        <v>6</v>
      </c>
      <c r="L316" s="178">
        <f t="shared" si="28"/>
        <v>6</v>
      </c>
      <c r="M316" s="179">
        <f t="shared" si="29"/>
        <v>6</v>
      </c>
      <c r="N316" s="45">
        <f t="shared" ca="1" si="30"/>
        <v>0</v>
      </c>
      <c r="O316" s="40">
        <f>SUMIF(Tabella1[Nome],Tabella4[[#This Row],[NOME]],Tabella1[Gf])</f>
        <v>0</v>
      </c>
      <c r="P316" s="40">
        <f>-(SUMIF(Tabella1[Nome],Tabella4[[#This Row],[NOME]],Tabella1[Gs]))</f>
        <v>0</v>
      </c>
      <c r="Q316" s="40">
        <f>SUMIF(Tabella1[Nome],Tabella4[[#This Row],[NOME]],Tabella1[Rp])</f>
        <v>0</v>
      </c>
      <c r="R316" s="40">
        <f>SUMIF(Tabella1[Nome],Tabella4[[#This Row],[NOME]],Tabella1[Rs])</f>
        <v>0</v>
      </c>
      <c r="S316" s="40">
        <f>SUMIF(Tabella1[Nome],Tabella4[[#This Row],[NOME]],Tabella1[Rf])</f>
        <v>0</v>
      </c>
      <c r="T316" s="40">
        <f>SUMIF(Tabella1[Nome],Tabella4[[#This Row],[NOME]],Tabella1[Au])</f>
        <v>0</v>
      </c>
      <c r="U316" s="41">
        <f>SUMIF(Tabella1[Nome],Tabella4[[#This Row],[NOME]],Tabella1[Amm])</f>
        <v>0</v>
      </c>
      <c r="V316" s="42">
        <f>SUMIF(Tabella1[Nome],Tabella4[[#This Row],[NOME]],Tabella1[Esp])</f>
        <v>0</v>
      </c>
      <c r="W316" s="40">
        <f>SUMIF(Tabella1[Nome],Tabella4[[#This Row],[NOME]],Tabella1[Ass])</f>
        <v>0</v>
      </c>
      <c r="X316" s="40">
        <f>SUMIF(Tabella1[Nome],Tabella4[[#This Row],[NOME]],Tabella1[Gdv])</f>
        <v>0</v>
      </c>
      <c r="Y316" s="40">
        <f>SUMIF(Tabella1[Nome],Tabella4[[#This Row],[NOME]],Tabella1[cl sh])</f>
        <v>0</v>
      </c>
      <c r="Z316" s="270" t="str">
        <f>_xlfn.IFNA(_xlfn.XLOOKUP(CONCATENATE(Z$4,$C316),Tabella1[CONC X VOTI IN TAB GIOC],Tabella1[Voto],""),"")</f>
        <v/>
      </c>
      <c r="AA316" s="270">
        <f>_xlfn.IFNA(_xlfn.XLOOKUP(CONCATENATE(AA$4,$C316),Tabella1[CONC X VOTI IN TAB GIOC],Tabella1[Voto],""),"")</f>
        <v>6</v>
      </c>
      <c r="AB316" s="270" t="str">
        <f>_xlfn.IFNA(_xlfn.XLOOKUP(CONCATENATE(AB$4,$C316),Tabella1[CONC X VOTI IN TAB GIOC],Tabella1[Voto]),"")</f>
        <v/>
      </c>
      <c r="AC316" s="270" t="str" cm="1">
        <f t="array" ref="AC316">_xlfn.IFNA(_xlfn.XLOOKUP(CONCATENATE(AC$4,$C316),INDEX(Tabella1[],0,MATCH("CONC X VOTI IN TAB GIOC",Tabella1[#Headers],0)),INDEX(Tabella1[],0,MATCH("Voto",Tabella1[#Headers],0))),"")</f>
        <v/>
      </c>
      <c r="AD316" s="270" t="str">
        <f>_xlfn.IFNA(_xlfn.XLOOKUP(CONCATENATE(AD$4,$C316),Tabella1[CONC X VOTI IN TAB GIOC],Tabella1[Voto]),"")</f>
        <v/>
      </c>
      <c r="AE316" s="270" t="str">
        <f>_xlfn.IFNA(VLOOKUP(CONCATENATE(AE$4,$C316),'INSER DATA'!$A:$F,6,0),"")</f>
        <v/>
      </c>
      <c r="AF316" s="270" t="str">
        <f>_xlfn.IFNA(VLOOKUP(CONCATENATE(AF$4,$C316),'INSER DATA'!$A:$F,6,0),"")</f>
        <v/>
      </c>
      <c r="AG316" s="270" t="str">
        <f>_xlfn.IFNA(VLOOKUP(CONCATENATE(AG$4,$C316),'INSER DATA'!$A:$F,6,0),"")</f>
        <v/>
      </c>
      <c r="AH316" s="270" t="str">
        <f>_xlfn.IFNA(VLOOKUP(CONCATENATE(AH$4,$C316),'INSER DATA'!$A:$F,7,0),"")</f>
        <v/>
      </c>
      <c r="AI316" s="270" t="str">
        <f>_xlfn.IFNA(VLOOKUP(CONCATENATE(AI$4,$C316),'INSER DATA'!$A:$F,7,0),"")</f>
        <v/>
      </c>
      <c r="AJ316" s="270" t="str">
        <f>_xlfn.IFNA(VLOOKUP(CONCATENATE(AJ$4,$C316),'INSER DATA'!$A:$F,7,0),"")</f>
        <v/>
      </c>
      <c r="AK316" s="270" t="str">
        <f>_xlfn.IFNA(VLOOKUP(CONCATENATE(AK$4,$C316),'INSER DATA'!$A:$F,7,0),"")</f>
        <v/>
      </c>
      <c r="AL316" s="270" t="str">
        <f>_xlfn.IFNA(VLOOKUP(CONCATENATE(AL$4,$C316),'INSER DATA'!$A:$F,7,0),"")</f>
        <v/>
      </c>
      <c r="AM316" s="270" t="str">
        <f>_xlfn.IFNA(VLOOKUP(CONCATENATE(AM$4,$C316),'INSER DATA'!$A:$F,7,0),"")</f>
        <v/>
      </c>
      <c r="AN316" s="270" t="str">
        <f>_xlfn.IFNA(VLOOKUP(CONCATENATE(AN$4,$C316),'INSER DATA'!$A:$F,7,0),"")</f>
        <v/>
      </c>
      <c r="AO316" s="270" t="str">
        <f>_xlfn.IFNA(VLOOKUP(CONCATENATE(AO$4,$C316),'INSER DATA'!$A:$F,7,0),"")</f>
        <v/>
      </c>
      <c r="AP316" s="270" t="str">
        <f>_xlfn.IFNA(VLOOKUP(CONCATENATE(AP$4,$C316),'INSER DATA'!$A:$F,7,0),"")</f>
        <v/>
      </c>
      <c r="AQ316" s="270" t="str">
        <f>_xlfn.IFNA(VLOOKUP(CONCATENATE(AQ$4,$C316),'INSER DATA'!$A:$F,7,0),"")</f>
        <v/>
      </c>
      <c r="AR316" s="270" t="str">
        <f>_xlfn.IFNA(VLOOKUP(CONCATENATE(AR$4,$C316),'INSER DATA'!$A:$F,7,0),"")</f>
        <v/>
      </c>
      <c r="AS316" s="270" t="str">
        <f>_xlfn.IFNA(VLOOKUP(CONCATENATE(AS$4,$C316),'INSER DATA'!$A:$F,7,0),"")</f>
        <v/>
      </c>
      <c r="AT316" s="270" t="str">
        <f>_xlfn.IFNA(VLOOKUP(CONCATENATE(AT$4,$C316),'INSER DATA'!$A:$F,7,0),"")</f>
        <v/>
      </c>
      <c r="AU316" s="270" t="str">
        <f>_xlfn.IFNA(VLOOKUP(CONCATENATE(AU$4,$C316),'INSER DATA'!$A:$F,7,0),"")</f>
        <v/>
      </c>
      <c r="AV316" s="270" t="str">
        <f>_xlfn.IFNA(VLOOKUP(CONCATENATE(AV$4,$C316),'INSER DATA'!$A:$F,7,0),"")</f>
        <v/>
      </c>
      <c r="AW316" s="270" t="str">
        <f>_xlfn.IFNA(VLOOKUP(CONCATENATE(AW$4,$C316),'INSER DATA'!$A:$F,7,0),"")</f>
        <v/>
      </c>
      <c r="AX316" s="270" t="str">
        <f>_xlfn.IFNA(VLOOKUP(CONCATENATE(AX$4,$C316),'INSER DATA'!$A:$F,7,0),"")</f>
        <v/>
      </c>
      <c r="AY316" s="270" t="str">
        <f>_xlfn.IFNA(VLOOKUP(CONCATENATE(AY$4,$C316),'INSER DATA'!$A:$F,7,0),"")</f>
        <v/>
      </c>
      <c r="AZ316" s="270" t="str">
        <f>_xlfn.IFNA(VLOOKUP(CONCATENATE(AZ$4,$C316),'INSER DATA'!$A:$F,7,0),"")</f>
        <v/>
      </c>
      <c r="BA316" s="270" t="str">
        <f>_xlfn.IFNA(VLOOKUP(CONCATENATE(BA$4,$C316),'INSER DATA'!$A:$F,7,0),"")</f>
        <v/>
      </c>
      <c r="BB316" s="270" t="str">
        <f>_xlfn.IFNA(VLOOKUP(CONCATENATE(BB$4,$C316),'INSER DATA'!$A:$F,7,0),"")</f>
        <v/>
      </c>
      <c r="BC316" s="270" t="str">
        <f>_xlfn.IFNA(VLOOKUP(CONCATENATE(BC$4,$C316),'INSER DATA'!$A:$F,7,0),"")</f>
        <v/>
      </c>
      <c r="BD316" s="270" t="str">
        <f>_xlfn.IFNA(VLOOKUP(CONCATENATE(BD$4,$C316),'INSER DATA'!$A:$F,7,0),"")</f>
        <v/>
      </c>
      <c r="BE316" s="270" t="str">
        <f>_xlfn.IFNA(VLOOKUP(CONCATENATE(BE$4,$C316),'INSER DATA'!$A:$F,7,0),"")</f>
        <v/>
      </c>
      <c r="BF316" s="270" t="str">
        <f>_xlfn.IFNA(VLOOKUP(CONCATENATE(BF$4,$C316),'INSER DATA'!$A:$F,7,0),"")</f>
        <v/>
      </c>
      <c r="BG316" s="270" t="str">
        <f>_xlfn.IFNA(VLOOKUP(CONCATENATE(BG$4,$C316),'INSER DATA'!$A:$F,7,0),"")</f>
        <v/>
      </c>
      <c r="BH316" s="270" t="str">
        <f>_xlfn.IFNA(VLOOKUP(CONCATENATE(BH$4,$C316),'INSER DATA'!$A:$F,7,0),"")</f>
        <v/>
      </c>
      <c r="BI316" s="270" t="str">
        <f>_xlfn.IFNA(VLOOKUP(CONCATENATE(BI$4,$C316),'INSER DATA'!$A:$F,7,0),"")</f>
        <v/>
      </c>
      <c r="BJ316" s="270" t="str">
        <f>_xlfn.IFNA(VLOOKUP(CONCATENATE(BJ$4,$C316),'INSER DATA'!$A:$F,7,0),"")</f>
        <v/>
      </c>
      <c r="BK316" s="270" t="str">
        <f>_xlfn.IFNA(VLOOKUP(CONCATENATE(BK$4,$C316),'INSER DATA'!$A:$F,7,0),"")</f>
        <v/>
      </c>
      <c r="BL316" s="272"/>
      <c r="BM316" s="30"/>
      <c r="BN316" s="30"/>
      <c r="BO316" s="30"/>
      <c r="BP316" s="30"/>
      <c r="BQ316" s="30"/>
      <c r="BR316" s="30"/>
      <c r="BS316" s="30"/>
      <c r="BT316" s="30"/>
      <c r="BU316" s="30"/>
      <c r="BV316" s="30"/>
      <c r="BW316" s="30"/>
      <c r="BX316" s="30"/>
      <c r="BY316" s="30"/>
      <c r="BZ316" s="30"/>
      <c r="CA316" s="30"/>
      <c r="CB316" s="30"/>
      <c r="CC316" s="30"/>
      <c r="CD316" s="30"/>
      <c r="CE316" s="30"/>
      <c r="CF316" s="30"/>
      <c r="CG316" s="30"/>
      <c r="CH316" s="30"/>
      <c r="CI316" s="30"/>
      <c r="CJ316" s="30"/>
      <c r="CK316" s="30"/>
      <c r="CL316" s="30"/>
      <c r="CM316" s="30"/>
      <c r="CN316" s="30"/>
      <c r="CO316" s="30"/>
      <c r="CP316" s="30"/>
      <c r="CQ316" s="30"/>
      <c r="CR316" s="30"/>
      <c r="CS316" s="30"/>
      <c r="CT316" s="30"/>
      <c r="CU316" s="30"/>
      <c r="CV316" s="30"/>
      <c r="CW316" s="30"/>
      <c r="CX316" s="30"/>
      <c r="CY316" s="30"/>
      <c r="CZ316" s="30"/>
      <c r="DA316" s="30"/>
    </row>
    <row r="317" spans="1:105" ht="19.2" thickTop="1" thickBot="1" x14ac:dyDescent="0.4">
      <c r="A317" s="30"/>
      <c r="B317" s="30"/>
      <c r="C317" s="188" t="s">
        <v>851</v>
      </c>
      <c r="D317" s="46" t="s">
        <v>842</v>
      </c>
      <c r="E317" s="35" t="str">
        <f>_xlfn.XLOOKUP(Tabella4[[#This Row],[NOME]],'ROSE SQUADRE'!$N$3:$N$253,'ROSE SQUADRE'!$O$3:$O$253,"")</f>
        <v/>
      </c>
      <c r="F317" s="36" t="s">
        <v>161</v>
      </c>
      <c r="G317" s="43">
        <v>6</v>
      </c>
      <c r="H317" s="43">
        <v>6</v>
      </c>
      <c r="I317" s="44">
        <f t="shared" si="25"/>
        <v>0</v>
      </c>
      <c r="J317" s="37">
        <f t="shared" si="26"/>
        <v>4</v>
      </c>
      <c r="K317" s="178">
        <f t="shared" si="27"/>
        <v>6.25</v>
      </c>
      <c r="L317" s="178">
        <f t="shared" si="28"/>
        <v>7.5</v>
      </c>
      <c r="M317" s="179">
        <f t="shared" si="29"/>
        <v>30</v>
      </c>
      <c r="N317" s="45">
        <f t="shared" ca="1" si="30"/>
        <v>0</v>
      </c>
      <c r="O317" s="40">
        <f>SUMIF(Tabella1[Nome],Tabella4[[#This Row],[NOME]],Tabella1[Gf])</f>
        <v>1</v>
      </c>
      <c r="P317" s="40">
        <f>-(SUMIF(Tabella1[Nome],Tabella4[[#This Row],[NOME]],Tabella1[Gs]))</f>
        <v>0</v>
      </c>
      <c r="Q317" s="40">
        <f>SUMIF(Tabella1[Nome],Tabella4[[#This Row],[NOME]],Tabella1[Rp])</f>
        <v>0</v>
      </c>
      <c r="R317" s="40">
        <f>SUMIF(Tabella1[Nome],Tabella4[[#This Row],[NOME]],Tabella1[Rs])</f>
        <v>0</v>
      </c>
      <c r="S317" s="40">
        <f>SUMIF(Tabella1[Nome],Tabella4[[#This Row],[NOME]],Tabella1[Rf])</f>
        <v>0</v>
      </c>
      <c r="T317" s="40">
        <f>SUMIF(Tabella1[Nome],Tabella4[[#This Row],[NOME]],Tabella1[Au])</f>
        <v>0</v>
      </c>
      <c r="U317" s="41">
        <f>SUMIF(Tabella1[Nome],Tabella4[[#This Row],[NOME]],Tabella1[Amm])</f>
        <v>0</v>
      </c>
      <c r="V317" s="42">
        <f>SUMIF(Tabella1[Nome],Tabella4[[#This Row],[NOME]],Tabella1[Esp])</f>
        <v>0</v>
      </c>
      <c r="W317" s="40">
        <f>SUMIF(Tabella1[Nome],Tabella4[[#This Row],[NOME]],Tabella1[Ass])</f>
        <v>2</v>
      </c>
      <c r="X317" s="40">
        <f>SUMIF(Tabella1[Nome],Tabella4[[#This Row],[NOME]],Tabella1[Gdv])</f>
        <v>0</v>
      </c>
      <c r="Y317" s="40">
        <f>SUMIF(Tabella1[Nome],Tabella4[[#This Row],[NOME]],Tabella1[cl sh])</f>
        <v>0</v>
      </c>
      <c r="Z317" s="270">
        <f>_xlfn.IFNA(_xlfn.XLOOKUP(CONCATENATE(Z$4,$C317),Tabella1[CONC X VOTI IN TAB GIOC],Tabella1[Voto],""),"")</f>
        <v>5.5</v>
      </c>
      <c r="AA317" s="270">
        <f>_xlfn.IFNA(_xlfn.XLOOKUP(CONCATENATE(AA$4,$C317),Tabella1[CONC X VOTI IN TAB GIOC],Tabella1[Voto],""),"")</f>
        <v>6.5</v>
      </c>
      <c r="AB317" s="270">
        <f>_xlfn.IFNA(_xlfn.XLOOKUP(CONCATENATE(AB$4,$C317),Tabella1[CONC X VOTI IN TAB GIOC],Tabella1[Voto]),"")</f>
        <v>6</v>
      </c>
      <c r="AC317" s="270" cm="1">
        <f t="array" ref="AC317">_xlfn.IFNA(_xlfn.XLOOKUP(CONCATENATE(AC$4,$C317),INDEX(Tabella1[],0,MATCH("CONC X VOTI IN TAB GIOC",Tabella1[#Headers],0)),INDEX(Tabella1[],0,MATCH("Voto",Tabella1[#Headers],0))),"")</f>
        <v>7</v>
      </c>
      <c r="AD317" s="270" t="str">
        <f>_xlfn.IFNA(_xlfn.XLOOKUP(CONCATENATE(AD$4,$C317),Tabella1[CONC X VOTI IN TAB GIOC],Tabella1[Voto]),"")</f>
        <v/>
      </c>
      <c r="AE317" s="270" t="str">
        <f>_xlfn.IFNA(VLOOKUP(CONCATENATE(AE$4,$C317),'INSER DATA'!$A:$F,6,0),"")</f>
        <v/>
      </c>
      <c r="AF317" s="270" t="str">
        <f>_xlfn.IFNA(VLOOKUP(CONCATENATE(AF$4,$C317),'INSER DATA'!$A:$F,6,0),"")</f>
        <v/>
      </c>
      <c r="AG317" s="270" t="str">
        <f>_xlfn.IFNA(VLOOKUP(CONCATENATE(AG$4,$C317),'INSER DATA'!$A:$F,6,0),"")</f>
        <v/>
      </c>
      <c r="AH317" s="270" t="str">
        <f>_xlfn.IFNA(VLOOKUP(CONCATENATE(AH$4,$C317),'INSER DATA'!$A:$F,7,0),"")</f>
        <v/>
      </c>
      <c r="AI317" s="270" t="str">
        <f>_xlfn.IFNA(VLOOKUP(CONCATENATE(AI$4,$C317),'INSER DATA'!$A:$F,7,0),"")</f>
        <v/>
      </c>
      <c r="AJ317" s="270" t="str">
        <f>_xlfn.IFNA(VLOOKUP(CONCATENATE(AJ$4,$C317),'INSER DATA'!$A:$F,7,0),"")</f>
        <v/>
      </c>
      <c r="AK317" s="270" t="str">
        <f>_xlfn.IFNA(VLOOKUP(CONCATENATE(AK$4,$C317),'INSER DATA'!$A:$F,7,0),"")</f>
        <v/>
      </c>
      <c r="AL317" s="270" t="str">
        <f>_xlfn.IFNA(VLOOKUP(CONCATENATE(AL$4,$C317),'INSER DATA'!$A:$F,7,0),"")</f>
        <v/>
      </c>
      <c r="AM317" s="270" t="str">
        <f>_xlfn.IFNA(VLOOKUP(CONCATENATE(AM$4,$C317),'INSER DATA'!$A:$F,7,0),"")</f>
        <v/>
      </c>
      <c r="AN317" s="270" t="str">
        <f>_xlfn.IFNA(VLOOKUP(CONCATENATE(AN$4,$C317),'INSER DATA'!$A:$F,7,0),"")</f>
        <v/>
      </c>
      <c r="AO317" s="270" t="str">
        <f>_xlfn.IFNA(VLOOKUP(CONCATENATE(AO$4,$C317),'INSER DATA'!$A:$F,7,0),"")</f>
        <v/>
      </c>
      <c r="AP317" s="270" t="str">
        <f>_xlfn.IFNA(VLOOKUP(CONCATENATE(AP$4,$C317),'INSER DATA'!$A:$F,7,0),"")</f>
        <v/>
      </c>
      <c r="AQ317" s="270" t="str">
        <f>_xlfn.IFNA(VLOOKUP(CONCATENATE(AQ$4,$C317),'INSER DATA'!$A:$F,7,0),"")</f>
        <v/>
      </c>
      <c r="AR317" s="270" t="str">
        <f>_xlfn.IFNA(VLOOKUP(CONCATENATE(AR$4,$C317),'INSER DATA'!$A:$F,7,0),"")</f>
        <v/>
      </c>
      <c r="AS317" s="270" t="str">
        <f>_xlfn.IFNA(VLOOKUP(CONCATENATE(AS$4,$C317),'INSER DATA'!$A:$F,7,0),"")</f>
        <v/>
      </c>
      <c r="AT317" s="270" t="str">
        <f>_xlfn.IFNA(VLOOKUP(CONCATENATE(AT$4,$C317),'INSER DATA'!$A:$F,7,0),"")</f>
        <v/>
      </c>
      <c r="AU317" s="270" t="str">
        <f>_xlfn.IFNA(VLOOKUP(CONCATENATE(AU$4,$C317),'INSER DATA'!$A:$F,7,0),"")</f>
        <v/>
      </c>
      <c r="AV317" s="270" t="str">
        <f>_xlfn.IFNA(VLOOKUP(CONCATENATE(AV$4,$C317),'INSER DATA'!$A:$F,7,0),"")</f>
        <v/>
      </c>
      <c r="AW317" s="270" t="str">
        <f>_xlfn.IFNA(VLOOKUP(CONCATENATE(AW$4,$C317),'INSER DATA'!$A:$F,7,0),"")</f>
        <v/>
      </c>
      <c r="AX317" s="270" t="str">
        <f>_xlfn.IFNA(VLOOKUP(CONCATENATE(AX$4,$C317),'INSER DATA'!$A:$F,7,0),"")</f>
        <v/>
      </c>
      <c r="AY317" s="270" t="str">
        <f>_xlfn.IFNA(VLOOKUP(CONCATENATE(AY$4,$C317),'INSER DATA'!$A:$F,7,0),"")</f>
        <v/>
      </c>
      <c r="AZ317" s="270" t="str">
        <f>_xlfn.IFNA(VLOOKUP(CONCATENATE(AZ$4,$C317),'INSER DATA'!$A:$F,7,0),"")</f>
        <v/>
      </c>
      <c r="BA317" s="270" t="str">
        <f>_xlfn.IFNA(VLOOKUP(CONCATENATE(BA$4,$C317),'INSER DATA'!$A:$F,7,0),"")</f>
        <v/>
      </c>
      <c r="BB317" s="270" t="str">
        <f>_xlfn.IFNA(VLOOKUP(CONCATENATE(BB$4,$C317),'INSER DATA'!$A:$F,7,0),"")</f>
        <v/>
      </c>
      <c r="BC317" s="270" t="str">
        <f>_xlfn.IFNA(VLOOKUP(CONCATENATE(BC$4,$C317),'INSER DATA'!$A:$F,7,0),"")</f>
        <v/>
      </c>
      <c r="BD317" s="270" t="str">
        <f>_xlfn.IFNA(VLOOKUP(CONCATENATE(BD$4,$C317),'INSER DATA'!$A:$F,7,0),"")</f>
        <v/>
      </c>
      <c r="BE317" s="270" t="str">
        <f>_xlfn.IFNA(VLOOKUP(CONCATENATE(BE$4,$C317),'INSER DATA'!$A:$F,7,0),"")</f>
        <v/>
      </c>
      <c r="BF317" s="270" t="str">
        <f>_xlfn.IFNA(VLOOKUP(CONCATENATE(BF$4,$C317),'INSER DATA'!$A:$F,7,0),"")</f>
        <v/>
      </c>
      <c r="BG317" s="270" t="str">
        <f>_xlfn.IFNA(VLOOKUP(CONCATENATE(BG$4,$C317),'INSER DATA'!$A:$F,7,0),"")</f>
        <v/>
      </c>
      <c r="BH317" s="270" t="str">
        <f>_xlfn.IFNA(VLOOKUP(CONCATENATE(BH$4,$C317),'INSER DATA'!$A:$F,7,0),"")</f>
        <v/>
      </c>
      <c r="BI317" s="270" t="str">
        <f>_xlfn.IFNA(VLOOKUP(CONCATENATE(BI$4,$C317),'INSER DATA'!$A:$F,7,0),"")</f>
        <v/>
      </c>
      <c r="BJ317" s="270" t="str">
        <f>_xlfn.IFNA(VLOOKUP(CONCATENATE(BJ$4,$C317),'INSER DATA'!$A:$F,7,0),"")</f>
        <v/>
      </c>
      <c r="BK317" s="270" t="str">
        <f>_xlfn.IFNA(VLOOKUP(CONCATENATE(BK$4,$C317),'INSER DATA'!$A:$F,7,0),"")</f>
        <v/>
      </c>
      <c r="BL317" s="272"/>
      <c r="BM317" s="30"/>
      <c r="BN317" s="30"/>
      <c r="BO317" s="30"/>
      <c r="BP317" s="30"/>
      <c r="BQ317" s="30"/>
      <c r="BR317" s="30"/>
      <c r="BS317" s="30"/>
      <c r="BT317" s="30"/>
      <c r="BU317" s="30"/>
      <c r="BV317" s="30"/>
      <c r="BW317" s="30"/>
      <c r="BX317" s="30"/>
      <c r="BY317" s="30"/>
      <c r="BZ317" s="30"/>
      <c r="CA317" s="30"/>
      <c r="CB317" s="30"/>
      <c r="CC317" s="30"/>
      <c r="CD317" s="30"/>
      <c r="CE317" s="30"/>
      <c r="CF317" s="30"/>
      <c r="CG317" s="30"/>
      <c r="CH317" s="30"/>
      <c r="CI317" s="30"/>
      <c r="CJ317" s="30"/>
      <c r="CK317" s="30"/>
      <c r="CL317" s="30"/>
      <c r="CM317" s="30"/>
      <c r="CN317" s="30"/>
      <c r="CO317" s="30"/>
      <c r="CP317" s="30"/>
      <c r="CQ317" s="30"/>
      <c r="CR317" s="30"/>
      <c r="CS317" s="30"/>
      <c r="CT317" s="30"/>
      <c r="CU317" s="30"/>
      <c r="CV317" s="30"/>
      <c r="CW317" s="30"/>
      <c r="CX317" s="30"/>
      <c r="CY317" s="30"/>
      <c r="CZ317" s="30"/>
      <c r="DA317" s="30"/>
    </row>
    <row r="318" spans="1:105" ht="19.2" thickTop="1" thickBot="1" x14ac:dyDescent="0.4">
      <c r="A318" s="30"/>
      <c r="B318" s="30"/>
      <c r="C318" s="188" t="s">
        <v>855</v>
      </c>
      <c r="D318" s="187" t="s">
        <v>842</v>
      </c>
      <c r="E318" s="35" t="str">
        <f>_xlfn.XLOOKUP(Tabella4[[#This Row],[NOME]],'ROSE SQUADRE'!$N$3:$N$253,'ROSE SQUADRE'!$O$3:$O$253,"")</f>
        <v/>
      </c>
      <c r="F318" s="36" t="s">
        <v>162</v>
      </c>
      <c r="G318" s="43">
        <v>1</v>
      </c>
      <c r="H318" s="43">
        <v>2</v>
      </c>
      <c r="I318" s="44">
        <f t="shared" si="25"/>
        <v>1</v>
      </c>
      <c r="J318" s="37">
        <f t="shared" si="26"/>
        <v>3</v>
      </c>
      <c r="K318" s="38">
        <f t="shared" si="27"/>
        <v>5.833333333333333</v>
      </c>
      <c r="L318" s="38">
        <f t="shared" si="28"/>
        <v>5.833333333333333</v>
      </c>
      <c r="M318" s="39">
        <f t="shared" si="29"/>
        <v>17.5</v>
      </c>
      <c r="N318" s="45">
        <f t="shared" ca="1" si="30"/>
        <v>0</v>
      </c>
      <c r="O318" s="40">
        <f>SUMIF(Tabella1[Nome],Tabella4[[#This Row],[NOME]],Tabella1[Gf])</f>
        <v>0</v>
      </c>
      <c r="P318" s="40">
        <f>-(SUMIF(Tabella1[Nome],Tabella4[[#This Row],[NOME]],Tabella1[Gs]))</f>
        <v>0</v>
      </c>
      <c r="Q318" s="40">
        <f>SUMIF(Tabella1[Nome],Tabella4[[#This Row],[NOME]],Tabella1[Rp])</f>
        <v>0</v>
      </c>
      <c r="R318" s="40">
        <f>SUMIF(Tabella1[Nome],Tabella4[[#This Row],[NOME]],Tabella1[Rs])</f>
        <v>0</v>
      </c>
      <c r="S318" s="40">
        <f>SUMIF(Tabella1[Nome],Tabella4[[#This Row],[NOME]],Tabella1[Rf])</f>
        <v>0</v>
      </c>
      <c r="T318" s="40">
        <f>SUMIF(Tabella1[Nome],Tabella4[[#This Row],[NOME]],Tabella1[Au])</f>
        <v>0</v>
      </c>
      <c r="U318" s="41">
        <f>SUMIF(Tabella1[Nome],Tabella4[[#This Row],[NOME]],Tabella1[Amm])</f>
        <v>0</v>
      </c>
      <c r="V318" s="42">
        <f>SUMIF(Tabella1[Nome],Tabella4[[#This Row],[NOME]],Tabella1[Esp])</f>
        <v>0</v>
      </c>
      <c r="W318" s="40">
        <f>SUMIF(Tabella1[Nome],Tabella4[[#This Row],[NOME]],Tabella1[Ass])</f>
        <v>0</v>
      </c>
      <c r="X318" s="40">
        <f>SUMIF(Tabella1[Nome],Tabella4[[#This Row],[NOME]],Tabella1[Gdv])</f>
        <v>0</v>
      </c>
      <c r="Y318" s="40">
        <f>SUMIF(Tabella1[Nome],Tabella4[[#This Row],[NOME]],Tabella1[cl sh])</f>
        <v>0</v>
      </c>
      <c r="Z318" s="270">
        <f>_xlfn.IFNA(_xlfn.XLOOKUP(CONCATENATE(Z$4,$C318),Tabella1[CONC X VOTI IN TAB GIOC],Tabella1[Voto],""),"")</f>
        <v>6</v>
      </c>
      <c r="AA318" s="270" t="str">
        <f>_xlfn.IFNA(_xlfn.XLOOKUP(CONCATENATE(AA$4,$C318),Tabella1[CONC X VOTI IN TAB GIOC],Tabella1[Voto],""),"")</f>
        <v/>
      </c>
      <c r="AB318" s="270">
        <f>_xlfn.IFNA(_xlfn.XLOOKUP(CONCATENATE(AB$4,$C318),Tabella1[CONC X VOTI IN TAB GIOC],Tabella1[Voto]),"")</f>
        <v>5.5</v>
      </c>
      <c r="AC318" s="270" cm="1">
        <f t="array" ref="AC318">_xlfn.IFNA(_xlfn.XLOOKUP(CONCATENATE(AC$4,$C318),INDEX(Tabella1[],0,MATCH("CONC X VOTI IN TAB GIOC",Tabella1[#Headers],0)),INDEX(Tabella1[],0,MATCH("Voto",Tabella1[#Headers],0))),"")</f>
        <v>6</v>
      </c>
      <c r="AD318" s="270" t="str">
        <f>_xlfn.IFNA(_xlfn.XLOOKUP(CONCATENATE(AD$4,$C318),Tabella1[CONC X VOTI IN TAB GIOC],Tabella1[Voto]),"")</f>
        <v/>
      </c>
      <c r="AE318" s="270" t="str">
        <f>_xlfn.IFNA(VLOOKUP(CONCATENATE(AE$4,$C318),'INSER DATA'!$A:$F,6,0),"")</f>
        <v/>
      </c>
      <c r="AF318" s="270" t="str">
        <f>_xlfn.IFNA(VLOOKUP(CONCATENATE(AF$4,$C318),'INSER DATA'!$A:$F,6,0),"")</f>
        <v/>
      </c>
      <c r="AG318" s="270" t="str">
        <f>_xlfn.IFNA(VLOOKUP(CONCATENATE(AG$4,$C318),'INSER DATA'!$A:$F,6,0),"")</f>
        <v/>
      </c>
      <c r="AH318" s="270" t="str">
        <f>_xlfn.IFNA(VLOOKUP(CONCATENATE(AH$4,$C318),'INSER DATA'!$A:$F,7,0),"")</f>
        <v/>
      </c>
      <c r="AI318" s="270" t="str">
        <f>_xlfn.IFNA(VLOOKUP(CONCATENATE(AI$4,$C318),'INSER DATA'!$A:$F,7,0),"")</f>
        <v/>
      </c>
      <c r="AJ318" s="270" t="str">
        <f>_xlfn.IFNA(VLOOKUP(CONCATENATE(AJ$4,$C318),'INSER DATA'!$A:$F,7,0),"")</f>
        <v/>
      </c>
      <c r="AK318" s="270" t="str">
        <f>_xlfn.IFNA(VLOOKUP(CONCATENATE(AK$4,$C318),'INSER DATA'!$A:$F,7,0),"")</f>
        <v/>
      </c>
      <c r="AL318" s="270" t="str">
        <f>_xlfn.IFNA(VLOOKUP(CONCATENATE(AL$4,$C318),'INSER DATA'!$A:$F,7,0),"")</f>
        <v/>
      </c>
      <c r="AM318" s="270" t="str">
        <f>_xlfn.IFNA(VLOOKUP(CONCATENATE(AM$4,$C318),'INSER DATA'!$A:$F,7,0),"")</f>
        <v/>
      </c>
      <c r="AN318" s="270" t="str">
        <f>_xlfn.IFNA(VLOOKUP(CONCATENATE(AN$4,$C318),'INSER DATA'!$A:$F,7,0),"")</f>
        <v/>
      </c>
      <c r="AO318" s="270" t="str">
        <f>_xlfn.IFNA(VLOOKUP(CONCATENATE(AO$4,$C318),'INSER DATA'!$A:$F,7,0),"")</f>
        <v/>
      </c>
      <c r="AP318" s="270" t="str">
        <f>_xlfn.IFNA(VLOOKUP(CONCATENATE(AP$4,$C318),'INSER DATA'!$A:$F,7,0),"")</f>
        <v/>
      </c>
      <c r="AQ318" s="270" t="str">
        <f>_xlfn.IFNA(VLOOKUP(CONCATENATE(AQ$4,$C318),'INSER DATA'!$A:$F,7,0),"")</f>
        <v/>
      </c>
      <c r="AR318" s="270" t="str">
        <f>_xlfn.IFNA(VLOOKUP(CONCATENATE(AR$4,$C318),'INSER DATA'!$A:$F,7,0),"")</f>
        <v/>
      </c>
      <c r="AS318" s="270" t="str">
        <f>_xlfn.IFNA(VLOOKUP(CONCATENATE(AS$4,$C318),'INSER DATA'!$A:$F,7,0),"")</f>
        <v/>
      </c>
      <c r="AT318" s="270" t="str">
        <f>_xlfn.IFNA(VLOOKUP(CONCATENATE(AT$4,$C318),'INSER DATA'!$A:$F,7,0),"")</f>
        <v/>
      </c>
      <c r="AU318" s="270" t="str">
        <f>_xlfn.IFNA(VLOOKUP(CONCATENATE(AU$4,$C318),'INSER DATA'!$A:$F,7,0),"")</f>
        <v/>
      </c>
      <c r="AV318" s="270" t="str">
        <f>_xlfn.IFNA(VLOOKUP(CONCATENATE(AV$4,$C318),'INSER DATA'!$A:$F,7,0),"")</f>
        <v/>
      </c>
      <c r="AW318" s="270" t="str">
        <f>_xlfn.IFNA(VLOOKUP(CONCATENATE(AW$4,$C318),'INSER DATA'!$A:$F,7,0),"")</f>
        <v/>
      </c>
      <c r="AX318" s="270" t="str">
        <f>_xlfn.IFNA(VLOOKUP(CONCATENATE(AX$4,$C318),'INSER DATA'!$A:$F,7,0),"")</f>
        <v/>
      </c>
      <c r="AY318" s="270" t="str">
        <f>_xlfn.IFNA(VLOOKUP(CONCATENATE(AY$4,$C318),'INSER DATA'!$A:$F,7,0),"")</f>
        <v/>
      </c>
      <c r="AZ318" s="270" t="str">
        <f>_xlfn.IFNA(VLOOKUP(CONCATENATE(AZ$4,$C318),'INSER DATA'!$A:$F,7,0),"")</f>
        <v/>
      </c>
      <c r="BA318" s="270" t="str">
        <f>_xlfn.IFNA(VLOOKUP(CONCATENATE(BA$4,$C318),'INSER DATA'!$A:$F,7,0),"")</f>
        <v/>
      </c>
      <c r="BB318" s="270" t="str">
        <f>_xlfn.IFNA(VLOOKUP(CONCATENATE(BB$4,$C318),'INSER DATA'!$A:$F,7,0),"")</f>
        <v/>
      </c>
      <c r="BC318" s="270" t="str">
        <f>_xlfn.IFNA(VLOOKUP(CONCATENATE(BC$4,$C318),'INSER DATA'!$A:$F,7,0),"")</f>
        <v/>
      </c>
      <c r="BD318" s="270" t="str">
        <f>_xlfn.IFNA(VLOOKUP(CONCATENATE(BD$4,$C318),'INSER DATA'!$A:$F,7,0),"")</f>
        <v/>
      </c>
      <c r="BE318" s="270" t="str">
        <f>_xlfn.IFNA(VLOOKUP(CONCATENATE(BE$4,$C318),'INSER DATA'!$A:$F,7,0),"")</f>
        <v/>
      </c>
      <c r="BF318" s="270" t="str">
        <f>_xlfn.IFNA(VLOOKUP(CONCATENATE(BF$4,$C318),'INSER DATA'!$A:$F,7,0),"")</f>
        <v/>
      </c>
      <c r="BG318" s="270" t="str">
        <f>_xlfn.IFNA(VLOOKUP(CONCATENATE(BG$4,$C318),'INSER DATA'!$A:$F,7,0),"")</f>
        <v/>
      </c>
      <c r="BH318" s="270" t="str">
        <f>_xlfn.IFNA(VLOOKUP(CONCATENATE(BH$4,$C318),'INSER DATA'!$A:$F,7,0),"")</f>
        <v/>
      </c>
      <c r="BI318" s="270" t="str">
        <f>_xlfn.IFNA(VLOOKUP(CONCATENATE(BI$4,$C318),'INSER DATA'!$A:$F,7,0),"")</f>
        <v/>
      </c>
      <c r="BJ318" s="270" t="str">
        <f>_xlfn.IFNA(VLOOKUP(CONCATENATE(BJ$4,$C318),'INSER DATA'!$A:$F,7,0),"")</f>
        <v/>
      </c>
      <c r="BK318" s="270" t="str">
        <f>_xlfn.IFNA(VLOOKUP(CONCATENATE(BK$4,$C318),'INSER DATA'!$A:$F,7,0),"")</f>
        <v/>
      </c>
      <c r="BL318" s="272"/>
      <c r="BM318" s="30"/>
      <c r="BN318" s="30"/>
      <c r="BO318" s="30"/>
      <c r="BP318" s="30"/>
      <c r="BQ318" s="30"/>
      <c r="BR318" s="30"/>
      <c r="BS318" s="30"/>
      <c r="BT318" s="30"/>
      <c r="BU318" s="30"/>
      <c r="BV318" s="30"/>
      <c r="BW318" s="30"/>
      <c r="BX318" s="30"/>
      <c r="BY318" s="30"/>
      <c r="BZ318" s="30"/>
      <c r="CA318" s="30"/>
      <c r="CB318" s="30"/>
      <c r="CC318" s="30"/>
      <c r="CD318" s="30"/>
      <c r="CE318" s="30"/>
      <c r="CF318" s="30"/>
      <c r="CG318" s="30"/>
      <c r="CH318" s="30"/>
      <c r="CI318" s="30"/>
      <c r="CJ318" s="30"/>
      <c r="CK318" s="30"/>
      <c r="CL318" s="30"/>
      <c r="CM318" s="30"/>
      <c r="CN318" s="30"/>
      <c r="CO318" s="30"/>
      <c r="CP318" s="30"/>
      <c r="CQ318" s="30"/>
      <c r="CR318" s="30"/>
      <c r="CS318" s="30"/>
      <c r="CT318" s="30"/>
      <c r="CU318" s="30"/>
      <c r="CV318" s="30"/>
      <c r="CW318" s="30"/>
      <c r="CX318" s="30"/>
      <c r="CY318" s="30"/>
      <c r="CZ318" s="30"/>
      <c r="DA318" s="30"/>
    </row>
    <row r="319" spans="1:105" ht="19.2" thickTop="1" thickBot="1" x14ac:dyDescent="0.4">
      <c r="A319" s="30"/>
      <c r="B319" s="30"/>
      <c r="C319" s="354" t="s">
        <v>522</v>
      </c>
      <c r="D319" s="357" t="s">
        <v>842</v>
      </c>
      <c r="E319" s="35" t="str">
        <f>_xlfn.XLOOKUP(Tabella4[[#This Row],[NOME]],'ROSE SQUADRE'!$N$3:$N$253,'ROSE SQUADRE'!$O$3:$O$253,"")</f>
        <v>SHARK</v>
      </c>
      <c r="F319" s="36" t="s">
        <v>163</v>
      </c>
      <c r="G319" s="43">
        <v>9</v>
      </c>
      <c r="H319" s="43">
        <v>9</v>
      </c>
      <c r="I319" s="44">
        <f t="shared" si="25"/>
        <v>0</v>
      </c>
      <c r="J319" s="37">
        <f t="shared" si="26"/>
        <v>3</v>
      </c>
      <c r="K319" s="38">
        <f t="shared" si="27"/>
        <v>6</v>
      </c>
      <c r="L319" s="38">
        <f t="shared" si="28"/>
        <v>6</v>
      </c>
      <c r="M319" s="39">
        <f t="shared" si="29"/>
        <v>18</v>
      </c>
      <c r="N319" s="45">
        <f t="shared" ca="1" si="30"/>
        <v>0</v>
      </c>
      <c r="O319" s="40">
        <f>SUMIF(Tabella1[Nome],Tabella4[[#This Row],[NOME]],Tabella1[Gf])</f>
        <v>0</v>
      </c>
      <c r="P319" s="40">
        <f>-(SUMIF(Tabella1[Nome],Tabella4[[#This Row],[NOME]],Tabella1[Gs]))</f>
        <v>0</v>
      </c>
      <c r="Q319" s="40">
        <f>SUMIF(Tabella1[Nome],Tabella4[[#This Row],[NOME]],Tabella1[Rp])</f>
        <v>0</v>
      </c>
      <c r="R319" s="40">
        <f>SUMIF(Tabella1[Nome],Tabella4[[#This Row],[NOME]],Tabella1[Rs])</f>
        <v>0</v>
      </c>
      <c r="S319" s="40">
        <f>SUMIF(Tabella1[Nome],Tabella4[[#This Row],[NOME]],Tabella1[Rf])</f>
        <v>0</v>
      </c>
      <c r="T319" s="40">
        <f>SUMIF(Tabella1[Nome],Tabella4[[#This Row],[NOME]],Tabella1[Au])</f>
        <v>0</v>
      </c>
      <c r="U319" s="41">
        <f>SUMIF(Tabella1[Nome],Tabella4[[#This Row],[NOME]],Tabella1[Amm])</f>
        <v>0</v>
      </c>
      <c r="V319" s="42">
        <f>SUMIF(Tabella1[Nome],Tabella4[[#This Row],[NOME]],Tabella1[Esp])</f>
        <v>0</v>
      </c>
      <c r="W319" s="40">
        <f>SUMIF(Tabella1[Nome],Tabella4[[#This Row],[NOME]],Tabella1[Ass])</f>
        <v>0</v>
      </c>
      <c r="X319" s="40">
        <f>SUMIF(Tabella1[Nome],Tabella4[[#This Row],[NOME]],Tabella1[Gdv])</f>
        <v>0</v>
      </c>
      <c r="Y319" s="40">
        <f>SUMIF(Tabella1[Nome],Tabella4[[#This Row],[NOME]],Tabella1[cl sh])</f>
        <v>0</v>
      </c>
      <c r="Z319" s="270">
        <f>_xlfn.IFNA(_xlfn.XLOOKUP(CONCATENATE(Z$4,$C319),Tabella1[CONC X VOTI IN TAB GIOC],Tabella1[Voto],""),"")</f>
        <v>6</v>
      </c>
      <c r="AA319" s="270">
        <f>_xlfn.IFNA(_xlfn.XLOOKUP(CONCATENATE(AA$4,$C319),Tabella1[CONC X VOTI IN TAB GIOC],Tabella1[Voto],""),"")</f>
        <v>6</v>
      </c>
      <c r="AB319" s="270" t="str">
        <f>_xlfn.IFNA(_xlfn.XLOOKUP(CONCATENATE(AB$4,$C319),Tabella1[CONC X VOTI IN TAB GIOC],Tabella1[Voto]),"")</f>
        <v/>
      </c>
      <c r="AC319" s="270" cm="1">
        <f t="array" ref="AC319">_xlfn.IFNA(_xlfn.XLOOKUP(CONCATENATE(AC$4,$C319),INDEX(Tabella1[],0,MATCH("CONC X VOTI IN TAB GIOC",Tabella1[#Headers],0)),INDEX(Tabella1[],0,MATCH("Voto",Tabella1[#Headers],0))),"")</f>
        <v>6</v>
      </c>
      <c r="AD319" s="270" t="str">
        <f>_xlfn.IFNA(_xlfn.XLOOKUP(CONCATENATE(AD$4,$C319),Tabella1[CONC X VOTI IN TAB GIOC],Tabella1[Voto]),"")</f>
        <v/>
      </c>
      <c r="AE319" s="270" t="str">
        <f>_xlfn.IFNA(VLOOKUP(CONCATENATE(AE$4,$C319),'INSER DATA'!$A:$F,6,0),"")</f>
        <v/>
      </c>
      <c r="AF319" s="270" t="str">
        <f>_xlfn.IFNA(VLOOKUP(CONCATENATE(AF$4,$C319),'INSER DATA'!$A:$F,6,0),"")</f>
        <v/>
      </c>
      <c r="AG319" s="270" t="str">
        <f>_xlfn.IFNA(VLOOKUP(CONCATENATE(AG$4,$C319),'INSER DATA'!$A:$F,6,0),"")</f>
        <v/>
      </c>
      <c r="AH319" s="270" t="str">
        <f>_xlfn.IFNA(VLOOKUP(CONCATENATE(AH$4,$C319),'INSER DATA'!$A:$F,7,0),"")</f>
        <v/>
      </c>
      <c r="AI319" s="270" t="str">
        <f>_xlfn.IFNA(VLOOKUP(CONCATENATE(AI$4,$C319),'INSER DATA'!$A:$F,7,0),"")</f>
        <v/>
      </c>
      <c r="AJ319" s="270" t="str">
        <f>_xlfn.IFNA(VLOOKUP(CONCATENATE(AJ$4,$C319),'INSER DATA'!$A:$F,7,0),"")</f>
        <v/>
      </c>
      <c r="AK319" s="270" t="str">
        <f>_xlfn.IFNA(VLOOKUP(CONCATENATE(AK$4,$C319),'INSER DATA'!$A:$F,7,0),"")</f>
        <v/>
      </c>
      <c r="AL319" s="270" t="str">
        <f>_xlfn.IFNA(VLOOKUP(CONCATENATE(AL$4,$C319),'INSER DATA'!$A:$F,7,0),"")</f>
        <v/>
      </c>
      <c r="AM319" s="270" t="str">
        <f>_xlfn.IFNA(VLOOKUP(CONCATENATE(AM$4,$C319),'INSER DATA'!$A:$F,7,0),"")</f>
        <v/>
      </c>
      <c r="AN319" s="270" t="str">
        <f>_xlfn.IFNA(VLOOKUP(CONCATENATE(AN$4,$C319),'INSER DATA'!$A:$F,7,0),"")</f>
        <v/>
      </c>
      <c r="AO319" s="270" t="str">
        <f>_xlfn.IFNA(VLOOKUP(CONCATENATE(AO$4,$C319),'INSER DATA'!$A:$F,7,0),"")</f>
        <v/>
      </c>
      <c r="AP319" s="270" t="str">
        <f>_xlfn.IFNA(VLOOKUP(CONCATENATE(AP$4,$C319),'INSER DATA'!$A:$F,7,0),"")</f>
        <v/>
      </c>
      <c r="AQ319" s="270" t="str">
        <f>_xlfn.IFNA(VLOOKUP(CONCATENATE(AQ$4,$C319),'INSER DATA'!$A:$F,7,0),"")</f>
        <v/>
      </c>
      <c r="AR319" s="270" t="str">
        <f>_xlfn.IFNA(VLOOKUP(CONCATENATE(AR$4,$C319),'INSER DATA'!$A:$F,7,0),"")</f>
        <v/>
      </c>
      <c r="AS319" s="270" t="str">
        <f>_xlfn.IFNA(VLOOKUP(CONCATENATE(AS$4,$C319),'INSER DATA'!$A:$F,7,0),"")</f>
        <v/>
      </c>
      <c r="AT319" s="270" t="str">
        <f>_xlfn.IFNA(VLOOKUP(CONCATENATE(AT$4,$C319),'INSER DATA'!$A:$F,7,0),"")</f>
        <v/>
      </c>
      <c r="AU319" s="270" t="str">
        <f>_xlfn.IFNA(VLOOKUP(CONCATENATE(AU$4,$C319),'INSER DATA'!$A:$F,7,0),"")</f>
        <v/>
      </c>
      <c r="AV319" s="270" t="str">
        <f>_xlfn.IFNA(VLOOKUP(CONCATENATE(AV$4,$C319),'INSER DATA'!$A:$F,7,0),"")</f>
        <v/>
      </c>
      <c r="AW319" s="270" t="str">
        <f>_xlfn.IFNA(VLOOKUP(CONCATENATE(AW$4,$C319),'INSER DATA'!$A:$F,7,0),"")</f>
        <v/>
      </c>
      <c r="AX319" s="270" t="str">
        <f>_xlfn.IFNA(VLOOKUP(CONCATENATE(AX$4,$C319),'INSER DATA'!$A:$F,7,0),"")</f>
        <v/>
      </c>
      <c r="AY319" s="270" t="str">
        <f>_xlfn.IFNA(VLOOKUP(CONCATENATE(AY$4,$C319),'INSER DATA'!$A:$F,7,0),"")</f>
        <v/>
      </c>
      <c r="AZ319" s="270" t="str">
        <f>_xlfn.IFNA(VLOOKUP(CONCATENATE(AZ$4,$C319),'INSER DATA'!$A:$F,7,0),"")</f>
        <v/>
      </c>
      <c r="BA319" s="270" t="str">
        <f>_xlfn.IFNA(VLOOKUP(CONCATENATE(BA$4,$C319),'INSER DATA'!$A:$F,7,0),"")</f>
        <v/>
      </c>
      <c r="BB319" s="270" t="str">
        <f>_xlfn.IFNA(VLOOKUP(CONCATENATE(BB$4,$C319),'INSER DATA'!$A:$F,7,0),"")</f>
        <v/>
      </c>
      <c r="BC319" s="270" t="str">
        <f>_xlfn.IFNA(VLOOKUP(CONCATENATE(BC$4,$C319),'INSER DATA'!$A:$F,7,0),"")</f>
        <v/>
      </c>
      <c r="BD319" s="270" t="str">
        <f>_xlfn.IFNA(VLOOKUP(CONCATENATE(BD$4,$C319),'INSER DATA'!$A:$F,7,0),"")</f>
        <v/>
      </c>
      <c r="BE319" s="270" t="str">
        <f>_xlfn.IFNA(VLOOKUP(CONCATENATE(BE$4,$C319),'INSER DATA'!$A:$F,7,0),"")</f>
        <v/>
      </c>
      <c r="BF319" s="270" t="str">
        <f>_xlfn.IFNA(VLOOKUP(CONCATENATE(BF$4,$C319),'INSER DATA'!$A:$F,7,0),"")</f>
        <v/>
      </c>
      <c r="BG319" s="270" t="str">
        <f>_xlfn.IFNA(VLOOKUP(CONCATENATE(BG$4,$C319),'INSER DATA'!$A:$F,7,0),"")</f>
        <v/>
      </c>
      <c r="BH319" s="270" t="str">
        <f>_xlfn.IFNA(VLOOKUP(CONCATENATE(BH$4,$C319),'INSER DATA'!$A:$F,7,0),"")</f>
        <v/>
      </c>
      <c r="BI319" s="270" t="str">
        <f>_xlfn.IFNA(VLOOKUP(CONCATENATE(BI$4,$C319),'INSER DATA'!$A:$F,7,0),"")</f>
        <v/>
      </c>
      <c r="BJ319" s="270" t="str">
        <f>_xlfn.IFNA(VLOOKUP(CONCATENATE(BJ$4,$C319),'INSER DATA'!$A:$F,7,0),"")</f>
        <v/>
      </c>
      <c r="BK319" s="270" t="str">
        <f>_xlfn.IFNA(VLOOKUP(CONCATENATE(BK$4,$C319),'INSER DATA'!$A:$F,7,0),"")</f>
        <v/>
      </c>
      <c r="BL319" s="272"/>
      <c r="BM319" s="30"/>
      <c r="BN319" s="30"/>
      <c r="BO319" s="30"/>
      <c r="BP319" s="30"/>
      <c r="BQ319" s="30"/>
      <c r="BR319" s="30"/>
      <c r="BS319" s="30"/>
      <c r="BT319" s="30"/>
      <c r="BU319" s="30"/>
      <c r="BV319" s="30"/>
      <c r="BW319" s="30"/>
      <c r="BX319" s="30"/>
      <c r="BY319" s="30"/>
      <c r="BZ319" s="30"/>
      <c r="CA319" s="30"/>
      <c r="CB319" s="30"/>
      <c r="CC319" s="30"/>
      <c r="CD319" s="30"/>
      <c r="CE319" s="30"/>
      <c r="CF319" s="30"/>
      <c r="CG319" s="30"/>
      <c r="CH319" s="30"/>
      <c r="CI319" s="30"/>
      <c r="CJ319" s="30"/>
      <c r="CK319" s="30"/>
      <c r="CL319" s="30"/>
      <c r="CM319" s="30"/>
      <c r="CN319" s="30"/>
      <c r="CO319" s="30"/>
      <c r="CP319" s="30"/>
      <c r="CQ319" s="30"/>
      <c r="CR319" s="30"/>
      <c r="CS319" s="30"/>
      <c r="CT319" s="30"/>
      <c r="CU319" s="30"/>
      <c r="CV319" s="30"/>
      <c r="CW319" s="30"/>
      <c r="CX319" s="30"/>
      <c r="CY319" s="30"/>
      <c r="CZ319" s="30"/>
      <c r="DA319" s="30"/>
    </row>
    <row r="320" spans="1:105" ht="19.2" thickTop="1" thickBot="1" x14ac:dyDescent="0.4">
      <c r="A320" s="30"/>
      <c r="B320" s="30"/>
      <c r="C320" s="188" t="s">
        <v>865</v>
      </c>
      <c r="D320" s="187" t="s">
        <v>842</v>
      </c>
      <c r="E320" s="35" t="str">
        <f>_xlfn.XLOOKUP(Tabella4[[#This Row],[NOME]],'ROSE SQUADRE'!$N$3:$N$253,'ROSE SQUADRE'!$O$3:$O$253,"")</f>
        <v/>
      </c>
      <c r="F320" s="36" t="s">
        <v>162</v>
      </c>
      <c r="G320" s="43">
        <v>4</v>
      </c>
      <c r="H320" s="43">
        <v>4</v>
      </c>
      <c r="I320" s="44">
        <f t="shared" si="25"/>
        <v>0</v>
      </c>
      <c r="J320" s="37">
        <f t="shared" si="26"/>
        <v>3</v>
      </c>
      <c r="K320" s="38">
        <f t="shared" si="27"/>
        <v>5.5</v>
      </c>
      <c r="L320" s="38">
        <f t="shared" si="28"/>
        <v>5.333333333333333</v>
      </c>
      <c r="M320" s="39">
        <f t="shared" si="29"/>
        <v>16</v>
      </c>
      <c r="N320" s="45">
        <f t="shared" ca="1" si="30"/>
        <v>0</v>
      </c>
      <c r="O320" s="40">
        <f>SUMIF(Tabella1[Nome],Tabella4[[#This Row],[NOME]],Tabella1[Gf])</f>
        <v>0</v>
      </c>
      <c r="P320" s="40">
        <f>-(SUMIF(Tabella1[Nome],Tabella4[[#This Row],[NOME]],Tabella1[Gs]))</f>
        <v>0</v>
      </c>
      <c r="Q320" s="40">
        <f>SUMIF(Tabella1[Nome],Tabella4[[#This Row],[NOME]],Tabella1[Rp])</f>
        <v>0</v>
      </c>
      <c r="R320" s="40">
        <f>SUMIF(Tabella1[Nome],Tabella4[[#This Row],[NOME]],Tabella1[Rs])</f>
        <v>0</v>
      </c>
      <c r="S320" s="40">
        <f>SUMIF(Tabella1[Nome],Tabella4[[#This Row],[NOME]],Tabella1[Rf])</f>
        <v>0</v>
      </c>
      <c r="T320" s="40">
        <f>SUMIF(Tabella1[Nome],Tabella4[[#This Row],[NOME]],Tabella1[Au])</f>
        <v>0</v>
      </c>
      <c r="U320" s="41">
        <f>SUMIF(Tabella1[Nome],Tabella4[[#This Row],[NOME]],Tabella1[Amm])</f>
        <v>1</v>
      </c>
      <c r="V320" s="42">
        <f>SUMIF(Tabella1[Nome],Tabella4[[#This Row],[NOME]],Tabella1[Esp])</f>
        <v>0</v>
      </c>
      <c r="W320" s="40">
        <f>SUMIF(Tabella1[Nome],Tabella4[[#This Row],[NOME]],Tabella1[Ass])</f>
        <v>0</v>
      </c>
      <c r="X320" s="40">
        <f>SUMIF(Tabella1[Nome],Tabella4[[#This Row],[NOME]],Tabella1[Gdv])</f>
        <v>0</v>
      </c>
      <c r="Y320" s="40">
        <f>SUMIF(Tabella1[Nome],Tabella4[[#This Row],[NOME]],Tabella1[cl sh])</f>
        <v>0</v>
      </c>
      <c r="Z320" s="270" t="str">
        <f>_xlfn.IFNA(_xlfn.XLOOKUP(CONCATENATE(Z$4,$C320),Tabella1[CONC X VOTI IN TAB GIOC],Tabella1[Voto],""),"")</f>
        <v/>
      </c>
      <c r="AA320" s="270">
        <f>_xlfn.IFNA(_xlfn.XLOOKUP(CONCATENATE(AA$4,$C320),Tabella1[CONC X VOTI IN TAB GIOC],Tabella1[Voto],""),"")</f>
        <v>6</v>
      </c>
      <c r="AB320" s="270">
        <f>_xlfn.IFNA(_xlfn.XLOOKUP(CONCATENATE(AB$4,$C320),Tabella1[CONC X VOTI IN TAB GIOC],Tabella1[Voto]),"")</f>
        <v>5.5</v>
      </c>
      <c r="AC320" s="270" cm="1">
        <f t="array" ref="AC320">_xlfn.IFNA(_xlfn.XLOOKUP(CONCATENATE(AC$4,$C320),INDEX(Tabella1[],0,MATCH("CONC X VOTI IN TAB GIOC",Tabella1[#Headers],0)),INDEX(Tabella1[],0,MATCH("Voto",Tabella1[#Headers],0))),"")</f>
        <v>5</v>
      </c>
      <c r="AD320" s="270" t="str">
        <f>_xlfn.IFNA(_xlfn.XLOOKUP(CONCATENATE(AD$4,$C320),Tabella1[CONC X VOTI IN TAB GIOC],Tabella1[Voto]),"")</f>
        <v/>
      </c>
      <c r="AE320" s="270" t="str">
        <f>_xlfn.IFNA(VLOOKUP(CONCATENATE(AE$4,$C320),'INSER DATA'!$A:$F,6,0),"")</f>
        <v/>
      </c>
      <c r="AF320" s="270" t="str">
        <f>_xlfn.IFNA(VLOOKUP(CONCATENATE(AF$4,$C320),'INSER DATA'!$A:$F,6,0),"")</f>
        <v/>
      </c>
      <c r="AG320" s="270" t="str">
        <f>_xlfn.IFNA(VLOOKUP(CONCATENATE(AG$4,$C320),'INSER DATA'!$A:$F,6,0),"")</f>
        <v/>
      </c>
      <c r="AH320" s="270" t="str">
        <f>_xlfn.IFNA(VLOOKUP(CONCATENATE(AH$4,$C320),'INSER DATA'!$A:$F,7,0),"")</f>
        <v/>
      </c>
      <c r="AI320" s="270" t="str">
        <f>_xlfn.IFNA(VLOOKUP(CONCATENATE(AI$4,$C320),'INSER DATA'!$A:$F,7,0),"")</f>
        <v/>
      </c>
      <c r="AJ320" s="270" t="str">
        <f>_xlfn.IFNA(VLOOKUP(CONCATENATE(AJ$4,$C320),'INSER DATA'!$A:$F,7,0),"")</f>
        <v/>
      </c>
      <c r="AK320" s="270" t="str">
        <f>_xlfn.IFNA(VLOOKUP(CONCATENATE(AK$4,$C320),'INSER DATA'!$A:$F,7,0),"")</f>
        <v/>
      </c>
      <c r="AL320" s="270" t="str">
        <f>_xlfn.IFNA(VLOOKUP(CONCATENATE(AL$4,$C320),'INSER DATA'!$A:$F,7,0),"")</f>
        <v/>
      </c>
      <c r="AM320" s="270" t="str">
        <f>_xlfn.IFNA(VLOOKUP(CONCATENATE(AM$4,$C320),'INSER DATA'!$A:$F,7,0),"")</f>
        <v/>
      </c>
      <c r="AN320" s="270" t="str">
        <f>_xlfn.IFNA(VLOOKUP(CONCATENATE(AN$4,$C320),'INSER DATA'!$A:$F,7,0),"")</f>
        <v/>
      </c>
      <c r="AO320" s="270" t="str">
        <f>_xlfn.IFNA(VLOOKUP(CONCATENATE(AO$4,$C320),'INSER DATA'!$A:$F,7,0),"")</f>
        <v/>
      </c>
      <c r="AP320" s="270" t="str">
        <f>_xlfn.IFNA(VLOOKUP(CONCATENATE(AP$4,$C320),'INSER DATA'!$A:$F,7,0),"")</f>
        <v/>
      </c>
      <c r="AQ320" s="270" t="str">
        <f>_xlfn.IFNA(VLOOKUP(CONCATENATE(AQ$4,$C320),'INSER DATA'!$A:$F,7,0),"")</f>
        <v/>
      </c>
      <c r="AR320" s="270" t="str">
        <f>_xlfn.IFNA(VLOOKUP(CONCATENATE(AR$4,$C320),'INSER DATA'!$A:$F,7,0),"")</f>
        <v/>
      </c>
      <c r="AS320" s="270" t="str">
        <f>_xlfn.IFNA(VLOOKUP(CONCATENATE(AS$4,$C320),'INSER DATA'!$A:$F,7,0),"")</f>
        <v/>
      </c>
      <c r="AT320" s="270" t="str">
        <f>_xlfn.IFNA(VLOOKUP(CONCATENATE(AT$4,$C320),'INSER DATA'!$A:$F,7,0),"")</f>
        <v/>
      </c>
      <c r="AU320" s="270" t="str">
        <f>_xlfn.IFNA(VLOOKUP(CONCATENATE(AU$4,$C320),'INSER DATA'!$A:$F,7,0),"")</f>
        <v/>
      </c>
      <c r="AV320" s="270" t="str">
        <f>_xlfn.IFNA(VLOOKUP(CONCATENATE(AV$4,$C320),'INSER DATA'!$A:$F,7,0),"")</f>
        <v/>
      </c>
      <c r="AW320" s="270" t="str">
        <f>_xlfn.IFNA(VLOOKUP(CONCATENATE(AW$4,$C320),'INSER DATA'!$A:$F,7,0),"")</f>
        <v/>
      </c>
      <c r="AX320" s="270" t="str">
        <f>_xlfn.IFNA(VLOOKUP(CONCATENATE(AX$4,$C320),'INSER DATA'!$A:$F,7,0),"")</f>
        <v/>
      </c>
      <c r="AY320" s="270" t="str">
        <f>_xlfn.IFNA(VLOOKUP(CONCATENATE(AY$4,$C320),'INSER DATA'!$A:$F,7,0),"")</f>
        <v/>
      </c>
      <c r="AZ320" s="270" t="str">
        <f>_xlfn.IFNA(VLOOKUP(CONCATENATE(AZ$4,$C320),'INSER DATA'!$A:$F,7,0),"")</f>
        <v/>
      </c>
      <c r="BA320" s="270" t="str">
        <f>_xlfn.IFNA(VLOOKUP(CONCATENATE(BA$4,$C320),'INSER DATA'!$A:$F,7,0),"")</f>
        <v/>
      </c>
      <c r="BB320" s="270" t="str">
        <f>_xlfn.IFNA(VLOOKUP(CONCATENATE(BB$4,$C320),'INSER DATA'!$A:$F,7,0),"")</f>
        <v/>
      </c>
      <c r="BC320" s="270" t="str">
        <f>_xlfn.IFNA(VLOOKUP(CONCATENATE(BC$4,$C320),'INSER DATA'!$A:$F,7,0),"")</f>
        <v/>
      </c>
      <c r="BD320" s="270" t="str">
        <f>_xlfn.IFNA(VLOOKUP(CONCATENATE(BD$4,$C320),'INSER DATA'!$A:$F,7,0),"")</f>
        <v/>
      </c>
      <c r="BE320" s="270" t="str">
        <f>_xlfn.IFNA(VLOOKUP(CONCATENATE(BE$4,$C320),'INSER DATA'!$A:$F,7,0),"")</f>
        <v/>
      </c>
      <c r="BF320" s="270" t="str">
        <f>_xlfn.IFNA(VLOOKUP(CONCATENATE(BF$4,$C320),'INSER DATA'!$A:$F,7,0),"")</f>
        <v/>
      </c>
      <c r="BG320" s="270" t="str">
        <f>_xlfn.IFNA(VLOOKUP(CONCATENATE(BG$4,$C320),'INSER DATA'!$A:$F,7,0),"")</f>
        <v/>
      </c>
      <c r="BH320" s="270" t="str">
        <f>_xlfn.IFNA(VLOOKUP(CONCATENATE(BH$4,$C320),'INSER DATA'!$A:$F,7,0),"")</f>
        <v/>
      </c>
      <c r="BI320" s="270" t="str">
        <f>_xlfn.IFNA(VLOOKUP(CONCATENATE(BI$4,$C320),'INSER DATA'!$A:$F,7,0),"")</f>
        <v/>
      </c>
      <c r="BJ320" s="270" t="str">
        <f>_xlfn.IFNA(VLOOKUP(CONCATENATE(BJ$4,$C320),'INSER DATA'!$A:$F,7,0),"")</f>
        <v/>
      </c>
      <c r="BK320" s="270" t="str">
        <f>_xlfn.IFNA(VLOOKUP(CONCATENATE(BK$4,$C320),'INSER DATA'!$A:$F,7,0),"")</f>
        <v/>
      </c>
      <c r="BL320" s="272"/>
      <c r="BM320" s="30"/>
      <c r="BN320" s="30"/>
      <c r="BO320" s="30"/>
      <c r="BP320" s="30"/>
      <c r="BQ320" s="30"/>
      <c r="BR320" s="30"/>
      <c r="BS320" s="30"/>
      <c r="BT320" s="30"/>
      <c r="BU320" s="30"/>
      <c r="BV320" s="30"/>
      <c r="BW320" s="30"/>
      <c r="BX320" s="30"/>
      <c r="BY320" s="30"/>
      <c r="BZ320" s="30"/>
      <c r="CA320" s="30"/>
      <c r="CB320" s="30"/>
      <c r="CC320" s="30"/>
      <c r="CD320" s="30"/>
      <c r="CE320" s="30"/>
      <c r="CF320" s="30"/>
      <c r="CG320" s="30"/>
      <c r="CH320" s="30"/>
      <c r="CI320" s="30"/>
      <c r="CJ320" s="30"/>
      <c r="CK320" s="30"/>
      <c r="CL320" s="30"/>
      <c r="CM320" s="30"/>
      <c r="CN320" s="30"/>
      <c r="CO320" s="30"/>
      <c r="CP320" s="30"/>
      <c r="CQ320" s="30"/>
      <c r="CR320" s="30"/>
      <c r="CS320" s="30"/>
      <c r="CT320" s="30"/>
      <c r="CU320" s="30"/>
      <c r="CV320" s="30"/>
      <c r="CW320" s="30"/>
      <c r="CX320" s="30"/>
      <c r="CY320" s="30"/>
      <c r="CZ320" s="30"/>
      <c r="DA320" s="30"/>
    </row>
    <row r="321" spans="1:105" ht="19.2" thickTop="1" thickBot="1" x14ac:dyDescent="0.4">
      <c r="A321" s="30"/>
      <c r="B321" s="30"/>
      <c r="C321" s="188" t="s">
        <v>989</v>
      </c>
      <c r="D321" s="187" t="s">
        <v>842</v>
      </c>
      <c r="E321" s="35" t="str">
        <f>_xlfn.XLOOKUP(Tabella4[[#This Row],[NOME]],'ROSE SQUADRE'!$N$3:$N$253,'ROSE SQUADRE'!$O$3:$O$253,"")</f>
        <v/>
      </c>
      <c r="F321" s="36" t="s">
        <v>162</v>
      </c>
      <c r="G321" s="43"/>
      <c r="H321" s="43"/>
      <c r="I321" s="44">
        <f t="shared" si="25"/>
        <v>0</v>
      </c>
      <c r="J321" s="37">
        <f t="shared" si="26"/>
        <v>1</v>
      </c>
      <c r="K321" s="178">
        <f t="shared" si="27"/>
        <v>6</v>
      </c>
      <c r="L321" s="178">
        <f t="shared" si="28"/>
        <v>6</v>
      </c>
      <c r="M321" s="179">
        <f t="shared" si="29"/>
        <v>6</v>
      </c>
      <c r="N321" s="45">
        <f t="shared" ca="1" si="30"/>
        <v>0</v>
      </c>
      <c r="O321" s="40">
        <f>SUMIF(Tabella1[Nome],Tabella4[[#This Row],[NOME]],Tabella1[Gf])</f>
        <v>0</v>
      </c>
      <c r="P321" s="40">
        <f>-(SUMIF(Tabella1[Nome],Tabella4[[#This Row],[NOME]],Tabella1[Gs]))</f>
        <v>0</v>
      </c>
      <c r="Q321" s="40">
        <f>SUMIF(Tabella1[Nome],Tabella4[[#This Row],[NOME]],Tabella1[Rp])</f>
        <v>0</v>
      </c>
      <c r="R321" s="40">
        <f>SUMIF(Tabella1[Nome],Tabella4[[#This Row],[NOME]],Tabella1[Rs])</f>
        <v>0</v>
      </c>
      <c r="S321" s="40">
        <f>SUMIF(Tabella1[Nome],Tabella4[[#This Row],[NOME]],Tabella1[Rf])</f>
        <v>0</v>
      </c>
      <c r="T321" s="40">
        <f>SUMIF(Tabella1[Nome],Tabella4[[#This Row],[NOME]],Tabella1[Au])</f>
        <v>0</v>
      </c>
      <c r="U321" s="41">
        <f>SUMIF(Tabella1[Nome],Tabella4[[#This Row],[NOME]],Tabella1[Amm])</f>
        <v>0</v>
      </c>
      <c r="V321" s="42">
        <f>SUMIF(Tabella1[Nome],Tabella4[[#This Row],[NOME]],Tabella1[Esp])</f>
        <v>0</v>
      </c>
      <c r="W321" s="40">
        <f>SUMIF(Tabella1[Nome],Tabella4[[#This Row],[NOME]],Tabella1[Ass])</f>
        <v>0</v>
      </c>
      <c r="X321" s="40">
        <f>SUMIF(Tabella1[Nome],Tabella4[[#This Row],[NOME]],Tabella1[Gdv])</f>
        <v>0</v>
      </c>
      <c r="Y321" s="40">
        <f>SUMIF(Tabella1[Nome],Tabella4[[#This Row],[NOME]],Tabella1[cl sh])</f>
        <v>0</v>
      </c>
      <c r="Z321" s="270">
        <f>_xlfn.IFNA(_xlfn.XLOOKUP(CONCATENATE(Z$4,$C321),Tabella1[CONC X VOTI IN TAB GIOC],Tabella1[Voto],""),"")</f>
        <v>6</v>
      </c>
      <c r="AA321" s="270" t="str">
        <f>_xlfn.IFNA(_xlfn.XLOOKUP(CONCATENATE(AA$4,$C321),Tabella1[CONC X VOTI IN TAB GIOC],Tabella1[Voto],""),"")</f>
        <v/>
      </c>
      <c r="AB321" s="270" t="str">
        <f>_xlfn.IFNA(_xlfn.XLOOKUP(CONCATENATE(AB$4,$C321),Tabella1[CONC X VOTI IN TAB GIOC],Tabella1[Voto]),"")</f>
        <v/>
      </c>
      <c r="AC321" s="270" t="str" cm="1">
        <f t="array" ref="AC321">_xlfn.IFNA(_xlfn.XLOOKUP(CONCATENATE(AC$4,$C321),INDEX(Tabella1[],0,MATCH("CONC X VOTI IN TAB GIOC",Tabella1[#Headers],0)),INDEX(Tabella1[],0,MATCH("Voto",Tabella1[#Headers],0))),"")</f>
        <v/>
      </c>
      <c r="AD321" s="270" t="str">
        <f>_xlfn.IFNA(_xlfn.XLOOKUP(CONCATENATE(AD$4,$C321),Tabella1[CONC X VOTI IN TAB GIOC],Tabella1[Voto]),"")</f>
        <v/>
      </c>
      <c r="AE321" s="270" t="str">
        <f>_xlfn.IFNA(VLOOKUP(CONCATENATE(AE$4,$C321),'INSER DATA'!$A:$F,6,0),"")</f>
        <v/>
      </c>
      <c r="AF321" s="270" t="str">
        <f>_xlfn.IFNA(VLOOKUP(CONCATENATE(AF$4,$C321),'INSER DATA'!$A:$F,6,0),"")</f>
        <v/>
      </c>
      <c r="AG321" s="270" t="str">
        <f>_xlfn.IFNA(VLOOKUP(CONCATENATE(AG$4,$C321),'INSER DATA'!$A:$F,6,0),"")</f>
        <v/>
      </c>
      <c r="AH321" s="270" t="str">
        <f>_xlfn.IFNA(VLOOKUP(CONCATENATE(AH$4,$C321),'INSER DATA'!$A:$F,7,0),"")</f>
        <v/>
      </c>
      <c r="AI321" s="270" t="str">
        <f>_xlfn.IFNA(VLOOKUP(CONCATENATE(AI$4,$C321),'INSER DATA'!$A:$F,7,0),"")</f>
        <v/>
      </c>
      <c r="AJ321" s="270" t="str">
        <f>_xlfn.IFNA(VLOOKUP(CONCATENATE(AJ$4,$C321),'INSER DATA'!$A:$F,7,0),"")</f>
        <v/>
      </c>
      <c r="AK321" s="270" t="str">
        <f>_xlfn.IFNA(VLOOKUP(CONCATENATE(AK$4,$C321),'INSER DATA'!$A:$F,7,0),"")</f>
        <v/>
      </c>
      <c r="AL321" s="270" t="str">
        <f>_xlfn.IFNA(VLOOKUP(CONCATENATE(AL$4,$C321),'INSER DATA'!$A:$F,7,0),"")</f>
        <v/>
      </c>
      <c r="AM321" s="270" t="str">
        <f>_xlfn.IFNA(VLOOKUP(CONCATENATE(AM$4,$C321),'INSER DATA'!$A:$F,7,0),"")</f>
        <v/>
      </c>
      <c r="AN321" s="270" t="str">
        <f>_xlfn.IFNA(VLOOKUP(CONCATENATE(AN$4,$C321),'INSER DATA'!$A:$F,7,0),"")</f>
        <v/>
      </c>
      <c r="AO321" s="270" t="str">
        <f>_xlfn.IFNA(VLOOKUP(CONCATENATE(AO$4,$C321),'INSER DATA'!$A:$F,7,0),"")</f>
        <v/>
      </c>
      <c r="AP321" s="270" t="str">
        <f>_xlfn.IFNA(VLOOKUP(CONCATENATE(AP$4,$C321),'INSER DATA'!$A:$F,7,0),"")</f>
        <v/>
      </c>
      <c r="AQ321" s="270" t="str">
        <f>_xlfn.IFNA(VLOOKUP(CONCATENATE(AQ$4,$C321),'INSER DATA'!$A:$F,7,0),"")</f>
        <v/>
      </c>
      <c r="AR321" s="270" t="str">
        <f>_xlfn.IFNA(VLOOKUP(CONCATENATE(AR$4,$C321),'INSER DATA'!$A:$F,7,0),"")</f>
        <v/>
      </c>
      <c r="AS321" s="270" t="str">
        <f>_xlfn.IFNA(VLOOKUP(CONCATENATE(AS$4,$C321),'INSER DATA'!$A:$F,7,0),"")</f>
        <v/>
      </c>
      <c r="AT321" s="270" t="str">
        <f>_xlfn.IFNA(VLOOKUP(CONCATENATE(AT$4,$C321),'INSER DATA'!$A:$F,7,0),"")</f>
        <v/>
      </c>
      <c r="AU321" s="270" t="str">
        <f>_xlfn.IFNA(VLOOKUP(CONCATENATE(AU$4,$C321),'INSER DATA'!$A:$F,7,0),"")</f>
        <v/>
      </c>
      <c r="AV321" s="270" t="str">
        <f>_xlfn.IFNA(VLOOKUP(CONCATENATE(AV$4,$C321),'INSER DATA'!$A:$F,7,0),"")</f>
        <v/>
      </c>
      <c r="AW321" s="270" t="str">
        <f>_xlfn.IFNA(VLOOKUP(CONCATENATE(AW$4,$C321),'INSER DATA'!$A:$F,7,0),"")</f>
        <v/>
      </c>
      <c r="AX321" s="270" t="str">
        <f>_xlfn.IFNA(VLOOKUP(CONCATENATE(AX$4,$C321),'INSER DATA'!$A:$F,7,0),"")</f>
        <v/>
      </c>
      <c r="AY321" s="270" t="str">
        <f>_xlfn.IFNA(VLOOKUP(CONCATENATE(AY$4,$C321),'INSER DATA'!$A:$F,7,0),"")</f>
        <v/>
      </c>
      <c r="AZ321" s="270" t="str">
        <f>_xlfn.IFNA(VLOOKUP(CONCATENATE(AZ$4,$C321),'INSER DATA'!$A:$F,7,0),"")</f>
        <v/>
      </c>
      <c r="BA321" s="270" t="str">
        <f>_xlfn.IFNA(VLOOKUP(CONCATENATE(BA$4,$C321),'INSER DATA'!$A:$F,7,0),"")</f>
        <v/>
      </c>
      <c r="BB321" s="270" t="str">
        <f>_xlfn.IFNA(VLOOKUP(CONCATENATE(BB$4,$C321),'INSER DATA'!$A:$F,7,0),"")</f>
        <v/>
      </c>
      <c r="BC321" s="270" t="str">
        <f>_xlfn.IFNA(VLOOKUP(CONCATENATE(BC$4,$C321),'INSER DATA'!$A:$F,7,0),"")</f>
        <v/>
      </c>
      <c r="BD321" s="270" t="str">
        <f>_xlfn.IFNA(VLOOKUP(CONCATENATE(BD$4,$C321),'INSER DATA'!$A:$F,7,0),"")</f>
        <v/>
      </c>
      <c r="BE321" s="270" t="str">
        <f>_xlfn.IFNA(VLOOKUP(CONCATENATE(BE$4,$C321),'INSER DATA'!$A:$F,7,0),"")</f>
        <v/>
      </c>
      <c r="BF321" s="270" t="str">
        <f>_xlfn.IFNA(VLOOKUP(CONCATENATE(BF$4,$C321),'INSER DATA'!$A:$F,7,0),"")</f>
        <v/>
      </c>
      <c r="BG321" s="270" t="str">
        <f>_xlfn.IFNA(VLOOKUP(CONCATENATE(BG$4,$C321),'INSER DATA'!$A:$F,7,0),"")</f>
        <v/>
      </c>
      <c r="BH321" s="270" t="str">
        <f>_xlfn.IFNA(VLOOKUP(CONCATENATE(BH$4,$C321),'INSER DATA'!$A:$F,7,0),"")</f>
        <v/>
      </c>
      <c r="BI321" s="270" t="str">
        <f>_xlfn.IFNA(VLOOKUP(CONCATENATE(BI$4,$C321),'INSER DATA'!$A:$F,7,0),"")</f>
        <v/>
      </c>
      <c r="BJ321" s="270" t="str">
        <f>_xlfn.IFNA(VLOOKUP(CONCATENATE(BJ$4,$C321),'INSER DATA'!$A:$F,7,0),"")</f>
        <v/>
      </c>
      <c r="BK321" s="270" t="str">
        <f>_xlfn.IFNA(VLOOKUP(CONCATENATE(BK$4,$C321),'INSER DATA'!$A:$F,7,0),"")</f>
        <v/>
      </c>
      <c r="BL321" s="272"/>
      <c r="BM321" s="30"/>
      <c r="BN321" s="30"/>
      <c r="BO321" s="30"/>
      <c r="BP321" s="30"/>
      <c r="BQ321" s="30"/>
      <c r="BR321" s="30"/>
      <c r="BS321" s="30"/>
      <c r="BT321" s="30"/>
      <c r="BU321" s="30"/>
      <c r="BV321" s="30"/>
      <c r="BW321" s="30"/>
      <c r="BX321" s="30"/>
      <c r="BY321" s="30"/>
      <c r="BZ321" s="30"/>
      <c r="CA321" s="30"/>
      <c r="CB321" s="30"/>
      <c r="CC321" s="30"/>
      <c r="CD321" s="30"/>
      <c r="CE321" s="30"/>
      <c r="CF321" s="30"/>
      <c r="CG321" s="30"/>
      <c r="CH321" s="30"/>
      <c r="CI321" s="30"/>
      <c r="CJ321" s="30"/>
      <c r="CK321" s="30"/>
      <c r="CL321" s="30"/>
      <c r="CM321" s="30"/>
      <c r="CN321" s="30"/>
      <c r="CO321" s="30"/>
      <c r="CP321" s="30"/>
      <c r="CQ321" s="30"/>
      <c r="CR321" s="30"/>
      <c r="CS321" s="30"/>
      <c r="CT321" s="30"/>
      <c r="CU321" s="30"/>
      <c r="CV321" s="30"/>
      <c r="CW321" s="30"/>
      <c r="CX321" s="30"/>
      <c r="CY321" s="30"/>
      <c r="CZ321" s="30"/>
      <c r="DA321" s="30"/>
    </row>
    <row r="322" spans="1:105" ht="19.2" thickTop="1" thickBot="1" x14ac:dyDescent="0.4">
      <c r="A322" s="30"/>
      <c r="B322" s="30"/>
      <c r="C322" s="185" t="s">
        <v>250</v>
      </c>
      <c r="D322" s="46" t="s">
        <v>842</v>
      </c>
      <c r="E322" s="35" t="str">
        <f>_xlfn.XLOOKUP(Tabella4[[#This Row],[NOME]],'ROSE SQUADRE'!$N$3:$N$253,'ROSE SQUADRE'!$O$3:$O$253,"")</f>
        <v/>
      </c>
      <c r="F322" s="36" t="s">
        <v>161</v>
      </c>
      <c r="G322" s="43">
        <v>4</v>
      </c>
      <c r="H322" s="43">
        <v>4</v>
      </c>
      <c r="I322" s="44">
        <f t="shared" si="25"/>
        <v>0</v>
      </c>
      <c r="J322" s="37">
        <f t="shared" si="26"/>
        <v>4</v>
      </c>
      <c r="K322" s="38">
        <f t="shared" si="27"/>
        <v>5.875</v>
      </c>
      <c r="L322" s="38">
        <f t="shared" si="28"/>
        <v>6.125</v>
      </c>
      <c r="M322" s="39">
        <f t="shared" si="29"/>
        <v>24.5</v>
      </c>
      <c r="N322" s="45">
        <f t="shared" ca="1" si="30"/>
        <v>0</v>
      </c>
      <c r="O322" s="40">
        <f>SUMIF(Tabella1[Nome],Tabella4[[#This Row],[NOME]],Tabella1[Gf])</f>
        <v>0</v>
      </c>
      <c r="P322" s="40">
        <f>-(SUMIF(Tabella1[Nome],Tabella4[[#This Row],[NOME]],Tabella1[Gs]))</f>
        <v>0</v>
      </c>
      <c r="Q322" s="40">
        <f>SUMIF(Tabella1[Nome],Tabella4[[#This Row],[NOME]],Tabella1[Rp])</f>
        <v>0</v>
      </c>
      <c r="R322" s="40">
        <f>SUMIF(Tabella1[Nome],Tabella4[[#This Row],[NOME]],Tabella1[Rs])</f>
        <v>0</v>
      </c>
      <c r="S322" s="40">
        <f>SUMIF(Tabella1[Nome],Tabella4[[#This Row],[NOME]],Tabella1[Rf])</f>
        <v>0</v>
      </c>
      <c r="T322" s="40">
        <f>SUMIF(Tabella1[Nome],Tabella4[[#This Row],[NOME]],Tabella1[Au])</f>
        <v>0</v>
      </c>
      <c r="U322" s="41">
        <f>SUMIF(Tabella1[Nome],Tabella4[[#This Row],[NOME]],Tabella1[Amm])</f>
        <v>0</v>
      </c>
      <c r="V322" s="42">
        <f>SUMIF(Tabella1[Nome],Tabella4[[#This Row],[NOME]],Tabella1[Esp])</f>
        <v>0</v>
      </c>
      <c r="W322" s="40">
        <f>SUMIF(Tabella1[Nome],Tabella4[[#This Row],[NOME]],Tabella1[Ass])</f>
        <v>1</v>
      </c>
      <c r="X322" s="40">
        <f>SUMIF(Tabella1[Nome],Tabella4[[#This Row],[NOME]],Tabella1[Gdv])</f>
        <v>0</v>
      </c>
      <c r="Y322" s="40">
        <f>SUMIF(Tabella1[Nome],Tabella4[[#This Row],[NOME]],Tabella1[cl sh])</f>
        <v>0</v>
      </c>
      <c r="Z322" s="270">
        <f>_xlfn.IFNA(_xlfn.XLOOKUP(CONCATENATE(Z$4,$C322),Tabella1[CONC X VOTI IN TAB GIOC],Tabella1[Voto],""),"")</f>
        <v>5.5</v>
      </c>
      <c r="AA322" s="270">
        <f>_xlfn.IFNA(_xlfn.XLOOKUP(CONCATENATE(AA$4,$C322),Tabella1[CONC X VOTI IN TAB GIOC],Tabella1[Voto],""),"")</f>
        <v>6</v>
      </c>
      <c r="AB322" s="270">
        <f>_xlfn.IFNA(_xlfn.XLOOKUP(CONCATENATE(AB$4,$C322),Tabella1[CONC X VOTI IN TAB GIOC],Tabella1[Voto]),"")</f>
        <v>6</v>
      </c>
      <c r="AC322" s="270" cm="1">
        <f t="array" ref="AC322">_xlfn.IFNA(_xlfn.XLOOKUP(CONCATENATE(AC$4,$C322),INDEX(Tabella1[],0,MATCH("CONC X VOTI IN TAB GIOC",Tabella1[#Headers],0)),INDEX(Tabella1[],0,MATCH("Voto",Tabella1[#Headers],0))),"")</f>
        <v>6</v>
      </c>
      <c r="AD322" s="270" t="str">
        <f>_xlfn.IFNA(_xlfn.XLOOKUP(CONCATENATE(AD$4,$C322),Tabella1[CONC X VOTI IN TAB GIOC],Tabella1[Voto]),"")</f>
        <v/>
      </c>
      <c r="AE322" s="270" t="str">
        <f>_xlfn.IFNA(VLOOKUP(CONCATENATE(AE$4,$C322),'INSER DATA'!$A:$F,6,0),"")</f>
        <v/>
      </c>
      <c r="AF322" s="270" t="str">
        <f>_xlfn.IFNA(VLOOKUP(CONCATENATE(AF$4,$C322),'INSER DATA'!$A:$F,6,0),"")</f>
        <v/>
      </c>
      <c r="AG322" s="270" t="str">
        <f>_xlfn.IFNA(VLOOKUP(CONCATENATE(AG$4,$C322),'INSER DATA'!$A:$F,6,0),"")</f>
        <v/>
      </c>
      <c r="AH322" s="270" t="str">
        <f>_xlfn.IFNA(VLOOKUP(CONCATENATE(AH$4,$C322),'INSER DATA'!$A:$F,7,0),"")</f>
        <v/>
      </c>
      <c r="AI322" s="270" t="str">
        <f>_xlfn.IFNA(VLOOKUP(CONCATENATE(AI$4,$C322),'INSER DATA'!$A:$F,7,0),"")</f>
        <v/>
      </c>
      <c r="AJ322" s="270" t="str">
        <f>_xlfn.IFNA(VLOOKUP(CONCATENATE(AJ$4,$C322),'INSER DATA'!$A:$F,7,0),"")</f>
        <v/>
      </c>
      <c r="AK322" s="270" t="str">
        <f>_xlfn.IFNA(VLOOKUP(CONCATENATE(AK$4,$C322),'INSER DATA'!$A:$F,7,0),"")</f>
        <v/>
      </c>
      <c r="AL322" s="270" t="str">
        <f>_xlfn.IFNA(VLOOKUP(CONCATENATE(AL$4,$C322),'INSER DATA'!$A:$F,7,0),"")</f>
        <v/>
      </c>
      <c r="AM322" s="270" t="str">
        <f>_xlfn.IFNA(VLOOKUP(CONCATENATE(AM$4,$C322),'INSER DATA'!$A:$F,7,0),"")</f>
        <v/>
      </c>
      <c r="AN322" s="270" t="str">
        <f>_xlfn.IFNA(VLOOKUP(CONCATENATE(AN$4,$C322),'INSER DATA'!$A:$F,7,0),"")</f>
        <v/>
      </c>
      <c r="AO322" s="270" t="str">
        <f>_xlfn.IFNA(VLOOKUP(CONCATENATE(AO$4,$C322),'INSER DATA'!$A:$F,7,0),"")</f>
        <v/>
      </c>
      <c r="AP322" s="270" t="str">
        <f>_xlfn.IFNA(VLOOKUP(CONCATENATE(AP$4,$C322),'INSER DATA'!$A:$F,7,0),"")</f>
        <v/>
      </c>
      <c r="AQ322" s="270" t="str">
        <f>_xlfn.IFNA(VLOOKUP(CONCATENATE(AQ$4,$C322),'INSER DATA'!$A:$F,7,0),"")</f>
        <v/>
      </c>
      <c r="AR322" s="270" t="str">
        <f>_xlfn.IFNA(VLOOKUP(CONCATENATE(AR$4,$C322),'INSER DATA'!$A:$F,7,0),"")</f>
        <v/>
      </c>
      <c r="AS322" s="270" t="str">
        <f>_xlfn.IFNA(VLOOKUP(CONCATENATE(AS$4,$C322),'INSER DATA'!$A:$F,7,0),"")</f>
        <v/>
      </c>
      <c r="AT322" s="270" t="str">
        <f>_xlfn.IFNA(VLOOKUP(CONCATENATE(AT$4,$C322),'INSER DATA'!$A:$F,7,0),"")</f>
        <v/>
      </c>
      <c r="AU322" s="270" t="str">
        <f>_xlfn.IFNA(VLOOKUP(CONCATENATE(AU$4,$C322),'INSER DATA'!$A:$F,7,0),"")</f>
        <v/>
      </c>
      <c r="AV322" s="270" t="str">
        <f>_xlfn.IFNA(VLOOKUP(CONCATENATE(AV$4,$C322),'INSER DATA'!$A:$F,7,0),"")</f>
        <v/>
      </c>
      <c r="AW322" s="270" t="str">
        <f>_xlfn.IFNA(VLOOKUP(CONCATENATE(AW$4,$C322),'INSER DATA'!$A:$F,7,0),"")</f>
        <v/>
      </c>
      <c r="AX322" s="270" t="str">
        <f>_xlfn.IFNA(VLOOKUP(CONCATENATE(AX$4,$C322),'INSER DATA'!$A:$F,7,0),"")</f>
        <v/>
      </c>
      <c r="AY322" s="270" t="str">
        <f>_xlfn.IFNA(VLOOKUP(CONCATENATE(AY$4,$C322),'INSER DATA'!$A:$F,7,0),"")</f>
        <v/>
      </c>
      <c r="AZ322" s="270" t="str">
        <f>_xlfn.IFNA(VLOOKUP(CONCATENATE(AZ$4,$C322),'INSER DATA'!$A:$F,7,0),"")</f>
        <v/>
      </c>
      <c r="BA322" s="270" t="str">
        <f>_xlfn.IFNA(VLOOKUP(CONCATENATE(BA$4,$C322),'INSER DATA'!$A:$F,7,0),"")</f>
        <v/>
      </c>
      <c r="BB322" s="270" t="str">
        <f>_xlfn.IFNA(VLOOKUP(CONCATENATE(BB$4,$C322),'INSER DATA'!$A:$F,7,0),"")</f>
        <v/>
      </c>
      <c r="BC322" s="270" t="str">
        <f>_xlfn.IFNA(VLOOKUP(CONCATENATE(BC$4,$C322),'INSER DATA'!$A:$F,7,0),"")</f>
        <v/>
      </c>
      <c r="BD322" s="270" t="str">
        <f>_xlfn.IFNA(VLOOKUP(CONCATENATE(BD$4,$C322),'INSER DATA'!$A:$F,7,0),"")</f>
        <v/>
      </c>
      <c r="BE322" s="270" t="str">
        <f>_xlfn.IFNA(VLOOKUP(CONCATENATE(BE$4,$C322),'INSER DATA'!$A:$F,7,0),"")</f>
        <v/>
      </c>
      <c r="BF322" s="270" t="str">
        <f>_xlfn.IFNA(VLOOKUP(CONCATENATE(BF$4,$C322),'INSER DATA'!$A:$F,7,0),"")</f>
        <v/>
      </c>
      <c r="BG322" s="270" t="str">
        <f>_xlfn.IFNA(VLOOKUP(CONCATENATE(BG$4,$C322),'INSER DATA'!$A:$F,7,0),"")</f>
        <v/>
      </c>
      <c r="BH322" s="270" t="str">
        <f>_xlfn.IFNA(VLOOKUP(CONCATENATE(BH$4,$C322),'INSER DATA'!$A:$F,7,0),"")</f>
        <v/>
      </c>
      <c r="BI322" s="270" t="str">
        <f>_xlfn.IFNA(VLOOKUP(CONCATENATE(BI$4,$C322),'INSER DATA'!$A:$F,7,0),"")</f>
        <v/>
      </c>
      <c r="BJ322" s="270" t="str">
        <f>_xlfn.IFNA(VLOOKUP(CONCATENATE(BJ$4,$C322),'INSER DATA'!$A:$F,7,0),"")</f>
        <v/>
      </c>
      <c r="BK322" s="270" t="str">
        <f>_xlfn.IFNA(VLOOKUP(CONCATENATE(BK$4,$C322),'INSER DATA'!$A:$F,7,0),"")</f>
        <v/>
      </c>
      <c r="BL322" s="272"/>
      <c r="BM322" s="30"/>
      <c r="BN322" s="30"/>
      <c r="BO322" s="30"/>
      <c r="BP322" s="30"/>
      <c r="BQ322" s="30"/>
      <c r="BR322" s="30"/>
      <c r="BS322" s="30"/>
      <c r="BT322" s="30"/>
      <c r="BU322" s="30"/>
      <c r="BV322" s="30"/>
      <c r="BW322" s="30"/>
      <c r="BX322" s="30"/>
      <c r="BY322" s="30"/>
      <c r="BZ322" s="30"/>
      <c r="CA322" s="30"/>
      <c r="CB322" s="30"/>
      <c r="CC322" s="30"/>
      <c r="CD322" s="30"/>
      <c r="CE322" s="30"/>
      <c r="CF322" s="30"/>
      <c r="CG322" s="30"/>
      <c r="CH322" s="30"/>
      <c r="CI322" s="30"/>
      <c r="CJ322" s="30"/>
      <c r="CK322" s="30"/>
      <c r="CL322" s="30"/>
      <c r="CM322" s="30"/>
      <c r="CN322" s="30"/>
      <c r="CO322" s="30"/>
      <c r="CP322" s="30"/>
      <c r="CQ322" s="30"/>
      <c r="CR322" s="30"/>
      <c r="CS322" s="30"/>
      <c r="CT322" s="30"/>
      <c r="CU322" s="30"/>
      <c r="CV322" s="30"/>
      <c r="CW322" s="30"/>
      <c r="CX322" s="30"/>
      <c r="CY322" s="30"/>
      <c r="CZ322" s="30"/>
      <c r="DA322" s="30"/>
    </row>
    <row r="323" spans="1:105" ht="19.2" thickTop="1" thickBot="1" x14ac:dyDescent="0.4">
      <c r="A323" s="30"/>
      <c r="B323" s="30"/>
      <c r="C323" s="188" t="s">
        <v>849</v>
      </c>
      <c r="D323" s="187" t="s">
        <v>842</v>
      </c>
      <c r="E323" s="35" t="str">
        <f>_xlfn.XLOOKUP(Tabella4[[#This Row],[NOME]],'ROSE SQUADRE'!$N$3:$N$253,'ROSE SQUADRE'!$O$3:$O$253,"")</f>
        <v/>
      </c>
      <c r="F323" s="36" t="s">
        <v>161</v>
      </c>
      <c r="G323" s="43">
        <v>3</v>
      </c>
      <c r="H323" s="43">
        <v>3</v>
      </c>
      <c r="I323" s="44">
        <f t="shared" si="25"/>
        <v>0</v>
      </c>
      <c r="J323" s="37">
        <f t="shared" si="26"/>
        <v>4</v>
      </c>
      <c r="K323" s="178">
        <f t="shared" si="27"/>
        <v>5.625</v>
      </c>
      <c r="L323" s="178">
        <f t="shared" si="28"/>
        <v>5.5</v>
      </c>
      <c r="M323" s="179">
        <f t="shared" si="29"/>
        <v>22</v>
      </c>
      <c r="N323" s="45">
        <f t="shared" ca="1" si="30"/>
        <v>0</v>
      </c>
      <c r="O323" s="40">
        <f>SUMIF(Tabella1[Nome],Tabella4[[#This Row],[NOME]],Tabella1[Gf])</f>
        <v>0</v>
      </c>
      <c r="P323" s="40">
        <f>-(SUMIF(Tabella1[Nome],Tabella4[[#This Row],[NOME]],Tabella1[Gs]))</f>
        <v>0</v>
      </c>
      <c r="Q323" s="40">
        <f>SUMIF(Tabella1[Nome],Tabella4[[#This Row],[NOME]],Tabella1[Rp])</f>
        <v>0</v>
      </c>
      <c r="R323" s="40">
        <f>SUMIF(Tabella1[Nome],Tabella4[[#This Row],[NOME]],Tabella1[Rs])</f>
        <v>0</v>
      </c>
      <c r="S323" s="40">
        <f>SUMIF(Tabella1[Nome],Tabella4[[#This Row],[NOME]],Tabella1[Rf])</f>
        <v>0</v>
      </c>
      <c r="T323" s="40">
        <f>SUMIF(Tabella1[Nome],Tabella4[[#This Row],[NOME]],Tabella1[Au])</f>
        <v>0</v>
      </c>
      <c r="U323" s="41">
        <f>SUMIF(Tabella1[Nome],Tabella4[[#This Row],[NOME]],Tabella1[Amm])</f>
        <v>1</v>
      </c>
      <c r="V323" s="42">
        <f>SUMIF(Tabella1[Nome],Tabella4[[#This Row],[NOME]],Tabella1[Esp])</f>
        <v>0</v>
      </c>
      <c r="W323" s="40">
        <f>SUMIF(Tabella1[Nome],Tabella4[[#This Row],[NOME]],Tabella1[Ass])</f>
        <v>0</v>
      </c>
      <c r="X323" s="40">
        <f>SUMIF(Tabella1[Nome],Tabella4[[#This Row],[NOME]],Tabella1[Gdv])</f>
        <v>0</v>
      </c>
      <c r="Y323" s="40">
        <f>SUMIF(Tabella1[Nome],Tabella4[[#This Row],[NOME]],Tabella1[cl sh])</f>
        <v>0</v>
      </c>
      <c r="Z323" s="270">
        <f>_xlfn.IFNA(_xlfn.XLOOKUP(CONCATENATE(Z$4,$C323),Tabella1[CONC X VOTI IN TAB GIOC],Tabella1[Voto],""),"")</f>
        <v>5.5</v>
      </c>
      <c r="AA323" s="270">
        <f>_xlfn.IFNA(_xlfn.XLOOKUP(CONCATENATE(AA$4,$C323),Tabella1[CONC X VOTI IN TAB GIOC],Tabella1[Voto],""),"")</f>
        <v>6</v>
      </c>
      <c r="AB323" s="270">
        <f>_xlfn.IFNA(_xlfn.XLOOKUP(CONCATENATE(AB$4,$C323),Tabella1[CONC X VOTI IN TAB GIOC],Tabella1[Voto]),"")</f>
        <v>6</v>
      </c>
      <c r="AC323" s="270" cm="1">
        <f t="array" ref="AC323">_xlfn.IFNA(_xlfn.XLOOKUP(CONCATENATE(AC$4,$C323),INDEX(Tabella1[],0,MATCH("CONC X VOTI IN TAB GIOC",Tabella1[#Headers],0)),INDEX(Tabella1[],0,MATCH("Voto",Tabella1[#Headers],0))),"")</f>
        <v>5</v>
      </c>
      <c r="AD323" s="270" t="str">
        <f>_xlfn.IFNA(_xlfn.XLOOKUP(CONCATENATE(AD$4,$C323),Tabella1[CONC X VOTI IN TAB GIOC],Tabella1[Voto]),"")</f>
        <v/>
      </c>
      <c r="AE323" s="270" t="str">
        <f>_xlfn.IFNA(VLOOKUP(CONCATENATE(AE$4,$C323),'INSER DATA'!$A:$F,6,0),"")</f>
        <v/>
      </c>
      <c r="AF323" s="270" t="str">
        <f>_xlfn.IFNA(VLOOKUP(CONCATENATE(AF$4,$C323),'INSER DATA'!$A:$F,6,0),"")</f>
        <v/>
      </c>
      <c r="AG323" s="270" t="str">
        <f>_xlfn.IFNA(VLOOKUP(CONCATENATE(AG$4,$C323),'INSER DATA'!$A:$F,6,0),"")</f>
        <v/>
      </c>
      <c r="AH323" s="270" t="str">
        <f>_xlfn.IFNA(VLOOKUP(CONCATENATE(AH$4,$C323),'INSER DATA'!$A:$F,7,0),"")</f>
        <v/>
      </c>
      <c r="AI323" s="270" t="str">
        <f>_xlfn.IFNA(VLOOKUP(CONCATENATE(AI$4,$C323),'INSER DATA'!$A:$F,7,0),"")</f>
        <v/>
      </c>
      <c r="AJ323" s="270" t="str">
        <f>_xlfn.IFNA(VLOOKUP(CONCATENATE(AJ$4,$C323),'INSER DATA'!$A:$F,7,0),"")</f>
        <v/>
      </c>
      <c r="AK323" s="270" t="str">
        <f>_xlfn.IFNA(VLOOKUP(CONCATENATE(AK$4,$C323),'INSER DATA'!$A:$F,7,0),"")</f>
        <v/>
      </c>
      <c r="AL323" s="270" t="str">
        <f>_xlfn.IFNA(VLOOKUP(CONCATENATE(AL$4,$C323),'INSER DATA'!$A:$F,7,0),"")</f>
        <v/>
      </c>
      <c r="AM323" s="270" t="str">
        <f>_xlfn.IFNA(VLOOKUP(CONCATENATE(AM$4,$C323),'INSER DATA'!$A:$F,7,0),"")</f>
        <v/>
      </c>
      <c r="AN323" s="270" t="str">
        <f>_xlfn.IFNA(VLOOKUP(CONCATENATE(AN$4,$C323),'INSER DATA'!$A:$F,7,0),"")</f>
        <v/>
      </c>
      <c r="AO323" s="270" t="str">
        <f>_xlfn.IFNA(VLOOKUP(CONCATENATE(AO$4,$C323),'INSER DATA'!$A:$F,7,0),"")</f>
        <v/>
      </c>
      <c r="AP323" s="270" t="str">
        <f>_xlfn.IFNA(VLOOKUP(CONCATENATE(AP$4,$C323),'INSER DATA'!$A:$F,7,0),"")</f>
        <v/>
      </c>
      <c r="AQ323" s="270" t="str">
        <f>_xlfn.IFNA(VLOOKUP(CONCATENATE(AQ$4,$C323),'INSER DATA'!$A:$F,7,0),"")</f>
        <v/>
      </c>
      <c r="AR323" s="270" t="str">
        <f>_xlfn.IFNA(VLOOKUP(CONCATENATE(AR$4,$C323),'INSER DATA'!$A:$F,7,0),"")</f>
        <v/>
      </c>
      <c r="AS323" s="270" t="str">
        <f>_xlfn.IFNA(VLOOKUP(CONCATENATE(AS$4,$C323),'INSER DATA'!$A:$F,7,0),"")</f>
        <v/>
      </c>
      <c r="AT323" s="270" t="str">
        <f>_xlfn.IFNA(VLOOKUP(CONCATENATE(AT$4,$C323),'INSER DATA'!$A:$F,7,0),"")</f>
        <v/>
      </c>
      <c r="AU323" s="270" t="str">
        <f>_xlfn.IFNA(VLOOKUP(CONCATENATE(AU$4,$C323),'INSER DATA'!$A:$F,7,0),"")</f>
        <v/>
      </c>
      <c r="AV323" s="270" t="str">
        <f>_xlfn.IFNA(VLOOKUP(CONCATENATE(AV$4,$C323),'INSER DATA'!$A:$F,7,0),"")</f>
        <v/>
      </c>
      <c r="AW323" s="270" t="str">
        <f>_xlfn.IFNA(VLOOKUP(CONCATENATE(AW$4,$C323),'INSER DATA'!$A:$F,7,0),"")</f>
        <v/>
      </c>
      <c r="AX323" s="270" t="str">
        <f>_xlfn.IFNA(VLOOKUP(CONCATENATE(AX$4,$C323),'INSER DATA'!$A:$F,7,0),"")</f>
        <v/>
      </c>
      <c r="AY323" s="270" t="str">
        <f>_xlfn.IFNA(VLOOKUP(CONCATENATE(AY$4,$C323),'INSER DATA'!$A:$F,7,0),"")</f>
        <v/>
      </c>
      <c r="AZ323" s="270" t="str">
        <f>_xlfn.IFNA(VLOOKUP(CONCATENATE(AZ$4,$C323),'INSER DATA'!$A:$F,7,0),"")</f>
        <v/>
      </c>
      <c r="BA323" s="270" t="str">
        <f>_xlfn.IFNA(VLOOKUP(CONCATENATE(BA$4,$C323),'INSER DATA'!$A:$F,7,0),"")</f>
        <v/>
      </c>
      <c r="BB323" s="270" t="str">
        <f>_xlfn.IFNA(VLOOKUP(CONCATENATE(BB$4,$C323),'INSER DATA'!$A:$F,7,0),"")</f>
        <v/>
      </c>
      <c r="BC323" s="270" t="str">
        <f>_xlfn.IFNA(VLOOKUP(CONCATENATE(BC$4,$C323),'INSER DATA'!$A:$F,7,0),"")</f>
        <v/>
      </c>
      <c r="BD323" s="270" t="str">
        <f>_xlfn.IFNA(VLOOKUP(CONCATENATE(BD$4,$C323),'INSER DATA'!$A:$F,7,0),"")</f>
        <v/>
      </c>
      <c r="BE323" s="270" t="str">
        <f>_xlfn.IFNA(VLOOKUP(CONCATENATE(BE$4,$C323),'INSER DATA'!$A:$F,7,0),"")</f>
        <v/>
      </c>
      <c r="BF323" s="270" t="str">
        <f>_xlfn.IFNA(VLOOKUP(CONCATENATE(BF$4,$C323),'INSER DATA'!$A:$F,7,0),"")</f>
        <v/>
      </c>
      <c r="BG323" s="270" t="str">
        <f>_xlfn.IFNA(VLOOKUP(CONCATENATE(BG$4,$C323),'INSER DATA'!$A:$F,7,0),"")</f>
        <v/>
      </c>
      <c r="BH323" s="270" t="str">
        <f>_xlfn.IFNA(VLOOKUP(CONCATENATE(BH$4,$C323),'INSER DATA'!$A:$F,7,0),"")</f>
        <v/>
      </c>
      <c r="BI323" s="270" t="str">
        <f>_xlfn.IFNA(VLOOKUP(CONCATENATE(BI$4,$C323),'INSER DATA'!$A:$F,7,0),"")</f>
        <v/>
      </c>
      <c r="BJ323" s="270" t="str">
        <f>_xlfn.IFNA(VLOOKUP(CONCATENATE(BJ$4,$C323),'INSER DATA'!$A:$F,7,0),"")</f>
        <v/>
      </c>
      <c r="BK323" s="270" t="str">
        <f>_xlfn.IFNA(VLOOKUP(CONCATENATE(BK$4,$C323),'INSER DATA'!$A:$F,7,0),"")</f>
        <v/>
      </c>
      <c r="BL323" s="272"/>
      <c r="BM323" s="30"/>
      <c r="BN323" s="30"/>
      <c r="BO323" s="30"/>
      <c r="BP323" s="30"/>
      <c r="BQ323" s="30"/>
      <c r="BR323" s="30"/>
      <c r="BS323" s="30"/>
      <c r="BT323" s="30"/>
      <c r="BU323" s="30"/>
      <c r="BV323" s="30"/>
      <c r="BW323" s="30"/>
      <c r="BX323" s="30"/>
      <c r="BY323" s="30"/>
      <c r="BZ323" s="30"/>
      <c r="CA323" s="30"/>
      <c r="CB323" s="30"/>
      <c r="CC323" s="30"/>
      <c r="CD323" s="30"/>
      <c r="CE323" s="30"/>
      <c r="CF323" s="30"/>
      <c r="CG323" s="30"/>
      <c r="CH323" s="30"/>
      <c r="CI323" s="30"/>
      <c r="CJ323" s="30"/>
      <c r="CK323" s="30"/>
      <c r="CL323" s="30"/>
      <c r="CM323" s="30"/>
      <c r="CN323" s="30"/>
      <c r="CO323" s="30"/>
      <c r="CP323" s="30"/>
      <c r="CQ323" s="30"/>
      <c r="CR323" s="30"/>
      <c r="CS323" s="30"/>
      <c r="CT323" s="30"/>
      <c r="CU323" s="30"/>
      <c r="CV323" s="30"/>
      <c r="CW323" s="30"/>
      <c r="CX323" s="30"/>
      <c r="CY323" s="30"/>
      <c r="CZ323" s="30"/>
      <c r="DA323" s="30"/>
    </row>
    <row r="324" spans="1:105" ht="19.2" thickTop="1" thickBot="1" x14ac:dyDescent="0.4">
      <c r="A324" s="30"/>
      <c r="B324" s="30"/>
      <c r="C324" s="356" t="s">
        <v>328</v>
      </c>
      <c r="D324" s="357" t="s">
        <v>842</v>
      </c>
      <c r="E324" s="35" t="str">
        <f>_xlfn.XLOOKUP(Tabella4[[#This Row],[NOME]],'ROSE SQUADRE'!$N$3:$N$253,'ROSE SQUADRE'!$O$3:$O$253,"")</f>
        <v>AS PIPPERIA</v>
      </c>
      <c r="F324" s="36" t="s">
        <v>162</v>
      </c>
      <c r="G324" s="43">
        <v>8</v>
      </c>
      <c r="H324" s="43">
        <v>8</v>
      </c>
      <c r="I324" s="44">
        <f t="shared" si="25"/>
        <v>0</v>
      </c>
      <c r="J324" s="37">
        <f t="shared" si="26"/>
        <v>4</v>
      </c>
      <c r="K324" s="38">
        <f t="shared" si="27"/>
        <v>5.75</v>
      </c>
      <c r="L324" s="38">
        <f t="shared" si="28"/>
        <v>6.5</v>
      </c>
      <c r="M324" s="39">
        <f t="shared" si="29"/>
        <v>26</v>
      </c>
      <c r="N324" s="45">
        <f t="shared" ca="1" si="30"/>
        <v>0</v>
      </c>
      <c r="O324" s="40">
        <f>SUMIF(Tabella1[Nome],Tabella4[[#This Row],[NOME]],Tabella1[Gf])</f>
        <v>1</v>
      </c>
      <c r="P324" s="40">
        <f>-(SUMIF(Tabella1[Nome],Tabella4[[#This Row],[NOME]],Tabella1[Gs]))</f>
        <v>0</v>
      </c>
      <c r="Q324" s="40">
        <f>SUMIF(Tabella1[Nome],Tabella4[[#This Row],[NOME]],Tabella1[Rp])</f>
        <v>0</v>
      </c>
      <c r="R324" s="40">
        <f>SUMIF(Tabella1[Nome],Tabella4[[#This Row],[NOME]],Tabella1[Rs])</f>
        <v>0</v>
      </c>
      <c r="S324" s="40">
        <f>SUMIF(Tabella1[Nome],Tabella4[[#This Row],[NOME]],Tabella1[Rf])</f>
        <v>0</v>
      </c>
      <c r="T324" s="40">
        <f>SUMIF(Tabella1[Nome],Tabella4[[#This Row],[NOME]],Tabella1[Au])</f>
        <v>0</v>
      </c>
      <c r="U324" s="41">
        <f>SUMIF(Tabella1[Nome],Tabella4[[#This Row],[NOME]],Tabella1[Amm])</f>
        <v>0</v>
      </c>
      <c r="V324" s="42">
        <f>SUMIF(Tabella1[Nome],Tabella4[[#This Row],[NOME]],Tabella1[Esp])</f>
        <v>0</v>
      </c>
      <c r="W324" s="40">
        <f>SUMIF(Tabella1[Nome],Tabella4[[#This Row],[NOME]],Tabella1[Ass])</f>
        <v>0</v>
      </c>
      <c r="X324" s="40">
        <f>SUMIF(Tabella1[Nome],Tabella4[[#This Row],[NOME]],Tabella1[Gdv])</f>
        <v>0</v>
      </c>
      <c r="Y324" s="40">
        <f>SUMIF(Tabella1[Nome],Tabella4[[#This Row],[NOME]],Tabella1[cl sh])</f>
        <v>0</v>
      </c>
      <c r="Z324" s="270">
        <f>_xlfn.IFNA(_xlfn.XLOOKUP(CONCATENATE(Z$4,$C324),Tabella1[CONC X VOTI IN TAB GIOC],Tabella1[Voto],""),"")</f>
        <v>5</v>
      </c>
      <c r="AA324" s="270">
        <f>_xlfn.IFNA(_xlfn.XLOOKUP(CONCATENATE(AA$4,$C324),Tabella1[CONC X VOTI IN TAB GIOC],Tabella1[Voto],""),"")</f>
        <v>6.5</v>
      </c>
      <c r="AB324" s="270">
        <f>_xlfn.IFNA(_xlfn.XLOOKUP(CONCATENATE(AB$4,$C324),Tabella1[CONC X VOTI IN TAB GIOC],Tabella1[Voto]),"")</f>
        <v>6</v>
      </c>
      <c r="AC324" s="270" cm="1">
        <f t="array" ref="AC324">_xlfn.IFNA(_xlfn.XLOOKUP(CONCATENATE(AC$4,$C324),INDEX(Tabella1[],0,MATCH("CONC X VOTI IN TAB GIOC",Tabella1[#Headers],0)),INDEX(Tabella1[],0,MATCH("Voto",Tabella1[#Headers],0))),"")</f>
        <v>5.5</v>
      </c>
      <c r="AD324" s="270" t="str">
        <f>_xlfn.IFNA(_xlfn.XLOOKUP(CONCATENATE(AD$4,$C324),Tabella1[CONC X VOTI IN TAB GIOC],Tabella1[Voto]),"")</f>
        <v/>
      </c>
      <c r="AE324" s="270" t="str">
        <f>_xlfn.IFNA(VLOOKUP(CONCATENATE(AE$4,$C324),'INSER DATA'!$A:$F,6,0),"")</f>
        <v/>
      </c>
      <c r="AF324" s="270" t="str">
        <f>_xlfn.IFNA(VLOOKUP(CONCATENATE(AF$4,$C324),'INSER DATA'!$A:$F,6,0),"")</f>
        <v/>
      </c>
      <c r="AG324" s="270" t="str">
        <f>_xlfn.IFNA(VLOOKUP(CONCATENATE(AG$4,$C324),'INSER DATA'!$A:$F,6,0),"")</f>
        <v/>
      </c>
      <c r="AH324" s="270" t="str">
        <f>_xlfn.IFNA(VLOOKUP(CONCATENATE(AH$4,$C324),'INSER DATA'!$A:$F,7,0),"")</f>
        <v/>
      </c>
      <c r="AI324" s="270" t="str">
        <f>_xlfn.IFNA(VLOOKUP(CONCATENATE(AI$4,$C324),'INSER DATA'!$A:$F,7,0),"")</f>
        <v/>
      </c>
      <c r="AJ324" s="270" t="str">
        <f>_xlfn.IFNA(VLOOKUP(CONCATENATE(AJ$4,$C324),'INSER DATA'!$A:$F,7,0),"")</f>
        <v/>
      </c>
      <c r="AK324" s="270" t="str">
        <f>_xlfn.IFNA(VLOOKUP(CONCATENATE(AK$4,$C324),'INSER DATA'!$A:$F,7,0),"")</f>
        <v/>
      </c>
      <c r="AL324" s="270" t="str">
        <f>_xlfn.IFNA(VLOOKUP(CONCATENATE(AL$4,$C324),'INSER DATA'!$A:$F,7,0),"")</f>
        <v/>
      </c>
      <c r="AM324" s="270" t="str">
        <f>_xlfn.IFNA(VLOOKUP(CONCATENATE(AM$4,$C324),'INSER DATA'!$A:$F,7,0),"")</f>
        <v/>
      </c>
      <c r="AN324" s="270" t="str">
        <f>_xlfn.IFNA(VLOOKUP(CONCATENATE(AN$4,$C324),'INSER DATA'!$A:$F,7,0),"")</f>
        <v/>
      </c>
      <c r="AO324" s="270" t="str">
        <f>_xlfn.IFNA(VLOOKUP(CONCATENATE(AO$4,$C324),'INSER DATA'!$A:$F,7,0),"")</f>
        <v/>
      </c>
      <c r="AP324" s="270" t="str">
        <f>_xlfn.IFNA(VLOOKUP(CONCATENATE(AP$4,$C324),'INSER DATA'!$A:$F,7,0),"")</f>
        <v/>
      </c>
      <c r="AQ324" s="270" t="str">
        <f>_xlfn.IFNA(VLOOKUP(CONCATENATE(AQ$4,$C324),'INSER DATA'!$A:$F,7,0),"")</f>
        <v/>
      </c>
      <c r="AR324" s="270" t="str">
        <f>_xlfn.IFNA(VLOOKUP(CONCATENATE(AR$4,$C324),'INSER DATA'!$A:$F,7,0),"")</f>
        <v/>
      </c>
      <c r="AS324" s="270" t="str">
        <f>_xlfn.IFNA(VLOOKUP(CONCATENATE(AS$4,$C324),'INSER DATA'!$A:$F,7,0),"")</f>
        <v/>
      </c>
      <c r="AT324" s="270" t="str">
        <f>_xlfn.IFNA(VLOOKUP(CONCATENATE(AT$4,$C324),'INSER DATA'!$A:$F,7,0),"")</f>
        <v/>
      </c>
      <c r="AU324" s="270" t="str">
        <f>_xlfn.IFNA(VLOOKUP(CONCATENATE(AU$4,$C324),'INSER DATA'!$A:$F,7,0),"")</f>
        <v/>
      </c>
      <c r="AV324" s="270" t="str">
        <f>_xlfn.IFNA(VLOOKUP(CONCATENATE(AV$4,$C324),'INSER DATA'!$A:$F,7,0),"")</f>
        <v/>
      </c>
      <c r="AW324" s="270" t="str">
        <f>_xlfn.IFNA(VLOOKUP(CONCATENATE(AW$4,$C324),'INSER DATA'!$A:$F,7,0),"")</f>
        <v/>
      </c>
      <c r="AX324" s="270" t="str">
        <f>_xlfn.IFNA(VLOOKUP(CONCATENATE(AX$4,$C324),'INSER DATA'!$A:$F,7,0),"")</f>
        <v/>
      </c>
      <c r="AY324" s="270" t="str">
        <f>_xlfn.IFNA(VLOOKUP(CONCATENATE(AY$4,$C324),'INSER DATA'!$A:$F,7,0),"")</f>
        <v/>
      </c>
      <c r="AZ324" s="270" t="str">
        <f>_xlfn.IFNA(VLOOKUP(CONCATENATE(AZ$4,$C324),'INSER DATA'!$A:$F,7,0),"")</f>
        <v/>
      </c>
      <c r="BA324" s="270" t="str">
        <f>_xlfn.IFNA(VLOOKUP(CONCATENATE(BA$4,$C324),'INSER DATA'!$A:$F,7,0),"")</f>
        <v/>
      </c>
      <c r="BB324" s="270" t="str">
        <f>_xlfn.IFNA(VLOOKUP(CONCATENATE(BB$4,$C324),'INSER DATA'!$A:$F,7,0),"")</f>
        <v/>
      </c>
      <c r="BC324" s="270" t="str">
        <f>_xlfn.IFNA(VLOOKUP(CONCATENATE(BC$4,$C324),'INSER DATA'!$A:$F,7,0),"")</f>
        <v/>
      </c>
      <c r="BD324" s="270" t="str">
        <f>_xlfn.IFNA(VLOOKUP(CONCATENATE(BD$4,$C324),'INSER DATA'!$A:$F,7,0),"")</f>
        <v/>
      </c>
      <c r="BE324" s="270" t="str">
        <f>_xlfn.IFNA(VLOOKUP(CONCATENATE(BE$4,$C324),'INSER DATA'!$A:$F,7,0),"")</f>
        <v/>
      </c>
      <c r="BF324" s="270" t="str">
        <f>_xlfn.IFNA(VLOOKUP(CONCATENATE(BF$4,$C324),'INSER DATA'!$A:$F,7,0),"")</f>
        <v/>
      </c>
      <c r="BG324" s="270" t="str">
        <f>_xlfn.IFNA(VLOOKUP(CONCATENATE(BG$4,$C324),'INSER DATA'!$A:$F,7,0),"")</f>
        <v/>
      </c>
      <c r="BH324" s="270" t="str">
        <f>_xlfn.IFNA(VLOOKUP(CONCATENATE(BH$4,$C324),'INSER DATA'!$A:$F,7,0),"")</f>
        <v/>
      </c>
      <c r="BI324" s="270" t="str">
        <f>_xlfn.IFNA(VLOOKUP(CONCATENATE(BI$4,$C324),'INSER DATA'!$A:$F,7,0),"")</f>
        <v/>
      </c>
      <c r="BJ324" s="270" t="str">
        <f>_xlfn.IFNA(VLOOKUP(CONCATENATE(BJ$4,$C324),'INSER DATA'!$A:$F,7,0),"")</f>
        <v/>
      </c>
      <c r="BK324" s="270" t="str">
        <f>_xlfn.IFNA(VLOOKUP(CONCATENATE(BK$4,$C324),'INSER DATA'!$A:$F,7,0),"")</f>
        <v/>
      </c>
      <c r="BL324" s="272"/>
      <c r="BM324" s="30"/>
      <c r="BN324" s="30"/>
      <c r="BO324" s="30"/>
      <c r="BP324" s="30"/>
      <c r="BQ324" s="30"/>
      <c r="BR324" s="30"/>
      <c r="BS324" s="30"/>
      <c r="BT324" s="30"/>
      <c r="BU324" s="30"/>
      <c r="BV324" s="30"/>
      <c r="BW324" s="30"/>
      <c r="BX324" s="30"/>
      <c r="BY324" s="30"/>
      <c r="BZ324" s="30"/>
      <c r="CA324" s="30"/>
      <c r="CB324" s="30"/>
      <c r="CC324" s="30"/>
      <c r="CD324" s="30"/>
      <c r="CE324" s="30"/>
      <c r="CF324" s="30"/>
      <c r="CG324" s="30"/>
      <c r="CH324" s="30"/>
      <c r="CI324" s="30"/>
      <c r="CJ324" s="30"/>
      <c r="CK324" s="30"/>
      <c r="CL324" s="30"/>
      <c r="CM324" s="30"/>
      <c r="CN324" s="30"/>
      <c r="CO324" s="30"/>
      <c r="CP324" s="30"/>
      <c r="CQ324" s="30"/>
      <c r="CR324" s="30"/>
      <c r="CS324" s="30"/>
      <c r="CT324" s="30"/>
      <c r="CU324" s="30"/>
      <c r="CV324" s="30"/>
      <c r="CW324" s="30"/>
      <c r="CX324" s="30"/>
      <c r="CY324" s="30"/>
      <c r="CZ324" s="30"/>
      <c r="DA324" s="30"/>
    </row>
    <row r="325" spans="1:105" ht="19.2" thickTop="1" thickBot="1" x14ac:dyDescent="0.4">
      <c r="A325" s="30"/>
      <c r="B325" s="30"/>
      <c r="C325" s="188" t="s">
        <v>990</v>
      </c>
      <c r="D325" s="187" t="s">
        <v>842</v>
      </c>
      <c r="E325" s="35" t="str">
        <f>_xlfn.XLOOKUP(Tabella4[[#This Row],[NOME]],'ROSE SQUADRE'!$N$3:$N$253,'ROSE SQUADRE'!$O$3:$O$253,"")</f>
        <v/>
      </c>
      <c r="F325" s="36" t="s">
        <v>162</v>
      </c>
      <c r="G325" s="43">
        <v>1</v>
      </c>
      <c r="H325" s="43">
        <v>1</v>
      </c>
      <c r="I325" s="44">
        <f t="shared" ref="I325:I388" si="31">SUM(H325-G325)</f>
        <v>0</v>
      </c>
      <c r="J325" s="37">
        <f t="shared" ref="J325:J388" si="32">COUNT(Z325:CJ325)</f>
        <v>2</v>
      </c>
      <c r="K325" s="178">
        <f t="shared" ref="K325:K388" si="33">IF(J325=0,0,AVERAGE(Z325:CJ325))</f>
        <v>5.75</v>
      </c>
      <c r="L325" s="178">
        <f t="shared" ref="L325:L388" si="34">IF(J325=0,0,M325/J325)</f>
        <v>5.75</v>
      </c>
      <c r="M325" s="179">
        <f t="shared" ref="M325:M388" si="35">SUM(Z325:CJ325)+(O325*3)+P325+(Q325*3)-(R325*3)-(T325*2)-(U325/2)-V325+W325+X325+Y325</f>
        <v>11.5</v>
      </c>
      <c r="N325" s="45">
        <f t="shared" ca="1" si="30"/>
        <v>0</v>
      </c>
      <c r="O325" s="40">
        <f>SUMIF(Tabella1[Nome],Tabella4[[#This Row],[NOME]],Tabella1[Gf])</f>
        <v>0</v>
      </c>
      <c r="P325" s="40">
        <f>-(SUMIF(Tabella1[Nome],Tabella4[[#This Row],[NOME]],Tabella1[Gs]))</f>
        <v>0</v>
      </c>
      <c r="Q325" s="40">
        <f>SUMIF(Tabella1[Nome],Tabella4[[#This Row],[NOME]],Tabella1[Rp])</f>
        <v>0</v>
      </c>
      <c r="R325" s="40">
        <f>SUMIF(Tabella1[Nome],Tabella4[[#This Row],[NOME]],Tabella1[Rs])</f>
        <v>0</v>
      </c>
      <c r="S325" s="40">
        <f>SUMIF(Tabella1[Nome],Tabella4[[#This Row],[NOME]],Tabella1[Rf])</f>
        <v>0</v>
      </c>
      <c r="T325" s="40">
        <f>SUMIF(Tabella1[Nome],Tabella4[[#This Row],[NOME]],Tabella1[Au])</f>
        <v>0</v>
      </c>
      <c r="U325" s="41">
        <f>SUMIF(Tabella1[Nome],Tabella4[[#This Row],[NOME]],Tabella1[Amm])</f>
        <v>0</v>
      </c>
      <c r="V325" s="42">
        <f>SUMIF(Tabella1[Nome],Tabella4[[#This Row],[NOME]],Tabella1[Esp])</f>
        <v>0</v>
      </c>
      <c r="W325" s="40">
        <f>SUMIF(Tabella1[Nome],Tabella4[[#This Row],[NOME]],Tabella1[Ass])</f>
        <v>0</v>
      </c>
      <c r="X325" s="40">
        <f>SUMIF(Tabella1[Nome],Tabella4[[#This Row],[NOME]],Tabella1[Gdv])</f>
        <v>0</v>
      </c>
      <c r="Y325" s="40">
        <f>SUMIF(Tabella1[Nome],Tabella4[[#This Row],[NOME]],Tabella1[cl sh])</f>
        <v>0</v>
      </c>
      <c r="Z325" s="270">
        <f>_xlfn.IFNA(_xlfn.XLOOKUP(CONCATENATE(Z$4,$C325),Tabella1[CONC X VOTI IN TAB GIOC],Tabella1[Voto],""),"")</f>
        <v>6</v>
      </c>
      <c r="AA325" s="270">
        <f>_xlfn.IFNA(_xlfn.XLOOKUP(CONCATENATE(AA$4,$C325),Tabella1[CONC X VOTI IN TAB GIOC],Tabella1[Voto],""),"")</f>
        <v>5.5</v>
      </c>
      <c r="AB325" s="270" t="str">
        <f>_xlfn.IFNA(_xlfn.XLOOKUP(CONCATENATE(AB$4,$C325),Tabella1[CONC X VOTI IN TAB GIOC],Tabella1[Voto]),"")</f>
        <v/>
      </c>
      <c r="AC325" s="270" t="str" cm="1">
        <f t="array" ref="AC325">_xlfn.IFNA(_xlfn.XLOOKUP(CONCATENATE(AC$4,$C325),INDEX(Tabella1[],0,MATCH("CONC X VOTI IN TAB GIOC",Tabella1[#Headers],0)),INDEX(Tabella1[],0,MATCH("Voto",Tabella1[#Headers],0))),"")</f>
        <v/>
      </c>
      <c r="AD325" s="270" t="str">
        <f>_xlfn.IFNA(_xlfn.XLOOKUP(CONCATENATE(AD$4,$C325),Tabella1[CONC X VOTI IN TAB GIOC],Tabella1[Voto]),"")</f>
        <v/>
      </c>
      <c r="AE325" s="270" t="str">
        <f>_xlfn.IFNA(VLOOKUP(CONCATENATE(AE$4,$C325),'INSER DATA'!$A:$F,6,0),"")</f>
        <v/>
      </c>
      <c r="AF325" s="270" t="str">
        <f>_xlfn.IFNA(VLOOKUP(CONCATENATE(AF$4,$C325),'INSER DATA'!$A:$F,6,0),"")</f>
        <v/>
      </c>
      <c r="AG325" s="270" t="str">
        <f>_xlfn.IFNA(VLOOKUP(CONCATENATE(AG$4,$C325),'INSER DATA'!$A:$F,6,0),"")</f>
        <v/>
      </c>
      <c r="AH325" s="270" t="str">
        <f>_xlfn.IFNA(VLOOKUP(CONCATENATE(AH$4,$C325),'INSER DATA'!$A:$F,7,0),"")</f>
        <v/>
      </c>
      <c r="AI325" s="270" t="str">
        <f>_xlfn.IFNA(VLOOKUP(CONCATENATE(AI$4,$C325),'INSER DATA'!$A:$F,7,0),"")</f>
        <v/>
      </c>
      <c r="AJ325" s="270" t="str">
        <f>_xlfn.IFNA(VLOOKUP(CONCATENATE(AJ$4,$C325),'INSER DATA'!$A:$F,7,0),"")</f>
        <v/>
      </c>
      <c r="AK325" s="270" t="str">
        <f>_xlfn.IFNA(VLOOKUP(CONCATENATE(AK$4,$C325),'INSER DATA'!$A:$F,7,0),"")</f>
        <v/>
      </c>
      <c r="AL325" s="270" t="str">
        <f>_xlfn.IFNA(VLOOKUP(CONCATENATE(AL$4,$C325),'INSER DATA'!$A:$F,7,0),"")</f>
        <v/>
      </c>
      <c r="AM325" s="270" t="str">
        <f>_xlfn.IFNA(VLOOKUP(CONCATENATE(AM$4,$C325),'INSER DATA'!$A:$F,7,0),"")</f>
        <v/>
      </c>
      <c r="AN325" s="270" t="str">
        <f>_xlfn.IFNA(VLOOKUP(CONCATENATE(AN$4,$C325),'INSER DATA'!$A:$F,7,0),"")</f>
        <v/>
      </c>
      <c r="AO325" s="270" t="str">
        <f>_xlfn.IFNA(VLOOKUP(CONCATENATE(AO$4,$C325),'INSER DATA'!$A:$F,7,0),"")</f>
        <v/>
      </c>
      <c r="AP325" s="270" t="str">
        <f>_xlfn.IFNA(VLOOKUP(CONCATENATE(AP$4,$C325),'INSER DATA'!$A:$F,7,0),"")</f>
        <v/>
      </c>
      <c r="AQ325" s="270" t="str">
        <f>_xlfn.IFNA(VLOOKUP(CONCATENATE(AQ$4,$C325),'INSER DATA'!$A:$F,7,0),"")</f>
        <v/>
      </c>
      <c r="AR325" s="270" t="str">
        <f>_xlfn.IFNA(VLOOKUP(CONCATENATE(AR$4,$C325),'INSER DATA'!$A:$F,7,0),"")</f>
        <v/>
      </c>
      <c r="AS325" s="270" t="str">
        <f>_xlfn.IFNA(VLOOKUP(CONCATENATE(AS$4,$C325),'INSER DATA'!$A:$F,7,0),"")</f>
        <v/>
      </c>
      <c r="AT325" s="270" t="str">
        <f>_xlfn.IFNA(VLOOKUP(CONCATENATE(AT$4,$C325),'INSER DATA'!$A:$F,7,0),"")</f>
        <v/>
      </c>
      <c r="AU325" s="270" t="str">
        <f>_xlfn.IFNA(VLOOKUP(CONCATENATE(AU$4,$C325),'INSER DATA'!$A:$F,7,0),"")</f>
        <v/>
      </c>
      <c r="AV325" s="270" t="str">
        <f>_xlfn.IFNA(VLOOKUP(CONCATENATE(AV$4,$C325),'INSER DATA'!$A:$F,7,0),"")</f>
        <v/>
      </c>
      <c r="AW325" s="270" t="str">
        <f>_xlfn.IFNA(VLOOKUP(CONCATENATE(AW$4,$C325),'INSER DATA'!$A:$F,7,0),"")</f>
        <v/>
      </c>
      <c r="AX325" s="270" t="str">
        <f>_xlfn.IFNA(VLOOKUP(CONCATENATE(AX$4,$C325),'INSER DATA'!$A:$F,7,0),"")</f>
        <v/>
      </c>
      <c r="AY325" s="270" t="str">
        <f>_xlfn.IFNA(VLOOKUP(CONCATENATE(AY$4,$C325),'INSER DATA'!$A:$F,7,0),"")</f>
        <v/>
      </c>
      <c r="AZ325" s="270" t="str">
        <f>_xlfn.IFNA(VLOOKUP(CONCATENATE(AZ$4,$C325),'INSER DATA'!$A:$F,7,0),"")</f>
        <v/>
      </c>
      <c r="BA325" s="270" t="str">
        <f>_xlfn.IFNA(VLOOKUP(CONCATENATE(BA$4,$C325),'INSER DATA'!$A:$F,7,0),"")</f>
        <v/>
      </c>
      <c r="BB325" s="270" t="str">
        <f>_xlfn.IFNA(VLOOKUP(CONCATENATE(BB$4,$C325),'INSER DATA'!$A:$F,7,0),"")</f>
        <v/>
      </c>
      <c r="BC325" s="270" t="str">
        <f>_xlfn.IFNA(VLOOKUP(CONCATENATE(BC$4,$C325),'INSER DATA'!$A:$F,7,0),"")</f>
        <v/>
      </c>
      <c r="BD325" s="270" t="str">
        <f>_xlfn.IFNA(VLOOKUP(CONCATENATE(BD$4,$C325),'INSER DATA'!$A:$F,7,0),"")</f>
        <v/>
      </c>
      <c r="BE325" s="270" t="str">
        <f>_xlfn.IFNA(VLOOKUP(CONCATENATE(BE$4,$C325),'INSER DATA'!$A:$F,7,0),"")</f>
        <v/>
      </c>
      <c r="BF325" s="270" t="str">
        <f>_xlfn.IFNA(VLOOKUP(CONCATENATE(BF$4,$C325),'INSER DATA'!$A:$F,7,0),"")</f>
        <v/>
      </c>
      <c r="BG325" s="270" t="str">
        <f>_xlfn.IFNA(VLOOKUP(CONCATENATE(BG$4,$C325),'INSER DATA'!$A:$F,7,0),"")</f>
        <v/>
      </c>
      <c r="BH325" s="270" t="str">
        <f>_xlfn.IFNA(VLOOKUP(CONCATENATE(BH$4,$C325),'INSER DATA'!$A:$F,7,0),"")</f>
        <v/>
      </c>
      <c r="BI325" s="270" t="str">
        <f>_xlfn.IFNA(VLOOKUP(CONCATENATE(BI$4,$C325),'INSER DATA'!$A:$F,7,0),"")</f>
        <v/>
      </c>
      <c r="BJ325" s="270" t="str">
        <f>_xlfn.IFNA(VLOOKUP(CONCATENATE(BJ$4,$C325),'INSER DATA'!$A:$F,7,0),"")</f>
        <v/>
      </c>
      <c r="BK325" s="270" t="str">
        <f>_xlfn.IFNA(VLOOKUP(CONCATENATE(BK$4,$C325),'INSER DATA'!$A:$F,7,0),"")</f>
        <v/>
      </c>
      <c r="BL325" s="272"/>
      <c r="BM325" s="30"/>
      <c r="BN325" s="30"/>
      <c r="BO325" s="30"/>
      <c r="BP325" s="30"/>
      <c r="BQ325" s="30"/>
      <c r="BR325" s="30"/>
      <c r="BS325" s="30"/>
      <c r="BT325" s="30"/>
      <c r="BU325" s="30"/>
      <c r="BV325" s="30"/>
      <c r="BW325" s="30"/>
      <c r="BX325" s="30"/>
      <c r="BY325" s="30"/>
      <c r="BZ325" s="30"/>
      <c r="CA325" s="30"/>
      <c r="CB325" s="30"/>
      <c r="CC325" s="30"/>
      <c r="CD325" s="30"/>
      <c r="CE325" s="30"/>
      <c r="CF325" s="30"/>
      <c r="CG325" s="30"/>
      <c r="CH325" s="30"/>
      <c r="CI325" s="30"/>
      <c r="CJ325" s="30"/>
      <c r="CK325" s="30"/>
      <c r="CL325" s="30"/>
      <c r="CM325" s="30"/>
      <c r="CN325" s="30"/>
      <c r="CO325" s="30"/>
      <c r="CP325" s="30"/>
      <c r="CQ325" s="30"/>
      <c r="CR325" s="30"/>
      <c r="CS325" s="30"/>
      <c r="CT325" s="30"/>
      <c r="CU325" s="30"/>
      <c r="CV325" s="30"/>
      <c r="CW325" s="30"/>
      <c r="CX325" s="30"/>
      <c r="CY325" s="30"/>
      <c r="CZ325" s="30"/>
      <c r="DA325" s="30"/>
    </row>
    <row r="326" spans="1:105" ht="19.2" thickTop="1" thickBot="1" x14ac:dyDescent="0.4">
      <c r="A326" s="30"/>
      <c r="B326" s="30"/>
      <c r="C326" s="188" t="s">
        <v>847</v>
      </c>
      <c r="D326" s="187" t="s">
        <v>842</v>
      </c>
      <c r="E326" s="35" t="str">
        <f>_xlfn.XLOOKUP(Tabella4[[#This Row],[NOME]],'ROSE SQUADRE'!$N$3:$N$253,'ROSE SQUADRE'!$O$3:$O$253,"")</f>
        <v/>
      </c>
      <c r="F326" s="36" t="s">
        <v>161</v>
      </c>
      <c r="G326" s="43">
        <v>3</v>
      </c>
      <c r="H326" s="43">
        <v>3</v>
      </c>
      <c r="I326" s="44">
        <f t="shared" si="31"/>
        <v>0</v>
      </c>
      <c r="J326" s="37">
        <f t="shared" si="32"/>
        <v>4</v>
      </c>
      <c r="K326" s="38">
        <f t="shared" si="33"/>
        <v>5.625</v>
      </c>
      <c r="L326" s="38">
        <f t="shared" si="34"/>
        <v>5.625</v>
      </c>
      <c r="M326" s="39">
        <f t="shared" si="35"/>
        <v>22.5</v>
      </c>
      <c r="N326" s="45">
        <f t="shared" ca="1" si="30"/>
        <v>0</v>
      </c>
      <c r="O326" s="40">
        <f>SUMIF(Tabella1[Nome],Tabella4[[#This Row],[NOME]],Tabella1[Gf])</f>
        <v>0</v>
      </c>
      <c r="P326" s="40">
        <f>-(SUMIF(Tabella1[Nome],Tabella4[[#This Row],[NOME]],Tabella1[Gs]))</f>
        <v>0</v>
      </c>
      <c r="Q326" s="40">
        <f>SUMIF(Tabella1[Nome],Tabella4[[#This Row],[NOME]],Tabella1[Rp])</f>
        <v>0</v>
      </c>
      <c r="R326" s="40">
        <f>SUMIF(Tabella1[Nome],Tabella4[[#This Row],[NOME]],Tabella1[Rs])</f>
        <v>0</v>
      </c>
      <c r="S326" s="40">
        <f>SUMIF(Tabella1[Nome],Tabella4[[#This Row],[NOME]],Tabella1[Rf])</f>
        <v>0</v>
      </c>
      <c r="T326" s="40">
        <f>SUMIF(Tabella1[Nome],Tabella4[[#This Row],[NOME]],Tabella1[Au])</f>
        <v>0</v>
      </c>
      <c r="U326" s="41">
        <f>SUMIF(Tabella1[Nome],Tabella4[[#This Row],[NOME]],Tabella1[Amm])</f>
        <v>0</v>
      </c>
      <c r="V326" s="42">
        <f>SUMIF(Tabella1[Nome],Tabella4[[#This Row],[NOME]],Tabella1[Esp])</f>
        <v>0</v>
      </c>
      <c r="W326" s="40">
        <f>SUMIF(Tabella1[Nome],Tabella4[[#This Row],[NOME]],Tabella1[Ass])</f>
        <v>0</v>
      </c>
      <c r="X326" s="40">
        <f>SUMIF(Tabella1[Nome],Tabella4[[#This Row],[NOME]],Tabella1[Gdv])</f>
        <v>0</v>
      </c>
      <c r="Y326" s="40">
        <f>SUMIF(Tabella1[Nome],Tabella4[[#This Row],[NOME]],Tabella1[cl sh])</f>
        <v>0</v>
      </c>
      <c r="Z326" s="270">
        <f>_xlfn.IFNA(_xlfn.XLOOKUP(CONCATENATE(Z$4,$C326),Tabella1[CONC X VOTI IN TAB GIOC],Tabella1[Voto],""),"")</f>
        <v>5.5</v>
      </c>
      <c r="AA326" s="270">
        <f>_xlfn.IFNA(_xlfn.XLOOKUP(CONCATENATE(AA$4,$C326),Tabella1[CONC X VOTI IN TAB GIOC],Tabella1[Voto],""),"")</f>
        <v>5.5</v>
      </c>
      <c r="AB326" s="270">
        <f>_xlfn.IFNA(_xlfn.XLOOKUP(CONCATENATE(AB$4,$C326),Tabella1[CONC X VOTI IN TAB GIOC],Tabella1[Voto]),"")</f>
        <v>6</v>
      </c>
      <c r="AC326" s="270" cm="1">
        <f t="array" ref="AC326">_xlfn.IFNA(_xlfn.XLOOKUP(CONCATENATE(AC$4,$C326),INDEX(Tabella1[],0,MATCH("CONC X VOTI IN TAB GIOC",Tabella1[#Headers],0)),INDEX(Tabella1[],0,MATCH("Voto",Tabella1[#Headers],0))),"")</f>
        <v>5.5</v>
      </c>
      <c r="AD326" s="270" t="str">
        <f>_xlfn.IFNA(_xlfn.XLOOKUP(CONCATENATE(AD$4,$C326),Tabella1[CONC X VOTI IN TAB GIOC],Tabella1[Voto]),"")</f>
        <v/>
      </c>
      <c r="AE326" s="270" t="str">
        <f>_xlfn.IFNA(VLOOKUP(CONCATENATE(AE$4,$C326),'INSER DATA'!$A:$F,6,0),"")</f>
        <v/>
      </c>
      <c r="AF326" s="270" t="str">
        <f>_xlfn.IFNA(VLOOKUP(CONCATENATE(AF$4,$C326),'INSER DATA'!$A:$F,6,0),"")</f>
        <v/>
      </c>
      <c r="AG326" s="270" t="str">
        <f>_xlfn.IFNA(VLOOKUP(CONCATENATE(AG$4,$C326),'INSER DATA'!$A:$F,6,0),"")</f>
        <v/>
      </c>
      <c r="AH326" s="270" t="str">
        <f>_xlfn.IFNA(VLOOKUP(CONCATENATE(AH$4,$C326),'INSER DATA'!$A:$F,7,0),"")</f>
        <v/>
      </c>
      <c r="AI326" s="270" t="str">
        <f>_xlfn.IFNA(VLOOKUP(CONCATENATE(AI$4,$C326),'INSER DATA'!$A:$F,7,0),"")</f>
        <v/>
      </c>
      <c r="AJ326" s="270" t="str">
        <f>_xlfn.IFNA(VLOOKUP(CONCATENATE(AJ$4,$C326),'INSER DATA'!$A:$F,7,0),"")</f>
        <v/>
      </c>
      <c r="AK326" s="270" t="str">
        <f>_xlfn.IFNA(VLOOKUP(CONCATENATE(AK$4,$C326),'INSER DATA'!$A:$F,7,0),"")</f>
        <v/>
      </c>
      <c r="AL326" s="270" t="str">
        <f>_xlfn.IFNA(VLOOKUP(CONCATENATE(AL$4,$C326),'INSER DATA'!$A:$F,7,0),"")</f>
        <v/>
      </c>
      <c r="AM326" s="270" t="str">
        <f>_xlfn.IFNA(VLOOKUP(CONCATENATE(AM$4,$C326),'INSER DATA'!$A:$F,7,0),"")</f>
        <v/>
      </c>
      <c r="AN326" s="270" t="str">
        <f>_xlfn.IFNA(VLOOKUP(CONCATENATE(AN$4,$C326),'INSER DATA'!$A:$F,7,0),"")</f>
        <v/>
      </c>
      <c r="AO326" s="270" t="str">
        <f>_xlfn.IFNA(VLOOKUP(CONCATENATE(AO$4,$C326),'INSER DATA'!$A:$F,7,0),"")</f>
        <v/>
      </c>
      <c r="AP326" s="270" t="str">
        <f>_xlfn.IFNA(VLOOKUP(CONCATENATE(AP$4,$C326),'INSER DATA'!$A:$F,7,0),"")</f>
        <v/>
      </c>
      <c r="AQ326" s="270" t="str">
        <f>_xlfn.IFNA(VLOOKUP(CONCATENATE(AQ$4,$C326),'INSER DATA'!$A:$F,7,0),"")</f>
        <v/>
      </c>
      <c r="AR326" s="270" t="str">
        <f>_xlfn.IFNA(VLOOKUP(CONCATENATE(AR$4,$C326),'INSER DATA'!$A:$F,7,0),"")</f>
        <v/>
      </c>
      <c r="AS326" s="270" t="str">
        <f>_xlfn.IFNA(VLOOKUP(CONCATENATE(AS$4,$C326),'INSER DATA'!$A:$F,7,0),"")</f>
        <v/>
      </c>
      <c r="AT326" s="270" t="str">
        <f>_xlfn.IFNA(VLOOKUP(CONCATENATE(AT$4,$C326),'INSER DATA'!$A:$F,7,0),"")</f>
        <v/>
      </c>
      <c r="AU326" s="270" t="str">
        <f>_xlfn.IFNA(VLOOKUP(CONCATENATE(AU$4,$C326),'INSER DATA'!$A:$F,7,0),"")</f>
        <v/>
      </c>
      <c r="AV326" s="270" t="str">
        <f>_xlfn.IFNA(VLOOKUP(CONCATENATE(AV$4,$C326),'INSER DATA'!$A:$F,7,0),"")</f>
        <v/>
      </c>
      <c r="AW326" s="270" t="str">
        <f>_xlfn.IFNA(VLOOKUP(CONCATENATE(AW$4,$C326),'INSER DATA'!$A:$F,7,0),"")</f>
        <v/>
      </c>
      <c r="AX326" s="270" t="str">
        <f>_xlfn.IFNA(VLOOKUP(CONCATENATE(AX$4,$C326),'INSER DATA'!$A:$F,7,0),"")</f>
        <v/>
      </c>
      <c r="AY326" s="270" t="str">
        <f>_xlfn.IFNA(VLOOKUP(CONCATENATE(AY$4,$C326),'INSER DATA'!$A:$F,7,0),"")</f>
        <v/>
      </c>
      <c r="AZ326" s="270" t="str">
        <f>_xlfn.IFNA(VLOOKUP(CONCATENATE(AZ$4,$C326),'INSER DATA'!$A:$F,7,0),"")</f>
        <v/>
      </c>
      <c r="BA326" s="270" t="str">
        <f>_xlfn.IFNA(VLOOKUP(CONCATENATE(BA$4,$C326),'INSER DATA'!$A:$F,7,0),"")</f>
        <v/>
      </c>
      <c r="BB326" s="270" t="str">
        <f>_xlfn.IFNA(VLOOKUP(CONCATENATE(BB$4,$C326),'INSER DATA'!$A:$F,7,0),"")</f>
        <v/>
      </c>
      <c r="BC326" s="270" t="str">
        <f>_xlfn.IFNA(VLOOKUP(CONCATENATE(BC$4,$C326),'INSER DATA'!$A:$F,7,0),"")</f>
        <v/>
      </c>
      <c r="BD326" s="270" t="str">
        <f>_xlfn.IFNA(VLOOKUP(CONCATENATE(BD$4,$C326),'INSER DATA'!$A:$F,7,0),"")</f>
        <v/>
      </c>
      <c r="BE326" s="270" t="str">
        <f>_xlfn.IFNA(VLOOKUP(CONCATENATE(BE$4,$C326),'INSER DATA'!$A:$F,7,0),"")</f>
        <v/>
      </c>
      <c r="BF326" s="270" t="str">
        <f>_xlfn.IFNA(VLOOKUP(CONCATENATE(BF$4,$C326),'INSER DATA'!$A:$F,7,0),"")</f>
        <v/>
      </c>
      <c r="BG326" s="270" t="str">
        <f>_xlfn.IFNA(VLOOKUP(CONCATENATE(BG$4,$C326),'INSER DATA'!$A:$F,7,0),"")</f>
        <v/>
      </c>
      <c r="BH326" s="270" t="str">
        <f>_xlfn.IFNA(VLOOKUP(CONCATENATE(BH$4,$C326),'INSER DATA'!$A:$F,7,0),"")</f>
        <v/>
      </c>
      <c r="BI326" s="270" t="str">
        <f>_xlfn.IFNA(VLOOKUP(CONCATENATE(BI$4,$C326),'INSER DATA'!$A:$F,7,0),"")</f>
        <v/>
      </c>
      <c r="BJ326" s="270" t="str">
        <f>_xlfn.IFNA(VLOOKUP(CONCATENATE(BJ$4,$C326),'INSER DATA'!$A:$F,7,0),"")</f>
        <v/>
      </c>
      <c r="BK326" s="270" t="str">
        <f>_xlfn.IFNA(VLOOKUP(CONCATENATE(BK$4,$C326),'INSER DATA'!$A:$F,7,0),"")</f>
        <v/>
      </c>
      <c r="BL326" s="272"/>
      <c r="BM326" s="30"/>
      <c r="BN326" s="30"/>
      <c r="BO326" s="30"/>
      <c r="BP326" s="30"/>
      <c r="BQ326" s="30"/>
      <c r="BR326" s="30"/>
      <c r="BS326" s="30"/>
      <c r="BT326" s="30"/>
      <c r="BU326" s="30"/>
      <c r="BV326" s="30"/>
      <c r="BW326" s="30"/>
      <c r="BX326" s="30"/>
      <c r="BY326" s="30"/>
      <c r="BZ326" s="30"/>
      <c r="CA326" s="30"/>
      <c r="CB326" s="30"/>
      <c r="CC326" s="30"/>
      <c r="CD326" s="30"/>
      <c r="CE326" s="30"/>
      <c r="CF326" s="30"/>
      <c r="CG326" s="30"/>
      <c r="CH326" s="30"/>
      <c r="CI326" s="30"/>
      <c r="CJ326" s="30"/>
      <c r="CK326" s="30"/>
      <c r="CL326" s="30"/>
      <c r="CM326" s="30"/>
      <c r="CN326" s="30"/>
      <c r="CO326" s="30"/>
      <c r="CP326" s="30"/>
      <c r="CQ326" s="30"/>
      <c r="CR326" s="30"/>
      <c r="CS326" s="30"/>
      <c r="CT326" s="30"/>
      <c r="CU326" s="30"/>
      <c r="CV326" s="30"/>
      <c r="CW326" s="30"/>
      <c r="CX326" s="30"/>
      <c r="CY326" s="30"/>
      <c r="CZ326" s="30"/>
      <c r="DA326" s="30"/>
    </row>
    <row r="327" spans="1:105" ht="19.2" thickTop="1" thickBot="1" x14ac:dyDescent="0.4">
      <c r="A327" s="30"/>
      <c r="B327" s="30"/>
      <c r="C327" s="188" t="s">
        <v>991</v>
      </c>
      <c r="D327" s="187" t="s">
        <v>842</v>
      </c>
      <c r="E327" s="35" t="str">
        <f>_xlfn.XLOOKUP(Tabella4[[#This Row],[NOME]],'ROSE SQUADRE'!$N$3:$N$253,'ROSE SQUADRE'!$O$3:$O$253,"")</f>
        <v/>
      </c>
      <c r="F327" s="36" t="s">
        <v>162</v>
      </c>
      <c r="G327" s="43">
        <v>1</v>
      </c>
      <c r="H327" s="43">
        <v>1</v>
      </c>
      <c r="I327" s="44">
        <f t="shared" si="31"/>
        <v>0</v>
      </c>
      <c r="J327" s="37">
        <f t="shared" si="32"/>
        <v>2</v>
      </c>
      <c r="K327" s="38">
        <f t="shared" si="33"/>
        <v>5.5</v>
      </c>
      <c r="L327" s="38">
        <f t="shared" si="34"/>
        <v>6</v>
      </c>
      <c r="M327" s="39">
        <f t="shared" si="35"/>
        <v>12</v>
      </c>
      <c r="N327" s="45">
        <f t="shared" ca="1" si="30"/>
        <v>0</v>
      </c>
      <c r="O327" s="40">
        <f>SUMIF(Tabella1[Nome],Tabella4[[#This Row],[NOME]],Tabella1[Gf])</f>
        <v>0</v>
      </c>
      <c r="P327" s="40">
        <f>-(SUMIF(Tabella1[Nome],Tabella4[[#This Row],[NOME]],Tabella1[Gs]))</f>
        <v>0</v>
      </c>
      <c r="Q327" s="40">
        <f>SUMIF(Tabella1[Nome],Tabella4[[#This Row],[NOME]],Tabella1[Rp])</f>
        <v>0</v>
      </c>
      <c r="R327" s="40">
        <f>SUMIF(Tabella1[Nome],Tabella4[[#This Row],[NOME]],Tabella1[Rs])</f>
        <v>0</v>
      </c>
      <c r="S327" s="40">
        <f>SUMIF(Tabella1[Nome],Tabella4[[#This Row],[NOME]],Tabella1[Rf])</f>
        <v>0</v>
      </c>
      <c r="T327" s="40">
        <f>SUMIF(Tabella1[Nome],Tabella4[[#This Row],[NOME]],Tabella1[Au])</f>
        <v>0</v>
      </c>
      <c r="U327" s="41">
        <f>SUMIF(Tabella1[Nome],Tabella4[[#This Row],[NOME]],Tabella1[Amm])</f>
        <v>0</v>
      </c>
      <c r="V327" s="42">
        <f>SUMIF(Tabella1[Nome],Tabella4[[#This Row],[NOME]],Tabella1[Esp])</f>
        <v>0</v>
      </c>
      <c r="W327" s="40">
        <f>SUMIF(Tabella1[Nome],Tabella4[[#This Row],[NOME]],Tabella1[Ass])</f>
        <v>1</v>
      </c>
      <c r="X327" s="40">
        <f>SUMIF(Tabella1[Nome],Tabella4[[#This Row],[NOME]],Tabella1[Gdv])</f>
        <v>0</v>
      </c>
      <c r="Y327" s="40">
        <f>SUMIF(Tabella1[Nome],Tabella4[[#This Row],[NOME]],Tabella1[cl sh])</f>
        <v>0</v>
      </c>
      <c r="Z327" s="270">
        <f>_xlfn.IFNA(_xlfn.XLOOKUP(CONCATENATE(Z$4,$C327),Tabella1[CONC X VOTI IN TAB GIOC],Tabella1[Voto],""),"")</f>
        <v>6</v>
      </c>
      <c r="AA327" s="270">
        <f>_xlfn.IFNA(_xlfn.XLOOKUP(CONCATENATE(AA$4,$C327),Tabella1[CONC X VOTI IN TAB GIOC],Tabella1[Voto],""),"")</f>
        <v>5</v>
      </c>
      <c r="AB327" s="270" t="str">
        <f>_xlfn.IFNA(_xlfn.XLOOKUP(CONCATENATE(AB$4,$C327),Tabella1[CONC X VOTI IN TAB GIOC],Tabella1[Voto]),"")</f>
        <v/>
      </c>
      <c r="AC327" s="270" t="str" cm="1">
        <f t="array" ref="AC327">_xlfn.IFNA(_xlfn.XLOOKUP(CONCATENATE(AC$4,$C327),INDEX(Tabella1[],0,MATCH("CONC X VOTI IN TAB GIOC",Tabella1[#Headers],0)),INDEX(Tabella1[],0,MATCH("Voto",Tabella1[#Headers],0))),"")</f>
        <v/>
      </c>
      <c r="AD327" s="270" t="str">
        <f>_xlfn.IFNA(_xlfn.XLOOKUP(CONCATENATE(AD$4,$C327),Tabella1[CONC X VOTI IN TAB GIOC],Tabella1[Voto]),"")</f>
        <v/>
      </c>
      <c r="AE327" s="270" t="str">
        <f>_xlfn.IFNA(VLOOKUP(CONCATENATE(AE$4,$C327),'INSER DATA'!$A:$F,6,0),"")</f>
        <v/>
      </c>
      <c r="AF327" s="270" t="str">
        <f>_xlfn.IFNA(VLOOKUP(CONCATENATE(AF$4,$C327),'INSER DATA'!$A:$F,6,0),"")</f>
        <v/>
      </c>
      <c r="AG327" s="270" t="str">
        <f>_xlfn.IFNA(VLOOKUP(CONCATENATE(AG$4,$C327),'INSER DATA'!$A:$F,6,0),"")</f>
        <v/>
      </c>
      <c r="AH327" s="270" t="str">
        <f>_xlfn.IFNA(VLOOKUP(CONCATENATE(AH$4,$C327),'INSER DATA'!$A:$F,7,0),"")</f>
        <v/>
      </c>
      <c r="AI327" s="270" t="str">
        <f>_xlfn.IFNA(VLOOKUP(CONCATENATE(AI$4,$C327),'INSER DATA'!$A:$F,7,0),"")</f>
        <v/>
      </c>
      <c r="AJ327" s="270" t="str">
        <f>_xlfn.IFNA(VLOOKUP(CONCATENATE(AJ$4,$C327),'INSER DATA'!$A:$F,7,0),"")</f>
        <v/>
      </c>
      <c r="AK327" s="270" t="str">
        <f>_xlfn.IFNA(VLOOKUP(CONCATENATE(AK$4,$C327),'INSER DATA'!$A:$F,7,0),"")</f>
        <v/>
      </c>
      <c r="AL327" s="270" t="str">
        <f>_xlfn.IFNA(VLOOKUP(CONCATENATE(AL$4,$C327),'INSER DATA'!$A:$F,7,0),"")</f>
        <v/>
      </c>
      <c r="AM327" s="270" t="str">
        <f>_xlfn.IFNA(VLOOKUP(CONCATENATE(AM$4,$C327),'INSER DATA'!$A:$F,7,0),"")</f>
        <v/>
      </c>
      <c r="AN327" s="270" t="str">
        <f>_xlfn.IFNA(VLOOKUP(CONCATENATE(AN$4,$C327),'INSER DATA'!$A:$F,7,0),"")</f>
        <v/>
      </c>
      <c r="AO327" s="270" t="str">
        <f>_xlfn.IFNA(VLOOKUP(CONCATENATE(AO$4,$C327),'INSER DATA'!$A:$F,7,0),"")</f>
        <v/>
      </c>
      <c r="AP327" s="270" t="str">
        <f>_xlfn.IFNA(VLOOKUP(CONCATENATE(AP$4,$C327),'INSER DATA'!$A:$F,7,0),"")</f>
        <v/>
      </c>
      <c r="AQ327" s="270" t="str">
        <f>_xlfn.IFNA(VLOOKUP(CONCATENATE(AQ$4,$C327),'INSER DATA'!$A:$F,7,0),"")</f>
        <v/>
      </c>
      <c r="AR327" s="270" t="str">
        <f>_xlfn.IFNA(VLOOKUP(CONCATENATE(AR$4,$C327),'INSER DATA'!$A:$F,7,0),"")</f>
        <v/>
      </c>
      <c r="AS327" s="270" t="str">
        <f>_xlfn.IFNA(VLOOKUP(CONCATENATE(AS$4,$C327),'INSER DATA'!$A:$F,7,0),"")</f>
        <v/>
      </c>
      <c r="AT327" s="270" t="str">
        <f>_xlfn.IFNA(VLOOKUP(CONCATENATE(AT$4,$C327),'INSER DATA'!$A:$F,7,0),"")</f>
        <v/>
      </c>
      <c r="AU327" s="270" t="str">
        <f>_xlfn.IFNA(VLOOKUP(CONCATENATE(AU$4,$C327),'INSER DATA'!$A:$F,7,0),"")</f>
        <v/>
      </c>
      <c r="AV327" s="270" t="str">
        <f>_xlfn.IFNA(VLOOKUP(CONCATENATE(AV$4,$C327),'INSER DATA'!$A:$F,7,0),"")</f>
        <v/>
      </c>
      <c r="AW327" s="270" t="str">
        <f>_xlfn.IFNA(VLOOKUP(CONCATENATE(AW$4,$C327),'INSER DATA'!$A:$F,7,0),"")</f>
        <v/>
      </c>
      <c r="AX327" s="270" t="str">
        <f>_xlfn.IFNA(VLOOKUP(CONCATENATE(AX$4,$C327),'INSER DATA'!$A:$F,7,0),"")</f>
        <v/>
      </c>
      <c r="AY327" s="270" t="str">
        <f>_xlfn.IFNA(VLOOKUP(CONCATENATE(AY$4,$C327),'INSER DATA'!$A:$F,7,0),"")</f>
        <v/>
      </c>
      <c r="AZ327" s="270" t="str">
        <f>_xlfn.IFNA(VLOOKUP(CONCATENATE(AZ$4,$C327),'INSER DATA'!$A:$F,7,0),"")</f>
        <v/>
      </c>
      <c r="BA327" s="270" t="str">
        <f>_xlfn.IFNA(VLOOKUP(CONCATENATE(BA$4,$C327),'INSER DATA'!$A:$F,7,0),"")</f>
        <v/>
      </c>
      <c r="BB327" s="270" t="str">
        <f>_xlfn.IFNA(VLOOKUP(CONCATENATE(BB$4,$C327),'INSER DATA'!$A:$F,7,0),"")</f>
        <v/>
      </c>
      <c r="BC327" s="270" t="str">
        <f>_xlfn.IFNA(VLOOKUP(CONCATENATE(BC$4,$C327),'INSER DATA'!$A:$F,7,0),"")</f>
        <v/>
      </c>
      <c r="BD327" s="270" t="str">
        <f>_xlfn.IFNA(VLOOKUP(CONCATENATE(BD$4,$C327),'INSER DATA'!$A:$F,7,0),"")</f>
        <v/>
      </c>
      <c r="BE327" s="270" t="str">
        <f>_xlfn.IFNA(VLOOKUP(CONCATENATE(BE$4,$C327),'INSER DATA'!$A:$F,7,0),"")</f>
        <v/>
      </c>
      <c r="BF327" s="270" t="str">
        <f>_xlfn.IFNA(VLOOKUP(CONCATENATE(BF$4,$C327),'INSER DATA'!$A:$F,7,0),"")</f>
        <v/>
      </c>
      <c r="BG327" s="270" t="str">
        <f>_xlfn.IFNA(VLOOKUP(CONCATENATE(BG$4,$C327),'INSER DATA'!$A:$F,7,0),"")</f>
        <v/>
      </c>
      <c r="BH327" s="270" t="str">
        <f>_xlfn.IFNA(VLOOKUP(CONCATENATE(BH$4,$C327),'INSER DATA'!$A:$F,7,0),"")</f>
        <v/>
      </c>
      <c r="BI327" s="270" t="str">
        <f>_xlfn.IFNA(VLOOKUP(CONCATENATE(BI$4,$C327),'INSER DATA'!$A:$F,7,0),"")</f>
        <v/>
      </c>
      <c r="BJ327" s="270" t="str">
        <f>_xlfn.IFNA(VLOOKUP(CONCATENATE(BJ$4,$C327),'INSER DATA'!$A:$F,7,0),"")</f>
        <v/>
      </c>
      <c r="BK327" s="270" t="str">
        <f>_xlfn.IFNA(VLOOKUP(CONCATENATE(BK$4,$C327),'INSER DATA'!$A:$F,7,0),"")</f>
        <v/>
      </c>
      <c r="BL327" s="272"/>
      <c r="BM327" s="30"/>
      <c r="BN327" s="30"/>
      <c r="BO327" s="30"/>
      <c r="BP327" s="30"/>
      <c r="BQ327" s="30"/>
      <c r="BR327" s="30"/>
      <c r="BS327" s="30"/>
      <c r="BT327" s="30"/>
      <c r="BU327" s="30"/>
      <c r="BV327" s="30"/>
      <c r="BW327" s="30"/>
      <c r="BX327" s="30"/>
      <c r="BY327" s="30"/>
      <c r="BZ327" s="30"/>
      <c r="CA327" s="30"/>
      <c r="CB327" s="30"/>
      <c r="CC327" s="30"/>
      <c r="CD327" s="30"/>
      <c r="CE327" s="30"/>
      <c r="CF327" s="30"/>
      <c r="CG327" s="30"/>
      <c r="CH327" s="30"/>
      <c r="CI327" s="30"/>
      <c r="CJ327" s="30"/>
      <c r="CK327" s="30"/>
      <c r="CL327" s="30"/>
      <c r="CM327" s="30"/>
      <c r="CN327" s="30"/>
      <c r="CO327" s="30"/>
      <c r="CP327" s="30"/>
      <c r="CQ327" s="30"/>
      <c r="CR327" s="30"/>
      <c r="CS327" s="30"/>
      <c r="CT327" s="30"/>
      <c r="CU327" s="30"/>
      <c r="CV327" s="30"/>
      <c r="CW327" s="30"/>
      <c r="CX327" s="30"/>
      <c r="CY327" s="30"/>
      <c r="CZ327" s="30"/>
      <c r="DA327" s="30"/>
    </row>
    <row r="328" spans="1:105" ht="19.2" thickTop="1" thickBot="1" x14ac:dyDescent="0.4">
      <c r="A328" s="30"/>
      <c r="B328" s="30"/>
      <c r="C328" s="185" t="s">
        <v>850</v>
      </c>
      <c r="D328" s="46" t="s">
        <v>842</v>
      </c>
      <c r="E328" s="35" t="str">
        <f>_xlfn.XLOOKUP(Tabella4[[#This Row],[NOME]],'ROSE SQUADRE'!$N$3:$N$253,'ROSE SQUADRE'!$O$3:$O$253,"")</f>
        <v/>
      </c>
      <c r="F328" s="36" t="s">
        <v>161</v>
      </c>
      <c r="G328" s="43">
        <v>4</v>
      </c>
      <c r="H328" s="43">
        <v>4</v>
      </c>
      <c r="I328" s="44">
        <f t="shared" si="31"/>
        <v>0</v>
      </c>
      <c r="J328" s="37">
        <f t="shared" si="32"/>
        <v>4</v>
      </c>
      <c r="K328" s="38">
        <f t="shared" si="33"/>
        <v>5.5</v>
      </c>
      <c r="L328" s="38">
        <f t="shared" si="34"/>
        <v>5.25</v>
      </c>
      <c r="M328" s="39">
        <f t="shared" si="35"/>
        <v>21</v>
      </c>
      <c r="N328" s="45">
        <f t="shared" ca="1" si="30"/>
        <v>0</v>
      </c>
      <c r="O328" s="40">
        <f>SUMIF(Tabella1[Nome],Tabella4[[#This Row],[NOME]],Tabella1[Gf])</f>
        <v>0</v>
      </c>
      <c r="P328" s="40">
        <f>-(SUMIF(Tabella1[Nome],Tabella4[[#This Row],[NOME]],Tabella1[Gs]))</f>
        <v>0</v>
      </c>
      <c r="Q328" s="40">
        <f>SUMIF(Tabella1[Nome],Tabella4[[#This Row],[NOME]],Tabella1[Rp])</f>
        <v>0</v>
      </c>
      <c r="R328" s="40">
        <f>SUMIF(Tabella1[Nome],Tabella4[[#This Row],[NOME]],Tabella1[Rs])</f>
        <v>0</v>
      </c>
      <c r="S328" s="40">
        <f>SUMIF(Tabella1[Nome],Tabella4[[#This Row],[NOME]],Tabella1[Rf])</f>
        <v>0</v>
      </c>
      <c r="T328" s="40">
        <f>SUMIF(Tabella1[Nome],Tabella4[[#This Row],[NOME]],Tabella1[Au])</f>
        <v>0</v>
      </c>
      <c r="U328" s="41">
        <f>SUMIF(Tabella1[Nome],Tabella4[[#This Row],[NOME]],Tabella1[Amm])</f>
        <v>2</v>
      </c>
      <c r="V328" s="42">
        <f>SUMIF(Tabella1[Nome],Tabella4[[#This Row],[NOME]],Tabella1[Esp])</f>
        <v>0</v>
      </c>
      <c r="W328" s="40">
        <f>SUMIF(Tabella1[Nome],Tabella4[[#This Row],[NOME]],Tabella1[Ass])</f>
        <v>0</v>
      </c>
      <c r="X328" s="40">
        <f>SUMIF(Tabella1[Nome],Tabella4[[#This Row],[NOME]],Tabella1[Gdv])</f>
        <v>0</v>
      </c>
      <c r="Y328" s="40">
        <f>SUMIF(Tabella1[Nome],Tabella4[[#This Row],[NOME]],Tabella1[cl sh])</f>
        <v>0</v>
      </c>
      <c r="Z328" s="270">
        <f>_xlfn.IFNA(_xlfn.XLOOKUP(CONCATENATE(Z$4,$C328),Tabella1[CONC X VOTI IN TAB GIOC],Tabella1[Voto],""),"")</f>
        <v>5</v>
      </c>
      <c r="AA328" s="270">
        <f>_xlfn.IFNA(_xlfn.XLOOKUP(CONCATENATE(AA$4,$C328),Tabella1[CONC X VOTI IN TAB GIOC],Tabella1[Voto],""),"")</f>
        <v>5.5</v>
      </c>
      <c r="AB328" s="270">
        <f>_xlfn.IFNA(_xlfn.XLOOKUP(CONCATENATE(AB$4,$C328),Tabella1[CONC X VOTI IN TAB GIOC],Tabella1[Voto]),"")</f>
        <v>6.5</v>
      </c>
      <c r="AC328" s="270" cm="1">
        <f t="array" ref="AC328">_xlfn.IFNA(_xlfn.XLOOKUP(CONCATENATE(AC$4,$C328),INDEX(Tabella1[],0,MATCH("CONC X VOTI IN TAB GIOC",Tabella1[#Headers],0)),INDEX(Tabella1[],0,MATCH("Voto",Tabella1[#Headers],0))),"")</f>
        <v>5</v>
      </c>
      <c r="AD328" s="270" t="str">
        <f>_xlfn.IFNA(_xlfn.XLOOKUP(CONCATENATE(AD$4,$C328),Tabella1[CONC X VOTI IN TAB GIOC],Tabella1[Voto]),"")</f>
        <v/>
      </c>
      <c r="AE328" s="270" t="str">
        <f>_xlfn.IFNA(VLOOKUP(CONCATENATE(AE$4,$C328),'INSER DATA'!$A:$F,6,0),"")</f>
        <v/>
      </c>
      <c r="AF328" s="270" t="str">
        <f>_xlfn.IFNA(VLOOKUP(CONCATENATE(AF$4,$C328),'INSER DATA'!$A:$F,6,0),"")</f>
        <v/>
      </c>
      <c r="AG328" s="270" t="str">
        <f>_xlfn.IFNA(VLOOKUP(CONCATENATE(AG$4,$C328),'INSER DATA'!$A:$F,6,0),"")</f>
        <v/>
      </c>
      <c r="AH328" s="270" t="str">
        <f>_xlfn.IFNA(VLOOKUP(CONCATENATE(AH$4,$C328),'INSER DATA'!$A:$F,7,0),"")</f>
        <v/>
      </c>
      <c r="AI328" s="270" t="str">
        <f>_xlfn.IFNA(VLOOKUP(CONCATENATE(AI$4,$C328),'INSER DATA'!$A:$F,7,0),"")</f>
        <v/>
      </c>
      <c r="AJ328" s="270" t="str">
        <f>_xlfn.IFNA(VLOOKUP(CONCATENATE(AJ$4,$C328),'INSER DATA'!$A:$F,7,0),"")</f>
        <v/>
      </c>
      <c r="AK328" s="270" t="str">
        <f>_xlfn.IFNA(VLOOKUP(CONCATENATE(AK$4,$C328),'INSER DATA'!$A:$F,7,0),"")</f>
        <v/>
      </c>
      <c r="AL328" s="270" t="str">
        <f>_xlfn.IFNA(VLOOKUP(CONCATENATE(AL$4,$C328),'INSER DATA'!$A:$F,7,0),"")</f>
        <v/>
      </c>
      <c r="AM328" s="270" t="str">
        <f>_xlfn.IFNA(VLOOKUP(CONCATENATE(AM$4,$C328),'INSER DATA'!$A:$F,7,0),"")</f>
        <v/>
      </c>
      <c r="AN328" s="270" t="str">
        <f>_xlfn.IFNA(VLOOKUP(CONCATENATE(AN$4,$C328),'INSER DATA'!$A:$F,7,0),"")</f>
        <v/>
      </c>
      <c r="AO328" s="270" t="str">
        <f>_xlfn.IFNA(VLOOKUP(CONCATENATE(AO$4,$C328),'INSER DATA'!$A:$F,7,0),"")</f>
        <v/>
      </c>
      <c r="AP328" s="270" t="str">
        <f>_xlfn.IFNA(VLOOKUP(CONCATENATE(AP$4,$C328),'INSER DATA'!$A:$F,7,0),"")</f>
        <v/>
      </c>
      <c r="AQ328" s="270" t="str">
        <f>_xlfn.IFNA(VLOOKUP(CONCATENATE(AQ$4,$C328),'INSER DATA'!$A:$F,7,0),"")</f>
        <v/>
      </c>
      <c r="AR328" s="270" t="str">
        <f>_xlfn.IFNA(VLOOKUP(CONCATENATE(AR$4,$C328),'INSER DATA'!$A:$F,7,0),"")</f>
        <v/>
      </c>
      <c r="AS328" s="270" t="str">
        <f>_xlfn.IFNA(VLOOKUP(CONCATENATE(AS$4,$C328),'INSER DATA'!$A:$F,7,0),"")</f>
        <v/>
      </c>
      <c r="AT328" s="270" t="str">
        <f>_xlfn.IFNA(VLOOKUP(CONCATENATE(AT$4,$C328),'INSER DATA'!$A:$F,7,0),"")</f>
        <v/>
      </c>
      <c r="AU328" s="270" t="str">
        <f>_xlfn.IFNA(VLOOKUP(CONCATENATE(AU$4,$C328),'INSER DATA'!$A:$F,7,0),"")</f>
        <v/>
      </c>
      <c r="AV328" s="270" t="str">
        <f>_xlfn.IFNA(VLOOKUP(CONCATENATE(AV$4,$C328),'INSER DATA'!$A:$F,7,0),"")</f>
        <v/>
      </c>
      <c r="AW328" s="270" t="str">
        <f>_xlfn.IFNA(VLOOKUP(CONCATENATE(AW$4,$C328),'INSER DATA'!$A:$F,7,0),"")</f>
        <v/>
      </c>
      <c r="AX328" s="270" t="str">
        <f>_xlfn.IFNA(VLOOKUP(CONCATENATE(AX$4,$C328),'INSER DATA'!$A:$F,7,0),"")</f>
        <v/>
      </c>
      <c r="AY328" s="270" t="str">
        <f>_xlfn.IFNA(VLOOKUP(CONCATENATE(AY$4,$C328),'INSER DATA'!$A:$F,7,0),"")</f>
        <v/>
      </c>
      <c r="AZ328" s="270" t="str">
        <f>_xlfn.IFNA(VLOOKUP(CONCATENATE(AZ$4,$C328),'INSER DATA'!$A:$F,7,0),"")</f>
        <v/>
      </c>
      <c r="BA328" s="270" t="str">
        <f>_xlfn.IFNA(VLOOKUP(CONCATENATE(BA$4,$C328),'INSER DATA'!$A:$F,7,0),"")</f>
        <v/>
      </c>
      <c r="BB328" s="270" t="str">
        <f>_xlfn.IFNA(VLOOKUP(CONCATENATE(BB$4,$C328),'INSER DATA'!$A:$F,7,0),"")</f>
        <v/>
      </c>
      <c r="BC328" s="270" t="str">
        <f>_xlfn.IFNA(VLOOKUP(CONCATENATE(BC$4,$C328),'INSER DATA'!$A:$F,7,0),"")</f>
        <v/>
      </c>
      <c r="BD328" s="270" t="str">
        <f>_xlfn.IFNA(VLOOKUP(CONCATENATE(BD$4,$C328),'INSER DATA'!$A:$F,7,0),"")</f>
        <v/>
      </c>
      <c r="BE328" s="270" t="str">
        <f>_xlfn.IFNA(VLOOKUP(CONCATENATE(BE$4,$C328),'INSER DATA'!$A:$F,7,0),"")</f>
        <v/>
      </c>
      <c r="BF328" s="270" t="str">
        <f>_xlfn.IFNA(VLOOKUP(CONCATENATE(BF$4,$C328),'INSER DATA'!$A:$F,7,0),"")</f>
        <v/>
      </c>
      <c r="BG328" s="270" t="str">
        <f>_xlfn.IFNA(VLOOKUP(CONCATENATE(BG$4,$C328),'INSER DATA'!$A:$F,7,0),"")</f>
        <v/>
      </c>
      <c r="BH328" s="270" t="str">
        <f>_xlfn.IFNA(VLOOKUP(CONCATENATE(BH$4,$C328),'INSER DATA'!$A:$F,7,0),"")</f>
        <v/>
      </c>
      <c r="BI328" s="270" t="str">
        <f>_xlfn.IFNA(VLOOKUP(CONCATENATE(BI$4,$C328),'INSER DATA'!$A:$F,7,0),"")</f>
        <v/>
      </c>
      <c r="BJ328" s="270" t="str">
        <f>_xlfn.IFNA(VLOOKUP(CONCATENATE(BJ$4,$C328),'INSER DATA'!$A:$F,7,0),"")</f>
        <v/>
      </c>
      <c r="BK328" s="270" t="str">
        <f>_xlfn.IFNA(VLOOKUP(CONCATENATE(BK$4,$C328),'INSER DATA'!$A:$F,7,0),"")</f>
        <v/>
      </c>
      <c r="BL328" s="272"/>
      <c r="BM328" s="30"/>
      <c r="BN328" s="30"/>
      <c r="BO328" s="30"/>
      <c r="BP328" s="30"/>
      <c r="BQ328" s="30"/>
      <c r="BR328" s="30"/>
      <c r="BS328" s="30"/>
      <c r="BT328" s="30"/>
      <c r="BU328" s="30"/>
      <c r="BV328" s="30"/>
      <c r="BW328" s="30"/>
      <c r="BX328" s="30"/>
      <c r="BY328" s="30"/>
      <c r="BZ328" s="30"/>
      <c r="CA328" s="30"/>
      <c r="CB328" s="30"/>
      <c r="CC328" s="30"/>
      <c r="CD328" s="30"/>
      <c r="CE328" s="30"/>
      <c r="CF328" s="30"/>
      <c r="CG328" s="30"/>
      <c r="CH328" s="30"/>
      <c r="CI328" s="30"/>
      <c r="CJ328" s="30"/>
      <c r="CK328" s="30"/>
      <c r="CL328" s="30"/>
      <c r="CM328" s="30"/>
      <c r="CN328" s="30"/>
      <c r="CO328" s="30"/>
      <c r="CP328" s="30"/>
      <c r="CQ328" s="30"/>
      <c r="CR328" s="30"/>
      <c r="CS328" s="30"/>
      <c r="CT328" s="30"/>
      <c r="CU328" s="30"/>
      <c r="CV328" s="30"/>
      <c r="CW328" s="30"/>
      <c r="CX328" s="30"/>
      <c r="CY328" s="30"/>
      <c r="CZ328" s="30"/>
      <c r="DA328" s="30"/>
    </row>
    <row r="329" spans="1:105" s="184" customFormat="1" ht="19.2" thickTop="1" thickBot="1" x14ac:dyDescent="0.4">
      <c r="C329" s="185" t="s">
        <v>549</v>
      </c>
      <c r="D329" s="46" t="s">
        <v>842</v>
      </c>
      <c r="E329" s="35" t="str">
        <f>_xlfn.XLOOKUP(Tabella4[[#This Row],[NOME]],'ROSE SQUADRE'!$N$3:$N$253,'ROSE SQUADRE'!$O$3:$O$253,"")</f>
        <v/>
      </c>
      <c r="F329" s="36" t="s">
        <v>5</v>
      </c>
      <c r="G329" s="43">
        <v>1</v>
      </c>
      <c r="H329" s="43">
        <v>1</v>
      </c>
      <c r="I329" s="44">
        <f t="shared" si="31"/>
        <v>0</v>
      </c>
      <c r="J329" s="37">
        <f t="shared" si="32"/>
        <v>1</v>
      </c>
      <c r="K329" s="38">
        <f t="shared" si="33"/>
        <v>5</v>
      </c>
      <c r="L329" s="38">
        <f t="shared" si="34"/>
        <v>1</v>
      </c>
      <c r="M329" s="39">
        <f t="shared" si="35"/>
        <v>1</v>
      </c>
      <c r="N329" s="45">
        <f t="shared" ca="1" si="30"/>
        <v>0</v>
      </c>
      <c r="O329" s="40">
        <f>SUMIF(Tabella1[Nome],Tabella4[[#This Row],[NOME]],Tabella1[Gf])</f>
        <v>0</v>
      </c>
      <c r="P329" s="40">
        <f>-(SUMIF(Tabella1[Nome],Tabella4[[#This Row],[NOME]],Tabella1[Gs]))</f>
        <v>-4</v>
      </c>
      <c r="Q329" s="40">
        <f>SUMIF(Tabella1[Nome],Tabella4[[#This Row],[NOME]],Tabella1[Rp])</f>
        <v>0</v>
      </c>
      <c r="R329" s="40">
        <f>SUMIF(Tabella1[Nome],Tabella4[[#This Row],[NOME]],Tabella1[Rs])</f>
        <v>0</v>
      </c>
      <c r="S329" s="40">
        <f>SUMIF(Tabella1[Nome],Tabella4[[#This Row],[NOME]],Tabella1[Rf])</f>
        <v>0</v>
      </c>
      <c r="T329" s="40">
        <f>SUMIF(Tabella1[Nome],Tabella4[[#This Row],[NOME]],Tabella1[Au])</f>
        <v>0</v>
      </c>
      <c r="U329" s="41">
        <f>SUMIF(Tabella1[Nome],Tabella4[[#This Row],[NOME]],Tabella1[Amm])</f>
        <v>0</v>
      </c>
      <c r="V329" s="42">
        <f>SUMIF(Tabella1[Nome],Tabella4[[#This Row],[NOME]],Tabella1[Esp])</f>
        <v>0</v>
      </c>
      <c r="W329" s="40">
        <f>SUMIF(Tabella1[Nome],Tabella4[[#This Row],[NOME]],Tabella1[Ass])</f>
        <v>0</v>
      </c>
      <c r="X329" s="40">
        <f>SUMIF(Tabella1[Nome],Tabella4[[#This Row],[NOME]],Tabella1[Gdv])</f>
        <v>0</v>
      </c>
      <c r="Y329" s="40">
        <f>SUMIF(Tabella1[Nome],Tabella4[[#This Row],[NOME]],Tabella1[cl sh])</f>
        <v>0</v>
      </c>
      <c r="Z329" s="270">
        <f>_xlfn.IFNA(_xlfn.XLOOKUP(CONCATENATE(Z$4,$C329),Tabella1[CONC X VOTI IN TAB GIOC],Tabella1[Voto],""),"")</f>
        <v>5</v>
      </c>
      <c r="AA329" s="270" t="str">
        <f>_xlfn.IFNA(_xlfn.XLOOKUP(CONCATENATE(AA$4,$C329),Tabella1[CONC X VOTI IN TAB GIOC],Tabella1[Voto],""),"")</f>
        <v/>
      </c>
      <c r="AB329" s="270" t="str">
        <f>_xlfn.IFNA(_xlfn.XLOOKUP(CONCATENATE(AB$4,$C329),Tabella1[CONC X VOTI IN TAB GIOC],Tabella1[Voto]),"")</f>
        <v/>
      </c>
      <c r="AC329" s="270" t="str" cm="1">
        <f t="array" ref="AC329">_xlfn.IFNA(_xlfn.XLOOKUP(CONCATENATE(AC$4,$C329),INDEX(Tabella1[],0,MATCH("CONC X VOTI IN TAB GIOC",Tabella1[#Headers],0)),INDEX(Tabella1[],0,MATCH("Voto",Tabella1[#Headers],0))),"")</f>
        <v/>
      </c>
      <c r="AD329" s="270" t="str">
        <f>_xlfn.IFNA(_xlfn.XLOOKUP(CONCATENATE(AD$4,$C329),Tabella1[CONC X VOTI IN TAB GIOC],Tabella1[Voto]),"")</f>
        <v/>
      </c>
      <c r="AE329" s="270" t="str">
        <f>_xlfn.IFNA(VLOOKUP(CONCATENATE(AE$4,$C329),'INSER DATA'!$A:$F,6,0),"")</f>
        <v/>
      </c>
      <c r="AF329" s="270" t="str">
        <f>_xlfn.IFNA(VLOOKUP(CONCATENATE(AF$4,$C329),'INSER DATA'!$A:$F,6,0),"")</f>
        <v/>
      </c>
      <c r="AG329" s="270" t="str">
        <f>_xlfn.IFNA(VLOOKUP(CONCATENATE(AG$4,$C329),'INSER DATA'!$A:$F,6,0),"")</f>
        <v/>
      </c>
      <c r="AH329" s="270" t="str">
        <f>_xlfn.IFNA(VLOOKUP(CONCATENATE(AH$4,$C329),'INSER DATA'!$A:$F,7,0),"")</f>
        <v/>
      </c>
      <c r="AI329" s="270" t="str">
        <f>_xlfn.IFNA(VLOOKUP(CONCATENATE(AI$4,$C329),'INSER DATA'!$A:$F,7,0),"")</f>
        <v/>
      </c>
      <c r="AJ329" s="270" t="str">
        <f>_xlfn.IFNA(VLOOKUP(CONCATENATE(AJ$4,$C329),'INSER DATA'!$A:$F,7,0),"")</f>
        <v/>
      </c>
      <c r="AK329" s="270" t="str">
        <f>_xlfn.IFNA(VLOOKUP(CONCATENATE(AK$4,$C329),'INSER DATA'!$A:$F,7,0),"")</f>
        <v/>
      </c>
      <c r="AL329" s="270" t="str">
        <f>_xlfn.IFNA(VLOOKUP(CONCATENATE(AL$4,$C329),'INSER DATA'!$A:$F,7,0),"")</f>
        <v/>
      </c>
      <c r="AM329" s="270" t="str">
        <f>_xlfn.IFNA(VLOOKUP(CONCATENATE(AM$4,$C329),'INSER DATA'!$A:$F,7,0),"")</f>
        <v/>
      </c>
      <c r="AN329" s="270" t="str">
        <f>_xlfn.IFNA(VLOOKUP(CONCATENATE(AN$4,$C329),'INSER DATA'!$A:$F,7,0),"")</f>
        <v/>
      </c>
      <c r="AO329" s="270" t="str">
        <f>_xlfn.IFNA(VLOOKUP(CONCATENATE(AO$4,$C329),'INSER DATA'!$A:$F,7,0),"")</f>
        <v/>
      </c>
      <c r="AP329" s="270" t="str">
        <f>_xlfn.IFNA(VLOOKUP(CONCATENATE(AP$4,$C329),'INSER DATA'!$A:$F,7,0),"")</f>
        <v/>
      </c>
      <c r="AQ329" s="270" t="str">
        <f>_xlfn.IFNA(VLOOKUP(CONCATENATE(AQ$4,$C329),'INSER DATA'!$A:$F,7,0),"")</f>
        <v/>
      </c>
      <c r="AR329" s="270" t="str">
        <f>_xlfn.IFNA(VLOOKUP(CONCATENATE(AR$4,$C329),'INSER DATA'!$A:$F,7,0),"")</f>
        <v/>
      </c>
      <c r="AS329" s="270" t="str">
        <f>_xlfn.IFNA(VLOOKUP(CONCATENATE(AS$4,$C329),'INSER DATA'!$A:$F,7,0),"")</f>
        <v/>
      </c>
      <c r="AT329" s="270" t="str">
        <f>_xlfn.IFNA(VLOOKUP(CONCATENATE(AT$4,$C329),'INSER DATA'!$A:$F,7,0),"")</f>
        <v/>
      </c>
      <c r="AU329" s="270" t="str">
        <f>_xlfn.IFNA(VLOOKUP(CONCATENATE(AU$4,$C329),'INSER DATA'!$A:$F,7,0),"")</f>
        <v/>
      </c>
      <c r="AV329" s="270" t="str">
        <f>_xlfn.IFNA(VLOOKUP(CONCATENATE(AV$4,$C329),'INSER DATA'!$A:$F,7,0),"")</f>
        <v/>
      </c>
      <c r="AW329" s="270" t="str">
        <f>_xlfn.IFNA(VLOOKUP(CONCATENATE(AW$4,$C329),'INSER DATA'!$A:$F,7,0),"")</f>
        <v/>
      </c>
      <c r="AX329" s="270" t="str">
        <f>_xlfn.IFNA(VLOOKUP(CONCATENATE(AX$4,$C329),'INSER DATA'!$A:$F,7,0),"")</f>
        <v/>
      </c>
      <c r="AY329" s="270" t="str">
        <f>_xlfn.IFNA(VLOOKUP(CONCATENATE(AY$4,$C329),'INSER DATA'!$A:$F,7,0),"")</f>
        <v/>
      </c>
      <c r="AZ329" s="270" t="str">
        <f>_xlfn.IFNA(VLOOKUP(CONCATENATE(AZ$4,$C329),'INSER DATA'!$A:$F,7,0),"")</f>
        <v/>
      </c>
      <c r="BA329" s="270" t="str">
        <f>_xlfn.IFNA(VLOOKUP(CONCATENATE(BA$4,$C329),'INSER DATA'!$A:$F,7,0),"")</f>
        <v/>
      </c>
      <c r="BB329" s="270" t="str">
        <f>_xlfn.IFNA(VLOOKUP(CONCATENATE(BB$4,$C329),'INSER DATA'!$A:$F,7,0),"")</f>
        <v/>
      </c>
      <c r="BC329" s="270" t="str">
        <f>_xlfn.IFNA(VLOOKUP(CONCATENATE(BC$4,$C329),'INSER DATA'!$A:$F,7,0),"")</f>
        <v/>
      </c>
      <c r="BD329" s="270" t="str">
        <f>_xlfn.IFNA(VLOOKUP(CONCATENATE(BD$4,$C329),'INSER DATA'!$A:$F,7,0),"")</f>
        <v/>
      </c>
      <c r="BE329" s="270" t="str">
        <f>_xlfn.IFNA(VLOOKUP(CONCATENATE(BE$4,$C329),'INSER DATA'!$A:$F,7,0),"")</f>
        <v/>
      </c>
      <c r="BF329" s="270" t="str">
        <f>_xlfn.IFNA(VLOOKUP(CONCATENATE(BF$4,$C329),'INSER DATA'!$A:$F,7,0),"")</f>
        <v/>
      </c>
      <c r="BG329" s="270" t="str">
        <f>_xlfn.IFNA(VLOOKUP(CONCATENATE(BG$4,$C329),'INSER DATA'!$A:$F,7,0),"")</f>
        <v/>
      </c>
      <c r="BH329" s="270" t="str">
        <f>_xlfn.IFNA(VLOOKUP(CONCATENATE(BH$4,$C329),'INSER DATA'!$A:$F,7,0),"")</f>
        <v/>
      </c>
      <c r="BI329" s="270" t="str">
        <f>_xlfn.IFNA(VLOOKUP(CONCATENATE(BI$4,$C329),'INSER DATA'!$A:$F,7,0),"")</f>
        <v/>
      </c>
      <c r="BJ329" s="270" t="str">
        <f>_xlfn.IFNA(VLOOKUP(CONCATENATE(BJ$4,$C329),'INSER DATA'!$A:$F,7,0),"")</f>
        <v/>
      </c>
      <c r="BK329" s="270" t="str">
        <f>_xlfn.IFNA(VLOOKUP(CONCATENATE(BK$4,$C329),'INSER DATA'!$A:$F,7,0),"")</f>
        <v/>
      </c>
      <c r="BL329" s="272"/>
    </row>
    <row r="330" spans="1:105" ht="19.2" thickTop="1" thickBot="1" x14ac:dyDescent="0.4">
      <c r="A330" s="30"/>
      <c r="B330" s="30"/>
      <c r="C330" s="356" t="s">
        <v>844</v>
      </c>
      <c r="D330" s="355" t="s">
        <v>842</v>
      </c>
      <c r="E330" s="35" t="str">
        <f>_xlfn.XLOOKUP(Tabella4[[#This Row],[NOME]],'ROSE SQUADRE'!$N$3:$N$253,'ROSE SQUADRE'!$O$3:$O$253,"")</f>
        <v>AC ASPARAGHESE</v>
      </c>
      <c r="F330" s="36" t="s">
        <v>5</v>
      </c>
      <c r="G330" s="43">
        <v>5</v>
      </c>
      <c r="H330" s="43">
        <v>5</v>
      </c>
      <c r="I330" s="44">
        <f t="shared" si="31"/>
        <v>0</v>
      </c>
      <c r="J330" s="37">
        <f t="shared" si="32"/>
        <v>3</v>
      </c>
      <c r="K330" s="38">
        <f t="shared" si="33"/>
        <v>5.166666666666667</v>
      </c>
      <c r="L330" s="38">
        <f t="shared" si="34"/>
        <v>2.8333333333333335</v>
      </c>
      <c r="M330" s="39">
        <f t="shared" si="35"/>
        <v>8.5</v>
      </c>
      <c r="N330" s="45">
        <f t="shared" ca="1" si="30"/>
        <v>0</v>
      </c>
      <c r="O330" s="40">
        <f>SUMIF(Tabella1[Nome],Tabella4[[#This Row],[NOME]],Tabella1[Gf])</f>
        <v>0</v>
      </c>
      <c r="P330" s="40">
        <f>-(SUMIF(Tabella1[Nome],Tabella4[[#This Row],[NOME]],Tabella1[Gs]))</f>
        <v>-7</v>
      </c>
      <c r="Q330" s="40">
        <f>SUMIF(Tabella1[Nome],Tabella4[[#This Row],[NOME]],Tabella1[Rp])</f>
        <v>0</v>
      </c>
      <c r="R330" s="40">
        <f>SUMIF(Tabella1[Nome],Tabella4[[#This Row],[NOME]],Tabella1[Rs])</f>
        <v>0</v>
      </c>
      <c r="S330" s="40">
        <f>SUMIF(Tabella1[Nome],Tabella4[[#This Row],[NOME]],Tabella1[Rf])</f>
        <v>0</v>
      </c>
      <c r="T330" s="40">
        <f>SUMIF(Tabella1[Nome],Tabella4[[#This Row],[NOME]],Tabella1[Au])</f>
        <v>0</v>
      </c>
      <c r="U330" s="41">
        <f>SUMIF(Tabella1[Nome],Tabella4[[#This Row],[NOME]],Tabella1[Amm])</f>
        <v>0</v>
      </c>
      <c r="V330" s="42">
        <f>SUMIF(Tabella1[Nome],Tabella4[[#This Row],[NOME]],Tabella1[Esp])</f>
        <v>0</v>
      </c>
      <c r="W330" s="40">
        <f>SUMIF(Tabella1[Nome],Tabella4[[#This Row],[NOME]],Tabella1[Ass])</f>
        <v>0</v>
      </c>
      <c r="X330" s="40">
        <f>SUMIF(Tabella1[Nome],Tabella4[[#This Row],[NOME]],Tabella1[Gdv])</f>
        <v>0</v>
      </c>
      <c r="Y330" s="40">
        <f>SUMIF(Tabella1[Nome],Tabella4[[#This Row],[NOME]],Tabella1[cl sh])</f>
        <v>0</v>
      </c>
      <c r="Z330" s="270" t="str">
        <f>_xlfn.IFNA(_xlfn.XLOOKUP(CONCATENATE(Z$4,$C330),Tabella1[CONC X VOTI IN TAB GIOC],Tabella1[Voto],""),"")</f>
        <v/>
      </c>
      <c r="AA330" s="270">
        <f>_xlfn.IFNA(_xlfn.XLOOKUP(CONCATENATE(AA$4,$C330),Tabella1[CONC X VOTI IN TAB GIOC],Tabella1[Voto],""),"")</f>
        <v>4.5</v>
      </c>
      <c r="AB330" s="270">
        <f>_xlfn.IFNA(_xlfn.XLOOKUP(CONCATENATE(AB$4,$C330),Tabella1[CONC X VOTI IN TAB GIOC],Tabella1[Voto]),"")</f>
        <v>6</v>
      </c>
      <c r="AC330" s="270" cm="1">
        <f t="array" ref="AC330">_xlfn.IFNA(_xlfn.XLOOKUP(CONCATENATE(AC$4,$C330),INDEX(Tabella1[],0,MATCH("CONC X VOTI IN TAB GIOC",Tabella1[#Headers],0)),INDEX(Tabella1[],0,MATCH("Voto",Tabella1[#Headers],0))),"")</f>
        <v>5</v>
      </c>
      <c r="AD330" s="270" t="str">
        <f>_xlfn.IFNA(_xlfn.XLOOKUP(CONCATENATE(AD$4,$C330),Tabella1[CONC X VOTI IN TAB GIOC],Tabella1[Voto]),"")</f>
        <v/>
      </c>
      <c r="AE330" s="270" t="str">
        <f>_xlfn.IFNA(VLOOKUP(CONCATENATE(AE$4,$C330),'INSER DATA'!$A:$F,6,0),"")</f>
        <v/>
      </c>
      <c r="AF330" s="270" t="str">
        <f>_xlfn.IFNA(VLOOKUP(CONCATENATE(AF$4,$C330),'INSER DATA'!$A:$F,6,0),"")</f>
        <v/>
      </c>
      <c r="AG330" s="270" t="str">
        <f>_xlfn.IFNA(VLOOKUP(CONCATENATE(AG$4,$C330),'INSER DATA'!$A:$F,6,0),"")</f>
        <v/>
      </c>
      <c r="AH330" s="270" t="str">
        <f>_xlfn.IFNA(VLOOKUP(CONCATENATE(AH$4,$C330),'INSER DATA'!$A:$F,7,0),"")</f>
        <v/>
      </c>
      <c r="AI330" s="270" t="str">
        <f>_xlfn.IFNA(VLOOKUP(CONCATENATE(AI$4,$C330),'INSER DATA'!$A:$F,7,0),"")</f>
        <v/>
      </c>
      <c r="AJ330" s="270" t="str">
        <f>_xlfn.IFNA(VLOOKUP(CONCATENATE(AJ$4,$C330),'INSER DATA'!$A:$F,7,0),"")</f>
        <v/>
      </c>
      <c r="AK330" s="270" t="str">
        <f>_xlfn.IFNA(VLOOKUP(CONCATENATE(AK$4,$C330),'INSER DATA'!$A:$F,7,0),"")</f>
        <v/>
      </c>
      <c r="AL330" s="270" t="str">
        <f>_xlfn.IFNA(VLOOKUP(CONCATENATE(AL$4,$C330),'INSER DATA'!$A:$F,7,0),"")</f>
        <v/>
      </c>
      <c r="AM330" s="270" t="str">
        <f>_xlfn.IFNA(VLOOKUP(CONCATENATE(AM$4,$C330),'INSER DATA'!$A:$F,7,0),"")</f>
        <v/>
      </c>
      <c r="AN330" s="270" t="str">
        <f>_xlfn.IFNA(VLOOKUP(CONCATENATE(AN$4,$C330),'INSER DATA'!$A:$F,7,0),"")</f>
        <v/>
      </c>
      <c r="AO330" s="270" t="str">
        <f>_xlfn.IFNA(VLOOKUP(CONCATENATE(AO$4,$C330),'INSER DATA'!$A:$F,7,0),"")</f>
        <v/>
      </c>
      <c r="AP330" s="270" t="str">
        <f>_xlfn.IFNA(VLOOKUP(CONCATENATE(AP$4,$C330),'INSER DATA'!$A:$F,7,0),"")</f>
        <v/>
      </c>
      <c r="AQ330" s="270" t="str">
        <f>_xlfn.IFNA(VLOOKUP(CONCATENATE(AQ$4,$C330),'INSER DATA'!$A:$F,7,0),"")</f>
        <v/>
      </c>
      <c r="AR330" s="270" t="str">
        <f>_xlfn.IFNA(VLOOKUP(CONCATENATE(AR$4,$C330),'INSER DATA'!$A:$F,7,0),"")</f>
        <v/>
      </c>
      <c r="AS330" s="270" t="str">
        <f>_xlfn.IFNA(VLOOKUP(CONCATENATE(AS$4,$C330),'INSER DATA'!$A:$F,7,0),"")</f>
        <v/>
      </c>
      <c r="AT330" s="270" t="str">
        <f>_xlfn.IFNA(VLOOKUP(CONCATENATE(AT$4,$C330),'INSER DATA'!$A:$F,7,0),"")</f>
        <v/>
      </c>
      <c r="AU330" s="270" t="str">
        <f>_xlfn.IFNA(VLOOKUP(CONCATENATE(AU$4,$C330),'INSER DATA'!$A:$F,7,0),"")</f>
        <v/>
      </c>
      <c r="AV330" s="270" t="str">
        <f>_xlfn.IFNA(VLOOKUP(CONCATENATE(AV$4,$C330),'INSER DATA'!$A:$F,7,0),"")</f>
        <v/>
      </c>
      <c r="AW330" s="270" t="str">
        <f>_xlfn.IFNA(VLOOKUP(CONCATENATE(AW$4,$C330),'INSER DATA'!$A:$F,7,0),"")</f>
        <v/>
      </c>
      <c r="AX330" s="270" t="str">
        <f>_xlfn.IFNA(VLOOKUP(CONCATENATE(AX$4,$C330),'INSER DATA'!$A:$F,7,0),"")</f>
        <v/>
      </c>
      <c r="AY330" s="270" t="str">
        <f>_xlfn.IFNA(VLOOKUP(CONCATENATE(AY$4,$C330),'INSER DATA'!$A:$F,7,0),"")</f>
        <v/>
      </c>
      <c r="AZ330" s="270" t="str">
        <f>_xlfn.IFNA(VLOOKUP(CONCATENATE(AZ$4,$C330),'INSER DATA'!$A:$F,7,0),"")</f>
        <v/>
      </c>
      <c r="BA330" s="270" t="str">
        <f>_xlfn.IFNA(VLOOKUP(CONCATENATE(BA$4,$C330),'INSER DATA'!$A:$F,7,0),"")</f>
        <v/>
      </c>
      <c r="BB330" s="270" t="str">
        <f>_xlfn.IFNA(VLOOKUP(CONCATENATE(BB$4,$C330),'INSER DATA'!$A:$F,7,0),"")</f>
        <v/>
      </c>
      <c r="BC330" s="270" t="str">
        <f>_xlfn.IFNA(VLOOKUP(CONCATENATE(BC$4,$C330),'INSER DATA'!$A:$F,7,0),"")</f>
        <v/>
      </c>
      <c r="BD330" s="270" t="str">
        <f>_xlfn.IFNA(VLOOKUP(CONCATENATE(BD$4,$C330),'INSER DATA'!$A:$F,7,0),"")</f>
        <v/>
      </c>
      <c r="BE330" s="270" t="str">
        <f>_xlfn.IFNA(VLOOKUP(CONCATENATE(BE$4,$C330),'INSER DATA'!$A:$F,7,0),"")</f>
        <v/>
      </c>
      <c r="BF330" s="270" t="str">
        <f>_xlfn.IFNA(VLOOKUP(CONCATENATE(BF$4,$C330),'INSER DATA'!$A:$F,7,0),"")</f>
        <v/>
      </c>
      <c r="BG330" s="270" t="str">
        <f>_xlfn.IFNA(VLOOKUP(CONCATENATE(BG$4,$C330),'INSER DATA'!$A:$F,7,0),"")</f>
        <v/>
      </c>
      <c r="BH330" s="270" t="str">
        <f>_xlfn.IFNA(VLOOKUP(CONCATENATE(BH$4,$C330),'INSER DATA'!$A:$F,7,0),"")</f>
        <v/>
      </c>
      <c r="BI330" s="270" t="str">
        <f>_xlfn.IFNA(VLOOKUP(CONCATENATE(BI$4,$C330),'INSER DATA'!$A:$F,7,0),"")</f>
        <v/>
      </c>
      <c r="BJ330" s="270" t="str">
        <f>_xlfn.IFNA(VLOOKUP(CONCATENATE(BJ$4,$C330),'INSER DATA'!$A:$F,7,0),"")</f>
        <v/>
      </c>
      <c r="BK330" s="270" t="str">
        <f>_xlfn.IFNA(VLOOKUP(CONCATENATE(BK$4,$C330),'INSER DATA'!$A:$F,7,0),"")</f>
        <v/>
      </c>
      <c r="BL330" s="272"/>
      <c r="BM330" s="30"/>
      <c r="BN330" s="30"/>
      <c r="BO330" s="30"/>
      <c r="BP330" s="30"/>
      <c r="BQ330" s="30"/>
      <c r="BR330" s="30"/>
      <c r="BS330" s="30"/>
      <c r="BT330" s="30"/>
      <c r="BU330" s="30"/>
      <c r="BV330" s="30"/>
      <c r="BW330" s="30"/>
      <c r="BX330" s="30"/>
      <c r="BY330" s="30"/>
      <c r="BZ330" s="30"/>
      <c r="CA330" s="30"/>
      <c r="CB330" s="30"/>
      <c r="CC330" s="30"/>
      <c r="CD330" s="30"/>
      <c r="CE330" s="30"/>
      <c r="CF330" s="30"/>
      <c r="CG330" s="30"/>
      <c r="CH330" s="30"/>
      <c r="CI330" s="30"/>
      <c r="CJ330" s="30"/>
      <c r="CK330" s="30"/>
      <c r="CL330" s="30"/>
      <c r="CM330" s="30"/>
      <c r="CN330" s="30"/>
      <c r="CO330" s="30"/>
      <c r="CP330" s="30"/>
      <c r="CQ330" s="30"/>
      <c r="CR330" s="30"/>
      <c r="CS330" s="30"/>
      <c r="CT330" s="30"/>
      <c r="CU330" s="30"/>
      <c r="CV330" s="30"/>
      <c r="CW330" s="30"/>
      <c r="CX330" s="30"/>
      <c r="CY330" s="30"/>
      <c r="CZ330" s="30"/>
      <c r="DA330" s="30"/>
    </row>
    <row r="331" spans="1:105" ht="19.2" thickTop="1" thickBot="1" x14ac:dyDescent="0.4">
      <c r="A331" s="30"/>
      <c r="B331" s="30"/>
      <c r="C331" s="188" t="s">
        <v>843</v>
      </c>
      <c r="D331" s="187" t="s">
        <v>842</v>
      </c>
      <c r="E331" s="35" t="str">
        <f>_xlfn.XLOOKUP(Tabella4[[#This Row],[NOME]],'ROSE SQUADRE'!$N$3:$N$253,'ROSE SQUADRE'!$O$3:$O$253,"")</f>
        <v/>
      </c>
      <c r="F331" s="36" t="s">
        <v>5</v>
      </c>
      <c r="G331" s="43">
        <v>1</v>
      </c>
      <c r="H331" s="43">
        <v>1</v>
      </c>
      <c r="I331" s="44">
        <f t="shared" si="31"/>
        <v>0</v>
      </c>
      <c r="J331" s="37">
        <f t="shared" si="32"/>
        <v>0</v>
      </c>
      <c r="K331" s="38">
        <f t="shared" si="33"/>
        <v>0</v>
      </c>
      <c r="L331" s="38">
        <f t="shared" si="34"/>
        <v>0</v>
      </c>
      <c r="M331" s="39">
        <f t="shared" si="35"/>
        <v>0</v>
      </c>
      <c r="N331" s="45">
        <f t="shared" ref="N331:N394" ca="1" si="36">ContaCellePerColore(Z331:BK331,$C$3)</f>
        <v>0</v>
      </c>
      <c r="O331" s="40">
        <f>SUMIF(Tabella1[Nome],Tabella4[[#This Row],[NOME]],Tabella1[Gf])</f>
        <v>0</v>
      </c>
      <c r="P331" s="40">
        <f>-(SUMIF(Tabella1[Nome],Tabella4[[#This Row],[NOME]],Tabella1[Gs]))</f>
        <v>0</v>
      </c>
      <c r="Q331" s="40">
        <f>SUMIF(Tabella1[Nome],Tabella4[[#This Row],[NOME]],Tabella1[Rp])</f>
        <v>0</v>
      </c>
      <c r="R331" s="40">
        <f>SUMIF(Tabella1[Nome],Tabella4[[#This Row],[NOME]],Tabella1[Rs])</f>
        <v>0</v>
      </c>
      <c r="S331" s="40">
        <f>SUMIF(Tabella1[Nome],Tabella4[[#This Row],[NOME]],Tabella1[Rf])</f>
        <v>0</v>
      </c>
      <c r="T331" s="40">
        <f>SUMIF(Tabella1[Nome],Tabella4[[#This Row],[NOME]],Tabella1[Au])</f>
        <v>0</v>
      </c>
      <c r="U331" s="41">
        <f>SUMIF(Tabella1[Nome],Tabella4[[#This Row],[NOME]],Tabella1[Amm])</f>
        <v>0</v>
      </c>
      <c r="V331" s="42">
        <f>SUMIF(Tabella1[Nome],Tabella4[[#This Row],[NOME]],Tabella1[Esp])</f>
        <v>0</v>
      </c>
      <c r="W331" s="40">
        <f>SUMIF(Tabella1[Nome],Tabella4[[#This Row],[NOME]],Tabella1[Ass])</f>
        <v>0</v>
      </c>
      <c r="X331" s="40">
        <f>SUMIF(Tabella1[Nome],Tabella4[[#This Row],[NOME]],Tabella1[Gdv])</f>
        <v>0</v>
      </c>
      <c r="Y331" s="40">
        <f>SUMIF(Tabella1[Nome],Tabella4[[#This Row],[NOME]],Tabella1[cl sh])</f>
        <v>0</v>
      </c>
      <c r="Z331" s="270" t="str">
        <f>_xlfn.IFNA(_xlfn.XLOOKUP(CONCATENATE(Z$4,$C331),Tabella1[CONC X VOTI IN TAB GIOC],Tabella1[Voto],""),"")</f>
        <v/>
      </c>
      <c r="AA331" s="270" t="str">
        <f>_xlfn.IFNA(_xlfn.XLOOKUP(CONCATENATE(AA$4,$C331),Tabella1[CONC X VOTI IN TAB GIOC],Tabella1[Voto],""),"")</f>
        <v/>
      </c>
      <c r="AB331" s="270" t="str">
        <f>_xlfn.IFNA(_xlfn.XLOOKUP(CONCATENATE(AB$4,$C331),Tabella1[CONC X VOTI IN TAB GIOC],Tabella1[Voto]),"")</f>
        <v/>
      </c>
      <c r="AC331" s="270" t="str" cm="1">
        <f t="array" ref="AC331">_xlfn.IFNA(_xlfn.XLOOKUP(CONCATENATE(AC$4,$C331),INDEX(Tabella1[],0,MATCH("CONC X VOTI IN TAB GIOC",Tabella1[#Headers],0)),INDEX(Tabella1[],0,MATCH("Voto",Tabella1[#Headers],0))),"")</f>
        <v/>
      </c>
      <c r="AD331" s="270" t="str">
        <f>_xlfn.IFNA(_xlfn.XLOOKUP(CONCATENATE(AD$4,$C331),Tabella1[CONC X VOTI IN TAB GIOC],Tabella1[Voto]),"")</f>
        <v/>
      </c>
      <c r="AE331" s="270" t="str">
        <f>_xlfn.IFNA(VLOOKUP(CONCATENATE(AE$4,$C331),'INSER DATA'!$A:$F,6,0),"")</f>
        <v/>
      </c>
      <c r="AF331" s="270" t="str">
        <f>_xlfn.IFNA(VLOOKUP(CONCATENATE(AF$4,$C331),'INSER DATA'!$A:$F,6,0),"")</f>
        <v/>
      </c>
      <c r="AG331" s="270" t="str">
        <f>_xlfn.IFNA(VLOOKUP(CONCATENATE(AG$4,$C331),'INSER DATA'!$A:$F,6,0),"")</f>
        <v/>
      </c>
      <c r="AH331" s="270" t="str">
        <f>_xlfn.IFNA(VLOOKUP(CONCATENATE(AH$4,$C331),'INSER DATA'!$A:$F,7,0),"")</f>
        <v/>
      </c>
      <c r="AI331" s="270" t="str">
        <f>_xlfn.IFNA(VLOOKUP(CONCATENATE(AI$4,$C331),'INSER DATA'!$A:$F,7,0),"")</f>
        <v/>
      </c>
      <c r="AJ331" s="270" t="str">
        <f>_xlfn.IFNA(VLOOKUP(CONCATENATE(AJ$4,$C331),'INSER DATA'!$A:$F,7,0),"")</f>
        <v/>
      </c>
      <c r="AK331" s="270" t="str">
        <f>_xlfn.IFNA(VLOOKUP(CONCATENATE(AK$4,$C331),'INSER DATA'!$A:$F,7,0),"")</f>
        <v/>
      </c>
      <c r="AL331" s="270" t="str">
        <f>_xlfn.IFNA(VLOOKUP(CONCATENATE(AL$4,$C331),'INSER DATA'!$A:$F,7,0),"")</f>
        <v/>
      </c>
      <c r="AM331" s="270" t="str">
        <f>_xlfn.IFNA(VLOOKUP(CONCATENATE(AM$4,$C331),'INSER DATA'!$A:$F,7,0),"")</f>
        <v/>
      </c>
      <c r="AN331" s="270" t="str">
        <f>_xlfn.IFNA(VLOOKUP(CONCATENATE(AN$4,$C331),'INSER DATA'!$A:$F,7,0),"")</f>
        <v/>
      </c>
      <c r="AO331" s="270" t="str">
        <f>_xlfn.IFNA(VLOOKUP(CONCATENATE(AO$4,$C331),'INSER DATA'!$A:$F,7,0),"")</f>
        <v/>
      </c>
      <c r="AP331" s="270" t="str">
        <f>_xlfn.IFNA(VLOOKUP(CONCATENATE(AP$4,$C331),'INSER DATA'!$A:$F,7,0),"")</f>
        <v/>
      </c>
      <c r="AQ331" s="270" t="str">
        <f>_xlfn.IFNA(VLOOKUP(CONCATENATE(AQ$4,$C331),'INSER DATA'!$A:$F,7,0),"")</f>
        <v/>
      </c>
      <c r="AR331" s="270" t="str">
        <f>_xlfn.IFNA(VLOOKUP(CONCATENATE(AR$4,$C331),'INSER DATA'!$A:$F,7,0),"")</f>
        <v/>
      </c>
      <c r="AS331" s="270" t="str">
        <f>_xlfn.IFNA(VLOOKUP(CONCATENATE(AS$4,$C331),'INSER DATA'!$A:$F,7,0),"")</f>
        <v/>
      </c>
      <c r="AT331" s="270" t="str">
        <f>_xlfn.IFNA(VLOOKUP(CONCATENATE(AT$4,$C331),'INSER DATA'!$A:$F,7,0),"")</f>
        <v/>
      </c>
      <c r="AU331" s="270" t="str">
        <f>_xlfn.IFNA(VLOOKUP(CONCATENATE(AU$4,$C331),'INSER DATA'!$A:$F,7,0),"")</f>
        <v/>
      </c>
      <c r="AV331" s="270" t="str">
        <f>_xlfn.IFNA(VLOOKUP(CONCATENATE(AV$4,$C331),'INSER DATA'!$A:$F,7,0),"")</f>
        <v/>
      </c>
      <c r="AW331" s="270" t="str">
        <f>_xlfn.IFNA(VLOOKUP(CONCATENATE(AW$4,$C331),'INSER DATA'!$A:$F,7,0),"")</f>
        <v/>
      </c>
      <c r="AX331" s="270" t="str">
        <f>_xlfn.IFNA(VLOOKUP(CONCATENATE(AX$4,$C331),'INSER DATA'!$A:$F,7,0),"")</f>
        <v/>
      </c>
      <c r="AY331" s="270" t="str">
        <f>_xlfn.IFNA(VLOOKUP(CONCATENATE(AY$4,$C331),'INSER DATA'!$A:$F,7,0),"")</f>
        <v/>
      </c>
      <c r="AZ331" s="270" t="str">
        <f>_xlfn.IFNA(VLOOKUP(CONCATENATE(AZ$4,$C331),'INSER DATA'!$A:$F,7,0),"")</f>
        <v/>
      </c>
      <c r="BA331" s="270" t="str">
        <f>_xlfn.IFNA(VLOOKUP(CONCATENATE(BA$4,$C331),'INSER DATA'!$A:$F,7,0),"")</f>
        <v/>
      </c>
      <c r="BB331" s="270" t="str">
        <f>_xlfn.IFNA(VLOOKUP(CONCATENATE(BB$4,$C331),'INSER DATA'!$A:$F,7,0),"")</f>
        <v/>
      </c>
      <c r="BC331" s="270" t="str">
        <f>_xlfn.IFNA(VLOOKUP(CONCATENATE(BC$4,$C331),'INSER DATA'!$A:$F,7,0),"")</f>
        <v/>
      </c>
      <c r="BD331" s="270" t="str">
        <f>_xlfn.IFNA(VLOOKUP(CONCATENATE(BD$4,$C331),'INSER DATA'!$A:$F,7,0),"")</f>
        <v/>
      </c>
      <c r="BE331" s="270" t="str">
        <f>_xlfn.IFNA(VLOOKUP(CONCATENATE(BE$4,$C331),'INSER DATA'!$A:$F,7,0),"")</f>
        <v/>
      </c>
      <c r="BF331" s="270" t="str">
        <f>_xlfn.IFNA(VLOOKUP(CONCATENATE(BF$4,$C331),'INSER DATA'!$A:$F,7,0),"")</f>
        <v/>
      </c>
      <c r="BG331" s="270" t="str">
        <f>_xlfn.IFNA(VLOOKUP(CONCATENATE(BG$4,$C331),'INSER DATA'!$A:$F,7,0),"")</f>
        <v/>
      </c>
      <c r="BH331" s="270" t="str">
        <f>_xlfn.IFNA(VLOOKUP(CONCATENATE(BH$4,$C331),'INSER DATA'!$A:$F,7,0),"")</f>
        <v/>
      </c>
      <c r="BI331" s="270" t="str">
        <f>_xlfn.IFNA(VLOOKUP(CONCATENATE(BI$4,$C331),'INSER DATA'!$A:$F,7,0),"")</f>
        <v/>
      </c>
      <c r="BJ331" s="270" t="str">
        <f>_xlfn.IFNA(VLOOKUP(CONCATENATE(BJ$4,$C331),'INSER DATA'!$A:$F,7,0),"")</f>
        <v/>
      </c>
      <c r="BK331" s="270" t="str">
        <f>_xlfn.IFNA(VLOOKUP(CONCATENATE(BK$4,$C331),'INSER DATA'!$A:$F,7,0),"")</f>
        <v/>
      </c>
      <c r="BL331" s="272"/>
      <c r="BM331" s="30"/>
      <c r="BN331" s="30"/>
      <c r="BO331" s="30"/>
      <c r="BP331" s="30"/>
      <c r="BQ331" s="30"/>
      <c r="BR331" s="30"/>
      <c r="BS331" s="30"/>
      <c r="BT331" s="30"/>
      <c r="BU331" s="30"/>
      <c r="BV331" s="30"/>
      <c r="BW331" s="30"/>
      <c r="BX331" s="30"/>
      <c r="BY331" s="30"/>
      <c r="BZ331" s="30"/>
      <c r="CA331" s="30"/>
      <c r="CB331" s="30"/>
      <c r="CC331" s="30"/>
      <c r="CD331" s="30"/>
      <c r="CE331" s="30"/>
      <c r="CF331" s="30"/>
      <c r="CG331" s="30"/>
      <c r="CH331" s="30"/>
      <c r="CI331" s="30"/>
      <c r="CJ331" s="30"/>
      <c r="CK331" s="30"/>
      <c r="CL331" s="30"/>
      <c r="CM331" s="30"/>
      <c r="CN331" s="30"/>
      <c r="CO331" s="30"/>
      <c r="CP331" s="30"/>
      <c r="CQ331" s="30"/>
      <c r="CR331" s="30"/>
      <c r="CS331" s="30"/>
      <c r="CT331" s="30"/>
      <c r="CU331" s="30"/>
      <c r="CV331" s="30"/>
      <c r="CW331" s="30"/>
      <c r="CX331" s="30"/>
      <c r="CY331" s="30"/>
      <c r="CZ331" s="30"/>
      <c r="DA331" s="30"/>
    </row>
    <row r="332" spans="1:105" ht="19.2" thickTop="1" thickBot="1" x14ac:dyDescent="0.4">
      <c r="A332" s="30"/>
      <c r="B332" s="30"/>
      <c r="C332" s="185" t="s">
        <v>845</v>
      </c>
      <c r="D332" s="46" t="s">
        <v>842</v>
      </c>
      <c r="E332" s="35" t="str">
        <f>_xlfn.XLOOKUP(Tabella4[[#This Row],[NOME]],'ROSE SQUADRE'!$N$3:$N$253,'ROSE SQUADRE'!$O$3:$O$253,"")</f>
        <v/>
      </c>
      <c r="F332" s="36" t="s">
        <v>161</v>
      </c>
      <c r="G332" s="43">
        <v>1</v>
      </c>
      <c r="H332" s="43">
        <v>1</v>
      </c>
      <c r="I332" s="44">
        <f t="shared" si="31"/>
        <v>0</v>
      </c>
      <c r="J332" s="37">
        <f t="shared" si="32"/>
        <v>0</v>
      </c>
      <c r="K332" s="38">
        <f t="shared" si="33"/>
        <v>0</v>
      </c>
      <c r="L332" s="38">
        <f t="shared" si="34"/>
        <v>0</v>
      </c>
      <c r="M332" s="39">
        <f t="shared" si="35"/>
        <v>0</v>
      </c>
      <c r="N332" s="45">
        <f t="shared" ca="1" si="36"/>
        <v>0</v>
      </c>
      <c r="O332" s="40">
        <f>SUMIF(Tabella1[Nome],Tabella4[[#This Row],[NOME]],Tabella1[Gf])</f>
        <v>0</v>
      </c>
      <c r="P332" s="40">
        <f>-(SUMIF(Tabella1[Nome],Tabella4[[#This Row],[NOME]],Tabella1[Gs]))</f>
        <v>0</v>
      </c>
      <c r="Q332" s="40">
        <f>SUMIF(Tabella1[Nome],Tabella4[[#This Row],[NOME]],Tabella1[Rp])</f>
        <v>0</v>
      </c>
      <c r="R332" s="40">
        <f>SUMIF(Tabella1[Nome],Tabella4[[#This Row],[NOME]],Tabella1[Rs])</f>
        <v>0</v>
      </c>
      <c r="S332" s="40">
        <f>SUMIF(Tabella1[Nome],Tabella4[[#This Row],[NOME]],Tabella1[Rf])</f>
        <v>0</v>
      </c>
      <c r="T332" s="40">
        <f>SUMIF(Tabella1[Nome],Tabella4[[#This Row],[NOME]],Tabella1[Au])</f>
        <v>0</v>
      </c>
      <c r="U332" s="41">
        <f>SUMIF(Tabella1[Nome],Tabella4[[#This Row],[NOME]],Tabella1[Amm])</f>
        <v>0</v>
      </c>
      <c r="V332" s="42">
        <f>SUMIF(Tabella1[Nome],Tabella4[[#This Row],[NOME]],Tabella1[Esp])</f>
        <v>0</v>
      </c>
      <c r="W332" s="40">
        <f>SUMIF(Tabella1[Nome],Tabella4[[#This Row],[NOME]],Tabella1[Ass])</f>
        <v>0</v>
      </c>
      <c r="X332" s="40">
        <f>SUMIF(Tabella1[Nome],Tabella4[[#This Row],[NOME]],Tabella1[Gdv])</f>
        <v>0</v>
      </c>
      <c r="Y332" s="40">
        <f>SUMIF(Tabella1[Nome],Tabella4[[#This Row],[NOME]],Tabella1[cl sh])</f>
        <v>0</v>
      </c>
      <c r="Z332" s="270" t="str">
        <f>_xlfn.IFNA(_xlfn.XLOOKUP(CONCATENATE(Z$4,$C332),Tabella1[CONC X VOTI IN TAB GIOC],Tabella1[Voto],""),"")</f>
        <v/>
      </c>
      <c r="AA332" s="270" t="str">
        <f>_xlfn.IFNA(_xlfn.XLOOKUP(CONCATENATE(AA$4,$C332),Tabella1[CONC X VOTI IN TAB GIOC],Tabella1[Voto],""),"")</f>
        <v/>
      </c>
      <c r="AB332" s="270" t="str">
        <f>_xlfn.IFNA(_xlfn.XLOOKUP(CONCATENATE(AB$4,$C332),Tabella1[CONC X VOTI IN TAB GIOC],Tabella1[Voto]),"")</f>
        <v/>
      </c>
      <c r="AC332" s="270" t="str" cm="1">
        <f t="array" ref="AC332">_xlfn.IFNA(_xlfn.XLOOKUP(CONCATENATE(AC$4,$C332),INDEX(Tabella1[],0,MATCH("CONC X VOTI IN TAB GIOC",Tabella1[#Headers],0)),INDEX(Tabella1[],0,MATCH("Voto",Tabella1[#Headers],0))),"")</f>
        <v/>
      </c>
      <c r="AD332" s="270" t="str">
        <f>_xlfn.IFNA(_xlfn.XLOOKUP(CONCATENATE(AD$4,$C332),Tabella1[CONC X VOTI IN TAB GIOC],Tabella1[Voto]),"")</f>
        <v/>
      </c>
      <c r="AE332" s="270" t="str">
        <f>_xlfn.IFNA(VLOOKUP(CONCATENATE(AE$4,$C332),'INSER DATA'!$A:$F,6,0),"")</f>
        <v/>
      </c>
      <c r="AF332" s="270" t="str">
        <f>_xlfn.IFNA(VLOOKUP(CONCATENATE(AF$4,$C332),'INSER DATA'!$A:$F,6,0),"")</f>
        <v/>
      </c>
      <c r="AG332" s="270" t="str">
        <f>_xlfn.IFNA(VLOOKUP(CONCATENATE(AG$4,$C332),'INSER DATA'!$A:$F,6,0),"")</f>
        <v/>
      </c>
      <c r="AH332" s="270" t="str">
        <f>_xlfn.IFNA(VLOOKUP(CONCATENATE(AH$4,$C332),'INSER DATA'!$A:$F,7,0),"")</f>
        <v/>
      </c>
      <c r="AI332" s="270" t="str">
        <f>_xlfn.IFNA(VLOOKUP(CONCATENATE(AI$4,$C332),'INSER DATA'!$A:$F,7,0),"")</f>
        <v/>
      </c>
      <c r="AJ332" s="270" t="str">
        <f>_xlfn.IFNA(VLOOKUP(CONCATENATE(AJ$4,$C332),'INSER DATA'!$A:$F,7,0),"")</f>
        <v/>
      </c>
      <c r="AK332" s="270" t="str">
        <f>_xlfn.IFNA(VLOOKUP(CONCATENATE(AK$4,$C332),'INSER DATA'!$A:$F,7,0),"")</f>
        <v/>
      </c>
      <c r="AL332" s="270" t="str">
        <f>_xlfn.IFNA(VLOOKUP(CONCATENATE(AL$4,$C332),'INSER DATA'!$A:$F,7,0),"")</f>
        <v/>
      </c>
      <c r="AM332" s="270" t="str">
        <f>_xlfn.IFNA(VLOOKUP(CONCATENATE(AM$4,$C332),'INSER DATA'!$A:$F,7,0),"")</f>
        <v/>
      </c>
      <c r="AN332" s="270" t="str">
        <f>_xlfn.IFNA(VLOOKUP(CONCATENATE(AN$4,$C332),'INSER DATA'!$A:$F,7,0),"")</f>
        <v/>
      </c>
      <c r="AO332" s="270" t="str">
        <f>_xlfn.IFNA(VLOOKUP(CONCATENATE(AO$4,$C332),'INSER DATA'!$A:$F,7,0),"")</f>
        <v/>
      </c>
      <c r="AP332" s="270" t="str">
        <f>_xlfn.IFNA(VLOOKUP(CONCATENATE(AP$4,$C332),'INSER DATA'!$A:$F,7,0),"")</f>
        <v/>
      </c>
      <c r="AQ332" s="270" t="str">
        <f>_xlfn.IFNA(VLOOKUP(CONCATENATE(AQ$4,$C332),'INSER DATA'!$A:$F,7,0),"")</f>
        <v/>
      </c>
      <c r="AR332" s="270" t="str">
        <f>_xlfn.IFNA(VLOOKUP(CONCATENATE(AR$4,$C332),'INSER DATA'!$A:$F,7,0),"")</f>
        <v/>
      </c>
      <c r="AS332" s="270" t="str">
        <f>_xlfn.IFNA(VLOOKUP(CONCATENATE(AS$4,$C332),'INSER DATA'!$A:$F,7,0),"")</f>
        <v/>
      </c>
      <c r="AT332" s="270" t="str">
        <f>_xlfn.IFNA(VLOOKUP(CONCATENATE(AT$4,$C332),'INSER DATA'!$A:$F,7,0),"")</f>
        <v/>
      </c>
      <c r="AU332" s="270" t="str">
        <f>_xlfn.IFNA(VLOOKUP(CONCATENATE(AU$4,$C332),'INSER DATA'!$A:$F,7,0),"")</f>
        <v/>
      </c>
      <c r="AV332" s="270" t="str">
        <f>_xlfn.IFNA(VLOOKUP(CONCATENATE(AV$4,$C332),'INSER DATA'!$A:$F,7,0),"")</f>
        <v/>
      </c>
      <c r="AW332" s="270" t="str">
        <f>_xlfn.IFNA(VLOOKUP(CONCATENATE(AW$4,$C332),'INSER DATA'!$A:$F,7,0),"")</f>
        <v/>
      </c>
      <c r="AX332" s="270" t="str">
        <f>_xlfn.IFNA(VLOOKUP(CONCATENATE(AX$4,$C332),'INSER DATA'!$A:$F,7,0),"")</f>
        <v/>
      </c>
      <c r="AY332" s="270" t="str">
        <f>_xlfn.IFNA(VLOOKUP(CONCATENATE(AY$4,$C332),'INSER DATA'!$A:$F,7,0),"")</f>
        <v/>
      </c>
      <c r="AZ332" s="270" t="str">
        <f>_xlfn.IFNA(VLOOKUP(CONCATENATE(AZ$4,$C332),'INSER DATA'!$A:$F,7,0),"")</f>
        <v/>
      </c>
      <c r="BA332" s="270" t="str">
        <f>_xlfn.IFNA(VLOOKUP(CONCATENATE(BA$4,$C332),'INSER DATA'!$A:$F,7,0),"")</f>
        <v/>
      </c>
      <c r="BB332" s="270" t="str">
        <f>_xlfn.IFNA(VLOOKUP(CONCATENATE(BB$4,$C332),'INSER DATA'!$A:$F,7,0),"")</f>
        <v/>
      </c>
      <c r="BC332" s="270" t="str">
        <f>_xlfn.IFNA(VLOOKUP(CONCATENATE(BC$4,$C332),'INSER DATA'!$A:$F,7,0),"")</f>
        <v/>
      </c>
      <c r="BD332" s="270" t="str">
        <f>_xlfn.IFNA(VLOOKUP(CONCATENATE(BD$4,$C332),'INSER DATA'!$A:$F,7,0),"")</f>
        <v/>
      </c>
      <c r="BE332" s="270" t="str">
        <f>_xlfn.IFNA(VLOOKUP(CONCATENATE(BE$4,$C332),'INSER DATA'!$A:$F,7,0),"")</f>
        <v/>
      </c>
      <c r="BF332" s="270" t="str">
        <f>_xlfn.IFNA(VLOOKUP(CONCATENATE(BF$4,$C332),'INSER DATA'!$A:$F,7,0),"")</f>
        <v/>
      </c>
      <c r="BG332" s="270" t="str">
        <f>_xlfn.IFNA(VLOOKUP(CONCATENATE(BG$4,$C332),'INSER DATA'!$A:$F,7,0),"")</f>
        <v/>
      </c>
      <c r="BH332" s="270" t="str">
        <f>_xlfn.IFNA(VLOOKUP(CONCATENATE(BH$4,$C332),'INSER DATA'!$A:$F,7,0),"")</f>
        <v/>
      </c>
      <c r="BI332" s="270" t="str">
        <f>_xlfn.IFNA(VLOOKUP(CONCATENATE(BI$4,$C332),'INSER DATA'!$A:$F,7,0),"")</f>
        <v/>
      </c>
      <c r="BJ332" s="270" t="str">
        <f>_xlfn.IFNA(VLOOKUP(CONCATENATE(BJ$4,$C332),'INSER DATA'!$A:$F,7,0),"")</f>
        <v/>
      </c>
      <c r="BK332" s="270" t="str">
        <f>_xlfn.IFNA(VLOOKUP(CONCATENATE(BK$4,$C332),'INSER DATA'!$A:$F,7,0),"")</f>
        <v/>
      </c>
      <c r="BL332" s="272"/>
      <c r="BM332" s="30"/>
      <c r="BN332" s="30"/>
      <c r="BO332" s="30"/>
      <c r="BP332" s="30"/>
      <c r="BQ332" s="30"/>
      <c r="BR332" s="30"/>
      <c r="BS332" s="30"/>
      <c r="BT332" s="30"/>
      <c r="BU332" s="30"/>
      <c r="BV332" s="30"/>
      <c r="BW332" s="30"/>
      <c r="BX332" s="30"/>
      <c r="BY332" s="30"/>
      <c r="BZ332" s="30"/>
      <c r="CA332" s="30"/>
      <c r="CB332" s="30"/>
      <c r="CC332" s="30"/>
      <c r="CD332" s="30"/>
      <c r="CE332" s="30"/>
      <c r="CF332" s="30"/>
      <c r="CG332" s="30"/>
      <c r="CH332" s="30"/>
      <c r="CI332" s="30"/>
      <c r="CJ332" s="30"/>
      <c r="CK332" s="30"/>
      <c r="CL332" s="30"/>
      <c r="CM332" s="30"/>
      <c r="CN332" s="30"/>
      <c r="CO332" s="30"/>
      <c r="CP332" s="30"/>
      <c r="CQ332" s="30"/>
      <c r="CR332" s="30"/>
      <c r="CS332" s="30"/>
      <c r="CT332" s="30"/>
      <c r="CU332" s="30"/>
      <c r="CV332" s="30"/>
      <c r="CW332" s="30"/>
      <c r="CX332" s="30"/>
      <c r="CY332" s="30"/>
      <c r="CZ332" s="30"/>
      <c r="DA332" s="30"/>
    </row>
    <row r="333" spans="1:105" ht="19.2" thickTop="1" thickBot="1" x14ac:dyDescent="0.4">
      <c r="A333" s="30"/>
      <c r="B333" s="30"/>
      <c r="C333" s="188" t="s">
        <v>853</v>
      </c>
      <c r="D333" s="46" t="s">
        <v>842</v>
      </c>
      <c r="E333" s="35" t="str">
        <f>_xlfn.XLOOKUP(Tabella4[[#This Row],[NOME]],'ROSE SQUADRE'!$N$3:$N$253,'ROSE SQUADRE'!$O$3:$O$253,"")</f>
        <v/>
      </c>
      <c r="F333" s="36" t="s">
        <v>162</v>
      </c>
      <c r="G333" s="43">
        <v>2</v>
      </c>
      <c r="H333" s="43">
        <v>2</v>
      </c>
      <c r="I333" s="44">
        <f t="shared" si="31"/>
        <v>0</v>
      </c>
      <c r="J333" s="37">
        <f t="shared" si="32"/>
        <v>0</v>
      </c>
      <c r="K333" s="178">
        <f t="shared" si="33"/>
        <v>0</v>
      </c>
      <c r="L333" s="178">
        <f t="shared" si="34"/>
        <v>0</v>
      </c>
      <c r="M333" s="179">
        <f t="shared" si="35"/>
        <v>0</v>
      </c>
      <c r="N333" s="45">
        <f t="shared" ca="1" si="36"/>
        <v>0</v>
      </c>
      <c r="O333" s="40">
        <f>SUMIF(Tabella1[Nome],Tabella4[[#This Row],[NOME]],Tabella1[Gf])</f>
        <v>0</v>
      </c>
      <c r="P333" s="40">
        <f>-(SUMIF(Tabella1[Nome],Tabella4[[#This Row],[NOME]],Tabella1[Gs]))</f>
        <v>0</v>
      </c>
      <c r="Q333" s="40">
        <f>SUMIF(Tabella1[Nome],Tabella4[[#This Row],[NOME]],Tabella1[Rp])</f>
        <v>0</v>
      </c>
      <c r="R333" s="40">
        <f>SUMIF(Tabella1[Nome],Tabella4[[#This Row],[NOME]],Tabella1[Rs])</f>
        <v>0</v>
      </c>
      <c r="S333" s="40">
        <f>SUMIF(Tabella1[Nome],Tabella4[[#This Row],[NOME]],Tabella1[Rf])</f>
        <v>0</v>
      </c>
      <c r="T333" s="40">
        <f>SUMIF(Tabella1[Nome],Tabella4[[#This Row],[NOME]],Tabella1[Au])</f>
        <v>0</v>
      </c>
      <c r="U333" s="41">
        <f>SUMIF(Tabella1[Nome],Tabella4[[#This Row],[NOME]],Tabella1[Amm])</f>
        <v>0</v>
      </c>
      <c r="V333" s="42">
        <f>SUMIF(Tabella1[Nome],Tabella4[[#This Row],[NOME]],Tabella1[Esp])</f>
        <v>0</v>
      </c>
      <c r="W333" s="40">
        <f>SUMIF(Tabella1[Nome],Tabella4[[#This Row],[NOME]],Tabella1[Ass])</f>
        <v>0</v>
      </c>
      <c r="X333" s="40">
        <f>SUMIF(Tabella1[Nome],Tabella4[[#This Row],[NOME]],Tabella1[Gdv])</f>
        <v>0</v>
      </c>
      <c r="Y333" s="40">
        <f>SUMIF(Tabella1[Nome],Tabella4[[#This Row],[NOME]],Tabella1[cl sh])</f>
        <v>0</v>
      </c>
      <c r="Z333" s="270" t="str">
        <f>_xlfn.IFNA(_xlfn.XLOOKUP(CONCATENATE(Z$4,$C333),Tabella1[CONC X VOTI IN TAB GIOC],Tabella1[Voto],""),"")</f>
        <v/>
      </c>
      <c r="AA333" s="270" t="str">
        <f>_xlfn.IFNA(_xlfn.XLOOKUP(CONCATENATE(AA$4,$C333),Tabella1[CONC X VOTI IN TAB GIOC],Tabella1[Voto],""),"")</f>
        <v/>
      </c>
      <c r="AB333" s="270" t="str">
        <f>_xlfn.IFNA(_xlfn.XLOOKUP(CONCATENATE(AB$4,$C333),Tabella1[CONC X VOTI IN TAB GIOC],Tabella1[Voto]),"")</f>
        <v/>
      </c>
      <c r="AC333" s="270" t="str" cm="1">
        <f t="array" ref="AC333">_xlfn.IFNA(_xlfn.XLOOKUP(CONCATENATE(AC$4,$C333),INDEX(Tabella1[],0,MATCH("CONC X VOTI IN TAB GIOC",Tabella1[#Headers],0)),INDEX(Tabella1[],0,MATCH("Voto",Tabella1[#Headers],0))),"")</f>
        <v/>
      </c>
      <c r="AD333" s="270" t="str">
        <f>_xlfn.IFNA(_xlfn.XLOOKUP(CONCATENATE(AD$4,$C333),Tabella1[CONC X VOTI IN TAB GIOC],Tabella1[Voto]),"")</f>
        <v/>
      </c>
      <c r="AE333" s="270" t="str">
        <f>_xlfn.IFNA(VLOOKUP(CONCATENATE(AE$4,$C333),'INSER DATA'!$A:$F,6,0),"")</f>
        <v/>
      </c>
      <c r="AF333" s="270" t="str">
        <f>_xlfn.IFNA(VLOOKUP(CONCATENATE(AF$4,$C333),'INSER DATA'!$A:$F,6,0),"")</f>
        <v/>
      </c>
      <c r="AG333" s="270" t="str">
        <f>_xlfn.IFNA(VLOOKUP(CONCATENATE(AG$4,$C333),'INSER DATA'!$A:$F,6,0),"")</f>
        <v/>
      </c>
      <c r="AH333" s="270" t="str">
        <f>_xlfn.IFNA(VLOOKUP(CONCATENATE(AH$4,$C333),'INSER DATA'!$A:$F,7,0),"")</f>
        <v/>
      </c>
      <c r="AI333" s="270" t="str">
        <f>_xlfn.IFNA(VLOOKUP(CONCATENATE(AI$4,$C333),'INSER DATA'!$A:$F,7,0),"")</f>
        <v/>
      </c>
      <c r="AJ333" s="270" t="str">
        <f>_xlfn.IFNA(VLOOKUP(CONCATENATE(AJ$4,$C333),'INSER DATA'!$A:$F,7,0),"")</f>
        <v/>
      </c>
      <c r="AK333" s="270" t="str">
        <f>_xlfn.IFNA(VLOOKUP(CONCATENATE(AK$4,$C333),'INSER DATA'!$A:$F,7,0),"")</f>
        <v/>
      </c>
      <c r="AL333" s="270" t="str">
        <f>_xlfn.IFNA(VLOOKUP(CONCATENATE(AL$4,$C333),'INSER DATA'!$A:$F,7,0),"")</f>
        <v/>
      </c>
      <c r="AM333" s="270" t="str">
        <f>_xlfn.IFNA(VLOOKUP(CONCATENATE(AM$4,$C333),'INSER DATA'!$A:$F,7,0),"")</f>
        <v/>
      </c>
      <c r="AN333" s="270" t="str">
        <f>_xlfn.IFNA(VLOOKUP(CONCATENATE(AN$4,$C333),'INSER DATA'!$A:$F,7,0),"")</f>
        <v/>
      </c>
      <c r="AO333" s="270" t="str">
        <f>_xlfn.IFNA(VLOOKUP(CONCATENATE(AO$4,$C333),'INSER DATA'!$A:$F,7,0),"")</f>
        <v/>
      </c>
      <c r="AP333" s="270" t="str">
        <f>_xlfn.IFNA(VLOOKUP(CONCATENATE(AP$4,$C333),'INSER DATA'!$A:$F,7,0),"")</f>
        <v/>
      </c>
      <c r="AQ333" s="270" t="str">
        <f>_xlfn.IFNA(VLOOKUP(CONCATENATE(AQ$4,$C333),'INSER DATA'!$A:$F,7,0),"")</f>
        <v/>
      </c>
      <c r="AR333" s="270" t="str">
        <f>_xlfn.IFNA(VLOOKUP(CONCATENATE(AR$4,$C333),'INSER DATA'!$A:$F,7,0),"")</f>
        <v/>
      </c>
      <c r="AS333" s="270" t="str">
        <f>_xlfn.IFNA(VLOOKUP(CONCATENATE(AS$4,$C333),'INSER DATA'!$A:$F,7,0),"")</f>
        <v/>
      </c>
      <c r="AT333" s="270" t="str">
        <f>_xlfn.IFNA(VLOOKUP(CONCATENATE(AT$4,$C333),'INSER DATA'!$A:$F,7,0),"")</f>
        <v/>
      </c>
      <c r="AU333" s="270" t="str">
        <f>_xlfn.IFNA(VLOOKUP(CONCATENATE(AU$4,$C333),'INSER DATA'!$A:$F,7,0),"")</f>
        <v/>
      </c>
      <c r="AV333" s="270" t="str">
        <f>_xlfn.IFNA(VLOOKUP(CONCATENATE(AV$4,$C333),'INSER DATA'!$A:$F,7,0),"")</f>
        <v/>
      </c>
      <c r="AW333" s="270" t="str">
        <f>_xlfn.IFNA(VLOOKUP(CONCATENATE(AW$4,$C333),'INSER DATA'!$A:$F,7,0),"")</f>
        <v/>
      </c>
      <c r="AX333" s="270" t="str">
        <f>_xlfn.IFNA(VLOOKUP(CONCATENATE(AX$4,$C333),'INSER DATA'!$A:$F,7,0),"")</f>
        <v/>
      </c>
      <c r="AY333" s="270" t="str">
        <f>_xlfn.IFNA(VLOOKUP(CONCATENATE(AY$4,$C333),'INSER DATA'!$A:$F,7,0),"")</f>
        <v/>
      </c>
      <c r="AZ333" s="270" t="str">
        <f>_xlfn.IFNA(VLOOKUP(CONCATENATE(AZ$4,$C333),'INSER DATA'!$A:$F,7,0),"")</f>
        <v/>
      </c>
      <c r="BA333" s="270" t="str">
        <f>_xlfn.IFNA(VLOOKUP(CONCATENATE(BA$4,$C333),'INSER DATA'!$A:$F,7,0),"")</f>
        <v/>
      </c>
      <c r="BB333" s="270" t="str">
        <f>_xlfn.IFNA(VLOOKUP(CONCATENATE(BB$4,$C333),'INSER DATA'!$A:$F,7,0),"")</f>
        <v/>
      </c>
      <c r="BC333" s="270" t="str">
        <f>_xlfn.IFNA(VLOOKUP(CONCATENATE(BC$4,$C333),'INSER DATA'!$A:$F,7,0),"")</f>
        <v/>
      </c>
      <c r="BD333" s="270" t="str">
        <f>_xlfn.IFNA(VLOOKUP(CONCATENATE(BD$4,$C333),'INSER DATA'!$A:$F,7,0),"")</f>
        <v/>
      </c>
      <c r="BE333" s="270" t="str">
        <f>_xlfn.IFNA(VLOOKUP(CONCATENATE(BE$4,$C333),'INSER DATA'!$A:$F,7,0),"")</f>
        <v/>
      </c>
      <c r="BF333" s="270" t="str">
        <f>_xlfn.IFNA(VLOOKUP(CONCATENATE(BF$4,$C333),'INSER DATA'!$A:$F,7,0),"")</f>
        <v/>
      </c>
      <c r="BG333" s="270" t="str">
        <f>_xlfn.IFNA(VLOOKUP(CONCATENATE(BG$4,$C333),'INSER DATA'!$A:$F,7,0),"")</f>
        <v/>
      </c>
      <c r="BH333" s="270" t="str">
        <f>_xlfn.IFNA(VLOOKUP(CONCATENATE(BH$4,$C333),'INSER DATA'!$A:$F,7,0),"")</f>
        <v/>
      </c>
      <c r="BI333" s="270" t="str">
        <f>_xlfn.IFNA(VLOOKUP(CONCATENATE(BI$4,$C333),'INSER DATA'!$A:$F,7,0),"")</f>
        <v/>
      </c>
      <c r="BJ333" s="270" t="str">
        <f>_xlfn.IFNA(VLOOKUP(CONCATENATE(BJ$4,$C333),'INSER DATA'!$A:$F,7,0),"")</f>
        <v/>
      </c>
      <c r="BK333" s="270" t="str">
        <f>_xlfn.IFNA(VLOOKUP(CONCATENATE(BK$4,$C333),'INSER DATA'!$A:$F,7,0),"")</f>
        <v/>
      </c>
      <c r="BL333" s="272"/>
      <c r="BM333" s="30"/>
      <c r="BN333" s="30"/>
      <c r="BO333" s="30"/>
      <c r="BP333" s="30"/>
      <c r="BQ333" s="30"/>
      <c r="BR333" s="30"/>
      <c r="BS333" s="30"/>
      <c r="BT333" s="30"/>
      <c r="BU333" s="30"/>
      <c r="BV333" s="30"/>
      <c r="BW333" s="30"/>
      <c r="BX333" s="30"/>
      <c r="BY333" s="30"/>
      <c r="BZ333" s="30"/>
      <c r="CA333" s="30"/>
      <c r="CB333" s="30"/>
      <c r="CC333" s="30"/>
      <c r="CD333" s="30"/>
      <c r="CE333" s="30"/>
      <c r="CF333" s="30"/>
      <c r="CG333" s="30"/>
      <c r="CH333" s="30"/>
      <c r="CI333" s="30"/>
      <c r="CJ333" s="30"/>
      <c r="CK333" s="30"/>
      <c r="CL333" s="30"/>
      <c r="CM333" s="30"/>
      <c r="CN333" s="30"/>
      <c r="CO333" s="30"/>
      <c r="CP333" s="30"/>
      <c r="CQ333" s="30"/>
      <c r="CR333" s="30"/>
      <c r="CS333" s="30"/>
      <c r="CT333" s="30"/>
      <c r="CU333" s="30"/>
      <c r="CV333" s="30"/>
      <c r="CW333" s="30"/>
      <c r="CX333" s="30"/>
      <c r="CY333" s="30"/>
      <c r="CZ333" s="30"/>
      <c r="DA333" s="30"/>
    </row>
    <row r="334" spans="1:105" ht="19.2" thickTop="1" thickBot="1" x14ac:dyDescent="0.4">
      <c r="A334" s="30"/>
      <c r="B334" s="30"/>
      <c r="C334" s="185" t="s">
        <v>854</v>
      </c>
      <c r="D334" s="46" t="s">
        <v>842</v>
      </c>
      <c r="E334" s="35" t="str">
        <f>_xlfn.XLOOKUP(Tabella4[[#This Row],[NOME]],'ROSE SQUADRE'!$N$3:$N$253,'ROSE SQUADRE'!$O$3:$O$253,"")</f>
        <v/>
      </c>
      <c r="F334" s="36" t="s">
        <v>162</v>
      </c>
      <c r="G334" s="43">
        <v>3</v>
      </c>
      <c r="H334" s="43">
        <v>3</v>
      </c>
      <c r="I334" s="44">
        <f t="shared" si="31"/>
        <v>0</v>
      </c>
      <c r="J334" s="37">
        <f t="shared" si="32"/>
        <v>1</v>
      </c>
      <c r="K334" s="178">
        <f t="shared" si="33"/>
        <v>5.5</v>
      </c>
      <c r="L334" s="178">
        <f t="shared" si="34"/>
        <v>5</v>
      </c>
      <c r="M334" s="179">
        <f t="shared" si="35"/>
        <v>5</v>
      </c>
      <c r="N334" s="45">
        <f t="shared" ca="1" si="36"/>
        <v>0</v>
      </c>
      <c r="O334" s="40">
        <f>SUMIF(Tabella1[Nome],Tabella4[[#This Row],[NOME]],Tabella1[Gf])</f>
        <v>0</v>
      </c>
      <c r="P334" s="40">
        <f>-(SUMIF(Tabella1[Nome],Tabella4[[#This Row],[NOME]],Tabella1[Gs]))</f>
        <v>0</v>
      </c>
      <c r="Q334" s="40">
        <f>SUMIF(Tabella1[Nome],Tabella4[[#This Row],[NOME]],Tabella1[Rp])</f>
        <v>0</v>
      </c>
      <c r="R334" s="40">
        <f>SUMIF(Tabella1[Nome],Tabella4[[#This Row],[NOME]],Tabella1[Rs])</f>
        <v>0</v>
      </c>
      <c r="S334" s="40">
        <f>SUMIF(Tabella1[Nome],Tabella4[[#This Row],[NOME]],Tabella1[Rf])</f>
        <v>0</v>
      </c>
      <c r="T334" s="40">
        <f>SUMIF(Tabella1[Nome],Tabella4[[#This Row],[NOME]],Tabella1[Au])</f>
        <v>0</v>
      </c>
      <c r="U334" s="41">
        <f>SUMIF(Tabella1[Nome],Tabella4[[#This Row],[NOME]],Tabella1[Amm])</f>
        <v>1</v>
      </c>
      <c r="V334" s="42">
        <f>SUMIF(Tabella1[Nome],Tabella4[[#This Row],[NOME]],Tabella1[Esp])</f>
        <v>0</v>
      </c>
      <c r="W334" s="40">
        <f>SUMIF(Tabella1[Nome],Tabella4[[#This Row],[NOME]],Tabella1[Ass])</f>
        <v>0</v>
      </c>
      <c r="X334" s="40">
        <f>SUMIF(Tabella1[Nome],Tabella4[[#This Row],[NOME]],Tabella1[Gdv])</f>
        <v>0</v>
      </c>
      <c r="Y334" s="40">
        <f>SUMIF(Tabella1[Nome],Tabella4[[#This Row],[NOME]],Tabella1[cl sh])</f>
        <v>0</v>
      </c>
      <c r="Z334" s="270" t="str">
        <f>_xlfn.IFNA(_xlfn.XLOOKUP(CONCATENATE(Z$4,$C334),Tabella1[CONC X VOTI IN TAB GIOC],Tabella1[Voto],""),"")</f>
        <v/>
      </c>
      <c r="AA334" s="270" t="str">
        <f>_xlfn.IFNA(_xlfn.XLOOKUP(CONCATENATE(AA$4,$C334),Tabella1[CONC X VOTI IN TAB GIOC],Tabella1[Voto],""),"")</f>
        <v/>
      </c>
      <c r="AB334" s="270">
        <f>_xlfn.IFNA(_xlfn.XLOOKUP(CONCATENATE(AB$4,$C334),Tabella1[CONC X VOTI IN TAB GIOC],Tabella1[Voto]),"")</f>
        <v>5.5</v>
      </c>
      <c r="AC334" s="270" t="str" cm="1">
        <f t="array" ref="AC334">_xlfn.IFNA(_xlfn.XLOOKUP(CONCATENATE(AC$4,$C334),INDEX(Tabella1[],0,MATCH("CONC X VOTI IN TAB GIOC",Tabella1[#Headers],0)),INDEX(Tabella1[],0,MATCH("Voto",Tabella1[#Headers],0))),"")</f>
        <v/>
      </c>
      <c r="AD334" s="270" t="str">
        <f>_xlfn.IFNA(_xlfn.XLOOKUP(CONCATENATE(AD$4,$C334),Tabella1[CONC X VOTI IN TAB GIOC],Tabella1[Voto]),"")</f>
        <v/>
      </c>
      <c r="AE334" s="270" t="str">
        <f>_xlfn.IFNA(VLOOKUP(CONCATENATE(AE$4,$C334),'INSER DATA'!$A:$F,6,0),"")</f>
        <v/>
      </c>
      <c r="AF334" s="270" t="str">
        <f>_xlfn.IFNA(VLOOKUP(CONCATENATE(AF$4,$C334),'INSER DATA'!$A:$F,6,0),"")</f>
        <v/>
      </c>
      <c r="AG334" s="270" t="str">
        <f>_xlfn.IFNA(VLOOKUP(CONCATENATE(AG$4,$C334),'INSER DATA'!$A:$F,6,0),"")</f>
        <v/>
      </c>
      <c r="AH334" s="270" t="str">
        <f>_xlfn.IFNA(VLOOKUP(CONCATENATE(AH$4,$C334),'INSER DATA'!$A:$F,7,0),"")</f>
        <v/>
      </c>
      <c r="AI334" s="270" t="str">
        <f>_xlfn.IFNA(VLOOKUP(CONCATENATE(AI$4,$C334),'INSER DATA'!$A:$F,7,0),"")</f>
        <v/>
      </c>
      <c r="AJ334" s="270" t="str">
        <f>_xlfn.IFNA(VLOOKUP(CONCATENATE(AJ$4,$C334),'INSER DATA'!$A:$F,7,0),"")</f>
        <v/>
      </c>
      <c r="AK334" s="270" t="str">
        <f>_xlfn.IFNA(VLOOKUP(CONCATENATE(AK$4,$C334),'INSER DATA'!$A:$F,7,0),"")</f>
        <v/>
      </c>
      <c r="AL334" s="270" t="str">
        <f>_xlfn.IFNA(VLOOKUP(CONCATENATE(AL$4,$C334),'INSER DATA'!$A:$F,7,0),"")</f>
        <v/>
      </c>
      <c r="AM334" s="270" t="str">
        <f>_xlfn.IFNA(VLOOKUP(CONCATENATE(AM$4,$C334),'INSER DATA'!$A:$F,7,0),"")</f>
        <v/>
      </c>
      <c r="AN334" s="270" t="str">
        <f>_xlfn.IFNA(VLOOKUP(CONCATENATE(AN$4,$C334),'INSER DATA'!$A:$F,7,0),"")</f>
        <v/>
      </c>
      <c r="AO334" s="270" t="str">
        <f>_xlfn.IFNA(VLOOKUP(CONCATENATE(AO$4,$C334),'INSER DATA'!$A:$F,7,0),"")</f>
        <v/>
      </c>
      <c r="AP334" s="270" t="str">
        <f>_xlfn.IFNA(VLOOKUP(CONCATENATE(AP$4,$C334),'INSER DATA'!$A:$F,7,0),"")</f>
        <v/>
      </c>
      <c r="AQ334" s="270" t="str">
        <f>_xlfn.IFNA(VLOOKUP(CONCATENATE(AQ$4,$C334),'INSER DATA'!$A:$F,7,0),"")</f>
        <v/>
      </c>
      <c r="AR334" s="270" t="str">
        <f>_xlfn.IFNA(VLOOKUP(CONCATENATE(AR$4,$C334),'INSER DATA'!$A:$F,7,0),"")</f>
        <v/>
      </c>
      <c r="AS334" s="270" t="str">
        <f>_xlfn.IFNA(VLOOKUP(CONCATENATE(AS$4,$C334),'INSER DATA'!$A:$F,7,0),"")</f>
        <v/>
      </c>
      <c r="AT334" s="270" t="str">
        <f>_xlfn.IFNA(VLOOKUP(CONCATENATE(AT$4,$C334),'INSER DATA'!$A:$F,7,0),"")</f>
        <v/>
      </c>
      <c r="AU334" s="270" t="str">
        <f>_xlfn.IFNA(VLOOKUP(CONCATENATE(AU$4,$C334),'INSER DATA'!$A:$F,7,0),"")</f>
        <v/>
      </c>
      <c r="AV334" s="270" t="str">
        <f>_xlfn.IFNA(VLOOKUP(CONCATENATE(AV$4,$C334),'INSER DATA'!$A:$F,7,0),"")</f>
        <v/>
      </c>
      <c r="AW334" s="270" t="str">
        <f>_xlfn.IFNA(VLOOKUP(CONCATENATE(AW$4,$C334),'INSER DATA'!$A:$F,7,0),"")</f>
        <v/>
      </c>
      <c r="AX334" s="270" t="str">
        <f>_xlfn.IFNA(VLOOKUP(CONCATENATE(AX$4,$C334),'INSER DATA'!$A:$F,7,0),"")</f>
        <v/>
      </c>
      <c r="AY334" s="270" t="str">
        <f>_xlfn.IFNA(VLOOKUP(CONCATENATE(AY$4,$C334),'INSER DATA'!$A:$F,7,0),"")</f>
        <v/>
      </c>
      <c r="AZ334" s="270" t="str">
        <f>_xlfn.IFNA(VLOOKUP(CONCATENATE(AZ$4,$C334),'INSER DATA'!$A:$F,7,0),"")</f>
        <v/>
      </c>
      <c r="BA334" s="270" t="str">
        <f>_xlfn.IFNA(VLOOKUP(CONCATENATE(BA$4,$C334),'INSER DATA'!$A:$F,7,0),"")</f>
        <v/>
      </c>
      <c r="BB334" s="270" t="str">
        <f>_xlfn.IFNA(VLOOKUP(CONCATENATE(BB$4,$C334),'INSER DATA'!$A:$F,7,0),"")</f>
        <v/>
      </c>
      <c r="BC334" s="270" t="str">
        <f>_xlfn.IFNA(VLOOKUP(CONCATENATE(BC$4,$C334),'INSER DATA'!$A:$F,7,0),"")</f>
        <v/>
      </c>
      <c r="BD334" s="270" t="str">
        <f>_xlfn.IFNA(VLOOKUP(CONCATENATE(BD$4,$C334),'INSER DATA'!$A:$F,7,0),"")</f>
        <v/>
      </c>
      <c r="BE334" s="270" t="str">
        <f>_xlfn.IFNA(VLOOKUP(CONCATENATE(BE$4,$C334),'INSER DATA'!$A:$F,7,0),"")</f>
        <v/>
      </c>
      <c r="BF334" s="270" t="str">
        <f>_xlfn.IFNA(VLOOKUP(CONCATENATE(BF$4,$C334),'INSER DATA'!$A:$F,7,0),"")</f>
        <v/>
      </c>
      <c r="BG334" s="270" t="str">
        <f>_xlfn.IFNA(VLOOKUP(CONCATENATE(BG$4,$C334),'INSER DATA'!$A:$F,7,0),"")</f>
        <v/>
      </c>
      <c r="BH334" s="270" t="str">
        <f>_xlfn.IFNA(VLOOKUP(CONCATENATE(BH$4,$C334),'INSER DATA'!$A:$F,7,0),"")</f>
        <v/>
      </c>
      <c r="BI334" s="270" t="str">
        <f>_xlfn.IFNA(VLOOKUP(CONCATENATE(BI$4,$C334),'INSER DATA'!$A:$F,7,0),"")</f>
        <v/>
      </c>
      <c r="BJ334" s="270" t="str">
        <f>_xlfn.IFNA(VLOOKUP(CONCATENATE(BJ$4,$C334),'INSER DATA'!$A:$F,7,0),"")</f>
        <v/>
      </c>
      <c r="BK334" s="270" t="str">
        <f>_xlfn.IFNA(VLOOKUP(CONCATENATE(BK$4,$C334),'INSER DATA'!$A:$F,7,0),"")</f>
        <v/>
      </c>
      <c r="BL334" s="272"/>
      <c r="BM334" s="30"/>
      <c r="BN334" s="30"/>
      <c r="BO334" s="30"/>
      <c r="BP334" s="30"/>
      <c r="BQ334" s="30"/>
      <c r="BR334" s="30"/>
      <c r="BS334" s="30"/>
      <c r="BT334" s="30"/>
      <c r="BU334" s="30"/>
      <c r="BV334" s="30"/>
      <c r="BW334" s="30"/>
      <c r="BX334" s="30"/>
      <c r="BY334" s="30"/>
      <c r="BZ334" s="30"/>
      <c r="CA334" s="30"/>
      <c r="CB334" s="30"/>
      <c r="CC334" s="30"/>
      <c r="CD334" s="30"/>
      <c r="CE334" s="30"/>
      <c r="CF334" s="30"/>
      <c r="CG334" s="30"/>
      <c r="CH334" s="30"/>
      <c r="CI334" s="30"/>
      <c r="CJ334" s="30"/>
      <c r="CK334" s="30"/>
      <c r="CL334" s="30"/>
      <c r="CM334" s="30"/>
      <c r="CN334" s="30"/>
      <c r="CO334" s="30"/>
      <c r="CP334" s="30"/>
      <c r="CQ334" s="30"/>
      <c r="CR334" s="30"/>
      <c r="CS334" s="30"/>
      <c r="CT334" s="30"/>
      <c r="CU334" s="30"/>
      <c r="CV334" s="30"/>
      <c r="CW334" s="30"/>
      <c r="CX334" s="30"/>
      <c r="CY334" s="30"/>
      <c r="CZ334" s="30"/>
      <c r="DA334" s="30"/>
    </row>
    <row r="335" spans="1:105" ht="19.2" thickTop="1" thickBot="1" x14ac:dyDescent="0.4">
      <c r="A335" s="30"/>
      <c r="B335" s="30"/>
      <c r="C335" s="188" t="s">
        <v>324</v>
      </c>
      <c r="D335" s="187" t="s">
        <v>842</v>
      </c>
      <c r="E335" s="35" t="str">
        <f>_xlfn.XLOOKUP(Tabella4[[#This Row],[NOME]],'ROSE SQUADRE'!$N$3:$N$253,'ROSE SQUADRE'!$O$3:$O$253,"")</f>
        <v/>
      </c>
      <c r="F335" s="36" t="s">
        <v>162</v>
      </c>
      <c r="G335" s="43">
        <v>7</v>
      </c>
      <c r="H335" s="43">
        <v>7</v>
      </c>
      <c r="I335" s="44">
        <f t="shared" si="31"/>
        <v>0</v>
      </c>
      <c r="J335" s="37">
        <f t="shared" si="32"/>
        <v>0</v>
      </c>
      <c r="K335" s="178">
        <f t="shared" si="33"/>
        <v>0</v>
      </c>
      <c r="L335" s="178">
        <f t="shared" si="34"/>
        <v>0</v>
      </c>
      <c r="M335" s="179">
        <f t="shared" si="35"/>
        <v>0</v>
      </c>
      <c r="N335" s="45">
        <f t="shared" ca="1" si="36"/>
        <v>0</v>
      </c>
      <c r="O335" s="40">
        <f>SUMIF(Tabella1[Nome],Tabella4[[#This Row],[NOME]],Tabella1[Gf])</f>
        <v>0</v>
      </c>
      <c r="P335" s="40">
        <f>-(SUMIF(Tabella1[Nome],Tabella4[[#This Row],[NOME]],Tabella1[Gs]))</f>
        <v>0</v>
      </c>
      <c r="Q335" s="40">
        <f>SUMIF(Tabella1[Nome],Tabella4[[#This Row],[NOME]],Tabella1[Rp])</f>
        <v>0</v>
      </c>
      <c r="R335" s="40">
        <f>SUMIF(Tabella1[Nome],Tabella4[[#This Row],[NOME]],Tabella1[Rs])</f>
        <v>0</v>
      </c>
      <c r="S335" s="40">
        <f>SUMIF(Tabella1[Nome],Tabella4[[#This Row],[NOME]],Tabella1[Rf])</f>
        <v>0</v>
      </c>
      <c r="T335" s="40">
        <f>SUMIF(Tabella1[Nome],Tabella4[[#This Row],[NOME]],Tabella1[Au])</f>
        <v>0</v>
      </c>
      <c r="U335" s="41">
        <f>SUMIF(Tabella1[Nome],Tabella4[[#This Row],[NOME]],Tabella1[Amm])</f>
        <v>0</v>
      </c>
      <c r="V335" s="42">
        <f>SUMIF(Tabella1[Nome],Tabella4[[#This Row],[NOME]],Tabella1[Esp])</f>
        <v>0</v>
      </c>
      <c r="W335" s="40">
        <f>SUMIF(Tabella1[Nome],Tabella4[[#This Row],[NOME]],Tabella1[Ass])</f>
        <v>0</v>
      </c>
      <c r="X335" s="40">
        <f>SUMIF(Tabella1[Nome],Tabella4[[#This Row],[NOME]],Tabella1[Gdv])</f>
        <v>0</v>
      </c>
      <c r="Y335" s="40">
        <f>SUMIF(Tabella1[Nome],Tabella4[[#This Row],[NOME]],Tabella1[cl sh])</f>
        <v>0</v>
      </c>
      <c r="Z335" s="270" t="str">
        <f>_xlfn.IFNA(_xlfn.XLOOKUP(CONCATENATE(Z$4,$C335),Tabella1[CONC X VOTI IN TAB GIOC],Tabella1[Voto],""),"")</f>
        <v/>
      </c>
      <c r="AA335" s="270" t="str">
        <f>_xlfn.IFNA(_xlfn.XLOOKUP(CONCATENATE(AA$4,$C335),Tabella1[CONC X VOTI IN TAB GIOC],Tabella1[Voto],""),"")</f>
        <v/>
      </c>
      <c r="AB335" s="270" t="str">
        <f>_xlfn.IFNA(_xlfn.XLOOKUP(CONCATENATE(AB$4,$C335),Tabella1[CONC X VOTI IN TAB GIOC],Tabella1[Voto]),"")</f>
        <v/>
      </c>
      <c r="AC335" s="270" t="str" cm="1">
        <f t="array" ref="AC335">_xlfn.IFNA(_xlfn.XLOOKUP(CONCATENATE(AC$4,$C335),INDEX(Tabella1[],0,MATCH("CONC X VOTI IN TAB GIOC",Tabella1[#Headers],0)),INDEX(Tabella1[],0,MATCH("Voto",Tabella1[#Headers],0))),"")</f>
        <v/>
      </c>
      <c r="AD335" s="270" t="str">
        <f>_xlfn.IFNA(_xlfn.XLOOKUP(CONCATENATE(AD$4,$C335),Tabella1[CONC X VOTI IN TAB GIOC],Tabella1[Voto]),"")</f>
        <v/>
      </c>
      <c r="AE335" s="270" t="str">
        <f>_xlfn.IFNA(VLOOKUP(CONCATENATE(AE$4,$C335),'INSER DATA'!$A:$F,6,0),"")</f>
        <v/>
      </c>
      <c r="AF335" s="270" t="str">
        <f>_xlfn.IFNA(VLOOKUP(CONCATENATE(AF$4,$C335),'INSER DATA'!$A:$F,6,0),"")</f>
        <v/>
      </c>
      <c r="AG335" s="270" t="str">
        <f>_xlfn.IFNA(VLOOKUP(CONCATENATE(AG$4,$C335),'INSER DATA'!$A:$F,6,0),"")</f>
        <v/>
      </c>
      <c r="AH335" s="270" t="str">
        <f>_xlfn.IFNA(VLOOKUP(CONCATENATE(AH$4,$C335),'INSER DATA'!$A:$F,7,0),"")</f>
        <v/>
      </c>
      <c r="AI335" s="270" t="str">
        <f>_xlfn.IFNA(VLOOKUP(CONCATENATE(AI$4,$C335),'INSER DATA'!$A:$F,7,0),"")</f>
        <v/>
      </c>
      <c r="AJ335" s="270" t="str">
        <f>_xlfn.IFNA(VLOOKUP(CONCATENATE(AJ$4,$C335),'INSER DATA'!$A:$F,7,0),"")</f>
        <v/>
      </c>
      <c r="AK335" s="270" t="str">
        <f>_xlfn.IFNA(VLOOKUP(CONCATENATE(AK$4,$C335),'INSER DATA'!$A:$F,7,0),"")</f>
        <v/>
      </c>
      <c r="AL335" s="270" t="str">
        <f>_xlfn.IFNA(VLOOKUP(CONCATENATE(AL$4,$C335),'INSER DATA'!$A:$F,7,0),"")</f>
        <v/>
      </c>
      <c r="AM335" s="270" t="str">
        <f>_xlfn.IFNA(VLOOKUP(CONCATENATE(AM$4,$C335),'INSER DATA'!$A:$F,7,0),"")</f>
        <v/>
      </c>
      <c r="AN335" s="270" t="str">
        <f>_xlfn.IFNA(VLOOKUP(CONCATENATE(AN$4,$C335),'INSER DATA'!$A:$F,7,0),"")</f>
        <v/>
      </c>
      <c r="AO335" s="270" t="str">
        <f>_xlfn.IFNA(VLOOKUP(CONCATENATE(AO$4,$C335),'INSER DATA'!$A:$F,7,0),"")</f>
        <v/>
      </c>
      <c r="AP335" s="270" t="str">
        <f>_xlfn.IFNA(VLOOKUP(CONCATENATE(AP$4,$C335),'INSER DATA'!$A:$F,7,0),"")</f>
        <v/>
      </c>
      <c r="AQ335" s="270" t="str">
        <f>_xlfn.IFNA(VLOOKUP(CONCATENATE(AQ$4,$C335),'INSER DATA'!$A:$F,7,0),"")</f>
        <v/>
      </c>
      <c r="AR335" s="270" t="str">
        <f>_xlfn.IFNA(VLOOKUP(CONCATENATE(AR$4,$C335),'INSER DATA'!$A:$F,7,0),"")</f>
        <v/>
      </c>
      <c r="AS335" s="270" t="str">
        <f>_xlfn.IFNA(VLOOKUP(CONCATENATE(AS$4,$C335),'INSER DATA'!$A:$F,7,0),"")</f>
        <v/>
      </c>
      <c r="AT335" s="270" t="str">
        <f>_xlfn.IFNA(VLOOKUP(CONCATENATE(AT$4,$C335),'INSER DATA'!$A:$F,7,0),"")</f>
        <v/>
      </c>
      <c r="AU335" s="270" t="str">
        <f>_xlfn.IFNA(VLOOKUP(CONCATENATE(AU$4,$C335),'INSER DATA'!$A:$F,7,0),"")</f>
        <v/>
      </c>
      <c r="AV335" s="270" t="str">
        <f>_xlfn.IFNA(VLOOKUP(CONCATENATE(AV$4,$C335),'INSER DATA'!$A:$F,7,0),"")</f>
        <v/>
      </c>
      <c r="AW335" s="270" t="str">
        <f>_xlfn.IFNA(VLOOKUP(CONCATENATE(AW$4,$C335),'INSER DATA'!$A:$F,7,0),"")</f>
        <v/>
      </c>
      <c r="AX335" s="270" t="str">
        <f>_xlfn.IFNA(VLOOKUP(CONCATENATE(AX$4,$C335),'INSER DATA'!$A:$F,7,0),"")</f>
        <v/>
      </c>
      <c r="AY335" s="270" t="str">
        <f>_xlfn.IFNA(VLOOKUP(CONCATENATE(AY$4,$C335),'INSER DATA'!$A:$F,7,0),"")</f>
        <v/>
      </c>
      <c r="AZ335" s="270" t="str">
        <f>_xlfn.IFNA(VLOOKUP(CONCATENATE(AZ$4,$C335),'INSER DATA'!$A:$F,7,0),"")</f>
        <v/>
      </c>
      <c r="BA335" s="270" t="str">
        <f>_xlfn.IFNA(VLOOKUP(CONCATENATE(BA$4,$C335),'INSER DATA'!$A:$F,7,0),"")</f>
        <v/>
      </c>
      <c r="BB335" s="270" t="str">
        <f>_xlfn.IFNA(VLOOKUP(CONCATENATE(BB$4,$C335),'INSER DATA'!$A:$F,7,0),"")</f>
        <v/>
      </c>
      <c r="BC335" s="270" t="str">
        <f>_xlfn.IFNA(VLOOKUP(CONCATENATE(BC$4,$C335),'INSER DATA'!$A:$F,7,0),"")</f>
        <v/>
      </c>
      <c r="BD335" s="270" t="str">
        <f>_xlfn.IFNA(VLOOKUP(CONCATENATE(BD$4,$C335),'INSER DATA'!$A:$F,7,0),"")</f>
        <v/>
      </c>
      <c r="BE335" s="270" t="str">
        <f>_xlfn.IFNA(VLOOKUP(CONCATENATE(BE$4,$C335),'INSER DATA'!$A:$F,7,0),"")</f>
        <v/>
      </c>
      <c r="BF335" s="270" t="str">
        <f>_xlfn.IFNA(VLOOKUP(CONCATENATE(BF$4,$C335),'INSER DATA'!$A:$F,7,0),"")</f>
        <v/>
      </c>
      <c r="BG335" s="270" t="str">
        <f>_xlfn.IFNA(VLOOKUP(CONCATENATE(BG$4,$C335),'INSER DATA'!$A:$F,7,0),"")</f>
        <v/>
      </c>
      <c r="BH335" s="270" t="str">
        <f>_xlfn.IFNA(VLOOKUP(CONCATENATE(BH$4,$C335),'INSER DATA'!$A:$F,7,0),"")</f>
        <v/>
      </c>
      <c r="BI335" s="270" t="str">
        <f>_xlfn.IFNA(VLOOKUP(CONCATENATE(BI$4,$C335),'INSER DATA'!$A:$F,7,0),"")</f>
        <v/>
      </c>
      <c r="BJ335" s="270" t="str">
        <f>_xlfn.IFNA(VLOOKUP(CONCATENATE(BJ$4,$C335),'INSER DATA'!$A:$F,7,0),"")</f>
        <v/>
      </c>
      <c r="BK335" s="270" t="str">
        <f>_xlfn.IFNA(VLOOKUP(CONCATENATE(BK$4,$C335),'INSER DATA'!$A:$F,7,0),"")</f>
        <v/>
      </c>
      <c r="BL335" s="272"/>
      <c r="BM335" s="30"/>
      <c r="BN335" s="30"/>
      <c r="BO335" s="30"/>
      <c r="BP335" s="30"/>
      <c r="BQ335" s="30"/>
      <c r="BR335" s="30"/>
      <c r="BS335" s="30"/>
      <c r="BT335" s="30"/>
      <c r="BU335" s="30"/>
      <c r="BV335" s="30"/>
      <c r="BW335" s="30"/>
      <c r="BX335" s="30"/>
      <c r="BY335" s="30"/>
      <c r="BZ335" s="30"/>
      <c r="CA335" s="30"/>
      <c r="CB335" s="30"/>
      <c r="CC335" s="30"/>
      <c r="CD335" s="30"/>
      <c r="CE335" s="30"/>
      <c r="CF335" s="30"/>
      <c r="CG335" s="30"/>
      <c r="CH335" s="30"/>
      <c r="CI335" s="30"/>
      <c r="CJ335" s="30"/>
      <c r="CK335" s="30"/>
      <c r="CL335" s="30"/>
      <c r="CM335" s="30"/>
      <c r="CN335" s="30"/>
      <c r="CO335" s="30"/>
      <c r="CP335" s="30"/>
      <c r="CQ335" s="30"/>
      <c r="CR335" s="30"/>
      <c r="CS335" s="30"/>
      <c r="CT335" s="30"/>
      <c r="CU335" s="30"/>
      <c r="CV335" s="30"/>
      <c r="CW335" s="30"/>
      <c r="CX335" s="30"/>
      <c r="CY335" s="30"/>
      <c r="CZ335" s="30"/>
      <c r="DA335" s="30"/>
    </row>
    <row r="336" spans="1:105" ht="19.2" thickTop="1" thickBot="1" x14ac:dyDescent="0.4">
      <c r="A336" s="30"/>
      <c r="B336" s="30"/>
      <c r="C336" s="188" t="s">
        <v>856</v>
      </c>
      <c r="D336" s="187" t="s">
        <v>842</v>
      </c>
      <c r="E336" s="35" t="str">
        <f>_xlfn.XLOOKUP(Tabella4[[#This Row],[NOME]],'ROSE SQUADRE'!$N$3:$N$253,'ROSE SQUADRE'!$O$3:$O$253,"")</f>
        <v/>
      </c>
      <c r="F336" s="36" t="s">
        <v>162</v>
      </c>
      <c r="G336" s="43">
        <v>6</v>
      </c>
      <c r="H336" s="43">
        <v>6</v>
      </c>
      <c r="I336" s="44">
        <f t="shared" si="31"/>
        <v>0</v>
      </c>
      <c r="J336" s="37">
        <f t="shared" si="32"/>
        <v>0</v>
      </c>
      <c r="K336" s="38">
        <f t="shared" si="33"/>
        <v>0</v>
      </c>
      <c r="L336" s="38">
        <f t="shared" si="34"/>
        <v>0</v>
      </c>
      <c r="M336" s="39">
        <f t="shared" si="35"/>
        <v>0</v>
      </c>
      <c r="N336" s="45">
        <f t="shared" ca="1" si="36"/>
        <v>0</v>
      </c>
      <c r="O336" s="40">
        <f>SUMIF(Tabella1[Nome],Tabella4[[#This Row],[NOME]],Tabella1[Gf])</f>
        <v>0</v>
      </c>
      <c r="P336" s="40">
        <f>-(SUMIF(Tabella1[Nome],Tabella4[[#This Row],[NOME]],Tabella1[Gs]))</f>
        <v>0</v>
      </c>
      <c r="Q336" s="40">
        <f>SUMIF(Tabella1[Nome],Tabella4[[#This Row],[NOME]],Tabella1[Rp])</f>
        <v>0</v>
      </c>
      <c r="R336" s="40">
        <f>SUMIF(Tabella1[Nome],Tabella4[[#This Row],[NOME]],Tabella1[Rs])</f>
        <v>0</v>
      </c>
      <c r="S336" s="40">
        <f>SUMIF(Tabella1[Nome],Tabella4[[#This Row],[NOME]],Tabella1[Rf])</f>
        <v>0</v>
      </c>
      <c r="T336" s="40">
        <f>SUMIF(Tabella1[Nome],Tabella4[[#This Row],[NOME]],Tabella1[Au])</f>
        <v>0</v>
      </c>
      <c r="U336" s="41">
        <f>SUMIF(Tabella1[Nome],Tabella4[[#This Row],[NOME]],Tabella1[Amm])</f>
        <v>0</v>
      </c>
      <c r="V336" s="42">
        <f>SUMIF(Tabella1[Nome],Tabella4[[#This Row],[NOME]],Tabella1[Esp])</f>
        <v>0</v>
      </c>
      <c r="W336" s="40">
        <f>SUMIF(Tabella1[Nome],Tabella4[[#This Row],[NOME]],Tabella1[Ass])</f>
        <v>0</v>
      </c>
      <c r="X336" s="40">
        <f>SUMIF(Tabella1[Nome],Tabella4[[#This Row],[NOME]],Tabella1[Gdv])</f>
        <v>0</v>
      </c>
      <c r="Y336" s="40">
        <f>SUMIF(Tabella1[Nome],Tabella4[[#This Row],[NOME]],Tabella1[cl sh])</f>
        <v>0</v>
      </c>
      <c r="Z336" s="270" t="str">
        <f>_xlfn.IFNA(_xlfn.XLOOKUP(CONCATENATE(Z$4,$C336),Tabella1[CONC X VOTI IN TAB GIOC],Tabella1[Voto],""),"")</f>
        <v/>
      </c>
      <c r="AA336" s="270" t="str">
        <f>_xlfn.IFNA(_xlfn.XLOOKUP(CONCATENATE(AA$4,$C336),Tabella1[CONC X VOTI IN TAB GIOC],Tabella1[Voto],""),"")</f>
        <v/>
      </c>
      <c r="AB336" s="270" t="str">
        <f>_xlfn.IFNA(_xlfn.XLOOKUP(CONCATENATE(AB$4,$C336),Tabella1[CONC X VOTI IN TAB GIOC],Tabella1[Voto]),"")</f>
        <v/>
      </c>
      <c r="AC336" s="270" t="str" cm="1">
        <f t="array" ref="AC336">_xlfn.IFNA(_xlfn.XLOOKUP(CONCATENATE(AC$4,$C336),INDEX(Tabella1[],0,MATCH("CONC X VOTI IN TAB GIOC",Tabella1[#Headers],0)),INDEX(Tabella1[],0,MATCH("Voto",Tabella1[#Headers],0))),"")</f>
        <v/>
      </c>
      <c r="AD336" s="270" t="str">
        <f>_xlfn.IFNA(_xlfn.XLOOKUP(CONCATENATE(AD$4,$C336),Tabella1[CONC X VOTI IN TAB GIOC],Tabella1[Voto]),"")</f>
        <v/>
      </c>
      <c r="AE336" s="270" t="str">
        <f>_xlfn.IFNA(VLOOKUP(CONCATENATE(AE$4,$C336),'INSER DATA'!$A:$F,6,0),"")</f>
        <v/>
      </c>
      <c r="AF336" s="270" t="str">
        <f>_xlfn.IFNA(VLOOKUP(CONCATENATE(AF$4,$C336),'INSER DATA'!$A:$F,6,0),"")</f>
        <v/>
      </c>
      <c r="AG336" s="270" t="str">
        <f>_xlfn.IFNA(VLOOKUP(CONCATENATE(AG$4,$C336),'INSER DATA'!$A:$F,6,0),"")</f>
        <v/>
      </c>
      <c r="AH336" s="270" t="str">
        <f>_xlfn.IFNA(VLOOKUP(CONCATENATE(AH$4,$C336),'INSER DATA'!$A:$F,7,0),"")</f>
        <v/>
      </c>
      <c r="AI336" s="270" t="str">
        <f>_xlfn.IFNA(VLOOKUP(CONCATENATE(AI$4,$C336),'INSER DATA'!$A:$F,7,0),"")</f>
        <v/>
      </c>
      <c r="AJ336" s="270" t="str">
        <f>_xlfn.IFNA(VLOOKUP(CONCATENATE(AJ$4,$C336),'INSER DATA'!$A:$F,7,0),"")</f>
        <v/>
      </c>
      <c r="AK336" s="270" t="str">
        <f>_xlfn.IFNA(VLOOKUP(CONCATENATE(AK$4,$C336),'INSER DATA'!$A:$F,7,0),"")</f>
        <v/>
      </c>
      <c r="AL336" s="270" t="str">
        <f>_xlfn.IFNA(VLOOKUP(CONCATENATE(AL$4,$C336),'INSER DATA'!$A:$F,7,0),"")</f>
        <v/>
      </c>
      <c r="AM336" s="270" t="str">
        <f>_xlfn.IFNA(VLOOKUP(CONCATENATE(AM$4,$C336),'INSER DATA'!$A:$F,7,0),"")</f>
        <v/>
      </c>
      <c r="AN336" s="270" t="str">
        <f>_xlfn.IFNA(VLOOKUP(CONCATENATE(AN$4,$C336),'INSER DATA'!$A:$F,7,0),"")</f>
        <v/>
      </c>
      <c r="AO336" s="270" t="str">
        <f>_xlfn.IFNA(VLOOKUP(CONCATENATE(AO$4,$C336),'INSER DATA'!$A:$F,7,0),"")</f>
        <v/>
      </c>
      <c r="AP336" s="270" t="str">
        <f>_xlfn.IFNA(VLOOKUP(CONCATENATE(AP$4,$C336),'INSER DATA'!$A:$F,7,0),"")</f>
        <v/>
      </c>
      <c r="AQ336" s="270" t="str">
        <f>_xlfn.IFNA(VLOOKUP(CONCATENATE(AQ$4,$C336),'INSER DATA'!$A:$F,7,0),"")</f>
        <v/>
      </c>
      <c r="AR336" s="270" t="str">
        <f>_xlfn.IFNA(VLOOKUP(CONCATENATE(AR$4,$C336),'INSER DATA'!$A:$F,7,0),"")</f>
        <v/>
      </c>
      <c r="AS336" s="270" t="str">
        <f>_xlfn.IFNA(VLOOKUP(CONCATENATE(AS$4,$C336),'INSER DATA'!$A:$F,7,0),"")</f>
        <v/>
      </c>
      <c r="AT336" s="270" t="str">
        <f>_xlfn.IFNA(VLOOKUP(CONCATENATE(AT$4,$C336),'INSER DATA'!$A:$F,7,0),"")</f>
        <v/>
      </c>
      <c r="AU336" s="270" t="str">
        <f>_xlfn.IFNA(VLOOKUP(CONCATENATE(AU$4,$C336),'INSER DATA'!$A:$F,7,0),"")</f>
        <v/>
      </c>
      <c r="AV336" s="270" t="str">
        <f>_xlfn.IFNA(VLOOKUP(CONCATENATE(AV$4,$C336),'INSER DATA'!$A:$F,7,0),"")</f>
        <v/>
      </c>
      <c r="AW336" s="270" t="str">
        <f>_xlfn.IFNA(VLOOKUP(CONCATENATE(AW$4,$C336),'INSER DATA'!$A:$F,7,0),"")</f>
        <v/>
      </c>
      <c r="AX336" s="270" t="str">
        <f>_xlfn.IFNA(VLOOKUP(CONCATENATE(AX$4,$C336),'INSER DATA'!$A:$F,7,0),"")</f>
        <v/>
      </c>
      <c r="AY336" s="270" t="str">
        <f>_xlfn.IFNA(VLOOKUP(CONCATENATE(AY$4,$C336),'INSER DATA'!$A:$F,7,0),"")</f>
        <v/>
      </c>
      <c r="AZ336" s="270" t="str">
        <f>_xlfn.IFNA(VLOOKUP(CONCATENATE(AZ$4,$C336),'INSER DATA'!$A:$F,7,0),"")</f>
        <v/>
      </c>
      <c r="BA336" s="270" t="str">
        <f>_xlfn.IFNA(VLOOKUP(CONCATENATE(BA$4,$C336),'INSER DATA'!$A:$F,7,0),"")</f>
        <v/>
      </c>
      <c r="BB336" s="270" t="str">
        <f>_xlfn.IFNA(VLOOKUP(CONCATENATE(BB$4,$C336),'INSER DATA'!$A:$F,7,0),"")</f>
        <v/>
      </c>
      <c r="BC336" s="270" t="str">
        <f>_xlfn.IFNA(VLOOKUP(CONCATENATE(BC$4,$C336),'INSER DATA'!$A:$F,7,0),"")</f>
        <v/>
      </c>
      <c r="BD336" s="270" t="str">
        <f>_xlfn.IFNA(VLOOKUP(CONCATENATE(BD$4,$C336),'INSER DATA'!$A:$F,7,0),"")</f>
        <v/>
      </c>
      <c r="BE336" s="270" t="str">
        <f>_xlfn.IFNA(VLOOKUP(CONCATENATE(BE$4,$C336),'INSER DATA'!$A:$F,7,0),"")</f>
        <v/>
      </c>
      <c r="BF336" s="270" t="str">
        <f>_xlfn.IFNA(VLOOKUP(CONCATENATE(BF$4,$C336),'INSER DATA'!$A:$F,7,0),"")</f>
        <v/>
      </c>
      <c r="BG336" s="270" t="str">
        <f>_xlfn.IFNA(VLOOKUP(CONCATENATE(BG$4,$C336),'INSER DATA'!$A:$F,7,0),"")</f>
        <v/>
      </c>
      <c r="BH336" s="270" t="str">
        <f>_xlfn.IFNA(VLOOKUP(CONCATENATE(BH$4,$C336),'INSER DATA'!$A:$F,7,0),"")</f>
        <v/>
      </c>
      <c r="BI336" s="270" t="str">
        <f>_xlfn.IFNA(VLOOKUP(CONCATENATE(BI$4,$C336),'INSER DATA'!$A:$F,7,0),"")</f>
        <v/>
      </c>
      <c r="BJ336" s="270" t="str">
        <f>_xlfn.IFNA(VLOOKUP(CONCATENATE(BJ$4,$C336),'INSER DATA'!$A:$F,7,0),"")</f>
        <v/>
      </c>
      <c r="BK336" s="270" t="str">
        <f>_xlfn.IFNA(VLOOKUP(CONCATENATE(BK$4,$C336),'INSER DATA'!$A:$F,7,0),"")</f>
        <v/>
      </c>
      <c r="BL336" s="272"/>
      <c r="BM336" s="30"/>
      <c r="BN336" s="30"/>
      <c r="BO336" s="30"/>
      <c r="BP336" s="30"/>
      <c r="BQ336" s="30"/>
      <c r="BR336" s="30"/>
      <c r="BS336" s="30"/>
      <c r="BT336" s="30"/>
      <c r="BU336" s="30"/>
      <c r="BV336" s="30"/>
      <c r="BW336" s="30"/>
      <c r="BX336" s="30"/>
      <c r="BY336" s="30"/>
      <c r="BZ336" s="30"/>
      <c r="CA336" s="30"/>
      <c r="CB336" s="30"/>
      <c r="CC336" s="30"/>
      <c r="CD336" s="30"/>
      <c r="CE336" s="30"/>
      <c r="CF336" s="30"/>
      <c r="CG336" s="30"/>
      <c r="CH336" s="30"/>
      <c r="CI336" s="30"/>
      <c r="CJ336" s="30"/>
      <c r="CK336" s="30"/>
      <c r="CL336" s="30"/>
      <c r="CM336" s="30"/>
      <c r="CN336" s="30"/>
      <c r="CO336" s="30"/>
      <c r="CP336" s="30"/>
      <c r="CQ336" s="30"/>
      <c r="CR336" s="30"/>
      <c r="CS336" s="30"/>
      <c r="CT336" s="30"/>
      <c r="CU336" s="30"/>
      <c r="CV336" s="30"/>
      <c r="CW336" s="30"/>
      <c r="CX336" s="30"/>
      <c r="CY336" s="30"/>
      <c r="CZ336" s="30"/>
      <c r="DA336" s="30"/>
    </row>
    <row r="337" spans="1:105" ht="19.2" thickTop="1" thickBot="1" x14ac:dyDescent="0.4">
      <c r="A337" s="30"/>
      <c r="B337" s="30"/>
      <c r="C337" s="185" t="s">
        <v>285</v>
      </c>
      <c r="D337" s="46" t="s">
        <v>842</v>
      </c>
      <c r="E337" s="35" t="str">
        <f>_xlfn.XLOOKUP(Tabella4[[#This Row],[NOME]],'ROSE SQUADRE'!$N$3:$N$253,'ROSE SQUADRE'!$O$3:$O$253,"")</f>
        <v/>
      </c>
      <c r="F337" s="36" t="s">
        <v>163</v>
      </c>
      <c r="G337" s="43">
        <v>5</v>
      </c>
      <c r="H337" s="43">
        <v>5</v>
      </c>
      <c r="I337" s="44">
        <f t="shared" si="31"/>
        <v>0</v>
      </c>
      <c r="J337" s="37">
        <f t="shared" si="32"/>
        <v>1</v>
      </c>
      <c r="K337" s="38">
        <f t="shared" si="33"/>
        <v>6</v>
      </c>
      <c r="L337" s="38">
        <f t="shared" si="34"/>
        <v>6</v>
      </c>
      <c r="M337" s="39">
        <f t="shared" si="35"/>
        <v>6</v>
      </c>
      <c r="N337" s="45">
        <f t="shared" ca="1" si="36"/>
        <v>0</v>
      </c>
      <c r="O337" s="40">
        <f>SUMIF(Tabella1[Nome],Tabella4[[#This Row],[NOME]],Tabella1[Gf])</f>
        <v>0</v>
      </c>
      <c r="P337" s="40">
        <f>-(SUMIF(Tabella1[Nome],Tabella4[[#This Row],[NOME]],Tabella1[Gs]))</f>
        <v>0</v>
      </c>
      <c r="Q337" s="40">
        <f>SUMIF(Tabella1[Nome],Tabella4[[#This Row],[NOME]],Tabella1[Rp])</f>
        <v>0</v>
      </c>
      <c r="R337" s="40">
        <f>SUMIF(Tabella1[Nome],Tabella4[[#This Row],[NOME]],Tabella1[Rs])</f>
        <v>0</v>
      </c>
      <c r="S337" s="40">
        <f>SUMIF(Tabella1[Nome],Tabella4[[#This Row],[NOME]],Tabella1[Rf])</f>
        <v>0</v>
      </c>
      <c r="T337" s="40">
        <f>SUMIF(Tabella1[Nome],Tabella4[[#This Row],[NOME]],Tabella1[Au])</f>
        <v>0</v>
      </c>
      <c r="U337" s="41">
        <f>SUMIF(Tabella1[Nome],Tabella4[[#This Row],[NOME]],Tabella1[Amm])</f>
        <v>0</v>
      </c>
      <c r="V337" s="42">
        <f>SUMIF(Tabella1[Nome],Tabella4[[#This Row],[NOME]],Tabella1[Esp])</f>
        <v>0</v>
      </c>
      <c r="W337" s="40">
        <f>SUMIF(Tabella1[Nome],Tabella4[[#This Row],[NOME]],Tabella1[Ass])</f>
        <v>0</v>
      </c>
      <c r="X337" s="40">
        <f>SUMIF(Tabella1[Nome],Tabella4[[#This Row],[NOME]],Tabella1[Gdv])</f>
        <v>0</v>
      </c>
      <c r="Y337" s="40">
        <f>SUMIF(Tabella1[Nome],Tabella4[[#This Row],[NOME]],Tabella1[cl sh])</f>
        <v>0</v>
      </c>
      <c r="Z337" s="270" t="str">
        <f>_xlfn.IFNA(_xlfn.XLOOKUP(CONCATENATE(Z$4,$C337),Tabella1[CONC X VOTI IN TAB GIOC],Tabella1[Voto],""),"")</f>
        <v/>
      </c>
      <c r="AA337" s="270" t="str">
        <f>_xlfn.IFNA(_xlfn.XLOOKUP(CONCATENATE(AA$4,$C337),Tabella1[CONC X VOTI IN TAB GIOC],Tabella1[Voto],""),"")</f>
        <v/>
      </c>
      <c r="AB337" s="270">
        <f>_xlfn.IFNA(_xlfn.XLOOKUP(CONCATENATE(AB$4,$C337),Tabella1[CONC X VOTI IN TAB GIOC],Tabella1[Voto]),"")</f>
        <v>6</v>
      </c>
      <c r="AC337" s="270" t="str" cm="1">
        <f t="array" ref="AC337">_xlfn.IFNA(_xlfn.XLOOKUP(CONCATENATE(AC$4,$C337),INDEX(Tabella1[],0,MATCH("CONC X VOTI IN TAB GIOC",Tabella1[#Headers],0)),INDEX(Tabella1[],0,MATCH("Voto",Tabella1[#Headers],0))),"")</f>
        <v/>
      </c>
      <c r="AD337" s="270" t="str">
        <f>_xlfn.IFNA(_xlfn.XLOOKUP(CONCATENATE(AD$4,$C337),Tabella1[CONC X VOTI IN TAB GIOC],Tabella1[Voto]),"")</f>
        <v/>
      </c>
      <c r="AE337" s="270" t="str">
        <f>_xlfn.IFNA(VLOOKUP(CONCATENATE(AE$4,$C337),'INSER DATA'!$A:$F,6,0),"")</f>
        <v/>
      </c>
      <c r="AF337" s="270" t="str">
        <f>_xlfn.IFNA(VLOOKUP(CONCATENATE(AF$4,$C337),'INSER DATA'!$A:$F,6,0),"")</f>
        <v/>
      </c>
      <c r="AG337" s="270" t="str">
        <f>_xlfn.IFNA(VLOOKUP(CONCATENATE(AG$4,$C337),'INSER DATA'!$A:$F,6,0),"")</f>
        <v/>
      </c>
      <c r="AH337" s="270" t="str">
        <f>_xlfn.IFNA(VLOOKUP(CONCATENATE(AH$4,$C337),'INSER DATA'!$A:$F,7,0),"")</f>
        <v/>
      </c>
      <c r="AI337" s="270" t="str">
        <f>_xlfn.IFNA(VLOOKUP(CONCATENATE(AI$4,$C337),'INSER DATA'!$A:$F,7,0),"")</f>
        <v/>
      </c>
      <c r="AJ337" s="270" t="str">
        <f>_xlfn.IFNA(VLOOKUP(CONCATENATE(AJ$4,$C337),'INSER DATA'!$A:$F,7,0),"")</f>
        <v/>
      </c>
      <c r="AK337" s="270" t="str">
        <f>_xlfn.IFNA(VLOOKUP(CONCATENATE(AK$4,$C337),'INSER DATA'!$A:$F,7,0),"")</f>
        <v/>
      </c>
      <c r="AL337" s="270" t="str">
        <f>_xlfn.IFNA(VLOOKUP(CONCATENATE(AL$4,$C337),'INSER DATA'!$A:$F,7,0),"")</f>
        <v/>
      </c>
      <c r="AM337" s="270" t="str">
        <f>_xlfn.IFNA(VLOOKUP(CONCATENATE(AM$4,$C337),'INSER DATA'!$A:$F,7,0),"")</f>
        <v/>
      </c>
      <c r="AN337" s="270" t="str">
        <f>_xlfn.IFNA(VLOOKUP(CONCATENATE(AN$4,$C337),'INSER DATA'!$A:$F,7,0),"")</f>
        <v/>
      </c>
      <c r="AO337" s="270" t="str">
        <f>_xlfn.IFNA(VLOOKUP(CONCATENATE(AO$4,$C337),'INSER DATA'!$A:$F,7,0),"")</f>
        <v/>
      </c>
      <c r="AP337" s="270" t="str">
        <f>_xlfn.IFNA(VLOOKUP(CONCATENATE(AP$4,$C337),'INSER DATA'!$A:$F,7,0),"")</f>
        <v/>
      </c>
      <c r="AQ337" s="270" t="str">
        <f>_xlfn.IFNA(VLOOKUP(CONCATENATE(AQ$4,$C337),'INSER DATA'!$A:$F,7,0),"")</f>
        <v/>
      </c>
      <c r="AR337" s="270" t="str">
        <f>_xlfn.IFNA(VLOOKUP(CONCATENATE(AR$4,$C337),'INSER DATA'!$A:$F,7,0),"")</f>
        <v/>
      </c>
      <c r="AS337" s="270" t="str">
        <f>_xlfn.IFNA(VLOOKUP(CONCATENATE(AS$4,$C337),'INSER DATA'!$A:$F,7,0),"")</f>
        <v/>
      </c>
      <c r="AT337" s="270" t="str">
        <f>_xlfn.IFNA(VLOOKUP(CONCATENATE(AT$4,$C337),'INSER DATA'!$A:$F,7,0),"")</f>
        <v/>
      </c>
      <c r="AU337" s="270" t="str">
        <f>_xlfn.IFNA(VLOOKUP(CONCATENATE(AU$4,$C337),'INSER DATA'!$A:$F,7,0),"")</f>
        <v/>
      </c>
      <c r="AV337" s="270" t="str">
        <f>_xlfn.IFNA(VLOOKUP(CONCATENATE(AV$4,$C337),'INSER DATA'!$A:$F,7,0),"")</f>
        <v/>
      </c>
      <c r="AW337" s="270" t="str">
        <f>_xlfn.IFNA(VLOOKUP(CONCATENATE(AW$4,$C337),'INSER DATA'!$A:$F,7,0),"")</f>
        <v/>
      </c>
      <c r="AX337" s="270" t="str">
        <f>_xlfn.IFNA(VLOOKUP(CONCATENATE(AX$4,$C337),'INSER DATA'!$A:$F,7,0),"")</f>
        <v/>
      </c>
      <c r="AY337" s="270" t="str">
        <f>_xlfn.IFNA(VLOOKUP(CONCATENATE(AY$4,$C337),'INSER DATA'!$A:$F,7,0),"")</f>
        <v/>
      </c>
      <c r="AZ337" s="270" t="str">
        <f>_xlfn.IFNA(VLOOKUP(CONCATENATE(AZ$4,$C337),'INSER DATA'!$A:$F,7,0),"")</f>
        <v/>
      </c>
      <c r="BA337" s="270" t="str">
        <f>_xlfn.IFNA(VLOOKUP(CONCATENATE(BA$4,$C337),'INSER DATA'!$A:$F,7,0),"")</f>
        <v/>
      </c>
      <c r="BB337" s="270" t="str">
        <f>_xlfn.IFNA(VLOOKUP(CONCATENATE(BB$4,$C337),'INSER DATA'!$A:$F,7,0),"")</f>
        <v/>
      </c>
      <c r="BC337" s="270" t="str">
        <f>_xlfn.IFNA(VLOOKUP(CONCATENATE(BC$4,$C337),'INSER DATA'!$A:$F,7,0),"")</f>
        <v/>
      </c>
      <c r="BD337" s="270" t="str">
        <f>_xlfn.IFNA(VLOOKUP(CONCATENATE(BD$4,$C337),'INSER DATA'!$A:$F,7,0),"")</f>
        <v/>
      </c>
      <c r="BE337" s="270" t="str">
        <f>_xlfn.IFNA(VLOOKUP(CONCATENATE(BE$4,$C337),'INSER DATA'!$A:$F,7,0),"")</f>
        <v/>
      </c>
      <c r="BF337" s="270" t="str">
        <f>_xlfn.IFNA(VLOOKUP(CONCATENATE(BF$4,$C337),'INSER DATA'!$A:$F,7,0),"")</f>
        <v/>
      </c>
      <c r="BG337" s="270" t="str">
        <f>_xlfn.IFNA(VLOOKUP(CONCATENATE(BG$4,$C337),'INSER DATA'!$A:$F,7,0),"")</f>
        <v/>
      </c>
      <c r="BH337" s="270" t="str">
        <f>_xlfn.IFNA(VLOOKUP(CONCATENATE(BH$4,$C337),'INSER DATA'!$A:$F,7,0),"")</f>
        <v/>
      </c>
      <c r="BI337" s="270" t="str">
        <f>_xlfn.IFNA(VLOOKUP(CONCATENATE(BI$4,$C337),'INSER DATA'!$A:$F,7,0),"")</f>
        <v/>
      </c>
      <c r="BJ337" s="270" t="str">
        <f>_xlfn.IFNA(VLOOKUP(CONCATENATE(BJ$4,$C337),'INSER DATA'!$A:$F,7,0),"")</f>
        <v/>
      </c>
      <c r="BK337" s="270" t="str">
        <f>_xlfn.IFNA(VLOOKUP(CONCATENATE(BK$4,$C337),'INSER DATA'!$A:$F,7,0),"")</f>
        <v/>
      </c>
      <c r="BL337" s="272"/>
      <c r="BM337" s="30"/>
      <c r="BN337" s="30"/>
      <c r="BO337" s="30"/>
      <c r="BP337" s="30"/>
      <c r="BQ337" s="30"/>
      <c r="BR337" s="30"/>
      <c r="BS337" s="30"/>
      <c r="BT337" s="30"/>
      <c r="BU337" s="30"/>
      <c r="BV337" s="30"/>
      <c r="BW337" s="30"/>
      <c r="BX337" s="30"/>
      <c r="BY337" s="30"/>
      <c r="BZ337" s="30"/>
      <c r="CA337" s="30"/>
      <c r="CB337" s="30"/>
      <c r="CC337" s="30"/>
      <c r="CD337" s="30"/>
      <c r="CE337" s="30"/>
      <c r="CF337" s="30"/>
      <c r="CG337" s="30"/>
      <c r="CH337" s="30"/>
      <c r="CI337" s="30"/>
      <c r="CJ337" s="30"/>
      <c r="CK337" s="30"/>
      <c r="CL337" s="30"/>
      <c r="CM337" s="30"/>
      <c r="CN337" s="30"/>
      <c r="CO337" s="30"/>
      <c r="CP337" s="30"/>
      <c r="CQ337" s="30"/>
      <c r="CR337" s="30"/>
      <c r="CS337" s="30"/>
      <c r="CT337" s="30"/>
      <c r="CU337" s="30"/>
      <c r="CV337" s="30"/>
      <c r="CW337" s="30"/>
      <c r="CX337" s="30"/>
      <c r="CY337" s="30"/>
      <c r="CZ337" s="30"/>
      <c r="DA337" s="30"/>
    </row>
    <row r="338" spans="1:105" ht="19.2" thickTop="1" thickBot="1" x14ac:dyDescent="0.4">
      <c r="A338" s="30"/>
      <c r="B338" s="30"/>
      <c r="C338" s="188" t="s">
        <v>857</v>
      </c>
      <c r="D338" s="187" t="s">
        <v>842</v>
      </c>
      <c r="E338" s="35" t="str">
        <f>_xlfn.XLOOKUP(Tabella4[[#This Row],[NOME]],'ROSE SQUADRE'!$N$3:$N$253,'ROSE SQUADRE'!$O$3:$O$253,"")</f>
        <v/>
      </c>
      <c r="F338" s="36" t="s">
        <v>163</v>
      </c>
      <c r="G338" s="43">
        <v>4</v>
      </c>
      <c r="H338" s="43">
        <v>4</v>
      </c>
      <c r="I338" s="44">
        <f t="shared" si="31"/>
        <v>0</v>
      </c>
      <c r="J338" s="37">
        <f t="shared" si="32"/>
        <v>2</v>
      </c>
      <c r="K338" s="178">
        <f t="shared" si="33"/>
        <v>6.75</v>
      </c>
      <c r="L338" s="178">
        <f t="shared" si="34"/>
        <v>8.25</v>
      </c>
      <c r="M338" s="179">
        <f t="shared" si="35"/>
        <v>16.5</v>
      </c>
      <c r="N338" s="45">
        <f t="shared" ca="1" si="36"/>
        <v>0</v>
      </c>
      <c r="O338" s="40">
        <f>SUMIF(Tabella1[Nome],Tabella4[[#This Row],[NOME]],Tabella1[Gf])</f>
        <v>1</v>
      </c>
      <c r="P338" s="40">
        <f>-(SUMIF(Tabella1[Nome],Tabella4[[#This Row],[NOME]],Tabella1[Gs]))</f>
        <v>0</v>
      </c>
      <c r="Q338" s="40">
        <f>SUMIF(Tabella1[Nome],Tabella4[[#This Row],[NOME]],Tabella1[Rp])</f>
        <v>0</v>
      </c>
      <c r="R338" s="40">
        <f>SUMIF(Tabella1[Nome],Tabella4[[#This Row],[NOME]],Tabella1[Rs])</f>
        <v>0</v>
      </c>
      <c r="S338" s="40">
        <f>SUMIF(Tabella1[Nome],Tabella4[[#This Row],[NOME]],Tabella1[Rf])</f>
        <v>0</v>
      </c>
      <c r="T338" s="40">
        <f>SUMIF(Tabella1[Nome],Tabella4[[#This Row],[NOME]],Tabella1[Au])</f>
        <v>0</v>
      </c>
      <c r="U338" s="41">
        <f>SUMIF(Tabella1[Nome],Tabella4[[#This Row],[NOME]],Tabella1[Amm])</f>
        <v>0</v>
      </c>
      <c r="V338" s="42">
        <f>SUMIF(Tabella1[Nome],Tabella4[[#This Row],[NOME]],Tabella1[Esp])</f>
        <v>0</v>
      </c>
      <c r="W338" s="40">
        <f>SUMIF(Tabella1[Nome],Tabella4[[#This Row],[NOME]],Tabella1[Ass])</f>
        <v>0</v>
      </c>
      <c r="X338" s="40">
        <f>SUMIF(Tabella1[Nome],Tabella4[[#This Row],[NOME]],Tabella1[Gdv])</f>
        <v>0</v>
      </c>
      <c r="Y338" s="40">
        <f>SUMIF(Tabella1[Nome],Tabella4[[#This Row],[NOME]],Tabella1[cl sh])</f>
        <v>0</v>
      </c>
      <c r="Z338" s="270" t="str">
        <f>_xlfn.IFNA(_xlfn.XLOOKUP(CONCATENATE(Z$4,$C338),Tabella1[CONC X VOTI IN TAB GIOC],Tabella1[Voto],""),"")</f>
        <v/>
      </c>
      <c r="AA338" s="270" t="str">
        <f>_xlfn.IFNA(_xlfn.XLOOKUP(CONCATENATE(AA$4,$C338),Tabella1[CONC X VOTI IN TAB GIOC],Tabella1[Voto],""),"")</f>
        <v/>
      </c>
      <c r="AB338" s="270">
        <f>_xlfn.IFNA(_xlfn.XLOOKUP(CONCATENATE(AB$4,$C338),Tabella1[CONC X VOTI IN TAB GIOC],Tabella1[Voto]),"")</f>
        <v>7</v>
      </c>
      <c r="AC338" s="270" cm="1">
        <f t="array" ref="AC338">_xlfn.IFNA(_xlfn.XLOOKUP(CONCATENATE(AC$4,$C338),INDEX(Tabella1[],0,MATCH("CONC X VOTI IN TAB GIOC",Tabella1[#Headers],0)),INDEX(Tabella1[],0,MATCH("Voto",Tabella1[#Headers],0))),"")</f>
        <v>6.5</v>
      </c>
      <c r="AD338" s="270" t="str">
        <f>_xlfn.IFNA(_xlfn.XLOOKUP(CONCATENATE(AD$4,$C338),Tabella1[CONC X VOTI IN TAB GIOC],Tabella1[Voto]),"")</f>
        <v/>
      </c>
      <c r="AE338" s="270" t="str">
        <f>_xlfn.IFNA(VLOOKUP(CONCATENATE(AE$4,$C338),'INSER DATA'!$A:$F,6,0),"")</f>
        <v/>
      </c>
      <c r="AF338" s="270" t="str">
        <f>_xlfn.IFNA(VLOOKUP(CONCATENATE(AF$4,$C338),'INSER DATA'!$A:$F,6,0),"")</f>
        <v/>
      </c>
      <c r="AG338" s="270" t="str">
        <f>_xlfn.IFNA(VLOOKUP(CONCATENATE(AG$4,$C338),'INSER DATA'!$A:$F,6,0),"")</f>
        <v/>
      </c>
      <c r="AH338" s="270" t="str">
        <f>_xlfn.IFNA(VLOOKUP(CONCATENATE(AH$4,$C338),'INSER DATA'!$A:$F,7,0),"")</f>
        <v/>
      </c>
      <c r="AI338" s="270" t="str">
        <f>_xlfn.IFNA(VLOOKUP(CONCATENATE(AI$4,$C338),'INSER DATA'!$A:$F,7,0),"")</f>
        <v/>
      </c>
      <c r="AJ338" s="270" t="str">
        <f>_xlfn.IFNA(VLOOKUP(CONCATENATE(AJ$4,$C338),'INSER DATA'!$A:$F,7,0),"")</f>
        <v/>
      </c>
      <c r="AK338" s="270" t="str">
        <f>_xlfn.IFNA(VLOOKUP(CONCATENATE(AK$4,$C338),'INSER DATA'!$A:$F,7,0),"")</f>
        <v/>
      </c>
      <c r="AL338" s="270" t="str">
        <f>_xlfn.IFNA(VLOOKUP(CONCATENATE(AL$4,$C338),'INSER DATA'!$A:$F,7,0),"")</f>
        <v/>
      </c>
      <c r="AM338" s="270" t="str">
        <f>_xlfn.IFNA(VLOOKUP(CONCATENATE(AM$4,$C338),'INSER DATA'!$A:$F,7,0),"")</f>
        <v/>
      </c>
      <c r="AN338" s="270" t="str">
        <f>_xlfn.IFNA(VLOOKUP(CONCATENATE(AN$4,$C338),'INSER DATA'!$A:$F,7,0),"")</f>
        <v/>
      </c>
      <c r="AO338" s="270" t="str">
        <f>_xlfn.IFNA(VLOOKUP(CONCATENATE(AO$4,$C338),'INSER DATA'!$A:$F,7,0),"")</f>
        <v/>
      </c>
      <c r="AP338" s="270" t="str">
        <f>_xlfn.IFNA(VLOOKUP(CONCATENATE(AP$4,$C338),'INSER DATA'!$A:$F,7,0),"")</f>
        <v/>
      </c>
      <c r="AQ338" s="270" t="str">
        <f>_xlfn.IFNA(VLOOKUP(CONCATENATE(AQ$4,$C338),'INSER DATA'!$A:$F,7,0),"")</f>
        <v/>
      </c>
      <c r="AR338" s="270" t="str">
        <f>_xlfn.IFNA(VLOOKUP(CONCATENATE(AR$4,$C338),'INSER DATA'!$A:$F,7,0),"")</f>
        <v/>
      </c>
      <c r="AS338" s="270" t="str">
        <f>_xlfn.IFNA(VLOOKUP(CONCATENATE(AS$4,$C338),'INSER DATA'!$A:$F,7,0),"")</f>
        <v/>
      </c>
      <c r="AT338" s="270" t="str">
        <f>_xlfn.IFNA(VLOOKUP(CONCATENATE(AT$4,$C338),'INSER DATA'!$A:$F,7,0),"")</f>
        <v/>
      </c>
      <c r="AU338" s="270" t="str">
        <f>_xlfn.IFNA(VLOOKUP(CONCATENATE(AU$4,$C338),'INSER DATA'!$A:$F,7,0),"")</f>
        <v/>
      </c>
      <c r="AV338" s="270" t="str">
        <f>_xlfn.IFNA(VLOOKUP(CONCATENATE(AV$4,$C338),'INSER DATA'!$A:$F,7,0),"")</f>
        <v/>
      </c>
      <c r="AW338" s="270" t="str">
        <f>_xlfn.IFNA(VLOOKUP(CONCATENATE(AW$4,$C338),'INSER DATA'!$A:$F,7,0),"")</f>
        <v/>
      </c>
      <c r="AX338" s="270" t="str">
        <f>_xlfn.IFNA(VLOOKUP(CONCATENATE(AX$4,$C338),'INSER DATA'!$A:$F,7,0),"")</f>
        <v/>
      </c>
      <c r="AY338" s="270" t="str">
        <f>_xlfn.IFNA(VLOOKUP(CONCATENATE(AY$4,$C338),'INSER DATA'!$A:$F,7,0),"")</f>
        <v/>
      </c>
      <c r="AZ338" s="270" t="str">
        <f>_xlfn.IFNA(VLOOKUP(CONCATENATE(AZ$4,$C338),'INSER DATA'!$A:$F,7,0),"")</f>
        <v/>
      </c>
      <c r="BA338" s="270" t="str">
        <f>_xlfn.IFNA(VLOOKUP(CONCATENATE(BA$4,$C338),'INSER DATA'!$A:$F,7,0),"")</f>
        <v/>
      </c>
      <c r="BB338" s="270" t="str">
        <f>_xlfn.IFNA(VLOOKUP(CONCATENATE(BB$4,$C338),'INSER DATA'!$A:$F,7,0),"")</f>
        <v/>
      </c>
      <c r="BC338" s="270" t="str">
        <f>_xlfn.IFNA(VLOOKUP(CONCATENATE(BC$4,$C338),'INSER DATA'!$A:$F,7,0),"")</f>
        <v/>
      </c>
      <c r="BD338" s="270" t="str">
        <f>_xlfn.IFNA(VLOOKUP(CONCATENATE(BD$4,$C338),'INSER DATA'!$A:$F,7,0),"")</f>
        <v/>
      </c>
      <c r="BE338" s="270" t="str">
        <f>_xlfn.IFNA(VLOOKUP(CONCATENATE(BE$4,$C338),'INSER DATA'!$A:$F,7,0),"")</f>
        <v/>
      </c>
      <c r="BF338" s="270" t="str">
        <f>_xlfn.IFNA(VLOOKUP(CONCATENATE(BF$4,$C338),'INSER DATA'!$A:$F,7,0),"")</f>
        <v/>
      </c>
      <c r="BG338" s="270" t="str">
        <f>_xlfn.IFNA(VLOOKUP(CONCATENATE(BG$4,$C338),'INSER DATA'!$A:$F,7,0),"")</f>
        <v/>
      </c>
      <c r="BH338" s="270" t="str">
        <f>_xlfn.IFNA(VLOOKUP(CONCATENATE(BH$4,$C338),'INSER DATA'!$A:$F,7,0),"")</f>
        <v/>
      </c>
      <c r="BI338" s="270" t="str">
        <f>_xlfn.IFNA(VLOOKUP(CONCATENATE(BI$4,$C338),'INSER DATA'!$A:$F,7,0),"")</f>
        <v/>
      </c>
      <c r="BJ338" s="270" t="str">
        <f>_xlfn.IFNA(VLOOKUP(CONCATENATE(BJ$4,$C338),'INSER DATA'!$A:$F,7,0),"")</f>
        <v/>
      </c>
      <c r="BK338" s="270" t="str">
        <f>_xlfn.IFNA(VLOOKUP(CONCATENATE(BK$4,$C338),'INSER DATA'!$A:$F,7,0),"")</f>
        <v/>
      </c>
      <c r="BL338" s="272"/>
      <c r="BM338" s="30"/>
      <c r="BN338" s="30"/>
      <c r="BO338" s="30"/>
      <c r="BP338" s="30"/>
      <c r="BQ338" s="30"/>
      <c r="BR338" s="30"/>
      <c r="BS338" s="30"/>
      <c r="BT338" s="30"/>
      <c r="BU338" s="30"/>
      <c r="BV338" s="30"/>
      <c r="BW338" s="30"/>
      <c r="BX338" s="30"/>
      <c r="BY338" s="30"/>
      <c r="BZ338" s="30"/>
      <c r="CA338" s="30"/>
      <c r="CB338" s="30"/>
      <c r="CC338" s="30"/>
      <c r="CD338" s="30"/>
      <c r="CE338" s="30"/>
      <c r="CF338" s="30"/>
      <c r="CG338" s="30"/>
      <c r="CH338" s="30"/>
      <c r="CI338" s="30"/>
      <c r="CJ338" s="30"/>
      <c r="CK338" s="30"/>
      <c r="CL338" s="30"/>
      <c r="CM338" s="30"/>
      <c r="CN338" s="30"/>
      <c r="CO338" s="30"/>
      <c r="CP338" s="30"/>
      <c r="CQ338" s="30"/>
      <c r="CR338" s="30"/>
      <c r="CS338" s="30"/>
      <c r="CT338" s="30"/>
      <c r="CU338" s="30"/>
      <c r="CV338" s="30"/>
      <c r="CW338" s="30"/>
      <c r="CX338" s="30"/>
      <c r="CY338" s="30"/>
      <c r="CZ338" s="30"/>
      <c r="DA338" s="30"/>
    </row>
    <row r="339" spans="1:105" ht="19.2" thickTop="1" thickBot="1" x14ac:dyDescent="0.4">
      <c r="A339" s="30"/>
      <c r="B339" s="30"/>
      <c r="C339" s="356" t="s">
        <v>868</v>
      </c>
      <c r="D339" s="355" t="s">
        <v>860</v>
      </c>
      <c r="E339" s="35" t="str">
        <f>_xlfn.XLOOKUP(Tabella4[[#This Row],[NOME]],'ROSE SQUADRE'!$N$3:$N$253,'ROSE SQUADRE'!$O$3:$O$253,"")</f>
        <v>SESTO ASENSIO</v>
      </c>
      <c r="F339" s="36" t="s">
        <v>162</v>
      </c>
      <c r="G339" s="43">
        <v>8</v>
      </c>
      <c r="H339" s="43">
        <v>10</v>
      </c>
      <c r="I339" s="44">
        <f t="shared" si="31"/>
        <v>2</v>
      </c>
      <c r="J339" s="37">
        <f t="shared" si="32"/>
        <v>3</v>
      </c>
      <c r="K339" s="38">
        <f t="shared" si="33"/>
        <v>6.333333333333333</v>
      </c>
      <c r="L339" s="38">
        <f t="shared" si="34"/>
        <v>7.5</v>
      </c>
      <c r="M339" s="39">
        <f t="shared" si="35"/>
        <v>22.5</v>
      </c>
      <c r="N339" s="45">
        <f t="shared" ca="1" si="36"/>
        <v>0</v>
      </c>
      <c r="O339" s="40">
        <f>SUMIF(Tabella1[Nome],Tabella4[[#This Row],[NOME]],Tabella1[Gf])</f>
        <v>1</v>
      </c>
      <c r="P339" s="40">
        <f>-(SUMIF(Tabella1[Nome],Tabella4[[#This Row],[NOME]],Tabella1[Gs]))</f>
        <v>0</v>
      </c>
      <c r="Q339" s="40">
        <f>SUMIF(Tabella1[Nome],Tabella4[[#This Row],[NOME]],Tabella1[Rp])</f>
        <v>0</v>
      </c>
      <c r="R339" s="40">
        <f>SUMIF(Tabella1[Nome],Tabella4[[#This Row],[NOME]],Tabella1[Rs])</f>
        <v>0</v>
      </c>
      <c r="S339" s="40">
        <f>SUMIF(Tabella1[Nome],Tabella4[[#This Row],[NOME]],Tabella1[Rf])</f>
        <v>0</v>
      </c>
      <c r="T339" s="40">
        <f>SUMIF(Tabella1[Nome],Tabella4[[#This Row],[NOME]],Tabella1[Au])</f>
        <v>0</v>
      </c>
      <c r="U339" s="41">
        <f>SUMIF(Tabella1[Nome],Tabella4[[#This Row],[NOME]],Tabella1[Amm])</f>
        <v>1</v>
      </c>
      <c r="V339" s="42">
        <f>SUMIF(Tabella1[Nome],Tabella4[[#This Row],[NOME]],Tabella1[Esp])</f>
        <v>0</v>
      </c>
      <c r="W339" s="40">
        <f>SUMIF(Tabella1[Nome],Tabella4[[#This Row],[NOME]],Tabella1[Ass])</f>
        <v>1</v>
      </c>
      <c r="X339" s="40">
        <f>SUMIF(Tabella1[Nome],Tabella4[[#This Row],[NOME]],Tabella1[Gdv])</f>
        <v>0</v>
      </c>
      <c r="Y339" s="40">
        <f>SUMIF(Tabella1[Nome],Tabella4[[#This Row],[NOME]],Tabella1[cl sh])</f>
        <v>0</v>
      </c>
      <c r="Z339" s="270">
        <f>_xlfn.IFNA(_xlfn.XLOOKUP(CONCATENATE(Z$4,$C339),Tabella1[CONC X VOTI IN TAB GIOC],Tabella1[Voto],""),"")</f>
        <v>7.5</v>
      </c>
      <c r="AA339" s="270" t="str">
        <f>_xlfn.IFNA(_xlfn.XLOOKUP(CONCATENATE(AA$4,$C339),Tabella1[CONC X VOTI IN TAB GIOC],Tabella1[Voto],""),"")</f>
        <v/>
      </c>
      <c r="AB339" s="270">
        <f>_xlfn.IFNA(_xlfn.XLOOKUP(CONCATENATE(AB$4,$C339),Tabella1[CONC X VOTI IN TAB GIOC],Tabella1[Voto]),"")</f>
        <v>5.5</v>
      </c>
      <c r="AC339" s="270" cm="1">
        <f t="array" ref="AC339">_xlfn.IFNA(_xlfn.XLOOKUP(CONCATENATE(AC$4,$C339),INDEX(Tabella1[],0,MATCH("CONC X VOTI IN TAB GIOC",Tabella1[#Headers],0)),INDEX(Tabella1[],0,MATCH("Voto",Tabella1[#Headers],0))),"")</f>
        <v>6</v>
      </c>
      <c r="AD339" s="270" t="str">
        <f>_xlfn.IFNA(_xlfn.XLOOKUP(CONCATENATE(AD$4,$C339),Tabella1[CONC X VOTI IN TAB GIOC],Tabella1[Voto]),"")</f>
        <v/>
      </c>
      <c r="AE339" s="270" t="str">
        <f>_xlfn.IFNA(VLOOKUP(CONCATENATE(AE$4,$C339),'INSER DATA'!$A:$F,6,0),"")</f>
        <v/>
      </c>
      <c r="AF339" s="270" t="str">
        <f>_xlfn.IFNA(VLOOKUP(CONCATENATE(AF$4,$C339),'INSER DATA'!$A:$F,6,0),"")</f>
        <v/>
      </c>
      <c r="AG339" s="270" t="str">
        <f>_xlfn.IFNA(VLOOKUP(CONCATENATE(AG$4,$C339),'INSER DATA'!$A:$F,6,0),"")</f>
        <v/>
      </c>
      <c r="AH339" s="270" t="str">
        <f>_xlfn.IFNA(VLOOKUP(CONCATENATE(AH$4,$C339),'INSER DATA'!$A:$F,7,0),"")</f>
        <v/>
      </c>
      <c r="AI339" s="270" t="str">
        <f>_xlfn.IFNA(VLOOKUP(CONCATENATE(AI$4,$C339),'INSER DATA'!$A:$F,7,0),"")</f>
        <v/>
      </c>
      <c r="AJ339" s="270" t="str">
        <f>_xlfn.IFNA(VLOOKUP(CONCATENATE(AJ$4,$C339),'INSER DATA'!$A:$F,7,0),"")</f>
        <v/>
      </c>
      <c r="AK339" s="270" t="str">
        <f>_xlfn.IFNA(VLOOKUP(CONCATENATE(AK$4,$C339),'INSER DATA'!$A:$F,7,0),"")</f>
        <v/>
      </c>
      <c r="AL339" s="270" t="str">
        <f>_xlfn.IFNA(VLOOKUP(CONCATENATE(AL$4,$C339),'INSER DATA'!$A:$F,7,0),"")</f>
        <v/>
      </c>
      <c r="AM339" s="270" t="str">
        <f>_xlfn.IFNA(VLOOKUP(CONCATENATE(AM$4,$C339),'INSER DATA'!$A:$F,7,0),"")</f>
        <v/>
      </c>
      <c r="AN339" s="270" t="str">
        <f>_xlfn.IFNA(VLOOKUP(CONCATENATE(AN$4,$C339),'INSER DATA'!$A:$F,7,0),"")</f>
        <v/>
      </c>
      <c r="AO339" s="270" t="str">
        <f>_xlfn.IFNA(VLOOKUP(CONCATENATE(AO$4,$C339),'INSER DATA'!$A:$F,7,0),"")</f>
        <v/>
      </c>
      <c r="AP339" s="270" t="str">
        <f>_xlfn.IFNA(VLOOKUP(CONCATENATE(AP$4,$C339),'INSER DATA'!$A:$F,7,0),"")</f>
        <v/>
      </c>
      <c r="AQ339" s="270" t="str">
        <f>_xlfn.IFNA(VLOOKUP(CONCATENATE(AQ$4,$C339),'INSER DATA'!$A:$F,7,0),"")</f>
        <v/>
      </c>
      <c r="AR339" s="270" t="str">
        <f>_xlfn.IFNA(VLOOKUP(CONCATENATE(AR$4,$C339),'INSER DATA'!$A:$F,7,0),"")</f>
        <v/>
      </c>
      <c r="AS339" s="270" t="str">
        <f>_xlfn.IFNA(VLOOKUP(CONCATENATE(AS$4,$C339),'INSER DATA'!$A:$F,7,0),"")</f>
        <v/>
      </c>
      <c r="AT339" s="270" t="str">
        <f>_xlfn.IFNA(VLOOKUP(CONCATENATE(AT$4,$C339),'INSER DATA'!$A:$F,7,0),"")</f>
        <v/>
      </c>
      <c r="AU339" s="270" t="str">
        <f>_xlfn.IFNA(VLOOKUP(CONCATENATE(AU$4,$C339),'INSER DATA'!$A:$F,7,0),"")</f>
        <v/>
      </c>
      <c r="AV339" s="270" t="str">
        <f>_xlfn.IFNA(VLOOKUP(CONCATENATE(AV$4,$C339),'INSER DATA'!$A:$F,7,0),"")</f>
        <v/>
      </c>
      <c r="AW339" s="270" t="str">
        <f>_xlfn.IFNA(VLOOKUP(CONCATENATE(AW$4,$C339),'INSER DATA'!$A:$F,7,0),"")</f>
        <v/>
      </c>
      <c r="AX339" s="270" t="str">
        <f>_xlfn.IFNA(VLOOKUP(CONCATENATE(AX$4,$C339),'INSER DATA'!$A:$F,7,0),"")</f>
        <v/>
      </c>
      <c r="AY339" s="270" t="str">
        <f>_xlfn.IFNA(VLOOKUP(CONCATENATE(AY$4,$C339),'INSER DATA'!$A:$F,7,0),"")</f>
        <v/>
      </c>
      <c r="AZ339" s="270" t="str">
        <f>_xlfn.IFNA(VLOOKUP(CONCATENATE(AZ$4,$C339),'INSER DATA'!$A:$F,7,0),"")</f>
        <v/>
      </c>
      <c r="BA339" s="270" t="str">
        <f>_xlfn.IFNA(VLOOKUP(CONCATENATE(BA$4,$C339),'INSER DATA'!$A:$F,7,0),"")</f>
        <v/>
      </c>
      <c r="BB339" s="270" t="str">
        <f>_xlfn.IFNA(VLOOKUP(CONCATENATE(BB$4,$C339),'INSER DATA'!$A:$F,7,0),"")</f>
        <v/>
      </c>
      <c r="BC339" s="270" t="str">
        <f>_xlfn.IFNA(VLOOKUP(CONCATENATE(BC$4,$C339),'INSER DATA'!$A:$F,7,0),"")</f>
        <v/>
      </c>
      <c r="BD339" s="270" t="str">
        <f>_xlfn.IFNA(VLOOKUP(CONCATENATE(BD$4,$C339),'INSER DATA'!$A:$F,7,0),"")</f>
        <v/>
      </c>
      <c r="BE339" s="270" t="str">
        <f>_xlfn.IFNA(VLOOKUP(CONCATENATE(BE$4,$C339),'INSER DATA'!$A:$F,7,0),"")</f>
        <v/>
      </c>
      <c r="BF339" s="270" t="str">
        <f>_xlfn.IFNA(VLOOKUP(CONCATENATE(BF$4,$C339),'INSER DATA'!$A:$F,7,0),"")</f>
        <v/>
      </c>
      <c r="BG339" s="270" t="str">
        <f>_xlfn.IFNA(VLOOKUP(CONCATENATE(BG$4,$C339),'INSER DATA'!$A:$F,7,0),"")</f>
        <v/>
      </c>
      <c r="BH339" s="270" t="str">
        <f>_xlfn.IFNA(VLOOKUP(CONCATENATE(BH$4,$C339),'INSER DATA'!$A:$F,7,0),"")</f>
        <v/>
      </c>
      <c r="BI339" s="270" t="str">
        <f>_xlfn.IFNA(VLOOKUP(CONCATENATE(BI$4,$C339),'INSER DATA'!$A:$F,7,0),"")</f>
        <v/>
      </c>
      <c r="BJ339" s="270" t="str">
        <f>_xlfn.IFNA(VLOOKUP(CONCATENATE(BJ$4,$C339),'INSER DATA'!$A:$F,7,0),"")</f>
        <v/>
      </c>
      <c r="BK339" s="270" t="str">
        <f>_xlfn.IFNA(VLOOKUP(CONCATENATE(BK$4,$C339),'INSER DATA'!$A:$F,7,0),"")</f>
        <v/>
      </c>
      <c r="BL339" s="272"/>
      <c r="BM339" s="30"/>
      <c r="BN339" s="30"/>
      <c r="BO339" s="30"/>
      <c r="BP339" s="30"/>
      <c r="BQ339" s="30"/>
      <c r="BR339" s="30"/>
      <c r="BS339" s="30"/>
      <c r="BT339" s="30"/>
      <c r="BU339" s="30"/>
      <c r="BV339" s="30"/>
      <c r="BW339" s="30"/>
      <c r="BX339" s="30"/>
      <c r="BY339" s="30"/>
      <c r="BZ339" s="30"/>
      <c r="CA339" s="30"/>
      <c r="CB339" s="30"/>
      <c r="CC339" s="30"/>
      <c r="CD339" s="30"/>
      <c r="CE339" s="30"/>
      <c r="CF339" s="30"/>
      <c r="CG339" s="30"/>
      <c r="CH339" s="30"/>
      <c r="CI339" s="30"/>
      <c r="CJ339" s="30"/>
      <c r="CK339" s="30"/>
      <c r="CL339" s="30"/>
      <c r="CM339" s="30"/>
      <c r="CN339" s="30"/>
      <c r="CO339" s="30"/>
      <c r="CP339" s="30"/>
      <c r="CQ339" s="30"/>
      <c r="CR339" s="30"/>
      <c r="CS339" s="30"/>
      <c r="CT339" s="30"/>
      <c r="CU339" s="30"/>
      <c r="CV339" s="30"/>
      <c r="CW339" s="30"/>
      <c r="CX339" s="30"/>
      <c r="CY339" s="30"/>
      <c r="CZ339" s="30"/>
      <c r="DA339" s="30"/>
    </row>
    <row r="340" spans="1:105" ht="19.2" thickTop="1" thickBot="1" x14ac:dyDescent="0.4">
      <c r="A340" s="30"/>
      <c r="B340" s="30"/>
      <c r="C340" s="356" t="s">
        <v>864</v>
      </c>
      <c r="D340" s="355" t="s">
        <v>860</v>
      </c>
      <c r="E340" s="35" t="str">
        <f>_xlfn.XLOOKUP(Tabella4[[#This Row],[NOME]],'ROSE SQUADRE'!$N$3:$N$253,'ROSE SQUADRE'!$O$3:$O$253,"")</f>
        <v>FC INTERNAZIOANALE</v>
      </c>
      <c r="F340" s="36" t="s">
        <v>162</v>
      </c>
      <c r="G340" s="43">
        <v>28</v>
      </c>
      <c r="H340" s="43">
        <v>28</v>
      </c>
      <c r="I340" s="44">
        <f t="shared" si="31"/>
        <v>0</v>
      </c>
      <c r="J340" s="37">
        <f t="shared" si="32"/>
        <v>4</v>
      </c>
      <c r="K340" s="178">
        <f t="shared" si="33"/>
        <v>6.625</v>
      </c>
      <c r="L340" s="178">
        <f t="shared" si="34"/>
        <v>7.875</v>
      </c>
      <c r="M340" s="179">
        <f t="shared" si="35"/>
        <v>31.5</v>
      </c>
      <c r="N340" s="45">
        <f t="shared" ca="1" si="36"/>
        <v>0</v>
      </c>
      <c r="O340" s="40">
        <f>SUMIF(Tabella1[Nome],Tabella4[[#This Row],[NOME]],Tabella1[Gf])</f>
        <v>1</v>
      </c>
      <c r="P340" s="40">
        <f>-(SUMIF(Tabella1[Nome],Tabella4[[#This Row],[NOME]],Tabella1[Gs]))</f>
        <v>0</v>
      </c>
      <c r="Q340" s="40">
        <f>SUMIF(Tabella1[Nome],Tabella4[[#This Row],[NOME]],Tabella1[Rp])</f>
        <v>0</v>
      </c>
      <c r="R340" s="40">
        <f>SUMIF(Tabella1[Nome],Tabella4[[#This Row],[NOME]],Tabella1[Rs])</f>
        <v>0</v>
      </c>
      <c r="S340" s="40">
        <f>SUMIF(Tabella1[Nome],Tabella4[[#This Row],[NOME]],Tabella1[Rf])</f>
        <v>0</v>
      </c>
      <c r="T340" s="40">
        <f>SUMIF(Tabella1[Nome],Tabella4[[#This Row],[NOME]],Tabella1[Au])</f>
        <v>0</v>
      </c>
      <c r="U340" s="41">
        <f>SUMIF(Tabella1[Nome],Tabella4[[#This Row],[NOME]],Tabella1[Amm])</f>
        <v>0</v>
      </c>
      <c r="V340" s="42">
        <f>SUMIF(Tabella1[Nome],Tabella4[[#This Row],[NOME]],Tabella1[Esp])</f>
        <v>0</v>
      </c>
      <c r="W340" s="40">
        <f>SUMIF(Tabella1[Nome],Tabella4[[#This Row],[NOME]],Tabella1[Ass])</f>
        <v>1</v>
      </c>
      <c r="X340" s="40">
        <f>SUMIF(Tabella1[Nome],Tabella4[[#This Row],[NOME]],Tabella1[Gdv])</f>
        <v>1</v>
      </c>
      <c r="Y340" s="40">
        <f>SUMIF(Tabella1[Nome],Tabella4[[#This Row],[NOME]],Tabella1[cl sh])</f>
        <v>0</v>
      </c>
      <c r="Z340" s="270">
        <f>_xlfn.IFNA(_xlfn.XLOOKUP(CONCATENATE(Z$4,$C340),Tabella1[CONC X VOTI IN TAB GIOC],Tabella1[Voto],""),"")</f>
        <v>7.5</v>
      </c>
      <c r="AA340" s="270">
        <f>_xlfn.IFNA(_xlfn.XLOOKUP(CONCATENATE(AA$4,$C340),Tabella1[CONC X VOTI IN TAB GIOC],Tabella1[Voto],""),"")</f>
        <v>6.5</v>
      </c>
      <c r="AB340" s="270">
        <f>_xlfn.IFNA(_xlfn.XLOOKUP(CONCATENATE(AB$4,$C340),Tabella1[CONC X VOTI IN TAB GIOC],Tabella1[Voto]),"")</f>
        <v>6</v>
      </c>
      <c r="AC340" s="270" cm="1">
        <f t="array" ref="AC340">_xlfn.IFNA(_xlfn.XLOOKUP(CONCATENATE(AC$4,$C340),INDEX(Tabella1[],0,MATCH("CONC X VOTI IN TAB GIOC",Tabella1[#Headers],0)),INDEX(Tabella1[],0,MATCH("Voto",Tabella1[#Headers],0))),"")</f>
        <v>6.5</v>
      </c>
      <c r="AD340" s="270" t="str">
        <f>_xlfn.IFNA(_xlfn.XLOOKUP(CONCATENATE(AD$4,$C340),Tabella1[CONC X VOTI IN TAB GIOC],Tabella1[Voto]),"")</f>
        <v/>
      </c>
      <c r="AE340" s="270" t="str">
        <f>_xlfn.IFNA(VLOOKUP(CONCATENATE(AE$4,$C340),'INSER DATA'!$A:$F,6,0),"")</f>
        <v/>
      </c>
      <c r="AF340" s="270" t="str">
        <f>_xlfn.IFNA(VLOOKUP(CONCATENATE(AF$4,$C340),'INSER DATA'!$A:$F,6,0),"")</f>
        <v/>
      </c>
      <c r="AG340" s="270" t="str">
        <f>_xlfn.IFNA(VLOOKUP(CONCATENATE(AG$4,$C340),'INSER DATA'!$A:$F,6,0),"")</f>
        <v/>
      </c>
      <c r="AH340" s="270" t="str">
        <f>_xlfn.IFNA(VLOOKUP(CONCATENATE(AH$4,$C340),'INSER DATA'!$A:$F,7,0),"")</f>
        <v/>
      </c>
      <c r="AI340" s="270" t="str">
        <f>_xlfn.IFNA(VLOOKUP(CONCATENATE(AI$4,$C340),'INSER DATA'!$A:$F,7,0),"")</f>
        <v/>
      </c>
      <c r="AJ340" s="270" t="str">
        <f>_xlfn.IFNA(VLOOKUP(CONCATENATE(AJ$4,$C340),'INSER DATA'!$A:$F,7,0),"")</f>
        <v/>
      </c>
      <c r="AK340" s="270" t="str">
        <f>_xlfn.IFNA(VLOOKUP(CONCATENATE(AK$4,$C340),'INSER DATA'!$A:$F,7,0),"")</f>
        <v/>
      </c>
      <c r="AL340" s="270" t="str">
        <f>_xlfn.IFNA(VLOOKUP(CONCATENATE(AL$4,$C340),'INSER DATA'!$A:$F,7,0),"")</f>
        <v/>
      </c>
      <c r="AM340" s="270" t="str">
        <f>_xlfn.IFNA(VLOOKUP(CONCATENATE(AM$4,$C340),'INSER DATA'!$A:$F,7,0),"")</f>
        <v/>
      </c>
      <c r="AN340" s="270" t="str">
        <f>_xlfn.IFNA(VLOOKUP(CONCATENATE(AN$4,$C340),'INSER DATA'!$A:$F,7,0),"")</f>
        <v/>
      </c>
      <c r="AO340" s="270" t="str">
        <f>_xlfn.IFNA(VLOOKUP(CONCATENATE(AO$4,$C340),'INSER DATA'!$A:$F,7,0),"")</f>
        <v/>
      </c>
      <c r="AP340" s="270" t="str">
        <f>_xlfn.IFNA(VLOOKUP(CONCATENATE(AP$4,$C340),'INSER DATA'!$A:$F,7,0),"")</f>
        <v/>
      </c>
      <c r="AQ340" s="270" t="str">
        <f>_xlfn.IFNA(VLOOKUP(CONCATENATE(AQ$4,$C340),'INSER DATA'!$A:$F,7,0),"")</f>
        <v/>
      </c>
      <c r="AR340" s="270" t="str">
        <f>_xlfn.IFNA(VLOOKUP(CONCATENATE(AR$4,$C340),'INSER DATA'!$A:$F,7,0),"")</f>
        <v/>
      </c>
      <c r="AS340" s="270" t="str">
        <f>_xlfn.IFNA(VLOOKUP(CONCATENATE(AS$4,$C340),'INSER DATA'!$A:$F,7,0),"")</f>
        <v/>
      </c>
      <c r="AT340" s="270" t="str">
        <f>_xlfn.IFNA(VLOOKUP(CONCATENATE(AT$4,$C340),'INSER DATA'!$A:$F,7,0),"")</f>
        <v/>
      </c>
      <c r="AU340" s="270" t="str">
        <f>_xlfn.IFNA(VLOOKUP(CONCATENATE(AU$4,$C340),'INSER DATA'!$A:$F,7,0),"")</f>
        <v/>
      </c>
      <c r="AV340" s="270" t="str">
        <f>_xlfn.IFNA(VLOOKUP(CONCATENATE(AV$4,$C340),'INSER DATA'!$A:$F,7,0),"")</f>
        <v/>
      </c>
      <c r="AW340" s="270" t="str">
        <f>_xlfn.IFNA(VLOOKUP(CONCATENATE(AW$4,$C340),'INSER DATA'!$A:$F,7,0),"")</f>
        <v/>
      </c>
      <c r="AX340" s="270" t="str">
        <f>_xlfn.IFNA(VLOOKUP(CONCATENATE(AX$4,$C340),'INSER DATA'!$A:$F,7,0),"")</f>
        <v/>
      </c>
      <c r="AY340" s="270" t="str">
        <f>_xlfn.IFNA(VLOOKUP(CONCATENATE(AY$4,$C340),'INSER DATA'!$A:$F,7,0),"")</f>
        <v/>
      </c>
      <c r="AZ340" s="270" t="str">
        <f>_xlfn.IFNA(VLOOKUP(CONCATENATE(AZ$4,$C340),'INSER DATA'!$A:$F,7,0),"")</f>
        <v/>
      </c>
      <c r="BA340" s="270" t="str">
        <f>_xlfn.IFNA(VLOOKUP(CONCATENATE(BA$4,$C340),'INSER DATA'!$A:$F,7,0),"")</f>
        <v/>
      </c>
      <c r="BB340" s="270" t="str">
        <f>_xlfn.IFNA(VLOOKUP(CONCATENATE(BB$4,$C340),'INSER DATA'!$A:$F,7,0),"")</f>
        <v/>
      </c>
      <c r="BC340" s="270" t="str">
        <f>_xlfn.IFNA(VLOOKUP(CONCATENATE(BC$4,$C340),'INSER DATA'!$A:$F,7,0),"")</f>
        <v/>
      </c>
      <c r="BD340" s="270" t="str">
        <f>_xlfn.IFNA(VLOOKUP(CONCATENATE(BD$4,$C340),'INSER DATA'!$A:$F,7,0),"")</f>
        <v/>
      </c>
      <c r="BE340" s="270" t="str">
        <f>_xlfn.IFNA(VLOOKUP(CONCATENATE(BE$4,$C340),'INSER DATA'!$A:$F,7,0),"")</f>
        <v/>
      </c>
      <c r="BF340" s="270" t="str">
        <f>_xlfn.IFNA(VLOOKUP(CONCATENATE(BF$4,$C340),'INSER DATA'!$A:$F,7,0),"")</f>
        <v/>
      </c>
      <c r="BG340" s="270" t="str">
        <f>_xlfn.IFNA(VLOOKUP(CONCATENATE(BG$4,$C340),'INSER DATA'!$A:$F,7,0),"")</f>
        <v/>
      </c>
      <c r="BH340" s="270" t="str">
        <f>_xlfn.IFNA(VLOOKUP(CONCATENATE(BH$4,$C340),'INSER DATA'!$A:$F,7,0),"")</f>
        <v/>
      </c>
      <c r="BI340" s="270" t="str">
        <f>_xlfn.IFNA(VLOOKUP(CONCATENATE(BI$4,$C340),'INSER DATA'!$A:$F,7,0),"")</f>
        <v/>
      </c>
      <c r="BJ340" s="270" t="str">
        <f>_xlfn.IFNA(VLOOKUP(CONCATENATE(BJ$4,$C340),'INSER DATA'!$A:$F,7,0),"")</f>
        <v/>
      </c>
      <c r="BK340" s="270" t="str">
        <f>_xlfn.IFNA(VLOOKUP(CONCATENATE(BK$4,$C340),'INSER DATA'!$A:$F,7,0),"")</f>
        <v/>
      </c>
      <c r="BL340" s="272"/>
      <c r="BM340" s="30"/>
      <c r="BN340" s="30"/>
      <c r="BO340" s="30"/>
      <c r="BP340" s="30"/>
      <c r="BQ340" s="30"/>
      <c r="BR340" s="30"/>
      <c r="BS340" s="30"/>
      <c r="BT340" s="30"/>
      <c r="BU340" s="30"/>
      <c r="BV340" s="30"/>
      <c r="BW340" s="30"/>
      <c r="BX340" s="30"/>
      <c r="BY340" s="30"/>
      <c r="BZ340" s="30"/>
      <c r="CA340" s="30"/>
      <c r="CB340" s="30"/>
      <c r="CC340" s="30"/>
      <c r="CD340" s="30"/>
      <c r="CE340" s="30"/>
      <c r="CF340" s="30"/>
      <c r="CG340" s="30"/>
      <c r="CH340" s="30"/>
      <c r="CI340" s="30"/>
      <c r="CJ340" s="30"/>
      <c r="CK340" s="30"/>
      <c r="CL340" s="30"/>
      <c r="CM340" s="30"/>
      <c r="CN340" s="30"/>
      <c r="CO340" s="30"/>
      <c r="CP340" s="30"/>
      <c r="CQ340" s="30"/>
      <c r="CR340" s="30"/>
      <c r="CS340" s="30"/>
      <c r="CT340" s="30"/>
      <c r="CU340" s="30"/>
      <c r="CV340" s="30"/>
      <c r="CW340" s="30"/>
      <c r="CX340" s="30"/>
      <c r="CY340" s="30"/>
      <c r="CZ340" s="30"/>
      <c r="DA340" s="30"/>
    </row>
    <row r="341" spans="1:105" ht="19.2" thickTop="1" thickBot="1" x14ac:dyDescent="0.4">
      <c r="A341" s="30"/>
      <c r="B341" s="30"/>
      <c r="C341" s="356" t="s">
        <v>472</v>
      </c>
      <c r="D341" s="355" t="s">
        <v>860</v>
      </c>
      <c r="E341" s="35" t="str">
        <f>_xlfn.XLOOKUP(Tabella4[[#This Row],[NOME]],'ROSE SQUADRE'!$N$3:$N$253,'ROSE SQUADRE'!$O$3:$O$253,"")</f>
        <v>PESCICULINI</v>
      </c>
      <c r="F341" s="36" t="s">
        <v>163</v>
      </c>
      <c r="G341" s="43">
        <v>3</v>
      </c>
      <c r="H341" s="43">
        <v>4</v>
      </c>
      <c r="I341" s="44">
        <f t="shared" si="31"/>
        <v>1</v>
      </c>
      <c r="J341" s="37">
        <f t="shared" si="32"/>
        <v>3</v>
      </c>
      <c r="K341" s="38">
        <f t="shared" si="33"/>
        <v>5.833333333333333</v>
      </c>
      <c r="L341" s="38">
        <f t="shared" si="34"/>
        <v>5.833333333333333</v>
      </c>
      <c r="M341" s="39">
        <f t="shared" si="35"/>
        <v>17.5</v>
      </c>
      <c r="N341" s="45">
        <f t="shared" ca="1" si="36"/>
        <v>0</v>
      </c>
      <c r="O341" s="40">
        <f>SUMIF(Tabella1[Nome],Tabella4[[#This Row],[NOME]],Tabella1[Gf])</f>
        <v>0</v>
      </c>
      <c r="P341" s="40">
        <f>-(SUMIF(Tabella1[Nome],Tabella4[[#This Row],[NOME]],Tabella1[Gs]))</f>
        <v>0</v>
      </c>
      <c r="Q341" s="40">
        <f>SUMIF(Tabella1[Nome],Tabella4[[#This Row],[NOME]],Tabella1[Rp])</f>
        <v>0</v>
      </c>
      <c r="R341" s="40">
        <f>SUMIF(Tabella1[Nome],Tabella4[[#This Row],[NOME]],Tabella1[Rs])</f>
        <v>0</v>
      </c>
      <c r="S341" s="40">
        <f>SUMIF(Tabella1[Nome],Tabella4[[#This Row],[NOME]],Tabella1[Rf])</f>
        <v>0</v>
      </c>
      <c r="T341" s="40">
        <f>SUMIF(Tabella1[Nome],Tabella4[[#This Row],[NOME]],Tabella1[Au])</f>
        <v>0</v>
      </c>
      <c r="U341" s="41">
        <f>SUMIF(Tabella1[Nome],Tabella4[[#This Row],[NOME]],Tabella1[Amm])</f>
        <v>0</v>
      </c>
      <c r="V341" s="42">
        <f>SUMIF(Tabella1[Nome],Tabella4[[#This Row],[NOME]],Tabella1[Esp])</f>
        <v>0</v>
      </c>
      <c r="W341" s="40">
        <f>SUMIF(Tabella1[Nome],Tabella4[[#This Row],[NOME]],Tabella1[Ass])</f>
        <v>0</v>
      </c>
      <c r="X341" s="40">
        <f>SUMIF(Tabella1[Nome],Tabella4[[#This Row],[NOME]],Tabella1[Gdv])</f>
        <v>0</v>
      </c>
      <c r="Y341" s="40">
        <f>SUMIF(Tabella1[Nome],Tabella4[[#This Row],[NOME]],Tabella1[cl sh])</f>
        <v>0</v>
      </c>
      <c r="Z341" s="270">
        <f>_xlfn.IFNA(_xlfn.XLOOKUP(CONCATENATE(Z$4,$C341),Tabella1[CONC X VOTI IN TAB GIOC],Tabella1[Voto],""),"")</f>
        <v>6.5</v>
      </c>
      <c r="AA341" s="270" t="str">
        <f>_xlfn.IFNA(_xlfn.XLOOKUP(CONCATENATE(AA$4,$C341),Tabella1[CONC X VOTI IN TAB GIOC],Tabella1[Voto],""),"")</f>
        <v/>
      </c>
      <c r="AB341" s="270">
        <f>_xlfn.IFNA(_xlfn.XLOOKUP(CONCATENATE(AB$4,$C341),Tabella1[CONC X VOTI IN TAB GIOC],Tabella1[Voto]),"")</f>
        <v>5.5</v>
      </c>
      <c r="AC341" s="270" cm="1">
        <f t="array" ref="AC341">_xlfn.IFNA(_xlfn.XLOOKUP(CONCATENATE(AC$4,$C341),INDEX(Tabella1[],0,MATCH("CONC X VOTI IN TAB GIOC",Tabella1[#Headers],0)),INDEX(Tabella1[],0,MATCH("Voto",Tabella1[#Headers],0))),"")</f>
        <v>5.5</v>
      </c>
      <c r="AD341" s="270" t="str">
        <f>_xlfn.IFNA(_xlfn.XLOOKUP(CONCATENATE(AD$4,$C341),Tabella1[CONC X VOTI IN TAB GIOC],Tabella1[Voto]),"")</f>
        <v/>
      </c>
      <c r="AE341" s="270" t="str">
        <f>_xlfn.IFNA(VLOOKUP(CONCATENATE(AE$4,$C341),'INSER DATA'!$A:$F,6,0),"")</f>
        <v/>
      </c>
      <c r="AF341" s="270" t="str">
        <f>_xlfn.IFNA(VLOOKUP(CONCATENATE(AF$4,$C341),'INSER DATA'!$A:$F,6,0),"")</f>
        <v/>
      </c>
      <c r="AG341" s="270" t="str">
        <f>_xlfn.IFNA(VLOOKUP(CONCATENATE(AG$4,$C341),'INSER DATA'!$A:$F,6,0),"")</f>
        <v/>
      </c>
      <c r="AH341" s="270" t="str">
        <f>_xlfn.IFNA(VLOOKUP(CONCATENATE(AH$4,$C341),'INSER DATA'!$A:$F,7,0),"")</f>
        <v/>
      </c>
      <c r="AI341" s="270" t="str">
        <f>_xlfn.IFNA(VLOOKUP(CONCATENATE(AI$4,$C341),'INSER DATA'!$A:$F,7,0),"")</f>
        <v/>
      </c>
      <c r="AJ341" s="270" t="str">
        <f>_xlfn.IFNA(VLOOKUP(CONCATENATE(AJ$4,$C341),'INSER DATA'!$A:$F,7,0),"")</f>
        <v/>
      </c>
      <c r="AK341" s="270" t="str">
        <f>_xlfn.IFNA(VLOOKUP(CONCATENATE(AK$4,$C341),'INSER DATA'!$A:$F,7,0),"")</f>
        <v/>
      </c>
      <c r="AL341" s="270" t="str">
        <f>_xlfn.IFNA(VLOOKUP(CONCATENATE(AL$4,$C341),'INSER DATA'!$A:$F,7,0),"")</f>
        <v/>
      </c>
      <c r="AM341" s="270" t="str">
        <f>_xlfn.IFNA(VLOOKUP(CONCATENATE(AM$4,$C341),'INSER DATA'!$A:$F,7,0),"")</f>
        <v/>
      </c>
      <c r="AN341" s="270" t="str">
        <f>_xlfn.IFNA(VLOOKUP(CONCATENATE(AN$4,$C341),'INSER DATA'!$A:$F,7,0),"")</f>
        <v/>
      </c>
      <c r="AO341" s="270" t="str">
        <f>_xlfn.IFNA(VLOOKUP(CONCATENATE(AO$4,$C341),'INSER DATA'!$A:$F,7,0),"")</f>
        <v/>
      </c>
      <c r="AP341" s="270" t="str">
        <f>_xlfn.IFNA(VLOOKUP(CONCATENATE(AP$4,$C341),'INSER DATA'!$A:$F,7,0),"")</f>
        <v/>
      </c>
      <c r="AQ341" s="270" t="str">
        <f>_xlfn.IFNA(VLOOKUP(CONCATENATE(AQ$4,$C341),'INSER DATA'!$A:$F,7,0),"")</f>
        <v/>
      </c>
      <c r="AR341" s="270" t="str">
        <f>_xlfn.IFNA(VLOOKUP(CONCATENATE(AR$4,$C341),'INSER DATA'!$A:$F,7,0),"")</f>
        <v/>
      </c>
      <c r="AS341" s="270" t="str">
        <f>_xlfn.IFNA(VLOOKUP(CONCATENATE(AS$4,$C341),'INSER DATA'!$A:$F,7,0),"")</f>
        <v/>
      </c>
      <c r="AT341" s="270" t="str">
        <f>_xlfn.IFNA(VLOOKUP(CONCATENATE(AT$4,$C341),'INSER DATA'!$A:$F,7,0),"")</f>
        <v/>
      </c>
      <c r="AU341" s="270" t="str">
        <f>_xlfn.IFNA(VLOOKUP(CONCATENATE(AU$4,$C341),'INSER DATA'!$A:$F,7,0),"")</f>
        <v/>
      </c>
      <c r="AV341" s="270" t="str">
        <f>_xlfn.IFNA(VLOOKUP(CONCATENATE(AV$4,$C341),'INSER DATA'!$A:$F,7,0),"")</f>
        <v/>
      </c>
      <c r="AW341" s="270" t="str">
        <f>_xlfn.IFNA(VLOOKUP(CONCATENATE(AW$4,$C341),'INSER DATA'!$A:$F,7,0),"")</f>
        <v/>
      </c>
      <c r="AX341" s="270" t="str">
        <f>_xlfn.IFNA(VLOOKUP(CONCATENATE(AX$4,$C341),'INSER DATA'!$A:$F,7,0),"")</f>
        <v/>
      </c>
      <c r="AY341" s="270" t="str">
        <f>_xlfn.IFNA(VLOOKUP(CONCATENATE(AY$4,$C341),'INSER DATA'!$A:$F,7,0),"")</f>
        <v/>
      </c>
      <c r="AZ341" s="270" t="str">
        <f>_xlfn.IFNA(VLOOKUP(CONCATENATE(AZ$4,$C341),'INSER DATA'!$A:$F,7,0),"")</f>
        <v/>
      </c>
      <c r="BA341" s="270" t="str">
        <f>_xlfn.IFNA(VLOOKUP(CONCATENATE(BA$4,$C341),'INSER DATA'!$A:$F,7,0),"")</f>
        <v/>
      </c>
      <c r="BB341" s="270" t="str">
        <f>_xlfn.IFNA(VLOOKUP(CONCATENATE(BB$4,$C341),'INSER DATA'!$A:$F,7,0),"")</f>
        <v/>
      </c>
      <c r="BC341" s="270" t="str">
        <f>_xlfn.IFNA(VLOOKUP(CONCATENATE(BC$4,$C341),'INSER DATA'!$A:$F,7,0),"")</f>
        <v/>
      </c>
      <c r="BD341" s="270" t="str">
        <f>_xlfn.IFNA(VLOOKUP(CONCATENATE(BD$4,$C341),'INSER DATA'!$A:$F,7,0),"")</f>
        <v/>
      </c>
      <c r="BE341" s="270" t="str">
        <f>_xlfn.IFNA(VLOOKUP(CONCATENATE(BE$4,$C341),'INSER DATA'!$A:$F,7,0),"")</f>
        <v/>
      </c>
      <c r="BF341" s="270" t="str">
        <f>_xlfn.IFNA(VLOOKUP(CONCATENATE(BF$4,$C341),'INSER DATA'!$A:$F,7,0),"")</f>
        <v/>
      </c>
      <c r="BG341" s="270" t="str">
        <f>_xlfn.IFNA(VLOOKUP(CONCATENATE(BG$4,$C341),'INSER DATA'!$A:$F,7,0),"")</f>
        <v/>
      </c>
      <c r="BH341" s="270" t="str">
        <f>_xlfn.IFNA(VLOOKUP(CONCATENATE(BH$4,$C341),'INSER DATA'!$A:$F,7,0),"")</f>
        <v/>
      </c>
      <c r="BI341" s="270" t="str">
        <f>_xlfn.IFNA(VLOOKUP(CONCATENATE(BI$4,$C341),'INSER DATA'!$A:$F,7,0),"")</f>
        <v/>
      </c>
      <c r="BJ341" s="270" t="str">
        <f>_xlfn.IFNA(VLOOKUP(CONCATENATE(BJ$4,$C341),'INSER DATA'!$A:$F,7,0),"")</f>
        <v/>
      </c>
      <c r="BK341" s="270" t="str">
        <f>_xlfn.IFNA(VLOOKUP(CONCATENATE(BK$4,$C341),'INSER DATA'!$A:$F,7,0),"")</f>
        <v/>
      </c>
      <c r="BL341" s="272"/>
      <c r="BM341" s="30"/>
      <c r="BN341" s="30"/>
      <c r="BO341" s="30"/>
      <c r="BP341" s="30"/>
      <c r="BQ341" s="30"/>
      <c r="BR341" s="30"/>
      <c r="BS341" s="30"/>
      <c r="BT341" s="30"/>
      <c r="BU341" s="30"/>
      <c r="BV341" s="30"/>
      <c r="BW341" s="30"/>
      <c r="BX341" s="30"/>
      <c r="BY341" s="30"/>
      <c r="BZ341" s="30"/>
      <c r="CA341" s="30"/>
      <c r="CB341" s="30"/>
      <c r="CC341" s="30"/>
      <c r="CD341" s="30"/>
      <c r="CE341" s="30"/>
      <c r="CF341" s="30"/>
      <c r="CG341" s="30"/>
      <c r="CH341" s="30"/>
      <c r="CI341" s="30"/>
      <c r="CJ341" s="30"/>
      <c r="CK341" s="30"/>
      <c r="CL341" s="30"/>
      <c r="CM341" s="30"/>
      <c r="CN341" s="30"/>
      <c r="CO341" s="30"/>
      <c r="CP341" s="30"/>
      <c r="CQ341" s="30"/>
      <c r="CR341" s="30"/>
      <c r="CS341" s="30"/>
      <c r="CT341" s="30"/>
      <c r="CU341" s="30"/>
      <c r="CV341" s="30"/>
      <c r="CW341" s="30"/>
      <c r="CX341" s="30"/>
      <c r="CY341" s="30"/>
      <c r="CZ341" s="30"/>
      <c r="DA341" s="30"/>
    </row>
    <row r="342" spans="1:105" ht="19.2" thickTop="1" thickBot="1" x14ac:dyDescent="0.4">
      <c r="A342" s="30"/>
      <c r="B342" s="30"/>
      <c r="C342" s="356" t="s">
        <v>253</v>
      </c>
      <c r="D342" s="355" t="s">
        <v>860</v>
      </c>
      <c r="E342" s="35" t="str">
        <f>_xlfn.XLOOKUP(Tabella4[[#This Row],[NOME]],'ROSE SQUADRE'!$N$3:$N$253,'ROSE SQUADRE'!$O$3:$O$253,"")</f>
        <v>SHARK</v>
      </c>
      <c r="F342" s="36" t="s">
        <v>161</v>
      </c>
      <c r="G342" s="43">
        <v>14</v>
      </c>
      <c r="H342" s="43">
        <v>14</v>
      </c>
      <c r="I342" s="44">
        <f t="shared" si="31"/>
        <v>0</v>
      </c>
      <c r="J342" s="37">
        <f t="shared" si="32"/>
        <v>4</v>
      </c>
      <c r="K342" s="38">
        <f t="shared" si="33"/>
        <v>6.125</v>
      </c>
      <c r="L342" s="38">
        <f t="shared" si="34"/>
        <v>6.375</v>
      </c>
      <c r="M342" s="39">
        <f t="shared" si="35"/>
        <v>25.5</v>
      </c>
      <c r="N342" s="45">
        <f t="shared" ca="1" si="36"/>
        <v>0</v>
      </c>
      <c r="O342" s="40">
        <f>SUMIF(Tabella1[Nome],Tabella4[[#This Row],[NOME]],Tabella1[Gf])</f>
        <v>0</v>
      </c>
      <c r="P342" s="40">
        <f>-(SUMIF(Tabella1[Nome],Tabella4[[#This Row],[NOME]],Tabella1[Gs]))</f>
        <v>0</v>
      </c>
      <c r="Q342" s="40">
        <f>SUMIF(Tabella1[Nome],Tabella4[[#This Row],[NOME]],Tabella1[Rp])</f>
        <v>0</v>
      </c>
      <c r="R342" s="40">
        <f>SUMIF(Tabella1[Nome],Tabella4[[#This Row],[NOME]],Tabella1[Rs])</f>
        <v>0</v>
      </c>
      <c r="S342" s="40">
        <f>SUMIF(Tabella1[Nome],Tabella4[[#This Row],[NOME]],Tabella1[Rf])</f>
        <v>0</v>
      </c>
      <c r="T342" s="40">
        <f>SUMIF(Tabella1[Nome],Tabella4[[#This Row],[NOME]],Tabella1[Au])</f>
        <v>0</v>
      </c>
      <c r="U342" s="41">
        <f>SUMIF(Tabella1[Nome],Tabella4[[#This Row],[NOME]],Tabella1[Amm])</f>
        <v>0</v>
      </c>
      <c r="V342" s="42">
        <f>SUMIF(Tabella1[Nome],Tabella4[[#This Row],[NOME]],Tabella1[Esp])</f>
        <v>0</v>
      </c>
      <c r="W342" s="40">
        <f>SUMIF(Tabella1[Nome],Tabella4[[#This Row],[NOME]],Tabella1[Ass])</f>
        <v>1</v>
      </c>
      <c r="X342" s="40">
        <f>SUMIF(Tabella1[Nome],Tabella4[[#This Row],[NOME]],Tabella1[Gdv])</f>
        <v>0</v>
      </c>
      <c r="Y342" s="40">
        <f>SUMIF(Tabella1[Nome],Tabella4[[#This Row],[NOME]],Tabella1[cl sh])</f>
        <v>0</v>
      </c>
      <c r="Z342" s="270">
        <f>_xlfn.IFNA(_xlfn.XLOOKUP(CONCATENATE(Z$4,$C342),Tabella1[CONC X VOTI IN TAB GIOC],Tabella1[Voto],""),"")</f>
        <v>6.5</v>
      </c>
      <c r="AA342" s="270">
        <f>_xlfn.IFNA(_xlfn.XLOOKUP(CONCATENATE(AA$4,$C342),Tabella1[CONC X VOTI IN TAB GIOC],Tabella1[Voto],""),"")</f>
        <v>6</v>
      </c>
      <c r="AB342" s="270">
        <f>_xlfn.IFNA(_xlfn.XLOOKUP(CONCATENATE(AB$4,$C342),Tabella1[CONC X VOTI IN TAB GIOC],Tabella1[Voto]),"")</f>
        <v>5.5</v>
      </c>
      <c r="AC342" s="270" cm="1">
        <f t="array" ref="AC342">_xlfn.IFNA(_xlfn.XLOOKUP(CONCATENATE(AC$4,$C342),INDEX(Tabella1[],0,MATCH("CONC X VOTI IN TAB GIOC",Tabella1[#Headers],0)),INDEX(Tabella1[],0,MATCH("Voto",Tabella1[#Headers],0))),"")</f>
        <v>6.5</v>
      </c>
      <c r="AD342" s="270" t="str">
        <f>_xlfn.IFNA(_xlfn.XLOOKUP(CONCATENATE(AD$4,$C342),Tabella1[CONC X VOTI IN TAB GIOC],Tabella1[Voto]),"")</f>
        <v/>
      </c>
      <c r="AE342" s="270" t="str">
        <f>_xlfn.IFNA(VLOOKUP(CONCATENATE(AE$4,$C342),'INSER DATA'!$A:$F,6,0),"")</f>
        <v/>
      </c>
      <c r="AF342" s="270" t="str">
        <f>_xlfn.IFNA(VLOOKUP(CONCATENATE(AF$4,$C342),'INSER DATA'!$A:$F,6,0),"")</f>
        <v/>
      </c>
      <c r="AG342" s="270" t="str">
        <f>_xlfn.IFNA(VLOOKUP(CONCATENATE(AG$4,$C342),'INSER DATA'!$A:$F,6,0),"")</f>
        <v/>
      </c>
      <c r="AH342" s="270" t="str">
        <f>_xlfn.IFNA(VLOOKUP(CONCATENATE(AH$4,$C342),'INSER DATA'!$A:$F,7,0),"")</f>
        <v/>
      </c>
      <c r="AI342" s="270" t="str">
        <f>_xlfn.IFNA(VLOOKUP(CONCATENATE(AI$4,$C342),'INSER DATA'!$A:$F,7,0),"")</f>
        <v/>
      </c>
      <c r="AJ342" s="270" t="str">
        <f>_xlfn.IFNA(VLOOKUP(CONCATENATE(AJ$4,$C342),'INSER DATA'!$A:$F,7,0),"")</f>
        <v/>
      </c>
      <c r="AK342" s="270" t="str">
        <f>_xlfn.IFNA(VLOOKUP(CONCATENATE(AK$4,$C342),'INSER DATA'!$A:$F,7,0),"")</f>
        <v/>
      </c>
      <c r="AL342" s="270" t="str">
        <f>_xlfn.IFNA(VLOOKUP(CONCATENATE(AL$4,$C342),'INSER DATA'!$A:$F,7,0),"")</f>
        <v/>
      </c>
      <c r="AM342" s="270" t="str">
        <f>_xlfn.IFNA(VLOOKUP(CONCATENATE(AM$4,$C342),'INSER DATA'!$A:$F,7,0),"")</f>
        <v/>
      </c>
      <c r="AN342" s="270" t="str">
        <f>_xlfn.IFNA(VLOOKUP(CONCATENATE(AN$4,$C342),'INSER DATA'!$A:$F,7,0),"")</f>
        <v/>
      </c>
      <c r="AO342" s="270" t="str">
        <f>_xlfn.IFNA(VLOOKUP(CONCATENATE(AO$4,$C342),'INSER DATA'!$A:$F,7,0),"")</f>
        <v/>
      </c>
      <c r="AP342" s="270" t="str">
        <f>_xlfn.IFNA(VLOOKUP(CONCATENATE(AP$4,$C342),'INSER DATA'!$A:$F,7,0),"")</f>
        <v/>
      </c>
      <c r="AQ342" s="270" t="str">
        <f>_xlfn.IFNA(VLOOKUP(CONCATENATE(AQ$4,$C342),'INSER DATA'!$A:$F,7,0),"")</f>
        <v/>
      </c>
      <c r="AR342" s="270" t="str">
        <f>_xlfn.IFNA(VLOOKUP(CONCATENATE(AR$4,$C342),'INSER DATA'!$A:$F,7,0),"")</f>
        <v/>
      </c>
      <c r="AS342" s="270" t="str">
        <f>_xlfn.IFNA(VLOOKUP(CONCATENATE(AS$4,$C342),'INSER DATA'!$A:$F,7,0),"")</f>
        <v/>
      </c>
      <c r="AT342" s="270" t="str">
        <f>_xlfn.IFNA(VLOOKUP(CONCATENATE(AT$4,$C342),'INSER DATA'!$A:$F,7,0),"")</f>
        <v/>
      </c>
      <c r="AU342" s="270" t="str">
        <f>_xlfn.IFNA(VLOOKUP(CONCATENATE(AU$4,$C342),'INSER DATA'!$A:$F,7,0),"")</f>
        <v/>
      </c>
      <c r="AV342" s="270" t="str">
        <f>_xlfn.IFNA(VLOOKUP(CONCATENATE(AV$4,$C342),'INSER DATA'!$A:$F,7,0),"")</f>
        <v/>
      </c>
      <c r="AW342" s="270" t="str">
        <f>_xlfn.IFNA(VLOOKUP(CONCATENATE(AW$4,$C342),'INSER DATA'!$A:$F,7,0),"")</f>
        <v/>
      </c>
      <c r="AX342" s="270" t="str">
        <f>_xlfn.IFNA(VLOOKUP(CONCATENATE(AX$4,$C342),'INSER DATA'!$A:$F,7,0),"")</f>
        <v/>
      </c>
      <c r="AY342" s="270" t="str">
        <f>_xlfn.IFNA(VLOOKUP(CONCATENATE(AY$4,$C342),'INSER DATA'!$A:$F,7,0),"")</f>
        <v/>
      </c>
      <c r="AZ342" s="270" t="str">
        <f>_xlfn.IFNA(VLOOKUP(CONCATENATE(AZ$4,$C342),'INSER DATA'!$A:$F,7,0),"")</f>
        <v/>
      </c>
      <c r="BA342" s="270" t="str">
        <f>_xlfn.IFNA(VLOOKUP(CONCATENATE(BA$4,$C342),'INSER DATA'!$A:$F,7,0),"")</f>
        <v/>
      </c>
      <c r="BB342" s="270" t="str">
        <f>_xlfn.IFNA(VLOOKUP(CONCATENATE(BB$4,$C342),'INSER DATA'!$A:$F,7,0),"")</f>
        <v/>
      </c>
      <c r="BC342" s="270" t="str">
        <f>_xlfn.IFNA(VLOOKUP(CONCATENATE(BC$4,$C342),'INSER DATA'!$A:$F,7,0),"")</f>
        <v/>
      </c>
      <c r="BD342" s="270" t="str">
        <f>_xlfn.IFNA(VLOOKUP(CONCATENATE(BD$4,$C342),'INSER DATA'!$A:$F,7,0),"")</f>
        <v/>
      </c>
      <c r="BE342" s="270" t="str">
        <f>_xlfn.IFNA(VLOOKUP(CONCATENATE(BE$4,$C342),'INSER DATA'!$A:$F,7,0),"")</f>
        <v/>
      </c>
      <c r="BF342" s="270" t="str">
        <f>_xlfn.IFNA(VLOOKUP(CONCATENATE(BF$4,$C342),'INSER DATA'!$A:$F,7,0),"")</f>
        <v/>
      </c>
      <c r="BG342" s="270" t="str">
        <f>_xlfn.IFNA(VLOOKUP(CONCATENATE(BG$4,$C342),'INSER DATA'!$A:$F,7,0),"")</f>
        <v/>
      </c>
      <c r="BH342" s="270" t="str">
        <f>_xlfn.IFNA(VLOOKUP(CONCATENATE(BH$4,$C342),'INSER DATA'!$A:$F,7,0),"")</f>
        <v/>
      </c>
      <c r="BI342" s="270" t="str">
        <f>_xlfn.IFNA(VLOOKUP(CONCATENATE(BI$4,$C342),'INSER DATA'!$A:$F,7,0),"")</f>
        <v/>
      </c>
      <c r="BJ342" s="270" t="str">
        <f>_xlfn.IFNA(VLOOKUP(CONCATENATE(BJ$4,$C342),'INSER DATA'!$A:$F,7,0),"")</f>
        <v/>
      </c>
      <c r="BK342" s="270" t="str">
        <f>_xlfn.IFNA(VLOOKUP(CONCATENATE(BK$4,$C342),'INSER DATA'!$A:$F,7,0),"")</f>
        <v/>
      </c>
      <c r="BL342" s="272"/>
      <c r="BM342" s="30"/>
      <c r="BN342" s="30"/>
      <c r="BO342" s="30"/>
      <c r="BP342" s="30"/>
      <c r="BQ342" s="30"/>
      <c r="BR342" s="30"/>
      <c r="BS342" s="30"/>
      <c r="BT342" s="30"/>
      <c r="BU342" s="30"/>
      <c r="BV342" s="30"/>
      <c r="BW342" s="30"/>
      <c r="BX342" s="30"/>
      <c r="BY342" s="30"/>
      <c r="BZ342" s="30"/>
      <c r="CA342" s="30"/>
      <c r="CB342" s="30"/>
      <c r="CC342" s="30"/>
      <c r="CD342" s="30"/>
      <c r="CE342" s="30"/>
      <c r="CF342" s="30"/>
      <c r="CG342" s="30"/>
      <c r="CH342" s="30"/>
      <c r="CI342" s="30"/>
      <c r="CJ342" s="30"/>
      <c r="CK342" s="30"/>
      <c r="CL342" s="30"/>
      <c r="CM342" s="30"/>
      <c r="CN342" s="30"/>
      <c r="CO342" s="30"/>
      <c r="CP342" s="30"/>
      <c r="CQ342" s="30"/>
      <c r="CR342" s="30"/>
      <c r="CS342" s="30"/>
      <c r="CT342" s="30"/>
      <c r="CU342" s="30"/>
      <c r="CV342" s="30"/>
      <c r="CW342" s="30"/>
      <c r="CX342" s="30"/>
      <c r="CY342" s="30"/>
      <c r="CZ342" s="30"/>
      <c r="DA342" s="30"/>
    </row>
    <row r="343" spans="1:105" ht="19.2" thickTop="1" thickBot="1" x14ac:dyDescent="0.4">
      <c r="A343" s="30"/>
      <c r="B343" s="30"/>
      <c r="C343" s="356" t="s">
        <v>295</v>
      </c>
      <c r="D343" s="355" t="s">
        <v>860</v>
      </c>
      <c r="E343" s="35" t="str">
        <f>_xlfn.XLOOKUP(Tabella4[[#This Row],[NOME]],'ROSE SQUADRE'!$N$3:$N$253,'ROSE SQUADRE'!$O$3:$O$253,"")</f>
        <v>SHARK</v>
      </c>
      <c r="F343" s="36" t="s">
        <v>162</v>
      </c>
      <c r="G343" s="43">
        <v>7</v>
      </c>
      <c r="H343" s="43">
        <v>8</v>
      </c>
      <c r="I343" s="44">
        <f t="shared" si="31"/>
        <v>1</v>
      </c>
      <c r="J343" s="37">
        <f t="shared" si="32"/>
        <v>4</v>
      </c>
      <c r="K343" s="178">
        <f t="shared" si="33"/>
        <v>6.625</v>
      </c>
      <c r="L343" s="178">
        <f t="shared" si="34"/>
        <v>7.625</v>
      </c>
      <c r="M343" s="179">
        <f t="shared" si="35"/>
        <v>30.5</v>
      </c>
      <c r="N343" s="45">
        <f t="shared" ca="1" si="36"/>
        <v>0</v>
      </c>
      <c r="O343" s="40">
        <f>SUMIF(Tabella1[Nome],Tabella4[[#This Row],[NOME]],Tabella1[Gf])</f>
        <v>1</v>
      </c>
      <c r="P343" s="40">
        <f>-(SUMIF(Tabella1[Nome],Tabella4[[#This Row],[NOME]],Tabella1[Gs]))</f>
        <v>0</v>
      </c>
      <c r="Q343" s="40">
        <f>SUMIF(Tabella1[Nome],Tabella4[[#This Row],[NOME]],Tabella1[Rp])</f>
        <v>0</v>
      </c>
      <c r="R343" s="40">
        <f>SUMIF(Tabella1[Nome],Tabella4[[#This Row],[NOME]],Tabella1[Rs])</f>
        <v>0</v>
      </c>
      <c r="S343" s="40">
        <f>SUMIF(Tabella1[Nome],Tabella4[[#This Row],[NOME]],Tabella1[Rf])</f>
        <v>0</v>
      </c>
      <c r="T343" s="40">
        <f>SUMIF(Tabella1[Nome],Tabella4[[#This Row],[NOME]],Tabella1[Au])</f>
        <v>0</v>
      </c>
      <c r="U343" s="41">
        <f>SUMIF(Tabella1[Nome],Tabella4[[#This Row],[NOME]],Tabella1[Amm])</f>
        <v>0</v>
      </c>
      <c r="V343" s="42">
        <f>SUMIF(Tabella1[Nome],Tabella4[[#This Row],[NOME]],Tabella1[Esp])</f>
        <v>0</v>
      </c>
      <c r="W343" s="40">
        <f>SUMIF(Tabella1[Nome],Tabella4[[#This Row],[NOME]],Tabella1[Ass])</f>
        <v>0</v>
      </c>
      <c r="X343" s="40">
        <f>SUMIF(Tabella1[Nome],Tabella4[[#This Row],[NOME]],Tabella1[Gdv])</f>
        <v>1</v>
      </c>
      <c r="Y343" s="40">
        <f>SUMIF(Tabella1[Nome],Tabella4[[#This Row],[NOME]],Tabella1[cl sh])</f>
        <v>0</v>
      </c>
      <c r="Z343" s="270">
        <f>_xlfn.IFNA(_xlfn.XLOOKUP(CONCATENATE(Z$4,$C343),Tabella1[CONC X VOTI IN TAB GIOC],Tabella1[Voto],""),"")</f>
        <v>6.5</v>
      </c>
      <c r="AA343" s="270">
        <f>_xlfn.IFNA(_xlfn.XLOOKUP(CONCATENATE(AA$4,$C343),Tabella1[CONC X VOTI IN TAB GIOC],Tabella1[Voto],""),"")</f>
        <v>6</v>
      </c>
      <c r="AB343" s="270">
        <f>_xlfn.IFNA(_xlfn.XLOOKUP(CONCATENATE(AB$4,$C343),Tabella1[CONC X VOTI IN TAB GIOC],Tabella1[Voto]),"")</f>
        <v>6.5</v>
      </c>
      <c r="AC343" s="270" cm="1">
        <f t="array" ref="AC343">_xlfn.IFNA(_xlfn.XLOOKUP(CONCATENATE(AC$4,$C343),INDEX(Tabella1[],0,MATCH("CONC X VOTI IN TAB GIOC",Tabella1[#Headers],0)),INDEX(Tabella1[],0,MATCH("Voto",Tabella1[#Headers],0))),"")</f>
        <v>7.5</v>
      </c>
      <c r="AD343" s="270" t="str">
        <f>_xlfn.IFNA(_xlfn.XLOOKUP(CONCATENATE(AD$4,$C343),Tabella1[CONC X VOTI IN TAB GIOC],Tabella1[Voto]),"")</f>
        <v/>
      </c>
      <c r="AE343" s="270" t="str">
        <f>_xlfn.IFNA(VLOOKUP(CONCATENATE(AE$4,$C343),'INSER DATA'!$A:$F,6,0),"")</f>
        <v/>
      </c>
      <c r="AF343" s="270" t="str">
        <f>_xlfn.IFNA(VLOOKUP(CONCATENATE(AF$4,$C343),'INSER DATA'!$A:$F,6,0),"")</f>
        <v/>
      </c>
      <c r="AG343" s="270" t="str">
        <f>_xlfn.IFNA(VLOOKUP(CONCATENATE(AG$4,$C343),'INSER DATA'!$A:$F,6,0),"")</f>
        <v/>
      </c>
      <c r="AH343" s="270" t="str">
        <f>_xlfn.IFNA(VLOOKUP(CONCATENATE(AH$4,$C343),'INSER DATA'!$A:$F,7,0),"")</f>
        <v/>
      </c>
      <c r="AI343" s="270" t="str">
        <f>_xlfn.IFNA(VLOOKUP(CONCATENATE(AI$4,$C343),'INSER DATA'!$A:$F,7,0),"")</f>
        <v/>
      </c>
      <c r="AJ343" s="270" t="str">
        <f>_xlfn.IFNA(VLOOKUP(CONCATENATE(AJ$4,$C343),'INSER DATA'!$A:$F,7,0),"")</f>
        <v/>
      </c>
      <c r="AK343" s="270" t="str">
        <f>_xlfn.IFNA(VLOOKUP(CONCATENATE(AK$4,$C343),'INSER DATA'!$A:$F,7,0),"")</f>
        <v/>
      </c>
      <c r="AL343" s="270" t="str">
        <f>_xlfn.IFNA(VLOOKUP(CONCATENATE(AL$4,$C343),'INSER DATA'!$A:$F,7,0),"")</f>
        <v/>
      </c>
      <c r="AM343" s="270" t="str">
        <f>_xlfn.IFNA(VLOOKUP(CONCATENATE(AM$4,$C343),'INSER DATA'!$A:$F,7,0),"")</f>
        <v/>
      </c>
      <c r="AN343" s="270" t="str">
        <f>_xlfn.IFNA(VLOOKUP(CONCATENATE(AN$4,$C343),'INSER DATA'!$A:$F,7,0),"")</f>
        <v/>
      </c>
      <c r="AO343" s="270" t="str">
        <f>_xlfn.IFNA(VLOOKUP(CONCATENATE(AO$4,$C343),'INSER DATA'!$A:$F,7,0),"")</f>
        <v/>
      </c>
      <c r="AP343" s="270" t="str">
        <f>_xlfn.IFNA(VLOOKUP(CONCATENATE(AP$4,$C343),'INSER DATA'!$A:$F,7,0),"")</f>
        <v/>
      </c>
      <c r="AQ343" s="270" t="str">
        <f>_xlfn.IFNA(VLOOKUP(CONCATENATE(AQ$4,$C343),'INSER DATA'!$A:$F,7,0),"")</f>
        <v/>
      </c>
      <c r="AR343" s="270" t="str">
        <f>_xlfn.IFNA(VLOOKUP(CONCATENATE(AR$4,$C343),'INSER DATA'!$A:$F,7,0),"")</f>
        <v/>
      </c>
      <c r="AS343" s="270" t="str">
        <f>_xlfn.IFNA(VLOOKUP(CONCATENATE(AS$4,$C343),'INSER DATA'!$A:$F,7,0),"")</f>
        <v/>
      </c>
      <c r="AT343" s="270" t="str">
        <f>_xlfn.IFNA(VLOOKUP(CONCATENATE(AT$4,$C343),'INSER DATA'!$A:$F,7,0),"")</f>
        <v/>
      </c>
      <c r="AU343" s="270" t="str">
        <f>_xlfn.IFNA(VLOOKUP(CONCATENATE(AU$4,$C343),'INSER DATA'!$A:$F,7,0),"")</f>
        <v/>
      </c>
      <c r="AV343" s="270" t="str">
        <f>_xlfn.IFNA(VLOOKUP(CONCATENATE(AV$4,$C343),'INSER DATA'!$A:$F,7,0),"")</f>
        <v/>
      </c>
      <c r="AW343" s="270" t="str">
        <f>_xlfn.IFNA(VLOOKUP(CONCATENATE(AW$4,$C343),'INSER DATA'!$A:$F,7,0),"")</f>
        <v/>
      </c>
      <c r="AX343" s="270" t="str">
        <f>_xlfn.IFNA(VLOOKUP(CONCATENATE(AX$4,$C343),'INSER DATA'!$A:$F,7,0),"")</f>
        <v/>
      </c>
      <c r="AY343" s="270" t="str">
        <f>_xlfn.IFNA(VLOOKUP(CONCATENATE(AY$4,$C343),'INSER DATA'!$A:$F,7,0),"")</f>
        <v/>
      </c>
      <c r="AZ343" s="270" t="str">
        <f>_xlfn.IFNA(VLOOKUP(CONCATENATE(AZ$4,$C343),'INSER DATA'!$A:$F,7,0),"")</f>
        <v/>
      </c>
      <c r="BA343" s="270" t="str">
        <f>_xlfn.IFNA(VLOOKUP(CONCATENATE(BA$4,$C343),'INSER DATA'!$A:$F,7,0),"")</f>
        <v/>
      </c>
      <c r="BB343" s="270" t="str">
        <f>_xlfn.IFNA(VLOOKUP(CONCATENATE(BB$4,$C343),'INSER DATA'!$A:$F,7,0),"")</f>
        <v/>
      </c>
      <c r="BC343" s="270" t="str">
        <f>_xlfn.IFNA(VLOOKUP(CONCATENATE(BC$4,$C343),'INSER DATA'!$A:$F,7,0),"")</f>
        <v/>
      </c>
      <c r="BD343" s="270" t="str">
        <f>_xlfn.IFNA(VLOOKUP(CONCATENATE(BD$4,$C343),'INSER DATA'!$A:$F,7,0),"")</f>
        <v/>
      </c>
      <c r="BE343" s="270" t="str">
        <f>_xlfn.IFNA(VLOOKUP(CONCATENATE(BE$4,$C343),'INSER DATA'!$A:$F,7,0),"")</f>
        <v/>
      </c>
      <c r="BF343" s="270" t="str">
        <f>_xlfn.IFNA(VLOOKUP(CONCATENATE(BF$4,$C343),'INSER DATA'!$A:$F,7,0),"")</f>
        <v/>
      </c>
      <c r="BG343" s="270" t="str">
        <f>_xlfn.IFNA(VLOOKUP(CONCATENATE(BG$4,$C343),'INSER DATA'!$A:$F,7,0),"")</f>
        <v/>
      </c>
      <c r="BH343" s="270" t="str">
        <f>_xlfn.IFNA(VLOOKUP(CONCATENATE(BH$4,$C343),'INSER DATA'!$A:$F,7,0),"")</f>
        <v/>
      </c>
      <c r="BI343" s="270" t="str">
        <f>_xlfn.IFNA(VLOOKUP(CONCATENATE(BI$4,$C343),'INSER DATA'!$A:$F,7,0),"")</f>
        <v/>
      </c>
      <c r="BJ343" s="270" t="str">
        <f>_xlfn.IFNA(VLOOKUP(CONCATENATE(BJ$4,$C343),'INSER DATA'!$A:$F,7,0),"")</f>
        <v/>
      </c>
      <c r="BK343" s="270" t="str">
        <f>_xlfn.IFNA(VLOOKUP(CONCATENATE(BK$4,$C343),'INSER DATA'!$A:$F,7,0),"")</f>
        <v/>
      </c>
      <c r="BL343" s="272"/>
      <c r="BM343" s="30"/>
      <c r="BN343" s="30"/>
      <c r="BO343" s="30"/>
      <c r="BP343" s="30"/>
      <c r="BQ343" s="30"/>
      <c r="BR343" s="30"/>
      <c r="BS343" s="30"/>
      <c r="BT343" s="30"/>
      <c r="BU343" s="30"/>
      <c r="BV343" s="30"/>
      <c r="BW343" s="30"/>
      <c r="BX343" s="30"/>
      <c r="BY343" s="30"/>
      <c r="BZ343" s="30"/>
      <c r="CA343" s="30"/>
      <c r="CB343" s="30"/>
      <c r="CC343" s="30"/>
      <c r="CD343" s="30"/>
      <c r="CE343" s="30"/>
      <c r="CF343" s="30"/>
      <c r="CG343" s="30"/>
      <c r="CH343" s="30"/>
      <c r="CI343" s="30"/>
      <c r="CJ343" s="30"/>
      <c r="CK343" s="30"/>
      <c r="CL343" s="30"/>
      <c r="CM343" s="30"/>
      <c r="CN343" s="30"/>
      <c r="CO343" s="30"/>
      <c r="CP343" s="30"/>
      <c r="CQ343" s="30"/>
      <c r="CR343" s="30"/>
      <c r="CS343" s="30"/>
      <c r="CT343" s="30"/>
      <c r="CU343" s="30"/>
      <c r="CV343" s="30"/>
      <c r="CW343" s="30"/>
      <c r="CX343" s="30"/>
      <c r="CY343" s="30"/>
      <c r="CZ343" s="30"/>
      <c r="DA343" s="30"/>
    </row>
    <row r="344" spans="1:105" ht="19.2" thickTop="1" thickBot="1" x14ac:dyDescent="0.4">
      <c r="A344" s="30"/>
      <c r="B344" s="30"/>
      <c r="C344" s="354" t="s">
        <v>870</v>
      </c>
      <c r="D344" s="357" t="s">
        <v>860</v>
      </c>
      <c r="E344" s="35" t="str">
        <f>_xlfn.XLOOKUP(Tabella4[[#This Row],[NOME]],'ROSE SQUADRE'!$N$3:$N$253,'ROSE SQUADRE'!$O$3:$O$253,"")</f>
        <v>AS PIPPERIA</v>
      </c>
      <c r="F344" s="36" t="s">
        <v>163</v>
      </c>
      <c r="G344" s="43">
        <v>28</v>
      </c>
      <c r="H344" s="43">
        <v>27</v>
      </c>
      <c r="I344" s="44">
        <f t="shared" si="31"/>
        <v>-1</v>
      </c>
      <c r="J344" s="37">
        <f t="shared" si="32"/>
        <v>4</v>
      </c>
      <c r="K344" s="178">
        <f t="shared" si="33"/>
        <v>6.25</v>
      </c>
      <c r="L344" s="178">
        <f t="shared" si="34"/>
        <v>7.75</v>
      </c>
      <c r="M344" s="179">
        <f t="shared" si="35"/>
        <v>31</v>
      </c>
      <c r="N344" s="45">
        <f t="shared" ca="1" si="36"/>
        <v>0</v>
      </c>
      <c r="O344" s="40">
        <f>SUMIF(Tabella1[Nome],Tabella4[[#This Row],[NOME]],Tabella1[Gf])</f>
        <v>2</v>
      </c>
      <c r="P344" s="40">
        <f>-(SUMIF(Tabella1[Nome],Tabella4[[#This Row],[NOME]],Tabella1[Gs]))</f>
        <v>0</v>
      </c>
      <c r="Q344" s="40">
        <f>SUMIF(Tabella1[Nome],Tabella4[[#This Row],[NOME]],Tabella1[Rp])</f>
        <v>0</v>
      </c>
      <c r="R344" s="40">
        <f>SUMIF(Tabella1[Nome],Tabella4[[#This Row],[NOME]],Tabella1[Rs])</f>
        <v>0</v>
      </c>
      <c r="S344" s="40">
        <f>SUMIF(Tabella1[Nome],Tabella4[[#This Row],[NOME]],Tabella1[Rf])</f>
        <v>0</v>
      </c>
      <c r="T344" s="40">
        <f>SUMIF(Tabella1[Nome],Tabella4[[#This Row],[NOME]],Tabella1[Au])</f>
        <v>0</v>
      </c>
      <c r="U344" s="41">
        <f>SUMIF(Tabella1[Nome],Tabella4[[#This Row],[NOME]],Tabella1[Amm])</f>
        <v>0</v>
      </c>
      <c r="V344" s="42">
        <f>SUMIF(Tabella1[Nome],Tabella4[[#This Row],[NOME]],Tabella1[Esp])</f>
        <v>0</v>
      </c>
      <c r="W344" s="40">
        <f>SUMIF(Tabella1[Nome],Tabella4[[#This Row],[NOME]],Tabella1[Ass])</f>
        <v>0</v>
      </c>
      <c r="X344" s="40">
        <f>SUMIF(Tabella1[Nome],Tabella4[[#This Row],[NOME]],Tabella1[Gdv])</f>
        <v>0</v>
      </c>
      <c r="Y344" s="40">
        <f>SUMIF(Tabella1[Nome],Tabella4[[#This Row],[NOME]],Tabella1[cl sh])</f>
        <v>0</v>
      </c>
      <c r="Z344" s="270">
        <f>_xlfn.IFNA(_xlfn.XLOOKUP(CONCATENATE(Z$4,$C344),Tabella1[CONC X VOTI IN TAB GIOC],Tabella1[Voto],""),"")</f>
        <v>5.5</v>
      </c>
      <c r="AA344" s="270">
        <f>_xlfn.IFNA(_xlfn.XLOOKUP(CONCATENATE(AA$4,$C344),Tabella1[CONC X VOTI IN TAB GIOC],Tabella1[Voto],""),"")</f>
        <v>7</v>
      </c>
      <c r="AB344" s="270">
        <f>_xlfn.IFNA(_xlfn.XLOOKUP(CONCATENATE(AB$4,$C344),Tabella1[CONC X VOTI IN TAB GIOC],Tabella1[Voto]),"")</f>
        <v>7</v>
      </c>
      <c r="AC344" s="270" cm="1">
        <f t="array" ref="AC344">_xlfn.IFNA(_xlfn.XLOOKUP(CONCATENATE(AC$4,$C344),INDEX(Tabella1[],0,MATCH("CONC X VOTI IN TAB GIOC",Tabella1[#Headers],0)),INDEX(Tabella1[],0,MATCH("Voto",Tabella1[#Headers],0))),"")</f>
        <v>5.5</v>
      </c>
      <c r="AD344" s="270" t="str">
        <f>_xlfn.IFNA(_xlfn.XLOOKUP(CONCATENATE(AD$4,$C344),Tabella1[CONC X VOTI IN TAB GIOC],Tabella1[Voto]),"")</f>
        <v/>
      </c>
      <c r="AE344" s="270" t="str">
        <f>_xlfn.IFNA(VLOOKUP(CONCATENATE(AE$4,$C344),'INSER DATA'!$A:$F,6,0),"")</f>
        <v/>
      </c>
      <c r="AF344" s="270" t="str">
        <f>_xlfn.IFNA(VLOOKUP(CONCATENATE(AF$4,$C344),'INSER DATA'!$A:$F,6,0),"")</f>
        <v/>
      </c>
      <c r="AG344" s="270" t="str">
        <f>_xlfn.IFNA(VLOOKUP(CONCATENATE(AG$4,$C344),'INSER DATA'!$A:$F,6,0),"")</f>
        <v/>
      </c>
      <c r="AH344" s="270" t="str">
        <f>_xlfn.IFNA(VLOOKUP(CONCATENATE(AH$4,$C344),'INSER DATA'!$A:$F,7,0),"")</f>
        <v/>
      </c>
      <c r="AI344" s="270" t="str">
        <f>_xlfn.IFNA(VLOOKUP(CONCATENATE(AI$4,$C344),'INSER DATA'!$A:$F,7,0),"")</f>
        <v/>
      </c>
      <c r="AJ344" s="270" t="str">
        <f>_xlfn.IFNA(VLOOKUP(CONCATENATE(AJ$4,$C344),'INSER DATA'!$A:$F,7,0),"")</f>
        <v/>
      </c>
      <c r="AK344" s="270" t="str">
        <f>_xlfn.IFNA(VLOOKUP(CONCATENATE(AK$4,$C344),'INSER DATA'!$A:$F,7,0),"")</f>
        <v/>
      </c>
      <c r="AL344" s="270" t="str">
        <f>_xlfn.IFNA(VLOOKUP(CONCATENATE(AL$4,$C344),'INSER DATA'!$A:$F,7,0),"")</f>
        <v/>
      </c>
      <c r="AM344" s="270" t="str">
        <f>_xlfn.IFNA(VLOOKUP(CONCATENATE(AM$4,$C344),'INSER DATA'!$A:$F,7,0),"")</f>
        <v/>
      </c>
      <c r="AN344" s="270" t="str">
        <f>_xlfn.IFNA(VLOOKUP(CONCATENATE(AN$4,$C344),'INSER DATA'!$A:$F,7,0),"")</f>
        <v/>
      </c>
      <c r="AO344" s="270" t="str">
        <f>_xlfn.IFNA(VLOOKUP(CONCATENATE(AO$4,$C344),'INSER DATA'!$A:$F,7,0),"")</f>
        <v/>
      </c>
      <c r="AP344" s="270" t="str">
        <f>_xlfn.IFNA(VLOOKUP(CONCATENATE(AP$4,$C344),'INSER DATA'!$A:$F,7,0),"")</f>
        <v/>
      </c>
      <c r="AQ344" s="270" t="str">
        <f>_xlfn.IFNA(VLOOKUP(CONCATENATE(AQ$4,$C344),'INSER DATA'!$A:$F,7,0),"")</f>
        <v/>
      </c>
      <c r="AR344" s="270" t="str">
        <f>_xlfn.IFNA(VLOOKUP(CONCATENATE(AR$4,$C344),'INSER DATA'!$A:$F,7,0),"")</f>
        <v/>
      </c>
      <c r="AS344" s="270" t="str">
        <f>_xlfn.IFNA(VLOOKUP(CONCATENATE(AS$4,$C344),'INSER DATA'!$A:$F,7,0),"")</f>
        <v/>
      </c>
      <c r="AT344" s="270" t="str">
        <f>_xlfn.IFNA(VLOOKUP(CONCATENATE(AT$4,$C344),'INSER DATA'!$A:$F,7,0),"")</f>
        <v/>
      </c>
      <c r="AU344" s="270" t="str">
        <f>_xlfn.IFNA(VLOOKUP(CONCATENATE(AU$4,$C344),'INSER DATA'!$A:$F,7,0),"")</f>
        <v/>
      </c>
      <c r="AV344" s="270" t="str">
        <f>_xlfn.IFNA(VLOOKUP(CONCATENATE(AV$4,$C344),'INSER DATA'!$A:$F,7,0),"")</f>
        <v/>
      </c>
      <c r="AW344" s="270" t="str">
        <f>_xlfn.IFNA(VLOOKUP(CONCATENATE(AW$4,$C344),'INSER DATA'!$A:$F,7,0),"")</f>
        <v/>
      </c>
      <c r="AX344" s="270" t="str">
        <f>_xlfn.IFNA(VLOOKUP(CONCATENATE(AX$4,$C344),'INSER DATA'!$A:$F,7,0),"")</f>
        <v/>
      </c>
      <c r="AY344" s="270" t="str">
        <f>_xlfn.IFNA(VLOOKUP(CONCATENATE(AY$4,$C344),'INSER DATA'!$A:$F,7,0),"")</f>
        <v/>
      </c>
      <c r="AZ344" s="270" t="str">
        <f>_xlfn.IFNA(VLOOKUP(CONCATENATE(AZ$4,$C344),'INSER DATA'!$A:$F,7,0),"")</f>
        <v/>
      </c>
      <c r="BA344" s="270" t="str">
        <f>_xlfn.IFNA(VLOOKUP(CONCATENATE(BA$4,$C344),'INSER DATA'!$A:$F,7,0),"")</f>
        <v/>
      </c>
      <c r="BB344" s="270" t="str">
        <f>_xlfn.IFNA(VLOOKUP(CONCATENATE(BB$4,$C344),'INSER DATA'!$A:$F,7,0),"")</f>
        <v/>
      </c>
      <c r="BC344" s="270" t="str">
        <f>_xlfn.IFNA(VLOOKUP(CONCATENATE(BC$4,$C344),'INSER DATA'!$A:$F,7,0),"")</f>
        <v/>
      </c>
      <c r="BD344" s="270" t="str">
        <f>_xlfn.IFNA(VLOOKUP(CONCATENATE(BD$4,$C344),'INSER DATA'!$A:$F,7,0),"")</f>
        <v/>
      </c>
      <c r="BE344" s="270" t="str">
        <f>_xlfn.IFNA(VLOOKUP(CONCATENATE(BE$4,$C344),'INSER DATA'!$A:$F,7,0),"")</f>
        <v/>
      </c>
      <c r="BF344" s="270" t="str">
        <f>_xlfn.IFNA(VLOOKUP(CONCATENATE(BF$4,$C344),'INSER DATA'!$A:$F,7,0),"")</f>
        <v/>
      </c>
      <c r="BG344" s="270" t="str">
        <f>_xlfn.IFNA(VLOOKUP(CONCATENATE(BG$4,$C344),'INSER DATA'!$A:$F,7,0),"")</f>
        <v/>
      </c>
      <c r="BH344" s="270" t="str">
        <f>_xlfn.IFNA(VLOOKUP(CONCATENATE(BH$4,$C344),'INSER DATA'!$A:$F,7,0),"")</f>
        <v/>
      </c>
      <c r="BI344" s="270" t="str">
        <f>_xlfn.IFNA(VLOOKUP(CONCATENATE(BI$4,$C344),'INSER DATA'!$A:$F,7,0),"")</f>
        <v/>
      </c>
      <c r="BJ344" s="270" t="str">
        <f>_xlfn.IFNA(VLOOKUP(CONCATENATE(BJ$4,$C344),'INSER DATA'!$A:$F,7,0),"")</f>
        <v/>
      </c>
      <c r="BK344" s="270" t="str">
        <f>_xlfn.IFNA(VLOOKUP(CONCATENATE(BK$4,$C344),'INSER DATA'!$A:$F,7,0),"")</f>
        <v/>
      </c>
      <c r="BL344" s="272"/>
      <c r="BM344" s="30"/>
      <c r="BN344" s="30"/>
      <c r="BO344" s="30"/>
      <c r="BP344" s="30"/>
      <c r="BQ344" s="30"/>
      <c r="BR344" s="30"/>
      <c r="BS344" s="30"/>
      <c r="BT344" s="30"/>
      <c r="BU344" s="30"/>
      <c r="BV344" s="30"/>
      <c r="BW344" s="30"/>
      <c r="BX344" s="30"/>
      <c r="BY344" s="30"/>
      <c r="BZ344" s="30"/>
      <c r="CA344" s="30"/>
      <c r="CB344" s="30"/>
      <c r="CC344" s="30"/>
      <c r="CD344" s="30"/>
      <c r="CE344" s="30"/>
      <c r="CF344" s="30"/>
      <c r="CG344" s="30"/>
      <c r="CH344" s="30"/>
      <c r="CI344" s="30"/>
      <c r="CJ344" s="30"/>
      <c r="CK344" s="30"/>
      <c r="CL344" s="30"/>
      <c r="CM344" s="30"/>
      <c r="CN344" s="30"/>
      <c r="CO344" s="30"/>
      <c r="CP344" s="30"/>
      <c r="CQ344" s="30"/>
      <c r="CR344" s="30"/>
      <c r="CS344" s="30"/>
      <c r="CT344" s="30"/>
      <c r="CU344" s="30"/>
      <c r="CV344" s="30"/>
      <c r="CW344" s="30"/>
      <c r="CX344" s="30"/>
      <c r="CY344" s="30"/>
      <c r="CZ344" s="30"/>
      <c r="DA344" s="30"/>
    </row>
    <row r="345" spans="1:105" ht="19.2" thickTop="1" thickBot="1" x14ac:dyDescent="0.4">
      <c r="A345" s="30"/>
      <c r="B345" s="30"/>
      <c r="C345" s="356" t="s">
        <v>266</v>
      </c>
      <c r="D345" s="355" t="s">
        <v>860</v>
      </c>
      <c r="E345" s="35" t="str">
        <f>_xlfn.XLOOKUP(Tabella4[[#This Row],[NOME]],'ROSE SQUADRE'!$N$3:$N$253,'ROSE SQUADRE'!$O$3:$O$253,"")</f>
        <v>PESCICULINI</v>
      </c>
      <c r="F345" s="36" t="s">
        <v>5</v>
      </c>
      <c r="G345" s="43">
        <v>11</v>
      </c>
      <c r="H345" s="43">
        <v>11</v>
      </c>
      <c r="I345" s="44">
        <f t="shared" si="31"/>
        <v>0</v>
      </c>
      <c r="J345" s="37">
        <f t="shared" si="32"/>
        <v>3</v>
      </c>
      <c r="K345" s="38">
        <f t="shared" si="33"/>
        <v>6.333333333333333</v>
      </c>
      <c r="L345" s="38">
        <f t="shared" si="34"/>
        <v>5</v>
      </c>
      <c r="M345" s="39">
        <f t="shared" si="35"/>
        <v>15</v>
      </c>
      <c r="N345" s="45">
        <f t="shared" ca="1" si="36"/>
        <v>0</v>
      </c>
      <c r="O345" s="40">
        <f>SUMIF(Tabella1[Nome],Tabella4[[#This Row],[NOME]],Tabella1[Gf])</f>
        <v>0</v>
      </c>
      <c r="P345" s="40">
        <f>-(SUMIF(Tabella1[Nome],Tabella4[[#This Row],[NOME]],Tabella1[Gs]))</f>
        <v>-5</v>
      </c>
      <c r="Q345" s="40">
        <f>SUMIF(Tabella1[Nome],Tabella4[[#This Row],[NOME]],Tabella1[Rp])</f>
        <v>0</v>
      </c>
      <c r="R345" s="40">
        <f>SUMIF(Tabella1[Nome],Tabella4[[#This Row],[NOME]],Tabella1[Rs])</f>
        <v>0</v>
      </c>
      <c r="S345" s="40">
        <f>SUMIF(Tabella1[Nome],Tabella4[[#This Row],[NOME]],Tabella1[Rf])</f>
        <v>0</v>
      </c>
      <c r="T345" s="40">
        <f>SUMIF(Tabella1[Nome],Tabella4[[#This Row],[NOME]],Tabella1[Au])</f>
        <v>0</v>
      </c>
      <c r="U345" s="41">
        <f>SUMIF(Tabella1[Nome],Tabella4[[#This Row],[NOME]],Tabella1[Amm])</f>
        <v>0</v>
      </c>
      <c r="V345" s="42">
        <f>SUMIF(Tabella1[Nome],Tabella4[[#This Row],[NOME]],Tabella1[Esp])</f>
        <v>0</v>
      </c>
      <c r="W345" s="40">
        <f>SUMIF(Tabella1[Nome],Tabella4[[#This Row],[NOME]],Tabella1[Ass])</f>
        <v>0</v>
      </c>
      <c r="X345" s="40">
        <f>SUMIF(Tabella1[Nome],Tabella4[[#This Row],[NOME]],Tabella1[Gdv])</f>
        <v>0</v>
      </c>
      <c r="Y345" s="40">
        <f>SUMIF(Tabella1[Nome],Tabella4[[#This Row],[NOME]],Tabella1[cl sh])</f>
        <v>1</v>
      </c>
      <c r="Z345" s="270">
        <f>_xlfn.IFNA(_xlfn.XLOOKUP(CONCATENATE(Z$4,$C345),Tabella1[CONC X VOTI IN TAB GIOC],Tabella1[Voto],""),"")</f>
        <v>6</v>
      </c>
      <c r="AA345" s="270">
        <f>_xlfn.IFNA(_xlfn.XLOOKUP(CONCATENATE(AA$4,$C345),Tabella1[CONC X VOTI IN TAB GIOC],Tabella1[Voto],""),"")</f>
        <v>6</v>
      </c>
      <c r="AB345" s="270">
        <f>_xlfn.IFNA(_xlfn.XLOOKUP(CONCATENATE(AB$4,$C345),Tabella1[CONC X VOTI IN TAB GIOC],Tabella1[Voto]),"")</f>
        <v>7</v>
      </c>
      <c r="AC345" s="270" t="str" cm="1">
        <f t="array" ref="AC345">_xlfn.IFNA(_xlfn.XLOOKUP(CONCATENATE(AC$4,$C345),INDEX(Tabella1[],0,MATCH("CONC X VOTI IN TAB GIOC",Tabella1[#Headers],0)),INDEX(Tabella1[],0,MATCH("Voto",Tabella1[#Headers],0))),"")</f>
        <v/>
      </c>
      <c r="AD345" s="270" t="str">
        <f>_xlfn.IFNA(_xlfn.XLOOKUP(CONCATENATE(AD$4,$C345),Tabella1[CONC X VOTI IN TAB GIOC],Tabella1[Voto]),"")</f>
        <v/>
      </c>
      <c r="AE345" s="270" t="str">
        <f>_xlfn.IFNA(VLOOKUP(CONCATENATE(AE$4,$C345),'INSER DATA'!$A:$F,6,0),"")</f>
        <v/>
      </c>
      <c r="AF345" s="270" t="str">
        <f>_xlfn.IFNA(VLOOKUP(CONCATENATE(AF$4,$C345),'INSER DATA'!$A:$F,6,0),"")</f>
        <v/>
      </c>
      <c r="AG345" s="270" t="str">
        <f>_xlfn.IFNA(VLOOKUP(CONCATENATE(AG$4,$C345),'INSER DATA'!$A:$F,6,0),"")</f>
        <v/>
      </c>
      <c r="AH345" s="270" t="str">
        <f>_xlfn.IFNA(VLOOKUP(CONCATENATE(AH$4,$C345),'INSER DATA'!$A:$F,7,0),"")</f>
        <v/>
      </c>
      <c r="AI345" s="270" t="str">
        <f>_xlfn.IFNA(VLOOKUP(CONCATENATE(AI$4,$C345),'INSER DATA'!$A:$F,7,0),"")</f>
        <v/>
      </c>
      <c r="AJ345" s="270" t="str">
        <f>_xlfn.IFNA(VLOOKUP(CONCATENATE(AJ$4,$C345),'INSER DATA'!$A:$F,7,0),"")</f>
        <v/>
      </c>
      <c r="AK345" s="270" t="str">
        <f>_xlfn.IFNA(VLOOKUP(CONCATENATE(AK$4,$C345),'INSER DATA'!$A:$F,7,0),"")</f>
        <v/>
      </c>
      <c r="AL345" s="270" t="str">
        <f>_xlfn.IFNA(VLOOKUP(CONCATENATE(AL$4,$C345),'INSER DATA'!$A:$F,7,0),"")</f>
        <v/>
      </c>
      <c r="AM345" s="270" t="str">
        <f>_xlfn.IFNA(VLOOKUP(CONCATENATE(AM$4,$C345),'INSER DATA'!$A:$F,7,0),"")</f>
        <v/>
      </c>
      <c r="AN345" s="270" t="str">
        <f>_xlfn.IFNA(VLOOKUP(CONCATENATE(AN$4,$C345),'INSER DATA'!$A:$F,7,0),"")</f>
        <v/>
      </c>
      <c r="AO345" s="270" t="str">
        <f>_xlfn.IFNA(VLOOKUP(CONCATENATE(AO$4,$C345),'INSER DATA'!$A:$F,7,0),"")</f>
        <v/>
      </c>
      <c r="AP345" s="270" t="str">
        <f>_xlfn.IFNA(VLOOKUP(CONCATENATE(AP$4,$C345),'INSER DATA'!$A:$F,7,0),"")</f>
        <v/>
      </c>
      <c r="AQ345" s="270" t="str">
        <f>_xlfn.IFNA(VLOOKUP(CONCATENATE(AQ$4,$C345),'INSER DATA'!$A:$F,7,0),"")</f>
        <v/>
      </c>
      <c r="AR345" s="270" t="str">
        <f>_xlfn.IFNA(VLOOKUP(CONCATENATE(AR$4,$C345),'INSER DATA'!$A:$F,7,0),"")</f>
        <v/>
      </c>
      <c r="AS345" s="270" t="str">
        <f>_xlfn.IFNA(VLOOKUP(CONCATENATE(AS$4,$C345),'INSER DATA'!$A:$F,7,0),"")</f>
        <v/>
      </c>
      <c r="AT345" s="270" t="str">
        <f>_xlfn.IFNA(VLOOKUP(CONCATENATE(AT$4,$C345),'INSER DATA'!$A:$F,7,0),"")</f>
        <v/>
      </c>
      <c r="AU345" s="270" t="str">
        <f>_xlfn.IFNA(VLOOKUP(CONCATENATE(AU$4,$C345),'INSER DATA'!$A:$F,7,0),"")</f>
        <v/>
      </c>
      <c r="AV345" s="270" t="str">
        <f>_xlfn.IFNA(VLOOKUP(CONCATENATE(AV$4,$C345),'INSER DATA'!$A:$F,7,0),"")</f>
        <v/>
      </c>
      <c r="AW345" s="270" t="str">
        <f>_xlfn.IFNA(VLOOKUP(CONCATENATE(AW$4,$C345),'INSER DATA'!$A:$F,7,0),"")</f>
        <v/>
      </c>
      <c r="AX345" s="270" t="str">
        <f>_xlfn.IFNA(VLOOKUP(CONCATENATE(AX$4,$C345),'INSER DATA'!$A:$F,7,0),"")</f>
        <v/>
      </c>
      <c r="AY345" s="270" t="str">
        <f>_xlfn.IFNA(VLOOKUP(CONCATENATE(AY$4,$C345),'INSER DATA'!$A:$F,7,0),"")</f>
        <v/>
      </c>
      <c r="AZ345" s="270" t="str">
        <f>_xlfn.IFNA(VLOOKUP(CONCATENATE(AZ$4,$C345),'INSER DATA'!$A:$F,7,0),"")</f>
        <v/>
      </c>
      <c r="BA345" s="270" t="str">
        <f>_xlfn.IFNA(VLOOKUP(CONCATENATE(BA$4,$C345),'INSER DATA'!$A:$F,7,0),"")</f>
        <v/>
      </c>
      <c r="BB345" s="270" t="str">
        <f>_xlfn.IFNA(VLOOKUP(CONCATENATE(BB$4,$C345),'INSER DATA'!$A:$F,7,0),"")</f>
        <v/>
      </c>
      <c r="BC345" s="270" t="str">
        <f>_xlfn.IFNA(VLOOKUP(CONCATENATE(BC$4,$C345),'INSER DATA'!$A:$F,7,0),"")</f>
        <v/>
      </c>
      <c r="BD345" s="270" t="str">
        <f>_xlfn.IFNA(VLOOKUP(CONCATENATE(BD$4,$C345),'INSER DATA'!$A:$F,7,0),"")</f>
        <v/>
      </c>
      <c r="BE345" s="270" t="str">
        <f>_xlfn.IFNA(VLOOKUP(CONCATENATE(BE$4,$C345),'INSER DATA'!$A:$F,7,0),"")</f>
        <v/>
      </c>
      <c r="BF345" s="270" t="str">
        <f>_xlfn.IFNA(VLOOKUP(CONCATENATE(BF$4,$C345),'INSER DATA'!$A:$F,7,0),"")</f>
        <v/>
      </c>
      <c r="BG345" s="270" t="str">
        <f>_xlfn.IFNA(VLOOKUP(CONCATENATE(BG$4,$C345),'INSER DATA'!$A:$F,7,0),"")</f>
        <v/>
      </c>
      <c r="BH345" s="270" t="str">
        <f>_xlfn.IFNA(VLOOKUP(CONCATENATE(BH$4,$C345),'INSER DATA'!$A:$F,7,0),"")</f>
        <v/>
      </c>
      <c r="BI345" s="270" t="str">
        <f>_xlfn.IFNA(VLOOKUP(CONCATENATE(BI$4,$C345),'INSER DATA'!$A:$F,7,0),"")</f>
        <v/>
      </c>
      <c r="BJ345" s="270" t="str">
        <f>_xlfn.IFNA(VLOOKUP(CONCATENATE(BJ$4,$C345),'INSER DATA'!$A:$F,7,0),"")</f>
        <v/>
      </c>
      <c r="BK345" s="270" t="str">
        <f>_xlfn.IFNA(VLOOKUP(CONCATENATE(BK$4,$C345),'INSER DATA'!$A:$F,7,0),"")</f>
        <v/>
      </c>
      <c r="BL345" s="272"/>
      <c r="BM345" s="30"/>
      <c r="BN345" s="30"/>
      <c r="BO345" s="30"/>
      <c r="BP345" s="30"/>
      <c r="BQ345" s="30"/>
      <c r="BR345" s="30"/>
      <c r="BS345" s="30"/>
      <c r="BT345" s="30"/>
      <c r="BU345" s="30"/>
      <c r="BV345" s="30"/>
      <c r="BW345" s="30"/>
      <c r="BX345" s="30"/>
      <c r="BY345" s="30"/>
      <c r="BZ345" s="30"/>
      <c r="CA345" s="30"/>
      <c r="CB345" s="30"/>
      <c r="CC345" s="30"/>
      <c r="CD345" s="30"/>
      <c r="CE345" s="30"/>
      <c r="CF345" s="30"/>
      <c r="CG345" s="30"/>
      <c r="CH345" s="30"/>
      <c r="CI345" s="30"/>
      <c r="CJ345" s="30"/>
      <c r="CK345" s="30"/>
      <c r="CL345" s="30"/>
      <c r="CM345" s="30"/>
      <c r="CN345" s="30"/>
      <c r="CO345" s="30"/>
      <c r="CP345" s="30"/>
      <c r="CQ345" s="30"/>
      <c r="CR345" s="30"/>
      <c r="CS345" s="30"/>
      <c r="CT345" s="30"/>
      <c r="CU345" s="30"/>
      <c r="CV345" s="30"/>
      <c r="CW345" s="30"/>
      <c r="CX345" s="30"/>
      <c r="CY345" s="30"/>
      <c r="CZ345" s="30"/>
      <c r="DA345" s="30"/>
    </row>
    <row r="346" spans="1:105" ht="19.2" thickTop="1" thickBot="1" x14ac:dyDescent="0.4">
      <c r="A346" s="30"/>
      <c r="B346" s="30"/>
      <c r="C346" s="354" t="s">
        <v>270</v>
      </c>
      <c r="D346" s="357" t="s">
        <v>860</v>
      </c>
      <c r="E346" s="35" t="str">
        <f>_xlfn.XLOOKUP(Tabella4[[#This Row],[NOME]],'ROSE SQUADRE'!$N$3:$N$253,'ROSE SQUADRE'!$O$3:$O$253,"")</f>
        <v>AS PIPPERIA</v>
      </c>
      <c r="F346" s="36" t="s">
        <v>161</v>
      </c>
      <c r="G346" s="43">
        <v>12</v>
      </c>
      <c r="H346" s="43">
        <v>12</v>
      </c>
      <c r="I346" s="44">
        <f t="shared" si="31"/>
        <v>0</v>
      </c>
      <c r="J346" s="37">
        <f t="shared" si="32"/>
        <v>4</v>
      </c>
      <c r="K346" s="38">
        <f t="shared" si="33"/>
        <v>6</v>
      </c>
      <c r="L346" s="38">
        <f t="shared" si="34"/>
        <v>6.125</v>
      </c>
      <c r="M346" s="39">
        <f t="shared" si="35"/>
        <v>24.5</v>
      </c>
      <c r="N346" s="45">
        <f t="shared" ca="1" si="36"/>
        <v>0</v>
      </c>
      <c r="O346" s="40">
        <f>SUMIF(Tabella1[Nome],Tabella4[[#This Row],[NOME]],Tabella1[Gf])</f>
        <v>0</v>
      </c>
      <c r="P346" s="40">
        <f>-(SUMIF(Tabella1[Nome],Tabella4[[#This Row],[NOME]],Tabella1[Gs]))</f>
        <v>0</v>
      </c>
      <c r="Q346" s="40">
        <f>SUMIF(Tabella1[Nome],Tabella4[[#This Row],[NOME]],Tabella1[Rp])</f>
        <v>0</v>
      </c>
      <c r="R346" s="40">
        <f>SUMIF(Tabella1[Nome],Tabella4[[#This Row],[NOME]],Tabella1[Rs])</f>
        <v>0</v>
      </c>
      <c r="S346" s="40">
        <f>SUMIF(Tabella1[Nome],Tabella4[[#This Row],[NOME]],Tabella1[Rf])</f>
        <v>0</v>
      </c>
      <c r="T346" s="40">
        <f>SUMIF(Tabella1[Nome],Tabella4[[#This Row],[NOME]],Tabella1[Au])</f>
        <v>0</v>
      </c>
      <c r="U346" s="41">
        <f>SUMIF(Tabella1[Nome],Tabella4[[#This Row],[NOME]],Tabella1[Amm])</f>
        <v>1</v>
      </c>
      <c r="V346" s="42">
        <f>SUMIF(Tabella1[Nome],Tabella4[[#This Row],[NOME]],Tabella1[Esp])</f>
        <v>0</v>
      </c>
      <c r="W346" s="40">
        <f>SUMIF(Tabella1[Nome],Tabella4[[#This Row],[NOME]],Tabella1[Ass])</f>
        <v>1</v>
      </c>
      <c r="X346" s="40">
        <f>SUMIF(Tabella1[Nome],Tabella4[[#This Row],[NOME]],Tabella1[Gdv])</f>
        <v>0</v>
      </c>
      <c r="Y346" s="40">
        <f>SUMIF(Tabella1[Nome],Tabella4[[#This Row],[NOME]],Tabella1[cl sh])</f>
        <v>0</v>
      </c>
      <c r="Z346" s="270">
        <f>_xlfn.IFNA(_xlfn.XLOOKUP(CONCATENATE(Z$4,$C346),Tabella1[CONC X VOTI IN TAB GIOC],Tabella1[Voto],""),"")</f>
        <v>6.5</v>
      </c>
      <c r="AA346" s="270">
        <f>_xlfn.IFNA(_xlfn.XLOOKUP(CONCATENATE(AA$4,$C346),Tabella1[CONC X VOTI IN TAB GIOC],Tabella1[Voto],""),"")</f>
        <v>5.5</v>
      </c>
      <c r="AB346" s="270">
        <f>_xlfn.IFNA(_xlfn.XLOOKUP(CONCATENATE(AB$4,$C346),Tabella1[CONC X VOTI IN TAB GIOC],Tabella1[Voto]),"")</f>
        <v>6</v>
      </c>
      <c r="AC346" s="270" cm="1">
        <f t="array" ref="AC346">_xlfn.IFNA(_xlfn.XLOOKUP(CONCATENATE(AC$4,$C346),INDEX(Tabella1[],0,MATCH("CONC X VOTI IN TAB GIOC",Tabella1[#Headers],0)),INDEX(Tabella1[],0,MATCH("Voto",Tabella1[#Headers],0))),"")</f>
        <v>6</v>
      </c>
      <c r="AD346" s="270" t="str">
        <f>_xlfn.IFNA(_xlfn.XLOOKUP(CONCATENATE(AD$4,$C346),Tabella1[CONC X VOTI IN TAB GIOC],Tabella1[Voto]),"")</f>
        <v/>
      </c>
      <c r="AE346" s="270" t="str">
        <f>_xlfn.IFNA(VLOOKUP(CONCATENATE(AE$4,$C346),'INSER DATA'!$A:$F,6,0),"")</f>
        <v/>
      </c>
      <c r="AF346" s="270" t="str">
        <f>_xlfn.IFNA(VLOOKUP(CONCATENATE(AF$4,$C346),'INSER DATA'!$A:$F,6,0),"")</f>
        <v/>
      </c>
      <c r="AG346" s="270" t="str">
        <f>_xlfn.IFNA(VLOOKUP(CONCATENATE(AG$4,$C346),'INSER DATA'!$A:$F,6,0),"")</f>
        <v/>
      </c>
      <c r="AH346" s="270" t="str">
        <f>_xlfn.IFNA(VLOOKUP(CONCATENATE(AH$4,$C346),'INSER DATA'!$A:$F,7,0),"")</f>
        <v/>
      </c>
      <c r="AI346" s="270" t="str">
        <f>_xlfn.IFNA(VLOOKUP(CONCATENATE(AI$4,$C346),'INSER DATA'!$A:$F,7,0),"")</f>
        <v/>
      </c>
      <c r="AJ346" s="270" t="str">
        <f>_xlfn.IFNA(VLOOKUP(CONCATENATE(AJ$4,$C346),'INSER DATA'!$A:$F,7,0),"")</f>
        <v/>
      </c>
      <c r="AK346" s="270" t="str">
        <f>_xlfn.IFNA(VLOOKUP(CONCATENATE(AK$4,$C346),'INSER DATA'!$A:$F,7,0),"")</f>
        <v/>
      </c>
      <c r="AL346" s="270" t="str">
        <f>_xlfn.IFNA(VLOOKUP(CONCATENATE(AL$4,$C346),'INSER DATA'!$A:$F,7,0),"")</f>
        <v/>
      </c>
      <c r="AM346" s="270" t="str">
        <f>_xlfn.IFNA(VLOOKUP(CONCATENATE(AM$4,$C346),'INSER DATA'!$A:$F,7,0),"")</f>
        <v/>
      </c>
      <c r="AN346" s="270" t="str">
        <f>_xlfn.IFNA(VLOOKUP(CONCATENATE(AN$4,$C346),'INSER DATA'!$A:$F,7,0),"")</f>
        <v/>
      </c>
      <c r="AO346" s="270" t="str">
        <f>_xlfn.IFNA(VLOOKUP(CONCATENATE(AO$4,$C346),'INSER DATA'!$A:$F,7,0),"")</f>
        <v/>
      </c>
      <c r="AP346" s="270" t="str">
        <f>_xlfn.IFNA(VLOOKUP(CONCATENATE(AP$4,$C346),'INSER DATA'!$A:$F,7,0),"")</f>
        <v/>
      </c>
      <c r="AQ346" s="270" t="str">
        <f>_xlfn.IFNA(VLOOKUP(CONCATENATE(AQ$4,$C346),'INSER DATA'!$A:$F,7,0),"")</f>
        <v/>
      </c>
      <c r="AR346" s="270" t="str">
        <f>_xlfn.IFNA(VLOOKUP(CONCATENATE(AR$4,$C346),'INSER DATA'!$A:$F,7,0),"")</f>
        <v/>
      </c>
      <c r="AS346" s="270" t="str">
        <f>_xlfn.IFNA(VLOOKUP(CONCATENATE(AS$4,$C346),'INSER DATA'!$A:$F,7,0),"")</f>
        <v/>
      </c>
      <c r="AT346" s="270" t="str">
        <f>_xlfn.IFNA(VLOOKUP(CONCATENATE(AT$4,$C346),'INSER DATA'!$A:$F,7,0),"")</f>
        <v/>
      </c>
      <c r="AU346" s="270" t="str">
        <f>_xlfn.IFNA(VLOOKUP(CONCATENATE(AU$4,$C346),'INSER DATA'!$A:$F,7,0),"")</f>
        <v/>
      </c>
      <c r="AV346" s="270" t="str">
        <f>_xlfn.IFNA(VLOOKUP(CONCATENATE(AV$4,$C346),'INSER DATA'!$A:$F,7,0),"")</f>
        <v/>
      </c>
      <c r="AW346" s="270" t="str">
        <f>_xlfn.IFNA(VLOOKUP(CONCATENATE(AW$4,$C346),'INSER DATA'!$A:$F,7,0),"")</f>
        <v/>
      </c>
      <c r="AX346" s="270" t="str">
        <f>_xlfn.IFNA(VLOOKUP(CONCATENATE(AX$4,$C346),'INSER DATA'!$A:$F,7,0),"")</f>
        <v/>
      </c>
      <c r="AY346" s="270" t="str">
        <f>_xlfn.IFNA(VLOOKUP(CONCATENATE(AY$4,$C346),'INSER DATA'!$A:$F,7,0),"")</f>
        <v/>
      </c>
      <c r="AZ346" s="270" t="str">
        <f>_xlfn.IFNA(VLOOKUP(CONCATENATE(AZ$4,$C346),'INSER DATA'!$A:$F,7,0),"")</f>
        <v/>
      </c>
      <c r="BA346" s="270" t="str">
        <f>_xlfn.IFNA(VLOOKUP(CONCATENATE(BA$4,$C346),'INSER DATA'!$A:$F,7,0),"")</f>
        <v/>
      </c>
      <c r="BB346" s="270" t="str">
        <f>_xlfn.IFNA(VLOOKUP(CONCATENATE(BB$4,$C346),'INSER DATA'!$A:$F,7,0),"")</f>
        <v/>
      </c>
      <c r="BC346" s="270" t="str">
        <f>_xlfn.IFNA(VLOOKUP(CONCATENATE(BC$4,$C346),'INSER DATA'!$A:$F,7,0),"")</f>
        <v/>
      </c>
      <c r="BD346" s="270" t="str">
        <f>_xlfn.IFNA(VLOOKUP(CONCATENATE(BD$4,$C346),'INSER DATA'!$A:$F,7,0),"")</f>
        <v/>
      </c>
      <c r="BE346" s="270" t="str">
        <f>_xlfn.IFNA(VLOOKUP(CONCATENATE(BE$4,$C346),'INSER DATA'!$A:$F,7,0),"")</f>
        <v/>
      </c>
      <c r="BF346" s="270" t="str">
        <f>_xlfn.IFNA(VLOOKUP(CONCATENATE(BF$4,$C346),'INSER DATA'!$A:$F,7,0),"")</f>
        <v/>
      </c>
      <c r="BG346" s="270" t="str">
        <f>_xlfn.IFNA(VLOOKUP(CONCATENATE(BG$4,$C346),'INSER DATA'!$A:$F,7,0),"")</f>
        <v/>
      </c>
      <c r="BH346" s="270" t="str">
        <f>_xlfn.IFNA(VLOOKUP(CONCATENATE(BH$4,$C346),'INSER DATA'!$A:$F,7,0),"")</f>
        <v/>
      </c>
      <c r="BI346" s="270" t="str">
        <f>_xlfn.IFNA(VLOOKUP(CONCATENATE(BI$4,$C346),'INSER DATA'!$A:$F,7,0),"")</f>
        <v/>
      </c>
      <c r="BJ346" s="270" t="str">
        <f>_xlfn.IFNA(VLOOKUP(CONCATENATE(BJ$4,$C346),'INSER DATA'!$A:$F,7,0),"")</f>
        <v/>
      </c>
      <c r="BK346" s="270" t="str">
        <f>_xlfn.IFNA(VLOOKUP(CONCATENATE(BK$4,$C346),'INSER DATA'!$A:$F,7,0),"")</f>
        <v/>
      </c>
      <c r="BL346" s="272"/>
      <c r="BM346" s="30"/>
      <c r="BN346" s="30"/>
      <c r="BO346" s="30"/>
      <c r="BP346" s="30"/>
      <c r="BQ346" s="30"/>
      <c r="BR346" s="30"/>
      <c r="BS346" s="30"/>
      <c r="BT346" s="30"/>
      <c r="BU346" s="30"/>
      <c r="BV346" s="30"/>
      <c r="BW346" s="30"/>
      <c r="BX346" s="30"/>
      <c r="BY346" s="30"/>
      <c r="BZ346" s="30"/>
      <c r="CA346" s="30"/>
      <c r="CB346" s="30"/>
      <c r="CC346" s="30"/>
      <c r="CD346" s="30"/>
      <c r="CE346" s="30"/>
      <c r="CF346" s="30"/>
      <c r="CG346" s="30"/>
      <c r="CH346" s="30"/>
      <c r="CI346" s="30"/>
      <c r="CJ346" s="30"/>
      <c r="CK346" s="30"/>
      <c r="CL346" s="30"/>
      <c r="CM346" s="30"/>
      <c r="CN346" s="30"/>
      <c r="CO346" s="30"/>
      <c r="CP346" s="30"/>
      <c r="CQ346" s="30"/>
      <c r="CR346" s="30"/>
      <c r="CS346" s="30"/>
      <c r="CT346" s="30"/>
      <c r="CU346" s="30"/>
      <c r="CV346" s="30"/>
      <c r="CW346" s="30"/>
      <c r="CX346" s="30"/>
      <c r="CY346" s="30"/>
      <c r="CZ346" s="30"/>
      <c r="DA346" s="30"/>
    </row>
    <row r="347" spans="1:105" ht="19.2" thickTop="1" thickBot="1" x14ac:dyDescent="0.4">
      <c r="A347" s="30"/>
      <c r="B347" s="30"/>
      <c r="C347" s="360" t="s">
        <v>872</v>
      </c>
      <c r="D347" s="359" t="s">
        <v>860</v>
      </c>
      <c r="E347" s="35" t="str">
        <f>_xlfn.XLOOKUP(Tabella4[[#This Row],[NOME]],'ROSE SQUADRE'!$N$3:$N$253,'ROSE SQUADRE'!$O$3:$O$253,"")</f>
        <v>TRICCHETRACHT</v>
      </c>
      <c r="F347" s="36" t="s">
        <v>163</v>
      </c>
      <c r="G347" s="43">
        <v>14</v>
      </c>
      <c r="H347" s="43">
        <v>14</v>
      </c>
      <c r="I347" s="44">
        <f t="shared" si="31"/>
        <v>0</v>
      </c>
      <c r="J347" s="37">
        <f t="shared" si="32"/>
        <v>3</v>
      </c>
      <c r="K347" s="178">
        <f t="shared" si="33"/>
        <v>6</v>
      </c>
      <c r="L347" s="178">
        <f t="shared" si="34"/>
        <v>6</v>
      </c>
      <c r="M347" s="179">
        <f t="shared" si="35"/>
        <v>18</v>
      </c>
      <c r="N347" s="45">
        <f t="shared" ca="1" si="36"/>
        <v>0</v>
      </c>
      <c r="O347" s="40">
        <f>SUMIF(Tabella1[Nome],Tabella4[[#This Row],[NOME]],Tabella1[Gf])</f>
        <v>0</v>
      </c>
      <c r="P347" s="40">
        <f>-(SUMIF(Tabella1[Nome],Tabella4[[#This Row],[NOME]],Tabella1[Gs]))</f>
        <v>0</v>
      </c>
      <c r="Q347" s="40">
        <f>SUMIF(Tabella1[Nome],Tabella4[[#This Row],[NOME]],Tabella1[Rp])</f>
        <v>0</v>
      </c>
      <c r="R347" s="40">
        <f>SUMIF(Tabella1[Nome],Tabella4[[#This Row],[NOME]],Tabella1[Rs])</f>
        <v>0</v>
      </c>
      <c r="S347" s="40">
        <f>SUMIF(Tabella1[Nome],Tabella4[[#This Row],[NOME]],Tabella1[Rf])</f>
        <v>0</v>
      </c>
      <c r="T347" s="40">
        <f>SUMIF(Tabella1[Nome],Tabella4[[#This Row],[NOME]],Tabella1[Au])</f>
        <v>0</v>
      </c>
      <c r="U347" s="41">
        <f>SUMIF(Tabella1[Nome],Tabella4[[#This Row],[NOME]],Tabella1[Amm])</f>
        <v>0</v>
      </c>
      <c r="V347" s="42">
        <f>SUMIF(Tabella1[Nome],Tabella4[[#This Row],[NOME]],Tabella1[Esp])</f>
        <v>0</v>
      </c>
      <c r="W347" s="40">
        <f>SUMIF(Tabella1[Nome],Tabella4[[#This Row],[NOME]],Tabella1[Ass])</f>
        <v>0</v>
      </c>
      <c r="X347" s="40">
        <f>SUMIF(Tabella1[Nome],Tabella4[[#This Row],[NOME]],Tabella1[Gdv])</f>
        <v>0</v>
      </c>
      <c r="Y347" s="40">
        <f>SUMIF(Tabella1[Nome],Tabella4[[#This Row],[NOME]],Tabella1[cl sh])</f>
        <v>0</v>
      </c>
      <c r="Z347" s="270">
        <f>_xlfn.IFNA(_xlfn.XLOOKUP(CONCATENATE(Z$4,$C347),Tabella1[CONC X VOTI IN TAB GIOC],Tabella1[Voto],""),"")</f>
        <v>6</v>
      </c>
      <c r="AA347" s="270">
        <f>_xlfn.IFNA(_xlfn.XLOOKUP(CONCATENATE(AA$4,$C347),Tabella1[CONC X VOTI IN TAB GIOC],Tabella1[Voto],""),"")</f>
        <v>6</v>
      </c>
      <c r="AB347" s="270">
        <f>_xlfn.IFNA(_xlfn.XLOOKUP(CONCATENATE(AB$4,$C347),Tabella1[CONC X VOTI IN TAB GIOC],Tabella1[Voto]),"")</f>
        <v>6</v>
      </c>
      <c r="AC347" s="270" t="str" cm="1">
        <f t="array" ref="AC347">_xlfn.IFNA(_xlfn.XLOOKUP(CONCATENATE(AC$4,$C347),INDEX(Tabella1[],0,MATCH("CONC X VOTI IN TAB GIOC",Tabella1[#Headers],0)),INDEX(Tabella1[],0,MATCH("Voto",Tabella1[#Headers],0))),"")</f>
        <v/>
      </c>
      <c r="AD347" s="270" t="str">
        <f>_xlfn.IFNA(_xlfn.XLOOKUP(CONCATENATE(AD$4,$C347),Tabella1[CONC X VOTI IN TAB GIOC],Tabella1[Voto]),"")</f>
        <v/>
      </c>
      <c r="AE347" s="270" t="str">
        <f>_xlfn.IFNA(VLOOKUP(CONCATENATE(AE$4,$C347),'INSER DATA'!$A:$F,6,0),"")</f>
        <v/>
      </c>
      <c r="AF347" s="270" t="str">
        <f>_xlfn.IFNA(VLOOKUP(CONCATENATE(AF$4,$C347),'INSER DATA'!$A:$F,6,0),"")</f>
        <v/>
      </c>
      <c r="AG347" s="270" t="str">
        <f>_xlfn.IFNA(VLOOKUP(CONCATENATE(AG$4,$C347),'INSER DATA'!$A:$F,6,0),"")</f>
        <v/>
      </c>
      <c r="AH347" s="270" t="str">
        <f>_xlfn.IFNA(VLOOKUP(CONCATENATE(AH$4,$C347),'INSER DATA'!$A:$F,7,0),"")</f>
        <v/>
      </c>
      <c r="AI347" s="270" t="str">
        <f>_xlfn.IFNA(VLOOKUP(CONCATENATE(AI$4,$C347),'INSER DATA'!$A:$F,7,0),"")</f>
        <v/>
      </c>
      <c r="AJ347" s="270" t="str">
        <f>_xlfn.IFNA(VLOOKUP(CONCATENATE(AJ$4,$C347),'INSER DATA'!$A:$F,7,0),"")</f>
        <v/>
      </c>
      <c r="AK347" s="270" t="str">
        <f>_xlfn.IFNA(VLOOKUP(CONCATENATE(AK$4,$C347),'INSER DATA'!$A:$F,7,0),"")</f>
        <v/>
      </c>
      <c r="AL347" s="270" t="str">
        <f>_xlfn.IFNA(VLOOKUP(CONCATENATE(AL$4,$C347),'INSER DATA'!$A:$F,7,0),"")</f>
        <v/>
      </c>
      <c r="AM347" s="270" t="str">
        <f>_xlfn.IFNA(VLOOKUP(CONCATENATE(AM$4,$C347),'INSER DATA'!$A:$F,7,0),"")</f>
        <v/>
      </c>
      <c r="AN347" s="270" t="str">
        <f>_xlfn.IFNA(VLOOKUP(CONCATENATE(AN$4,$C347),'INSER DATA'!$A:$F,7,0),"")</f>
        <v/>
      </c>
      <c r="AO347" s="270" t="str">
        <f>_xlfn.IFNA(VLOOKUP(CONCATENATE(AO$4,$C347),'INSER DATA'!$A:$F,7,0),"")</f>
        <v/>
      </c>
      <c r="AP347" s="270" t="str">
        <f>_xlfn.IFNA(VLOOKUP(CONCATENATE(AP$4,$C347),'INSER DATA'!$A:$F,7,0),"")</f>
        <v/>
      </c>
      <c r="AQ347" s="270" t="str">
        <f>_xlfn.IFNA(VLOOKUP(CONCATENATE(AQ$4,$C347),'INSER DATA'!$A:$F,7,0),"")</f>
        <v/>
      </c>
      <c r="AR347" s="270" t="str">
        <f>_xlfn.IFNA(VLOOKUP(CONCATENATE(AR$4,$C347),'INSER DATA'!$A:$F,7,0),"")</f>
        <v/>
      </c>
      <c r="AS347" s="270" t="str">
        <f>_xlfn.IFNA(VLOOKUP(CONCATENATE(AS$4,$C347),'INSER DATA'!$A:$F,7,0),"")</f>
        <v/>
      </c>
      <c r="AT347" s="270" t="str">
        <f>_xlfn.IFNA(VLOOKUP(CONCATENATE(AT$4,$C347),'INSER DATA'!$A:$F,7,0),"")</f>
        <v/>
      </c>
      <c r="AU347" s="270" t="str">
        <f>_xlfn.IFNA(VLOOKUP(CONCATENATE(AU$4,$C347),'INSER DATA'!$A:$F,7,0),"")</f>
        <v/>
      </c>
      <c r="AV347" s="270" t="str">
        <f>_xlfn.IFNA(VLOOKUP(CONCATENATE(AV$4,$C347),'INSER DATA'!$A:$F,7,0),"")</f>
        <v/>
      </c>
      <c r="AW347" s="270" t="str">
        <f>_xlfn.IFNA(VLOOKUP(CONCATENATE(AW$4,$C347),'INSER DATA'!$A:$F,7,0),"")</f>
        <v/>
      </c>
      <c r="AX347" s="270" t="str">
        <f>_xlfn.IFNA(VLOOKUP(CONCATENATE(AX$4,$C347),'INSER DATA'!$A:$F,7,0),"")</f>
        <v/>
      </c>
      <c r="AY347" s="270" t="str">
        <f>_xlfn.IFNA(VLOOKUP(CONCATENATE(AY$4,$C347),'INSER DATA'!$A:$F,7,0),"")</f>
        <v/>
      </c>
      <c r="AZ347" s="270" t="str">
        <f>_xlfn.IFNA(VLOOKUP(CONCATENATE(AZ$4,$C347),'INSER DATA'!$A:$F,7,0),"")</f>
        <v/>
      </c>
      <c r="BA347" s="270" t="str">
        <f>_xlfn.IFNA(VLOOKUP(CONCATENATE(BA$4,$C347),'INSER DATA'!$A:$F,7,0),"")</f>
        <v/>
      </c>
      <c r="BB347" s="270" t="str">
        <f>_xlfn.IFNA(VLOOKUP(CONCATENATE(BB$4,$C347),'INSER DATA'!$A:$F,7,0),"")</f>
        <v/>
      </c>
      <c r="BC347" s="270" t="str">
        <f>_xlfn.IFNA(VLOOKUP(CONCATENATE(BC$4,$C347),'INSER DATA'!$A:$F,7,0),"")</f>
        <v/>
      </c>
      <c r="BD347" s="270" t="str">
        <f>_xlfn.IFNA(VLOOKUP(CONCATENATE(BD$4,$C347),'INSER DATA'!$A:$F,7,0),"")</f>
        <v/>
      </c>
      <c r="BE347" s="270" t="str">
        <f>_xlfn.IFNA(VLOOKUP(CONCATENATE(BE$4,$C347),'INSER DATA'!$A:$F,7,0),"")</f>
        <v/>
      </c>
      <c r="BF347" s="270" t="str">
        <f>_xlfn.IFNA(VLOOKUP(CONCATENATE(BF$4,$C347),'INSER DATA'!$A:$F,7,0),"")</f>
        <v/>
      </c>
      <c r="BG347" s="270" t="str">
        <f>_xlfn.IFNA(VLOOKUP(CONCATENATE(BG$4,$C347),'INSER DATA'!$A:$F,7,0),"")</f>
        <v/>
      </c>
      <c r="BH347" s="270" t="str">
        <f>_xlfn.IFNA(VLOOKUP(CONCATENATE(BH$4,$C347),'INSER DATA'!$A:$F,7,0),"")</f>
        <v/>
      </c>
      <c r="BI347" s="270" t="str">
        <f>_xlfn.IFNA(VLOOKUP(CONCATENATE(BI$4,$C347),'INSER DATA'!$A:$F,7,0),"")</f>
        <v/>
      </c>
      <c r="BJ347" s="270" t="str">
        <f>_xlfn.IFNA(VLOOKUP(CONCATENATE(BJ$4,$C347),'INSER DATA'!$A:$F,7,0),"")</f>
        <v/>
      </c>
      <c r="BK347" s="270" t="str">
        <f>_xlfn.IFNA(VLOOKUP(CONCATENATE(BK$4,$C347),'INSER DATA'!$A:$F,7,0),"")</f>
        <v/>
      </c>
      <c r="BL347" s="272"/>
      <c r="BM347" s="30"/>
      <c r="BN347" s="30"/>
      <c r="BO347" s="30"/>
      <c r="BP347" s="30"/>
      <c r="BQ347" s="30"/>
      <c r="BR347" s="30"/>
      <c r="BS347" s="30"/>
      <c r="BT347" s="30"/>
      <c r="BU347" s="30"/>
      <c r="BV347" s="30"/>
      <c r="BW347" s="30"/>
      <c r="BX347" s="30"/>
      <c r="BY347" s="30"/>
      <c r="BZ347" s="30"/>
      <c r="CA347" s="30"/>
      <c r="CB347" s="30"/>
      <c r="CC347" s="30"/>
      <c r="CD347" s="30"/>
      <c r="CE347" s="30"/>
      <c r="CF347" s="30"/>
      <c r="CG347" s="30"/>
      <c r="CH347" s="30"/>
      <c r="CI347" s="30"/>
      <c r="CJ347" s="30"/>
      <c r="CK347" s="30"/>
      <c r="CL347" s="30"/>
      <c r="CM347" s="30"/>
      <c r="CN347" s="30"/>
      <c r="CO347" s="30"/>
      <c r="CP347" s="30"/>
      <c r="CQ347" s="30"/>
      <c r="CR347" s="30"/>
      <c r="CS347" s="30"/>
      <c r="CT347" s="30"/>
      <c r="CU347" s="30"/>
      <c r="CV347" s="30"/>
      <c r="CW347" s="30"/>
      <c r="CX347" s="30"/>
      <c r="CY347" s="30"/>
      <c r="CZ347" s="30"/>
      <c r="DA347" s="30"/>
    </row>
    <row r="348" spans="1:105" ht="19.2" thickTop="1" thickBot="1" x14ac:dyDescent="0.4">
      <c r="A348" s="30"/>
      <c r="B348" s="30"/>
      <c r="C348" s="354" t="s">
        <v>298</v>
      </c>
      <c r="D348" s="357" t="s">
        <v>860</v>
      </c>
      <c r="E348" s="35" t="str">
        <f>_xlfn.XLOOKUP(Tabella4[[#This Row],[NOME]],'ROSE SQUADRE'!$N$3:$N$253,'ROSE SQUADRE'!$O$3:$O$253,"")</f>
        <v>ATL. IMPROVVISATO</v>
      </c>
      <c r="F348" s="36" t="s">
        <v>161</v>
      </c>
      <c r="G348" s="43">
        <v>8</v>
      </c>
      <c r="H348" s="43">
        <v>8</v>
      </c>
      <c r="I348" s="44">
        <f t="shared" si="31"/>
        <v>0</v>
      </c>
      <c r="J348" s="37">
        <f t="shared" si="32"/>
        <v>4</v>
      </c>
      <c r="K348" s="178">
        <f t="shared" si="33"/>
        <v>5.875</v>
      </c>
      <c r="L348" s="178">
        <f t="shared" si="34"/>
        <v>5.875</v>
      </c>
      <c r="M348" s="179">
        <f t="shared" si="35"/>
        <v>23.5</v>
      </c>
      <c r="N348" s="45">
        <f t="shared" ca="1" si="36"/>
        <v>0</v>
      </c>
      <c r="O348" s="40">
        <f>SUMIF(Tabella1[Nome],Tabella4[[#This Row],[NOME]],Tabella1[Gf])</f>
        <v>0</v>
      </c>
      <c r="P348" s="40">
        <f>-(SUMIF(Tabella1[Nome],Tabella4[[#This Row],[NOME]],Tabella1[Gs]))</f>
        <v>0</v>
      </c>
      <c r="Q348" s="40">
        <f>SUMIF(Tabella1[Nome],Tabella4[[#This Row],[NOME]],Tabella1[Rp])</f>
        <v>0</v>
      </c>
      <c r="R348" s="40">
        <f>SUMIF(Tabella1[Nome],Tabella4[[#This Row],[NOME]],Tabella1[Rs])</f>
        <v>0</v>
      </c>
      <c r="S348" s="40">
        <f>SUMIF(Tabella1[Nome],Tabella4[[#This Row],[NOME]],Tabella1[Rf])</f>
        <v>0</v>
      </c>
      <c r="T348" s="40">
        <f>SUMIF(Tabella1[Nome],Tabella4[[#This Row],[NOME]],Tabella1[Au])</f>
        <v>0</v>
      </c>
      <c r="U348" s="41">
        <f>SUMIF(Tabella1[Nome],Tabella4[[#This Row],[NOME]],Tabella1[Amm])</f>
        <v>0</v>
      </c>
      <c r="V348" s="42">
        <f>SUMIF(Tabella1[Nome],Tabella4[[#This Row],[NOME]],Tabella1[Esp])</f>
        <v>0</v>
      </c>
      <c r="W348" s="40">
        <f>SUMIF(Tabella1[Nome],Tabella4[[#This Row],[NOME]],Tabella1[Ass])</f>
        <v>0</v>
      </c>
      <c r="X348" s="40">
        <f>SUMIF(Tabella1[Nome],Tabella4[[#This Row],[NOME]],Tabella1[Gdv])</f>
        <v>0</v>
      </c>
      <c r="Y348" s="40">
        <f>SUMIF(Tabella1[Nome],Tabella4[[#This Row],[NOME]],Tabella1[cl sh])</f>
        <v>0</v>
      </c>
      <c r="Z348" s="270">
        <f>_xlfn.IFNA(_xlfn.XLOOKUP(CONCATENATE(Z$4,$C348),Tabella1[CONC X VOTI IN TAB GIOC],Tabella1[Voto],""),"")</f>
        <v>5.5</v>
      </c>
      <c r="AA348" s="270">
        <f>_xlfn.IFNA(_xlfn.XLOOKUP(CONCATENATE(AA$4,$C348),Tabella1[CONC X VOTI IN TAB GIOC],Tabella1[Voto],""),"")</f>
        <v>6</v>
      </c>
      <c r="AB348" s="270">
        <f>_xlfn.IFNA(_xlfn.XLOOKUP(CONCATENATE(AB$4,$C348),Tabella1[CONC X VOTI IN TAB GIOC],Tabella1[Voto]),"")</f>
        <v>5.5</v>
      </c>
      <c r="AC348" s="270" cm="1">
        <f t="array" ref="AC348">_xlfn.IFNA(_xlfn.XLOOKUP(CONCATENATE(AC$4,$C348),INDEX(Tabella1[],0,MATCH("CONC X VOTI IN TAB GIOC",Tabella1[#Headers],0)),INDEX(Tabella1[],0,MATCH("Voto",Tabella1[#Headers],0))),"")</f>
        <v>6.5</v>
      </c>
      <c r="AD348" s="270" t="str">
        <f>_xlfn.IFNA(_xlfn.XLOOKUP(CONCATENATE(AD$4,$C348),Tabella1[CONC X VOTI IN TAB GIOC],Tabella1[Voto]),"")</f>
        <v/>
      </c>
      <c r="AE348" s="270" t="str">
        <f>_xlfn.IFNA(VLOOKUP(CONCATENATE(AE$4,$C348),'INSER DATA'!$A:$F,6,0),"")</f>
        <v/>
      </c>
      <c r="AF348" s="270" t="str">
        <f>_xlfn.IFNA(VLOOKUP(CONCATENATE(AF$4,$C348),'INSER DATA'!$A:$F,6,0),"")</f>
        <v/>
      </c>
      <c r="AG348" s="270" t="str">
        <f>_xlfn.IFNA(VLOOKUP(CONCATENATE(AG$4,$C348),'INSER DATA'!$A:$F,6,0),"")</f>
        <v/>
      </c>
      <c r="AH348" s="270" t="str">
        <f>_xlfn.IFNA(VLOOKUP(CONCATENATE(AH$4,$C348),'INSER DATA'!$A:$F,7,0),"")</f>
        <v/>
      </c>
      <c r="AI348" s="270" t="str">
        <f>_xlfn.IFNA(VLOOKUP(CONCATENATE(AI$4,$C348),'INSER DATA'!$A:$F,7,0),"")</f>
        <v/>
      </c>
      <c r="AJ348" s="270" t="str">
        <f>_xlfn.IFNA(VLOOKUP(CONCATENATE(AJ$4,$C348),'INSER DATA'!$A:$F,7,0),"")</f>
        <v/>
      </c>
      <c r="AK348" s="270" t="str">
        <f>_xlfn.IFNA(VLOOKUP(CONCATENATE(AK$4,$C348),'INSER DATA'!$A:$F,7,0),"")</f>
        <v/>
      </c>
      <c r="AL348" s="270" t="str">
        <f>_xlfn.IFNA(VLOOKUP(CONCATENATE(AL$4,$C348),'INSER DATA'!$A:$F,7,0),"")</f>
        <v/>
      </c>
      <c r="AM348" s="270" t="str">
        <f>_xlfn.IFNA(VLOOKUP(CONCATENATE(AM$4,$C348),'INSER DATA'!$A:$F,7,0),"")</f>
        <v/>
      </c>
      <c r="AN348" s="270" t="str">
        <f>_xlfn.IFNA(VLOOKUP(CONCATENATE(AN$4,$C348),'INSER DATA'!$A:$F,7,0),"")</f>
        <v/>
      </c>
      <c r="AO348" s="270" t="str">
        <f>_xlfn.IFNA(VLOOKUP(CONCATENATE(AO$4,$C348),'INSER DATA'!$A:$F,7,0),"")</f>
        <v/>
      </c>
      <c r="AP348" s="270" t="str">
        <f>_xlfn.IFNA(VLOOKUP(CONCATENATE(AP$4,$C348),'INSER DATA'!$A:$F,7,0),"")</f>
        <v/>
      </c>
      <c r="AQ348" s="270" t="str">
        <f>_xlfn.IFNA(VLOOKUP(CONCATENATE(AQ$4,$C348),'INSER DATA'!$A:$F,7,0),"")</f>
        <v/>
      </c>
      <c r="AR348" s="270" t="str">
        <f>_xlfn.IFNA(VLOOKUP(CONCATENATE(AR$4,$C348),'INSER DATA'!$A:$F,7,0),"")</f>
        <v/>
      </c>
      <c r="AS348" s="270" t="str">
        <f>_xlfn.IFNA(VLOOKUP(CONCATENATE(AS$4,$C348),'INSER DATA'!$A:$F,7,0),"")</f>
        <v/>
      </c>
      <c r="AT348" s="270" t="str">
        <f>_xlfn.IFNA(VLOOKUP(CONCATENATE(AT$4,$C348),'INSER DATA'!$A:$F,7,0),"")</f>
        <v/>
      </c>
      <c r="AU348" s="270" t="str">
        <f>_xlfn.IFNA(VLOOKUP(CONCATENATE(AU$4,$C348),'INSER DATA'!$A:$F,7,0),"")</f>
        <v/>
      </c>
      <c r="AV348" s="270" t="str">
        <f>_xlfn.IFNA(VLOOKUP(CONCATENATE(AV$4,$C348),'INSER DATA'!$A:$F,7,0),"")</f>
        <v/>
      </c>
      <c r="AW348" s="270" t="str">
        <f>_xlfn.IFNA(VLOOKUP(CONCATENATE(AW$4,$C348),'INSER DATA'!$A:$F,7,0),"")</f>
        <v/>
      </c>
      <c r="AX348" s="270" t="str">
        <f>_xlfn.IFNA(VLOOKUP(CONCATENATE(AX$4,$C348),'INSER DATA'!$A:$F,7,0),"")</f>
        <v/>
      </c>
      <c r="AY348" s="270" t="str">
        <f>_xlfn.IFNA(VLOOKUP(CONCATENATE(AY$4,$C348),'INSER DATA'!$A:$F,7,0),"")</f>
        <v/>
      </c>
      <c r="AZ348" s="270" t="str">
        <f>_xlfn.IFNA(VLOOKUP(CONCATENATE(AZ$4,$C348),'INSER DATA'!$A:$F,7,0),"")</f>
        <v/>
      </c>
      <c r="BA348" s="270" t="str">
        <f>_xlfn.IFNA(VLOOKUP(CONCATENATE(BA$4,$C348),'INSER DATA'!$A:$F,7,0),"")</f>
        <v/>
      </c>
      <c r="BB348" s="270" t="str">
        <f>_xlfn.IFNA(VLOOKUP(CONCATENATE(BB$4,$C348),'INSER DATA'!$A:$F,7,0),"")</f>
        <v/>
      </c>
      <c r="BC348" s="270" t="str">
        <f>_xlfn.IFNA(VLOOKUP(CONCATENATE(BC$4,$C348),'INSER DATA'!$A:$F,7,0),"")</f>
        <v/>
      </c>
      <c r="BD348" s="270" t="str">
        <f>_xlfn.IFNA(VLOOKUP(CONCATENATE(BD$4,$C348),'INSER DATA'!$A:$F,7,0),"")</f>
        <v/>
      </c>
      <c r="BE348" s="270" t="str">
        <f>_xlfn.IFNA(VLOOKUP(CONCATENATE(BE$4,$C348),'INSER DATA'!$A:$F,7,0),"")</f>
        <v/>
      </c>
      <c r="BF348" s="270" t="str">
        <f>_xlfn.IFNA(VLOOKUP(CONCATENATE(BF$4,$C348),'INSER DATA'!$A:$F,7,0),"")</f>
        <v/>
      </c>
      <c r="BG348" s="270" t="str">
        <f>_xlfn.IFNA(VLOOKUP(CONCATENATE(BG$4,$C348),'INSER DATA'!$A:$F,7,0),"")</f>
        <v/>
      </c>
      <c r="BH348" s="270" t="str">
        <f>_xlfn.IFNA(VLOOKUP(CONCATENATE(BH$4,$C348),'INSER DATA'!$A:$F,7,0),"")</f>
        <v/>
      </c>
      <c r="BI348" s="270" t="str">
        <f>_xlfn.IFNA(VLOOKUP(CONCATENATE(BI$4,$C348),'INSER DATA'!$A:$F,7,0),"")</f>
        <v/>
      </c>
      <c r="BJ348" s="270" t="str">
        <f>_xlfn.IFNA(VLOOKUP(CONCATENATE(BJ$4,$C348),'INSER DATA'!$A:$F,7,0),"")</f>
        <v/>
      </c>
      <c r="BK348" s="270" t="str">
        <f>_xlfn.IFNA(VLOOKUP(CONCATENATE(BK$4,$C348),'INSER DATA'!$A:$F,7,0),"")</f>
        <v/>
      </c>
      <c r="BL348" s="272"/>
      <c r="BM348" s="30"/>
      <c r="BN348" s="30"/>
      <c r="BO348" s="30"/>
      <c r="BP348" s="30"/>
      <c r="BQ348" s="30"/>
      <c r="BR348" s="30"/>
      <c r="BS348" s="30"/>
      <c r="BT348" s="30"/>
      <c r="BU348" s="30"/>
      <c r="BV348" s="30"/>
      <c r="BW348" s="30"/>
      <c r="BX348" s="30"/>
      <c r="BY348" s="30"/>
      <c r="BZ348" s="30"/>
      <c r="CA348" s="30"/>
      <c r="CB348" s="30"/>
      <c r="CC348" s="30"/>
      <c r="CD348" s="30"/>
      <c r="CE348" s="30"/>
      <c r="CF348" s="30"/>
      <c r="CG348" s="30"/>
      <c r="CH348" s="30"/>
      <c r="CI348" s="30"/>
      <c r="CJ348" s="30"/>
      <c r="CK348" s="30"/>
      <c r="CL348" s="30"/>
      <c r="CM348" s="30"/>
      <c r="CN348" s="30"/>
      <c r="CO348" s="30"/>
      <c r="CP348" s="30"/>
      <c r="CQ348" s="30"/>
      <c r="CR348" s="30"/>
      <c r="CS348" s="30"/>
      <c r="CT348" s="30"/>
      <c r="CU348" s="30"/>
      <c r="CV348" s="30"/>
      <c r="CW348" s="30"/>
      <c r="CX348" s="30"/>
      <c r="CY348" s="30"/>
      <c r="CZ348" s="30"/>
      <c r="DA348" s="30"/>
    </row>
    <row r="349" spans="1:105" ht="19.2" thickTop="1" thickBot="1" x14ac:dyDescent="0.4">
      <c r="A349" s="30"/>
      <c r="B349" s="30"/>
      <c r="C349" s="356" t="s">
        <v>867</v>
      </c>
      <c r="D349" s="355" t="s">
        <v>860</v>
      </c>
      <c r="E349" s="35" t="str">
        <f>_xlfn.XLOOKUP(Tabella4[[#This Row],[NOME]],'ROSE SQUADRE'!$N$3:$N$253,'ROSE SQUADRE'!$O$3:$O$253,"")</f>
        <v>FC INTERNAZIOANALE</v>
      </c>
      <c r="F349" s="36" t="s">
        <v>162</v>
      </c>
      <c r="G349" s="43">
        <v>28</v>
      </c>
      <c r="H349" s="43">
        <v>28</v>
      </c>
      <c r="I349" s="44">
        <f t="shared" si="31"/>
        <v>0</v>
      </c>
      <c r="J349" s="37">
        <f t="shared" si="32"/>
        <v>2</v>
      </c>
      <c r="K349" s="38">
        <f t="shared" si="33"/>
        <v>5.75</v>
      </c>
      <c r="L349" s="38">
        <f t="shared" si="34"/>
        <v>5.75</v>
      </c>
      <c r="M349" s="39">
        <f t="shared" si="35"/>
        <v>11.5</v>
      </c>
      <c r="N349" s="45">
        <f t="shared" ca="1" si="36"/>
        <v>0</v>
      </c>
      <c r="O349" s="40">
        <f>SUMIF(Tabella1[Nome],Tabella4[[#This Row],[NOME]],Tabella1[Gf])</f>
        <v>0</v>
      </c>
      <c r="P349" s="40">
        <f>-(SUMIF(Tabella1[Nome],Tabella4[[#This Row],[NOME]],Tabella1[Gs]))</f>
        <v>0</v>
      </c>
      <c r="Q349" s="40">
        <f>SUMIF(Tabella1[Nome],Tabella4[[#This Row],[NOME]],Tabella1[Rp])</f>
        <v>0</v>
      </c>
      <c r="R349" s="40">
        <f>SUMIF(Tabella1[Nome],Tabella4[[#This Row],[NOME]],Tabella1[Rs])</f>
        <v>0</v>
      </c>
      <c r="S349" s="40">
        <f>SUMIF(Tabella1[Nome],Tabella4[[#This Row],[NOME]],Tabella1[Rf])</f>
        <v>0</v>
      </c>
      <c r="T349" s="40">
        <f>SUMIF(Tabella1[Nome],Tabella4[[#This Row],[NOME]],Tabella1[Au])</f>
        <v>0</v>
      </c>
      <c r="U349" s="41">
        <f>SUMIF(Tabella1[Nome],Tabella4[[#This Row],[NOME]],Tabella1[Amm])</f>
        <v>0</v>
      </c>
      <c r="V349" s="42">
        <f>SUMIF(Tabella1[Nome],Tabella4[[#This Row],[NOME]],Tabella1[Esp])</f>
        <v>0</v>
      </c>
      <c r="W349" s="40">
        <f>SUMIF(Tabella1[Nome],Tabella4[[#This Row],[NOME]],Tabella1[Ass])</f>
        <v>0</v>
      </c>
      <c r="X349" s="40">
        <f>SUMIF(Tabella1[Nome],Tabella4[[#This Row],[NOME]],Tabella1[Gdv])</f>
        <v>0</v>
      </c>
      <c r="Y349" s="40">
        <f>SUMIF(Tabella1[Nome],Tabella4[[#This Row],[NOME]],Tabella1[cl sh])</f>
        <v>0</v>
      </c>
      <c r="Z349" s="270">
        <f>_xlfn.IFNA(_xlfn.XLOOKUP(CONCATENATE(Z$4,$C349),Tabella1[CONC X VOTI IN TAB GIOC],Tabella1[Voto],""),"")</f>
        <v>6</v>
      </c>
      <c r="AA349" s="270">
        <f>_xlfn.IFNA(_xlfn.XLOOKUP(CONCATENATE(AA$4,$C349),Tabella1[CONC X VOTI IN TAB GIOC],Tabella1[Voto],""),"")</f>
        <v>5.5</v>
      </c>
      <c r="AB349" s="270" t="str">
        <f>_xlfn.IFNA(_xlfn.XLOOKUP(CONCATENATE(AB$4,$C349),Tabella1[CONC X VOTI IN TAB GIOC],Tabella1[Voto]),"")</f>
        <v/>
      </c>
      <c r="AC349" s="270" t="str" cm="1">
        <f t="array" ref="AC349">_xlfn.IFNA(_xlfn.XLOOKUP(CONCATENATE(AC$4,$C349),INDEX(Tabella1[],0,MATCH("CONC X VOTI IN TAB GIOC",Tabella1[#Headers],0)),INDEX(Tabella1[],0,MATCH("Voto",Tabella1[#Headers],0))),"")</f>
        <v/>
      </c>
      <c r="AD349" s="270" t="str">
        <f>_xlfn.IFNA(_xlfn.XLOOKUP(CONCATENATE(AD$4,$C349),Tabella1[CONC X VOTI IN TAB GIOC],Tabella1[Voto]),"")</f>
        <v/>
      </c>
      <c r="AE349" s="270" t="str">
        <f>_xlfn.IFNA(VLOOKUP(CONCATENATE(AE$4,$C349),'INSER DATA'!$A:$F,6,0),"")</f>
        <v/>
      </c>
      <c r="AF349" s="270" t="str">
        <f>_xlfn.IFNA(VLOOKUP(CONCATENATE(AF$4,$C349),'INSER DATA'!$A:$F,6,0),"")</f>
        <v/>
      </c>
      <c r="AG349" s="270" t="str">
        <f>_xlfn.IFNA(VLOOKUP(CONCATENATE(AG$4,$C349),'INSER DATA'!$A:$F,6,0),"")</f>
        <v/>
      </c>
      <c r="AH349" s="270" t="str">
        <f>_xlfn.IFNA(VLOOKUP(CONCATENATE(AH$4,$C349),'INSER DATA'!$A:$F,7,0),"")</f>
        <v/>
      </c>
      <c r="AI349" s="270" t="str">
        <f>_xlfn.IFNA(VLOOKUP(CONCATENATE(AI$4,$C349),'INSER DATA'!$A:$F,7,0),"")</f>
        <v/>
      </c>
      <c r="AJ349" s="270" t="str">
        <f>_xlfn.IFNA(VLOOKUP(CONCATENATE(AJ$4,$C349),'INSER DATA'!$A:$F,7,0),"")</f>
        <v/>
      </c>
      <c r="AK349" s="270" t="str">
        <f>_xlfn.IFNA(VLOOKUP(CONCATENATE(AK$4,$C349),'INSER DATA'!$A:$F,7,0),"")</f>
        <v/>
      </c>
      <c r="AL349" s="270" t="str">
        <f>_xlfn.IFNA(VLOOKUP(CONCATENATE(AL$4,$C349),'INSER DATA'!$A:$F,7,0),"")</f>
        <v/>
      </c>
      <c r="AM349" s="270" t="str">
        <f>_xlfn.IFNA(VLOOKUP(CONCATENATE(AM$4,$C349),'INSER DATA'!$A:$F,7,0),"")</f>
        <v/>
      </c>
      <c r="AN349" s="270" t="str">
        <f>_xlfn.IFNA(VLOOKUP(CONCATENATE(AN$4,$C349),'INSER DATA'!$A:$F,7,0),"")</f>
        <v/>
      </c>
      <c r="AO349" s="270" t="str">
        <f>_xlfn.IFNA(VLOOKUP(CONCATENATE(AO$4,$C349),'INSER DATA'!$A:$F,7,0),"")</f>
        <v/>
      </c>
      <c r="AP349" s="270" t="str">
        <f>_xlfn.IFNA(VLOOKUP(CONCATENATE(AP$4,$C349),'INSER DATA'!$A:$F,7,0),"")</f>
        <v/>
      </c>
      <c r="AQ349" s="270" t="str">
        <f>_xlfn.IFNA(VLOOKUP(CONCATENATE(AQ$4,$C349),'INSER DATA'!$A:$F,7,0),"")</f>
        <v/>
      </c>
      <c r="AR349" s="270" t="str">
        <f>_xlfn.IFNA(VLOOKUP(CONCATENATE(AR$4,$C349),'INSER DATA'!$A:$F,7,0),"")</f>
        <v/>
      </c>
      <c r="AS349" s="270" t="str">
        <f>_xlfn.IFNA(VLOOKUP(CONCATENATE(AS$4,$C349),'INSER DATA'!$A:$F,7,0),"")</f>
        <v/>
      </c>
      <c r="AT349" s="270" t="str">
        <f>_xlfn.IFNA(VLOOKUP(CONCATENATE(AT$4,$C349),'INSER DATA'!$A:$F,7,0),"")</f>
        <v/>
      </c>
      <c r="AU349" s="270" t="str">
        <f>_xlfn.IFNA(VLOOKUP(CONCATENATE(AU$4,$C349),'INSER DATA'!$A:$F,7,0),"")</f>
        <v/>
      </c>
      <c r="AV349" s="270" t="str">
        <f>_xlfn.IFNA(VLOOKUP(CONCATENATE(AV$4,$C349),'INSER DATA'!$A:$F,7,0),"")</f>
        <v/>
      </c>
      <c r="AW349" s="270" t="str">
        <f>_xlfn.IFNA(VLOOKUP(CONCATENATE(AW$4,$C349),'INSER DATA'!$A:$F,7,0),"")</f>
        <v/>
      </c>
      <c r="AX349" s="270" t="str">
        <f>_xlfn.IFNA(VLOOKUP(CONCATENATE(AX$4,$C349),'INSER DATA'!$A:$F,7,0),"")</f>
        <v/>
      </c>
      <c r="AY349" s="270" t="str">
        <f>_xlfn.IFNA(VLOOKUP(CONCATENATE(AY$4,$C349),'INSER DATA'!$A:$F,7,0),"")</f>
        <v/>
      </c>
      <c r="AZ349" s="270" t="str">
        <f>_xlfn.IFNA(VLOOKUP(CONCATENATE(AZ$4,$C349),'INSER DATA'!$A:$F,7,0),"")</f>
        <v/>
      </c>
      <c r="BA349" s="270" t="str">
        <f>_xlfn.IFNA(VLOOKUP(CONCATENATE(BA$4,$C349),'INSER DATA'!$A:$F,7,0),"")</f>
        <v/>
      </c>
      <c r="BB349" s="270" t="str">
        <f>_xlfn.IFNA(VLOOKUP(CONCATENATE(BB$4,$C349),'INSER DATA'!$A:$F,7,0),"")</f>
        <v/>
      </c>
      <c r="BC349" s="270" t="str">
        <f>_xlfn.IFNA(VLOOKUP(CONCATENATE(BC$4,$C349),'INSER DATA'!$A:$F,7,0),"")</f>
        <v/>
      </c>
      <c r="BD349" s="270" t="str">
        <f>_xlfn.IFNA(VLOOKUP(CONCATENATE(BD$4,$C349),'INSER DATA'!$A:$F,7,0),"")</f>
        <v/>
      </c>
      <c r="BE349" s="270" t="str">
        <f>_xlfn.IFNA(VLOOKUP(CONCATENATE(BE$4,$C349),'INSER DATA'!$A:$F,7,0),"")</f>
        <v/>
      </c>
      <c r="BF349" s="270" t="str">
        <f>_xlfn.IFNA(VLOOKUP(CONCATENATE(BF$4,$C349),'INSER DATA'!$A:$F,7,0),"")</f>
        <v/>
      </c>
      <c r="BG349" s="270" t="str">
        <f>_xlfn.IFNA(VLOOKUP(CONCATENATE(BG$4,$C349),'INSER DATA'!$A:$F,7,0),"")</f>
        <v/>
      </c>
      <c r="BH349" s="270" t="str">
        <f>_xlfn.IFNA(VLOOKUP(CONCATENATE(BH$4,$C349),'INSER DATA'!$A:$F,7,0),"")</f>
        <v/>
      </c>
      <c r="BI349" s="270" t="str">
        <f>_xlfn.IFNA(VLOOKUP(CONCATENATE(BI$4,$C349),'INSER DATA'!$A:$F,7,0),"")</f>
        <v/>
      </c>
      <c r="BJ349" s="270" t="str">
        <f>_xlfn.IFNA(VLOOKUP(CONCATENATE(BJ$4,$C349),'INSER DATA'!$A:$F,7,0),"")</f>
        <v/>
      </c>
      <c r="BK349" s="270" t="str">
        <f>_xlfn.IFNA(VLOOKUP(CONCATENATE(BK$4,$C349),'INSER DATA'!$A:$F,7,0),"")</f>
        <v/>
      </c>
      <c r="BL349" s="272"/>
      <c r="BM349" s="30"/>
      <c r="BN349" s="30"/>
      <c r="BO349" s="30"/>
      <c r="BP349" s="30"/>
      <c r="BQ349" s="30"/>
      <c r="BR349" s="30"/>
      <c r="BS349" s="30"/>
      <c r="BT349" s="30"/>
      <c r="BU349" s="30"/>
      <c r="BV349" s="30"/>
      <c r="BW349" s="30"/>
      <c r="BX349" s="30"/>
      <c r="BY349" s="30"/>
      <c r="BZ349" s="30"/>
      <c r="CA349" s="30"/>
      <c r="CB349" s="30"/>
      <c r="CC349" s="30"/>
      <c r="CD349" s="30"/>
      <c r="CE349" s="30"/>
      <c r="CF349" s="30"/>
      <c r="CG349" s="30"/>
      <c r="CH349" s="30"/>
      <c r="CI349" s="30"/>
      <c r="CJ349" s="30"/>
      <c r="CK349" s="30"/>
      <c r="CL349" s="30"/>
      <c r="CM349" s="30"/>
      <c r="CN349" s="30"/>
      <c r="CO349" s="30"/>
      <c r="CP349" s="30"/>
      <c r="CQ349" s="30"/>
      <c r="CR349" s="30"/>
      <c r="CS349" s="30"/>
      <c r="CT349" s="30"/>
      <c r="CU349" s="30"/>
      <c r="CV349" s="30"/>
      <c r="CW349" s="30"/>
      <c r="CX349" s="30"/>
      <c r="CY349" s="30"/>
      <c r="CZ349" s="30"/>
      <c r="DA349" s="30"/>
    </row>
    <row r="350" spans="1:105" ht="19.2" thickTop="1" thickBot="1" x14ac:dyDescent="0.4">
      <c r="A350" s="30"/>
      <c r="B350" s="30"/>
      <c r="C350" s="356" t="s">
        <v>871</v>
      </c>
      <c r="D350" s="355" t="s">
        <v>860</v>
      </c>
      <c r="E350" s="35" t="str">
        <f>_xlfn.XLOOKUP(Tabella4[[#This Row],[NOME]],'ROSE SQUADRE'!$N$3:$N$253,'ROSE SQUADRE'!$O$3:$O$253,"")</f>
        <v>ATL. IMPROVVISATO</v>
      </c>
      <c r="F350" s="36" t="s">
        <v>163</v>
      </c>
      <c r="G350" s="43">
        <v>3</v>
      </c>
      <c r="H350" s="43">
        <v>4</v>
      </c>
      <c r="I350" s="44">
        <f t="shared" si="31"/>
        <v>1</v>
      </c>
      <c r="J350" s="37">
        <f t="shared" si="32"/>
        <v>3</v>
      </c>
      <c r="K350" s="38">
        <f t="shared" si="33"/>
        <v>5.833333333333333</v>
      </c>
      <c r="L350" s="38">
        <f t="shared" si="34"/>
        <v>5.833333333333333</v>
      </c>
      <c r="M350" s="39">
        <f t="shared" si="35"/>
        <v>17.5</v>
      </c>
      <c r="N350" s="45">
        <f t="shared" ca="1" si="36"/>
        <v>0</v>
      </c>
      <c r="O350" s="40">
        <f>SUMIF(Tabella1[Nome],Tabella4[[#This Row],[NOME]],Tabella1[Gf])</f>
        <v>0</v>
      </c>
      <c r="P350" s="40">
        <f>-(SUMIF(Tabella1[Nome],Tabella4[[#This Row],[NOME]],Tabella1[Gs]))</f>
        <v>0</v>
      </c>
      <c r="Q350" s="40">
        <f>SUMIF(Tabella1[Nome],Tabella4[[#This Row],[NOME]],Tabella1[Rp])</f>
        <v>0</v>
      </c>
      <c r="R350" s="40">
        <f>SUMIF(Tabella1[Nome],Tabella4[[#This Row],[NOME]],Tabella1[Rs])</f>
        <v>0</v>
      </c>
      <c r="S350" s="40">
        <f>SUMIF(Tabella1[Nome],Tabella4[[#This Row],[NOME]],Tabella1[Rf])</f>
        <v>0</v>
      </c>
      <c r="T350" s="40">
        <f>SUMIF(Tabella1[Nome],Tabella4[[#This Row],[NOME]],Tabella1[Au])</f>
        <v>0</v>
      </c>
      <c r="U350" s="41">
        <f>SUMIF(Tabella1[Nome],Tabella4[[#This Row],[NOME]],Tabella1[Amm])</f>
        <v>0</v>
      </c>
      <c r="V350" s="42">
        <f>SUMIF(Tabella1[Nome],Tabella4[[#This Row],[NOME]],Tabella1[Esp])</f>
        <v>0</v>
      </c>
      <c r="W350" s="40">
        <f>SUMIF(Tabella1[Nome],Tabella4[[#This Row],[NOME]],Tabella1[Ass])</f>
        <v>0</v>
      </c>
      <c r="X350" s="40">
        <f>SUMIF(Tabella1[Nome],Tabella4[[#This Row],[NOME]],Tabella1[Gdv])</f>
        <v>0</v>
      </c>
      <c r="Y350" s="40">
        <f>SUMIF(Tabella1[Nome],Tabella4[[#This Row],[NOME]],Tabella1[cl sh])</f>
        <v>0</v>
      </c>
      <c r="Z350" s="270">
        <f>_xlfn.IFNA(_xlfn.XLOOKUP(CONCATENATE(Z$4,$C350),Tabella1[CONC X VOTI IN TAB GIOC],Tabella1[Voto],""),"")</f>
        <v>6</v>
      </c>
      <c r="AA350" s="270">
        <f>_xlfn.IFNA(_xlfn.XLOOKUP(CONCATENATE(AA$4,$C350),Tabella1[CONC X VOTI IN TAB GIOC],Tabella1[Voto],""),"")</f>
        <v>5.5</v>
      </c>
      <c r="AB350" s="270" t="str">
        <f>_xlfn.IFNA(_xlfn.XLOOKUP(CONCATENATE(AB$4,$C350),Tabella1[CONC X VOTI IN TAB GIOC],Tabella1[Voto]),"")</f>
        <v/>
      </c>
      <c r="AC350" s="270" cm="1">
        <f t="array" ref="AC350">_xlfn.IFNA(_xlfn.XLOOKUP(CONCATENATE(AC$4,$C350),INDEX(Tabella1[],0,MATCH("CONC X VOTI IN TAB GIOC",Tabella1[#Headers],0)),INDEX(Tabella1[],0,MATCH("Voto",Tabella1[#Headers],0))),"")</f>
        <v>6</v>
      </c>
      <c r="AD350" s="270" t="str">
        <f>_xlfn.IFNA(_xlfn.XLOOKUP(CONCATENATE(AD$4,$C350),Tabella1[CONC X VOTI IN TAB GIOC],Tabella1[Voto]),"")</f>
        <v/>
      </c>
      <c r="AE350" s="270" t="str">
        <f>_xlfn.IFNA(VLOOKUP(CONCATENATE(AE$4,$C350),'INSER DATA'!$A:$F,6,0),"")</f>
        <v/>
      </c>
      <c r="AF350" s="270" t="str">
        <f>_xlfn.IFNA(VLOOKUP(CONCATENATE(AF$4,$C350),'INSER DATA'!$A:$F,6,0),"")</f>
        <v/>
      </c>
      <c r="AG350" s="270" t="str">
        <f>_xlfn.IFNA(VLOOKUP(CONCATENATE(AG$4,$C350),'INSER DATA'!$A:$F,6,0),"")</f>
        <v/>
      </c>
      <c r="AH350" s="270" t="str">
        <f>_xlfn.IFNA(VLOOKUP(CONCATENATE(AH$4,$C350),'INSER DATA'!$A:$F,7,0),"")</f>
        <v/>
      </c>
      <c r="AI350" s="270" t="str">
        <f>_xlfn.IFNA(VLOOKUP(CONCATENATE(AI$4,$C350),'INSER DATA'!$A:$F,7,0),"")</f>
        <v/>
      </c>
      <c r="AJ350" s="270" t="str">
        <f>_xlfn.IFNA(VLOOKUP(CONCATENATE(AJ$4,$C350),'INSER DATA'!$A:$F,7,0),"")</f>
        <v/>
      </c>
      <c r="AK350" s="270" t="str">
        <f>_xlfn.IFNA(VLOOKUP(CONCATENATE(AK$4,$C350),'INSER DATA'!$A:$F,7,0),"")</f>
        <v/>
      </c>
      <c r="AL350" s="270" t="str">
        <f>_xlfn.IFNA(VLOOKUP(CONCATENATE(AL$4,$C350),'INSER DATA'!$A:$F,7,0),"")</f>
        <v/>
      </c>
      <c r="AM350" s="270" t="str">
        <f>_xlfn.IFNA(VLOOKUP(CONCATENATE(AM$4,$C350),'INSER DATA'!$A:$F,7,0),"")</f>
        <v/>
      </c>
      <c r="AN350" s="270" t="str">
        <f>_xlfn.IFNA(VLOOKUP(CONCATENATE(AN$4,$C350),'INSER DATA'!$A:$F,7,0),"")</f>
        <v/>
      </c>
      <c r="AO350" s="270" t="str">
        <f>_xlfn.IFNA(VLOOKUP(CONCATENATE(AO$4,$C350),'INSER DATA'!$A:$F,7,0),"")</f>
        <v/>
      </c>
      <c r="AP350" s="270" t="str">
        <f>_xlfn.IFNA(VLOOKUP(CONCATENATE(AP$4,$C350),'INSER DATA'!$A:$F,7,0),"")</f>
        <v/>
      </c>
      <c r="AQ350" s="270" t="str">
        <f>_xlfn.IFNA(VLOOKUP(CONCATENATE(AQ$4,$C350),'INSER DATA'!$A:$F,7,0),"")</f>
        <v/>
      </c>
      <c r="AR350" s="270" t="str">
        <f>_xlfn.IFNA(VLOOKUP(CONCATENATE(AR$4,$C350),'INSER DATA'!$A:$F,7,0),"")</f>
        <v/>
      </c>
      <c r="AS350" s="270" t="str">
        <f>_xlfn.IFNA(VLOOKUP(CONCATENATE(AS$4,$C350),'INSER DATA'!$A:$F,7,0),"")</f>
        <v/>
      </c>
      <c r="AT350" s="270" t="str">
        <f>_xlfn.IFNA(VLOOKUP(CONCATENATE(AT$4,$C350),'INSER DATA'!$A:$F,7,0),"")</f>
        <v/>
      </c>
      <c r="AU350" s="270" t="str">
        <f>_xlfn.IFNA(VLOOKUP(CONCATENATE(AU$4,$C350),'INSER DATA'!$A:$F,7,0),"")</f>
        <v/>
      </c>
      <c r="AV350" s="270" t="str">
        <f>_xlfn.IFNA(VLOOKUP(CONCATENATE(AV$4,$C350),'INSER DATA'!$A:$F,7,0),"")</f>
        <v/>
      </c>
      <c r="AW350" s="270" t="str">
        <f>_xlfn.IFNA(VLOOKUP(CONCATENATE(AW$4,$C350),'INSER DATA'!$A:$F,7,0),"")</f>
        <v/>
      </c>
      <c r="AX350" s="270" t="str">
        <f>_xlfn.IFNA(VLOOKUP(CONCATENATE(AX$4,$C350),'INSER DATA'!$A:$F,7,0),"")</f>
        <v/>
      </c>
      <c r="AY350" s="270" t="str">
        <f>_xlfn.IFNA(VLOOKUP(CONCATENATE(AY$4,$C350),'INSER DATA'!$A:$F,7,0),"")</f>
        <v/>
      </c>
      <c r="AZ350" s="270" t="str">
        <f>_xlfn.IFNA(VLOOKUP(CONCATENATE(AZ$4,$C350),'INSER DATA'!$A:$F,7,0),"")</f>
        <v/>
      </c>
      <c r="BA350" s="270" t="str">
        <f>_xlfn.IFNA(VLOOKUP(CONCATENATE(BA$4,$C350),'INSER DATA'!$A:$F,7,0),"")</f>
        <v/>
      </c>
      <c r="BB350" s="270" t="str">
        <f>_xlfn.IFNA(VLOOKUP(CONCATENATE(BB$4,$C350),'INSER DATA'!$A:$F,7,0),"")</f>
        <v/>
      </c>
      <c r="BC350" s="270" t="str">
        <f>_xlfn.IFNA(VLOOKUP(CONCATENATE(BC$4,$C350),'INSER DATA'!$A:$F,7,0),"")</f>
        <v/>
      </c>
      <c r="BD350" s="270" t="str">
        <f>_xlfn.IFNA(VLOOKUP(CONCATENATE(BD$4,$C350),'INSER DATA'!$A:$F,7,0),"")</f>
        <v/>
      </c>
      <c r="BE350" s="270" t="str">
        <f>_xlfn.IFNA(VLOOKUP(CONCATENATE(BE$4,$C350),'INSER DATA'!$A:$F,7,0),"")</f>
        <v/>
      </c>
      <c r="BF350" s="270" t="str">
        <f>_xlfn.IFNA(VLOOKUP(CONCATENATE(BF$4,$C350),'INSER DATA'!$A:$F,7,0),"")</f>
        <v/>
      </c>
      <c r="BG350" s="270" t="str">
        <f>_xlfn.IFNA(VLOOKUP(CONCATENATE(BG$4,$C350),'INSER DATA'!$A:$F,7,0),"")</f>
        <v/>
      </c>
      <c r="BH350" s="270" t="str">
        <f>_xlfn.IFNA(VLOOKUP(CONCATENATE(BH$4,$C350),'INSER DATA'!$A:$F,7,0),"")</f>
        <v/>
      </c>
      <c r="BI350" s="270" t="str">
        <f>_xlfn.IFNA(VLOOKUP(CONCATENATE(BI$4,$C350),'INSER DATA'!$A:$F,7,0),"")</f>
        <v/>
      </c>
      <c r="BJ350" s="270" t="str">
        <f>_xlfn.IFNA(VLOOKUP(CONCATENATE(BJ$4,$C350),'INSER DATA'!$A:$F,7,0),"")</f>
        <v/>
      </c>
      <c r="BK350" s="270" t="str">
        <f>_xlfn.IFNA(VLOOKUP(CONCATENATE(BK$4,$C350),'INSER DATA'!$A:$F,7,0),"")</f>
        <v/>
      </c>
      <c r="BL350" s="272"/>
      <c r="BM350" s="30"/>
      <c r="BN350" s="30"/>
      <c r="BO350" s="30"/>
      <c r="BP350" s="30"/>
      <c r="BQ350" s="30"/>
      <c r="BR350" s="30"/>
      <c r="BS350" s="30"/>
      <c r="BT350" s="30"/>
      <c r="BU350" s="30"/>
      <c r="BV350" s="30"/>
      <c r="BW350" s="30"/>
      <c r="BX350" s="30"/>
      <c r="BY350" s="30"/>
      <c r="BZ350" s="30"/>
      <c r="CA350" s="30"/>
      <c r="CB350" s="30"/>
      <c r="CC350" s="30"/>
      <c r="CD350" s="30"/>
      <c r="CE350" s="30"/>
      <c r="CF350" s="30"/>
      <c r="CG350" s="30"/>
      <c r="CH350" s="30"/>
      <c r="CI350" s="30"/>
      <c r="CJ350" s="30"/>
      <c r="CK350" s="30"/>
      <c r="CL350" s="30"/>
      <c r="CM350" s="30"/>
      <c r="CN350" s="30"/>
      <c r="CO350" s="30"/>
      <c r="CP350" s="30"/>
      <c r="CQ350" s="30"/>
      <c r="CR350" s="30"/>
      <c r="CS350" s="30"/>
      <c r="CT350" s="30"/>
      <c r="CU350" s="30"/>
      <c r="CV350" s="30"/>
      <c r="CW350" s="30"/>
      <c r="CX350" s="30"/>
      <c r="CY350" s="30"/>
      <c r="CZ350" s="30"/>
      <c r="DA350" s="30"/>
    </row>
    <row r="351" spans="1:105" ht="19.2" thickTop="1" thickBot="1" x14ac:dyDescent="0.4">
      <c r="A351" s="30"/>
      <c r="B351" s="30"/>
      <c r="C351" s="356" t="s">
        <v>268</v>
      </c>
      <c r="D351" s="355" t="s">
        <v>860</v>
      </c>
      <c r="E351" s="35" t="str">
        <f>_xlfn.XLOOKUP(Tabella4[[#This Row],[NOME]],'ROSE SQUADRE'!$N$3:$N$253,'ROSE SQUADRE'!$O$3:$O$253,"")</f>
        <v>PESCICULINI</v>
      </c>
      <c r="F351" s="36" t="s">
        <v>162</v>
      </c>
      <c r="G351" s="43">
        <v>10</v>
      </c>
      <c r="H351" s="43">
        <v>10</v>
      </c>
      <c r="I351" s="44">
        <f t="shared" si="31"/>
        <v>0</v>
      </c>
      <c r="J351" s="37">
        <f t="shared" si="32"/>
        <v>4</v>
      </c>
      <c r="K351" s="178">
        <f t="shared" si="33"/>
        <v>5.75</v>
      </c>
      <c r="L351" s="178">
        <f t="shared" si="34"/>
        <v>6.375</v>
      </c>
      <c r="M351" s="179">
        <f t="shared" si="35"/>
        <v>25.5</v>
      </c>
      <c r="N351" s="45">
        <f t="shared" ca="1" si="36"/>
        <v>0</v>
      </c>
      <c r="O351" s="40">
        <f>SUMIF(Tabella1[Nome],Tabella4[[#This Row],[NOME]],Tabella1[Gf])</f>
        <v>1</v>
      </c>
      <c r="P351" s="40">
        <f>-(SUMIF(Tabella1[Nome],Tabella4[[#This Row],[NOME]],Tabella1[Gs]))</f>
        <v>0</v>
      </c>
      <c r="Q351" s="40">
        <f>SUMIF(Tabella1[Nome],Tabella4[[#This Row],[NOME]],Tabella1[Rp])</f>
        <v>0</v>
      </c>
      <c r="R351" s="40">
        <f>SUMIF(Tabella1[Nome],Tabella4[[#This Row],[NOME]],Tabella1[Rs])</f>
        <v>0</v>
      </c>
      <c r="S351" s="40">
        <f>SUMIF(Tabella1[Nome],Tabella4[[#This Row],[NOME]],Tabella1[Rf])</f>
        <v>0</v>
      </c>
      <c r="T351" s="40">
        <f>SUMIF(Tabella1[Nome],Tabella4[[#This Row],[NOME]],Tabella1[Au])</f>
        <v>0</v>
      </c>
      <c r="U351" s="41">
        <f>SUMIF(Tabella1[Nome],Tabella4[[#This Row],[NOME]],Tabella1[Amm])</f>
        <v>1</v>
      </c>
      <c r="V351" s="42">
        <f>SUMIF(Tabella1[Nome],Tabella4[[#This Row],[NOME]],Tabella1[Esp])</f>
        <v>0</v>
      </c>
      <c r="W351" s="40">
        <f>SUMIF(Tabella1[Nome],Tabella4[[#This Row],[NOME]],Tabella1[Ass])</f>
        <v>0</v>
      </c>
      <c r="X351" s="40">
        <f>SUMIF(Tabella1[Nome],Tabella4[[#This Row],[NOME]],Tabella1[Gdv])</f>
        <v>0</v>
      </c>
      <c r="Y351" s="40">
        <f>SUMIF(Tabella1[Nome],Tabella4[[#This Row],[NOME]],Tabella1[cl sh])</f>
        <v>0</v>
      </c>
      <c r="Z351" s="270">
        <f>_xlfn.IFNA(_xlfn.XLOOKUP(CONCATENATE(Z$4,$C351),Tabella1[CONC X VOTI IN TAB GIOC],Tabella1[Voto],""),"")</f>
        <v>5.5</v>
      </c>
      <c r="AA351" s="270">
        <f>_xlfn.IFNA(_xlfn.XLOOKUP(CONCATENATE(AA$4,$C351),Tabella1[CONC X VOTI IN TAB GIOC],Tabella1[Voto],""),"")</f>
        <v>5.5</v>
      </c>
      <c r="AB351" s="270">
        <f>_xlfn.IFNA(_xlfn.XLOOKUP(CONCATENATE(AB$4,$C351),Tabella1[CONC X VOTI IN TAB GIOC],Tabella1[Voto]),"")</f>
        <v>6.5</v>
      </c>
      <c r="AC351" s="270" cm="1">
        <f t="array" ref="AC351">_xlfn.IFNA(_xlfn.XLOOKUP(CONCATENATE(AC$4,$C351),INDEX(Tabella1[],0,MATCH("CONC X VOTI IN TAB GIOC",Tabella1[#Headers],0)),INDEX(Tabella1[],0,MATCH("Voto",Tabella1[#Headers],0))),"")</f>
        <v>5.5</v>
      </c>
      <c r="AD351" s="270" t="str">
        <f>_xlfn.IFNA(_xlfn.XLOOKUP(CONCATENATE(AD$4,$C351),Tabella1[CONC X VOTI IN TAB GIOC],Tabella1[Voto]),"")</f>
        <v/>
      </c>
      <c r="AE351" s="270" t="str">
        <f>_xlfn.IFNA(VLOOKUP(CONCATENATE(AE$4,$C351),'INSER DATA'!$A:$F,6,0),"")</f>
        <v/>
      </c>
      <c r="AF351" s="270" t="str">
        <f>_xlfn.IFNA(VLOOKUP(CONCATENATE(AF$4,$C351),'INSER DATA'!$A:$F,6,0),"")</f>
        <v/>
      </c>
      <c r="AG351" s="270" t="str">
        <f>_xlfn.IFNA(VLOOKUP(CONCATENATE(AG$4,$C351),'INSER DATA'!$A:$F,6,0),"")</f>
        <v/>
      </c>
      <c r="AH351" s="270" t="str">
        <f>_xlfn.IFNA(VLOOKUP(CONCATENATE(AH$4,$C351),'INSER DATA'!$A:$F,7,0),"")</f>
        <v/>
      </c>
      <c r="AI351" s="270" t="str">
        <f>_xlfn.IFNA(VLOOKUP(CONCATENATE(AI$4,$C351),'INSER DATA'!$A:$F,7,0),"")</f>
        <v/>
      </c>
      <c r="AJ351" s="270" t="str">
        <f>_xlfn.IFNA(VLOOKUP(CONCATENATE(AJ$4,$C351),'INSER DATA'!$A:$F,7,0),"")</f>
        <v/>
      </c>
      <c r="AK351" s="270" t="str">
        <f>_xlfn.IFNA(VLOOKUP(CONCATENATE(AK$4,$C351),'INSER DATA'!$A:$F,7,0),"")</f>
        <v/>
      </c>
      <c r="AL351" s="270" t="str">
        <f>_xlfn.IFNA(VLOOKUP(CONCATENATE(AL$4,$C351),'INSER DATA'!$A:$F,7,0),"")</f>
        <v/>
      </c>
      <c r="AM351" s="270" t="str">
        <f>_xlfn.IFNA(VLOOKUP(CONCATENATE(AM$4,$C351),'INSER DATA'!$A:$F,7,0),"")</f>
        <v/>
      </c>
      <c r="AN351" s="270" t="str">
        <f>_xlfn.IFNA(VLOOKUP(CONCATENATE(AN$4,$C351),'INSER DATA'!$A:$F,7,0),"")</f>
        <v/>
      </c>
      <c r="AO351" s="270" t="str">
        <f>_xlfn.IFNA(VLOOKUP(CONCATENATE(AO$4,$C351),'INSER DATA'!$A:$F,7,0),"")</f>
        <v/>
      </c>
      <c r="AP351" s="270" t="str">
        <f>_xlfn.IFNA(VLOOKUP(CONCATENATE(AP$4,$C351),'INSER DATA'!$A:$F,7,0),"")</f>
        <v/>
      </c>
      <c r="AQ351" s="270" t="str">
        <f>_xlfn.IFNA(VLOOKUP(CONCATENATE(AQ$4,$C351),'INSER DATA'!$A:$F,7,0),"")</f>
        <v/>
      </c>
      <c r="AR351" s="270" t="str">
        <f>_xlfn.IFNA(VLOOKUP(CONCATENATE(AR$4,$C351),'INSER DATA'!$A:$F,7,0),"")</f>
        <v/>
      </c>
      <c r="AS351" s="270" t="str">
        <f>_xlfn.IFNA(VLOOKUP(CONCATENATE(AS$4,$C351),'INSER DATA'!$A:$F,7,0),"")</f>
        <v/>
      </c>
      <c r="AT351" s="270" t="str">
        <f>_xlfn.IFNA(VLOOKUP(CONCATENATE(AT$4,$C351),'INSER DATA'!$A:$F,7,0),"")</f>
        <v/>
      </c>
      <c r="AU351" s="270" t="str">
        <f>_xlfn.IFNA(VLOOKUP(CONCATENATE(AU$4,$C351),'INSER DATA'!$A:$F,7,0),"")</f>
        <v/>
      </c>
      <c r="AV351" s="270" t="str">
        <f>_xlfn.IFNA(VLOOKUP(CONCATENATE(AV$4,$C351),'INSER DATA'!$A:$F,7,0),"")</f>
        <v/>
      </c>
      <c r="AW351" s="270" t="str">
        <f>_xlfn.IFNA(VLOOKUP(CONCATENATE(AW$4,$C351),'INSER DATA'!$A:$F,7,0),"")</f>
        <v/>
      </c>
      <c r="AX351" s="270" t="str">
        <f>_xlfn.IFNA(VLOOKUP(CONCATENATE(AX$4,$C351),'INSER DATA'!$A:$F,7,0),"")</f>
        <v/>
      </c>
      <c r="AY351" s="270" t="str">
        <f>_xlfn.IFNA(VLOOKUP(CONCATENATE(AY$4,$C351),'INSER DATA'!$A:$F,7,0),"")</f>
        <v/>
      </c>
      <c r="AZ351" s="270" t="str">
        <f>_xlfn.IFNA(VLOOKUP(CONCATENATE(AZ$4,$C351),'INSER DATA'!$A:$F,7,0),"")</f>
        <v/>
      </c>
      <c r="BA351" s="270" t="str">
        <f>_xlfn.IFNA(VLOOKUP(CONCATENATE(BA$4,$C351),'INSER DATA'!$A:$F,7,0),"")</f>
        <v/>
      </c>
      <c r="BB351" s="270" t="str">
        <f>_xlfn.IFNA(VLOOKUP(CONCATENATE(BB$4,$C351),'INSER DATA'!$A:$F,7,0),"")</f>
        <v/>
      </c>
      <c r="BC351" s="270" t="str">
        <f>_xlfn.IFNA(VLOOKUP(CONCATENATE(BC$4,$C351),'INSER DATA'!$A:$F,7,0),"")</f>
        <v/>
      </c>
      <c r="BD351" s="270" t="str">
        <f>_xlfn.IFNA(VLOOKUP(CONCATENATE(BD$4,$C351),'INSER DATA'!$A:$F,7,0),"")</f>
        <v/>
      </c>
      <c r="BE351" s="270" t="str">
        <f>_xlfn.IFNA(VLOOKUP(CONCATENATE(BE$4,$C351),'INSER DATA'!$A:$F,7,0),"")</f>
        <v/>
      </c>
      <c r="BF351" s="270" t="str">
        <f>_xlfn.IFNA(VLOOKUP(CONCATENATE(BF$4,$C351),'INSER DATA'!$A:$F,7,0),"")</f>
        <v/>
      </c>
      <c r="BG351" s="270" t="str">
        <f>_xlfn.IFNA(VLOOKUP(CONCATENATE(BG$4,$C351),'INSER DATA'!$A:$F,7,0),"")</f>
        <v/>
      </c>
      <c r="BH351" s="270" t="str">
        <f>_xlfn.IFNA(VLOOKUP(CONCATENATE(BH$4,$C351),'INSER DATA'!$A:$F,7,0),"")</f>
        <v/>
      </c>
      <c r="BI351" s="270" t="str">
        <f>_xlfn.IFNA(VLOOKUP(CONCATENATE(BI$4,$C351),'INSER DATA'!$A:$F,7,0),"")</f>
        <v/>
      </c>
      <c r="BJ351" s="270" t="str">
        <f>_xlfn.IFNA(VLOOKUP(CONCATENATE(BJ$4,$C351),'INSER DATA'!$A:$F,7,0),"")</f>
        <v/>
      </c>
      <c r="BK351" s="270" t="str">
        <f>_xlfn.IFNA(VLOOKUP(CONCATENATE(BK$4,$C351),'INSER DATA'!$A:$F,7,0),"")</f>
        <v/>
      </c>
      <c r="BL351" s="272"/>
      <c r="BM351" s="30"/>
      <c r="BN351" s="30"/>
      <c r="BO351" s="30"/>
      <c r="BP351" s="30"/>
      <c r="BQ351" s="30"/>
      <c r="BR351" s="30"/>
      <c r="BS351" s="30"/>
      <c r="BT351" s="30"/>
      <c r="BU351" s="30"/>
      <c r="BV351" s="30"/>
      <c r="BW351" s="30"/>
      <c r="BX351" s="30"/>
      <c r="BY351" s="30"/>
      <c r="BZ351" s="30"/>
      <c r="CA351" s="30"/>
      <c r="CB351" s="30"/>
      <c r="CC351" s="30"/>
      <c r="CD351" s="30"/>
      <c r="CE351" s="30"/>
      <c r="CF351" s="30"/>
      <c r="CG351" s="30"/>
      <c r="CH351" s="30"/>
      <c r="CI351" s="30"/>
      <c r="CJ351" s="30"/>
      <c r="CK351" s="30"/>
      <c r="CL351" s="30"/>
      <c r="CM351" s="30"/>
      <c r="CN351" s="30"/>
      <c r="CO351" s="30"/>
      <c r="CP351" s="30"/>
      <c r="CQ351" s="30"/>
      <c r="CR351" s="30"/>
      <c r="CS351" s="30"/>
      <c r="CT351" s="30"/>
      <c r="CU351" s="30"/>
      <c r="CV351" s="30"/>
      <c r="CW351" s="30"/>
      <c r="CX351" s="30"/>
      <c r="CY351" s="30"/>
      <c r="CZ351" s="30"/>
      <c r="DA351" s="30"/>
    </row>
    <row r="352" spans="1:105" ht="19.2" thickTop="1" thickBot="1" x14ac:dyDescent="0.4">
      <c r="A352" s="30"/>
      <c r="B352" s="30"/>
      <c r="C352" s="185" t="s">
        <v>863</v>
      </c>
      <c r="D352" s="46" t="s">
        <v>860</v>
      </c>
      <c r="E352" s="35" t="str">
        <f>_xlfn.XLOOKUP(Tabella4[[#This Row],[NOME]],'ROSE SQUADRE'!$N$3:$N$253,'ROSE SQUADRE'!$O$3:$O$253,"")</f>
        <v/>
      </c>
      <c r="F352" s="36" t="s">
        <v>161</v>
      </c>
      <c r="G352" s="43">
        <v>2</v>
      </c>
      <c r="H352" s="43">
        <v>2</v>
      </c>
      <c r="I352" s="44">
        <f t="shared" si="31"/>
        <v>0</v>
      </c>
      <c r="J352" s="37">
        <f t="shared" si="32"/>
        <v>4</v>
      </c>
      <c r="K352" s="38">
        <f t="shared" si="33"/>
        <v>5.5</v>
      </c>
      <c r="L352" s="38">
        <f t="shared" si="34"/>
        <v>5.375</v>
      </c>
      <c r="M352" s="39">
        <f t="shared" si="35"/>
        <v>21.5</v>
      </c>
      <c r="N352" s="45">
        <f t="shared" ca="1" si="36"/>
        <v>0</v>
      </c>
      <c r="O352" s="40">
        <f>SUMIF(Tabella1[Nome],Tabella4[[#This Row],[NOME]],Tabella1[Gf])</f>
        <v>0</v>
      </c>
      <c r="P352" s="40">
        <f>-(SUMIF(Tabella1[Nome],Tabella4[[#This Row],[NOME]],Tabella1[Gs]))</f>
        <v>0</v>
      </c>
      <c r="Q352" s="40">
        <f>SUMIF(Tabella1[Nome],Tabella4[[#This Row],[NOME]],Tabella1[Rp])</f>
        <v>0</v>
      </c>
      <c r="R352" s="40">
        <f>SUMIF(Tabella1[Nome],Tabella4[[#This Row],[NOME]],Tabella1[Rs])</f>
        <v>0</v>
      </c>
      <c r="S352" s="40">
        <f>SUMIF(Tabella1[Nome],Tabella4[[#This Row],[NOME]],Tabella1[Rf])</f>
        <v>0</v>
      </c>
      <c r="T352" s="40">
        <f>SUMIF(Tabella1[Nome],Tabella4[[#This Row],[NOME]],Tabella1[Au])</f>
        <v>0</v>
      </c>
      <c r="U352" s="41">
        <f>SUMIF(Tabella1[Nome],Tabella4[[#This Row],[NOME]],Tabella1[Amm])</f>
        <v>1</v>
      </c>
      <c r="V352" s="42">
        <f>SUMIF(Tabella1[Nome],Tabella4[[#This Row],[NOME]],Tabella1[Esp])</f>
        <v>0</v>
      </c>
      <c r="W352" s="40">
        <f>SUMIF(Tabella1[Nome],Tabella4[[#This Row],[NOME]],Tabella1[Ass])</f>
        <v>0</v>
      </c>
      <c r="X352" s="40">
        <f>SUMIF(Tabella1[Nome],Tabella4[[#This Row],[NOME]],Tabella1[Gdv])</f>
        <v>0</v>
      </c>
      <c r="Y352" s="40">
        <f>SUMIF(Tabella1[Nome],Tabella4[[#This Row],[NOME]],Tabella1[cl sh])</f>
        <v>0</v>
      </c>
      <c r="Z352" s="270">
        <f>_xlfn.IFNA(_xlfn.XLOOKUP(CONCATENATE(Z$4,$C352),Tabella1[CONC X VOTI IN TAB GIOC],Tabella1[Voto],""),"")</f>
        <v>5.5</v>
      </c>
      <c r="AA352" s="270">
        <f>_xlfn.IFNA(_xlfn.XLOOKUP(CONCATENATE(AA$4,$C352),Tabella1[CONC X VOTI IN TAB GIOC],Tabella1[Voto],""),"")</f>
        <v>5</v>
      </c>
      <c r="AB352" s="270">
        <f>_xlfn.IFNA(_xlfn.XLOOKUP(CONCATENATE(AB$4,$C352),Tabella1[CONC X VOTI IN TAB GIOC],Tabella1[Voto]),"")</f>
        <v>5.5</v>
      </c>
      <c r="AC352" s="270" cm="1">
        <f t="array" ref="AC352">_xlfn.IFNA(_xlfn.XLOOKUP(CONCATENATE(AC$4,$C352),INDEX(Tabella1[],0,MATCH("CONC X VOTI IN TAB GIOC",Tabella1[#Headers],0)),INDEX(Tabella1[],0,MATCH("Voto",Tabella1[#Headers],0))),"")</f>
        <v>6</v>
      </c>
      <c r="AD352" s="270" t="str">
        <f>_xlfn.IFNA(_xlfn.XLOOKUP(CONCATENATE(AD$4,$C352),Tabella1[CONC X VOTI IN TAB GIOC],Tabella1[Voto]),"")</f>
        <v/>
      </c>
      <c r="AE352" s="270" t="str">
        <f>_xlfn.IFNA(VLOOKUP(CONCATENATE(AE$4,$C352),'INSER DATA'!$A:$F,6,0),"")</f>
        <v/>
      </c>
      <c r="AF352" s="270" t="str">
        <f>_xlfn.IFNA(VLOOKUP(CONCATENATE(AF$4,$C352),'INSER DATA'!$A:$F,6,0),"")</f>
        <v/>
      </c>
      <c r="AG352" s="270" t="str">
        <f>_xlfn.IFNA(VLOOKUP(CONCATENATE(AG$4,$C352),'INSER DATA'!$A:$F,6,0),"")</f>
        <v/>
      </c>
      <c r="AH352" s="270" t="str">
        <f>_xlfn.IFNA(VLOOKUP(CONCATENATE(AH$4,$C352),'INSER DATA'!$A:$F,7,0),"")</f>
        <v/>
      </c>
      <c r="AI352" s="270" t="str">
        <f>_xlfn.IFNA(VLOOKUP(CONCATENATE(AI$4,$C352),'INSER DATA'!$A:$F,7,0),"")</f>
        <v/>
      </c>
      <c r="AJ352" s="270" t="str">
        <f>_xlfn.IFNA(VLOOKUP(CONCATENATE(AJ$4,$C352),'INSER DATA'!$A:$F,7,0),"")</f>
        <v/>
      </c>
      <c r="AK352" s="270" t="str">
        <f>_xlfn.IFNA(VLOOKUP(CONCATENATE(AK$4,$C352),'INSER DATA'!$A:$F,7,0),"")</f>
        <v/>
      </c>
      <c r="AL352" s="270" t="str">
        <f>_xlfn.IFNA(VLOOKUP(CONCATENATE(AL$4,$C352),'INSER DATA'!$A:$F,7,0),"")</f>
        <v/>
      </c>
      <c r="AM352" s="270" t="str">
        <f>_xlfn.IFNA(VLOOKUP(CONCATENATE(AM$4,$C352),'INSER DATA'!$A:$F,7,0),"")</f>
        <v/>
      </c>
      <c r="AN352" s="270" t="str">
        <f>_xlfn.IFNA(VLOOKUP(CONCATENATE(AN$4,$C352),'INSER DATA'!$A:$F,7,0),"")</f>
        <v/>
      </c>
      <c r="AO352" s="270" t="str">
        <f>_xlfn.IFNA(VLOOKUP(CONCATENATE(AO$4,$C352),'INSER DATA'!$A:$F,7,0),"")</f>
        <v/>
      </c>
      <c r="AP352" s="270" t="str">
        <f>_xlfn.IFNA(VLOOKUP(CONCATENATE(AP$4,$C352),'INSER DATA'!$A:$F,7,0),"")</f>
        <v/>
      </c>
      <c r="AQ352" s="270" t="str">
        <f>_xlfn.IFNA(VLOOKUP(CONCATENATE(AQ$4,$C352),'INSER DATA'!$A:$F,7,0),"")</f>
        <v/>
      </c>
      <c r="AR352" s="270" t="str">
        <f>_xlfn.IFNA(VLOOKUP(CONCATENATE(AR$4,$C352),'INSER DATA'!$A:$F,7,0),"")</f>
        <v/>
      </c>
      <c r="AS352" s="270" t="str">
        <f>_xlfn.IFNA(VLOOKUP(CONCATENATE(AS$4,$C352),'INSER DATA'!$A:$F,7,0),"")</f>
        <v/>
      </c>
      <c r="AT352" s="270" t="str">
        <f>_xlfn.IFNA(VLOOKUP(CONCATENATE(AT$4,$C352),'INSER DATA'!$A:$F,7,0),"")</f>
        <v/>
      </c>
      <c r="AU352" s="270" t="str">
        <f>_xlfn.IFNA(VLOOKUP(CONCATENATE(AU$4,$C352),'INSER DATA'!$A:$F,7,0),"")</f>
        <v/>
      </c>
      <c r="AV352" s="270" t="str">
        <f>_xlfn.IFNA(VLOOKUP(CONCATENATE(AV$4,$C352),'INSER DATA'!$A:$F,7,0),"")</f>
        <v/>
      </c>
      <c r="AW352" s="270" t="str">
        <f>_xlfn.IFNA(VLOOKUP(CONCATENATE(AW$4,$C352),'INSER DATA'!$A:$F,7,0),"")</f>
        <v/>
      </c>
      <c r="AX352" s="270" t="str">
        <f>_xlfn.IFNA(VLOOKUP(CONCATENATE(AX$4,$C352),'INSER DATA'!$A:$F,7,0),"")</f>
        <v/>
      </c>
      <c r="AY352" s="270" t="str">
        <f>_xlfn.IFNA(VLOOKUP(CONCATENATE(AY$4,$C352),'INSER DATA'!$A:$F,7,0),"")</f>
        <v/>
      </c>
      <c r="AZ352" s="270" t="str">
        <f>_xlfn.IFNA(VLOOKUP(CONCATENATE(AZ$4,$C352),'INSER DATA'!$A:$F,7,0),"")</f>
        <v/>
      </c>
      <c r="BA352" s="270" t="str">
        <f>_xlfn.IFNA(VLOOKUP(CONCATENATE(BA$4,$C352),'INSER DATA'!$A:$F,7,0),"")</f>
        <v/>
      </c>
      <c r="BB352" s="270" t="str">
        <f>_xlfn.IFNA(VLOOKUP(CONCATENATE(BB$4,$C352),'INSER DATA'!$A:$F,7,0),"")</f>
        <v/>
      </c>
      <c r="BC352" s="270" t="str">
        <f>_xlfn.IFNA(VLOOKUP(CONCATENATE(BC$4,$C352),'INSER DATA'!$A:$F,7,0),"")</f>
        <v/>
      </c>
      <c r="BD352" s="270" t="str">
        <f>_xlfn.IFNA(VLOOKUP(CONCATENATE(BD$4,$C352),'INSER DATA'!$A:$F,7,0),"")</f>
        <v/>
      </c>
      <c r="BE352" s="270" t="str">
        <f>_xlfn.IFNA(VLOOKUP(CONCATENATE(BE$4,$C352),'INSER DATA'!$A:$F,7,0),"")</f>
        <v/>
      </c>
      <c r="BF352" s="270" t="str">
        <f>_xlfn.IFNA(VLOOKUP(CONCATENATE(BF$4,$C352),'INSER DATA'!$A:$F,7,0),"")</f>
        <v/>
      </c>
      <c r="BG352" s="270" t="str">
        <f>_xlfn.IFNA(VLOOKUP(CONCATENATE(BG$4,$C352),'INSER DATA'!$A:$F,7,0),"")</f>
        <v/>
      </c>
      <c r="BH352" s="270" t="str">
        <f>_xlfn.IFNA(VLOOKUP(CONCATENATE(BH$4,$C352),'INSER DATA'!$A:$F,7,0),"")</f>
        <v/>
      </c>
      <c r="BI352" s="270" t="str">
        <f>_xlfn.IFNA(VLOOKUP(CONCATENATE(BI$4,$C352),'INSER DATA'!$A:$F,7,0),"")</f>
        <v/>
      </c>
      <c r="BJ352" s="270" t="str">
        <f>_xlfn.IFNA(VLOOKUP(CONCATENATE(BJ$4,$C352),'INSER DATA'!$A:$F,7,0),"")</f>
        <v/>
      </c>
      <c r="BK352" s="270" t="str">
        <f>_xlfn.IFNA(VLOOKUP(CONCATENATE(BK$4,$C352),'INSER DATA'!$A:$F,7,0),"")</f>
        <v/>
      </c>
      <c r="BL352" s="272"/>
      <c r="BM352" s="30"/>
      <c r="BN352" s="30"/>
      <c r="BO352" s="30"/>
      <c r="BP352" s="30"/>
      <c r="BQ352" s="30"/>
      <c r="BR352" s="30"/>
      <c r="BS352" s="30"/>
      <c r="BT352" s="30"/>
      <c r="BU352" s="30"/>
      <c r="BV352" s="30"/>
      <c r="BW352" s="30"/>
      <c r="BX352" s="30"/>
      <c r="BY352" s="30"/>
      <c r="BZ352" s="30"/>
      <c r="CA352" s="30"/>
      <c r="CB352" s="30"/>
      <c r="CC352" s="30"/>
      <c r="CD352" s="30"/>
      <c r="CE352" s="30"/>
      <c r="CF352" s="30"/>
      <c r="CG352" s="30"/>
      <c r="CH352" s="30"/>
      <c r="CI352" s="30"/>
      <c r="CJ352" s="30"/>
      <c r="CK352" s="30"/>
      <c r="CL352" s="30"/>
      <c r="CM352" s="30"/>
      <c r="CN352" s="30"/>
      <c r="CO352" s="30"/>
      <c r="CP352" s="30"/>
      <c r="CQ352" s="30"/>
      <c r="CR352" s="30"/>
      <c r="CS352" s="30"/>
      <c r="CT352" s="30"/>
      <c r="CU352" s="30"/>
      <c r="CV352" s="30"/>
      <c r="CW352" s="30"/>
      <c r="CX352" s="30"/>
      <c r="CY352" s="30"/>
      <c r="CZ352" s="30"/>
      <c r="DA352" s="30"/>
    </row>
    <row r="353" spans="1:105" ht="19.2" thickTop="1" thickBot="1" x14ac:dyDescent="0.4">
      <c r="A353" s="30"/>
      <c r="B353" s="30"/>
      <c r="C353" s="356" t="s">
        <v>254</v>
      </c>
      <c r="D353" s="355" t="s">
        <v>860</v>
      </c>
      <c r="E353" s="35" t="str">
        <f>_xlfn.XLOOKUP(Tabella4[[#This Row],[NOME]],'ROSE SQUADRE'!$N$3:$N$253,'ROSE SQUADRE'!$O$3:$O$253,"")</f>
        <v>ATL. IMPROVVISATO</v>
      </c>
      <c r="F353" s="36" t="s">
        <v>162</v>
      </c>
      <c r="G353" s="43">
        <v>11</v>
      </c>
      <c r="H353" s="43">
        <v>11</v>
      </c>
      <c r="I353" s="44">
        <f t="shared" si="31"/>
        <v>0</v>
      </c>
      <c r="J353" s="37">
        <f t="shared" si="32"/>
        <v>3</v>
      </c>
      <c r="K353" s="38">
        <f t="shared" si="33"/>
        <v>5.333333333333333</v>
      </c>
      <c r="L353" s="38">
        <f t="shared" si="34"/>
        <v>5.333333333333333</v>
      </c>
      <c r="M353" s="39">
        <f t="shared" si="35"/>
        <v>16</v>
      </c>
      <c r="N353" s="45">
        <f t="shared" ca="1" si="36"/>
        <v>0</v>
      </c>
      <c r="O353" s="40">
        <f>SUMIF(Tabella1[Nome],Tabella4[[#This Row],[NOME]],Tabella1[Gf])</f>
        <v>0</v>
      </c>
      <c r="P353" s="40">
        <f>-(SUMIF(Tabella1[Nome],Tabella4[[#This Row],[NOME]],Tabella1[Gs]))</f>
        <v>0</v>
      </c>
      <c r="Q353" s="40">
        <f>SUMIF(Tabella1[Nome],Tabella4[[#This Row],[NOME]],Tabella1[Rp])</f>
        <v>0</v>
      </c>
      <c r="R353" s="40">
        <f>SUMIF(Tabella1[Nome],Tabella4[[#This Row],[NOME]],Tabella1[Rs])</f>
        <v>0</v>
      </c>
      <c r="S353" s="40">
        <f>SUMIF(Tabella1[Nome],Tabella4[[#This Row],[NOME]],Tabella1[Rf])</f>
        <v>0</v>
      </c>
      <c r="T353" s="40">
        <f>SUMIF(Tabella1[Nome],Tabella4[[#This Row],[NOME]],Tabella1[Au])</f>
        <v>0</v>
      </c>
      <c r="U353" s="41">
        <f>SUMIF(Tabella1[Nome],Tabella4[[#This Row],[NOME]],Tabella1[Amm])</f>
        <v>0</v>
      </c>
      <c r="V353" s="42">
        <f>SUMIF(Tabella1[Nome],Tabella4[[#This Row],[NOME]],Tabella1[Esp])</f>
        <v>0</v>
      </c>
      <c r="W353" s="40">
        <f>SUMIF(Tabella1[Nome],Tabella4[[#This Row],[NOME]],Tabella1[Ass])</f>
        <v>0</v>
      </c>
      <c r="X353" s="40">
        <f>SUMIF(Tabella1[Nome],Tabella4[[#This Row],[NOME]],Tabella1[Gdv])</f>
        <v>0</v>
      </c>
      <c r="Y353" s="40">
        <f>SUMIF(Tabella1[Nome],Tabella4[[#This Row],[NOME]],Tabella1[cl sh])</f>
        <v>0</v>
      </c>
      <c r="Z353" s="270">
        <f>_xlfn.IFNA(_xlfn.XLOOKUP(CONCATENATE(Z$4,$C353),Tabella1[CONC X VOTI IN TAB GIOC],Tabella1[Voto],""),"")</f>
        <v>5.5</v>
      </c>
      <c r="AA353" s="270">
        <f>_xlfn.IFNA(_xlfn.XLOOKUP(CONCATENATE(AA$4,$C353),Tabella1[CONC X VOTI IN TAB GIOC],Tabella1[Voto],""),"")</f>
        <v>5</v>
      </c>
      <c r="AB353" s="270">
        <f>_xlfn.IFNA(_xlfn.XLOOKUP(CONCATENATE(AB$4,$C353),Tabella1[CONC X VOTI IN TAB GIOC],Tabella1[Voto]),"")</f>
        <v>5.5</v>
      </c>
      <c r="AC353" s="270" t="str" cm="1">
        <f t="array" ref="AC353">_xlfn.IFNA(_xlfn.XLOOKUP(CONCATENATE(AC$4,$C353),INDEX(Tabella1[],0,MATCH("CONC X VOTI IN TAB GIOC",Tabella1[#Headers],0)),INDEX(Tabella1[],0,MATCH("Voto",Tabella1[#Headers],0))),"")</f>
        <v/>
      </c>
      <c r="AD353" s="270" t="str">
        <f>_xlfn.IFNA(_xlfn.XLOOKUP(CONCATENATE(AD$4,$C353),Tabella1[CONC X VOTI IN TAB GIOC],Tabella1[Voto]),"")</f>
        <v/>
      </c>
      <c r="AE353" s="270" t="str">
        <f>_xlfn.IFNA(VLOOKUP(CONCATENATE(AE$4,$C353),'INSER DATA'!$A:$F,6,0),"")</f>
        <v/>
      </c>
      <c r="AF353" s="270" t="str">
        <f>_xlfn.IFNA(VLOOKUP(CONCATENATE(AF$4,$C353),'INSER DATA'!$A:$F,6,0),"")</f>
        <v/>
      </c>
      <c r="AG353" s="270" t="str">
        <f>_xlfn.IFNA(VLOOKUP(CONCATENATE(AG$4,$C353),'INSER DATA'!$A:$F,6,0),"")</f>
        <v/>
      </c>
      <c r="AH353" s="270" t="str">
        <f>_xlfn.IFNA(VLOOKUP(CONCATENATE(AH$4,$C353),'INSER DATA'!$A:$F,7,0),"")</f>
        <v/>
      </c>
      <c r="AI353" s="270" t="str">
        <f>_xlfn.IFNA(VLOOKUP(CONCATENATE(AI$4,$C353),'INSER DATA'!$A:$F,7,0),"")</f>
        <v/>
      </c>
      <c r="AJ353" s="270" t="str">
        <f>_xlfn.IFNA(VLOOKUP(CONCATENATE(AJ$4,$C353),'INSER DATA'!$A:$F,7,0),"")</f>
        <v/>
      </c>
      <c r="AK353" s="270" t="str">
        <f>_xlfn.IFNA(VLOOKUP(CONCATENATE(AK$4,$C353),'INSER DATA'!$A:$F,7,0),"")</f>
        <v/>
      </c>
      <c r="AL353" s="270" t="str">
        <f>_xlfn.IFNA(VLOOKUP(CONCATENATE(AL$4,$C353),'INSER DATA'!$A:$F,7,0),"")</f>
        <v/>
      </c>
      <c r="AM353" s="270" t="str">
        <f>_xlfn.IFNA(VLOOKUP(CONCATENATE(AM$4,$C353),'INSER DATA'!$A:$F,7,0),"")</f>
        <v/>
      </c>
      <c r="AN353" s="270" t="str">
        <f>_xlfn.IFNA(VLOOKUP(CONCATENATE(AN$4,$C353),'INSER DATA'!$A:$F,7,0),"")</f>
        <v/>
      </c>
      <c r="AO353" s="270" t="str">
        <f>_xlfn.IFNA(VLOOKUP(CONCATENATE(AO$4,$C353),'INSER DATA'!$A:$F,7,0),"")</f>
        <v/>
      </c>
      <c r="AP353" s="270" t="str">
        <f>_xlfn.IFNA(VLOOKUP(CONCATENATE(AP$4,$C353),'INSER DATA'!$A:$F,7,0),"")</f>
        <v/>
      </c>
      <c r="AQ353" s="270" t="str">
        <f>_xlfn.IFNA(VLOOKUP(CONCATENATE(AQ$4,$C353),'INSER DATA'!$A:$F,7,0),"")</f>
        <v/>
      </c>
      <c r="AR353" s="270" t="str">
        <f>_xlfn.IFNA(VLOOKUP(CONCATENATE(AR$4,$C353),'INSER DATA'!$A:$F,7,0),"")</f>
        <v/>
      </c>
      <c r="AS353" s="270" t="str">
        <f>_xlfn.IFNA(VLOOKUP(CONCATENATE(AS$4,$C353),'INSER DATA'!$A:$F,7,0),"")</f>
        <v/>
      </c>
      <c r="AT353" s="270" t="str">
        <f>_xlfn.IFNA(VLOOKUP(CONCATENATE(AT$4,$C353),'INSER DATA'!$A:$F,7,0),"")</f>
        <v/>
      </c>
      <c r="AU353" s="270" t="str">
        <f>_xlfn.IFNA(VLOOKUP(CONCATENATE(AU$4,$C353),'INSER DATA'!$A:$F,7,0),"")</f>
        <v/>
      </c>
      <c r="AV353" s="270" t="str">
        <f>_xlfn.IFNA(VLOOKUP(CONCATENATE(AV$4,$C353),'INSER DATA'!$A:$F,7,0),"")</f>
        <v/>
      </c>
      <c r="AW353" s="270" t="str">
        <f>_xlfn.IFNA(VLOOKUP(CONCATENATE(AW$4,$C353),'INSER DATA'!$A:$F,7,0),"")</f>
        <v/>
      </c>
      <c r="AX353" s="270" t="str">
        <f>_xlfn.IFNA(VLOOKUP(CONCATENATE(AX$4,$C353),'INSER DATA'!$A:$F,7,0),"")</f>
        <v/>
      </c>
      <c r="AY353" s="270" t="str">
        <f>_xlfn.IFNA(VLOOKUP(CONCATENATE(AY$4,$C353),'INSER DATA'!$A:$F,7,0),"")</f>
        <v/>
      </c>
      <c r="AZ353" s="270" t="str">
        <f>_xlfn.IFNA(VLOOKUP(CONCATENATE(AZ$4,$C353),'INSER DATA'!$A:$F,7,0),"")</f>
        <v/>
      </c>
      <c r="BA353" s="270" t="str">
        <f>_xlfn.IFNA(VLOOKUP(CONCATENATE(BA$4,$C353),'INSER DATA'!$A:$F,7,0),"")</f>
        <v/>
      </c>
      <c r="BB353" s="270" t="str">
        <f>_xlfn.IFNA(VLOOKUP(CONCATENATE(BB$4,$C353),'INSER DATA'!$A:$F,7,0),"")</f>
        <v/>
      </c>
      <c r="BC353" s="270" t="str">
        <f>_xlfn.IFNA(VLOOKUP(CONCATENATE(BC$4,$C353),'INSER DATA'!$A:$F,7,0),"")</f>
        <v/>
      </c>
      <c r="BD353" s="270" t="str">
        <f>_xlfn.IFNA(VLOOKUP(CONCATENATE(BD$4,$C353),'INSER DATA'!$A:$F,7,0),"")</f>
        <v/>
      </c>
      <c r="BE353" s="270" t="str">
        <f>_xlfn.IFNA(VLOOKUP(CONCATENATE(BE$4,$C353),'INSER DATA'!$A:$F,7,0),"")</f>
        <v/>
      </c>
      <c r="BF353" s="270" t="str">
        <f>_xlfn.IFNA(VLOOKUP(CONCATENATE(BF$4,$C353),'INSER DATA'!$A:$F,7,0),"")</f>
        <v/>
      </c>
      <c r="BG353" s="270" t="str">
        <f>_xlfn.IFNA(VLOOKUP(CONCATENATE(BG$4,$C353),'INSER DATA'!$A:$F,7,0),"")</f>
        <v/>
      </c>
      <c r="BH353" s="270" t="str">
        <f>_xlfn.IFNA(VLOOKUP(CONCATENATE(BH$4,$C353),'INSER DATA'!$A:$F,7,0),"")</f>
        <v/>
      </c>
      <c r="BI353" s="270" t="str">
        <f>_xlfn.IFNA(VLOOKUP(CONCATENATE(BI$4,$C353),'INSER DATA'!$A:$F,7,0),"")</f>
        <v/>
      </c>
      <c r="BJ353" s="270" t="str">
        <f>_xlfn.IFNA(VLOOKUP(CONCATENATE(BJ$4,$C353),'INSER DATA'!$A:$F,7,0),"")</f>
        <v/>
      </c>
      <c r="BK353" s="270" t="str">
        <f>_xlfn.IFNA(VLOOKUP(CONCATENATE(BK$4,$C353),'INSER DATA'!$A:$F,7,0),"")</f>
        <v/>
      </c>
      <c r="BL353" s="272"/>
      <c r="BM353" s="30"/>
      <c r="BN353" s="30"/>
      <c r="BO353" s="30"/>
      <c r="BP353" s="30"/>
      <c r="BQ353" s="30"/>
      <c r="BR353" s="30"/>
      <c r="BS353" s="30"/>
      <c r="BT353" s="30"/>
      <c r="BU353" s="30"/>
      <c r="BV353" s="30"/>
      <c r="BW353" s="30"/>
      <c r="BX353" s="30"/>
      <c r="BY353" s="30"/>
      <c r="BZ353" s="30"/>
      <c r="CA353" s="30"/>
      <c r="CB353" s="30"/>
      <c r="CC353" s="30"/>
      <c r="CD353" s="30"/>
      <c r="CE353" s="30"/>
      <c r="CF353" s="30"/>
      <c r="CG353" s="30"/>
      <c r="CH353" s="30"/>
      <c r="CI353" s="30"/>
      <c r="CJ353" s="30"/>
      <c r="CK353" s="30"/>
      <c r="CL353" s="30"/>
      <c r="CM353" s="30"/>
      <c r="CN353" s="30"/>
      <c r="CO353" s="30"/>
      <c r="CP353" s="30"/>
      <c r="CQ353" s="30"/>
      <c r="CR353" s="30"/>
      <c r="CS353" s="30"/>
      <c r="CT353" s="30"/>
      <c r="CU353" s="30"/>
      <c r="CV353" s="30"/>
      <c r="CW353" s="30"/>
      <c r="CX353" s="30"/>
      <c r="CY353" s="30"/>
      <c r="CZ353" s="30"/>
      <c r="DA353" s="30"/>
    </row>
    <row r="354" spans="1:105" ht="19.2" thickTop="1" thickBot="1" x14ac:dyDescent="0.4">
      <c r="A354" s="30"/>
      <c r="B354" s="30"/>
      <c r="C354" s="188" t="s">
        <v>311</v>
      </c>
      <c r="D354" s="187" t="s">
        <v>860</v>
      </c>
      <c r="E354" s="35" t="str">
        <f>_xlfn.XLOOKUP(Tabella4[[#This Row],[NOME]],'ROSE SQUADRE'!$N$3:$N$253,'ROSE SQUADRE'!$O$3:$O$253,"")</f>
        <v/>
      </c>
      <c r="F354" s="36" t="s">
        <v>161</v>
      </c>
      <c r="G354" s="43">
        <v>5</v>
      </c>
      <c r="H354" s="43">
        <v>5</v>
      </c>
      <c r="I354" s="44">
        <f t="shared" si="31"/>
        <v>0</v>
      </c>
      <c r="J354" s="37">
        <f t="shared" si="32"/>
        <v>1</v>
      </c>
      <c r="K354" s="178">
        <f t="shared" si="33"/>
        <v>5</v>
      </c>
      <c r="L354" s="178">
        <f t="shared" si="34"/>
        <v>5</v>
      </c>
      <c r="M354" s="179">
        <f t="shared" si="35"/>
        <v>5</v>
      </c>
      <c r="N354" s="45">
        <f t="shared" ca="1" si="36"/>
        <v>0</v>
      </c>
      <c r="O354" s="40">
        <f>SUMIF(Tabella1[Nome],Tabella4[[#This Row],[NOME]],Tabella1[Gf])</f>
        <v>0</v>
      </c>
      <c r="P354" s="40">
        <f>-(SUMIF(Tabella1[Nome],Tabella4[[#This Row],[NOME]],Tabella1[Gs]))</f>
        <v>0</v>
      </c>
      <c r="Q354" s="40">
        <f>SUMIF(Tabella1[Nome],Tabella4[[#This Row],[NOME]],Tabella1[Rp])</f>
        <v>0</v>
      </c>
      <c r="R354" s="40">
        <f>SUMIF(Tabella1[Nome],Tabella4[[#This Row],[NOME]],Tabella1[Rs])</f>
        <v>0</v>
      </c>
      <c r="S354" s="40">
        <f>SUMIF(Tabella1[Nome],Tabella4[[#This Row],[NOME]],Tabella1[Rf])</f>
        <v>0</v>
      </c>
      <c r="T354" s="40">
        <f>SUMIF(Tabella1[Nome],Tabella4[[#This Row],[NOME]],Tabella1[Au])</f>
        <v>0</v>
      </c>
      <c r="U354" s="41">
        <f>SUMIF(Tabella1[Nome],Tabella4[[#This Row],[NOME]],Tabella1[Amm])</f>
        <v>0</v>
      </c>
      <c r="V354" s="42">
        <f>SUMIF(Tabella1[Nome],Tabella4[[#This Row],[NOME]],Tabella1[Esp])</f>
        <v>0</v>
      </c>
      <c r="W354" s="40">
        <f>SUMIF(Tabella1[Nome],Tabella4[[#This Row],[NOME]],Tabella1[Ass])</f>
        <v>0</v>
      </c>
      <c r="X354" s="40">
        <f>SUMIF(Tabella1[Nome],Tabella4[[#This Row],[NOME]],Tabella1[Gdv])</f>
        <v>0</v>
      </c>
      <c r="Y354" s="40">
        <f>SUMIF(Tabella1[Nome],Tabella4[[#This Row],[NOME]],Tabella1[cl sh])</f>
        <v>0</v>
      </c>
      <c r="Z354" s="270" t="str">
        <f>_xlfn.IFNA(_xlfn.XLOOKUP(CONCATENATE(Z$4,$C354),Tabella1[CONC X VOTI IN TAB GIOC],Tabella1[Voto],""),"")</f>
        <v/>
      </c>
      <c r="AA354" s="270">
        <f>_xlfn.IFNA(_xlfn.XLOOKUP(CONCATENATE(AA$4,$C354),Tabella1[CONC X VOTI IN TAB GIOC],Tabella1[Voto],""),"")</f>
        <v>5</v>
      </c>
      <c r="AB354" s="270" t="str">
        <f>_xlfn.IFNA(_xlfn.XLOOKUP(CONCATENATE(AB$4,$C354),Tabella1[CONC X VOTI IN TAB GIOC],Tabella1[Voto]),"")</f>
        <v/>
      </c>
      <c r="AC354" s="270" t="str" cm="1">
        <f t="array" ref="AC354">_xlfn.IFNA(_xlfn.XLOOKUP(CONCATENATE(AC$4,$C354),INDEX(Tabella1[],0,MATCH("CONC X VOTI IN TAB GIOC",Tabella1[#Headers],0)),INDEX(Tabella1[],0,MATCH("Voto",Tabella1[#Headers],0))),"")</f>
        <v/>
      </c>
      <c r="AD354" s="270" t="str">
        <f>_xlfn.IFNA(_xlfn.XLOOKUP(CONCATENATE(AD$4,$C354),Tabella1[CONC X VOTI IN TAB GIOC],Tabella1[Voto]),"")</f>
        <v/>
      </c>
      <c r="AE354" s="270" t="str">
        <f>_xlfn.IFNA(VLOOKUP(CONCATENATE(AE$4,$C354),'INSER DATA'!$A:$F,6,0),"")</f>
        <v/>
      </c>
      <c r="AF354" s="270" t="str">
        <f>_xlfn.IFNA(VLOOKUP(CONCATENATE(AF$4,$C354),'INSER DATA'!$A:$F,6,0),"")</f>
        <v/>
      </c>
      <c r="AG354" s="270" t="str">
        <f>_xlfn.IFNA(VLOOKUP(CONCATENATE(AG$4,$C354),'INSER DATA'!$A:$F,6,0),"")</f>
        <v/>
      </c>
      <c r="AH354" s="270" t="str">
        <f>_xlfn.IFNA(VLOOKUP(CONCATENATE(AH$4,$C354),'INSER DATA'!$A:$F,7,0),"")</f>
        <v/>
      </c>
      <c r="AI354" s="270" t="str">
        <f>_xlfn.IFNA(VLOOKUP(CONCATENATE(AI$4,$C354),'INSER DATA'!$A:$F,7,0),"")</f>
        <v/>
      </c>
      <c r="AJ354" s="270" t="str">
        <f>_xlfn.IFNA(VLOOKUP(CONCATENATE(AJ$4,$C354),'INSER DATA'!$A:$F,7,0),"")</f>
        <v/>
      </c>
      <c r="AK354" s="270" t="str">
        <f>_xlfn.IFNA(VLOOKUP(CONCATENATE(AK$4,$C354),'INSER DATA'!$A:$F,7,0),"")</f>
        <v/>
      </c>
      <c r="AL354" s="270" t="str">
        <f>_xlfn.IFNA(VLOOKUP(CONCATENATE(AL$4,$C354),'INSER DATA'!$A:$F,7,0),"")</f>
        <v/>
      </c>
      <c r="AM354" s="270" t="str">
        <f>_xlfn.IFNA(VLOOKUP(CONCATENATE(AM$4,$C354),'INSER DATA'!$A:$F,7,0),"")</f>
        <v/>
      </c>
      <c r="AN354" s="270" t="str">
        <f>_xlfn.IFNA(VLOOKUP(CONCATENATE(AN$4,$C354),'INSER DATA'!$A:$F,7,0),"")</f>
        <v/>
      </c>
      <c r="AO354" s="270" t="str">
        <f>_xlfn.IFNA(VLOOKUP(CONCATENATE(AO$4,$C354),'INSER DATA'!$A:$F,7,0),"")</f>
        <v/>
      </c>
      <c r="AP354" s="270" t="str">
        <f>_xlfn.IFNA(VLOOKUP(CONCATENATE(AP$4,$C354),'INSER DATA'!$A:$F,7,0),"")</f>
        <v/>
      </c>
      <c r="AQ354" s="270" t="str">
        <f>_xlfn.IFNA(VLOOKUP(CONCATENATE(AQ$4,$C354),'INSER DATA'!$A:$F,7,0),"")</f>
        <v/>
      </c>
      <c r="AR354" s="270" t="str">
        <f>_xlfn.IFNA(VLOOKUP(CONCATENATE(AR$4,$C354),'INSER DATA'!$A:$F,7,0),"")</f>
        <v/>
      </c>
      <c r="AS354" s="270" t="str">
        <f>_xlfn.IFNA(VLOOKUP(CONCATENATE(AS$4,$C354),'INSER DATA'!$A:$F,7,0),"")</f>
        <v/>
      </c>
      <c r="AT354" s="270" t="str">
        <f>_xlfn.IFNA(VLOOKUP(CONCATENATE(AT$4,$C354),'INSER DATA'!$A:$F,7,0),"")</f>
        <v/>
      </c>
      <c r="AU354" s="270" t="str">
        <f>_xlfn.IFNA(VLOOKUP(CONCATENATE(AU$4,$C354),'INSER DATA'!$A:$F,7,0),"")</f>
        <v/>
      </c>
      <c r="AV354" s="270" t="str">
        <f>_xlfn.IFNA(VLOOKUP(CONCATENATE(AV$4,$C354),'INSER DATA'!$A:$F,7,0),"")</f>
        <v/>
      </c>
      <c r="AW354" s="270" t="str">
        <f>_xlfn.IFNA(VLOOKUP(CONCATENATE(AW$4,$C354),'INSER DATA'!$A:$F,7,0),"")</f>
        <v/>
      </c>
      <c r="AX354" s="270" t="str">
        <f>_xlfn.IFNA(VLOOKUP(CONCATENATE(AX$4,$C354),'INSER DATA'!$A:$F,7,0),"")</f>
        <v/>
      </c>
      <c r="AY354" s="270" t="str">
        <f>_xlfn.IFNA(VLOOKUP(CONCATENATE(AY$4,$C354),'INSER DATA'!$A:$F,7,0),"")</f>
        <v/>
      </c>
      <c r="AZ354" s="270" t="str">
        <f>_xlfn.IFNA(VLOOKUP(CONCATENATE(AZ$4,$C354),'INSER DATA'!$A:$F,7,0),"")</f>
        <v/>
      </c>
      <c r="BA354" s="270" t="str">
        <f>_xlfn.IFNA(VLOOKUP(CONCATENATE(BA$4,$C354),'INSER DATA'!$A:$F,7,0),"")</f>
        <v/>
      </c>
      <c r="BB354" s="270" t="str">
        <f>_xlfn.IFNA(VLOOKUP(CONCATENATE(BB$4,$C354),'INSER DATA'!$A:$F,7,0),"")</f>
        <v/>
      </c>
      <c r="BC354" s="270" t="str">
        <f>_xlfn.IFNA(VLOOKUP(CONCATENATE(BC$4,$C354),'INSER DATA'!$A:$F,7,0),"")</f>
        <v/>
      </c>
      <c r="BD354" s="270" t="str">
        <f>_xlfn.IFNA(VLOOKUP(CONCATENATE(BD$4,$C354),'INSER DATA'!$A:$F,7,0),"")</f>
        <v/>
      </c>
      <c r="BE354" s="270" t="str">
        <f>_xlfn.IFNA(VLOOKUP(CONCATENATE(BE$4,$C354),'INSER DATA'!$A:$F,7,0),"")</f>
        <v/>
      </c>
      <c r="BF354" s="270" t="str">
        <f>_xlfn.IFNA(VLOOKUP(CONCATENATE(BF$4,$C354),'INSER DATA'!$A:$F,7,0),"")</f>
        <v/>
      </c>
      <c r="BG354" s="270" t="str">
        <f>_xlfn.IFNA(VLOOKUP(CONCATENATE(BG$4,$C354),'INSER DATA'!$A:$F,7,0),"")</f>
        <v/>
      </c>
      <c r="BH354" s="270" t="str">
        <f>_xlfn.IFNA(VLOOKUP(CONCATENATE(BH$4,$C354),'INSER DATA'!$A:$F,7,0),"")</f>
        <v/>
      </c>
      <c r="BI354" s="270" t="str">
        <f>_xlfn.IFNA(VLOOKUP(CONCATENATE(BI$4,$C354),'INSER DATA'!$A:$F,7,0),"")</f>
        <v/>
      </c>
      <c r="BJ354" s="270" t="str">
        <f>_xlfn.IFNA(VLOOKUP(CONCATENATE(BJ$4,$C354),'INSER DATA'!$A:$F,7,0),"")</f>
        <v/>
      </c>
      <c r="BK354" s="270" t="str">
        <f>_xlfn.IFNA(VLOOKUP(CONCATENATE(BK$4,$C354),'INSER DATA'!$A:$F,7,0),"")</f>
        <v/>
      </c>
      <c r="BL354" s="272"/>
      <c r="BM354" s="30"/>
      <c r="BN354" s="30"/>
      <c r="BO354" s="30"/>
      <c r="BP354" s="30"/>
      <c r="BQ354" s="30"/>
      <c r="BR354" s="30"/>
      <c r="BS354" s="30"/>
      <c r="BT354" s="30"/>
      <c r="BU354" s="30"/>
      <c r="BV354" s="30"/>
      <c r="BW354" s="30"/>
      <c r="BX354" s="30"/>
      <c r="BY354" s="30"/>
      <c r="BZ354" s="30"/>
      <c r="CA354" s="30"/>
      <c r="CB354" s="30"/>
      <c r="CC354" s="30"/>
      <c r="CD354" s="30"/>
      <c r="CE354" s="30"/>
      <c r="CF354" s="30"/>
      <c r="CG354" s="30"/>
      <c r="CH354" s="30"/>
      <c r="CI354" s="30"/>
      <c r="CJ354" s="30"/>
      <c r="CK354" s="30"/>
      <c r="CL354" s="30"/>
      <c r="CM354" s="30"/>
      <c r="CN354" s="30"/>
      <c r="CO354" s="30"/>
      <c r="CP354" s="30"/>
      <c r="CQ354" s="30"/>
      <c r="CR354" s="30"/>
      <c r="CS354" s="30"/>
      <c r="CT354" s="30"/>
      <c r="CU354" s="30"/>
      <c r="CV354" s="30"/>
      <c r="CW354" s="30"/>
      <c r="CX354" s="30"/>
      <c r="CY354" s="30"/>
      <c r="CZ354" s="30"/>
      <c r="DA354" s="30"/>
    </row>
    <row r="355" spans="1:105" s="184" customFormat="1" ht="19.2" thickTop="1" thickBot="1" x14ac:dyDescent="0.4">
      <c r="C355" s="185" t="s">
        <v>859</v>
      </c>
      <c r="D355" s="46" t="s">
        <v>860</v>
      </c>
      <c r="E355" s="35" t="str">
        <f>_xlfn.XLOOKUP(Tabella4[[#This Row],[NOME]],'ROSE SQUADRE'!$N$3:$N$253,'ROSE SQUADRE'!$O$3:$O$253,"")</f>
        <v/>
      </c>
      <c r="F355" s="36" t="s">
        <v>5</v>
      </c>
      <c r="G355" s="43">
        <v>1</v>
      </c>
      <c r="H355" s="43">
        <v>1</v>
      </c>
      <c r="I355" s="44">
        <f t="shared" si="31"/>
        <v>0</v>
      </c>
      <c r="J355" s="37">
        <f t="shared" si="32"/>
        <v>0</v>
      </c>
      <c r="K355" s="38">
        <f t="shared" si="33"/>
        <v>0</v>
      </c>
      <c r="L355" s="38">
        <f t="shared" si="34"/>
        <v>0</v>
      </c>
      <c r="M355" s="39">
        <f t="shared" si="35"/>
        <v>0</v>
      </c>
      <c r="N355" s="45">
        <f t="shared" ca="1" si="36"/>
        <v>0</v>
      </c>
      <c r="O355" s="40">
        <f>SUMIF(Tabella1[Nome],Tabella4[[#This Row],[NOME]],Tabella1[Gf])</f>
        <v>0</v>
      </c>
      <c r="P355" s="40">
        <f>-(SUMIF(Tabella1[Nome],Tabella4[[#This Row],[NOME]],Tabella1[Gs]))</f>
        <v>0</v>
      </c>
      <c r="Q355" s="40">
        <f>SUMIF(Tabella1[Nome],Tabella4[[#This Row],[NOME]],Tabella1[Rp])</f>
        <v>0</v>
      </c>
      <c r="R355" s="40">
        <f>SUMIF(Tabella1[Nome],Tabella4[[#This Row],[NOME]],Tabella1[Rs])</f>
        <v>0</v>
      </c>
      <c r="S355" s="40">
        <f>SUMIF(Tabella1[Nome],Tabella4[[#This Row],[NOME]],Tabella1[Rf])</f>
        <v>0</v>
      </c>
      <c r="T355" s="40">
        <f>SUMIF(Tabella1[Nome],Tabella4[[#This Row],[NOME]],Tabella1[Au])</f>
        <v>0</v>
      </c>
      <c r="U355" s="41">
        <f>SUMIF(Tabella1[Nome],Tabella4[[#This Row],[NOME]],Tabella1[Amm])</f>
        <v>0</v>
      </c>
      <c r="V355" s="42">
        <f>SUMIF(Tabella1[Nome],Tabella4[[#This Row],[NOME]],Tabella1[Esp])</f>
        <v>0</v>
      </c>
      <c r="W355" s="40">
        <f>SUMIF(Tabella1[Nome],Tabella4[[#This Row],[NOME]],Tabella1[Ass])</f>
        <v>0</v>
      </c>
      <c r="X355" s="40">
        <f>SUMIF(Tabella1[Nome],Tabella4[[#This Row],[NOME]],Tabella1[Gdv])</f>
        <v>0</v>
      </c>
      <c r="Y355" s="40">
        <f>SUMIF(Tabella1[Nome],Tabella4[[#This Row],[NOME]],Tabella1[cl sh])</f>
        <v>0</v>
      </c>
      <c r="Z355" s="270" t="str">
        <f>_xlfn.IFNA(_xlfn.XLOOKUP(CONCATENATE(Z$4,$C355),Tabella1[CONC X VOTI IN TAB GIOC],Tabella1[Voto],""),"")</f>
        <v/>
      </c>
      <c r="AA355" s="270" t="str">
        <f>_xlfn.IFNA(_xlfn.XLOOKUP(CONCATENATE(AA$4,$C355),Tabella1[CONC X VOTI IN TAB GIOC],Tabella1[Voto],""),"")</f>
        <v/>
      </c>
      <c r="AB355" s="270" t="str">
        <f>_xlfn.IFNA(_xlfn.XLOOKUP(CONCATENATE(AB$4,$C355),Tabella1[CONC X VOTI IN TAB GIOC],Tabella1[Voto]),"")</f>
        <v/>
      </c>
      <c r="AC355" s="270" t="str" cm="1">
        <f t="array" ref="AC355">_xlfn.IFNA(_xlfn.XLOOKUP(CONCATENATE(AC$4,$C355),INDEX(Tabella1[],0,MATCH("CONC X VOTI IN TAB GIOC",Tabella1[#Headers],0)),INDEX(Tabella1[],0,MATCH("Voto",Tabella1[#Headers],0))),"")</f>
        <v/>
      </c>
      <c r="AD355" s="270" t="str">
        <f>_xlfn.IFNA(_xlfn.XLOOKUP(CONCATENATE(AD$4,$C355),Tabella1[CONC X VOTI IN TAB GIOC],Tabella1[Voto]),"")</f>
        <v/>
      </c>
      <c r="AE355" s="270" t="str">
        <f>_xlfn.IFNA(VLOOKUP(CONCATENATE(AE$4,$C355),'INSER DATA'!$A:$F,6,0),"")</f>
        <v/>
      </c>
      <c r="AF355" s="270" t="str">
        <f>_xlfn.IFNA(VLOOKUP(CONCATENATE(AF$4,$C355),'INSER DATA'!$A:$F,6,0),"")</f>
        <v/>
      </c>
      <c r="AG355" s="270" t="str">
        <f>_xlfn.IFNA(VLOOKUP(CONCATENATE(AG$4,$C355),'INSER DATA'!$A:$F,6,0),"")</f>
        <v/>
      </c>
      <c r="AH355" s="270" t="str">
        <f>_xlfn.IFNA(VLOOKUP(CONCATENATE(AH$4,$C355),'INSER DATA'!$A:$F,7,0),"")</f>
        <v/>
      </c>
      <c r="AI355" s="270" t="str">
        <f>_xlfn.IFNA(VLOOKUP(CONCATENATE(AI$4,$C355),'INSER DATA'!$A:$F,7,0),"")</f>
        <v/>
      </c>
      <c r="AJ355" s="270" t="str">
        <f>_xlfn.IFNA(VLOOKUP(CONCATENATE(AJ$4,$C355),'INSER DATA'!$A:$F,7,0),"")</f>
        <v/>
      </c>
      <c r="AK355" s="270" t="str">
        <f>_xlfn.IFNA(VLOOKUP(CONCATENATE(AK$4,$C355),'INSER DATA'!$A:$F,7,0),"")</f>
        <v/>
      </c>
      <c r="AL355" s="270" t="str">
        <f>_xlfn.IFNA(VLOOKUP(CONCATENATE(AL$4,$C355),'INSER DATA'!$A:$F,7,0),"")</f>
        <v/>
      </c>
      <c r="AM355" s="270" t="str">
        <f>_xlfn.IFNA(VLOOKUP(CONCATENATE(AM$4,$C355),'INSER DATA'!$A:$F,7,0),"")</f>
        <v/>
      </c>
      <c r="AN355" s="270" t="str">
        <f>_xlfn.IFNA(VLOOKUP(CONCATENATE(AN$4,$C355),'INSER DATA'!$A:$F,7,0),"")</f>
        <v/>
      </c>
      <c r="AO355" s="270" t="str">
        <f>_xlfn.IFNA(VLOOKUP(CONCATENATE(AO$4,$C355),'INSER DATA'!$A:$F,7,0),"")</f>
        <v/>
      </c>
      <c r="AP355" s="270" t="str">
        <f>_xlfn.IFNA(VLOOKUP(CONCATENATE(AP$4,$C355),'INSER DATA'!$A:$F,7,0),"")</f>
        <v/>
      </c>
      <c r="AQ355" s="270" t="str">
        <f>_xlfn.IFNA(VLOOKUP(CONCATENATE(AQ$4,$C355),'INSER DATA'!$A:$F,7,0),"")</f>
        <v/>
      </c>
      <c r="AR355" s="270" t="str">
        <f>_xlfn.IFNA(VLOOKUP(CONCATENATE(AR$4,$C355),'INSER DATA'!$A:$F,7,0),"")</f>
        <v/>
      </c>
      <c r="AS355" s="270" t="str">
        <f>_xlfn.IFNA(VLOOKUP(CONCATENATE(AS$4,$C355),'INSER DATA'!$A:$F,7,0),"")</f>
        <v/>
      </c>
      <c r="AT355" s="270" t="str">
        <f>_xlfn.IFNA(VLOOKUP(CONCATENATE(AT$4,$C355),'INSER DATA'!$A:$F,7,0),"")</f>
        <v/>
      </c>
      <c r="AU355" s="270" t="str">
        <f>_xlfn.IFNA(VLOOKUP(CONCATENATE(AU$4,$C355),'INSER DATA'!$A:$F,7,0),"")</f>
        <v/>
      </c>
      <c r="AV355" s="270" t="str">
        <f>_xlfn.IFNA(VLOOKUP(CONCATENATE(AV$4,$C355),'INSER DATA'!$A:$F,7,0),"")</f>
        <v/>
      </c>
      <c r="AW355" s="270" t="str">
        <f>_xlfn.IFNA(VLOOKUP(CONCATENATE(AW$4,$C355),'INSER DATA'!$A:$F,7,0),"")</f>
        <v/>
      </c>
      <c r="AX355" s="270" t="str">
        <f>_xlfn.IFNA(VLOOKUP(CONCATENATE(AX$4,$C355),'INSER DATA'!$A:$F,7,0),"")</f>
        <v/>
      </c>
      <c r="AY355" s="270" t="str">
        <f>_xlfn.IFNA(VLOOKUP(CONCATENATE(AY$4,$C355),'INSER DATA'!$A:$F,7,0),"")</f>
        <v/>
      </c>
      <c r="AZ355" s="270" t="str">
        <f>_xlfn.IFNA(VLOOKUP(CONCATENATE(AZ$4,$C355),'INSER DATA'!$A:$F,7,0),"")</f>
        <v/>
      </c>
      <c r="BA355" s="270" t="str">
        <f>_xlfn.IFNA(VLOOKUP(CONCATENATE(BA$4,$C355),'INSER DATA'!$A:$F,7,0),"")</f>
        <v/>
      </c>
      <c r="BB355" s="270" t="str">
        <f>_xlfn.IFNA(VLOOKUP(CONCATENATE(BB$4,$C355),'INSER DATA'!$A:$F,7,0),"")</f>
        <v/>
      </c>
      <c r="BC355" s="270" t="str">
        <f>_xlfn.IFNA(VLOOKUP(CONCATENATE(BC$4,$C355),'INSER DATA'!$A:$F,7,0),"")</f>
        <v/>
      </c>
      <c r="BD355" s="270" t="str">
        <f>_xlfn.IFNA(VLOOKUP(CONCATENATE(BD$4,$C355),'INSER DATA'!$A:$F,7,0),"")</f>
        <v/>
      </c>
      <c r="BE355" s="270" t="str">
        <f>_xlfn.IFNA(VLOOKUP(CONCATENATE(BE$4,$C355),'INSER DATA'!$A:$F,7,0),"")</f>
        <v/>
      </c>
      <c r="BF355" s="270" t="str">
        <f>_xlfn.IFNA(VLOOKUP(CONCATENATE(BF$4,$C355),'INSER DATA'!$A:$F,7,0),"")</f>
        <v/>
      </c>
      <c r="BG355" s="270" t="str">
        <f>_xlfn.IFNA(VLOOKUP(CONCATENATE(BG$4,$C355),'INSER DATA'!$A:$F,7,0),"")</f>
        <v/>
      </c>
      <c r="BH355" s="270" t="str">
        <f>_xlfn.IFNA(VLOOKUP(CONCATENATE(BH$4,$C355),'INSER DATA'!$A:$F,7,0),"")</f>
        <v/>
      </c>
      <c r="BI355" s="270" t="str">
        <f>_xlfn.IFNA(VLOOKUP(CONCATENATE(BI$4,$C355),'INSER DATA'!$A:$F,7,0),"")</f>
        <v/>
      </c>
      <c r="BJ355" s="270" t="str">
        <f>_xlfn.IFNA(VLOOKUP(CONCATENATE(BJ$4,$C355),'INSER DATA'!$A:$F,7,0),"")</f>
        <v/>
      </c>
      <c r="BK355" s="270" t="str">
        <f>_xlfn.IFNA(VLOOKUP(CONCATENATE(BK$4,$C355),'INSER DATA'!$A:$F,7,0),"")</f>
        <v/>
      </c>
      <c r="BL355" s="272"/>
    </row>
    <row r="356" spans="1:105" ht="19.2" thickTop="1" thickBot="1" x14ac:dyDescent="0.4">
      <c r="A356" s="30"/>
      <c r="B356" s="30"/>
      <c r="C356" s="354" t="s">
        <v>264</v>
      </c>
      <c r="D356" s="357" t="s">
        <v>860</v>
      </c>
      <c r="E356" s="35" t="str">
        <f>_xlfn.XLOOKUP(Tabella4[[#This Row],[NOME]],'ROSE SQUADRE'!$N$3:$N$253,'ROSE SQUADRE'!$O$3:$O$253,"")</f>
        <v>PESCICULINI</v>
      </c>
      <c r="F356" s="36" t="s">
        <v>5</v>
      </c>
      <c r="G356" s="43">
        <v>5</v>
      </c>
      <c r="H356" s="43">
        <v>5</v>
      </c>
      <c r="I356" s="44">
        <f t="shared" si="31"/>
        <v>0</v>
      </c>
      <c r="J356" s="37">
        <f t="shared" si="32"/>
        <v>1</v>
      </c>
      <c r="K356" s="38">
        <f t="shared" si="33"/>
        <v>6</v>
      </c>
      <c r="L356" s="38">
        <f t="shared" si="34"/>
        <v>7</v>
      </c>
      <c r="M356" s="39">
        <f t="shared" si="35"/>
        <v>7</v>
      </c>
      <c r="N356" s="45">
        <f t="shared" ca="1" si="36"/>
        <v>0</v>
      </c>
      <c r="O356" s="40">
        <f>SUMIF(Tabella1[Nome],Tabella4[[#This Row],[NOME]],Tabella1[Gf])</f>
        <v>0</v>
      </c>
      <c r="P356" s="40">
        <f>-(SUMIF(Tabella1[Nome],Tabella4[[#This Row],[NOME]],Tabella1[Gs]))</f>
        <v>0</v>
      </c>
      <c r="Q356" s="40">
        <f>SUMIF(Tabella1[Nome],Tabella4[[#This Row],[NOME]],Tabella1[Rp])</f>
        <v>0</v>
      </c>
      <c r="R356" s="40">
        <f>SUMIF(Tabella1[Nome],Tabella4[[#This Row],[NOME]],Tabella1[Rs])</f>
        <v>0</v>
      </c>
      <c r="S356" s="40">
        <f>SUMIF(Tabella1[Nome],Tabella4[[#This Row],[NOME]],Tabella1[Rf])</f>
        <v>0</v>
      </c>
      <c r="T356" s="40">
        <f>SUMIF(Tabella1[Nome],Tabella4[[#This Row],[NOME]],Tabella1[Au])</f>
        <v>0</v>
      </c>
      <c r="U356" s="41">
        <f>SUMIF(Tabella1[Nome],Tabella4[[#This Row],[NOME]],Tabella1[Amm])</f>
        <v>0</v>
      </c>
      <c r="V356" s="42">
        <f>SUMIF(Tabella1[Nome],Tabella4[[#This Row],[NOME]],Tabella1[Esp])</f>
        <v>0</v>
      </c>
      <c r="W356" s="40">
        <f>SUMIF(Tabella1[Nome],Tabella4[[#This Row],[NOME]],Tabella1[Ass])</f>
        <v>0</v>
      </c>
      <c r="X356" s="40">
        <f>SUMIF(Tabella1[Nome],Tabella4[[#This Row],[NOME]],Tabella1[Gdv])</f>
        <v>0</v>
      </c>
      <c r="Y356" s="40">
        <f>SUMIF(Tabella1[Nome],Tabella4[[#This Row],[NOME]],Tabella1[cl sh])</f>
        <v>1</v>
      </c>
      <c r="Z356" s="270" t="str">
        <f>_xlfn.IFNA(_xlfn.XLOOKUP(CONCATENATE(Z$4,$C356),Tabella1[CONC X VOTI IN TAB GIOC],Tabella1[Voto],""),"")</f>
        <v/>
      </c>
      <c r="AA356" s="270" t="str">
        <f>_xlfn.IFNA(_xlfn.XLOOKUP(CONCATENATE(AA$4,$C356),Tabella1[CONC X VOTI IN TAB GIOC],Tabella1[Voto],""),"")</f>
        <v/>
      </c>
      <c r="AB356" s="270" t="str">
        <f>_xlfn.IFNA(_xlfn.XLOOKUP(CONCATENATE(AB$4,$C356),Tabella1[CONC X VOTI IN TAB GIOC],Tabella1[Voto]),"")</f>
        <v/>
      </c>
      <c r="AC356" s="270" cm="1">
        <f t="array" ref="AC356">_xlfn.IFNA(_xlfn.XLOOKUP(CONCATENATE(AC$4,$C356),INDEX(Tabella1[],0,MATCH("CONC X VOTI IN TAB GIOC",Tabella1[#Headers],0)),INDEX(Tabella1[],0,MATCH("Voto",Tabella1[#Headers],0))),"")</f>
        <v>6</v>
      </c>
      <c r="AD356" s="270" t="str">
        <f>_xlfn.IFNA(_xlfn.XLOOKUP(CONCATENATE(AD$4,$C356),Tabella1[CONC X VOTI IN TAB GIOC],Tabella1[Voto]),"")</f>
        <v/>
      </c>
      <c r="AE356" s="270" t="str">
        <f>_xlfn.IFNA(VLOOKUP(CONCATENATE(AE$4,$C356),'INSER DATA'!$A:$F,6,0),"")</f>
        <v/>
      </c>
      <c r="AF356" s="270" t="str">
        <f>_xlfn.IFNA(VLOOKUP(CONCATENATE(AF$4,$C356),'INSER DATA'!$A:$F,6,0),"")</f>
        <v/>
      </c>
      <c r="AG356" s="270" t="str">
        <f>_xlfn.IFNA(VLOOKUP(CONCATENATE(AG$4,$C356),'INSER DATA'!$A:$F,6,0),"")</f>
        <v/>
      </c>
      <c r="AH356" s="270" t="str">
        <f>_xlfn.IFNA(VLOOKUP(CONCATENATE(AH$4,$C356),'INSER DATA'!$A:$F,7,0),"")</f>
        <v/>
      </c>
      <c r="AI356" s="270" t="str">
        <f>_xlfn.IFNA(VLOOKUP(CONCATENATE(AI$4,$C356),'INSER DATA'!$A:$F,7,0),"")</f>
        <v/>
      </c>
      <c r="AJ356" s="270" t="str">
        <f>_xlfn.IFNA(VLOOKUP(CONCATENATE(AJ$4,$C356),'INSER DATA'!$A:$F,7,0),"")</f>
        <v/>
      </c>
      <c r="AK356" s="270" t="str">
        <f>_xlfn.IFNA(VLOOKUP(CONCATENATE(AK$4,$C356),'INSER DATA'!$A:$F,7,0),"")</f>
        <v/>
      </c>
      <c r="AL356" s="270" t="str">
        <f>_xlfn.IFNA(VLOOKUP(CONCATENATE(AL$4,$C356),'INSER DATA'!$A:$F,7,0),"")</f>
        <v/>
      </c>
      <c r="AM356" s="270" t="str">
        <f>_xlfn.IFNA(VLOOKUP(CONCATENATE(AM$4,$C356),'INSER DATA'!$A:$F,7,0),"")</f>
        <v/>
      </c>
      <c r="AN356" s="270" t="str">
        <f>_xlfn.IFNA(VLOOKUP(CONCATENATE(AN$4,$C356),'INSER DATA'!$A:$F,7,0),"")</f>
        <v/>
      </c>
      <c r="AO356" s="270" t="str">
        <f>_xlfn.IFNA(VLOOKUP(CONCATENATE(AO$4,$C356),'INSER DATA'!$A:$F,7,0),"")</f>
        <v/>
      </c>
      <c r="AP356" s="270" t="str">
        <f>_xlfn.IFNA(VLOOKUP(CONCATENATE(AP$4,$C356),'INSER DATA'!$A:$F,7,0),"")</f>
        <v/>
      </c>
      <c r="AQ356" s="270" t="str">
        <f>_xlfn.IFNA(VLOOKUP(CONCATENATE(AQ$4,$C356),'INSER DATA'!$A:$F,7,0),"")</f>
        <v/>
      </c>
      <c r="AR356" s="270" t="str">
        <f>_xlfn.IFNA(VLOOKUP(CONCATENATE(AR$4,$C356),'INSER DATA'!$A:$F,7,0),"")</f>
        <v/>
      </c>
      <c r="AS356" s="270" t="str">
        <f>_xlfn.IFNA(VLOOKUP(CONCATENATE(AS$4,$C356),'INSER DATA'!$A:$F,7,0),"")</f>
        <v/>
      </c>
      <c r="AT356" s="270" t="str">
        <f>_xlfn.IFNA(VLOOKUP(CONCATENATE(AT$4,$C356),'INSER DATA'!$A:$F,7,0),"")</f>
        <v/>
      </c>
      <c r="AU356" s="270" t="str">
        <f>_xlfn.IFNA(VLOOKUP(CONCATENATE(AU$4,$C356),'INSER DATA'!$A:$F,7,0),"")</f>
        <v/>
      </c>
      <c r="AV356" s="270" t="str">
        <f>_xlfn.IFNA(VLOOKUP(CONCATENATE(AV$4,$C356),'INSER DATA'!$A:$F,7,0),"")</f>
        <v/>
      </c>
      <c r="AW356" s="270" t="str">
        <f>_xlfn.IFNA(VLOOKUP(CONCATENATE(AW$4,$C356),'INSER DATA'!$A:$F,7,0),"")</f>
        <v/>
      </c>
      <c r="AX356" s="270" t="str">
        <f>_xlfn.IFNA(VLOOKUP(CONCATENATE(AX$4,$C356),'INSER DATA'!$A:$F,7,0),"")</f>
        <v/>
      </c>
      <c r="AY356" s="270" t="str">
        <f>_xlfn.IFNA(VLOOKUP(CONCATENATE(AY$4,$C356),'INSER DATA'!$A:$F,7,0),"")</f>
        <v/>
      </c>
      <c r="AZ356" s="270" t="str">
        <f>_xlfn.IFNA(VLOOKUP(CONCATENATE(AZ$4,$C356),'INSER DATA'!$A:$F,7,0),"")</f>
        <v/>
      </c>
      <c r="BA356" s="270" t="str">
        <f>_xlfn.IFNA(VLOOKUP(CONCATENATE(BA$4,$C356),'INSER DATA'!$A:$F,7,0),"")</f>
        <v/>
      </c>
      <c r="BB356" s="270" t="str">
        <f>_xlfn.IFNA(VLOOKUP(CONCATENATE(BB$4,$C356),'INSER DATA'!$A:$F,7,0),"")</f>
        <v/>
      </c>
      <c r="BC356" s="270" t="str">
        <f>_xlfn.IFNA(VLOOKUP(CONCATENATE(BC$4,$C356),'INSER DATA'!$A:$F,7,0),"")</f>
        <v/>
      </c>
      <c r="BD356" s="270" t="str">
        <f>_xlfn.IFNA(VLOOKUP(CONCATENATE(BD$4,$C356),'INSER DATA'!$A:$F,7,0),"")</f>
        <v/>
      </c>
      <c r="BE356" s="270" t="str">
        <f>_xlfn.IFNA(VLOOKUP(CONCATENATE(BE$4,$C356),'INSER DATA'!$A:$F,7,0),"")</f>
        <v/>
      </c>
      <c r="BF356" s="270" t="str">
        <f>_xlfn.IFNA(VLOOKUP(CONCATENATE(BF$4,$C356),'INSER DATA'!$A:$F,7,0),"")</f>
        <v/>
      </c>
      <c r="BG356" s="270" t="str">
        <f>_xlfn.IFNA(VLOOKUP(CONCATENATE(BG$4,$C356),'INSER DATA'!$A:$F,7,0),"")</f>
        <v/>
      </c>
      <c r="BH356" s="270" t="str">
        <f>_xlfn.IFNA(VLOOKUP(CONCATENATE(BH$4,$C356),'INSER DATA'!$A:$F,7,0),"")</f>
        <v/>
      </c>
      <c r="BI356" s="270" t="str">
        <f>_xlfn.IFNA(VLOOKUP(CONCATENATE(BI$4,$C356),'INSER DATA'!$A:$F,7,0),"")</f>
        <v/>
      </c>
      <c r="BJ356" s="270" t="str">
        <f>_xlfn.IFNA(VLOOKUP(CONCATENATE(BJ$4,$C356),'INSER DATA'!$A:$F,7,0),"")</f>
        <v/>
      </c>
      <c r="BK356" s="270" t="str">
        <f>_xlfn.IFNA(VLOOKUP(CONCATENATE(BK$4,$C356),'INSER DATA'!$A:$F,7,0),"")</f>
        <v/>
      </c>
      <c r="BL356" s="272"/>
      <c r="BM356" s="30"/>
      <c r="BN356" s="30"/>
      <c r="BO356" s="30"/>
      <c r="BP356" s="30"/>
      <c r="BQ356" s="30"/>
      <c r="BR356" s="30"/>
      <c r="BS356" s="30"/>
      <c r="BT356" s="30"/>
      <c r="BU356" s="30"/>
      <c r="BV356" s="30"/>
      <c r="BW356" s="30"/>
      <c r="BX356" s="30"/>
      <c r="BY356" s="30"/>
      <c r="BZ356" s="30"/>
      <c r="CA356" s="30"/>
      <c r="CB356" s="30"/>
      <c r="CC356" s="30"/>
      <c r="CD356" s="30"/>
      <c r="CE356" s="30"/>
      <c r="CF356" s="30"/>
      <c r="CG356" s="30"/>
      <c r="CH356" s="30"/>
      <c r="CI356" s="30"/>
      <c r="CJ356" s="30"/>
      <c r="CK356" s="30"/>
      <c r="CL356" s="30"/>
      <c r="CM356" s="30"/>
      <c r="CN356" s="30"/>
      <c r="CO356" s="30"/>
      <c r="CP356" s="30"/>
      <c r="CQ356" s="30"/>
      <c r="CR356" s="30"/>
      <c r="CS356" s="30"/>
      <c r="CT356" s="30"/>
      <c r="CU356" s="30"/>
      <c r="CV356" s="30"/>
      <c r="CW356" s="30"/>
      <c r="CX356" s="30"/>
      <c r="CY356" s="30"/>
      <c r="CZ356" s="30"/>
      <c r="DA356" s="30"/>
    </row>
    <row r="357" spans="1:105" ht="19.2" thickTop="1" thickBot="1" x14ac:dyDescent="0.4">
      <c r="A357" s="30"/>
      <c r="B357" s="30"/>
      <c r="C357" s="188" t="s">
        <v>426</v>
      </c>
      <c r="D357" s="46" t="s">
        <v>860</v>
      </c>
      <c r="E357" s="35" t="str">
        <f>_xlfn.XLOOKUP(Tabella4[[#This Row],[NOME]],'ROSE SQUADRE'!$N$3:$N$253,'ROSE SQUADRE'!$O$3:$O$253,"")</f>
        <v/>
      </c>
      <c r="F357" s="36" t="s">
        <v>161</v>
      </c>
      <c r="G357" s="43">
        <v>6</v>
      </c>
      <c r="H357" s="43">
        <v>6</v>
      </c>
      <c r="I357" s="44">
        <f t="shared" si="31"/>
        <v>0</v>
      </c>
      <c r="J357" s="37">
        <f t="shared" si="32"/>
        <v>0</v>
      </c>
      <c r="K357" s="38">
        <f t="shared" si="33"/>
        <v>0</v>
      </c>
      <c r="L357" s="38">
        <f t="shared" si="34"/>
        <v>0</v>
      </c>
      <c r="M357" s="39">
        <f t="shared" si="35"/>
        <v>0</v>
      </c>
      <c r="N357" s="45">
        <f t="shared" ca="1" si="36"/>
        <v>0</v>
      </c>
      <c r="O357" s="40">
        <f>SUMIF(Tabella1[Nome],Tabella4[[#This Row],[NOME]],Tabella1[Gf])</f>
        <v>0</v>
      </c>
      <c r="P357" s="40">
        <f>-(SUMIF(Tabella1[Nome],Tabella4[[#This Row],[NOME]],Tabella1[Gs]))</f>
        <v>0</v>
      </c>
      <c r="Q357" s="40">
        <f>SUMIF(Tabella1[Nome],Tabella4[[#This Row],[NOME]],Tabella1[Rp])</f>
        <v>0</v>
      </c>
      <c r="R357" s="40">
        <f>SUMIF(Tabella1[Nome],Tabella4[[#This Row],[NOME]],Tabella1[Rs])</f>
        <v>0</v>
      </c>
      <c r="S357" s="40">
        <f>SUMIF(Tabella1[Nome],Tabella4[[#This Row],[NOME]],Tabella1[Rf])</f>
        <v>0</v>
      </c>
      <c r="T357" s="40">
        <f>SUMIF(Tabella1[Nome],Tabella4[[#This Row],[NOME]],Tabella1[Au])</f>
        <v>0</v>
      </c>
      <c r="U357" s="41">
        <f>SUMIF(Tabella1[Nome],Tabella4[[#This Row],[NOME]],Tabella1[Amm])</f>
        <v>0</v>
      </c>
      <c r="V357" s="42">
        <f>SUMIF(Tabella1[Nome],Tabella4[[#This Row],[NOME]],Tabella1[Esp])</f>
        <v>0</v>
      </c>
      <c r="W357" s="40">
        <f>SUMIF(Tabella1[Nome],Tabella4[[#This Row],[NOME]],Tabella1[Ass])</f>
        <v>0</v>
      </c>
      <c r="X357" s="40">
        <f>SUMIF(Tabella1[Nome],Tabella4[[#This Row],[NOME]],Tabella1[Gdv])</f>
        <v>0</v>
      </c>
      <c r="Y357" s="40">
        <f>SUMIF(Tabella1[Nome],Tabella4[[#This Row],[NOME]],Tabella1[cl sh])</f>
        <v>0</v>
      </c>
      <c r="Z357" s="270" t="str">
        <f>_xlfn.IFNA(_xlfn.XLOOKUP(CONCATENATE(Z$4,$C357),Tabella1[CONC X VOTI IN TAB GIOC],Tabella1[Voto],""),"")</f>
        <v/>
      </c>
      <c r="AA357" s="270" t="str">
        <f>_xlfn.IFNA(_xlfn.XLOOKUP(CONCATENATE(AA$4,$C357),Tabella1[CONC X VOTI IN TAB GIOC],Tabella1[Voto],""),"")</f>
        <v/>
      </c>
      <c r="AB357" s="270" t="str">
        <f>_xlfn.IFNA(_xlfn.XLOOKUP(CONCATENATE(AB$4,$C357),Tabella1[CONC X VOTI IN TAB GIOC],Tabella1[Voto]),"")</f>
        <v/>
      </c>
      <c r="AC357" s="270" t="str" cm="1">
        <f t="array" ref="AC357">_xlfn.IFNA(_xlfn.XLOOKUP(CONCATENATE(AC$4,$C357),INDEX(Tabella1[],0,MATCH("CONC X VOTI IN TAB GIOC",Tabella1[#Headers],0)),INDEX(Tabella1[],0,MATCH("Voto",Tabella1[#Headers],0))),"")</f>
        <v/>
      </c>
      <c r="AD357" s="270" t="str">
        <f>_xlfn.IFNA(_xlfn.XLOOKUP(CONCATENATE(AD$4,$C357),Tabella1[CONC X VOTI IN TAB GIOC],Tabella1[Voto]),"")</f>
        <v/>
      </c>
      <c r="AE357" s="270" t="str">
        <f>_xlfn.IFNA(VLOOKUP(CONCATENATE(AE$4,$C357),'INSER DATA'!$A:$F,6,0),"")</f>
        <v/>
      </c>
      <c r="AF357" s="270" t="str">
        <f>_xlfn.IFNA(VLOOKUP(CONCATENATE(AF$4,$C357),'INSER DATA'!$A:$F,6,0),"")</f>
        <v/>
      </c>
      <c r="AG357" s="270" t="str">
        <f>_xlfn.IFNA(VLOOKUP(CONCATENATE(AG$4,$C357),'INSER DATA'!$A:$F,6,0),"")</f>
        <v/>
      </c>
      <c r="AH357" s="270" t="str">
        <f>_xlfn.IFNA(VLOOKUP(CONCATENATE(AH$4,$C357),'INSER DATA'!$A:$F,7,0),"")</f>
        <v/>
      </c>
      <c r="AI357" s="270" t="str">
        <f>_xlfn.IFNA(VLOOKUP(CONCATENATE(AI$4,$C357),'INSER DATA'!$A:$F,7,0),"")</f>
        <v/>
      </c>
      <c r="AJ357" s="270" t="str">
        <f>_xlfn.IFNA(VLOOKUP(CONCATENATE(AJ$4,$C357),'INSER DATA'!$A:$F,7,0),"")</f>
        <v/>
      </c>
      <c r="AK357" s="270" t="str">
        <f>_xlfn.IFNA(VLOOKUP(CONCATENATE(AK$4,$C357),'INSER DATA'!$A:$F,7,0),"")</f>
        <v/>
      </c>
      <c r="AL357" s="270" t="str">
        <f>_xlfn.IFNA(VLOOKUP(CONCATENATE(AL$4,$C357),'INSER DATA'!$A:$F,7,0),"")</f>
        <v/>
      </c>
      <c r="AM357" s="270" t="str">
        <f>_xlfn.IFNA(VLOOKUP(CONCATENATE(AM$4,$C357),'INSER DATA'!$A:$F,7,0),"")</f>
        <v/>
      </c>
      <c r="AN357" s="270" t="str">
        <f>_xlfn.IFNA(VLOOKUP(CONCATENATE(AN$4,$C357),'INSER DATA'!$A:$F,7,0),"")</f>
        <v/>
      </c>
      <c r="AO357" s="270" t="str">
        <f>_xlfn.IFNA(VLOOKUP(CONCATENATE(AO$4,$C357),'INSER DATA'!$A:$F,7,0),"")</f>
        <v/>
      </c>
      <c r="AP357" s="270" t="str">
        <f>_xlfn.IFNA(VLOOKUP(CONCATENATE(AP$4,$C357),'INSER DATA'!$A:$F,7,0),"")</f>
        <v/>
      </c>
      <c r="AQ357" s="270" t="str">
        <f>_xlfn.IFNA(VLOOKUP(CONCATENATE(AQ$4,$C357),'INSER DATA'!$A:$F,7,0),"")</f>
        <v/>
      </c>
      <c r="AR357" s="270" t="str">
        <f>_xlfn.IFNA(VLOOKUP(CONCATENATE(AR$4,$C357),'INSER DATA'!$A:$F,7,0),"")</f>
        <v/>
      </c>
      <c r="AS357" s="270" t="str">
        <f>_xlfn.IFNA(VLOOKUP(CONCATENATE(AS$4,$C357),'INSER DATA'!$A:$F,7,0),"")</f>
        <v/>
      </c>
      <c r="AT357" s="270" t="str">
        <f>_xlfn.IFNA(VLOOKUP(CONCATENATE(AT$4,$C357),'INSER DATA'!$A:$F,7,0),"")</f>
        <v/>
      </c>
      <c r="AU357" s="270" t="str">
        <f>_xlfn.IFNA(VLOOKUP(CONCATENATE(AU$4,$C357),'INSER DATA'!$A:$F,7,0),"")</f>
        <v/>
      </c>
      <c r="AV357" s="270" t="str">
        <f>_xlfn.IFNA(VLOOKUP(CONCATENATE(AV$4,$C357),'INSER DATA'!$A:$F,7,0),"")</f>
        <v/>
      </c>
      <c r="AW357" s="270" t="str">
        <f>_xlfn.IFNA(VLOOKUP(CONCATENATE(AW$4,$C357),'INSER DATA'!$A:$F,7,0),"")</f>
        <v/>
      </c>
      <c r="AX357" s="270" t="str">
        <f>_xlfn.IFNA(VLOOKUP(CONCATENATE(AX$4,$C357),'INSER DATA'!$A:$F,7,0),"")</f>
        <v/>
      </c>
      <c r="AY357" s="270" t="str">
        <f>_xlfn.IFNA(VLOOKUP(CONCATENATE(AY$4,$C357),'INSER DATA'!$A:$F,7,0),"")</f>
        <v/>
      </c>
      <c r="AZ357" s="270" t="str">
        <f>_xlfn.IFNA(VLOOKUP(CONCATENATE(AZ$4,$C357),'INSER DATA'!$A:$F,7,0),"")</f>
        <v/>
      </c>
      <c r="BA357" s="270" t="str">
        <f>_xlfn.IFNA(VLOOKUP(CONCATENATE(BA$4,$C357),'INSER DATA'!$A:$F,7,0),"")</f>
        <v/>
      </c>
      <c r="BB357" s="270" t="str">
        <f>_xlfn.IFNA(VLOOKUP(CONCATENATE(BB$4,$C357),'INSER DATA'!$A:$F,7,0),"")</f>
        <v/>
      </c>
      <c r="BC357" s="270" t="str">
        <f>_xlfn.IFNA(VLOOKUP(CONCATENATE(BC$4,$C357),'INSER DATA'!$A:$F,7,0),"")</f>
        <v/>
      </c>
      <c r="BD357" s="270" t="str">
        <f>_xlfn.IFNA(VLOOKUP(CONCATENATE(BD$4,$C357),'INSER DATA'!$A:$F,7,0),"")</f>
        <v/>
      </c>
      <c r="BE357" s="270" t="str">
        <f>_xlfn.IFNA(VLOOKUP(CONCATENATE(BE$4,$C357),'INSER DATA'!$A:$F,7,0),"")</f>
        <v/>
      </c>
      <c r="BF357" s="270" t="str">
        <f>_xlfn.IFNA(VLOOKUP(CONCATENATE(BF$4,$C357),'INSER DATA'!$A:$F,7,0),"")</f>
        <v/>
      </c>
      <c r="BG357" s="270" t="str">
        <f>_xlfn.IFNA(VLOOKUP(CONCATENATE(BG$4,$C357),'INSER DATA'!$A:$F,7,0),"")</f>
        <v/>
      </c>
      <c r="BH357" s="270" t="str">
        <f>_xlfn.IFNA(VLOOKUP(CONCATENATE(BH$4,$C357),'INSER DATA'!$A:$F,7,0),"")</f>
        <v/>
      </c>
      <c r="BI357" s="270" t="str">
        <f>_xlfn.IFNA(VLOOKUP(CONCATENATE(BI$4,$C357),'INSER DATA'!$A:$F,7,0),"")</f>
        <v/>
      </c>
      <c r="BJ357" s="270" t="str">
        <f>_xlfn.IFNA(VLOOKUP(CONCATENATE(BJ$4,$C357),'INSER DATA'!$A:$F,7,0),"")</f>
        <v/>
      </c>
      <c r="BK357" s="270" t="str">
        <f>_xlfn.IFNA(VLOOKUP(CONCATENATE(BK$4,$C357),'INSER DATA'!$A:$F,7,0),"")</f>
        <v/>
      </c>
      <c r="BL357" s="272"/>
      <c r="BM357" s="30"/>
      <c r="BN357" s="30"/>
      <c r="BO357" s="30"/>
      <c r="BP357" s="30"/>
      <c r="BQ357" s="30"/>
      <c r="BR357" s="30"/>
      <c r="BS357" s="30"/>
      <c r="BT357" s="30"/>
      <c r="BU357" s="30"/>
      <c r="BV357" s="30"/>
      <c r="BW357" s="30"/>
      <c r="BX357" s="30"/>
      <c r="BY357" s="30"/>
      <c r="BZ357" s="30"/>
      <c r="CA357" s="30"/>
      <c r="CB357" s="30"/>
      <c r="CC357" s="30"/>
      <c r="CD357" s="30"/>
      <c r="CE357" s="30"/>
      <c r="CF357" s="30"/>
      <c r="CG357" s="30"/>
      <c r="CH357" s="30"/>
      <c r="CI357" s="30"/>
      <c r="CJ357" s="30"/>
      <c r="CK357" s="30"/>
      <c r="CL357" s="30"/>
      <c r="CM357" s="30"/>
      <c r="CN357" s="30"/>
      <c r="CO357" s="30"/>
      <c r="CP357" s="30"/>
      <c r="CQ357" s="30"/>
      <c r="CR357" s="30"/>
      <c r="CS357" s="30"/>
      <c r="CT357" s="30"/>
      <c r="CU357" s="30"/>
      <c r="CV357" s="30"/>
      <c r="CW357" s="30"/>
      <c r="CX357" s="30"/>
      <c r="CY357" s="30"/>
      <c r="CZ357" s="30"/>
      <c r="DA357" s="30"/>
    </row>
    <row r="358" spans="1:105" ht="19.2" thickTop="1" thickBot="1" x14ac:dyDescent="0.4">
      <c r="A358" s="30"/>
      <c r="B358" s="30"/>
      <c r="C358" s="356" t="s">
        <v>617</v>
      </c>
      <c r="D358" s="357" t="s">
        <v>860</v>
      </c>
      <c r="E358" s="35" t="str">
        <f>_xlfn.XLOOKUP(Tabella4[[#This Row],[NOME]],'ROSE SQUADRE'!$N$3:$N$253,'ROSE SQUADRE'!$O$3:$O$253,"")</f>
        <v>PESCICULINI</v>
      </c>
      <c r="F358" s="36" t="s">
        <v>161</v>
      </c>
      <c r="G358" s="43">
        <v>7</v>
      </c>
      <c r="H358" s="43">
        <v>7</v>
      </c>
      <c r="I358" s="44">
        <f t="shared" si="31"/>
        <v>0</v>
      </c>
      <c r="J358" s="37">
        <f t="shared" si="32"/>
        <v>0</v>
      </c>
      <c r="K358" s="38">
        <f t="shared" si="33"/>
        <v>0</v>
      </c>
      <c r="L358" s="38">
        <f t="shared" si="34"/>
        <v>0</v>
      </c>
      <c r="M358" s="39">
        <f t="shared" si="35"/>
        <v>0</v>
      </c>
      <c r="N358" s="45">
        <f t="shared" ca="1" si="36"/>
        <v>0</v>
      </c>
      <c r="O358" s="40">
        <f>SUMIF(Tabella1[Nome],Tabella4[[#This Row],[NOME]],Tabella1[Gf])</f>
        <v>0</v>
      </c>
      <c r="P358" s="40">
        <f>-(SUMIF(Tabella1[Nome],Tabella4[[#This Row],[NOME]],Tabella1[Gs]))</f>
        <v>0</v>
      </c>
      <c r="Q358" s="40">
        <f>SUMIF(Tabella1[Nome],Tabella4[[#This Row],[NOME]],Tabella1[Rp])</f>
        <v>0</v>
      </c>
      <c r="R358" s="40">
        <f>SUMIF(Tabella1[Nome],Tabella4[[#This Row],[NOME]],Tabella1[Rs])</f>
        <v>0</v>
      </c>
      <c r="S358" s="40">
        <f>SUMIF(Tabella1[Nome],Tabella4[[#This Row],[NOME]],Tabella1[Rf])</f>
        <v>0</v>
      </c>
      <c r="T358" s="40">
        <f>SUMIF(Tabella1[Nome],Tabella4[[#This Row],[NOME]],Tabella1[Au])</f>
        <v>0</v>
      </c>
      <c r="U358" s="41">
        <f>SUMIF(Tabella1[Nome],Tabella4[[#This Row],[NOME]],Tabella1[Amm])</f>
        <v>0</v>
      </c>
      <c r="V358" s="42">
        <f>SUMIF(Tabella1[Nome],Tabella4[[#This Row],[NOME]],Tabella1[Esp])</f>
        <v>0</v>
      </c>
      <c r="W358" s="40">
        <f>SUMIF(Tabella1[Nome],Tabella4[[#This Row],[NOME]],Tabella1[Ass])</f>
        <v>0</v>
      </c>
      <c r="X358" s="40">
        <f>SUMIF(Tabella1[Nome],Tabella4[[#This Row],[NOME]],Tabella1[Gdv])</f>
        <v>0</v>
      </c>
      <c r="Y358" s="40">
        <f>SUMIF(Tabella1[Nome],Tabella4[[#This Row],[NOME]],Tabella1[cl sh])</f>
        <v>0</v>
      </c>
      <c r="Z358" s="270" t="str">
        <f>_xlfn.IFNA(_xlfn.XLOOKUP(CONCATENATE(Z$4,$C358),Tabella1[CONC X VOTI IN TAB GIOC],Tabella1[Voto],""),"")</f>
        <v/>
      </c>
      <c r="AA358" s="270" t="str">
        <f>_xlfn.IFNA(_xlfn.XLOOKUP(CONCATENATE(AA$4,$C358),Tabella1[CONC X VOTI IN TAB GIOC],Tabella1[Voto],""),"")</f>
        <v/>
      </c>
      <c r="AB358" s="270" t="str">
        <f>_xlfn.IFNA(_xlfn.XLOOKUP(CONCATENATE(AB$4,$C358),Tabella1[CONC X VOTI IN TAB GIOC],Tabella1[Voto]),"")</f>
        <v/>
      </c>
      <c r="AC358" s="270" t="str" cm="1">
        <f t="array" ref="AC358">_xlfn.IFNA(_xlfn.XLOOKUP(CONCATENATE(AC$4,$C358),INDEX(Tabella1[],0,MATCH("CONC X VOTI IN TAB GIOC",Tabella1[#Headers],0)),INDEX(Tabella1[],0,MATCH("Voto",Tabella1[#Headers],0))),"")</f>
        <v/>
      </c>
      <c r="AD358" s="270" t="str">
        <f>_xlfn.IFNA(_xlfn.XLOOKUP(CONCATENATE(AD$4,$C358),Tabella1[CONC X VOTI IN TAB GIOC],Tabella1[Voto]),"")</f>
        <v/>
      </c>
      <c r="AE358" s="270" t="str">
        <f>_xlfn.IFNA(VLOOKUP(CONCATENATE(AE$4,$C358),'INSER DATA'!$A:$F,6,0),"")</f>
        <v/>
      </c>
      <c r="AF358" s="270" t="str">
        <f>_xlfn.IFNA(VLOOKUP(CONCATENATE(AF$4,$C358),'INSER DATA'!$A:$F,6,0),"")</f>
        <v/>
      </c>
      <c r="AG358" s="270" t="str">
        <f>_xlfn.IFNA(VLOOKUP(CONCATENATE(AG$4,$C358),'INSER DATA'!$A:$F,6,0),"")</f>
        <v/>
      </c>
      <c r="AH358" s="270" t="str">
        <f>_xlfn.IFNA(VLOOKUP(CONCATENATE(AH$4,$C358),'INSER DATA'!$A:$F,7,0),"")</f>
        <v/>
      </c>
      <c r="AI358" s="270" t="str">
        <f>_xlfn.IFNA(VLOOKUP(CONCATENATE(AI$4,$C358),'INSER DATA'!$A:$F,7,0),"")</f>
        <v/>
      </c>
      <c r="AJ358" s="270" t="str">
        <f>_xlfn.IFNA(VLOOKUP(CONCATENATE(AJ$4,$C358),'INSER DATA'!$A:$F,7,0),"")</f>
        <v/>
      </c>
      <c r="AK358" s="270" t="str">
        <f>_xlfn.IFNA(VLOOKUP(CONCATENATE(AK$4,$C358),'INSER DATA'!$A:$F,7,0),"")</f>
        <v/>
      </c>
      <c r="AL358" s="270" t="str">
        <f>_xlfn.IFNA(VLOOKUP(CONCATENATE(AL$4,$C358),'INSER DATA'!$A:$F,7,0),"")</f>
        <v/>
      </c>
      <c r="AM358" s="270" t="str">
        <f>_xlfn.IFNA(VLOOKUP(CONCATENATE(AM$4,$C358),'INSER DATA'!$A:$F,7,0),"")</f>
        <v/>
      </c>
      <c r="AN358" s="270" t="str">
        <f>_xlfn.IFNA(VLOOKUP(CONCATENATE(AN$4,$C358),'INSER DATA'!$A:$F,7,0),"")</f>
        <v/>
      </c>
      <c r="AO358" s="270" t="str">
        <f>_xlfn.IFNA(VLOOKUP(CONCATENATE(AO$4,$C358),'INSER DATA'!$A:$F,7,0),"")</f>
        <v/>
      </c>
      <c r="AP358" s="270" t="str">
        <f>_xlfn.IFNA(VLOOKUP(CONCATENATE(AP$4,$C358),'INSER DATA'!$A:$F,7,0),"")</f>
        <v/>
      </c>
      <c r="AQ358" s="270" t="str">
        <f>_xlfn.IFNA(VLOOKUP(CONCATENATE(AQ$4,$C358),'INSER DATA'!$A:$F,7,0),"")</f>
        <v/>
      </c>
      <c r="AR358" s="270" t="str">
        <f>_xlfn.IFNA(VLOOKUP(CONCATENATE(AR$4,$C358),'INSER DATA'!$A:$F,7,0),"")</f>
        <v/>
      </c>
      <c r="AS358" s="270" t="str">
        <f>_xlfn.IFNA(VLOOKUP(CONCATENATE(AS$4,$C358),'INSER DATA'!$A:$F,7,0),"")</f>
        <v/>
      </c>
      <c r="AT358" s="270" t="str">
        <f>_xlfn.IFNA(VLOOKUP(CONCATENATE(AT$4,$C358),'INSER DATA'!$A:$F,7,0),"")</f>
        <v/>
      </c>
      <c r="AU358" s="270" t="str">
        <f>_xlfn.IFNA(VLOOKUP(CONCATENATE(AU$4,$C358),'INSER DATA'!$A:$F,7,0),"")</f>
        <v/>
      </c>
      <c r="AV358" s="270" t="str">
        <f>_xlfn.IFNA(VLOOKUP(CONCATENATE(AV$4,$C358),'INSER DATA'!$A:$F,7,0),"")</f>
        <v/>
      </c>
      <c r="AW358" s="270" t="str">
        <f>_xlfn.IFNA(VLOOKUP(CONCATENATE(AW$4,$C358),'INSER DATA'!$A:$F,7,0),"")</f>
        <v/>
      </c>
      <c r="AX358" s="270" t="str">
        <f>_xlfn.IFNA(VLOOKUP(CONCATENATE(AX$4,$C358),'INSER DATA'!$A:$F,7,0),"")</f>
        <v/>
      </c>
      <c r="AY358" s="270" t="str">
        <f>_xlfn.IFNA(VLOOKUP(CONCATENATE(AY$4,$C358),'INSER DATA'!$A:$F,7,0),"")</f>
        <v/>
      </c>
      <c r="AZ358" s="270" t="str">
        <f>_xlfn.IFNA(VLOOKUP(CONCATENATE(AZ$4,$C358),'INSER DATA'!$A:$F,7,0),"")</f>
        <v/>
      </c>
      <c r="BA358" s="270" t="str">
        <f>_xlfn.IFNA(VLOOKUP(CONCATENATE(BA$4,$C358),'INSER DATA'!$A:$F,7,0),"")</f>
        <v/>
      </c>
      <c r="BB358" s="270" t="str">
        <f>_xlfn.IFNA(VLOOKUP(CONCATENATE(BB$4,$C358),'INSER DATA'!$A:$F,7,0),"")</f>
        <v/>
      </c>
      <c r="BC358" s="270" t="str">
        <f>_xlfn.IFNA(VLOOKUP(CONCATENATE(BC$4,$C358),'INSER DATA'!$A:$F,7,0),"")</f>
        <v/>
      </c>
      <c r="BD358" s="270" t="str">
        <f>_xlfn.IFNA(VLOOKUP(CONCATENATE(BD$4,$C358),'INSER DATA'!$A:$F,7,0),"")</f>
        <v/>
      </c>
      <c r="BE358" s="270" t="str">
        <f>_xlfn.IFNA(VLOOKUP(CONCATENATE(BE$4,$C358),'INSER DATA'!$A:$F,7,0),"")</f>
        <v/>
      </c>
      <c r="BF358" s="270" t="str">
        <f>_xlfn.IFNA(VLOOKUP(CONCATENATE(BF$4,$C358),'INSER DATA'!$A:$F,7,0),"")</f>
        <v/>
      </c>
      <c r="BG358" s="270" t="str">
        <f>_xlfn.IFNA(VLOOKUP(CONCATENATE(BG$4,$C358),'INSER DATA'!$A:$F,7,0),"")</f>
        <v/>
      </c>
      <c r="BH358" s="270" t="str">
        <f>_xlfn.IFNA(VLOOKUP(CONCATENATE(BH$4,$C358),'INSER DATA'!$A:$F,7,0),"")</f>
        <v/>
      </c>
      <c r="BI358" s="270" t="str">
        <f>_xlfn.IFNA(VLOOKUP(CONCATENATE(BI$4,$C358),'INSER DATA'!$A:$F,7,0),"")</f>
        <v/>
      </c>
      <c r="BJ358" s="270" t="str">
        <f>_xlfn.IFNA(VLOOKUP(CONCATENATE(BJ$4,$C358),'INSER DATA'!$A:$F,7,0),"")</f>
        <v/>
      </c>
      <c r="BK358" s="270" t="str">
        <f>_xlfn.IFNA(VLOOKUP(CONCATENATE(BK$4,$C358),'INSER DATA'!$A:$F,7,0),"")</f>
        <v/>
      </c>
      <c r="BL358" s="272"/>
      <c r="BM358" s="30"/>
      <c r="BN358" s="30"/>
      <c r="BO358" s="30"/>
      <c r="BP358" s="30"/>
      <c r="BQ358" s="30"/>
      <c r="BR358" s="30"/>
      <c r="BS358" s="30"/>
      <c r="BT358" s="30"/>
      <c r="BU358" s="30"/>
      <c r="BV358" s="30"/>
      <c r="BW358" s="30"/>
      <c r="BX358" s="30"/>
      <c r="BY358" s="30"/>
      <c r="BZ358" s="30"/>
      <c r="CA358" s="30"/>
      <c r="CB358" s="30"/>
      <c r="CC358" s="30"/>
      <c r="CD358" s="30"/>
      <c r="CE358" s="30"/>
      <c r="CF358" s="30"/>
      <c r="CG358" s="30"/>
      <c r="CH358" s="30"/>
      <c r="CI358" s="30"/>
      <c r="CJ358" s="30"/>
      <c r="CK358" s="30"/>
      <c r="CL358" s="30"/>
      <c r="CM358" s="30"/>
      <c r="CN358" s="30"/>
      <c r="CO358" s="30"/>
      <c r="CP358" s="30"/>
      <c r="CQ358" s="30"/>
      <c r="CR358" s="30"/>
      <c r="CS358" s="30"/>
      <c r="CT358" s="30"/>
      <c r="CU358" s="30"/>
      <c r="CV358" s="30"/>
      <c r="CW358" s="30"/>
      <c r="CX358" s="30"/>
      <c r="CY358" s="30"/>
      <c r="CZ358" s="30"/>
      <c r="DA358" s="30"/>
    </row>
    <row r="359" spans="1:105" ht="19.2" thickTop="1" thickBot="1" x14ac:dyDescent="0.4">
      <c r="A359" s="30"/>
      <c r="B359" s="30"/>
      <c r="C359" s="188" t="s">
        <v>861</v>
      </c>
      <c r="D359" s="187" t="s">
        <v>860</v>
      </c>
      <c r="E359" s="35" t="str">
        <f>_xlfn.XLOOKUP(Tabella4[[#This Row],[NOME]],'ROSE SQUADRE'!$N$3:$N$253,'ROSE SQUADRE'!$O$3:$O$253,"")</f>
        <v/>
      </c>
      <c r="F359" s="36" t="s">
        <v>161</v>
      </c>
      <c r="G359" s="43">
        <v>4</v>
      </c>
      <c r="H359" s="43">
        <v>4</v>
      </c>
      <c r="I359" s="44">
        <f t="shared" si="31"/>
        <v>0</v>
      </c>
      <c r="J359" s="37">
        <f t="shared" si="32"/>
        <v>1</v>
      </c>
      <c r="K359" s="178">
        <f t="shared" si="33"/>
        <v>7</v>
      </c>
      <c r="L359" s="178">
        <f t="shared" si="34"/>
        <v>8</v>
      </c>
      <c r="M359" s="179">
        <f t="shared" si="35"/>
        <v>8</v>
      </c>
      <c r="N359" s="45">
        <f t="shared" ca="1" si="36"/>
        <v>0</v>
      </c>
      <c r="O359" s="40">
        <f>SUMIF(Tabella1[Nome],Tabella4[[#This Row],[NOME]],Tabella1[Gf])</f>
        <v>0</v>
      </c>
      <c r="P359" s="40">
        <f>-(SUMIF(Tabella1[Nome],Tabella4[[#This Row],[NOME]],Tabella1[Gs]))</f>
        <v>0</v>
      </c>
      <c r="Q359" s="40">
        <f>SUMIF(Tabella1[Nome],Tabella4[[#This Row],[NOME]],Tabella1[Rp])</f>
        <v>0</v>
      </c>
      <c r="R359" s="40">
        <f>SUMIF(Tabella1[Nome],Tabella4[[#This Row],[NOME]],Tabella1[Rs])</f>
        <v>0</v>
      </c>
      <c r="S359" s="40">
        <f>SUMIF(Tabella1[Nome],Tabella4[[#This Row],[NOME]],Tabella1[Rf])</f>
        <v>0</v>
      </c>
      <c r="T359" s="40">
        <f>SUMIF(Tabella1[Nome],Tabella4[[#This Row],[NOME]],Tabella1[Au])</f>
        <v>0</v>
      </c>
      <c r="U359" s="41">
        <f>SUMIF(Tabella1[Nome],Tabella4[[#This Row],[NOME]],Tabella1[Amm])</f>
        <v>0</v>
      </c>
      <c r="V359" s="42">
        <f>SUMIF(Tabella1[Nome],Tabella4[[#This Row],[NOME]],Tabella1[Esp])</f>
        <v>0</v>
      </c>
      <c r="W359" s="40">
        <f>SUMIF(Tabella1[Nome],Tabella4[[#This Row],[NOME]],Tabella1[Ass])</f>
        <v>1</v>
      </c>
      <c r="X359" s="40">
        <f>SUMIF(Tabella1[Nome],Tabella4[[#This Row],[NOME]],Tabella1[Gdv])</f>
        <v>0</v>
      </c>
      <c r="Y359" s="40">
        <f>SUMIF(Tabella1[Nome],Tabella4[[#This Row],[NOME]],Tabella1[cl sh])</f>
        <v>0</v>
      </c>
      <c r="Z359" s="270" t="str">
        <f>_xlfn.IFNA(_xlfn.XLOOKUP(CONCATENATE(Z$4,$C359),Tabella1[CONC X VOTI IN TAB GIOC],Tabella1[Voto],""),"")</f>
        <v/>
      </c>
      <c r="AA359" s="270" t="str">
        <f>_xlfn.IFNA(_xlfn.XLOOKUP(CONCATENATE(AA$4,$C359),Tabella1[CONC X VOTI IN TAB GIOC],Tabella1[Voto],""),"")</f>
        <v/>
      </c>
      <c r="AB359" s="270" t="str">
        <f>_xlfn.IFNA(_xlfn.XLOOKUP(CONCATENATE(AB$4,$C359),Tabella1[CONC X VOTI IN TAB GIOC],Tabella1[Voto]),"")</f>
        <v/>
      </c>
      <c r="AC359" s="270" cm="1">
        <f t="array" ref="AC359">_xlfn.IFNA(_xlfn.XLOOKUP(CONCATENATE(AC$4,$C359),INDEX(Tabella1[],0,MATCH("CONC X VOTI IN TAB GIOC",Tabella1[#Headers],0)),INDEX(Tabella1[],0,MATCH("Voto",Tabella1[#Headers],0))),"")</f>
        <v>7</v>
      </c>
      <c r="AD359" s="270" t="str">
        <f>_xlfn.IFNA(_xlfn.XLOOKUP(CONCATENATE(AD$4,$C359),Tabella1[CONC X VOTI IN TAB GIOC],Tabella1[Voto]),"")</f>
        <v/>
      </c>
      <c r="AE359" s="270" t="str">
        <f>_xlfn.IFNA(VLOOKUP(CONCATENATE(AE$4,$C359),'INSER DATA'!$A:$F,6,0),"")</f>
        <v/>
      </c>
      <c r="AF359" s="270" t="str">
        <f>_xlfn.IFNA(VLOOKUP(CONCATENATE(AF$4,$C359),'INSER DATA'!$A:$F,6,0),"")</f>
        <v/>
      </c>
      <c r="AG359" s="270" t="str">
        <f>_xlfn.IFNA(VLOOKUP(CONCATENATE(AG$4,$C359),'INSER DATA'!$A:$F,6,0),"")</f>
        <v/>
      </c>
      <c r="AH359" s="270" t="str">
        <f>_xlfn.IFNA(VLOOKUP(CONCATENATE(AH$4,$C359),'INSER DATA'!$A:$F,7,0),"")</f>
        <v/>
      </c>
      <c r="AI359" s="270" t="str">
        <f>_xlfn.IFNA(VLOOKUP(CONCATENATE(AI$4,$C359),'INSER DATA'!$A:$F,7,0),"")</f>
        <v/>
      </c>
      <c r="AJ359" s="270" t="str">
        <f>_xlfn.IFNA(VLOOKUP(CONCATENATE(AJ$4,$C359),'INSER DATA'!$A:$F,7,0),"")</f>
        <v/>
      </c>
      <c r="AK359" s="270" t="str">
        <f>_xlfn.IFNA(VLOOKUP(CONCATENATE(AK$4,$C359),'INSER DATA'!$A:$F,7,0),"")</f>
        <v/>
      </c>
      <c r="AL359" s="270" t="str">
        <f>_xlfn.IFNA(VLOOKUP(CONCATENATE(AL$4,$C359),'INSER DATA'!$A:$F,7,0),"")</f>
        <v/>
      </c>
      <c r="AM359" s="270" t="str">
        <f>_xlfn.IFNA(VLOOKUP(CONCATENATE(AM$4,$C359),'INSER DATA'!$A:$F,7,0),"")</f>
        <v/>
      </c>
      <c r="AN359" s="270" t="str">
        <f>_xlfn.IFNA(VLOOKUP(CONCATENATE(AN$4,$C359),'INSER DATA'!$A:$F,7,0),"")</f>
        <v/>
      </c>
      <c r="AO359" s="270" t="str">
        <f>_xlfn.IFNA(VLOOKUP(CONCATENATE(AO$4,$C359),'INSER DATA'!$A:$F,7,0),"")</f>
        <v/>
      </c>
      <c r="AP359" s="270" t="str">
        <f>_xlfn.IFNA(VLOOKUP(CONCATENATE(AP$4,$C359),'INSER DATA'!$A:$F,7,0),"")</f>
        <v/>
      </c>
      <c r="AQ359" s="270" t="str">
        <f>_xlfn.IFNA(VLOOKUP(CONCATENATE(AQ$4,$C359),'INSER DATA'!$A:$F,7,0),"")</f>
        <v/>
      </c>
      <c r="AR359" s="270" t="str">
        <f>_xlfn.IFNA(VLOOKUP(CONCATENATE(AR$4,$C359),'INSER DATA'!$A:$F,7,0),"")</f>
        <v/>
      </c>
      <c r="AS359" s="270" t="str">
        <f>_xlfn.IFNA(VLOOKUP(CONCATENATE(AS$4,$C359),'INSER DATA'!$A:$F,7,0),"")</f>
        <v/>
      </c>
      <c r="AT359" s="270" t="str">
        <f>_xlfn.IFNA(VLOOKUP(CONCATENATE(AT$4,$C359),'INSER DATA'!$A:$F,7,0),"")</f>
        <v/>
      </c>
      <c r="AU359" s="270" t="str">
        <f>_xlfn.IFNA(VLOOKUP(CONCATENATE(AU$4,$C359),'INSER DATA'!$A:$F,7,0),"")</f>
        <v/>
      </c>
      <c r="AV359" s="270" t="str">
        <f>_xlfn.IFNA(VLOOKUP(CONCATENATE(AV$4,$C359),'INSER DATA'!$A:$F,7,0),"")</f>
        <v/>
      </c>
      <c r="AW359" s="270" t="str">
        <f>_xlfn.IFNA(VLOOKUP(CONCATENATE(AW$4,$C359),'INSER DATA'!$A:$F,7,0),"")</f>
        <v/>
      </c>
      <c r="AX359" s="270" t="str">
        <f>_xlfn.IFNA(VLOOKUP(CONCATENATE(AX$4,$C359),'INSER DATA'!$A:$F,7,0),"")</f>
        <v/>
      </c>
      <c r="AY359" s="270" t="str">
        <f>_xlfn.IFNA(VLOOKUP(CONCATENATE(AY$4,$C359),'INSER DATA'!$A:$F,7,0),"")</f>
        <v/>
      </c>
      <c r="AZ359" s="270" t="str">
        <f>_xlfn.IFNA(VLOOKUP(CONCATENATE(AZ$4,$C359),'INSER DATA'!$A:$F,7,0),"")</f>
        <v/>
      </c>
      <c r="BA359" s="270" t="str">
        <f>_xlfn.IFNA(VLOOKUP(CONCATENATE(BA$4,$C359),'INSER DATA'!$A:$F,7,0),"")</f>
        <v/>
      </c>
      <c r="BB359" s="270" t="str">
        <f>_xlfn.IFNA(VLOOKUP(CONCATENATE(BB$4,$C359),'INSER DATA'!$A:$F,7,0),"")</f>
        <v/>
      </c>
      <c r="BC359" s="270" t="str">
        <f>_xlfn.IFNA(VLOOKUP(CONCATENATE(BC$4,$C359),'INSER DATA'!$A:$F,7,0),"")</f>
        <v/>
      </c>
      <c r="BD359" s="270" t="str">
        <f>_xlfn.IFNA(VLOOKUP(CONCATENATE(BD$4,$C359),'INSER DATA'!$A:$F,7,0),"")</f>
        <v/>
      </c>
      <c r="BE359" s="270" t="str">
        <f>_xlfn.IFNA(VLOOKUP(CONCATENATE(BE$4,$C359),'INSER DATA'!$A:$F,7,0),"")</f>
        <v/>
      </c>
      <c r="BF359" s="270" t="str">
        <f>_xlfn.IFNA(VLOOKUP(CONCATENATE(BF$4,$C359),'INSER DATA'!$A:$F,7,0),"")</f>
        <v/>
      </c>
      <c r="BG359" s="270" t="str">
        <f>_xlfn.IFNA(VLOOKUP(CONCATENATE(BG$4,$C359),'INSER DATA'!$A:$F,7,0),"")</f>
        <v/>
      </c>
      <c r="BH359" s="270" t="str">
        <f>_xlfn.IFNA(VLOOKUP(CONCATENATE(BH$4,$C359),'INSER DATA'!$A:$F,7,0),"")</f>
        <v/>
      </c>
      <c r="BI359" s="270" t="str">
        <f>_xlfn.IFNA(VLOOKUP(CONCATENATE(BI$4,$C359),'INSER DATA'!$A:$F,7,0),"")</f>
        <v/>
      </c>
      <c r="BJ359" s="270" t="str">
        <f>_xlfn.IFNA(VLOOKUP(CONCATENATE(BJ$4,$C359),'INSER DATA'!$A:$F,7,0),"")</f>
        <v/>
      </c>
      <c r="BK359" s="270" t="str">
        <f>_xlfn.IFNA(VLOOKUP(CONCATENATE(BK$4,$C359),'INSER DATA'!$A:$F,7,0),"")</f>
        <v/>
      </c>
      <c r="BL359" s="272"/>
      <c r="BM359" s="30"/>
      <c r="BN359" s="30"/>
      <c r="BO359" s="30"/>
      <c r="BP359" s="30"/>
      <c r="BQ359" s="30"/>
      <c r="BR359" s="30"/>
      <c r="BS359" s="30"/>
      <c r="BT359" s="30"/>
      <c r="BU359" s="30"/>
      <c r="BV359" s="30"/>
      <c r="BW359" s="30"/>
      <c r="BX359" s="30"/>
      <c r="BY359" s="30"/>
      <c r="BZ359" s="30"/>
      <c r="CA359" s="30"/>
      <c r="CB359" s="30"/>
      <c r="CC359" s="30"/>
      <c r="CD359" s="30"/>
      <c r="CE359" s="30"/>
      <c r="CF359" s="30"/>
      <c r="CG359" s="30"/>
      <c r="CH359" s="30"/>
      <c r="CI359" s="30"/>
      <c r="CJ359" s="30"/>
      <c r="CK359" s="30"/>
      <c r="CL359" s="30"/>
      <c r="CM359" s="30"/>
      <c r="CN359" s="30"/>
      <c r="CO359" s="30"/>
      <c r="CP359" s="30"/>
      <c r="CQ359" s="30"/>
      <c r="CR359" s="30"/>
      <c r="CS359" s="30"/>
      <c r="CT359" s="30"/>
      <c r="CU359" s="30"/>
      <c r="CV359" s="30"/>
      <c r="CW359" s="30"/>
      <c r="CX359" s="30"/>
      <c r="CY359" s="30"/>
      <c r="CZ359" s="30"/>
      <c r="DA359" s="30"/>
    </row>
    <row r="360" spans="1:105" ht="19.2" thickTop="1" thickBot="1" x14ac:dyDescent="0.4">
      <c r="A360" s="30"/>
      <c r="B360" s="30"/>
      <c r="C360" s="188" t="s">
        <v>862</v>
      </c>
      <c r="D360" s="46" t="s">
        <v>860</v>
      </c>
      <c r="E360" s="35" t="str">
        <f>_xlfn.XLOOKUP(Tabella4[[#This Row],[NOME]],'ROSE SQUADRE'!$N$3:$N$253,'ROSE SQUADRE'!$O$3:$O$253,"")</f>
        <v/>
      </c>
      <c r="F360" s="36" t="s">
        <v>161</v>
      </c>
      <c r="G360" s="43">
        <v>1</v>
      </c>
      <c r="H360" s="43">
        <v>1</v>
      </c>
      <c r="I360" s="44">
        <f t="shared" si="31"/>
        <v>0</v>
      </c>
      <c r="J360" s="37">
        <f t="shared" si="32"/>
        <v>0</v>
      </c>
      <c r="K360" s="38">
        <f t="shared" si="33"/>
        <v>0</v>
      </c>
      <c r="L360" s="38">
        <f t="shared" si="34"/>
        <v>0</v>
      </c>
      <c r="M360" s="39">
        <f t="shared" si="35"/>
        <v>0</v>
      </c>
      <c r="N360" s="45">
        <f t="shared" ca="1" si="36"/>
        <v>0</v>
      </c>
      <c r="O360" s="40">
        <f>SUMIF(Tabella1[Nome],Tabella4[[#This Row],[NOME]],Tabella1[Gf])</f>
        <v>0</v>
      </c>
      <c r="P360" s="40">
        <f>-(SUMIF(Tabella1[Nome],Tabella4[[#This Row],[NOME]],Tabella1[Gs]))</f>
        <v>0</v>
      </c>
      <c r="Q360" s="40">
        <f>SUMIF(Tabella1[Nome],Tabella4[[#This Row],[NOME]],Tabella1[Rp])</f>
        <v>0</v>
      </c>
      <c r="R360" s="40">
        <f>SUMIF(Tabella1[Nome],Tabella4[[#This Row],[NOME]],Tabella1[Rs])</f>
        <v>0</v>
      </c>
      <c r="S360" s="40">
        <f>SUMIF(Tabella1[Nome],Tabella4[[#This Row],[NOME]],Tabella1[Rf])</f>
        <v>0</v>
      </c>
      <c r="T360" s="40">
        <f>SUMIF(Tabella1[Nome],Tabella4[[#This Row],[NOME]],Tabella1[Au])</f>
        <v>0</v>
      </c>
      <c r="U360" s="41">
        <f>SUMIF(Tabella1[Nome],Tabella4[[#This Row],[NOME]],Tabella1[Amm])</f>
        <v>0</v>
      </c>
      <c r="V360" s="42">
        <f>SUMIF(Tabella1[Nome],Tabella4[[#This Row],[NOME]],Tabella1[Esp])</f>
        <v>0</v>
      </c>
      <c r="W360" s="40">
        <f>SUMIF(Tabella1[Nome],Tabella4[[#This Row],[NOME]],Tabella1[Ass])</f>
        <v>0</v>
      </c>
      <c r="X360" s="40">
        <f>SUMIF(Tabella1[Nome],Tabella4[[#This Row],[NOME]],Tabella1[Gdv])</f>
        <v>0</v>
      </c>
      <c r="Y360" s="40">
        <f>SUMIF(Tabella1[Nome],Tabella4[[#This Row],[NOME]],Tabella1[cl sh])</f>
        <v>0</v>
      </c>
      <c r="Z360" s="270" t="str">
        <f>_xlfn.IFNA(_xlfn.XLOOKUP(CONCATENATE(Z$4,$C360),Tabella1[CONC X VOTI IN TAB GIOC],Tabella1[Voto],""),"")</f>
        <v/>
      </c>
      <c r="AA360" s="270" t="str">
        <f>_xlfn.IFNA(_xlfn.XLOOKUP(CONCATENATE(AA$4,$C360),Tabella1[CONC X VOTI IN TAB GIOC],Tabella1[Voto],""),"")</f>
        <v/>
      </c>
      <c r="AB360" s="270" t="str">
        <f>_xlfn.IFNA(_xlfn.XLOOKUP(CONCATENATE(AB$4,$C360),Tabella1[CONC X VOTI IN TAB GIOC],Tabella1[Voto]),"")</f>
        <v/>
      </c>
      <c r="AC360" s="270" t="str" cm="1">
        <f t="array" ref="AC360">_xlfn.IFNA(_xlfn.XLOOKUP(CONCATENATE(AC$4,$C360),INDEX(Tabella1[],0,MATCH("CONC X VOTI IN TAB GIOC",Tabella1[#Headers],0)),INDEX(Tabella1[],0,MATCH("Voto",Tabella1[#Headers],0))),"")</f>
        <v/>
      </c>
      <c r="AD360" s="270" t="str">
        <f>_xlfn.IFNA(_xlfn.XLOOKUP(CONCATENATE(AD$4,$C360),Tabella1[CONC X VOTI IN TAB GIOC],Tabella1[Voto]),"")</f>
        <v/>
      </c>
      <c r="AE360" s="270" t="str">
        <f>_xlfn.IFNA(VLOOKUP(CONCATENATE(AE$4,$C360),'INSER DATA'!$A:$F,6,0),"")</f>
        <v/>
      </c>
      <c r="AF360" s="270" t="str">
        <f>_xlfn.IFNA(VLOOKUP(CONCATENATE(AF$4,$C360),'INSER DATA'!$A:$F,6,0),"")</f>
        <v/>
      </c>
      <c r="AG360" s="270" t="str">
        <f>_xlfn.IFNA(VLOOKUP(CONCATENATE(AG$4,$C360),'INSER DATA'!$A:$F,6,0),"")</f>
        <v/>
      </c>
      <c r="AH360" s="270" t="str">
        <f>_xlfn.IFNA(VLOOKUP(CONCATENATE(AH$4,$C360),'INSER DATA'!$A:$F,7,0),"")</f>
        <v/>
      </c>
      <c r="AI360" s="270" t="str">
        <f>_xlfn.IFNA(VLOOKUP(CONCATENATE(AI$4,$C360),'INSER DATA'!$A:$F,7,0),"")</f>
        <v/>
      </c>
      <c r="AJ360" s="270" t="str">
        <f>_xlfn.IFNA(VLOOKUP(CONCATENATE(AJ$4,$C360),'INSER DATA'!$A:$F,7,0),"")</f>
        <v/>
      </c>
      <c r="AK360" s="270" t="str">
        <f>_xlfn.IFNA(VLOOKUP(CONCATENATE(AK$4,$C360),'INSER DATA'!$A:$F,7,0),"")</f>
        <v/>
      </c>
      <c r="AL360" s="270" t="str">
        <f>_xlfn.IFNA(VLOOKUP(CONCATENATE(AL$4,$C360),'INSER DATA'!$A:$F,7,0),"")</f>
        <v/>
      </c>
      <c r="AM360" s="270" t="str">
        <f>_xlfn.IFNA(VLOOKUP(CONCATENATE(AM$4,$C360),'INSER DATA'!$A:$F,7,0),"")</f>
        <v/>
      </c>
      <c r="AN360" s="270" t="str">
        <f>_xlfn.IFNA(VLOOKUP(CONCATENATE(AN$4,$C360),'INSER DATA'!$A:$F,7,0),"")</f>
        <v/>
      </c>
      <c r="AO360" s="270" t="str">
        <f>_xlfn.IFNA(VLOOKUP(CONCATENATE(AO$4,$C360),'INSER DATA'!$A:$F,7,0),"")</f>
        <v/>
      </c>
      <c r="AP360" s="270" t="str">
        <f>_xlfn.IFNA(VLOOKUP(CONCATENATE(AP$4,$C360),'INSER DATA'!$A:$F,7,0),"")</f>
        <v/>
      </c>
      <c r="AQ360" s="270" t="str">
        <f>_xlfn.IFNA(VLOOKUP(CONCATENATE(AQ$4,$C360),'INSER DATA'!$A:$F,7,0),"")</f>
        <v/>
      </c>
      <c r="AR360" s="270" t="str">
        <f>_xlfn.IFNA(VLOOKUP(CONCATENATE(AR$4,$C360),'INSER DATA'!$A:$F,7,0),"")</f>
        <v/>
      </c>
      <c r="AS360" s="270" t="str">
        <f>_xlfn.IFNA(VLOOKUP(CONCATENATE(AS$4,$C360),'INSER DATA'!$A:$F,7,0),"")</f>
        <v/>
      </c>
      <c r="AT360" s="270" t="str">
        <f>_xlfn.IFNA(VLOOKUP(CONCATENATE(AT$4,$C360),'INSER DATA'!$A:$F,7,0),"")</f>
        <v/>
      </c>
      <c r="AU360" s="270" t="str">
        <f>_xlfn.IFNA(VLOOKUP(CONCATENATE(AU$4,$C360),'INSER DATA'!$A:$F,7,0),"")</f>
        <v/>
      </c>
      <c r="AV360" s="270" t="str">
        <f>_xlfn.IFNA(VLOOKUP(CONCATENATE(AV$4,$C360),'INSER DATA'!$A:$F,7,0),"")</f>
        <v/>
      </c>
      <c r="AW360" s="270" t="str">
        <f>_xlfn.IFNA(VLOOKUP(CONCATENATE(AW$4,$C360),'INSER DATA'!$A:$F,7,0),"")</f>
        <v/>
      </c>
      <c r="AX360" s="270" t="str">
        <f>_xlfn.IFNA(VLOOKUP(CONCATENATE(AX$4,$C360),'INSER DATA'!$A:$F,7,0),"")</f>
        <v/>
      </c>
      <c r="AY360" s="270" t="str">
        <f>_xlfn.IFNA(VLOOKUP(CONCATENATE(AY$4,$C360),'INSER DATA'!$A:$F,7,0),"")</f>
        <v/>
      </c>
      <c r="AZ360" s="270" t="str">
        <f>_xlfn.IFNA(VLOOKUP(CONCATENATE(AZ$4,$C360),'INSER DATA'!$A:$F,7,0),"")</f>
        <v/>
      </c>
      <c r="BA360" s="270" t="str">
        <f>_xlfn.IFNA(VLOOKUP(CONCATENATE(BA$4,$C360),'INSER DATA'!$A:$F,7,0),"")</f>
        <v/>
      </c>
      <c r="BB360" s="270" t="str">
        <f>_xlfn.IFNA(VLOOKUP(CONCATENATE(BB$4,$C360),'INSER DATA'!$A:$F,7,0),"")</f>
        <v/>
      </c>
      <c r="BC360" s="270" t="str">
        <f>_xlfn.IFNA(VLOOKUP(CONCATENATE(BC$4,$C360),'INSER DATA'!$A:$F,7,0),"")</f>
        <v/>
      </c>
      <c r="BD360" s="270" t="str">
        <f>_xlfn.IFNA(VLOOKUP(CONCATENATE(BD$4,$C360),'INSER DATA'!$A:$F,7,0),"")</f>
        <v/>
      </c>
      <c r="BE360" s="270" t="str">
        <f>_xlfn.IFNA(VLOOKUP(CONCATENATE(BE$4,$C360),'INSER DATA'!$A:$F,7,0),"")</f>
        <v/>
      </c>
      <c r="BF360" s="270" t="str">
        <f>_xlfn.IFNA(VLOOKUP(CONCATENATE(BF$4,$C360),'INSER DATA'!$A:$F,7,0),"")</f>
        <v/>
      </c>
      <c r="BG360" s="270" t="str">
        <f>_xlfn.IFNA(VLOOKUP(CONCATENATE(BG$4,$C360),'INSER DATA'!$A:$F,7,0),"")</f>
        <v/>
      </c>
      <c r="BH360" s="270" t="str">
        <f>_xlfn.IFNA(VLOOKUP(CONCATENATE(BH$4,$C360),'INSER DATA'!$A:$F,7,0),"")</f>
        <v/>
      </c>
      <c r="BI360" s="270" t="str">
        <f>_xlfn.IFNA(VLOOKUP(CONCATENATE(BI$4,$C360),'INSER DATA'!$A:$F,7,0),"")</f>
        <v/>
      </c>
      <c r="BJ360" s="270" t="str">
        <f>_xlfn.IFNA(VLOOKUP(CONCATENATE(BJ$4,$C360),'INSER DATA'!$A:$F,7,0),"")</f>
        <v/>
      </c>
      <c r="BK360" s="270" t="str">
        <f>_xlfn.IFNA(VLOOKUP(CONCATENATE(BK$4,$C360),'INSER DATA'!$A:$F,7,0),"")</f>
        <v/>
      </c>
      <c r="BL360" s="272"/>
      <c r="BM360" s="30"/>
      <c r="BN360" s="30"/>
      <c r="BO360" s="30"/>
      <c r="BP360" s="30"/>
      <c r="BQ360" s="30"/>
      <c r="BR360" s="30"/>
      <c r="BS360" s="30"/>
      <c r="BT360" s="30"/>
      <c r="BU360" s="30"/>
      <c r="BV360" s="30"/>
      <c r="BW360" s="30"/>
      <c r="BX360" s="30"/>
      <c r="BY360" s="30"/>
      <c r="BZ360" s="30"/>
      <c r="CA360" s="30"/>
      <c r="CB360" s="30"/>
      <c r="CC360" s="30"/>
      <c r="CD360" s="30"/>
      <c r="CE360" s="30"/>
      <c r="CF360" s="30"/>
      <c r="CG360" s="30"/>
      <c r="CH360" s="30"/>
      <c r="CI360" s="30"/>
      <c r="CJ360" s="30"/>
      <c r="CK360" s="30"/>
      <c r="CL360" s="30"/>
      <c r="CM360" s="30"/>
      <c r="CN360" s="30"/>
      <c r="CO360" s="30"/>
      <c r="CP360" s="30"/>
      <c r="CQ360" s="30"/>
      <c r="CR360" s="30"/>
      <c r="CS360" s="30"/>
      <c r="CT360" s="30"/>
      <c r="CU360" s="30"/>
      <c r="CV360" s="30"/>
      <c r="CW360" s="30"/>
      <c r="CX360" s="30"/>
      <c r="CY360" s="30"/>
      <c r="CZ360" s="30"/>
      <c r="DA360" s="30"/>
    </row>
    <row r="361" spans="1:105" ht="19.2" thickTop="1" thickBot="1" x14ac:dyDescent="0.4">
      <c r="A361" s="30"/>
      <c r="B361" s="30"/>
      <c r="C361" s="188" t="s">
        <v>300</v>
      </c>
      <c r="D361" s="187" t="s">
        <v>860</v>
      </c>
      <c r="E361" s="35" t="str">
        <f>_xlfn.XLOOKUP(Tabella4[[#This Row],[NOME]],'ROSE SQUADRE'!$N$3:$N$253,'ROSE SQUADRE'!$O$3:$O$253,"")</f>
        <v/>
      </c>
      <c r="F361" s="36" t="s">
        <v>161</v>
      </c>
      <c r="G361" s="43">
        <v>1</v>
      </c>
      <c r="H361" s="43">
        <v>1</v>
      </c>
      <c r="I361" s="44">
        <f t="shared" si="31"/>
        <v>0</v>
      </c>
      <c r="J361" s="37">
        <f t="shared" si="32"/>
        <v>0</v>
      </c>
      <c r="K361" s="178">
        <f t="shared" si="33"/>
        <v>0</v>
      </c>
      <c r="L361" s="178">
        <f t="shared" si="34"/>
        <v>0</v>
      </c>
      <c r="M361" s="179">
        <f t="shared" si="35"/>
        <v>0</v>
      </c>
      <c r="N361" s="45">
        <f t="shared" ca="1" si="36"/>
        <v>0</v>
      </c>
      <c r="O361" s="40">
        <f>SUMIF(Tabella1[Nome],Tabella4[[#This Row],[NOME]],Tabella1[Gf])</f>
        <v>0</v>
      </c>
      <c r="P361" s="40">
        <f>-(SUMIF(Tabella1[Nome],Tabella4[[#This Row],[NOME]],Tabella1[Gs]))</f>
        <v>0</v>
      </c>
      <c r="Q361" s="40">
        <f>SUMIF(Tabella1[Nome],Tabella4[[#This Row],[NOME]],Tabella1[Rp])</f>
        <v>0</v>
      </c>
      <c r="R361" s="40">
        <f>SUMIF(Tabella1[Nome],Tabella4[[#This Row],[NOME]],Tabella1[Rs])</f>
        <v>0</v>
      </c>
      <c r="S361" s="40">
        <f>SUMIF(Tabella1[Nome],Tabella4[[#This Row],[NOME]],Tabella1[Rf])</f>
        <v>0</v>
      </c>
      <c r="T361" s="40">
        <f>SUMIF(Tabella1[Nome],Tabella4[[#This Row],[NOME]],Tabella1[Au])</f>
        <v>0</v>
      </c>
      <c r="U361" s="41">
        <f>SUMIF(Tabella1[Nome],Tabella4[[#This Row],[NOME]],Tabella1[Amm])</f>
        <v>0</v>
      </c>
      <c r="V361" s="42">
        <f>SUMIF(Tabella1[Nome],Tabella4[[#This Row],[NOME]],Tabella1[Esp])</f>
        <v>0</v>
      </c>
      <c r="W361" s="40">
        <f>SUMIF(Tabella1[Nome],Tabella4[[#This Row],[NOME]],Tabella1[Ass])</f>
        <v>0</v>
      </c>
      <c r="X361" s="40">
        <f>SUMIF(Tabella1[Nome],Tabella4[[#This Row],[NOME]],Tabella1[Gdv])</f>
        <v>0</v>
      </c>
      <c r="Y361" s="40">
        <f>SUMIF(Tabella1[Nome],Tabella4[[#This Row],[NOME]],Tabella1[cl sh])</f>
        <v>0</v>
      </c>
      <c r="Z361" s="270" t="str">
        <f>_xlfn.IFNA(_xlfn.XLOOKUP(CONCATENATE(Z$4,$C361),Tabella1[CONC X VOTI IN TAB GIOC],Tabella1[Voto],""),"")</f>
        <v/>
      </c>
      <c r="AA361" s="270" t="str">
        <f>_xlfn.IFNA(_xlfn.XLOOKUP(CONCATENATE(AA$4,$C361),Tabella1[CONC X VOTI IN TAB GIOC],Tabella1[Voto],""),"")</f>
        <v/>
      </c>
      <c r="AB361" s="270" t="str">
        <f>_xlfn.IFNA(_xlfn.XLOOKUP(CONCATENATE(AB$4,$C361),Tabella1[CONC X VOTI IN TAB GIOC],Tabella1[Voto]),"")</f>
        <v/>
      </c>
      <c r="AC361" s="270" t="str" cm="1">
        <f t="array" ref="AC361">_xlfn.IFNA(_xlfn.XLOOKUP(CONCATENATE(AC$4,$C361),INDEX(Tabella1[],0,MATCH("CONC X VOTI IN TAB GIOC",Tabella1[#Headers],0)),INDEX(Tabella1[],0,MATCH("Voto",Tabella1[#Headers],0))),"")</f>
        <v/>
      </c>
      <c r="AD361" s="270" t="str">
        <f>_xlfn.IFNA(_xlfn.XLOOKUP(CONCATENATE(AD$4,$C361),Tabella1[CONC X VOTI IN TAB GIOC],Tabella1[Voto]),"")</f>
        <v/>
      </c>
      <c r="AE361" s="270" t="str">
        <f>_xlfn.IFNA(VLOOKUP(CONCATENATE(AE$4,$C361),'INSER DATA'!$A:$F,6,0),"")</f>
        <v/>
      </c>
      <c r="AF361" s="270" t="str">
        <f>_xlfn.IFNA(VLOOKUP(CONCATENATE(AF$4,$C361),'INSER DATA'!$A:$F,6,0),"")</f>
        <v/>
      </c>
      <c r="AG361" s="270" t="str">
        <f>_xlfn.IFNA(VLOOKUP(CONCATENATE(AG$4,$C361),'INSER DATA'!$A:$F,6,0),"")</f>
        <v/>
      </c>
      <c r="AH361" s="270" t="str">
        <f>_xlfn.IFNA(VLOOKUP(CONCATENATE(AH$4,$C361),'INSER DATA'!$A:$F,7,0),"")</f>
        <v/>
      </c>
      <c r="AI361" s="270" t="str">
        <f>_xlfn.IFNA(VLOOKUP(CONCATENATE(AI$4,$C361),'INSER DATA'!$A:$F,7,0),"")</f>
        <v/>
      </c>
      <c r="AJ361" s="270" t="str">
        <f>_xlfn.IFNA(VLOOKUP(CONCATENATE(AJ$4,$C361),'INSER DATA'!$A:$F,7,0),"")</f>
        <v/>
      </c>
      <c r="AK361" s="270" t="str">
        <f>_xlfn.IFNA(VLOOKUP(CONCATENATE(AK$4,$C361),'INSER DATA'!$A:$F,7,0),"")</f>
        <v/>
      </c>
      <c r="AL361" s="270" t="str">
        <f>_xlfn.IFNA(VLOOKUP(CONCATENATE(AL$4,$C361),'INSER DATA'!$A:$F,7,0),"")</f>
        <v/>
      </c>
      <c r="AM361" s="270" t="str">
        <f>_xlfn.IFNA(VLOOKUP(CONCATENATE(AM$4,$C361),'INSER DATA'!$A:$F,7,0),"")</f>
        <v/>
      </c>
      <c r="AN361" s="270" t="str">
        <f>_xlfn.IFNA(VLOOKUP(CONCATENATE(AN$4,$C361),'INSER DATA'!$A:$F,7,0),"")</f>
        <v/>
      </c>
      <c r="AO361" s="270" t="str">
        <f>_xlfn.IFNA(VLOOKUP(CONCATENATE(AO$4,$C361),'INSER DATA'!$A:$F,7,0),"")</f>
        <v/>
      </c>
      <c r="AP361" s="270" t="str">
        <f>_xlfn.IFNA(VLOOKUP(CONCATENATE(AP$4,$C361),'INSER DATA'!$A:$F,7,0),"")</f>
        <v/>
      </c>
      <c r="AQ361" s="270" t="str">
        <f>_xlfn.IFNA(VLOOKUP(CONCATENATE(AQ$4,$C361),'INSER DATA'!$A:$F,7,0),"")</f>
        <v/>
      </c>
      <c r="AR361" s="270" t="str">
        <f>_xlfn.IFNA(VLOOKUP(CONCATENATE(AR$4,$C361),'INSER DATA'!$A:$F,7,0),"")</f>
        <v/>
      </c>
      <c r="AS361" s="270" t="str">
        <f>_xlfn.IFNA(VLOOKUP(CONCATENATE(AS$4,$C361),'INSER DATA'!$A:$F,7,0),"")</f>
        <v/>
      </c>
      <c r="AT361" s="270" t="str">
        <f>_xlfn.IFNA(VLOOKUP(CONCATENATE(AT$4,$C361),'INSER DATA'!$A:$F,7,0),"")</f>
        <v/>
      </c>
      <c r="AU361" s="270" t="str">
        <f>_xlfn.IFNA(VLOOKUP(CONCATENATE(AU$4,$C361),'INSER DATA'!$A:$F,7,0),"")</f>
        <v/>
      </c>
      <c r="AV361" s="270" t="str">
        <f>_xlfn.IFNA(VLOOKUP(CONCATENATE(AV$4,$C361),'INSER DATA'!$A:$F,7,0),"")</f>
        <v/>
      </c>
      <c r="AW361" s="270" t="str">
        <f>_xlfn.IFNA(VLOOKUP(CONCATENATE(AW$4,$C361),'INSER DATA'!$A:$F,7,0),"")</f>
        <v/>
      </c>
      <c r="AX361" s="270" t="str">
        <f>_xlfn.IFNA(VLOOKUP(CONCATENATE(AX$4,$C361),'INSER DATA'!$A:$F,7,0),"")</f>
        <v/>
      </c>
      <c r="AY361" s="270" t="str">
        <f>_xlfn.IFNA(VLOOKUP(CONCATENATE(AY$4,$C361),'INSER DATA'!$A:$F,7,0),"")</f>
        <v/>
      </c>
      <c r="AZ361" s="270" t="str">
        <f>_xlfn.IFNA(VLOOKUP(CONCATENATE(AZ$4,$C361),'INSER DATA'!$A:$F,7,0),"")</f>
        <v/>
      </c>
      <c r="BA361" s="270" t="str">
        <f>_xlfn.IFNA(VLOOKUP(CONCATENATE(BA$4,$C361),'INSER DATA'!$A:$F,7,0),"")</f>
        <v/>
      </c>
      <c r="BB361" s="270" t="str">
        <f>_xlfn.IFNA(VLOOKUP(CONCATENATE(BB$4,$C361),'INSER DATA'!$A:$F,7,0),"")</f>
        <v/>
      </c>
      <c r="BC361" s="270" t="str">
        <f>_xlfn.IFNA(VLOOKUP(CONCATENATE(BC$4,$C361),'INSER DATA'!$A:$F,7,0),"")</f>
        <v/>
      </c>
      <c r="BD361" s="270" t="str">
        <f>_xlfn.IFNA(VLOOKUP(CONCATENATE(BD$4,$C361),'INSER DATA'!$A:$F,7,0),"")</f>
        <v/>
      </c>
      <c r="BE361" s="270" t="str">
        <f>_xlfn.IFNA(VLOOKUP(CONCATENATE(BE$4,$C361),'INSER DATA'!$A:$F,7,0),"")</f>
        <v/>
      </c>
      <c r="BF361" s="270" t="str">
        <f>_xlfn.IFNA(VLOOKUP(CONCATENATE(BF$4,$C361),'INSER DATA'!$A:$F,7,0),"")</f>
        <v/>
      </c>
      <c r="BG361" s="270" t="str">
        <f>_xlfn.IFNA(VLOOKUP(CONCATENATE(BG$4,$C361),'INSER DATA'!$A:$F,7,0),"")</f>
        <v/>
      </c>
      <c r="BH361" s="270" t="str">
        <f>_xlfn.IFNA(VLOOKUP(CONCATENATE(BH$4,$C361),'INSER DATA'!$A:$F,7,0),"")</f>
        <v/>
      </c>
      <c r="BI361" s="270" t="str">
        <f>_xlfn.IFNA(VLOOKUP(CONCATENATE(BI$4,$C361),'INSER DATA'!$A:$F,7,0),"")</f>
        <v/>
      </c>
      <c r="BJ361" s="270" t="str">
        <f>_xlfn.IFNA(VLOOKUP(CONCATENATE(BJ$4,$C361),'INSER DATA'!$A:$F,7,0),"")</f>
        <v/>
      </c>
      <c r="BK361" s="270" t="str">
        <f>_xlfn.IFNA(VLOOKUP(CONCATENATE(BK$4,$C361),'INSER DATA'!$A:$F,7,0),"")</f>
        <v/>
      </c>
      <c r="BL361" s="272"/>
      <c r="BM361" s="30"/>
      <c r="BN361" s="30"/>
      <c r="BO361" s="30"/>
      <c r="BP361" s="30"/>
      <c r="BQ361" s="30"/>
      <c r="BR361" s="30"/>
      <c r="BS361" s="30"/>
      <c r="BT361" s="30"/>
      <c r="BU361" s="30"/>
      <c r="BV361" s="30"/>
      <c r="BW361" s="30"/>
      <c r="BX361" s="30"/>
      <c r="BY361" s="30"/>
      <c r="BZ361" s="30"/>
      <c r="CA361" s="30"/>
      <c r="CB361" s="30"/>
      <c r="CC361" s="30"/>
      <c r="CD361" s="30"/>
      <c r="CE361" s="30"/>
      <c r="CF361" s="30"/>
      <c r="CG361" s="30"/>
      <c r="CH361" s="30"/>
      <c r="CI361" s="30"/>
      <c r="CJ361" s="30"/>
      <c r="CK361" s="30"/>
      <c r="CL361" s="30"/>
      <c r="CM361" s="30"/>
      <c r="CN361" s="30"/>
      <c r="CO361" s="30"/>
      <c r="CP361" s="30"/>
      <c r="CQ361" s="30"/>
      <c r="CR361" s="30"/>
      <c r="CS361" s="30"/>
      <c r="CT361" s="30"/>
      <c r="CU361" s="30"/>
      <c r="CV361" s="30"/>
      <c r="CW361" s="30"/>
      <c r="CX361" s="30"/>
      <c r="CY361" s="30"/>
      <c r="CZ361" s="30"/>
      <c r="DA361" s="30"/>
    </row>
    <row r="362" spans="1:105" s="184" customFormat="1" ht="19.2" thickTop="1" thickBot="1" x14ac:dyDescent="0.4">
      <c r="C362" s="185" t="s">
        <v>866</v>
      </c>
      <c r="D362" s="187" t="s">
        <v>860</v>
      </c>
      <c r="E362" s="35" t="str">
        <f>_xlfn.XLOOKUP(Tabella4[[#This Row],[NOME]],'ROSE SQUADRE'!$N$3:$N$253,'ROSE SQUADRE'!$O$3:$O$253,"")</f>
        <v/>
      </c>
      <c r="F362" s="36" t="s">
        <v>162</v>
      </c>
      <c r="G362" s="43">
        <v>3</v>
      </c>
      <c r="H362" s="43">
        <v>3</v>
      </c>
      <c r="I362" s="44">
        <f t="shared" si="31"/>
        <v>0</v>
      </c>
      <c r="J362" s="37">
        <f t="shared" si="32"/>
        <v>1</v>
      </c>
      <c r="K362" s="38">
        <f t="shared" si="33"/>
        <v>6</v>
      </c>
      <c r="L362" s="38">
        <f t="shared" si="34"/>
        <v>6</v>
      </c>
      <c r="M362" s="39">
        <f t="shared" si="35"/>
        <v>6</v>
      </c>
      <c r="N362" s="45">
        <f t="shared" ca="1" si="36"/>
        <v>0</v>
      </c>
      <c r="O362" s="40">
        <f>SUMIF(Tabella1[Nome],Tabella4[[#This Row],[NOME]],Tabella1[Gf])</f>
        <v>0</v>
      </c>
      <c r="P362" s="40">
        <f>-(SUMIF(Tabella1[Nome],Tabella4[[#This Row],[NOME]],Tabella1[Gs]))</f>
        <v>0</v>
      </c>
      <c r="Q362" s="40">
        <f>SUMIF(Tabella1[Nome],Tabella4[[#This Row],[NOME]],Tabella1[Rp])</f>
        <v>0</v>
      </c>
      <c r="R362" s="40">
        <f>SUMIF(Tabella1[Nome],Tabella4[[#This Row],[NOME]],Tabella1[Rs])</f>
        <v>0</v>
      </c>
      <c r="S362" s="40">
        <f>SUMIF(Tabella1[Nome],Tabella4[[#This Row],[NOME]],Tabella1[Rf])</f>
        <v>0</v>
      </c>
      <c r="T362" s="40">
        <f>SUMIF(Tabella1[Nome],Tabella4[[#This Row],[NOME]],Tabella1[Au])</f>
        <v>0</v>
      </c>
      <c r="U362" s="41">
        <f>SUMIF(Tabella1[Nome],Tabella4[[#This Row],[NOME]],Tabella1[Amm])</f>
        <v>0</v>
      </c>
      <c r="V362" s="42">
        <f>SUMIF(Tabella1[Nome],Tabella4[[#This Row],[NOME]],Tabella1[Esp])</f>
        <v>0</v>
      </c>
      <c r="W362" s="40">
        <f>SUMIF(Tabella1[Nome],Tabella4[[#This Row],[NOME]],Tabella1[Ass])</f>
        <v>0</v>
      </c>
      <c r="X362" s="40">
        <f>SUMIF(Tabella1[Nome],Tabella4[[#This Row],[NOME]],Tabella1[Gdv])</f>
        <v>0</v>
      </c>
      <c r="Y362" s="40">
        <f>SUMIF(Tabella1[Nome],Tabella4[[#This Row],[NOME]],Tabella1[cl sh])</f>
        <v>0</v>
      </c>
      <c r="Z362" s="270" t="str">
        <f>_xlfn.IFNA(_xlfn.XLOOKUP(CONCATENATE(Z$4,$C362),Tabella1[CONC X VOTI IN TAB GIOC],Tabella1[Voto],""),"")</f>
        <v/>
      </c>
      <c r="AA362" s="270" t="str">
        <f>_xlfn.IFNA(_xlfn.XLOOKUP(CONCATENATE(AA$4,$C362),Tabella1[CONC X VOTI IN TAB GIOC],Tabella1[Voto],""),"")</f>
        <v/>
      </c>
      <c r="AB362" s="270" t="str">
        <f>_xlfn.IFNA(_xlfn.XLOOKUP(CONCATENATE(AB$4,$C362),Tabella1[CONC X VOTI IN TAB GIOC],Tabella1[Voto]),"")</f>
        <v/>
      </c>
      <c r="AC362" s="270" cm="1">
        <f t="array" ref="AC362">_xlfn.IFNA(_xlfn.XLOOKUP(CONCATENATE(AC$4,$C362),INDEX(Tabella1[],0,MATCH("CONC X VOTI IN TAB GIOC",Tabella1[#Headers],0)),INDEX(Tabella1[],0,MATCH("Voto",Tabella1[#Headers],0))),"")</f>
        <v>6</v>
      </c>
      <c r="AD362" s="270" t="str">
        <f>_xlfn.IFNA(_xlfn.XLOOKUP(CONCATENATE(AD$4,$C362),Tabella1[CONC X VOTI IN TAB GIOC],Tabella1[Voto]),"")</f>
        <v/>
      </c>
      <c r="AE362" s="270" t="str">
        <f>_xlfn.IFNA(VLOOKUP(CONCATENATE(AE$4,$C362),'INSER DATA'!$A:$F,6,0),"")</f>
        <v/>
      </c>
      <c r="AF362" s="270" t="str">
        <f>_xlfn.IFNA(VLOOKUP(CONCATENATE(AF$4,$C362),'INSER DATA'!$A:$F,6,0),"")</f>
        <v/>
      </c>
      <c r="AG362" s="270" t="str">
        <f>_xlfn.IFNA(VLOOKUP(CONCATENATE(AG$4,$C362),'INSER DATA'!$A:$F,6,0),"")</f>
        <v/>
      </c>
      <c r="AH362" s="270" t="str">
        <f>_xlfn.IFNA(VLOOKUP(CONCATENATE(AH$4,$C362),'INSER DATA'!$A:$F,7,0),"")</f>
        <v/>
      </c>
      <c r="AI362" s="270" t="str">
        <f>_xlfn.IFNA(VLOOKUP(CONCATENATE(AI$4,$C362),'INSER DATA'!$A:$F,7,0),"")</f>
        <v/>
      </c>
      <c r="AJ362" s="270" t="str">
        <f>_xlfn.IFNA(VLOOKUP(CONCATENATE(AJ$4,$C362),'INSER DATA'!$A:$F,7,0),"")</f>
        <v/>
      </c>
      <c r="AK362" s="270" t="str">
        <f>_xlfn.IFNA(VLOOKUP(CONCATENATE(AK$4,$C362),'INSER DATA'!$A:$F,7,0),"")</f>
        <v/>
      </c>
      <c r="AL362" s="270" t="str">
        <f>_xlfn.IFNA(VLOOKUP(CONCATENATE(AL$4,$C362),'INSER DATA'!$A:$F,7,0),"")</f>
        <v/>
      </c>
      <c r="AM362" s="270" t="str">
        <f>_xlfn.IFNA(VLOOKUP(CONCATENATE(AM$4,$C362),'INSER DATA'!$A:$F,7,0),"")</f>
        <v/>
      </c>
      <c r="AN362" s="270" t="str">
        <f>_xlfn.IFNA(VLOOKUP(CONCATENATE(AN$4,$C362),'INSER DATA'!$A:$F,7,0),"")</f>
        <v/>
      </c>
      <c r="AO362" s="270" t="str">
        <f>_xlfn.IFNA(VLOOKUP(CONCATENATE(AO$4,$C362),'INSER DATA'!$A:$F,7,0),"")</f>
        <v/>
      </c>
      <c r="AP362" s="270" t="str">
        <f>_xlfn.IFNA(VLOOKUP(CONCATENATE(AP$4,$C362),'INSER DATA'!$A:$F,7,0),"")</f>
        <v/>
      </c>
      <c r="AQ362" s="270" t="str">
        <f>_xlfn.IFNA(VLOOKUP(CONCATENATE(AQ$4,$C362),'INSER DATA'!$A:$F,7,0),"")</f>
        <v/>
      </c>
      <c r="AR362" s="270" t="str">
        <f>_xlfn.IFNA(VLOOKUP(CONCATENATE(AR$4,$C362),'INSER DATA'!$A:$F,7,0),"")</f>
        <v/>
      </c>
      <c r="AS362" s="270" t="str">
        <f>_xlfn.IFNA(VLOOKUP(CONCATENATE(AS$4,$C362),'INSER DATA'!$A:$F,7,0),"")</f>
        <v/>
      </c>
      <c r="AT362" s="270" t="str">
        <f>_xlfn.IFNA(VLOOKUP(CONCATENATE(AT$4,$C362),'INSER DATA'!$A:$F,7,0),"")</f>
        <v/>
      </c>
      <c r="AU362" s="270" t="str">
        <f>_xlfn.IFNA(VLOOKUP(CONCATENATE(AU$4,$C362),'INSER DATA'!$A:$F,7,0),"")</f>
        <v/>
      </c>
      <c r="AV362" s="270" t="str">
        <f>_xlfn.IFNA(VLOOKUP(CONCATENATE(AV$4,$C362),'INSER DATA'!$A:$F,7,0),"")</f>
        <v/>
      </c>
      <c r="AW362" s="270" t="str">
        <f>_xlfn.IFNA(VLOOKUP(CONCATENATE(AW$4,$C362),'INSER DATA'!$A:$F,7,0),"")</f>
        <v/>
      </c>
      <c r="AX362" s="270" t="str">
        <f>_xlfn.IFNA(VLOOKUP(CONCATENATE(AX$4,$C362),'INSER DATA'!$A:$F,7,0),"")</f>
        <v/>
      </c>
      <c r="AY362" s="270" t="str">
        <f>_xlfn.IFNA(VLOOKUP(CONCATENATE(AY$4,$C362),'INSER DATA'!$A:$F,7,0),"")</f>
        <v/>
      </c>
      <c r="AZ362" s="270" t="str">
        <f>_xlfn.IFNA(VLOOKUP(CONCATENATE(AZ$4,$C362),'INSER DATA'!$A:$F,7,0),"")</f>
        <v/>
      </c>
      <c r="BA362" s="270" t="str">
        <f>_xlfn.IFNA(VLOOKUP(CONCATENATE(BA$4,$C362),'INSER DATA'!$A:$F,7,0),"")</f>
        <v/>
      </c>
      <c r="BB362" s="270" t="str">
        <f>_xlfn.IFNA(VLOOKUP(CONCATENATE(BB$4,$C362),'INSER DATA'!$A:$F,7,0),"")</f>
        <v/>
      </c>
      <c r="BC362" s="270" t="str">
        <f>_xlfn.IFNA(VLOOKUP(CONCATENATE(BC$4,$C362),'INSER DATA'!$A:$F,7,0),"")</f>
        <v/>
      </c>
      <c r="BD362" s="270" t="str">
        <f>_xlfn.IFNA(VLOOKUP(CONCATENATE(BD$4,$C362),'INSER DATA'!$A:$F,7,0),"")</f>
        <v/>
      </c>
      <c r="BE362" s="270" t="str">
        <f>_xlfn.IFNA(VLOOKUP(CONCATENATE(BE$4,$C362),'INSER DATA'!$A:$F,7,0),"")</f>
        <v/>
      </c>
      <c r="BF362" s="270" t="str">
        <f>_xlfn.IFNA(VLOOKUP(CONCATENATE(BF$4,$C362),'INSER DATA'!$A:$F,7,0),"")</f>
        <v/>
      </c>
      <c r="BG362" s="270" t="str">
        <f>_xlfn.IFNA(VLOOKUP(CONCATENATE(BG$4,$C362),'INSER DATA'!$A:$F,7,0),"")</f>
        <v/>
      </c>
      <c r="BH362" s="270" t="str">
        <f>_xlfn.IFNA(VLOOKUP(CONCATENATE(BH$4,$C362),'INSER DATA'!$A:$F,7,0),"")</f>
        <v/>
      </c>
      <c r="BI362" s="270" t="str">
        <f>_xlfn.IFNA(VLOOKUP(CONCATENATE(BI$4,$C362),'INSER DATA'!$A:$F,7,0),"")</f>
        <v/>
      </c>
      <c r="BJ362" s="270" t="str">
        <f>_xlfn.IFNA(VLOOKUP(CONCATENATE(BJ$4,$C362),'INSER DATA'!$A:$F,7,0),"")</f>
        <v/>
      </c>
      <c r="BK362" s="270" t="str">
        <f>_xlfn.IFNA(VLOOKUP(CONCATENATE(BK$4,$C362),'INSER DATA'!$A:$F,7,0),"")</f>
        <v/>
      </c>
      <c r="BL362" s="272"/>
    </row>
    <row r="363" spans="1:105" s="184" customFormat="1" ht="19.2" thickTop="1" thickBot="1" x14ac:dyDescent="0.4">
      <c r="C363" s="354" t="s">
        <v>869</v>
      </c>
      <c r="D363" s="357" t="s">
        <v>860</v>
      </c>
      <c r="E363" s="35" t="str">
        <f>_xlfn.XLOOKUP(Tabella4[[#This Row],[NOME]],'ROSE SQUADRE'!$N$3:$N$253,'ROSE SQUADRE'!$O$3:$O$253,"")</f>
        <v>SESTO ASENSIO</v>
      </c>
      <c r="F363" s="36" t="s">
        <v>163</v>
      </c>
      <c r="G363" s="43">
        <v>4</v>
      </c>
      <c r="H363" s="43">
        <v>4</v>
      </c>
      <c r="I363" s="44">
        <f t="shared" si="31"/>
        <v>0</v>
      </c>
      <c r="J363" s="37">
        <f t="shared" si="32"/>
        <v>0</v>
      </c>
      <c r="K363" s="178">
        <f t="shared" si="33"/>
        <v>0</v>
      </c>
      <c r="L363" s="178">
        <f t="shared" si="34"/>
        <v>0</v>
      </c>
      <c r="M363" s="179">
        <f t="shared" si="35"/>
        <v>0</v>
      </c>
      <c r="N363" s="45">
        <f t="shared" ca="1" si="36"/>
        <v>0</v>
      </c>
      <c r="O363" s="40">
        <f>SUMIF(Tabella1[Nome],Tabella4[[#This Row],[NOME]],Tabella1[Gf])</f>
        <v>0</v>
      </c>
      <c r="P363" s="40">
        <f>-(SUMIF(Tabella1[Nome],Tabella4[[#This Row],[NOME]],Tabella1[Gs]))</f>
        <v>0</v>
      </c>
      <c r="Q363" s="40">
        <f>SUMIF(Tabella1[Nome],Tabella4[[#This Row],[NOME]],Tabella1[Rp])</f>
        <v>0</v>
      </c>
      <c r="R363" s="40">
        <f>SUMIF(Tabella1[Nome],Tabella4[[#This Row],[NOME]],Tabella1[Rs])</f>
        <v>0</v>
      </c>
      <c r="S363" s="40">
        <f>SUMIF(Tabella1[Nome],Tabella4[[#This Row],[NOME]],Tabella1[Rf])</f>
        <v>0</v>
      </c>
      <c r="T363" s="40">
        <f>SUMIF(Tabella1[Nome],Tabella4[[#This Row],[NOME]],Tabella1[Au])</f>
        <v>0</v>
      </c>
      <c r="U363" s="41">
        <f>SUMIF(Tabella1[Nome],Tabella4[[#This Row],[NOME]],Tabella1[Amm])</f>
        <v>0</v>
      </c>
      <c r="V363" s="42">
        <f>SUMIF(Tabella1[Nome],Tabella4[[#This Row],[NOME]],Tabella1[Esp])</f>
        <v>0</v>
      </c>
      <c r="W363" s="40">
        <f>SUMIF(Tabella1[Nome],Tabella4[[#This Row],[NOME]],Tabella1[Ass])</f>
        <v>0</v>
      </c>
      <c r="X363" s="40">
        <f>SUMIF(Tabella1[Nome],Tabella4[[#This Row],[NOME]],Tabella1[Gdv])</f>
        <v>0</v>
      </c>
      <c r="Y363" s="40">
        <f>SUMIF(Tabella1[Nome],Tabella4[[#This Row],[NOME]],Tabella1[cl sh])</f>
        <v>0</v>
      </c>
      <c r="Z363" s="270" t="str">
        <f>_xlfn.IFNA(_xlfn.XLOOKUP(CONCATENATE(Z$4,$C363),Tabella1[CONC X VOTI IN TAB GIOC],Tabella1[Voto],""),"")</f>
        <v/>
      </c>
      <c r="AA363" s="270" t="str">
        <f>_xlfn.IFNA(_xlfn.XLOOKUP(CONCATENATE(AA$4,$C363),Tabella1[CONC X VOTI IN TAB GIOC],Tabella1[Voto],""),"")</f>
        <v/>
      </c>
      <c r="AB363" s="270" t="str">
        <f>_xlfn.IFNA(_xlfn.XLOOKUP(CONCATENATE(AB$4,$C363),Tabella1[CONC X VOTI IN TAB GIOC],Tabella1[Voto]),"")</f>
        <v/>
      </c>
      <c r="AC363" s="270" t="str" cm="1">
        <f t="array" ref="AC363">_xlfn.IFNA(_xlfn.XLOOKUP(CONCATENATE(AC$4,$C363),INDEX(Tabella1[],0,MATCH("CONC X VOTI IN TAB GIOC",Tabella1[#Headers],0)),INDEX(Tabella1[],0,MATCH("Voto",Tabella1[#Headers],0))),"")</f>
        <v/>
      </c>
      <c r="AD363" s="270" t="str">
        <f>_xlfn.IFNA(_xlfn.XLOOKUP(CONCATENATE(AD$4,$C363),Tabella1[CONC X VOTI IN TAB GIOC],Tabella1[Voto]),"")</f>
        <v/>
      </c>
      <c r="AE363" s="270" t="str">
        <f>_xlfn.IFNA(VLOOKUP(CONCATENATE(AE$4,$C363),'INSER DATA'!$A:$F,6,0),"")</f>
        <v/>
      </c>
      <c r="AF363" s="270" t="str">
        <f>_xlfn.IFNA(VLOOKUP(CONCATENATE(AF$4,$C363),'INSER DATA'!$A:$F,6,0),"")</f>
        <v/>
      </c>
      <c r="AG363" s="270" t="str">
        <f>_xlfn.IFNA(VLOOKUP(CONCATENATE(AG$4,$C363),'INSER DATA'!$A:$F,6,0),"")</f>
        <v/>
      </c>
      <c r="AH363" s="270" t="str">
        <f>_xlfn.IFNA(VLOOKUP(CONCATENATE(AH$4,$C363),'INSER DATA'!$A:$F,7,0),"")</f>
        <v/>
      </c>
      <c r="AI363" s="270" t="str">
        <f>_xlfn.IFNA(VLOOKUP(CONCATENATE(AI$4,$C363),'INSER DATA'!$A:$F,7,0),"")</f>
        <v/>
      </c>
      <c r="AJ363" s="270" t="str">
        <f>_xlfn.IFNA(VLOOKUP(CONCATENATE(AJ$4,$C363),'INSER DATA'!$A:$F,7,0),"")</f>
        <v/>
      </c>
      <c r="AK363" s="270" t="str">
        <f>_xlfn.IFNA(VLOOKUP(CONCATENATE(AK$4,$C363),'INSER DATA'!$A:$F,7,0),"")</f>
        <v/>
      </c>
      <c r="AL363" s="270" t="str">
        <f>_xlfn.IFNA(VLOOKUP(CONCATENATE(AL$4,$C363),'INSER DATA'!$A:$F,7,0),"")</f>
        <v/>
      </c>
      <c r="AM363" s="270" t="str">
        <f>_xlfn.IFNA(VLOOKUP(CONCATENATE(AM$4,$C363),'INSER DATA'!$A:$F,7,0),"")</f>
        <v/>
      </c>
      <c r="AN363" s="270" t="str">
        <f>_xlfn.IFNA(VLOOKUP(CONCATENATE(AN$4,$C363),'INSER DATA'!$A:$F,7,0),"")</f>
        <v/>
      </c>
      <c r="AO363" s="270" t="str">
        <f>_xlfn.IFNA(VLOOKUP(CONCATENATE(AO$4,$C363),'INSER DATA'!$A:$F,7,0),"")</f>
        <v/>
      </c>
      <c r="AP363" s="270" t="str">
        <f>_xlfn.IFNA(VLOOKUP(CONCATENATE(AP$4,$C363),'INSER DATA'!$A:$F,7,0),"")</f>
        <v/>
      </c>
      <c r="AQ363" s="270" t="str">
        <f>_xlfn.IFNA(VLOOKUP(CONCATENATE(AQ$4,$C363),'INSER DATA'!$A:$F,7,0),"")</f>
        <v/>
      </c>
      <c r="AR363" s="270" t="str">
        <f>_xlfn.IFNA(VLOOKUP(CONCATENATE(AR$4,$C363),'INSER DATA'!$A:$F,7,0),"")</f>
        <v/>
      </c>
      <c r="AS363" s="270" t="str">
        <f>_xlfn.IFNA(VLOOKUP(CONCATENATE(AS$4,$C363),'INSER DATA'!$A:$F,7,0),"")</f>
        <v/>
      </c>
      <c r="AT363" s="270" t="str">
        <f>_xlfn.IFNA(VLOOKUP(CONCATENATE(AT$4,$C363),'INSER DATA'!$A:$F,7,0),"")</f>
        <v/>
      </c>
      <c r="AU363" s="270" t="str">
        <f>_xlfn.IFNA(VLOOKUP(CONCATENATE(AU$4,$C363),'INSER DATA'!$A:$F,7,0),"")</f>
        <v/>
      </c>
      <c r="AV363" s="270" t="str">
        <f>_xlfn.IFNA(VLOOKUP(CONCATENATE(AV$4,$C363),'INSER DATA'!$A:$F,7,0),"")</f>
        <v/>
      </c>
      <c r="AW363" s="270" t="str">
        <f>_xlfn.IFNA(VLOOKUP(CONCATENATE(AW$4,$C363),'INSER DATA'!$A:$F,7,0),"")</f>
        <v/>
      </c>
      <c r="AX363" s="270" t="str">
        <f>_xlfn.IFNA(VLOOKUP(CONCATENATE(AX$4,$C363),'INSER DATA'!$A:$F,7,0),"")</f>
        <v/>
      </c>
      <c r="AY363" s="270" t="str">
        <f>_xlfn.IFNA(VLOOKUP(CONCATENATE(AY$4,$C363),'INSER DATA'!$A:$F,7,0),"")</f>
        <v/>
      </c>
      <c r="AZ363" s="270" t="str">
        <f>_xlfn.IFNA(VLOOKUP(CONCATENATE(AZ$4,$C363),'INSER DATA'!$A:$F,7,0),"")</f>
        <v/>
      </c>
      <c r="BA363" s="270" t="str">
        <f>_xlfn.IFNA(VLOOKUP(CONCATENATE(BA$4,$C363),'INSER DATA'!$A:$F,7,0),"")</f>
        <v/>
      </c>
      <c r="BB363" s="270" t="str">
        <f>_xlfn.IFNA(VLOOKUP(CONCATENATE(BB$4,$C363),'INSER DATA'!$A:$F,7,0),"")</f>
        <v/>
      </c>
      <c r="BC363" s="270" t="str">
        <f>_xlfn.IFNA(VLOOKUP(CONCATENATE(BC$4,$C363),'INSER DATA'!$A:$F,7,0),"")</f>
        <v/>
      </c>
      <c r="BD363" s="270" t="str">
        <f>_xlfn.IFNA(VLOOKUP(CONCATENATE(BD$4,$C363),'INSER DATA'!$A:$F,7,0),"")</f>
        <v/>
      </c>
      <c r="BE363" s="270" t="str">
        <f>_xlfn.IFNA(VLOOKUP(CONCATENATE(BE$4,$C363),'INSER DATA'!$A:$F,7,0),"")</f>
        <v/>
      </c>
      <c r="BF363" s="270" t="str">
        <f>_xlfn.IFNA(VLOOKUP(CONCATENATE(BF$4,$C363),'INSER DATA'!$A:$F,7,0),"")</f>
        <v/>
      </c>
      <c r="BG363" s="270" t="str">
        <f>_xlfn.IFNA(VLOOKUP(CONCATENATE(BG$4,$C363),'INSER DATA'!$A:$F,7,0),"")</f>
        <v/>
      </c>
      <c r="BH363" s="270" t="str">
        <f>_xlfn.IFNA(VLOOKUP(CONCATENATE(BH$4,$C363),'INSER DATA'!$A:$F,7,0),"")</f>
        <v/>
      </c>
      <c r="BI363" s="270" t="str">
        <f>_xlfn.IFNA(VLOOKUP(CONCATENATE(BI$4,$C363),'INSER DATA'!$A:$F,7,0),"")</f>
        <v/>
      </c>
      <c r="BJ363" s="270" t="str">
        <f>_xlfn.IFNA(VLOOKUP(CONCATENATE(BJ$4,$C363),'INSER DATA'!$A:$F,7,0),"")</f>
        <v/>
      </c>
      <c r="BK363" s="270" t="str">
        <f>_xlfn.IFNA(VLOOKUP(CONCATENATE(BK$4,$C363),'INSER DATA'!$A:$F,7,0),"")</f>
        <v/>
      </c>
      <c r="BL363" s="272"/>
    </row>
    <row r="364" spans="1:105" ht="19.2" thickTop="1" thickBot="1" x14ac:dyDescent="0.4">
      <c r="A364" s="30"/>
      <c r="B364" s="30"/>
      <c r="C364" s="356" t="s">
        <v>618</v>
      </c>
      <c r="D364" s="355" t="s">
        <v>860</v>
      </c>
      <c r="E364" s="35" t="str">
        <f>_xlfn.XLOOKUP(Tabella4[[#This Row],[NOME]],'ROSE SQUADRE'!$N$3:$N$253,'ROSE SQUADRE'!$O$3:$O$253,"")</f>
        <v>SHARK</v>
      </c>
      <c r="F364" s="36" t="s">
        <v>163</v>
      </c>
      <c r="G364" s="43">
        <v>6</v>
      </c>
      <c r="H364" s="43">
        <v>6</v>
      </c>
      <c r="I364" s="44">
        <f t="shared" si="31"/>
        <v>0</v>
      </c>
      <c r="J364" s="37">
        <f t="shared" si="32"/>
        <v>1</v>
      </c>
      <c r="K364" s="38">
        <f t="shared" si="33"/>
        <v>5.5</v>
      </c>
      <c r="L364" s="38">
        <f t="shared" si="34"/>
        <v>5.5</v>
      </c>
      <c r="M364" s="39">
        <f t="shared" si="35"/>
        <v>5.5</v>
      </c>
      <c r="N364" s="45">
        <f t="shared" ca="1" si="36"/>
        <v>0</v>
      </c>
      <c r="O364" s="40">
        <f>SUMIF(Tabella1[Nome],Tabella4[[#This Row],[NOME]],Tabella1[Gf])</f>
        <v>0</v>
      </c>
      <c r="P364" s="40">
        <f>-(SUMIF(Tabella1[Nome],Tabella4[[#This Row],[NOME]],Tabella1[Gs]))</f>
        <v>0</v>
      </c>
      <c r="Q364" s="40">
        <f>SUMIF(Tabella1[Nome],Tabella4[[#This Row],[NOME]],Tabella1[Rp])</f>
        <v>0</v>
      </c>
      <c r="R364" s="40">
        <f>SUMIF(Tabella1[Nome],Tabella4[[#This Row],[NOME]],Tabella1[Rs])</f>
        <v>0</v>
      </c>
      <c r="S364" s="40">
        <f>SUMIF(Tabella1[Nome],Tabella4[[#This Row],[NOME]],Tabella1[Rf])</f>
        <v>0</v>
      </c>
      <c r="T364" s="40">
        <f>SUMIF(Tabella1[Nome],Tabella4[[#This Row],[NOME]],Tabella1[Au])</f>
        <v>0</v>
      </c>
      <c r="U364" s="41">
        <f>SUMIF(Tabella1[Nome],Tabella4[[#This Row],[NOME]],Tabella1[Amm])</f>
        <v>0</v>
      </c>
      <c r="V364" s="42">
        <f>SUMIF(Tabella1[Nome],Tabella4[[#This Row],[NOME]],Tabella1[Esp])</f>
        <v>0</v>
      </c>
      <c r="W364" s="40">
        <f>SUMIF(Tabella1[Nome],Tabella4[[#This Row],[NOME]],Tabella1[Ass])</f>
        <v>0</v>
      </c>
      <c r="X364" s="40">
        <f>SUMIF(Tabella1[Nome],Tabella4[[#This Row],[NOME]],Tabella1[Gdv])</f>
        <v>0</v>
      </c>
      <c r="Y364" s="40">
        <f>SUMIF(Tabella1[Nome],Tabella4[[#This Row],[NOME]],Tabella1[cl sh])</f>
        <v>0</v>
      </c>
      <c r="Z364" s="270" t="str">
        <f>_xlfn.IFNA(_xlfn.XLOOKUP(CONCATENATE(Z$4,$C364),Tabella1[CONC X VOTI IN TAB GIOC],Tabella1[Voto],""),"")</f>
        <v/>
      </c>
      <c r="AA364" s="270" t="str">
        <f>_xlfn.IFNA(_xlfn.XLOOKUP(CONCATENATE(AA$4,$C364),Tabella1[CONC X VOTI IN TAB GIOC],Tabella1[Voto],""),"")</f>
        <v/>
      </c>
      <c r="AB364" s="270">
        <f>_xlfn.IFNA(_xlfn.XLOOKUP(CONCATENATE(AB$4,$C364),Tabella1[CONC X VOTI IN TAB GIOC],Tabella1[Voto]),"")</f>
        <v>5.5</v>
      </c>
      <c r="AC364" s="270" t="str" cm="1">
        <f t="array" ref="AC364">_xlfn.IFNA(_xlfn.XLOOKUP(CONCATENATE(AC$4,$C364),INDEX(Tabella1[],0,MATCH("CONC X VOTI IN TAB GIOC",Tabella1[#Headers],0)),INDEX(Tabella1[],0,MATCH("Voto",Tabella1[#Headers],0))),"")</f>
        <v/>
      </c>
      <c r="AD364" s="270" t="str">
        <f>_xlfn.IFNA(_xlfn.XLOOKUP(CONCATENATE(AD$4,$C364),Tabella1[CONC X VOTI IN TAB GIOC],Tabella1[Voto]),"")</f>
        <v/>
      </c>
      <c r="AE364" s="270" t="str">
        <f>_xlfn.IFNA(VLOOKUP(CONCATENATE(AE$4,$C364),'INSER DATA'!$A:$F,6,0),"")</f>
        <v/>
      </c>
      <c r="AF364" s="270" t="str">
        <f>_xlfn.IFNA(VLOOKUP(CONCATENATE(AF$4,$C364),'INSER DATA'!$A:$F,6,0),"")</f>
        <v/>
      </c>
      <c r="AG364" s="270" t="str">
        <f>_xlfn.IFNA(VLOOKUP(CONCATENATE(AG$4,$C364),'INSER DATA'!$A:$F,6,0),"")</f>
        <v/>
      </c>
      <c r="AH364" s="270" t="str">
        <f>_xlfn.IFNA(VLOOKUP(CONCATENATE(AH$4,$C364),'INSER DATA'!$A:$F,7,0),"")</f>
        <v/>
      </c>
      <c r="AI364" s="270" t="str">
        <f>_xlfn.IFNA(VLOOKUP(CONCATENATE(AI$4,$C364),'INSER DATA'!$A:$F,7,0),"")</f>
        <v/>
      </c>
      <c r="AJ364" s="270" t="str">
        <f>_xlfn.IFNA(VLOOKUP(CONCATENATE(AJ$4,$C364),'INSER DATA'!$A:$F,7,0),"")</f>
        <v/>
      </c>
      <c r="AK364" s="270" t="str">
        <f>_xlfn.IFNA(VLOOKUP(CONCATENATE(AK$4,$C364),'INSER DATA'!$A:$F,7,0),"")</f>
        <v/>
      </c>
      <c r="AL364" s="270" t="str">
        <f>_xlfn.IFNA(VLOOKUP(CONCATENATE(AL$4,$C364),'INSER DATA'!$A:$F,7,0),"")</f>
        <v/>
      </c>
      <c r="AM364" s="270" t="str">
        <f>_xlfn.IFNA(VLOOKUP(CONCATENATE(AM$4,$C364),'INSER DATA'!$A:$F,7,0),"")</f>
        <v/>
      </c>
      <c r="AN364" s="270" t="str">
        <f>_xlfn.IFNA(VLOOKUP(CONCATENATE(AN$4,$C364),'INSER DATA'!$A:$F,7,0),"")</f>
        <v/>
      </c>
      <c r="AO364" s="270" t="str">
        <f>_xlfn.IFNA(VLOOKUP(CONCATENATE(AO$4,$C364),'INSER DATA'!$A:$F,7,0),"")</f>
        <v/>
      </c>
      <c r="AP364" s="270" t="str">
        <f>_xlfn.IFNA(VLOOKUP(CONCATENATE(AP$4,$C364),'INSER DATA'!$A:$F,7,0),"")</f>
        <v/>
      </c>
      <c r="AQ364" s="270" t="str">
        <f>_xlfn.IFNA(VLOOKUP(CONCATENATE(AQ$4,$C364),'INSER DATA'!$A:$F,7,0),"")</f>
        <v/>
      </c>
      <c r="AR364" s="270" t="str">
        <f>_xlfn.IFNA(VLOOKUP(CONCATENATE(AR$4,$C364),'INSER DATA'!$A:$F,7,0),"")</f>
        <v/>
      </c>
      <c r="AS364" s="270" t="str">
        <f>_xlfn.IFNA(VLOOKUP(CONCATENATE(AS$4,$C364),'INSER DATA'!$A:$F,7,0),"")</f>
        <v/>
      </c>
      <c r="AT364" s="270" t="str">
        <f>_xlfn.IFNA(VLOOKUP(CONCATENATE(AT$4,$C364),'INSER DATA'!$A:$F,7,0),"")</f>
        <v/>
      </c>
      <c r="AU364" s="270" t="str">
        <f>_xlfn.IFNA(VLOOKUP(CONCATENATE(AU$4,$C364),'INSER DATA'!$A:$F,7,0),"")</f>
        <v/>
      </c>
      <c r="AV364" s="270" t="str">
        <f>_xlfn.IFNA(VLOOKUP(CONCATENATE(AV$4,$C364),'INSER DATA'!$A:$F,7,0),"")</f>
        <v/>
      </c>
      <c r="AW364" s="270" t="str">
        <f>_xlfn.IFNA(VLOOKUP(CONCATENATE(AW$4,$C364),'INSER DATA'!$A:$F,7,0),"")</f>
        <v/>
      </c>
      <c r="AX364" s="270" t="str">
        <f>_xlfn.IFNA(VLOOKUP(CONCATENATE(AX$4,$C364),'INSER DATA'!$A:$F,7,0),"")</f>
        <v/>
      </c>
      <c r="AY364" s="270" t="str">
        <f>_xlfn.IFNA(VLOOKUP(CONCATENATE(AY$4,$C364),'INSER DATA'!$A:$F,7,0),"")</f>
        <v/>
      </c>
      <c r="AZ364" s="270" t="str">
        <f>_xlfn.IFNA(VLOOKUP(CONCATENATE(AZ$4,$C364),'INSER DATA'!$A:$F,7,0),"")</f>
        <v/>
      </c>
      <c r="BA364" s="270" t="str">
        <f>_xlfn.IFNA(VLOOKUP(CONCATENATE(BA$4,$C364),'INSER DATA'!$A:$F,7,0),"")</f>
        <v/>
      </c>
      <c r="BB364" s="270" t="str">
        <f>_xlfn.IFNA(VLOOKUP(CONCATENATE(BB$4,$C364),'INSER DATA'!$A:$F,7,0),"")</f>
        <v/>
      </c>
      <c r="BC364" s="270" t="str">
        <f>_xlfn.IFNA(VLOOKUP(CONCATENATE(BC$4,$C364),'INSER DATA'!$A:$F,7,0),"")</f>
        <v/>
      </c>
      <c r="BD364" s="270" t="str">
        <f>_xlfn.IFNA(VLOOKUP(CONCATENATE(BD$4,$C364),'INSER DATA'!$A:$F,7,0),"")</f>
        <v/>
      </c>
      <c r="BE364" s="270" t="str">
        <f>_xlfn.IFNA(VLOOKUP(CONCATENATE(BE$4,$C364),'INSER DATA'!$A:$F,7,0),"")</f>
        <v/>
      </c>
      <c r="BF364" s="270" t="str">
        <f>_xlfn.IFNA(VLOOKUP(CONCATENATE(BF$4,$C364),'INSER DATA'!$A:$F,7,0),"")</f>
        <v/>
      </c>
      <c r="BG364" s="270" t="str">
        <f>_xlfn.IFNA(VLOOKUP(CONCATENATE(BG$4,$C364),'INSER DATA'!$A:$F,7,0),"")</f>
        <v/>
      </c>
      <c r="BH364" s="270" t="str">
        <f>_xlfn.IFNA(VLOOKUP(CONCATENATE(BH$4,$C364),'INSER DATA'!$A:$F,7,0),"")</f>
        <v/>
      </c>
      <c r="BI364" s="270" t="str">
        <f>_xlfn.IFNA(VLOOKUP(CONCATENATE(BI$4,$C364),'INSER DATA'!$A:$F,7,0),"")</f>
        <v/>
      </c>
      <c r="BJ364" s="270" t="str">
        <f>_xlfn.IFNA(VLOOKUP(CONCATENATE(BJ$4,$C364),'INSER DATA'!$A:$F,7,0),"")</f>
        <v/>
      </c>
      <c r="BK364" s="270" t="str">
        <f>_xlfn.IFNA(VLOOKUP(CONCATENATE(BK$4,$C364),'INSER DATA'!$A:$F,7,0),"")</f>
        <v/>
      </c>
      <c r="BL364" s="272"/>
      <c r="BM364" s="30"/>
      <c r="BN364" s="30"/>
      <c r="BO364" s="30"/>
      <c r="BP364" s="30"/>
      <c r="BQ364" s="30"/>
      <c r="BR364" s="30"/>
      <c r="BS364" s="30"/>
      <c r="BT364" s="30"/>
      <c r="BU364" s="30"/>
      <c r="BV364" s="30"/>
      <c r="BW364" s="30"/>
      <c r="BX364" s="30"/>
      <c r="BY364" s="30"/>
      <c r="BZ364" s="30"/>
      <c r="CA364" s="30"/>
      <c r="CB364" s="30"/>
      <c r="CC364" s="30"/>
      <c r="CD364" s="30"/>
      <c r="CE364" s="30"/>
      <c r="CF364" s="30"/>
      <c r="CG364" s="30"/>
      <c r="CH364" s="30"/>
      <c r="CI364" s="30"/>
      <c r="CJ364" s="30"/>
      <c r="CK364" s="30"/>
      <c r="CL364" s="30"/>
      <c r="CM364" s="30"/>
      <c r="CN364" s="30"/>
      <c r="CO364" s="30"/>
      <c r="CP364" s="30"/>
      <c r="CQ364" s="30"/>
      <c r="CR364" s="30"/>
      <c r="CS364" s="30"/>
      <c r="CT364" s="30"/>
      <c r="CU364" s="30"/>
      <c r="CV364" s="30"/>
      <c r="CW364" s="30"/>
      <c r="CX364" s="30"/>
      <c r="CY364" s="30"/>
      <c r="CZ364" s="30"/>
      <c r="DA364" s="30"/>
    </row>
    <row r="365" spans="1:105" ht="19.2" thickTop="1" thickBot="1" x14ac:dyDescent="0.4">
      <c r="A365" s="30"/>
      <c r="B365" s="30"/>
      <c r="C365" s="354" t="s">
        <v>891</v>
      </c>
      <c r="D365" s="357" t="s">
        <v>874</v>
      </c>
      <c r="E365" s="35" t="str">
        <f>_xlfn.XLOOKUP(Tabella4[[#This Row],[NOME]],'ROSE SQUADRE'!$N$3:$N$253,'ROSE SQUADRE'!$O$3:$O$253,"")</f>
        <v>AC ASPARAGHESE</v>
      </c>
      <c r="F365" s="36" t="s">
        <v>163</v>
      </c>
      <c r="G365" s="43">
        <v>10</v>
      </c>
      <c r="H365" s="43">
        <v>10</v>
      </c>
      <c r="I365" s="44">
        <f t="shared" si="31"/>
        <v>0</v>
      </c>
      <c r="J365" s="37">
        <f t="shared" si="32"/>
        <v>3</v>
      </c>
      <c r="K365" s="178">
        <f t="shared" si="33"/>
        <v>6.333333333333333</v>
      </c>
      <c r="L365" s="178">
        <f t="shared" si="34"/>
        <v>7.333333333333333</v>
      </c>
      <c r="M365" s="179">
        <f t="shared" si="35"/>
        <v>22</v>
      </c>
      <c r="N365" s="45">
        <f t="shared" ca="1" si="36"/>
        <v>0</v>
      </c>
      <c r="O365" s="40">
        <f>SUMIF(Tabella1[Nome],Tabella4[[#This Row],[NOME]],Tabella1[Gf])</f>
        <v>1</v>
      </c>
      <c r="P365" s="40">
        <f>-(SUMIF(Tabella1[Nome],Tabella4[[#This Row],[NOME]],Tabella1[Gs]))</f>
        <v>0</v>
      </c>
      <c r="Q365" s="40">
        <f>SUMIF(Tabella1[Nome],Tabella4[[#This Row],[NOME]],Tabella1[Rp])</f>
        <v>0</v>
      </c>
      <c r="R365" s="40">
        <f>SUMIF(Tabella1[Nome],Tabella4[[#This Row],[NOME]],Tabella1[Rs])</f>
        <v>0</v>
      </c>
      <c r="S365" s="40">
        <f>SUMIF(Tabella1[Nome],Tabella4[[#This Row],[NOME]],Tabella1[Rf])</f>
        <v>0</v>
      </c>
      <c r="T365" s="40">
        <f>SUMIF(Tabella1[Nome],Tabella4[[#This Row],[NOME]],Tabella1[Au])</f>
        <v>0</v>
      </c>
      <c r="U365" s="41">
        <f>SUMIF(Tabella1[Nome],Tabella4[[#This Row],[NOME]],Tabella1[Amm])</f>
        <v>0</v>
      </c>
      <c r="V365" s="42">
        <f>SUMIF(Tabella1[Nome],Tabella4[[#This Row],[NOME]],Tabella1[Esp])</f>
        <v>0</v>
      </c>
      <c r="W365" s="40">
        <f>SUMIF(Tabella1[Nome],Tabella4[[#This Row],[NOME]],Tabella1[Ass])</f>
        <v>0</v>
      </c>
      <c r="X365" s="40">
        <f>SUMIF(Tabella1[Nome],Tabella4[[#This Row],[NOME]],Tabella1[Gdv])</f>
        <v>0</v>
      </c>
      <c r="Y365" s="40">
        <f>SUMIF(Tabella1[Nome],Tabella4[[#This Row],[NOME]],Tabella1[cl sh])</f>
        <v>0</v>
      </c>
      <c r="Z365" s="270" t="str">
        <f>_xlfn.IFNA(_xlfn.XLOOKUP(CONCATENATE(Z$4,$C365),Tabella1[CONC X VOTI IN TAB GIOC],Tabella1[Voto],""),"")</f>
        <v/>
      </c>
      <c r="AA365" s="270">
        <f>_xlfn.IFNA(_xlfn.XLOOKUP(CONCATENATE(AA$4,$C365),Tabella1[CONC X VOTI IN TAB GIOC],Tabella1[Voto],""),"")</f>
        <v>6.5</v>
      </c>
      <c r="AB365" s="270">
        <f>_xlfn.IFNA(_xlfn.XLOOKUP(CONCATENATE(AB$4,$C365),Tabella1[CONC X VOTI IN TAB GIOC],Tabella1[Voto]),"")</f>
        <v>5.5</v>
      </c>
      <c r="AC365" s="270" cm="1">
        <f t="array" ref="AC365">_xlfn.IFNA(_xlfn.XLOOKUP(CONCATENATE(AC$4,$C365),INDEX(Tabella1[],0,MATCH("CONC X VOTI IN TAB GIOC",Tabella1[#Headers],0)),INDEX(Tabella1[],0,MATCH("Voto",Tabella1[#Headers],0))),"")</f>
        <v>7</v>
      </c>
      <c r="AD365" s="270" t="str">
        <f>_xlfn.IFNA(_xlfn.XLOOKUP(CONCATENATE(AD$4,$C365),Tabella1[CONC X VOTI IN TAB GIOC],Tabella1[Voto]),"")</f>
        <v/>
      </c>
      <c r="AE365" s="270" t="str">
        <f>_xlfn.IFNA(VLOOKUP(CONCATENATE(AE$4,$C365),'INSER DATA'!$A:$F,6,0),"")</f>
        <v/>
      </c>
      <c r="AF365" s="270" t="str">
        <f>_xlfn.IFNA(VLOOKUP(CONCATENATE(AF$4,$C365),'INSER DATA'!$A:$F,6,0),"")</f>
        <v/>
      </c>
      <c r="AG365" s="270" t="str">
        <f>_xlfn.IFNA(VLOOKUP(CONCATENATE(AG$4,$C365),'INSER DATA'!$A:$F,6,0),"")</f>
        <v/>
      </c>
      <c r="AH365" s="270" t="str">
        <f>_xlfn.IFNA(VLOOKUP(CONCATENATE(AH$4,$C365),'INSER DATA'!$A:$F,7,0),"")</f>
        <v/>
      </c>
      <c r="AI365" s="270" t="str">
        <f>_xlfn.IFNA(VLOOKUP(CONCATENATE(AI$4,$C365),'INSER DATA'!$A:$F,7,0),"")</f>
        <v/>
      </c>
      <c r="AJ365" s="270" t="str">
        <f>_xlfn.IFNA(VLOOKUP(CONCATENATE(AJ$4,$C365),'INSER DATA'!$A:$F,7,0),"")</f>
        <v/>
      </c>
      <c r="AK365" s="270" t="str">
        <f>_xlfn.IFNA(VLOOKUP(CONCATENATE(AK$4,$C365),'INSER DATA'!$A:$F,7,0),"")</f>
        <v/>
      </c>
      <c r="AL365" s="270" t="str">
        <f>_xlfn.IFNA(VLOOKUP(CONCATENATE(AL$4,$C365),'INSER DATA'!$A:$F,7,0),"")</f>
        <v/>
      </c>
      <c r="AM365" s="270" t="str">
        <f>_xlfn.IFNA(VLOOKUP(CONCATENATE(AM$4,$C365),'INSER DATA'!$A:$F,7,0),"")</f>
        <v/>
      </c>
      <c r="AN365" s="270" t="str">
        <f>_xlfn.IFNA(VLOOKUP(CONCATENATE(AN$4,$C365),'INSER DATA'!$A:$F,7,0),"")</f>
        <v/>
      </c>
      <c r="AO365" s="270" t="str">
        <f>_xlfn.IFNA(VLOOKUP(CONCATENATE(AO$4,$C365),'INSER DATA'!$A:$F,7,0),"")</f>
        <v/>
      </c>
      <c r="AP365" s="270" t="str">
        <f>_xlfn.IFNA(VLOOKUP(CONCATENATE(AP$4,$C365),'INSER DATA'!$A:$F,7,0),"")</f>
        <v/>
      </c>
      <c r="AQ365" s="270" t="str">
        <f>_xlfn.IFNA(VLOOKUP(CONCATENATE(AQ$4,$C365),'INSER DATA'!$A:$F,7,0),"")</f>
        <v/>
      </c>
      <c r="AR365" s="270" t="str">
        <f>_xlfn.IFNA(VLOOKUP(CONCATENATE(AR$4,$C365),'INSER DATA'!$A:$F,7,0),"")</f>
        <v/>
      </c>
      <c r="AS365" s="270" t="str">
        <f>_xlfn.IFNA(VLOOKUP(CONCATENATE(AS$4,$C365),'INSER DATA'!$A:$F,7,0),"")</f>
        <v/>
      </c>
      <c r="AT365" s="270" t="str">
        <f>_xlfn.IFNA(VLOOKUP(CONCATENATE(AT$4,$C365),'INSER DATA'!$A:$F,7,0),"")</f>
        <v/>
      </c>
      <c r="AU365" s="270" t="str">
        <f>_xlfn.IFNA(VLOOKUP(CONCATENATE(AU$4,$C365),'INSER DATA'!$A:$F,7,0),"")</f>
        <v/>
      </c>
      <c r="AV365" s="270" t="str">
        <f>_xlfn.IFNA(VLOOKUP(CONCATENATE(AV$4,$C365),'INSER DATA'!$A:$F,7,0),"")</f>
        <v/>
      </c>
      <c r="AW365" s="270" t="str">
        <f>_xlfn.IFNA(VLOOKUP(CONCATENATE(AW$4,$C365),'INSER DATA'!$A:$F,7,0),"")</f>
        <v/>
      </c>
      <c r="AX365" s="270" t="str">
        <f>_xlfn.IFNA(VLOOKUP(CONCATENATE(AX$4,$C365),'INSER DATA'!$A:$F,7,0),"")</f>
        <v/>
      </c>
      <c r="AY365" s="270" t="str">
        <f>_xlfn.IFNA(VLOOKUP(CONCATENATE(AY$4,$C365),'INSER DATA'!$A:$F,7,0),"")</f>
        <v/>
      </c>
      <c r="AZ365" s="270" t="str">
        <f>_xlfn.IFNA(VLOOKUP(CONCATENATE(AZ$4,$C365),'INSER DATA'!$A:$F,7,0),"")</f>
        <v/>
      </c>
      <c r="BA365" s="270" t="str">
        <f>_xlfn.IFNA(VLOOKUP(CONCATENATE(BA$4,$C365),'INSER DATA'!$A:$F,7,0),"")</f>
        <v/>
      </c>
      <c r="BB365" s="270" t="str">
        <f>_xlfn.IFNA(VLOOKUP(CONCATENATE(BB$4,$C365),'INSER DATA'!$A:$F,7,0),"")</f>
        <v/>
      </c>
      <c r="BC365" s="270" t="str">
        <f>_xlfn.IFNA(VLOOKUP(CONCATENATE(BC$4,$C365),'INSER DATA'!$A:$F,7,0),"")</f>
        <v/>
      </c>
      <c r="BD365" s="270" t="str">
        <f>_xlfn.IFNA(VLOOKUP(CONCATENATE(BD$4,$C365),'INSER DATA'!$A:$F,7,0),"")</f>
        <v/>
      </c>
      <c r="BE365" s="270" t="str">
        <f>_xlfn.IFNA(VLOOKUP(CONCATENATE(BE$4,$C365),'INSER DATA'!$A:$F,7,0),"")</f>
        <v/>
      </c>
      <c r="BF365" s="270" t="str">
        <f>_xlfn.IFNA(VLOOKUP(CONCATENATE(BF$4,$C365),'INSER DATA'!$A:$F,7,0),"")</f>
        <v/>
      </c>
      <c r="BG365" s="270" t="str">
        <f>_xlfn.IFNA(VLOOKUP(CONCATENATE(BG$4,$C365),'INSER DATA'!$A:$F,7,0),"")</f>
        <v/>
      </c>
      <c r="BH365" s="270" t="str">
        <f>_xlfn.IFNA(VLOOKUP(CONCATENATE(BH$4,$C365),'INSER DATA'!$A:$F,7,0),"")</f>
        <v/>
      </c>
      <c r="BI365" s="270" t="str">
        <f>_xlfn.IFNA(VLOOKUP(CONCATENATE(BI$4,$C365),'INSER DATA'!$A:$F,7,0),"")</f>
        <v/>
      </c>
      <c r="BJ365" s="270" t="str">
        <f>_xlfn.IFNA(VLOOKUP(CONCATENATE(BJ$4,$C365),'INSER DATA'!$A:$F,7,0),"")</f>
        <v/>
      </c>
      <c r="BK365" s="270" t="str">
        <f>_xlfn.IFNA(VLOOKUP(CONCATENATE(BK$4,$C365),'INSER DATA'!$A:$F,7,0),"")</f>
        <v/>
      </c>
      <c r="BL365" s="272"/>
      <c r="BM365" s="30"/>
      <c r="BN365" s="30"/>
      <c r="BO365" s="30"/>
      <c r="BP365" s="30"/>
      <c r="BQ365" s="30"/>
      <c r="BR365" s="30"/>
      <c r="BS365" s="30"/>
      <c r="BT365" s="30"/>
      <c r="BU365" s="30"/>
      <c r="BV365" s="30"/>
      <c r="BW365" s="30"/>
      <c r="BX365" s="30"/>
      <c r="BY365" s="30"/>
      <c r="BZ365" s="30"/>
      <c r="CA365" s="30"/>
      <c r="CB365" s="30"/>
      <c r="CC365" s="30"/>
      <c r="CD365" s="30"/>
      <c r="CE365" s="30"/>
      <c r="CF365" s="30"/>
      <c r="CG365" s="30"/>
      <c r="CH365" s="30"/>
      <c r="CI365" s="30"/>
      <c r="CJ365" s="30"/>
      <c r="CK365" s="30"/>
      <c r="CL365" s="30"/>
      <c r="CM365" s="30"/>
      <c r="CN365" s="30"/>
      <c r="CO365" s="30"/>
      <c r="CP365" s="30"/>
      <c r="CQ365" s="30"/>
      <c r="CR365" s="30"/>
      <c r="CS365" s="30"/>
      <c r="CT365" s="30"/>
      <c r="CU365" s="30"/>
      <c r="CV365" s="30"/>
      <c r="CW365" s="30"/>
      <c r="CX365" s="30"/>
      <c r="CY365" s="30"/>
      <c r="CZ365" s="30"/>
      <c r="DA365" s="30"/>
    </row>
    <row r="366" spans="1:105" ht="19.2" thickTop="1" thickBot="1" x14ac:dyDescent="0.4">
      <c r="A366" s="30"/>
      <c r="B366" s="30"/>
      <c r="C366" s="354" t="s">
        <v>890</v>
      </c>
      <c r="D366" s="357" t="s">
        <v>874</v>
      </c>
      <c r="E366" s="35" t="str">
        <f>_xlfn.XLOOKUP(Tabella4[[#This Row],[NOME]],'ROSE SQUADRE'!$N$3:$N$253,'ROSE SQUADRE'!$O$3:$O$253,"")</f>
        <v>PESCICULINI</v>
      </c>
      <c r="F366" s="36" t="s">
        <v>163</v>
      </c>
      <c r="G366" s="43">
        <v>1</v>
      </c>
      <c r="H366" s="43">
        <v>2</v>
      </c>
      <c r="I366" s="44">
        <f t="shared" si="31"/>
        <v>1</v>
      </c>
      <c r="J366" s="37">
        <f t="shared" si="32"/>
        <v>4</v>
      </c>
      <c r="K366" s="178">
        <f t="shared" si="33"/>
        <v>6.375</v>
      </c>
      <c r="L366" s="178">
        <f t="shared" si="34"/>
        <v>7.125</v>
      </c>
      <c r="M366" s="179">
        <f t="shared" si="35"/>
        <v>28.5</v>
      </c>
      <c r="N366" s="45">
        <f t="shared" ca="1" si="36"/>
        <v>0</v>
      </c>
      <c r="O366" s="40">
        <f>SUMIF(Tabella1[Nome],Tabella4[[#This Row],[NOME]],Tabella1[Gf])</f>
        <v>1</v>
      </c>
      <c r="P366" s="40">
        <f>-(SUMIF(Tabella1[Nome],Tabella4[[#This Row],[NOME]],Tabella1[Gs]))</f>
        <v>0</v>
      </c>
      <c r="Q366" s="40">
        <f>SUMIF(Tabella1[Nome],Tabella4[[#This Row],[NOME]],Tabella1[Rp])</f>
        <v>0</v>
      </c>
      <c r="R366" s="40">
        <f>SUMIF(Tabella1[Nome],Tabella4[[#This Row],[NOME]],Tabella1[Rs])</f>
        <v>0</v>
      </c>
      <c r="S366" s="40">
        <f>SUMIF(Tabella1[Nome],Tabella4[[#This Row],[NOME]],Tabella1[Rf])</f>
        <v>0</v>
      </c>
      <c r="T366" s="40">
        <f>SUMIF(Tabella1[Nome],Tabella4[[#This Row],[NOME]],Tabella1[Au])</f>
        <v>0</v>
      </c>
      <c r="U366" s="41">
        <f>SUMIF(Tabella1[Nome],Tabella4[[#This Row],[NOME]],Tabella1[Amm])</f>
        <v>0</v>
      </c>
      <c r="V366" s="42">
        <f>SUMIF(Tabella1[Nome],Tabella4[[#This Row],[NOME]],Tabella1[Esp])</f>
        <v>0</v>
      </c>
      <c r="W366" s="40">
        <f>SUMIF(Tabella1[Nome],Tabella4[[#This Row],[NOME]],Tabella1[Ass])</f>
        <v>0</v>
      </c>
      <c r="X366" s="40">
        <f>SUMIF(Tabella1[Nome],Tabella4[[#This Row],[NOME]],Tabella1[Gdv])</f>
        <v>0</v>
      </c>
      <c r="Y366" s="40">
        <f>SUMIF(Tabella1[Nome],Tabella4[[#This Row],[NOME]],Tabella1[cl sh])</f>
        <v>0</v>
      </c>
      <c r="Z366" s="270">
        <f>_xlfn.IFNA(_xlfn.XLOOKUP(CONCATENATE(Z$4,$C366),Tabella1[CONC X VOTI IN TAB GIOC],Tabella1[Voto],""),"")</f>
        <v>6.5</v>
      </c>
      <c r="AA366" s="270">
        <f>_xlfn.IFNA(_xlfn.XLOOKUP(CONCATENATE(AA$4,$C366),Tabella1[CONC X VOTI IN TAB GIOC],Tabella1[Voto],""),"")</f>
        <v>6</v>
      </c>
      <c r="AB366" s="270">
        <f>_xlfn.IFNA(_xlfn.XLOOKUP(CONCATENATE(AB$4,$C366),Tabella1[CONC X VOTI IN TAB GIOC],Tabella1[Voto]),"")</f>
        <v>7</v>
      </c>
      <c r="AC366" s="270" cm="1">
        <f t="array" ref="AC366">_xlfn.IFNA(_xlfn.XLOOKUP(CONCATENATE(AC$4,$C366),INDEX(Tabella1[],0,MATCH("CONC X VOTI IN TAB GIOC",Tabella1[#Headers],0)),INDEX(Tabella1[],0,MATCH("Voto",Tabella1[#Headers],0))),"")</f>
        <v>6</v>
      </c>
      <c r="AD366" s="270" t="str">
        <f>_xlfn.IFNA(_xlfn.XLOOKUP(CONCATENATE(AD$4,$C366),Tabella1[CONC X VOTI IN TAB GIOC],Tabella1[Voto]),"")</f>
        <v/>
      </c>
      <c r="AE366" s="270" t="str">
        <f>_xlfn.IFNA(VLOOKUP(CONCATENATE(AE$4,$C366),'INSER DATA'!$A:$F,6,0),"")</f>
        <v/>
      </c>
      <c r="AF366" s="270" t="str">
        <f>_xlfn.IFNA(VLOOKUP(CONCATENATE(AF$4,$C366),'INSER DATA'!$A:$F,6,0),"")</f>
        <v/>
      </c>
      <c r="AG366" s="270" t="str">
        <f>_xlfn.IFNA(VLOOKUP(CONCATENATE(AG$4,$C366),'INSER DATA'!$A:$F,6,0),"")</f>
        <v/>
      </c>
      <c r="AH366" s="270" t="str">
        <f>_xlfn.IFNA(VLOOKUP(CONCATENATE(AH$4,$C366),'INSER DATA'!$A:$F,7,0),"")</f>
        <v/>
      </c>
      <c r="AI366" s="270" t="str">
        <f>_xlfn.IFNA(VLOOKUP(CONCATENATE(AI$4,$C366),'INSER DATA'!$A:$F,7,0),"")</f>
        <v/>
      </c>
      <c r="AJ366" s="270" t="str">
        <f>_xlfn.IFNA(VLOOKUP(CONCATENATE(AJ$4,$C366),'INSER DATA'!$A:$F,7,0),"")</f>
        <v/>
      </c>
      <c r="AK366" s="270" t="str">
        <f>_xlfn.IFNA(VLOOKUP(CONCATENATE(AK$4,$C366),'INSER DATA'!$A:$F,7,0),"")</f>
        <v/>
      </c>
      <c r="AL366" s="270" t="str">
        <f>_xlfn.IFNA(VLOOKUP(CONCATENATE(AL$4,$C366),'INSER DATA'!$A:$F,7,0),"")</f>
        <v/>
      </c>
      <c r="AM366" s="270" t="str">
        <f>_xlfn.IFNA(VLOOKUP(CONCATENATE(AM$4,$C366),'INSER DATA'!$A:$F,7,0),"")</f>
        <v/>
      </c>
      <c r="AN366" s="270" t="str">
        <f>_xlfn.IFNA(VLOOKUP(CONCATENATE(AN$4,$C366),'INSER DATA'!$A:$F,7,0),"")</f>
        <v/>
      </c>
      <c r="AO366" s="270" t="str">
        <f>_xlfn.IFNA(VLOOKUP(CONCATENATE(AO$4,$C366),'INSER DATA'!$A:$F,7,0),"")</f>
        <v/>
      </c>
      <c r="AP366" s="270" t="str">
        <f>_xlfn.IFNA(VLOOKUP(CONCATENATE(AP$4,$C366),'INSER DATA'!$A:$F,7,0),"")</f>
        <v/>
      </c>
      <c r="AQ366" s="270" t="str">
        <f>_xlfn.IFNA(VLOOKUP(CONCATENATE(AQ$4,$C366),'INSER DATA'!$A:$F,7,0),"")</f>
        <v/>
      </c>
      <c r="AR366" s="270" t="str">
        <f>_xlfn.IFNA(VLOOKUP(CONCATENATE(AR$4,$C366),'INSER DATA'!$A:$F,7,0),"")</f>
        <v/>
      </c>
      <c r="AS366" s="270" t="str">
        <f>_xlfn.IFNA(VLOOKUP(CONCATENATE(AS$4,$C366),'INSER DATA'!$A:$F,7,0),"")</f>
        <v/>
      </c>
      <c r="AT366" s="270" t="str">
        <f>_xlfn.IFNA(VLOOKUP(CONCATENATE(AT$4,$C366),'INSER DATA'!$A:$F,7,0),"")</f>
        <v/>
      </c>
      <c r="AU366" s="270" t="str">
        <f>_xlfn.IFNA(VLOOKUP(CONCATENATE(AU$4,$C366),'INSER DATA'!$A:$F,7,0),"")</f>
        <v/>
      </c>
      <c r="AV366" s="270" t="str">
        <f>_xlfn.IFNA(VLOOKUP(CONCATENATE(AV$4,$C366),'INSER DATA'!$A:$F,7,0),"")</f>
        <v/>
      </c>
      <c r="AW366" s="270" t="str">
        <f>_xlfn.IFNA(VLOOKUP(CONCATENATE(AW$4,$C366),'INSER DATA'!$A:$F,7,0),"")</f>
        <v/>
      </c>
      <c r="AX366" s="270" t="str">
        <f>_xlfn.IFNA(VLOOKUP(CONCATENATE(AX$4,$C366),'INSER DATA'!$A:$F,7,0),"")</f>
        <v/>
      </c>
      <c r="AY366" s="270" t="str">
        <f>_xlfn.IFNA(VLOOKUP(CONCATENATE(AY$4,$C366),'INSER DATA'!$A:$F,7,0),"")</f>
        <v/>
      </c>
      <c r="AZ366" s="270" t="str">
        <f>_xlfn.IFNA(VLOOKUP(CONCATENATE(AZ$4,$C366),'INSER DATA'!$A:$F,7,0),"")</f>
        <v/>
      </c>
      <c r="BA366" s="270" t="str">
        <f>_xlfn.IFNA(VLOOKUP(CONCATENATE(BA$4,$C366),'INSER DATA'!$A:$F,7,0),"")</f>
        <v/>
      </c>
      <c r="BB366" s="270" t="str">
        <f>_xlfn.IFNA(VLOOKUP(CONCATENATE(BB$4,$C366),'INSER DATA'!$A:$F,7,0),"")</f>
        <v/>
      </c>
      <c r="BC366" s="270" t="str">
        <f>_xlfn.IFNA(VLOOKUP(CONCATENATE(BC$4,$C366),'INSER DATA'!$A:$F,7,0),"")</f>
        <v/>
      </c>
      <c r="BD366" s="270" t="str">
        <f>_xlfn.IFNA(VLOOKUP(CONCATENATE(BD$4,$C366),'INSER DATA'!$A:$F,7,0),"")</f>
        <v/>
      </c>
      <c r="BE366" s="270" t="str">
        <f>_xlfn.IFNA(VLOOKUP(CONCATENATE(BE$4,$C366),'INSER DATA'!$A:$F,7,0),"")</f>
        <v/>
      </c>
      <c r="BF366" s="270" t="str">
        <f>_xlfn.IFNA(VLOOKUP(CONCATENATE(BF$4,$C366),'INSER DATA'!$A:$F,7,0),"")</f>
        <v/>
      </c>
      <c r="BG366" s="270" t="str">
        <f>_xlfn.IFNA(VLOOKUP(CONCATENATE(BG$4,$C366),'INSER DATA'!$A:$F,7,0),"")</f>
        <v/>
      </c>
      <c r="BH366" s="270" t="str">
        <f>_xlfn.IFNA(VLOOKUP(CONCATENATE(BH$4,$C366),'INSER DATA'!$A:$F,7,0),"")</f>
        <v/>
      </c>
      <c r="BI366" s="270" t="str">
        <f>_xlfn.IFNA(VLOOKUP(CONCATENATE(BI$4,$C366),'INSER DATA'!$A:$F,7,0),"")</f>
        <v/>
      </c>
      <c r="BJ366" s="270" t="str">
        <f>_xlfn.IFNA(VLOOKUP(CONCATENATE(BJ$4,$C366),'INSER DATA'!$A:$F,7,0),"")</f>
        <v/>
      </c>
      <c r="BK366" s="270" t="str">
        <f>_xlfn.IFNA(VLOOKUP(CONCATENATE(BK$4,$C366),'INSER DATA'!$A:$F,7,0),"")</f>
        <v/>
      </c>
      <c r="BL366" s="272"/>
      <c r="BM366" s="30"/>
      <c r="BN366" s="30"/>
      <c r="BO366" s="30"/>
      <c r="BP366" s="30"/>
      <c r="BQ366" s="30"/>
      <c r="BR366" s="30"/>
      <c r="BS366" s="30"/>
      <c r="BT366" s="30"/>
      <c r="BU366" s="30"/>
      <c r="BV366" s="30"/>
      <c r="BW366" s="30"/>
      <c r="BX366" s="30"/>
      <c r="BY366" s="30"/>
      <c r="BZ366" s="30"/>
      <c r="CA366" s="30"/>
      <c r="CB366" s="30"/>
      <c r="CC366" s="30"/>
      <c r="CD366" s="30"/>
      <c r="CE366" s="30"/>
      <c r="CF366" s="30"/>
      <c r="CG366" s="30"/>
      <c r="CH366" s="30"/>
      <c r="CI366" s="30"/>
      <c r="CJ366" s="30"/>
      <c r="CK366" s="30"/>
      <c r="CL366" s="30"/>
      <c r="CM366" s="30"/>
      <c r="CN366" s="30"/>
      <c r="CO366" s="30"/>
      <c r="CP366" s="30"/>
      <c r="CQ366" s="30"/>
      <c r="CR366" s="30"/>
      <c r="CS366" s="30"/>
      <c r="CT366" s="30"/>
      <c r="CU366" s="30"/>
      <c r="CV366" s="30"/>
      <c r="CW366" s="30"/>
      <c r="CX366" s="30"/>
      <c r="CY366" s="30"/>
      <c r="CZ366" s="30"/>
      <c r="DA366" s="30"/>
    </row>
    <row r="367" spans="1:105" ht="19.2" thickTop="1" thickBot="1" x14ac:dyDescent="0.4">
      <c r="A367" s="30"/>
      <c r="B367" s="30"/>
      <c r="C367" s="188" t="s">
        <v>876</v>
      </c>
      <c r="D367" s="187" t="s">
        <v>874</v>
      </c>
      <c r="E367" s="35" t="str">
        <f>_xlfn.XLOOKUP(Tabella4[[#This Row],[NOME]],'ROSE SQUADRE'!$N$3:$N$253,'ROSE SQUADRE'!$O$3:$O$253,"")</f>
        <v/>
      </c>
      <c r="F367" s="36" t="s">
        <v>161</v>
      </c>
      <c r="G367" s="43">
        <v>3</v>
      </c>
      <c r="H367" s="43">
        <v>3</v>
      </c>
      <c r="I367" s="44">
        <f t="shared" si="31"/>
        <v>0</v>
      </c>
      <c r="J367" s="37">
        <f t="shared" si="32"/>
        <v>3</v>
      </c>
      <c r="K367" s="38">
        <f t="shared" si="33"/>
        <v>6</v>
      </c>
      <c r="L367" s="38">
        <f t="shared" si="34"/>
        <v>6</v>
      </c>
      <c r="M367" s="39">
        <f t="shared" si="35"/>
        <v>18</v>
      </c>
      <c r="N367" s="45">
        <f t="shared" ca="1" si="36"/>
        <v>0</v>
      </c>
      <c r="O367" s="40">
        <f>SUMIF(Tabella1[Nome],Tabella4[[#This Row],[NOME]],Tabella1[Gf])</f>
        <v>0</v>
      </c>
      <c r="P367" s="40">
        <f>-(SUMIF(Tabella1[Nome],Tabella4[[#This Row],[NOME]],Tabella1[Gs]))</f>
        <v>0</v>
      </c>
      <c r="Q367" s="40">
        <f>SUMIF(Tabella1[Nome],Tabella4[[#This Row],[NOME]],Tabella1[Rp])</f>
        <v>0</v>
      </c>
      <c r="R367" s="40">
        <f>SUMIF(Tabella1[Nome],Tabella4[[#This Row],[NOME]],Tabella1[Rs])</f>
        <v>0</v>
      </c>
      <c r="S367" s="40">
        <f>SUMIF(Tabella1[Nome],Tabella4[[#This Row],[NOME]],Tabella1[Rf])</f>
        <v>0</v>
      </c>
      <c r="T367" s="40">
        <f>SUMIF(Tabella1[Nome],Tabella4[[#This Row],[NOME]],Tabella1[Au])</f>
        <v>0</v>
      </c>
      <c r="U367" s="41">
        <f>SUMIF(Tabella1[Nome],Tabella4[[#This Row],[NOME]],Tabella1[Amm])</f>
        <v>0</v>
      </c>
      <c r="V367" s="42">
        <f>SUMIF(Tabella1[Nome],Tabella4[[#This Row],[NOME]],Tabella1[Esp])</f>
        <v>0</v>
      </c>
      <c r="W367" s="40">
        <f>SUMIF(Tabella1[Nome],Tabella4[[#This Row],[NOME]],Tabella1[Ass])</f>
        <v>0</v>
      </c>
      <c r="X367" s="40">
        <f>SUMIF(Tabella1[Nome],Tabella4[[#This Row],[NOME]],Tabella1[Gdv])</f>
        <v>0</v>
      </c>
      <c r="Y367" s="40">
        <f>SUMIF(Tabella1[Nome],Tabella4[[#This Row],[NOME]],Tabella1[cl sh])</f>
        <v>0</v>
      </c>
      <c r="Z367" s="270" t="str">
        <f>_xlfn.IFNA(_xlfn.XLOOKUP(CONCATENATE(Z$4,$C367),Tabella1[CONC X VOTI IN TAB GIOC],Tabella1[Voto],""),"")</f>
        <v/>
      </c>
      <c r="AA367" s="270">
        <f>_xlfn.IFNA(_xlfn.XLOOKUP(CONCATENATE(AA$4,$C367),Tabella1[CONC X VOTI IN TAB GIOC],Tabella1[Voto],""),"")</f>
        <v>6</v>
      </c>
      <c r="AB367" s="270">
        <f>_xlfn.IFNA(_xlfn.XLOOKUP(CONCATENATE(AB$4,$C367),Tabella1[CONC X VOTI IN TAB GIOC],Tabella1[Voto]),"")</f>
        <v>6</v>
      </c>
      <c r="AC367" s="270" cm="1">
        <f t="array" ref="AC367">_xlfn.IFNA(_xlfn.XLOOKUP(CONCATENATE(AC$4,$C367),INDEX(Tabella1[],0,MATCH("CONC X VOTI IN TAB GIOC",Tabella1[#Headers],0)),INDEX(Tabella1[],0,MATCH("Voto",Tabella1[#Headers],0))),"")</f>
        <v>6</v>
      </c>
      <c r="AD367" s="270" t="str">
        <f>_xlfn.IFNA(_xlfn.XLOOKUP(CONCATENATE(AD$4,$C367),Tabella1[CONC X VOTI IN TAB GIOC],Tabella1[Voto]),"")</f>
        <v/>
      </c>
      <c r="AE367" s="270" t="str">
        <f>_xlfn.IFNA(VLOOKUP(CONCATENATE(AE$4,$C367),'INSER DATA'!$A:$F,6,0),"")</f>
        <v/>
      </c>
      <c r="AF367" s="270" t="str">
        <f>_xlfn.IFNA(VLOOKUP(CONCATENATE(AF$4,$C367),'INSER DATA'!$A:$F,6,0),"")</f>
        <v/>
      </c>
      <c r="AG367" s="270" t="str">
        <f>_xlfn.IFNA(VLOOKUP(CONCATENATE(AG$4,$C367),'INSER DATA'!$A:$F,6,0),"")</f>
        <v/>
      </c>
      <c r="AH367" s="270" t="str">
        <f>_xlfn.IFNA(VLOOKUP(CONCATENATE(AH$4,$C367),'INSER DATA'!$A:$F,7,0),"")</f>
        <v/>
      </c>
      <c r="AI367" s="270" t="str">
        <f>_xlfn.IFNA(VLOOKUP(CONCATENATE(AI$4,$C367),'INSER DATA'!$A:$F,7,0),"")</f>
        <v/>
      </c>
      <c r="AJ367" s="270" t="str">
        <f>_xlfn.IFNA(VLOOKUP(CONCATENATE(AJ$4,$C367),'INSER DATA'!$A:$F,7,0),"")</f>
        <v/>
      </c>
      <c r="AK367" s="270" t="str">
        <f>_xlfn.IFNA(VLOOKUP(CONCATENATE(AK$4,$C367),'INSER DATA'!$A:$F,7,0),"")</f>
        <v/>
      </c>
      <c r="AL367" s="270" t="str">
        <f>_xlfn.IFNA(VLOOKUP(CONCATENATE(AL$4,$C367),'INSER DATA'!$A:$F,7,0),"")</f>
        <v/>
      </c>
      <c r="AM367" s="270" t="str">
        <f>_xlfn.IFNA(VLOOKUP(CONCATENATE(AM$4,$C367),'INSER DATA'!$A:$F,7,0),"")</f>
        <v/>
      </c>
      <c r="AN367" s="270" t="str">
        <f>_xlfn.IFNA(VLOOKUP(CONCATENATE(AN$4,$C367),'INSER DATA'!$A:$F,7,0),"")</f>
        <v/>
      </c>
      <c r="AO367" s="270" t="str">
        <f>_xlfn.IFNA(VLOOKUP(CONCATENATE(AO$4,$C367),'INSER DATA'!$A:$F,7,0),"")</f>
        <v/>
      </c>
      <c r="AP367" s="270" t="str">
        <f>_xlfn.IFNA(VLOOKUP(CONCATENATE(AP$4,$C367),'INSER DATA'!$A:$F,7,0),"")</f>
        <v/>
      </c>
      <c r="AQ367" s="270" t="str">
        <f>_xlfn.IFNA(VLOOKUP(CONCATENATE(AQ$4,$C367),'INSER DATA'!$A:$F,7,0),"")</f>
        <v/>
      </c>
      <c r="AR367" s="270" t="str">
        <f>_xlfn.IFNA(VLOOKUP(CONCATENATE(AR$4,$C367),'INSER DATA'!$A:$F,7,0),"")</f>
        <v/>
      </c>
      <c r="AS367" s="270" t="str">
        <f>_xlfn.IFNA(VLOOKUP(CONCATENATE(AS$4,$C367),'INSER DATA'!$A:$F,7,0),"")</f>
        <v/>
      </c>
      <c r="AT367" s="270" t="str">
        <f>_xlfn.IFNA(VLOOKUP(CONCATENATE(AT$4,$C367),'INSER DATA'!$A:$F,7,0),"")</f>
        <v/>
      </c>
      <c r="AU367" s="270" t="str">
        <f>_xlfn.IFNA(VLOOKUP(CONCATENATE(AU$4,$C367),'INSER DATA'!$A:$F,7,0),"")</f>
        <v/>
      </c>
      <c r="AV367" s="270" t="str">
        <f>_xlfn.IFNA(VLOOKUP(CONCATENATE(AV$4,$C367),'INSER DATA'!$A:$F,7,0),"")</f>
        <v/>
      </c>
      <c r="AW367" s="270" t="str">
        <f>_xlfn.IFNA(VLOOKUP(CONCATENATE(AW$4,$C367),'INSER DATA'!$A:$F,7,0),"")</f>
        <v/>
      </c>
      <c r="AX367" s="270" t="str">
        <f>_xlfn.IFNA(VLOOKUP(CONCATENATE(AX$4,$C367),'INSER DATA'!$A:$F,7,0),"")</f>
        <v/>
      </c>
      <c r="AY367" s="270" t="str">
        <f>_xlfn.IFNA(VLOOKUP(CONCATENATE(AY$4,$C367),'INSER DATA'!$A:$F,7,0),"")</f>
        <v/>
      </c>
      <c r="AZ367" s="270" t="str">
        <f>_xlfn.IFNA(VLOOKUP(CONCATENATE(AZ$4,$C367),'INSER DATA'!$A:$F,7,0),"")</f>
        <v/>
      </c>
      <c r="BA367" s="270" t="str">
        <f>_xlfn.IFNA(VLOOKUP(CONCATENATE(BA$4,$C367),'INSER DATA'!$A:$F,7,0),"")</f>
        <v/>
      </c>
      <c r="BB367" s="270" t="str">
        <f>_xlfn.IFNA(VLOOKUP(CONCATENATE(BB$4,$C367),'INSER DATA'!$A:$F,7,0),"")</f>
        <v/>
      </c>
      <c r="BC367" s="270" t="str">
        <f>_xlfn.IFNA(VLOOKUP(CONCATENATE(BC$4,$C367),'INSER DATA'!$A:$F,7,0),"")</f>
        <v/>
      </c>
      <c r="BD367" s="270" t="str">
        <f>_xlfn.IFNA(VLOOKUP(CONCATENATE(BD$4,$C367),'INSER DATA'!$A:$F,7,0),"")</f>
        <v/>
      </c>
      <c r="BE367" s="270" t="str">
        <f>_xlfn.IFNA(VLOOKUP(CONCATENATE(BE$4,$C367),'INSER DATA'!$A:$F,7,0),"")</f>
        <v/>
      </c>
      <c r="BF367" s="270" t="str">
        <f>_xlfn.IFNA(VLOOKUP(CONCATENATE(BF$4,$C367),'INSER DATA'!$A:$F,7,0),"")</f>
        <v/>
      </c>
      <c r="BG367" s="270" t="str">
        <f>_xlfn.IFNA(VLOOKUP(CONCATENATE(BG$4,$C367),'INSER DATA'!$A:$F,7,0),"")</f>
        <v/>
      </c>
      <c r="BH367" s="270" t="str">
        <f>_xlfn.IFNA(VLOOKUP(CONCATENATE(BH$4,$C367),'INSER DATA'!$A:$F,7,0),"")</f>
        <v/>
      </c>
      <c r="BI367" s="270" t="str">
        <f>_xlfn.IFNA(VLOOKUP(CONCATENATE(BI$4,$C367),'INSER DATA'!$A:$F,7,0),"")</f>
        <v/>
      </c>
      <c r="BJ367" s="270" t="str">
        <f>_xlfn.IFNA(VLOOKUP(CONCATENATE(BJ$4,$C367),'INSER DATA'!$A:$F,7,0),"")</f>
        <v/>
      </c>
      <c r="BK367" s="270" t="str">
        <f>_xlfn.IFNA(VLOOKUP(CONCATENATE(BK$4,$C367),'INSER DATA'!$A:$F,7,0),"")</f>
        <v/>
      </c>
      <c r="BL367" s="272"/>
      <c r="BM367" s="30"/>
      <c r="BN367" s="30"/>
      <c r="BO367" s="30"/>
      <c r="BP367" s="30"/>
      <c r="BQ367" s="30"/>
      <c r="BR367" s="30"/>
      <c r="BS367" s="30"/>
      <c r="BT367" s="30"/>
      <c r="BU367" s="30"/>
      <c r="BV367" s="30"/>
      <c r="BW367" s="30"/>
      <c r="BX367" s="30"/>
      <c r="BY367" s="30"/>
      <c r="BZ367" s="30"/>
      <c r="CA367" s="30"/>
      <c r="CB367" s="30"/>
      <c r="CC367" s="30"/>
      <c r="CD367" s="30"/>
      <c r="CE367" s="30"/>
      <c r="CF367" s="30"/>
      <c r="CG367" s="30"/>
      <c r="CH367" s="30"/>
      <c r="CI367" s="30"/>
      <c r="CJ367" s="30"/>
      <c r="CK367" s="30"/>
      <c r="CL367" s="30"/>
      <c r="CM367" s="30"/>
      <c r="CN367" s="30"/>
      <c r="CO367" s="30"/>
      <c r="CP367" s="30"/>
      <c r="CQ367" s="30"/>
      <c r="CR367" s="30"/>
      <c r="CS367" s="30"/>
      <c r="CT367" s="30"/>
      <c r="CU367" s="30"/>
      <c r="CV367" s="30"/>
      <c r="CW367" s="30"/>
      <c r="CX367" s="30"/>
      <c r="CY367" s="30"/>
      <c r="CZ367" s="30"/>
      <c r="DA367" s="30"/>
    </row>
    <row r="368" spans="1:105" ht="19.2" thickTop="1" thickBot="1" x14ac:dyDescent="0.4">
      <c r="A368" s="30"/>
      <c r="B368" s="30"/>
      <c r="C368" s="356" t="s">
        <v>619</v>
      </c>
      <c r="D368" s="355" t="s">
        <v>874</v>
      </c>
      <c r="E368" s="35" t="str">
        <f>_xlfn.XLOOKUP(Tabella4[[#This Row],[NOME]],'ROSE SQUADRE'!$N$3:$N$253,'ROSE SQUADRE'!$O$3:$O$253,"")</f>
        <v>AS PIPPERIA</v>
      </c>
      <c r="F368" s="36" t="s">
        <v>161</v>
      </c>
      <c r="G368" s="43">
        <v>8</v>
      </c>
      <c r="H368" s="43">
        <v>8</v>
      </c>
      <c r="I368" s="44">
        <f t="shared" si="31"/>
        <v>0</v>
      </c>
      <c r="J368" s="37">
        <f t="shared" si="32"/>
        <v>4</v>
      </c>
      <c r="K368" s="38">
        <f t="shared" si="33"/>
        <v>6</v>
      </c>
      <c r="L368" s="38">
        <f t="shared" si="34"/>
        <v>5.875</v>
      </c>
      <c r="M368" s="39">
        <f t="shared" si="35"/>
        <v>23.5</v>
      </c>
      <c r="N368" s="45">
        <f t="shared" ca="1" si="36"/>
        <v>0</v>
      </c>
      <c r="O368" s="40">
        <f>SUMIF(Tabella1[Nome],Tabella4[[#This Row],[NOME]],Tabella1[Gf])</f>
        <v>0</v>
      </c>
      <c r="P368" s="40">
        <f>-(SUMIF(Tabella1[Nome],Tabella4[[#This Row],[NOME]],Tabella1[Gs]))</f>
        <v>0</v>
      </c>
      <c r="Q368" s="40">
        <f>SUMIF(Tabella1[Nome],Tabella4[[#This Row],[NOME]],Tabella1[Rp])</f>
        <v>0</v>
      </c>
      <c r="R368" s="40">
        <f>SUMIF(Tabella1[Nome],Tabella4[[#This Row],[NOME]],Tabella1[Rs])</f>
        <v>0</v>
      </c>
      <c r="S368" s="40">
        <f>SUMIF(Tabella1[Nome],Tabella4[[#This Row],[NOME]],Tabella1[Rf])</f>
        <v>0</v>
      </c>
      <c r="T368" s="40">
        <f>SUMIF(Tabella1[Nome],Tabella4[[#This Row],[NOME]],Tabella1[Au])</f>
        <v>0</v>
      </c>
      <c r="U368" s="41">
        <f>SUMIF(Tabella1[Nome],Tabella4[[#This Row],[NOME]],Tabella1[Amm])</f>
        <v>1</v>
      </c>
      <c r="V368" s="42">
        <f>SUMIF(Tabella1[Nome],Tabella4[[#This Row],[NOME]],Tabella1[Esp])</f>
        <v>0</v>
      </c>
      <c r="W368" s="40">
        <f>SUMIF(Tabella1[Nome],Tabella4[[#This Row],[NOME]],Tabella1[Ass])</f>
        <v>0</v>
      </c>
      <c r="X368" s="40">
        <f>SUMIF(Tabella1[Nome],Tabella4[[#This Row],[NOME]],Tabella1[Gdv])</f>
        <v>0</v>
      </c>
      <c r="Y368" s="40">
        <f>SUMIF(Tabella1[Nome],Tabella4[[#This Row],[NOME]],Tabella1[cl sh])</f>
        <v>0</v>
      </c>
      <c r="Z368" s="270">
        <f>_xlfn.IFNA(_xlfn.XLOOKUP(CONCATENATE(Z$4,$C368),Tabella1[CONC X VOTI IN TAB GIOC],Tabella1[Voto],""),"")</f>
        <v>6</v>
      </c>
      <c r="AA368" s="270">
        <f>_xlfn.IFNA(_xlfn.XLOOKUP(CONCATENATE(AA$4,$C368),Tabella1[CONC X VOTI IN TAB GIOC],Tabella1[Voto],""),"")</f>
        <v>6</v>
      </c>
      <c r="AB368" s="270">
        <f>_xlfn.IFNA(_xlfn.XLOOKUP(CONCATENATE(AB$4,$C368),Tabella1[CONC X VOTI IN TAB GIOC],Tabella1[Voto]),"")</f>
        <v>6</v>
      </c>
      <c r="AC368" s="270" cm="1">
        <f t="array" ref="AC368">_xlfn.IFNA(_xlfn.XLOOKUP(CONCATENATE(AC$4,$C368),INDEX(Tabella1[],0,MATCH("CONC X VOTI IN TAB GIOC",Tabella1[#Headers],0)),INDEX(Tabella1[],0,MATCH("Voto",Tabella1[#Headers],0))),"")</f>
        <v>6</v>
      </c>
      <c r="AD368" s="270" t="str">
        <f>_xlfn.IFNA(_xlfn.XLOOKUP(CONCATENATE(AD$4,$C368),Tabella1[CONC X VOTI IN TAB GIOC],Tabella1[Voto]),"")</f>
        <v/>
      </c>
      <c r="AE368" s="270" t="str">
        <f>_xlfn.IFNA(VLOOKUP(CONCATENATE(AE$4,$C368),'INSER DATA'!$A:$F,6,0),"")</f>
        <v/>
      </c>
      <c r="AF368" s="270" t="str">
        <f>_xlfn.IFNA(VLOOKUP(CONCATENATE(AF$4,$C368),'INSER DATA'!$A:$F,6,0),"")</f>
        <v/>
      </c>
      <c r="AG368" s="270" t="str">
        <f>_xlfn.IFNA(VLOOKUP(CONCATENATE(AG$4,$C368),'INSER DATA'!$A:$F,6,0),"")</f>
        <v/>
      </c>
      <c r="AH368" s="270" t="str">
        <f>_xlfn.IFNA(VLOOKUP(CONCATENATE(AH$4,$C368),'INSER DATA'!$A:$F,7,0),"")</f>
        <v/>
      </c>
      <c r="AI368" s="270" t="str">
        <f>_xlfn.IFNA(VLOOKUP(CONCATENATE(AI$4,$C368),'INSER DATA'!$A:$F,7,0),"")</f>
        <v/>
      </c>
      <c r="AJ368" s="270" t="str">
        <f>_xlfn.IFNA(VLOOKUP(CONCATENATE(AJ$4,$C368),'INSER DATA'!$A:$F,7,0),"")</f>
        <v/>
      </c>
      <c r="AK368" s="270" t="str">
        <f>_xlfn.IFNA(VLOOKUP(CONCATENATE(AK$4,$C368),'INSER DATA'!$A:$F,7,0),"")</f>
        <v/>
      </c>
      <c r="AL368" s="270" t="str">
        <f>_xlfn.IFNA(VLOOKUP(CONCATENATE(AL$4,$C368),'INSER DATA'!$A:$F,7,0),"")</f>
        <v/>
      </c>
      <c r="AM368" s="270" t="str">
        <f>_xlfn.IFNA(VLOOKUP(CONCATENATE(AM$4,$C368),'INSER DATA'!$A:$F,7,0),"")</f>
        <v/>
      </c>
      <c r="AN368" s="270" t="str">
        <f>_xlfn.IFNA(VLOOKUP(CONCATENATE(AN$4,$C368),'INSER DATA'!$A:$F,7,0),"")</f>
        <v/>
      </c>
      <c r="AO368" s="270" t="str">
        <f>_xlfn.IFNA(VLOOKUP(CONCATENATE(AO$4,$C368),'INSER DATA'!$A:$F,7,0),"")</f>
        <v/>
      </c>
      <c r="AP368" s="270" t="str">
        <f>_xlfn.IFNA(VLOOKUP(CONCATENATE(AP$4,$C368),'INSER DATA'!$A:$F,7,0),"")</f>
        <v/>
      </c>
      <c r="AQ368" s="270" t="str">
        <f>_xlfn.IFNA(VLOOKUP(CONCATENATE(AQ$4,$C368),'INSER DATA'!$A:$F,7,0),"")</f>
        <v/>
      </c>
      <c r="AR368" s="270" t="str">
        <f>_xlfn.IFNA(VLOOKUP(CONCATENATE(AR$4,$C368),'INSER DATA'!$A:$F,7,0),"")</f>
        <v/>
      </c>
      <c r="AS368" s="270" t="str">
        <f>_xlfn.IFNA(VLOOKUP(CONCATENATE(AS$4,$C368),'INSER DATA'!$A:$F,7,0),"")</f>
        <v/>
      </c>
      <c r="AT368" s="270" t="str">
        <f>_xlfn.IFNA(VLOOKUP(CONCATENATE(AT$4,$C368),'INSER DATA'!$A:$F,7,0),"")</f>
        <v/>
      </c>
      <c r="AU368" s="270" t="str">
        <f>_xlfn.IFNA(VLOOKUP(CONCATENATE(AU$4,$C368),'INSER DATA'!$A:$F,7,0),"")</f>
        <v/>
      </c>
      <c r="AV368" s="270" t="str">
        <f>_xlfn.IFNA(VLOOKUP(CONCATENATE(AV$4,$C368),'INSER DATA'!$A:$F,7,0),"")</f>
        <v/>
      </c>
      <c r="AW368" s="270" t="str">
        <f>_xlfn.IFNA(VLOOKUP(CONCATENATE(AW$4,$C368),'INSER DATA'!$A:$F,7,0),"")</f>
        <v/>
      </c>
      <c r="AX368" s="270" t="str">
        <f>_xlfn.IFNA(VLOOKUP(CONCATENATE(AX$4,$C368),'INSER DATA'!$A:$F,7,0),"")</f>
        <v/>
      </c>
      <c r="AY368" s="270" t="str">
        <f>_xlfn.IFNA(VLOOKUP(CONCATENATE(AY$4,$C368),'INSER DATA'!$A:$F,7,0),"")</f>
        <v/>
      </c>
      <c r="AZ368" s="270" t="str">
        <f>_xlfn.IFNA(VLOOKUP(CONCATENATE(AZ$4,$C368),'INSER DATA'!$A:$F,7,0),"")</f>
        <v/>
      </c>
      <c r="BA368" s="270" t="str">
        <f>_xlfn.IFNA(VLOOKUP(CONCATENATE(BA$4,$C368),'INSER DATA'!$A:$F,7,0),"")</f>
        <v/>
      </c>
      <c r="BB368" s="270" t="str">
        <f>_xlfn.IFNA(VLOOKUP(CONCATENATE(BB$4,$C368),'INSER DATA'!$A:$F,7,0),"")</f>
        <v/>
      </c>
      <c r="BC368" s="270" t="str">
        <f>_xlfn.IFNA(VLOOKUP(CONCATENATE(BC$4,$C368),'INSER DATA'!$A:$F,7,0),"")</f>
        <v/>
      </c>
      <c r="BD368" s="270" t="str">
        <f>_xlfn.IFNA(VLOOKUP(CONCATENATE(BD$4,$C368),'INSER DATA'!$A:$F,7,0),"")</f>
        <v/>
      </c>
      <c r="BE368" s="270" t="str">
        <f>_xlfn.IFNA(VLOOKUP(CONCATENATE(BE$4,$C368),'INSER DATA'!$A:$F,7,0),"")</f>
        <v/>
      </c>
      <c r="BF368" s="270" t="str">
        <f>_xlfn.IFNA(VLOOKUP(CONCATENATE(BF$4,$C368),'INSER DATA'!$A:$F,7,0),"")</f>
        <v/>
      </c>
      <c r="BG368" s="270" t="str">
        <f>_xlfn.IFNA(VLOOKUP(CONCATENATE(BG$4,$C368),'INSER DATA'!$A:$F,7,0),"")</f>
        <v/>
      </c>
      <c r="BH368" s="270" t="str">
        <f>_xlfn.IFNA(VLOOKUP(CONCATENATE(BH$4,$C368),'INSER DATA'!$A:$F,7,0),"")</f>
        <v/>
      </c>
      <c r="BI368" s="270" t="str">
        <f>_xlfn.IFNA(VLOOKUP(CONCATENATE(BI$4,$C368),'INSER DATA'!$A:$F,7,0),"")</f>
        <v/>
      </c>
      <c r="BJ368" s="270" t="str">
        <f>_xlfn.IFNA(VLOOKUP(CONCATENATE(BJ$4,$C368),'INSER DATA'!$A:$F,7,0),"")</f>
        <v/>
      </c>
      <c r="BK368" s="270" t="str">
        <f>_xlfn.IFNA(VLOOKUP(CONCATENATE(BK$4,$C368),'INSER DATA'!$A:$F,7,0),"")</f>
        <v/>
      </c>
      <c r="BL368" s="272"/>
      <c r="BM368" s="30"/>
      <c r="BN368" s="30"/>
      <c r="BO368" s="30"/>
      <c r="BP368" s="30"/>
      <c r="BQ368" s="30"/>
      <c r="BR368" s="30"/>
      <c r="BS368" s="30"/>
      <c r="BT368" s="30"/>
      <c r="BU368" s="30"/>
      <c r="BV368" s="30"/>
      <c r="BW368" s="30"/>
      <c r="BX368" s="30"/>
      <c r="BY368" s="30"/>
      <c r="BZ368" s="30"/>
      <c r="CA368" s="30"/>
      <c r="CB368" s="30"/>
      <c r="CC368" s="30"/>
      <c r="CD368" s="30"/>
      <c r="CE368" s="30"/>
      <c r="CF368" s="30"/>
      <c r="CG368" s="30"/>
      <c r="CH368" s="30"/>
      <c r="CI368" s="30"/>
      <c r="CJ368" s="30"/>
      <c r="CK368" s="30"/>
      <c r="CL368" s="30"/>
      <c r="CM368" s="30"/>
      <c r="CN368" s="30"/>
      <c r="CO368" s="30"/>
      <c r="CP368" s="30"/>
      <c r="CQ368" s="30"/>
      <c r="CR368" s="30"/>
      <c r="CS368" s="30"/>
      <c r="CT368" s="30"/>
      <c r="CU368" s="30"/>
      <c r="CV368" s="30"/>
      <c r="CW368" s="30"/>
      <c r="CX368" s="30"/>
      <c r="CY368" s="30"/>
      <c r="CZ368" s="30"/>
      <c r="DA368" s="30"/>
    </row>
    <row r="369" spans="1:105" ht="19.2" thickTop="1" thickBot="1" x14ac:dyDescent="0.4">
      <c r="A369" s="30"/>
      <c r="B369" s="30"/>
      <c r="C369" s="188" t="s">
        <v>878</v>
      </c>
      <c r="D369" s="187" t="s">
        <v>874</v>
      </c>
      <c r="E369" s="35" t="str">
        <f>_xlfn.XLOOKUP(Tabella4[[#This Row],[NOME]],'ROSE SQUADRE'!$N$3:$N$253,'ROSE SQUADRE'!$O$3:$O$253,"")</f>
        <v/>
      </c>
      <c r="F369" s="36" t="s">
        <v>161</v>
      </c>
      <c r="G369" s="43">
        <v>1</v>
      </c>
      <c r="H369" s="43">
        <v>2</v>
      </c>
      <c r="I369" s="44">
        <f t="shared" si="31"/>
        <v>1</v>
      </c>
      <c r="J369" s="37">
        <f t="shared" si="32"/>
        <v>1</v>
      </c>
      <c r="K369" s="178">
        <f t="shared" si="33"/>
        <v>6</v>
      </c>
      <c r="L369" s="178">
        <f t="shared" si="34"/>
        <v>6</v>
      </c>
      <c r="M369" s="179">
        <f t="shared" si="35"/>
        <v>6</v>
      </c>
      <c r="N369" s="45">
        <f t="shared" ca="1" si="36"/>
        <v>0</v>
      </c>
      <c r="O369" s="40">
        <f>SUMIF(Tabella1[Nome],Tabella4[[#This Row],[NOME]],Tabella1[Gf])</f>
        <v>0</v>
      </c>
      <c r="P369" s="40">
        <f>-(SUMIF(Tabella1[Nome],Tabella4[[#This Row],[NOME]],Tabella1[Gs]))</f>
        <v>0</v>
      </c>
      <c r="Q369" s="40">
        <f>SUMIF(Tabella1[Nome],Tabella4[[#This Row],[NOME]],Tabella1[Rp])</f>
        <v>0</v>
      </c>
      <c r="R369" s="40">
        <f>SUMIF(Tabella1[Nome],Tabella4[[#This Row],[NOME]],Tabella1[Rs])</f>
        <v>0</v>
      </c>
      <c r="S369" s="40">
        <f>SUMIF(Tabella1[Nome],Tabella4[[#This Row],[NOME]],Tabella1[Rf])</f>
        <v>0</v>
      </c>
      <c r="T369" s="40">
        <f>SUMIF(Tabella1[Nome],Tabella4[[#This Row],[NOME]],Tabella1[Au])</f>
        <v>0</v>
      </c>
      <c r="U369" s="41">
        <f>SUMIF(Tabella1[Nome],Tabella4[[#This Row],[NOME]],Tabella1[Amm])</f>
        <v>0</v>
      </c>
      <c r="V369" s="42">
        <f>SUMIF(Tabella1[Nome],Tabella4[[#This Row],[NOME]],Tabella1[Esp])</f>
        <v>0</v>
      </c>
      <c r="W369" s="40">
        <f>SUMIF(Tabella1[Nome],Tabella4[[#This Row],[NOME]],Tabella1[Ass])</f>
        <v>0</v>
      </c>
      <c r="X369" s="40">
        <f>SUMIF(Tabella1[Nome],Tabella4[[#This Row],[NOME]],Tabella1[Gdv])</f>
        <v>0</v>
      </c>
      <c r="Y369" s="40">
        <f>SUMIF(Tabella1[Nome],Tabella4[[#This Row],[NOME]],Tabella1[cl sh])</f>
        <v>0</v>
      </c>
      <c r="Z369" s="270">
        <f>_xlfn.IFNA(_xlfn.XLOOKUP(CONCATENATE(Z$4,$C369),Tabella1[CONC X VOTI IN TAB GIOC],Tabella1[Voto],""),"")</f>
        <v>6</v>
      </c>
      <c r="AA369" s="270" t="str">
        <f>_xlfn.IFNA(_xlfn.XLOOKUP(CONCATENATE(AA$4,$C369),Tabella1[CONC X VOTI IN TAB GIOC],Tabella1[Voto],""),"")</f>
        <v/>
      </c>
      <c r="AB369" s="270" t="str">
        <f>_xlfn.IFNA(_xlfn.XLOOKUP(CONCATENATE(AB$4,$C369),Tabella1[CONC X VOTI IN TAB GIOC],Tabella1[Voto]),"")</f>
        <v/>
      </c>
      <c r="AC369" s="270" t="str" cm="1">
        <f t="array" ref="AC369">_xlfn.IFNA(_xlfn.XLOOKUP(CONCATENATE(AC$4,$C369),INDEX(Tabella1[],0,MATCH("CONC X VOTI IN TAB GIOC",Tabella1[#Headers],0)),INDEX(Tabella1[],0,MATCH("Voto",Tabella1[#Headers],0))),"")</f>
        <v/>
      </c>
      <c r="AD369" s="270" t="str">
        <f>_xlfn.IFNA(_xlfn.XLOOKUP(CONCATENATE(AD$4,$C369),Tabella1[CONC X VOTI IN TAB GIOC],Tabella1[Voto]),"")</f>
        <v/>
      </c>
      <c r="AE369" s="270" t="str">
        <f>_xlfn.IFNA(VLOOKUP(CONCATENATE(AE$4,$C369),'INSER DATA'!$A:$F,6,0),"")</f>
        <v/>
      </c>
      <c r="AF369" s="270" t="str">
        <f>_xlfn.IFNA(VLOOKUP(CONCATENATE(AF$4,$C369),'INSER DATA'!$A:$F,6,0),"")</f>
        <v/>
      </c>
      <c r="AG369" s="270" t="str">
        <f>_xlfn.IFNA(VLOOKUP(CONCATENATE(AG$4,$C369),'INSER DATA'!$A:$F,6,0),"")</f>
        <v/>
      </c>
      <c r="AH369" s="270" t="str">
        <f>_xlfn.IFNA(VLOOKUP(CONCATENATE(AH$4,$C369),'INSER DATA'!$A:$F,7,0),"")</f>
        <v/>
      </c>
      <c r="AI369" s="270" t="str">
        <f>_xlfn.IFNA(VLOOKUP(CONCATENATE(AI$4,$C369),'INSER DATA'!$A:$F,7,0),"")</f>
        <v/>
      </c>
      <c r="AJ369" s="270" t="str">
        <f>_xlfn.IFNA(VLOOKUP(CONCATENATE(AJ$4,$C369),'INSER DATA'!$A:$F,7,0),"")</f>
        <v/>
      </c>
      <c r="AK369" s="270" t="str">
        <f>_xlfn.IFNA(VLOOKUP(CONCATENATE(AK$4,$C369),'INSER DATA'!$A:$F,7,0),"")</f>
        <v/>
      </c>
      <c r="AL369" s="270" t="str">
        <f>_xlfn.IFNA(VLOOKUP(CONCATENATE(AL$4,$C369),'INSER DATA'!$A:$F,7,0),"")</f>
        <v/>
      </c>
      <c r="AM369" s="270" t="str">
        <f>_xlfn.IFNA(VLOOKUP(CONCATENATE(AM$4,$C369),'INSER DATA'!$A:$F,7,0),"")</f>
        <v/>
      </c>
      <c r="AN369" s="270" t="str">
        <f>_xlfn.IFNA(VLOOKUP(CONCATENATE(AN$4,$C369),'INSER DATA'!$A:$F,7,0),"")</f>
        <v/>
      </c>
      <c r="AO369" s="270" t="str">
        <f>_xlfn.IFNA(VLOOKUP(CONCATENATE(AO$4,$C369),'INSER DATA'!$A:$F,7,0),"")</f>
        <v/>
      </c>
      <c r="AP369" s="270" t="str">
        <f>_xlfn.IFNA(VLOOKUP(CONCATENATE(AP$4,$C369),'INSER DATA'!$A:$F,7,0),"")</f>
        <v/>
      </c>
      <c r="AQ369" s="270" t="str">
        <f>_xlfn.IFNA(VLOOKUP(CONCATENATE(AQ$4,$C369),'INSER DATA'!$A:$F,7,0),"")</f>
        <v/>
      </c>
      <c r="AR369" s="270" t="str">
        <f>_xlfn.IFNA(VLOOKUP(CONCATENATE(AR$4,$C369),'INSER DATA'!$A:$F,7,0),"")</f>
        <v/>
      </c>
      <c r="AS369" s="270" t="str">
        <f>_xlfn.IFNA(VLOOKUP(CONCATENATE(AS$4,$C369),'INSER DATA'!$A:$F,7,0),"")</f>
        <v/>
      </c>
      <c r="AT369" s="270" t="str">
        <f>_xlfn.IFNA(VLOOKUP(CONCATENATE(AT$4,$C369),'INSER DATA'!$A:$F,7,0),"")</f>
        <v/>
      </c>
      <c r="AU369" s="270" t="str">
        <f>_xlfn.IFNA(VLOOKUP(CONCATENATE(AU$4,$C369),'INSER DATA'!$A:$F,7,0),"")</f>
        <v/>
      </c>
      <c r="AV369" s="270" t="str">
        <f>_xlfn.IFNA(VLOOKUP(CONCATENATE(AV$4,$C369),'INSER DATA'!$A:$F,7,0),"")</f>
        <v/>
      </c>
      <c r="AW369" s="270" t="str">
        <f>_xlfn.IFNA(VLOOKUP(CONCATENATE(AW$4,$C369),'INSER DATA'!$A:$F,7,0),"")</f>
        <v/>
      </c>
      <c r="AX369" s="270" t="str">
        <f>_xlfn.IFNA(VLOOKUP(CONCATENATE(AX$4,$C369),'INSER DATA'!$A:$F,7,0),"")</f>
        <v/>
      </c>
      <c r="AY369" s="270" t="str">
        <f>_xlfn.IFNA(VLOOKUP(CONCATENATE(AY$4,$C369),'INSER DATA'!$A:$F,7,0),"")</f>
        <v/>
      </c>
      <c r="AZ369" s="270" t="str">
        <f>_xlfn.IFNA(VLOOKUP(CONCATENATE(AZ$4,$C369),'INSER DATA'!$A:$F,7,0),"")</f>
        <v/>
      </c>
      <c r="BA369" s="270" t="str">
        <f>_xlfn.IFNA(VLOOKUP(CONCATENATE(BA$4,$C369),'INSER DATA'!$A:$F,7,0),"")</f>
        <v/>
      </c>
      <c r="BB369" s="270" t="str">
        <f>_xlfn.IFNA(VLOOKUP(CONCATENATE(BB$4,$C369),'INSER DATA'!$A:$F,7,0),"")</f>
        <v/>
      </c>
      <c r="BC369" s="270" t="str">
        <f>_xlfn.IFNA(VLOOKUP(CONCATENATE(BC$4,$C369),'INSER DATA'!$A:$F,7,0),"")</f>
        <v/>
      </c>
      <c r="BD369" s="270" t="str">
        <f>_xlfn.IFNA(VLOOKUP(CONCATENATE(BD$4,$C369),'INSER DATA'!$A:$F,7,0),"")</f>
        <v/>
      </c>
      <c r="BE369" s="270" t="str">
        <f>_xlfn.IFNA(VLOOKUP(CONCATENATE(BE$4,$C369),'INSER DATA'!$A:$F,7,0),"")</f>
        <v/>
      </c>
      <c r="BF369" s="270" t="str">
        <f>_xlfn.IFNA(VLOOKUP(CONCATENATE(BF$4,$C369),'INSER DATA'!$A:$F,7,0),"")</f>
        <v/>
      </c>
      <c r="BG369" s="270" t="str">
        <f>_xlfn.IFNA(VLOOKUP(CONCATENATE(BG$4,$C369),'INSER DATA'!$A:$F,7,0),"")</f>
        <v/>
      </c>
      <c r="BH369" s="270" t="str">
        <f>_xlfn.IFNA(VLOOKUP(CONCATENATE(BH$4,$C369),'INSER DATA'!$A:$F,7,0),"")</f>
        <v/>
      </c>
      <c r="BI369" s="270" t="str">
        <f>_xlfn.IFNA(VLOOKUP(CONCATENATE(BI$4,$C369),'INSER DATA'!$A:$F,7,0),"")</f>
        <v/>
      </c>
      <c r="BJ369" s="270" t="str">
        <f>_xlfn.IFNA(VLOOKUP(CONCATENATE(BJ$4,$C369),'INSER DATA'!$A:$F,7,0),"")</f>
        <v/>
      </c>
      <c r="BK369" s="270" t="str">
        <f>_xlfn.IFNA(VLOOKUP(CONCATENATE(BK$4,$C369),'INSER DATA'!$A:$F,7,0),"")</f>
        <v/>
      </c>
      <c r="BL369" s="272"/>
      <c r="BM369" s="30"/>
      <c r="BN369" s="30"/>
      <c r="BO369" s="30"/>
      <c r="BP369" s="30"/>
      <c r="BQ369" s="30"/>
      <c r="BR369" s="30"/>
      <c r="BS369" s="30"/>
      <c r="BT369" s="30"/>
      <c r="BU369" s="30"/>
      <c r="BV369" s="30"/>
      <c r="BW369" s="30"/>
      <c r="BX369" s="30"/>
      <c r="BY369" s="30"/>
      <c r="BZ369" s="30"/>
      <c r="CA369" s="30"/>
      <c r="CB369" s="30"/>
      <c r="CC369" s="30"/>
      <c r="CD369" s="30"/>
      <c r="CE369" s="30"/>
      <c r="CF369" s="30"/>
      <c r="CG369" s="30"/>
      <c r="CH369" s="30"/>
      <c r="CI369" s="30"/>
      <c r="CJ369" s="30"/>
      <c r="CK369" s="30"/>
      <c r="CL369" s="30"/>
      <c r="CM369" s="30"/>
      <c r="CN369" s="30"/>
      <c r="CO369" s="30"/>
      <c r="CP369" s="30"/>
      <c r="CQ369" s="30"/>
      <c r="CR369" s="30"/>
      <c r="CS369" s="30"/>
      <c r="CT369" s="30"/>
      <c r="CU369" s="30"/>
      <c r="CV369" s="30"/>
      <c r="CW369" s="30"/>
      <c r="CX369" s="30"/>
      <c r="CY369" s="30"/>
      <c r="CZ369" s="30"/>
      <c r="DA369" s="30"/>
    </row>
    <row r="370" spans="1:105" ht="19.2" thickTop="1" thickBot="1" x14ac:dyDescent="0.4">
      <c r="A370" s="30"/>
      <c r="B370" s="30"/>
      <c r="C370" s="358" t="s">
        <v>554</v>
      </c>
      <c r="D370" s="359" t="s">
        <v>874</v>
      </c>
      <c r="E370" s="35" t="str">
        <f>_xlfn.XLOOKUP(Tabella4[[#This Row],[NOME]],'ROSE SQUADRE'!$N$3:$N$253,'ROSE SQUADRE'!$O$3:$O$253,"")</f>
        <v>TRICCHETRACHT</v>
      </c>
      <c r="F370" s="36" t="s">
        <v>161</v>
      </c>
      <c r="G370" s="43">
        <v>8</v>
      </c>
      <c r="H370" s="43">
        <v>8</v>
      </c>
      <c r="I370" s="44">
        <f t="shared" si="31"/>
        <v>0</v>
      </c>
      <c r="J370" s="37">
        <f t="shared" si="32"/>
        <v>4</v>
      </c>
      <c r="K370" s="178">
        <f t="shared" si="33"/>
        <v>6.125</v>
      </c>
      <c r="L370" s="178">
        <f t="shared" si="34"/>
        <v>6.125</v>
      </c>
      <c r="M370" s="179">
        <f t="shared" si="35"/>
        <v>24.5</v>
      </c>
      <c r="N370" s="45">
        <f t="shared" ca="1" si="36"/>
        <v>1</v>
      </c>
      <c r="O370" s="40">
        <f>SUMIF(Tabella1[Nome],Tabella4[[#This Row],[NOME]],Tabella1[Gf])</f>
        <v>0</v>
      </c>
      <c r="P370" s="40">
        <f>-(SUMIF(Tabella1[Nome],Tabella4[[#This Row],[NOME]],Tabella1[Gs]))</f>
        <v>0</v>
      </c>
      <c r="Q370" s="40">
        <f>SUMIF(Tabella1[Nome],Tabella4[[#This Row],[NOME]],Tabella1[Rp])</f>
        <v>0</v>
      </c>
      <c r="R370" s="40">
        <f>SUMIF(Tabella1[Nome],Tabella4[[#This Row],[NOME]],Tabella1[Rs])</f>
        <v>0</v>
      </c>
      <c r="S370" s="40">
        <f>SUMIF(Tabella1[Nome],Tabella4[[#This Row],[NOME]],Tabella1[Rf])</f>
        <v>0</v>
      </c>
      <c r="T370" s="40">
        <f>SUMIF(Tabella1[Nome],Tabella4[[#This Row],[NOME]],Tabella1[Au])</f>
        <v>0</v>
      </c>
      <c r="U370" s="41">
        <f>SUMIF(Tabella1[Nome],Tabella4[[#This Row],[NOME]],Tabella1[Amm])</f>
        <v>0</v>
      </c>
      <c r="V370" s="42">
        <f>SUMIF(Tabella1[Nome],Tabella4[[#This Row],[NOME]],Tabella1[Esp])</f>
        <v>0</v>
      </c>
      <c r="W370" s="40">
        <f>SUMIF(Tabella1[Nome],Tabella4[[#This Row],[NOME]],Tabella1[Ass])</f>
        <v>0</v>
      </c>
      <c r="X370" s="40">
        <f>SUMIF(Tabella1[Nome],Tabella4[[#This Row],[NOME]],Tabella1[Gdv])</f>
        <v>0</v>
      </c>
      <c r="Y370" s="40">
        <f>SUMIF(Tabella1[Nome],Tabella4[[#This Row],[NOME]],Tabella1[cl sh])</f>
        <v>0</v>
      </c>
      <c r="Z370" s="270">
        <f>_xlfn.IFNA(_xlfn.XLOOKUP(CONCATENATE(Z$4,$C370),Tabella1[CONC X VOTI IN TAB GIOC],Tabella1[Voto],""),"")</f>
        <v>6</v>
      </c>
      <c r="AA370" s="270">
        <f>_xlfn.IFNA(_xlfn.XLOOKUP(CONCATENATE(AA$4,$C370),Tabella1[CONC X VOTI IN TAB GIOC],Tabella1[Voto],""),"")</f>
        <v>6</v>
      </c>
      <c r="AB370" s="400">
        <f>_xlfn.IFNA(_xlfn.XLOOKUP(CONCATENATE(AB$4,$C370),Tabella1[CONC X VOTI IN TAB GIOC],Tabella1[Voto]),"")</f>
        <v>6.5</v>
      </c>
      <c r="AC370" s="270" cm="1">
        <f t="array" ref="AC370">_xlfn.IFNA(_xlfn.XLOOKUP(CONCATENATE(AC$4,$C370),INDEX(Tabella1[],0,MATCH("CONC X VOTI IN TAB GIOC",Tabella1[#Headers],0)),INDEX(Tabella1[],0,MATCH("Voto",Tabella1[#Headers],0))),"")</f>
        <v>6</v>
      </c>
      <c r="AD370" s="270" t="str">
        <f>_xlfn.IFNA(_xlfn.XLOOKUP(CONCATENATE(AD$4,$C370),Tabella1[CONC X VOTI IN TAB GIOC],Tabella1[Voto]),"")</f>
        <v/>
      </c>
      <c r="AE370" s="270" t="str">
        <f>_xlfn.IFNA(VLOOKUP(CONCATENATE(AE$4,$C370),'INSER DATA'!$A:$F,6,0),"")</f>
        <v/>
      </c>
      <c r="AF370" s="270" t="str">
        <f>_xlfn.IFNA(VLOOKUP(CONCATENATE(AF$4,$C370),'INSER DATA'!$A:$F,6,0),"")</f>
        <v/>
      </c>
      <c r="AG370" s="270" t="str">
        <f>_xlfn.IFNA(VLOOKUP(CONCATENATE(AG$4,$C370),'INSER DATA'!$A:$F,6,0),"")</f>
        <v/>
      </c>
      <c r="AH370" s="270" t="str">
        <f>_xlfn.IFNA(VLOOKUP(CONCATENATE(AH$4,$C370),'INSER DATA'!$A:$F,7,0),"")</f>
        <v/>
      </c>
      <c r="AI370" s="270" t="str">
        <f>_xlfn.IFNA(VLOOKUP(CONCATENATE(AI$4,$C370),'INSER DATA'!$A:$F,7,0),"")</f>
        <v/>
      </c>
      <c r="AJ370" s="270" t="str">
        <f>_xlfn.IFNA(VLOOKUP(CONCATENATE(AJ$4,$C370),'INSER DATA'!$A:$F,7,0),"")</f>
        <v/>
      </c>
      <c r="AK370" s="270" t="str">
        <f>_xlfn.IFNA(VLOOKUP(CONCATENATE(AK$4,$C370),'INSER DATA'!$A:$F,7,0),"")</f>
        <v/>
      </c>
      <c r="AL370" s="270" t="str">
        <f>_xlfn.IFNA(VLOOKUP(CONCATENATE(AL$4,$C370),'INSER DATA'!$A:$F,7,0),"")</f>
        <v/>
      </c>
      <c r="AM370" s="270" t="str">
        <f>_xlfn.IFNA(VLOOKUP(CONCATENATE(AM$4,$C370),'INSER DATA'!$A:$F,7,0),"")</f>
        <v/>
      </c>
      <c r="AN370" s="270" t="str">
        <f>_xlfn.IFNA(VLOOKUP(CONCATENATE(AN$4,$C370),'INSER DATA'!$A:$F,7,0),"")</f>
        <v/>
      </c>
      <c r="AO370" s="270" t="str">
        <f>_xlfn.IFNA(VLOOKUP(CONCATENATE(AO$4,$C370),'INSER DATA'!$A:$F,7,0),"")</f>
        <v/>
      </c>
      <c r="AP370" s="270" t="str">
        <f>_xlfn.IFNA(VLOOKUP(CONCATENATE(AP$4,$C370),'INSER DATA'!$A:$F,7,0),"")</f>
        <v/>
      </c>
      <c r="AQ370" s="270" t="str">
        <f>_xlfn.IFNA(VLOOKUP(CONCATENATE(AQ$4,$C370),'INSER DATA'!$A:$F,7,0),"")</f>
        <v/>
      </c>
      <c r="AR370" s="270" t="str">
        <f>_xlfn.IFNA(VLOOKUP(CONCATENATE(AR$4,$C370),'INSER DATA'!$A:$F,7,0),"")</f>
        <v/>
      </c>
      <c r="AS370" s="270" t="str">
        <f>_xlfn.IFNA(VLOOKUP(CONCATENATE(AS$4,$C370),'INSER DATA'!$A:$F,7,0),"")</f>
        <v/>
      </c>
      <c r="AT370" s="270" t="str">
        <f>_xlfn.IFNA(VLOOKUP(CONCATENATE(AT$4,$C370),'INSER DATA'!$A:$F,7,0),"")</f>
        <v/>
      </c>
      <c r="AU370" s="270" t="str">
        <f>_xlfn.IFNA(VLOOKUP(CONCATENATE(AU$4,$C370),'INSER DATA'!$A:$F,7,0),"")</f>
        <v/>
      </c>
      <c r="AV370" s="270" t="str">
        <f>_xlfn.IFNA(VLOOKUP(CONCATENATE(AV$4,$C370),'INSER DATA'!$A:$F,7,0),"")</f>
        <v/>
      </c>
      <c r="AW370" s="270" t="str">
        <f>_xlfn.IFNA(VLOOKUP(CONCATENATE(AW$4,$C370),'INSER DATA'!$A:$F,7,0),"")</f>
        <v/>
      </c>
      <c r="AX370" s="270" t="str">
        <f>_xlfn.IFNA(VLOOKUP(CONCATENATE(AX$4,$C370),'INSER DATA'!$A:$F,7,0),"")</f>
        <v/>
      </c>
      <c r="AY370" s="270" t="str">
        <f>_xlfn.IFNA(VLOOKUP(CONCATENATE(AY$4,$C370),'INSER DATA'!$A:$F,7,0),"")</f>
        <v/>
      </c>
      <c r="AZ370" s="270" t="str">
        <f>_xlfn.IFNA(VLOOKUP(CONCATENATE(AZ$4,$C370),'INSER DATA'!$A:$F,7,0),"")</f>
        <v/>
      </c>
      <c r="BA370" s="270" t="str">
        <f>_xlfn.IFNA(VLOOKUP(CONCATENATE(BA$4,$C370),'INSER DATA'!$A:$F,7,0),"")</f>
        <v/>
      </c>
      <c r="BB370" s="270" t="str">
        <f>_xlfn.IFNA(VLOOKUP(CONCATENATE(BB$4,$C370),'INSER DATA'!$A:$F,7,0),"")</f>
        <v/>
      </c>
      <c r="BC370" s="270" t="str">
        <f>_xlfn.IFNA(VLOOKUP(CONCATENATE(BC$4,$C370),'INSER DATA'!$A:$F,7,0),"")</f>
        <v/>
      </c>
      <c r="BD370" s="270" t="str">
        <f>_xlfn.IFNA(VLOOKUP(CONCATENATE(BD$4,$C370),'INSER DATA'!$A:$F,7,0),"")</f>
        <v/>
      </c>
      <c r="BE370" s="270" t="str">
        <f>_xlfn.IFNA(VLOOKUP(CONCATENATE(BE$4,$C370),'INSER DATA'!$A:$F,7,0),"")</f>
        <v/>
      </c>
      <c r="BF370" s="270" t="str">
        <f>_xlfn.IFNA(VLOOKUP(CONCATENATE(BF$4,$C370),'INSER DATA'!$A:$F,7,0),"")</f>
        <v/>
      </c>
      <c r="BG370" s="270" t="str">
        <f>_xlfn.IFNA(VLOOKUP(CONCATENATE(BG$4,$C370),'INSER DATA'!$A:$F,7,0),"")</f>
        <v/>
      </c>
      <c r="BH370" s="270" t="str">
        <f>_xlfn.IFNA(VLOOKUP(CONCATENATE(BH$4,$C370),'INSER DATA'!$A:$F,7,0),"")</f>
        <v/>
      </c>
      <c r="BI370" s="270" t="str">
        <f>_xlfn.IFNA(VLOOKUP(CONCATENATE(BI$4,$C370),'INSER DATA'!$A:$F,7,0),"")</f>
        <v/>
      </c>
      <c r="BJ370" s="270" t="str">
        <f>_xlfn.IFNA(VLOOKUP(CONCATENATE(BJ$4,$C370),'INSER DATA'!$A:$F,7,0),"")</f>
        <v/>
      </c>
      <c r="BK370" s="270" t="str">
        <f>_xlfn.IFNA(VLOOKUP(CONCATENATE(BK$4,$C370),'INSER DATA'!$A:$F,7,0),"")</f>
        <v/>
      </c>
      <c r="BL370" s="272"/>
      <c r="BM370" s="30"/>
      <c r="BN370" s="30"/>
      <c r="BO370" s="30"/>
      <c r="BP370" s="30"/>
      <c r="BQ370" s="30"/>
      <c r="BR370" s="30"/>
      <c r="BS370" s="30"/>
      <c r="BT370" s="30"/>
      <c r="BU370" s="30"/>
      <c r="BV370" s="30"/>
      <c r="BW370" s="30"/>
      <c r="BX370" s="30"/>
      <c r="BY370" s="30"/>
      <c r="BZ370" s="30"/>
      <c r="CA370" s="30"/>
      <c r="CB370" s="30"/>
      <c r="CC370" s="30"/>
      <c r="CD370" s="30"/>
      <c r="CE370" s="30"/>
      <c r="CF370" s="30"/>
      <c r="CG370" s="30"/>
      <c r="CH370" s="30"/>
      <c r="CI370" s="30"/>
      <c r="CJ370" s="30"/>
      <c r="CK370" s="30"/>
      <c r="CL370" s="30"/>
      <c r="CM370" s="30"/>
      <c r="CN370" s="30"/>
      <c r="CO370" s="30"/>
      <c r="CP370" s="30"/>
      <c r="CQ370" s="30"/>
      <c r="CR370" s="30"/>
      <c r="CS370" s="30"/>
      <c r="CT370" s="30"/>
      <c r="CU370" s="30"/>
      <c r="CV370" s="30"/>
      <c r="CW370" s="30"/>
      <c r="CX370" s="30"/>
      <c r="CY370" s="30"/>
      <c r="CZ370" s="30"/>
      <c r="DA370" s="30"/>
    </row>
    <row r="371" spans="1:105" ht="19.2" thickTop="1" thickBot="1" x14ac:dyDescent="0.4">
      <c r="A371" s="30"/>
      <c r="B371" s="30"/>
      <c r="C371" s="185" t="s">
        <v>461</v>
      </c>
      <c r="D371" s="46" t="s">
        <v>874</v>
      </c>
      <c r="E371" s="35" t="str">
        <f>_xlfn.XLOOKUP(Tabella4[[#This Row],[NOME]],'ROSE SQUADRE'!$N$3:$N$253,'ROSE SQUADRE'!$O$3:$O$253,"")</f>
        <v/>
      </c>
      <c r="F371" s="36" t="s">
        <v>162</v>
      </c>
      <c r="G371" s="43">
        <v>4</v>
      </c>
      <c r="H371" s="43">
        <v>4</v>
      </c>
      <c r="I371" s="44">
        <f t="shared" si="31"/>
        <v>0</v>
      </c>
      <c r="J371" s="37">
        <f t="shared" si="32"/>
        <v>3</v>
      </c>
      <c r="K371" s="178">
        <f t="shared" si="33"/>
        <v>6</v>
      </c>
      <c r="L371" s="178">
        <f t="shared" si="34"/>
        <v>6.166666666666667</v>
      </c>
      <c r="M371" s="179">
        <f t="shared" si="35"/>
        <v>18.5</v>
      </c>
      <c r="N371" s="45">
        <f t="shared" ca="1" si="36"/>
        <v>0</v>
      </c>
      <c r="O371" s="40">
        <f>SUMIF(Tabella1[Nome],Tabella4[[#This Row],[NOME]],Tabella1[Gf])</f>
        <v>0</v>
      </c>
      <c r="P371" s="40">
        <f>-(SUMIF(Tabella1[Nome],Tabella4[[#This Row],[NOME]],Tabella1[Gs]))</f>
        <v>0</v>
      </c>
      <c r="Q371" s="40">
        <f>SUMIF(Tabella1[Nome],Tabella4[[#This Row],[NOME]],Tabella1[Rp])</f>
        <v>0</v>
      </c>
      <c r="R371" s="40">
        <f>SUMIF(Tabella1[Nome],Tabella4[[#This Row],[NOME]],Tabella1[Rs])</f>
        <v>0</v>
      </c>
      <c r="S371" s="40">
        <f>SUMIF(Tabella1[Nome],Tabella4[[#This Row],[NOME]],Tabella1[Rf])</f>
        <v>0</v>
      </c>
      <c r="T371" s="40">
        <f>SUMIF(Tabella1[Nome],Tabella4[[#This Row],[NOME]],Tabella1[Au])</f>
        <v>0</v>
      </c>
      <c r="U371" s="41">
        <f>SUMIF(Tabella1[Nome],Tabella4[[#This Row],[NOME]],Tabella1[Amm])</f>
        <v>1</v>
      </c>
      <c r="V371" s="42">
        <f>SUMIF(Tabella1[Nome],Tabella4[[#This Row],[NOME]],Tabella1[Esp])</f>
        <v>0</v>
      </c>
      <c r="W371" s="40">
        <f>SUMIF(Tabella1[Nome],Tabella4[[#This Row],[NOME]],Tabella1[Ass])</f>
        <v>1</v>
      </c>
      <c r="X371" s="40">
        <f>SUMIF(Tabella1[Nome],Tabella4[[#This Row],[NOME]],Tabella1[Gdv])</f>
        <v>0</v>
      </c>
      <c r="Y371" s="40">
        <f>SUMIF(Tabella1[Nome],Tabella4[[#This Row],[NOME]],Tabella1[cl sh])</f>
        <v>0</v>
      </c>
      <c r="Z371" s="270">
        <f>_xlfn.IFNA(_xlfn.XLOOKUP(CONCATENATE(Z$4,$C371),Tabella1[CONC X VOTI IN TAB GIOC],Tabella1[Voto],""),"")</f>
        <v>6</v>
      </c>
      <c r="AA371" s="270" t="str">
        <f>_xlfn.IFNA(_xlfn.XLOOKUP(CONCATENATE(AA$4,$C371),Tabella1[CONC X VOTI IN TAB GIOC],Tabella1[Voto],""),"")</f>
        <v/>
      </c>
      <c r="AB371" s="270">
        <f>_xlfn.IFNA(_xlfn.XLOOKUP(CONCATENATE(AB$4,$C371),Tabella1[CONC X VOTI IN TAB GIOC],Tabella1[Voto]),"")</f>
        <v>5.5</v>
      </c>
      <c r="AC371" s="270" cm="1">
        <f t="array" ref="AC371">_xlfn.IFNA(_xlfn.XLOOKUP(CONCATENATE(AC$4,$C371),INDEX(Tabella1[],0,MATCH("CONC X VOTI IN TAB GIOC",Tabella1[#Headers],0)),INDEX(Tabella1[],0,MATCH("Voto",Tabella1[#Headers],0))),"")</f>
        <v>6.5</v>
      </c>
      <c r="AD371" s="270" t="str">
        <f>_xlfn.IFNA(_xlfn.XLOOKUP(CONCATENATE(AD$4,$C371),Tabella1[CONC X VOTI IN TAB GIOC],Tabella1[Voto]),"")</f>
        <v/>
      </c>
      <c r="AE371" s="270" t="str">
        <f>_xlfn.IFNA(VLOOKUP(CONCATENATE(AE$4,$C371),'INSER DATA'!$A:$F,6,0),"")</f>
        <v/>
      </c>
      <c r="AF371" s="270" t="str">
        <f>_xlfn.IFNA(VLOOKUP(CONCATENATE(AF$4,$C371),'INSER DATA'!$A:$F,6,0),"")</f>
        <v/>
      </c>
      <c r="AG371" s="270" t="str">
        <f>_xlfn.IFNA(VLOOKUP(CONCATENATE(AG$4,$C371),'INSER DATA'!$A:$F,6,0),"")</f>
        <v/>
      </c>
      <c r="AH371" s="270" t="str">
        <f>_xlfn.IFNA(VLOOKUP(CONCATENATE(AH$4,$C371),'INSER DATA'!$A:$F,7,0),"")</f>
        <v/>
      </c>
      <c r="AI371" s="270" t="str">
        <f>_xlfn.IFNA(VLOOKUP(CONCATENATE(AI$4,$C371),'INSER DATA'!$A:$F,7,0),"")</f>
        <v/>
      </c>
      <c r="AJ371" s="270" t="str">
        <f>_xlfn.IFNA(VLOOKUP(CONCATENATE(AJ$4,$C371),'INSER DATA'!$A:$F,7,0),"")</f>
        <v/>
      </c>
      <c r="AK371" s="270" t="str">
        <f>_xlfn.IFNA(VLOOKUP(CONCATENATE(AK$4,$C371),'INSER DATA'!$A:$F,7,0),"")</f>
        <v/>
      </c>
      <c r="AL371" s="270" t="str">
        <f>_xlfn.IFNA(VLOOKUP(CONCATENATE(AL$4,$C371),'INSER DATA'!$A:$F,7,0),"")</f>
        <v/>
      </c>
      <c r="AM371" s="270" t="str">
        <f>_xlfn.IFNA(VLOOKUP(CONCATENATE(AM$4,$C371),'INSER DATA'!$A:$F,7,0),"")</f>
        <v/>
      </c>
      <c r="AN371" s="270" t="str">
        <f>_xlfn.IFNA(VLOOKUP(CONCATENATE(AN$4,$C371),'INSER DATA'!$A:$F,7,0),"")</f>
        <v/>
      </c>
      <c r="AO371" s="270" t="str">
        <f>_xlfn.IFNA(VLOOKUP(CONCATENATE(AO$4,$C371),'INSER DATA'!$A:$F,7,0),"")</f>
        <v/>
      </c>
      <c r="AP371" s="270" t="str">
        <f>_xlfn.IFNA(VLOOKUP(CONCATENATE(AP$4,$C371),'INSER DATA'!$A:$F,7,0),"")</f>
        <v/>
      </c>
      <c r="AQ371" s="270" t="str">
        <f>_xlfn.IFNA(VLOOKUP(CONCATENATE(AQ$4,$C371),'INSER DATA'!$A:$F,7,0),"")</f>
        <v/>
      </c>
      <c r="AR371" s="270" t="str">
        <f>_xlfn.IFNA(VLOOKUP(CONCATENATE(AR$4,$C371),'INSER DATA'!$A:$F,7,0),"")</f>
        <v/>
      </c>
      <c r="AS371" s="270" t="str">
        <f>_xlfn.IFNA(VLOOKUP(CONCATENATE(AS$4,$C371),'INSER DATA'!$A:$F,7,0),"")</f>
        <v/>
      </c>
      <c r="AT371" s="270" t="str">
        <f>_xlfn.IFNA(VLOOKUP(CONCATENATE(AT$4,$C371),'INSER DATA'!$A:$F,7,0),"")</f>
        <v/>
      </c>
      <c r="AU371" s="270" t="str">
        <f>_xlfn.IFNA(VLOOKUP(CONCATENATE(AU$4,$C371),'INSER DATA'!$A:$F,7,0),"")</f>
        <v/>
      </c>
      <c r="AV371" s="270" t="str">
        <f>_xlfn.IFNA(VLOOKUP(CONCATENATE(AV$4,$C371),'INSER DATA'!$A:$F,7,0),"")</f>
        <v/>
      </c>
      <c r="AW371" s="270" t="str">
        <f>_xlfn.IFNA(VLOOKUP(CONCATENATE(AW$4,$C371),'INSER DATA'!$A:$F,7,0),"")</f>
        <v/>
      </c>
      <c r="AX371" s="270" t="str">
        <f>_xlfn.IFNA(VLOOKUP(CONCATENATE(AX$4,$C371),'INSER DATA'!$A:$F,7,0),"")</f>
        <v/>
      </c>
      <c r="AY371" s="270" t="str">
        <f>_xlfn.IFNA(VLOOKUP(CONCATENATE(AY$4,$C371),'INSER DATA'!$A:$F,7,0),"")</f>
        <v/>
      </c>
      <c r="AZ371" s="270" t="str">
        <f>_xlfn.IFNA(VLOOKUP(CONCATENATE(AZ$4,$C371),'INSER DATA'!$A:$F,7,0),"")</f>
        <v/>
      </c>
      <c r="BA371" s="270" t="str">
        <f>_xlfn.IFNA(VLOOKUP(CONCATENATE(BA$4,$C371),'INSER DATA'!$A:$F,7,0),"")</f>
        <v/>
      </c>
      <c r="BB371" s="270" t="str">
        <f>_xlfn.IFNA(VLOOKUP(CONCATENATE(BB$4,$C371),'INSER DATA'!$A:$F,7,0),"")</f>
        <v/>
      </c>
      <c r="BC371" s="270" t="str">
        <f>_xlfn.IFNA(VLOOKUP(CONCATENATE(BC$4,$C371),'INSER DATA'!$A:$F,7,0),"")</f>
        <v/>
      </c>
      <c r="BD371" s="270" t="str">
        <f>_xlfn.IFNA(VLOOKUP(CONCATENATE(BD$4,$C371),'INSER DATA'!$A:$F,7,0),"")</f>
        <v/>
      </c>
      <c r="BE371" s="270" t="str">
        <f>_xlfn.IFNA(VLOOKUP(CONCATENATE(BE$4,$C371),'INSER DATA'!$A:$F,7,0),"")</f>
        <v/>
      </c>
      <c r="BF371" s="270" t="str">
        <f>_xlfn.IFNA(VLOOKUP(CONCATENATE(BF$4,$C371),'INSER DATA'!$A:$F,7,0),"")</f>
        <v/>
      </c>
      <c r="BG371" s="270" t="str">
        <f>_xlfn.IFNA(VLOOKUP(CONCATENATE(BG$4,$C371),'INSER DATA'!$A:$F,7,0),"")</f>
        <v/>
      </c>
      <c r="BH371" s="270" t="str">
        <f>_xlfn.IFNA(VLOOKUP(CONCATENATE(BH$4,$C371),'INSER DATA'!$A:$F,7,0),"")</f>
        <v/>
      </c>
      <c r="BI371" s="270" t="str">
        <f>_xlfn.IFNA(VLOOKUP(CONCATENATE(BI$4,$C371),'INSER DATA'!$A:$F,7,0),"")</f>
        <v/>
      </c>
      <c r="BJ371" s="270" t="str">
        <f>_xlfn.IFNA(VLOOKUP(CONCATENATE(BJ$4,$C371),'INSER DATA'!$A:$F,7,0),"")</f>
        <v/>
      </c>
      <c r="BK371" s="270" t="str">
        <f>_xlfn.IFNA(VLOOKUP(CONCATENATE(BK$4,$C371),'INSER DATA'!$A:$F,7,0),"")</f>
        <v/>
      </c>
      <c r="BL371" s="272"/>
      <c r="BM371" s="30"/>
      <c r="BN371" s="30"/>
      <c r="BO371" s="30"/>
      <c r="BP371" s="30"/>
      <c r="BQ371" s="30"/>
      <c r="BR371" s="30"/>
      <c r="BS371" s="30"/>
      <c r="BT371" s="30"/>
      <c r="BU371" s="30"/>
      <c r="BV371" s="30"/>
      <c r="BW371" s="30"/>
      <c r="BX371" s="30"/>
      <c r="BY371" s="30"/>
      <c r="BZ371" s="30"/>
      <c r="CA371" s="30"/>
      <c r="CB371" s="30"/>
      <c r="CC371" s="30"/>
      <c r="CD371" s="30"/>
      <c r="CE371" s="30"/>
      <c r="CF371" s="30"/>
      <c r="CG371" s="30"/>
      <c r="CH371" s="30"/>
      <c r="CI371" s="30"/>
      <c r="CJ371" s="30"/>
      <c r="CK371" s="30"/>
      <c r="CL371" s="30"/>
      <c r="CM371" s="30"/>
      <c r="CN371" s="30"/>
      <c r="CO371" s="30"/>
      <c r="CP371" s="30"/>
      <c r="CQ371" s="30"/>
      <c r="CR371" s="30"/>
      <c r="CS371" s="30"/>
      <c r="CT371" s="30"/>
      <c r="CU371" s="30"/>
      <c r="CV371" s="30"/>
      <c r="CW371" s="30"/>
      <c r="CX371" s="30"/>
      <c r="CY371" s="30"/>
      <c r="CZ371" s="30"/>
      <c r="DA371" s="30"/>
    </row>
    <row r="372" spans="1:105" ht="19.2" thickTop="1" thickBot="1" x14ac:dyDescent="0.4">
      <c r="A372" s="30"/>
      <c r="B372" s="30"/>
      <c r="C372" s="185" t="s">
        <v>883</v>
      </c>
      <c r="D372" s="46" t="s">
        <v>874</v>
      </c>
      <c r="E372" s="35" t="str">
        <f>_xlfn.XLOOKUP(Tabella4[[#This Row],[NOME]],'ROSE SQUADRE'!$N$3:$N$253,'ROSE SQUADRE'!$O$3:$O$253,"")</f>
        <v/>
      </c>
      <c r="F372" s="36" t="s">
        <v>162</v>
      </c>
      <c r="G372" s="43">
        <v>3</v>
      </c>
      <c r="H372" s="43">
        <v>4</v>
      </c>
      <c r="I372" s="44">
        <f t="shared" si="31"/>
        <v>1</v>
      </c>
      <c r="J372" s="37">
        <f t="shared" si="32"/>
        <v>1</v>
      </c>
      <c r="K372" s="38">
        <f t="shared" si="33"/>
        <v>6</v>
      </c>
      <c r="L372" s="38">
        <f t="shared" si="34"/>
        <v>6</v>
      </c>
      <c r="M372" s="39">
        <f t="shared" si="35"/>
        <v>6</v>
      </c>
      <c r="N372" s="45">
        <f t="shared" ca="1" si="36"/>
        <v>0</v>
      </c>
      <c r="O372" s="40">
        <f>SUMIF(Tabella1[Nome],Tabella4[[#This Row],[NOME]],Tabella1[Gf])</f>
        <v>0</v>
      </c>
      <c r="P372" s="40">
        <f>-(SUMIF(Tabella1[Nome],Tabella4[[#This Row],[NOME]],Tabella1[Gs]))</f>
        <v>0</v>
      </c>
      <c r="Q372" s="40">
        <f>SUMIF(Tabella1[Nome],Tabella4[[#This Row],[NOME]],Tabella1[Rp])</f>
        <v>0</v>
      </c>
      <c r="R372" s="40">
        <f>SUMIF(Tabella1[Nome],Tabella4[[#This Row],[NOME]],Tabella1[Rs])</f>
        <v>0</v>
      </c>
      <c r="S372" s="40">
        <f>SUMIF(Tabella1[Nome],Tabella4[[#This Row],[NOME]],Tabella1[Rf])</f>
        <v>0</v>
      </c>
      <c r="T372" s="40">
        <f>SUMIF(Tabella1[Nome],Tabella4[[#This Row],[NOME]],Tabella1[Au])</f>
        <v>0</v>
      </c>
      <c r="U372" s="41">
        <f>SUMIF(Tabella1[Nome],Tabella4[[#This Row],[NOME]],Tabella1[Amm])</f>
        <v>0</v>
      </c>
      <c r="V372" s="42">
        <f>SUMIF(Tabella1[Nome],Tabella4[[#This Row],[NOME]],Tabella1[Esp])</f>
        <v>0</v>
      </c>
      <c r="W372" s="40">
        <f>SUMIF(Tabella1[Nome],Tabella4[[#This Row],[NOME]],Tabella1[Ass])</f>
        <v>0</v>
      </c>
      <c r="X372" s="40">
        <f>SUMIF(Tabella1[Nome],Tabella4[[#This Row],[NOME]],Tabella1[Gdv])</f>
        <v>0</v>
      </c>
      <c r="Y372" s="40">
        <f>SUMIF(Tabella1[Nome],Tabella4[[#This Row],[NOME]],Tabella1[cl sh])</f>
        <v>0</v>
      </c>
      <c r="Z372" s="270">
        <f>_xlfn.IFNA(_xlfn.XLOOKUP(CONCATENATE(Z$4,$C372),Tabella1[CONC X VOTI IN TAB GIOC],Tabella1[Voto],""),"")</f>
        <v>6</v>
      </c>
      <c r="AA372" s="270" t="str">
        <f>_xlfn.IFNA(_xlfn.XLOOKUP(CONCATENATE(AA$4,$C372),Tabella1[CONC X VOTI IN TAB GIOC],Tabella1[Voto],""),"")</f>
        <v/>
      </c>
      <c r="AB372" s="270" t="str">
        <f>_xlfn.IFNA(_xlfn.XLOOKUP(CONCATENATE(AB$4,$C372),Tabella1[CONC X VOTI IN TAB GIOC],Tabella1[Voto]),"")</f>
        <v/>
      </c>
      <c r="AC372" s="270" t="str" cm="1">
        <f t="array" ref="AC372">_xlfn.IFNA(_xlfn.XLOOKUP(CONCATENATE(AC$4,$C372),INDEX(Tabella1[],0,MATCH("CONC X VOTI IN TAB GIOC",Tabella1[#Headers],0)),INDEX(Tabella1[],0,MATCH("Voto",Tabella1[#Headers],0))),"")</f>
        <v/>
      </c>
      <c r="AD372" s="270" t="str">
        <f>_xlfn.IFNA(_xlfn.XLOOKUP(CONCATENATE(AD$4,$C372),Tabella1[CONC X VOTI IN TAB GIOC],Tabella1[Voto]),"")</f>
        <v/>
      </c>
      <c r="AE372" s="270" t="str">
        <f>_xlfn.IFNA(VLOOKUP(CONCATENATE(AE$4,$C372),'INSER DATA'!$A:$F,6,0),"")</f>
        <v/>
      </c>
      <c r="AF372" s="270" t="str">
        <f>_xlfn.IFNA(VLOOKUP(CONCATENATE(AF$4,$C372),'INSER DATA'!$A:$F,6,0),"")</f>
        <v/>
      </c>
      <c r="AG372" s="270" t="str">
        <f>_xlfn.IFNA(VLOOKUP(CONCATENATE(AG$4,$C372),'INSER DATA'!$A:$F,6,0),"")</f>
        <v/>
      </c>
      <c r="AH372" s="270" t="str">
        <f>_xlfn.IFNA(VLOOKUP(CONCATENATE(AH$4,$C372),'INSER DATA'!$A:$F,7,0),"")</f>
        <v/>
      </c>
      <c r="AI372" s="270" t="str">
        <f>_xlfn.IFNA(VLOOKUP(CONCATENATE(AI$4,$C372),'INSER DATA'!$A:$F,7,0),"")</f>
        <v/>
      </c>
      <c r="AJ372" s="270" t="str">
        <f>_xlfn.IFNA(VLOOKUP(CONCATENATE(AJ$4,$C372),'INSER DATA'!$A:$F,7,0),"")</f>
        <v/>
      </c>
      <c r="AK372" s="270" t="str">
        <f>_xlfn.IFNA(VLOOKUP(CONCATENATE(AK$4,$C372),'INSER DATA'!$A:$F,7,0),"")</f>
        <v/>
      </c>
      <c r="AL372" s="270" t="str">
        <f>_xlfn.IFNA(VLOOKUP(CONCATENATE(AL$4,$C372),'INSER DATA'!$A:$F,7,0),"")</f>
        <v/>
      </c>
      <c r="AM372" s="270" t="str">
        <f>_xlfn.IFNA(VLOOKUP(CONCATENATE(AM$4,$C372),'INSER DATA'!$A:$F,7,0),"")</f>
        <v/>
      </c>
      <c r="AN372" s="270" t="str">
        <f>_xlfn.IFNA(VLOOKUP(CONCATENATE(AN$4,$C372),'INSER DATA'!$A:$F,7,0),"")</f>
        <v/>
      </c>
      <c r="AO372" s="270" t="str">
        <f>_xlfn.IFNA(VLOOKUP(CONCATENATE(AO$4,$C372),'INSER DATA'!$A:$F,7,0),"")</f>
        <v/>
      </c>
      <c r="AP372" s="270" t="str">
        <f>_xlfn.IFNA(VLOOKUP(CONCATENATE(AP$4,$C372),'INSER DATA'!$A:$F,7,0),"")</f>
        <v/>
      </c>
      <c r="AQ372" s="270" t="str">
        <f>_xlfn.IFNA(VLOOKUP(CONCATENATE(AQ$4,$C372),'INSER DATA'!$A:$F,7,0),"")</f>
        <v/>
      </c>
      <c r="AR372" s="270" t="str">
        <f>_xlfn.IFNA(VLOOKUP(CONCATENATE(AR$4,$C372),'INSER DATA'!$A:$F,7,0),"")</f>
        <v/>
      </c>
      <c r="AS372" s="270" t="str">
        <f>_xlfn.IFNA(VLOOKUP(CONCATENATE(AS$4,$C372),'INSER DATA'!$A:$F,7,0),"")</f>
        <v/>
      </c>
      <c r="AT372" s="270" t="str">
        <f>_xlfn.IFNA(VLOOKUP(CONCATENATE(AT$4,$C372),'INSER DATA'!$A:$F,7,0),"")</f>
        <v/>
      </c>
      <c r="AU372" s="270" t="str">
        <f>_xlfn.IFNA(VLOOKUP(CONCATENATE(AU$4,$C372),'INSER DATA'!$A:$F,7,0),"")</f>
        <v/>
      </c>
      <c r="AV372" s="270" t="str">
        <f>_xlfn.IFNA(VLOOKUP(CONCATENATE(AV$4,$C372),'INSER DATA'!$A:$F,7,0),"")</f>
        <v/>
      </c>
      <c r="AW372" s="270" t="str">
        <f>_xlfn.IFNA(VLOOKUP(CONCATENATE(AW$4,$C372),'INSER DATA'!$A:$F,7,0),"")</f>
        <v/>
      </c>
      <c r="AX372" s="270" t="str">
        <f>_xlfn.IFNA(VLOOKUP(CONCATENATE(AX$4,$C372),'INSER DATA'!$A:$F,7,0),"")</f>
        <v/>
      </c>
      <c r="AY372" s="270" t="str">
        <f>_xlfn.IFNA(VLOOKUP(CONCATENATE(AY$4,$C372),'INSER DATA'!$A:$F,7,0),"")</f>
        <v/>
      </c>
      <c r="AZ372" s="270" t="str">
        <f>_xlfn.IFNA(VLOOKUP(CONCATENATE(AZ$4,$C372),'INSER DATA'!$A:$F,7,0),"")</f>
        <v/>
      </c>
      <c r="BA372" s="270" t="str">
        <f>_xlfn.IFNA(VLOOKUP(CONCATENATE(BA$4,$C372),'INSER DATA'!$A:$F,7,0),"")</f>
        <v/>
      </c>
      <c r="BB372" s="270" t="str">
        <f>_xlfn.IFNA(VLOOKUP(CONCATENATE(BB$4,$C372),'INSER DATA'!$A:$F,7,0),"")</f>
        <v/>
      </c>
      <c r="BC372" s="270" t="str">
        <f>_xlfn.IFNA(VLOOKUP(CONCATENATE(BC$4,$C372),'INSER DATA'!$A:$F,7,0),"")</f>
        <v/>
      </c>
      <c r="BD372" s="270" t="str">
        <f>_xlfn.IFNA(VLOOKUP(CONCATENATE(BD$4,$C372),'INSER DATA'!$A:$F,7,0),"")</f>
        <v/>
      </c>
      <c r="BE372" s="270" t="str">
        <f>_xlfn.IFNA(VLOOKUP(CONCATENATE(BE$4,$C372),'INSER DATA'!$A:$F,7,0),"")</f>
        <v/>
      </c>
      <c r="BF372" s="270" t="str">
        <f>_xlfn.IFNA(VLOOKUP(CONCATENATE(BF$4,$C372),'INSER DATA'!$A:$F,7,0),"")</f>
        <v/>
      </c>
      <c r="BG372" s="270" t="str">
        <f>_xlfn.IFNA(VLOOKUP(CONCATENATE(BG$4,$C372),'INSER DATA'!$A:$F,7,0),"")</f>
        <v/>
      </c>
      <c r="BH372" s="270" t="str">
        <f>_xlfn.IFNA(VLOOKUP(CONCATENATE(BH$4,$C372),'INSER DATA'!$A:$F,7,0),"")</f>
        <v/>
      </c>
      <c r="BI372" s="270" t="str">
        <f>_xlfn.IFNA(VLOOKUP(CONCATENATE(BI$4,$C372),'INSER DATA'!$A:$F,7,0),"")</f>
        <v/>
      </c>
      <c r="BJ372" s="270" t="str">
        <f>_xlfn.IFNA(VLOOKUP(CONCATENATE(BJ$4,$C372),'INSER DATA'!$A:$F,7,0),"")</f>
        <v/>
      </c>
      <c r="BK372" s="270" t="str">
        <f>_xlfn.IFNA(VLOOKUP(CONCATENATE(BK$4,$C372),'INSER DATA'!$A:$F,7,0),"")</f>
        <v/>
      </c>
      <c r="BL372" s="272"/>
      <c r="BM372" s="30"/>
      <c r="BN372" s="30"/>
      <c r="BO372" s="30"/>
      <c r="BP372" s="30"/>
      <c r="BQ372" s="30"/>
      <c r="BR372" s="30"/>
      <c r="BS372" s="30"/>
      <c r="BT372" s="30"/>
      <c r="BU372" s="30"/>
      <c r="BV372" s="30"/>
      <c r="BW372" s="30"/>
      <c r="BX372" s="30"/>
      <c r="BY372" s="30"/>
      <c r="BZ372" s="30"/>
      <c r="CA372" s="30"/>
      <c r="CB372" s="30"/>
      <c r="CC372" s="30"/>
      <c r="CD372" s="30"/>
      <c r="CE372" s="30"/>
      <c r="CF372" s="30"/>
      <c r="CG372" s="30"/>
      <c r="CH372" s="30"/>
      <c r="CI372" s="30"/>
      <c r="CJ372" s="30"/>
      <c r="CK372" s="30"/>
      <c r="CL372" s="30"/>
      <c r="CM372" s="30"/>
      <c r="CN372" s="30"/>
      <c r="CO372" s="30"/>
      <c r="CP372" s="30"/>
      <c r="CQ372" s="30"/>
      <c r="CR372" s="30"/>
      <c r="CS372" s="30"/>
      <c r="CT372" s="30"/>
      <c r="CU372" s="30"/>
      <c r="CV372" s="30"/>
      <c r="CW372" s="30"/>
      <c r="CX372" s="30"/>
      <c r="CY372" s="30"/>
      <c r="CZ372" s="30"/>
      <c r="DA372" s="30"/>
    </row>
    <row r="373" spans="1:105" ht="19.2" thickTop="1" thickBot="1" x14ac:dyDescent="0.4">
      <c r="A373" s="30"/>
      <c r="B373" s="30"/>
      <c r="C373" s="188" t="s">
        <v>885</v>
      </c>
      <c r="D373" s="187" t="s">
        <v>874</v>
      </c>
      <c r="E373" s="35" t="str">
        <f>_xlfn.XLOOKUP(Tabella4[[#This Row],[NOME]],'ROSE SQUADRE'!$N$3:$N$253,'ROSE SQUADRE'!$O$3:$O$253,"")</f>
        <v/>
      </c>
      <c r="F373" s="36" t="s">
        <v>162</v>
      </c>
      <c r="G373" s="43">
        <v>2</v>
      </c>
      <c r="H373" s="43">
        <v>3</v>
      </c>
      <c r="I373" s="44">
        <f t="shared" si="31"/>
        <v>1</v>
      </c>
      <c r="J373" s="37">
        <f t="shared" si="32"/>
        <v>3</v>
      </c>
      <c r="K373" s="178">
        <f t="shared" si="33"/>
        <v>5.833333333333333</v>
      </c>
      <c r="L373" s="178">
        <f t="shared" si="34"/>
        <v>5.833333333333333</v>
      </c>
      <c r="M373" s="179">
        <f t="shared" si="35"/>
        <v>17.5</v>
      </c>
      <c r="N373" s="45">
        <f t="shared" ca="1" si="36"/>
        <v>0</v>
      </c>
      <c r="O373" s="40">
        <f>SUMIF(Tabella1[Nome],Tabella4[[#This Row],[NOME]],Tabella1[Gf])</f>
        <v>0</v>
      </c>
      <c r="P373" s="40">
        <f>-(SUMIF(Tabella1[Nome],Tabella4[[#This Row],[NOME]],Tabella1[Gs]))</f>
        <v>0</v>
      </c>
      <c r="Q373" s="40">
        <f>SUMIF(Tabella1[Nome],Tabella4[[#This Row],[NOME]],Tabella1[Rp])</f>
        <v>0</v>
      </c>
      <c r="R373" s="40">
        <f>SUMIF(Tabella1[Nome],Tabella4[[#This Row],[NOME]],Tabella1[Rs])</f>
        <v>0</v>
      </c>
      <c r="S373" s="40">
        <f>SUMIF(Tabella1[Nome],Tabella4[[#This Row],[NOME]],Tabella1[Rf])</f>
        <v>0</v>
      </c>
      <c r="T373" s="40">
        <f>SUMIF(Tabella1[Nome],Tabella4[[#This Row],[NOME]],Tabella1[Au])</f>
        <v>0</v>
      </c>
      <c r="U373" s="41">
        <f>SUMIF(Tabella1[Nome],Tabella4[[#This Row],[NOME]],Tabella1[Amm])</f>
        <v>0</v>
      </c>
      <c r="V373" s="42">
        <f>SUMIF(Tabella1[Nome],Tabella4[[#This Row],[NOME]],Tabella1[Esp])</f>
        <v>0</v>
      </c>
      <c r="W373" s="40">
        <f>SUMIF(Tabella1[Nome],Tabella4[[#This Row],[NOME]],Tabella1[Ass])</f>
        <v>0</v>
      </c>
      <c r="X373" s="40">
        <f>SUMIF(Tabella1[Nome],Tabella4[[#This Row],[NOME]],Tabella1[Gdv])</f>
        <v>0</v>
      </c>
      <c r="Y373" s="40">
        <f>SUMIF(Tabella1[Nome],Tabella4[[#This Row],[NOME]],Tabella1[cl sh])</f>
        <v>0</v>
      </c>
      <c r="Z373" s="270">
        <f>_xlfn.IFNA(_xlfn.XLOOKUP(CONCATENATE(Z$4,$C373),Tabella1[CONC X VOTI IN TAB GIOC],Tabella1[Voto],""),"")</f>
        <v>6</v>
      </c>
      <c r="AA373" s="270">
        <f>_xlfn.IFNA(_xlfn.XLOOKUP(CONCATENATE(AA$4,$C373),Tabella1[CONC X VOTI IN TAB GIOC],Tabella1[Voto],""),"")</f>
        <v>6</v>
      </c>
      <c r="AB373" s="270">
        <f>_xlfn.IFNA(_xlfn.XLOOKUP(CONCATENATE(AB$4,$C373),Tabella1[CONC X VOTI IN TAB GIOC],Tabella1[Voto]),"")</f>
        <v>5.5</v>
      </c>
      <c r="AC373" s="270" t="str" cm="1">
        <f t="array" ref="AC373">_xlfn.IFNA(_xlfn.XLOOKUP(CONCATENATE(AC$4,$C373),INDEX(Tabella1[],0,MATCH("CONC X VOTI IN TAB GIOC",Tabella1[#Headers],0)),INDEX(Tabella1[],0,MATCH("Voto",Tabella1[#Headers],0))),"")</f>
        <v/>
      </c>
      <c r="AD373" s="270" t="str">
        <f>_xlfn.IFNA(_xlfn.XLOOKUP(CONCATENATE(AD$4,$C373),Tabella1[CONC X VOTI IN TAB GIOC],Tabella1[Voto]),"")</f>
        <v/>
      </c>
      <c r="AE373" s="270" t="str">
        <f>_xlfn.IFNA(VLOOKUP(CONCATENATE(AE$4,$C373),'INSER DATA'!$A:$F,6,0),"")</f>
        <v/>
      </c>
      <c r="AF373" s="270" t="str">
        <f>_xlfn.IFNA(VLOOKUP(CONCATENATE(AF$4,$C373),'INSER DATA'!$A:$F,6,0),"")</f>
        <v/>
      </c>
      <c r="AG373" s="270" t="str">
        <f>_xlfn.IFNA(VLOOKUP(CONCATENATE(AG$4,$C373),'INSER DATA'!$A:$F,6,0),"")</f>
        <v/>
      </c>
      <c r="AH373" s="270" t="str">
        <f>_xlfn.IFNA(VLOOKUP(CONCATENATE(AH$4,$C373),'INSER DATA'!$A:$F,7,0),"")</f>
        <v/>
      </c>
      <c r="AI373" s="270" t="str">
        <f>_xlfn.IFNA(VLOOKUP(CONCATENATE(AI$4,$C373),'INSER DATA'!$A:$F,7,0),"")</f>
        <v/>
      </c>
      <c r="AJ373" s="270" t="str">
        <f>_xlfn.IFNA(VLOOKUP(CONCATENATE(AJ$4,$C373),'INSER DATA'!$A:$F,7,0),"")</f>
        <v/>
      </c>
      <c r="AK373" s="270" t="str">
        <f>_xlfn.IFNA(VLOOKUP(CONCATENATE(AK$4,$C373),'INSER DATA'!$A:$F,7,0),"")</f>
        <v/>
      </c>
      <c r="AL373" s="270" t="str">
        <f>_xlfn.IFNA(VLOOKUP(CONCATENATE(AL$4,$C373),'INSER DATA'!$A:$F,7,0),"")</f>
        <v/>
      </c>
      <c r="AM373" s="270" t="str">
        <f>_xlfn.IFNA(VLOOKUP(CONCATENATE(AM$4,$C373),'INSER DATA'!$A:$F,7,0),"")</f>
        <v/>
      </c>
      <c r="AN373" s="270" t="str">
        <f>_xlfn.IFNA(VLOOKUP(CONCATENATE(AN$4,$C373),'INSER DATA'!$A:$F,7,0),"")</f>
        <v/>
      </c>
      <c r="AO373" s="270" t="str">
        <f>_xlfn.IFNA(VLOOKUP(CONCATENATE(AO$4,$C373),'INSER DATA'!$A:$F,7,0),"")</f>
        <v/>
      </c>
      <c r="AP373" s="270" t="str">
        <f>_xlfn.IFNA(VLOOKUP(CONCATENATE(AP$4,$C373),'INSER DATA'!$A:$F,7,0),"")</f>
        <v/>
      </c>
      <c r="AQ373" s="270" t="str">
        <f>_xlfn.IFNA(VLOOKUP(CONCATENATE(AQ$4,$C373),'INSER DATA'!$A:$F,7,0),"")</f>
        <v/>
      </c>
      <c r="AR373" s="270" t="str">
        <f>_xlfn.IFNA(VLOOKUP(CONCATENATE(AR$4,$C373),'INSER DATA'!$A:$F,7,0),"")</f>
        <v/>
      </c>
      <c r="AS373" s="270" t="str">
        <f>_xlfn.IFNA(VLOOKUP(CONCATENATE(AS$4,$C373),'INSER DATA'!$A:$F,7,0),"")</f>
        <v/>
      </c>
      <c r="AT373" s="270" t="str">
        <f>_xlfn.IFNA(VLOOKUP(CONCATENATE(AT$4,$C373),'INSER DATA'!$A:$F,7,0),"")</f>
        <v/>
      </c>
      <c r="AU373" s="270" t="str">
        <f>_xlfn.IFNA(VLOOKUP(CONCATENATE(AU$4,$C373),'INSER DATA'!$A:$F,7,0),"")</f>
        <v/>
      </c>
      <c r="AV373" s="270" t="str">
        <f>_xlfn.IFNA(VLOOKUP(CONCATENATE(AV$4,$C373),'INSER DATA'!$A:$F,7,0),"")</f>
        <v/>
      </c>
      <c r="AW373" s="270" t="str">
        <f>_xlfn.IFNA(VLOOKUP(CONCATENATE(AW$4,$C373),'INSER DATA'!$A:$F,7,0),"")</f>
        <v/>
      </c>
      <c r="AX373" s="270" t="str">
        <f>_xlfn.IFNA(VLOOKUP(CONCATENATE(AX$4,$C373),'INSER DATA'!$A:$F,7,0),"")</f>
        <v/>
      </c>
      <c r="AY373" s="270" t="str">
        <f>_xlfn.IFNA(VLOOKUP(CONCATENATE(AY$4,$C373),'INSER DATA'!$A:$F,7,0),"")</f>
        <v/>
      </c>
      <c r="AZ373" s="270" t="str">
        <f>_xlfn.IFNA(VLOOKUP(CONCATENATE(AZ$4,$C373),'INSER DATA'!$A:$F,7,0),"")</f>
        <v/>
      </c>
      <c r="BA373" s="270" t="str">
        <f>_xlfn.IFNA(VLOOKUP(CONCATENATE(BA$4,$C373),'INSER DATA'!$A:$F,7,0),"")</f>
        <v/>
      </c>
      <c r="BB373" s="270" t="str">
        <f>_xlfn.IFNA(VLOOKUP(CONCATENATE(BB$4,$C373),'INSER DATA'!$A:$F,7,0),"")</f>
        <v/>
      </c>
      <c r="BC373" s="270" t="str">
        <f>_xlfn.IFNA(VLOOKUP(CONCATENATE(BC$4,$C373),'INSER DATA'!$A:$F,7,0),"")</f>
        <v/>
      </c>
      <c r="BD373" s="270" t="str">
        <f>_xlfn.IFNA(VLOOKUP(CONCATENATE(BD$4,$C373),'INSER DATA'!$A:$F,7,0),"")</f>
        <v/>
      </c>
      <c r="BE373" s="270" t="str">
        <f>_xlfn.IFNA(VLOOKUP(CONCATENATE(BE$4,$C373),'INSER DATA'!$A:$F,7,0),"")</f>
        <v/>
      </c>
      <c r="BF373" s="270" t="str">
        <f>_xlfn.IFNA(VLOOKUP(CONCATENATE(BF$4,$C373),'INSER DATA'!$A:$F,7,0),"")</f>
        <v/>
      </c>
      <c r="BG373" s="270" t="str">
        <f>_xlfn.IFNA(VLOOKUP(CONCATENATE(BG$4,$C373),'INSER DATA'!$A:$F,7,0),"")</f>
        <v/>
      </c>
      <c r="BH373" s="270" t="str">
        <f>_xlfn.IFNA(VLOOKUP(CONCATENATE(BH$4,$C373),'INSER DATA'!$A:$F,7,0),"")</f>
        <v/>
      </c>
      <c r="BI373" s="270" t="str">
        <f>_xlfn.IFNA(VLOOKUP(CONCATENATE(BI$4,$C373),'INSER DATA'!$A:$F,7,0),"")</f>
        <v/>
      </c>
      <c r="BJ373" s="270" t="str">
        <f>_xlfn.IFNA(VLOOKUP(CONCATENATE(BJ$4,$C373),'INSER DATA'!$A:$F,7,0),"")</f>
        <v/>
      </c>
      <c r="BK373" s="270" t="str">
        <f>_xlfn.IFNA(VLOOKUP(CONCATENATE(BK$4,$C373),'INSER DATA'!$A:$F,7,0),"")</f>
        <v/>
      </c>
      <c r="BL373" s="272"/>
      <c r="BM373" s="30"/>
      <c r="BN373" s="30"/>
      <c r="BO373" s="30"/>
      <c r="BP373" s="30"/>
      <c r="BQ373" s="30"/>
      <c r="BR373" s="30"/>
      <c r="BS373" s="30"/>
      <c r="BT373" s="30"/>
      <c r="BU373" s="30"/>
      <c r="BV373" s="30"/>
      <c r="BW373" s="30"/>
      <c r="BX373" s="30"/>
      <c r="BY373" s="30"/>
      <c r="BZ373" s="30"/>
      <c r="CA373" s="30"/>
      <c r="CB373" s="30"/>
      <c r="CC373" s="30"/>
      <c r="CD373" s="30"/>
      <c r="CE373" s="30"/>
      <c r="CF373" s="30"/>
      <c r="CG373" s="30"/>
      <c r="CH373" s="30"/>
      <c r="CI373" s="30"/>
      <c r="CJ373" s="30"/>
      <c r="CK373" s="30"/>
      <c r="CL373" s="30"/>
      <c r="CM373" s="30"/>
      <c r="CN373" s="30"/>
      <c r="CO373" s="30"/>
      <c r="CP373" s="30"/>
      <c r="CQ373" s="30"/>
      <c r="CR373" s="30"/>
      <c r="CS373" s="30"/>
      <c r="CT373" s="30"/>
      <c r="CU373" s="30"/>
      <c r="CV373" s="30"/>
      <c r="CW373" s="30"/>
      <c r="CX373" s="30"/>
      <c r="CY373" s="30"/>
      <c r="CZ373" s="30"/>
      <c r="DA373" s="30"/>
    </row>
    <row r="374" spans="1:105" ht="19.2" thickTop="1" thickBot="1" x14ac:dyDescent="0.4">
      <c r="A374" s="30"/>
      <c r="B374" s="30"/>
      <c r="C374" s="356" t="s">
        <v>873</v>
      </c>
      <c r="D374" s="355" t="s">
        <v>874</v>
      </c>
      <c r="E374" s="35" t="str">
        <f>_xlfn.XLOOKUP(Tabella4[[#This Row],[NOME]],'ROSE SQUADRE'!$N$3:$N$253,'ROSE SQUADRE'!$O$3:$O$253,"")</f>
        <v>PARTIZAN DEGRADO</v>
      </c>
      <c r="F374" s="36" t="s">
        <v>5</v>
      </c>
      <c r="G374" s="43">
        <v>1</v>
      </c>
      <c r="H374" s="43">
        <v>1</v>
      </c>
      <c r="I374" s="44">
        <f t="shared" si="31"/>
        <v>0</v>
      </c>
      <c r="J374" s="37">
        <f t="shared" si="32"/>
        <v>4</v>
      </c>
      <c r="K374" s="178">
        <f t="shared" si="33"/>
        <v>6.125</v>
      </c>
      <c r="L374" s="178">
        <f t="shared" si="34"/>
        <v>4.625</v>
      </c>
      <c r="M374" s="179">
        <f t="shared" si="35"/>
        <v>18.5</v>
      </c>
      <c r="N374" s="45">
        <f t="shared" ca="1" si="36"/>
        <v>0</v>
      </c>
      <c r="O374" s="40">
        <f>SUMIF(Tabella1[Nome],Tabella4[[#This Row],[NOME]],Tabella1[Gf])</f>
        <v>0</v>
      </c>
      <c r="P374" s="40">
        <f>-(SUMIF(Tabella1[Nome],Tabella4[[#This Row],[NOME]],Tabella1[Gs]))</f>
        <v>-6</v>
      </c>
      <c r="Q374" s="40">
        <f>SUMIF(Tabella1[Nome],Tabella4[[#This Row],[NOME]],Tabella1[Rp])</f>
        <v>0</v>
      </c>
      <c r="R374" s="40">
        <f>SUMIF(Tabella1[Nome],Tabella4[[#This Row],[NOME]],Tabella1[Rs])</f>
        <v>0</v>
      </c>
      <c r="S374" s="40">
        <f>SUMIF(Tabella1[Nome],Tabella4[[#This Row],[NOME]],Tabella1[Rf])</f>
        <v>0</v>
      </c>
      <c r="T374" s="40">
        <f>SUMIF(Tabella1[Nome],Tabella4[[#This Row],[NOME]],Tabella1[Au])</f>
        <v>0</v>
      </c>
      <c r="U374" s="41">
        <f>SUMIF(Tabella1[Nome],Tabella4[[#This Row],[NOME]],Tabella1[Amm])</f>
        <v>0</v>
      </c>
      <c r="V374" s="42">
        <f>SUMIF(Tabella1[Nome],Tabella4[[#This Row],[NOME]],Tabella1[Esp])</f>
        <v>0</v>
      </c>
      <c r="W374" s="40">
        <f>SUMIF(Tabella1[Nome],Tabella4[[#This Row],[NOME]],Tabella1[Ass])</f>
        <v>0</v>
      </c>
      <c r="X374" s="40">
        <f>SUMIF(Tabella1[Nome],Tabella4[[#This Row],[NOME]],Tabella1[Gdv])</f>
        <v>0</v>
      </c>
      <c r="Y374" s="40">
        <f>SUMIF(Tabella1[Nome],Tabella4[[#This Row],[NOME]],Tabella1[cl sh])</f>
        <v>0</v>
      </c>
      <c r="Z374" s="270">
        <f>_xlfn.IFNA(_xlfn.XLOOKUP(CONCATENATE(Z$4,$C374),Tabella1[CONC X VOTI IN TAB GIOC],Tabella1[Voto],""),"")</f>
        <v>5.5</v>
      </c>
      <c r="AA374" s="270">
        <f>_xlfn.IFNA(_xlfn.XLOOKUP(CONCATENATE(AA$4,$C374),Tabella1[CONC X VOTI IN TAB GIOC],Tabella1[Voto],""),"")</f>
        <v>6</v>
      </c>
      <c r="AB374" s="270">
        <f>_xlfn.IFNA(_xlfn.XLOOKUP(CONCATENATE(AB$4,$C374),Tabella1[CONC X VOTI IN TAB GIOC],Tabella1[Voto]),"")</f>
        <v>7</v>
      </c>
      <c r="AC374" s="270" cm="1">
        <f t="array" ref="AC374">_xlfn.IFNA(_xlfn.XLOOKUP(CONCATENATE(AC$4,$C374),INDEX(Tabella1[],0,MATCH("CONC X VOTI IN TAB GIOC",Tabella1[#Headers],0)),INDEX(Tabella1[],0,MATCH("Voto",Tabella1[#Headers],0))),"")</f>
        <v>6</v>
      </c>
      <c r="AD374" s="270" t="str">
        <f>_xlfn.IFNA(_xlfn.XLOOKUP(CONCATENATE(AD$4,$C374),Tabella1[CONC X VOTI IN TAB GIOC],Tabella1[Voto]),"")</f>
        <v/>
      </c>
      <c r="AE374" s="270" t="str">
        <f>_xlfn.IFNA(VLOOKUP(CONCATENATE(AE$4,$C374),'INSER DATA'!$A:$F,6,0),"")</f>
        <v/>
      </c>
      <c r="AF374" s="270" t="str">
        <f>_xlfn.IFNA(VLOOKUP(CONCATENATE(AF$4,$C374),'INSER DATA'!$A:$F,6,0),"")</f>
        <v/>
      </c>
      <c r="AG374" s="270" t="str">
        <f>_xlfn.IFNA(VLOOKUP(CONCATENATE(AG$4,$C374),'INSER DATA'!$A:$F,6,0),"")</f>
        <v/>
      </c>
      <c r="AH374" s="270" t="str">
        <f>_xlfn.IFNA(VLOOKUP(CONCATENATE(AH$4,$C374),'INSER DATA'!$A:$F,7,0),"")</f>
        <v/>
      </c>
      <c r="AI374" s="270" t="str">
        <f>_xlfn.IFNA(VLOOKUP(CONCATENATE(AI$4,$C374),'INSER DATA'!$A:$F,7,0),"")</f>
        <v/>
      </c>
      <c r="AJ374" s="270" t="str">
        <f>_xlfn.IFNA(VLOOKUP(CONCATENATE(AJ$4,$C374),'INSER DATA'!$A:$F,7,0),"")</f>
        <v/>
      </c>
      <c r="AK374" s="270" t="str">
        <f>_xlfn.IFNA(VLOOKUP(CONCATENATE(AK$4,$C374),'INSER DATA'!$A:$F,7,0),"")</f>
        <v/>
      </c>
      <c r="AL374" s="270" t="str">
        <f>_xlfn.IFNA(VLOOKUP(CONCATENATE(AL$4,$C374),'INSER DATA'!$A:$F,7,0),"")</f>
        <v/>
      </c>
      <c r="AM374" s="270" t="str">
        <f>_xlfn.IFNA(VLOOKUP(CONCATENATE(AM$4,$C374),'INSER DATA'!$A:$F,7,0),"")</f>
        <v/>
      </c>
      <c r="AN374" s="270" t="str">
        <f>_xlfn.IFNA(VLOOKUP(CONCATENATE(AN$4,$C374),'INSER DATA'!$A:$F,7,0),"")</f>
        <v/>
      </c>
      <c r="AO374" s="270" t="str">
        <f>_xlfn.IFNA(VLOOKUP(CONCATENATE(AO$4,$C374),'INSER DATA'!$A:$F,7,0),"")</f>
        <v/>
      </c>
      <c r="AP374" s="270" t="str">
        <f>_xlfn.IFNA(VLOOKUP(CONCATENATE(AP$4,$C374),'INSER DATA'!$A:$F,7,0),"")</f>
        <v/>
      </c>
      <c r="AQ374" s="270" t="str">
        <f>_xlfn.IFNA(VLOOKUP(CONCATENATE(AQ$4,$C374),'INSER DATA'!$A:$F,7,0),"")</f>
        <v/>
      </c>
      <c r="AR374" s="270" t="str">
        <f>_xlfn.IFNA(VLOOKUP(CONCATENATE(AR$4,$C374),'INSER DATA'!$A:$F,7,0),"")</f>
        <v/>
      </c>
      <c r="AS374" s="270" t="str">
        <f>_xlfn.IFNA(VLOOKUP(CONCATENATE(AS$4,$C374),'INSER DATA'!$A:$F,7,0),"")</f>
        <v/>
      </c>
      <c r="AT374" s="270" t="str">
        <f>_xlfn.IFNA(VLOOKUP(CONCATENATE(AT$4,$C374),'INSER DATA'!$A:$F,7,0),"")</f>
        <v/>
      </c>
      <c r="AU374" s="270" t="str">
        <f>_xlfn.IFNA(VLOOKUP(CONCATENATE(AU$4,$C374),'INSER DATA'!$A:$F,7,0),"")</f>
        <v/>
      </c>
      <c r="AV374" s="270" t="str">
        <f>_xlfn.IFNA(VLOOKUP(CONCATENATE(AV$4,$C374),'INSER DATA'!$A:$F,7,0),"")</f>
        <v/>
      </c>
      <c r="AW374" s="270" t="str">
        <f>_xlfn.IFNA(VLOOKUP(CONCATENATE(AW$4,$C374),'INSER DATA'!$A:$F,7,0),"")</f>
        <v/>
      </c>
      <c r="AX374" s="270" t="str">
        <f>_xlfn.IFNA(VLOOKUP(CONCATENATE(AX$4,$C374),'INSER DATA'!$A:$F,7,0),"")</f>
        <v/>
      </c>
      <c r="AY374" s="270" t="str">
        <f>_xlfn.IFNA(VLOOKUP(CONCATENATE(AY$4,$C374),'INSER DATA'!$A:$F,7,0),"")</f>
        <v/>
      </c>
      <c r="AZ374" s="270" t="str">
        <f>_xlfn.IFNA(VLOOKUP(CONCATENATE(AZ$4,$C374),'INSER DATA'!$A:$F,7,0),"")</f>
        <v/>
      </c>
      <c r="BA374" s="270" t="str">
        <f>_xlfn.IFNA(VLOOKUP(CONCATENATE(BA$4,$C374),'INSER DATA'!$A:$F,7,0),"")</f>
        <v/>
      </c>
      <c r="BB374" s="270" t="str">
        <f>_xlfn.IFNA(VLOOKUP(CONCATENATE(BB$4,$C374),'INSER DATA'!$A:$F,7,0),"")</f>
        <v/>
      </c>
      <c r="BC374" s="270" t="str">
        <f>_xlfn.IFNA(VLOOKUP(CONCATENATE(BC$4,$C374),'INSER DATA'!$A:$F,7,0),"")</f>
        <v/>
      </c>
      <c r="BD374" s="270" t="str">
        <f>_xlfn.IFNA(VLOOKUP(CONCATENATE(BD$4,$C374),'INSER DATA'!$A:$F,7,0),"")</f>
        <v/>
      </c>
      <c r="BE374" s="270" t="str">
        <f>_xlfn.IFNA(VLOOKUP(CONCATENATE(BE$4,$C374),'INSER DATA'!$A:$F,7,0),"")</f>
        <v/>
      </c>
      <c r="BF374" s="270" t="str">
        <f>_xlfn.IFNA(VLOOKUP(CONCATENATE(BF$4,$C374),'INSER DATA'!$A:$F,7,0),"")</f>
        <v/>
      </c>
      <c r="BG374" s="270" t="str">
        <f>_xlfn.IFNA(VLOOKUP(CONCATENATE(BG$4,$C374),'INSER DATA'!$A:$F,7,0),"")</f>
        <v/>
      </c>
      <c r="BH374" s="270" t="str">
        <f>_xlfn.IFNA(VLOOKUP(CONCATENATE(BH$4,$C374),'INSER DATA'!$A:$F,7,0),"")</f>
        <v/>
      </c>
      <c r="BI374" s="270" t="str">
        <f>_xlfn.IFNA(VLOOKUP(CONCATENATE(BI$4,$C374),'INSER DATA'!$A:$F,7,0),"")</f>
        <v/>
      </c>
      <c r="BJ374" s="270" t="str">
        <f>_xlfn.IFNA(VLOOKUP(CONCATENATE(BJ$4,$C374),'INSER DATA'!$A:$F,7,0),"")</f>
        <v/>
      </c>
      <c r="BK374" s="270" t="str">
        <f>_xlfn.IFNA(VLOOKUP(CONCATENATE(BK$4,$C374),'INSER DATA'!$A:$F,7,0),"")</f>
        <v/>
      </c>
      <c r="BL374" s="272"/>
      <c r="BM374" s="30"/>
      <c r="BN374" s="30"/>
      <c r="BO374" s="30"/>
      <c r="BP374" s="30"/>
      <c r="BQ374" s="30"/>
      <c r="BR374" s="30"/>
      <c r="BS374" s="30"/>
      <c r="BT374" s="30"/>
      <c r="BU374" s="30"/>
      <c r="BV374" s="30"/>
      <c r="BW374" s="30"/>
      <c r="BX374" s="30"/>
      <c r="BY374" s="30"/>
      <c r="BZ374" s="30"/>
      <c r="CA374" s="30"/>
      <c r="CB374" s="30"/>
      <c r="CC374" s="30"/>
      <c r="CD374" s="30"/>
      <c r="CE374" s="30"/>
      <c r="CF374" s="30"/>
      <c r="CG374" s="30"/>
      <c r="CH374" s="30"/>
      <c r="CI374" s="30"/>
      <c r="CJ374" s="30"/>
      <c r="CK374" s="30"/>
      <c r="CL374" s="30"/>
      <c r="CM374" s="30"/>
      <c r="CN374" s="30"/>
      <c r="CO374" s="30"/>
      <c r="CP374" s="30"/>
      <c r="CQ374" s="30"/>
      <c r="CR374" s="30"/>
      <c r="CS374" s="30"/>
      <c r="CT374" s="30"/>
      <c r="CU374" s="30"/>
      <c r="CV374" s="30"/>
      <c r="CW374" s="30"/>
      <c r="CX374" s="30"/>
      <c r="CY374" s="30"/>
      <c r="CZ374" s="30"/>
      <c r="DA374" s="30"/>
    </row>
    <row r="375" spans="1:105" ht="19.2" thickTop="1" thickBot="1" x14ac:dyDescent="0.4">
      <c r="A375" s="30"/>
      <c r="B375" s="30"/>
      <c r="C375" s="356" t="s">
        <v>881</v>
      </c>
      <c r="D375" s="355" t="s">
        <v>874</v>
      </c>
      <c r="E375" s="35" t="str">
        <f>_xlfn.XLOOKUP(Tabella4[[#This Row],[NOME]],'ROSE SQUADRE'!$N$3:$N$253,'ROSE SQUADRE'!$O$3:$O$253,"")</f>
        <v>ATL. IMPROVVISATO</v>
      </c>
      <c r="F375" s="36" t="s">
        <v>162</v>
      </c>
      <c r="G375" s="43">
        <v>7</v>
      </c>
      <c r="H375" s="43">
        <v>7</v>
      </c>
      <c r="I375" s="44">
        <f t="shared" si="31"/>
        <v>0</v>
      </c>
      <c r="J375" s="37">
        <f t="shared" si="32"/>
        <v>3</v>
      </c>
      <c r="K375" s="178">
        <f t="shared" si="33"/>
        <v>5.833333333333333</v>
      </c>
      <c r="L375" s="178">
        <f t="shared" si="34"/>
        <v>5.833333333333333</v>
      </c>
      <c r="M375" s="179">
        <f t="shared" si="35"/>
        <v>17.5</v>
      </c>
      <c r="N375" s="45">
        <f t="shared" ca="1" si="36"/>
        <v>0</v>
      </c>
      <c r="O375" s="40">
        <f>SUMIF(Tabella1[Nome],Tabella4[[#This Row],[NOME]],Tabella1[Gf])</f>
        <v>0</v>
      </c>
      <c r="P375" s="40">
        <f>-(SUMIF(Tabella1[Nome],Tabella4[[#This Row],[NOME]],Tabella1[Gs]))</f>
        <v>0</v>
      </c>
      <c r="Q375" s="40">
        <f>SUMIF(Tabella1[Nome],Tabella4[[#This Row],[NOME]],Tabella1[Rp])</f>
        <v>0</v>
      </c>
      <c r="R375" s="40">
        <f>SUMIF(Tabella1[Nome],Tabella4[[#This Row],[NOME]],Tabella1[Rs])</f>
        <v>0</v>
      </c>
      <c r="S375" s="40">
        <f>SUMIF(Tabella1[Nome],Tabella4[[#This Row],[NOME]],Tabella1[Rf])</f>
        <v>0</v>
      </c>
      <c r="T375" s="40">
        <f>SUMIF(Tabella1[Nome],Tabella4[[#This Row],[NOME]],Tabella1[Au])</f>
        <v>0</v>
      </c>
      <c r="U375" s="41">
        <f>SUMIF(Tabella1[Nome],Tabella4[[#This Row],[NOME]],Tabella1[Amm])</f>
        <v>0</v>
      </c>
      <c r="V375" s="42">
        <f>SUMIF(Tabella1[Nome],Tabella4[[#This Row],[NOME]],Tabella1[Esp])</f>
        <v>0</v>
      </c>
      <c r="W375" s="40">
        <f>SUMIF(Tabella1[Nome],Tabella4[[#This Row],[NOME]],Tabella1[Ass])</f>
        <v>0</v>
      </c>
      <c r="X375" s="40">
        <f>SUMIF(Tabella1[Nome],Tabella4[[#This Row],[NOME]],Tabella1[Gdv])</f>
        <v>0</v>
      </c>
      <c r="Y375" s="40">
        <f>SUMIF(Tabella1[Nome],Tabella4[[#This Row],[NOME]],Tabella1[cl sh])</f>
        <v>0</v>
      </c>
      <c r="Z375" s="270">
        <f>_xlfn.IFNA(_xlfn.XLOOKUP(CONCATENATE(Z$4,$C375),Tabella1[CONC X VOTI IN TAB GIOC],Tabella1[Voto],""),"")</f>
        <v>6</v>
      </c>
      <c r="AA375" s="270">
        <f>_xlfn.IFNA(_xlfn.XLOOKUP(CONCATENATE(AA$4,$C375),Tabella1[CONC X VOTI IN TAB GIOC],Tabella1[Voto],""),"")</f>
        <v>5.5</v>
      </c>
      <c r="AB375" s="270" t="str">
        <f>_xlfn.IFNA(_xlfn.XLOOKUP(CONCATENATE(AB$4,$C375),Tabella1[CONC X VOTI IN TAB GIOC],Tabella1[Voto]),"")</f>
        <v/>
      </c>
      <c r="AC375" s="270" cm="1">
        <f t="array" ref="AC375">_xlfn.IFNA(_xlfn.XLOOKUP(CONCATENATE(AC$4,$C375),INDEX(Tabella1[],0,MATCH("CONC X VOTI IN TAB GIOC",Tabella1[#Headers],0)),INDEX(Tabella1[],0,MATCH("Voto",Tabella1[#Headers],0))),"")</f>
        <v>6</v>
      </c>
      <c r="AD375" s="270" t="str">
        <f>_xlfn.IFNA(_xlfn.XLOOKUP(CONCATENATE(AD$4,$C375),Tabella1[CONC X VOTI IN TAB GIOC],Tabella1[Voto]),"")</f>
        <v/>
      </c>
      <c r="AE375" s="270" t="str">
        <f>_xlfn.IFNA(VLOOKUP(CONCATENATE(AE$4,$C375),'INSER DATA'!$A:$F,6,0),"")</f>
        <v/>
      </c>
      <c r="AF375" s="270" t="str">
        <f>_xlfn.IFNA(VLOOKUP(CONCATENATE(AF$4,$C375),'INSER DATA'!$A:$F,6,0),"")</f>
        <v/>
      </c>
      <c r="AG375" s="270" t="str">
        <f>_xlfn.IFNA(VLOOKUP(CONCATENATE(AG$4,$C375),'INSER DATA'!$A:$F,6,0),"")</f>
        <v/>
      </c>
      <c r="AH375" s="270" t="str">
        <f>_xlfn.IFNA(VLOOKUP(CONCATENATE(AH$4,$C375),'INSER DATA'!$A:$F,7,0),"")</f>
        <v/>
      </c>
      <c r="AI375" s="270" t="str">
        <f>_xlfn.IFNA(VLOOKUP(CONCATENATE(AI$4,$C375),'INSER DATA'!$A:$F,7,0),"")</f>
        <v/>
      </c>
      <c r="AJ375" s="270" t="str">
        <f>_xlfn.IFNA(VLOOKUP(CONCATENATE(AJ$4,$C375),'INSER DATA'!$A:$F,7,0),"")</f>
        <v/>
      </c>
      <c r="AK375" s="270" t="str">
        <f>_xlfn.IFNA(VLOOKUP(CONCATENATE(AK$4,$C375),'INSER DATA'!$A:$F,7,0),"")</f>
        <v/>
      </c>
      <c r="AL375" s="270" t="str">
        <f>_xlfn.IFNA(VLOOKUP(CONCATENATE(AL$4,$C375),'INSER DATA'!$A:$F,7,0),"")</f>
        <v/>
      </c>
      <c r="AM375" s="270" t="str">
        <f>_xlfn.IFNA(VLOOKUP(CONCATENATE(AM$4,$C375),'INSER DATA'!$A:$F,7,0),"")</f>
        <v/>
      </c>
      <c r="AN375" s="270" t="str">
        <f>_xlfn.IFNA(VLOOKUP(CONCATENATE(AN$4,$C375),'INSER DATA'!$A:$F,7,0),"")</f>
        <v/>
      </c>
      <c r="AO375" s="270" t="str">
        <f>_xlfn.IFNA(VLOOKUP(CONCATENATE(AO$4,$C375),'INSER DATA'!$A:$F,7,0),"")</f>
        <v/>
      </c>
      <c r="AP375" s="270" t="str">
        <f>_xlfn.IFNA(VLOOKUP(CONCATENATE(AP$4,$C375),'INSER DATA'!$A:$F,7,0),"")</f>
        <v/>
      </c>
      <c r="AQ375" s="270" t="str">
        <f>_xlfn.IFNA(VLOOKUP(CONCATENATE(AQ$4,$C375),'INSER DATA'!$A:$F,7,0),"")</f>
        <v/>
      </c>
      <c r="AR375" s="270" t="str">
        <f>_xlfn.IFNA(VLOOKUP(CONCATENATE(AR$4,$C375),'INSER DATA'!$A:$F,7,0),"")</f>
        <v/>
      </c>
      <c r="AS375" s="270" t="str">
        <f>_xlfn.IFNA(VLOOKUP(CONCATENATE(AS$4,$C375),'INSER DATA'!$A:$F,7,0),"")</f>
        <v/>
      </c>
      <c r="AT375" s="270" t="str">
        <f>_xlfn.IFNA(VLOOKUP(CONCATENATE(AT$4,$C375),'INSER DATA'!$A:$F,7,0),"")</f>
        <v/>
      </c>
      <c r="AU375" s="270" t="str">
        <f>_xlfn.IFNA(VLOOKUP(CONCATENATE(AU$4,$C375),'INSER DATA'!$A:$F,7,0),"")</f>
        <v/>
      </c>
      <c r="AV375" s="270" t="str">
        <f>_xlfn.IFNA(VLOOKUP(CONCATENATE(AV$4,$C375),'INSER DATA'!$A:$F,7,0),"")</f>
        <v/>
      </c>
      <c r="AW375" s="270" t="str">
        <f>_xlfn.IFNA(VLOOKUP(CONCATENATE(AW$4,$C375),'INSER DATA'!$A:$F,7,0),"")</f>
        <v/>
      </c>
      <c r="AX375" s="270" t="str">
        <f>_xlfn.IFNA(VLOOKUP(CONCATENATE(AX$4,$C375),'INSER DATA'!$A:$F,7,0),"")</f>
        <v/>
      </c>
      <c r="AY375" s="270" t="str">
        <f>_xlfn.IFNA(VLOOKUP(CONCATENATE(AY$4,$C375),'INSER DATA'!$A:$F,7,0),"")</f>
        <v/>
      </c>
      <c r="AZ375" s="270" t="str">
        <f>_xlfn.IFNA(VLOOKUP(CONCATENATE(AZ$4,$C375),'INSER DATA'!$A:$F,7,0),"")</f>
        <v/>
      </c>
      <c r="BA375" s="270" t="str">
        <f>_xlfn.IFNA(VLOOKUP(CONCATENATE(BA$4,$C375),'INSER DATA'!$A:$F,7,0),"")</f>
        <v/>
      </c>
      <c r="BB375" s="270" t="str">
        <f>_xlfn.IFNA(VLOOKUP(CONCATENATE(BB$4,$C375),'INSER DATA'!$A:$F,7,0),"")</f>
        <v/>
      </c>
      <c r="BC375" s="270" t="str">
        <f>_xlfn.IFNA(VLOOKUP(CONCATENATE(BC$4,$C375),'INSER DATA'!$A:$F,7,0),"")</f>
        <v/>
      </c>
      <c r="BD375" s="270" t="str">
        <f>_xlfn.IFNA(VLOOKUP(CONCATENATE(BD$4,$C375),'INSER DATA'!$A:$F,7,0),"")</f>
        <v/>
      </c>
      <c r="BE375" s="270" t="str">
        <f>_xlfn.IFNA(VLOOKUP(CONCATENATE(BE$4,$C375),'INSER DATA'!$A:$F,7,0),"")</f>
        <v/>
      </c>
      <c r="BF375" s="270" t="str">
        <f>_xlfn.IFNA(VLOOKUP(CONCATENATE(BF$4,$C375),'INSER DATA'!$A:$F,7,0),"")</f>
        <v/>
      </c>
      <c r="BG375" s="270" t="str">
        <f>_xlfn.IFNA(VLOOKUP(CONCATENATE(BG$4,$C375),'INSER DATA'!$A:$F,7,0),"")</f>
        <v/>
      </c>
      <c r="BH375" s="270" t="str">
        <f>_xlfn.IFNA(VLOOKUP(CONCATENATE(BH$4,$C375),'INSER DATA'!$A:$F,7,0),"")</f>
        <v/>
      </c>
      <c r="BI375" s="270" t="str">
        <f>_xlfn.IFNA(VLOOKUP(CONCATENATE(BI$4,$C375),'INSER DATA'!$A:$F,7,0),"")</f>
        <v/>
      </c>
      <c r="BJ375" s="270" t="str">
        <f>_xlfn.IFNA(VLOOKUP(CONCATENATE(BJ$4,$C375),'INSER DATA'!$A:$F,7,0),"")</f>
        <v/>
      </c>
      <c r="BK375" s="270" t="str">
        <f>_xlfn.IFNA(VLOOKUP(CONCATENATE(BK$4,$C375),'INSER DATA'!$A:$F,7,0),"")</f>
        <v/>
      </c>
      <c r="BL375" s="272"/>
      <c r="BM375" s="30"/>
      <c r="BN375" s="30"/>
      <c r="BO375" s="30"/>
      <c r="BP375" s="30"/>
      <c r="BQ375" s="30"/>
      <c r="BR375" s="30"/>
      <c r="BS375" s="30"/>
      <c r="BT375" s="30"/>
      <c r="BU375" s="30"/>
      <c r="BV375" s="30"/>
      <c r="BW375" s="30"/>
      <c r="BX375" s="30"/>
      <c r="BY375" s="30"/>
      <c r="BZ375" s="30"/>
      <c r="CA375" s="30"/>
      <c r="CB375" s="30"/>
      <c r="CC375" s="30"/>
      <c r="CD375" s="30"/>
      <c r="CE375" s="30"/>
      <c r="CF375" s="30"/>
      <c r="CG375" s="30"/>
      <c r="CH375" s="30"/>
      <c r="CI375" s="30"/>
      <c r="CJ375" s="30"/>
      <c r="CK375" s="30"/>
      <c r="CL375" s="30"/>
      <c r="CM375" s="30"/>
      <c r="CN375" s="30"/>
      <c r="CO375" s="30"/>
      <c r="CP375" s="30"/>
      <c r="CQ375" s="30"/>
      <c r="CR375" s="30"/>
      <c r="CS375" s="30"/>
      <c r="CT375" s="30"/>
      <c r="CU375" s="30"/>
      <c r="CV375" s="30"/>
      <c r="CW375" s="30"/>
      <c r="CX375" s="30"/>
      <c r="CY375" s="30"/>
      <c r="CZ375" s="30"/>
      <c r="DA375" s="30"/>
    </row>
    <row r="376" spans="1:105" ht="19.2" thickTop="1" thickBot="1" x14ac:dyDescent="0.4">
      <c r="A376" s="30"/>
      <c r="B376" s="30"/>
      <c r="C376" s="354" t="s">
        <v>879</v>
      </c>
      <c r="D376" s="357" t="s">
        <v>874</v>
      </c>
      <c r="E376" s="35" t="str">
        <f>_xlfn.XLOOKUP(Tabella4[[#This Row],[NOME]],'ROSE SQUADRE'!$N$3:$N$253,'ROSE SQUADRE'!$O$3:$O$253,"")</f>
        <v>SHARK</v>
      </c>
      <c r="F376" s="36" t="s">
        <v>161</v>
      </c>
      <c r="G376" s="43">
        <v>3</v>
      </c>
      <c r="H376" s="43">
        <v>4</v>
      </c>
      <c r="I376" s="44">
        <f t="shared" si="31"/>
        <v>1</v>
      </c>
      <c r="J376" s="37">
        <f t="shared" si="32"/>
        <v>4</v>
      </c>
      <c r="K376" s="178">
        <f t="shared" si="33"/>
        <v>5.75</v>
      </c>
      <c r="L376" s="178">
        <f t="shared" si="34"/>
        <v>5.625</v>
      </c>
      <c r="M376" s="179">
        <f t="shared" si="35"/>
        <v>22.5</v>
      </c>
      <c r="N376" s="45">
        <f t="shared" ca="1" si="36"/>
        <v>0</v>
      </c>
      <c r="O376" s="40">
        <f>SUMIF(Tabella1[Nome],Tabella4[[#This Row],[NOME]],Tabella1[Gf])</f>
        <v>0</v>
      </c>
      <c r="P376" s="40">
        <f>-(SUMIF(Tabella1[Nome],Tabella4[[#This Row],[NOME]],Tabella1[Gs]))</f>
        <v>0</v>
      </c>
      <c r="Q376" s="40">
        <f>SUMIF(Tabella1[Nome],Tabella4[[#This Row],[NOME]],Tabella1[Rp])</f>
        <v>0</v>
      </c>
      <c r="R376" s="40">
        <f>SUMIF(Tabella1[Nome],Tabella4[[#This Row],[NOME]],Tabella1[Rs])</f>
        <v>0</v>
      </c>
      <c r="S376" s="40">
        <f>SUMIF(Tabella1[Nome],Tabella4[[#This Row],[NOME]],Tabella1[Rf])</f>
        <v>0</v>
      </c>
      <c r="T376" s="40">
        <f>SUMIF(Tabella1[Nome],Tabella4[[#This Row],[NOME]],Tabella1[Au])</f>
        <v>0</v>
      </c>
      <c r="U376" s="41">
        <f>SUMIF(Tabella1[Nome],Tabella4[[#This Row],[NOME]],Tabella1[Amm])</f>
        <v>1</v>
      </c>
      <c r="V376" s="42">
        <f>SUMIF(Tabella1[Nome],Tabella4[[#This Row],[NOME]],Tabella1[Esp])</f>
        <v>0</v>
      </c>
      <c r="W376" s="40">
        <f>SUMIF(Tabella1[Nome],Tabella4[[#This Row],[NOME]],Tabella1[Ass])</f>
        <v>0</v>
      </c>
      <c r="X376" s="40">
        <f>SUMIF(Tabella1[Nome],Tabella4[[#This Row],[NOME]],Tabella1[Gdv])</f>
        <v>0</v>
      </c>
      <c r="Y376" s="40">
        <f>SUMIF(Tabella1[Nome],Tabella4[[#This Row],[NOME]],Tabella1[cl sh])</f>
        <v>0</v>
      </c>
      <c r="Z376" s="270">
        <f>_xlfn.IFNA(_xlfn.XLOOKUP(CONCATENATE(Z$4,$C376),Tabella1[CONC X VOTI IN TAB GIOC],Tabella1[Voto],""),"")</f>
        <v>6</v>
      </c>
      <c r="AA376" s="270">
        <f>_xlfn.IFNA(_xlfn.XLOOKUP(CONCATENATE(AA$4,$C376),Tabella1[CONC X VOTI IN TAB GIOC],Tabella1[Voto],""),"")</f>
        <v>5</v>
      </c>
      <c r="AB376" s="270">
        <f>_xlfn.IFNA(_xlfn.XLOOKUP(CONCATENATE(AB$4,$C376),Tabella1[CONC X VOTI IN TAB GIOC],Tabella1[Voto]),"")</f>
        <v>6</v>
      </c>
      <c r="AC376" s="270" cm="1">
        <f t="array" ref="AC376">_xlfn.IFNA(_xlfn.XLOOKUP(CONCATENATE(AC$4,$C376),INDEX(Tabella1[],0,MATCH("CONC X VOTI IN TAB GIOC",Tabella1[#Headers],0)),INDEX(Tabella1[],0,MATCH("Voto",Tabella1[#Headers],0))),"")</f>
        <v>6</v>
      </c>
      <c r="AD376" s="270" t="str">
        <f>_xlfn.IFNA(_xlfn.XLOOKUP(CONCATENATE(AD$4,$C376),Tabella1[CONC X VOTI IN TAB GIOC],Tabella1[Voto]),"")</f>
        <v/>
      </c>
      <c r="AE376" s="270" t="str">
        <f>_xlfn.IFNA(VLOOKUP(CONCATENATE(AE$4,$C376),'INSER DATA'!$A:$F,6,0),"")</f>
        <v/>
      </c>
      <c r="AF376" s="270" t="str">
        <f>_xlfn.IFNA(VLOOKUP(CONCATENATE(AF$4,$C376),'INSER DATA'!$A:$F,6,0),"")</f>
        <v/>
      </c>
      <c r="AG376" s="270" t="str">
        <f>_xlfn.IFNA(VLOOKUP(CONCATENATE(AG$4,$C376),'INSER DATA'!$A:$F,6,0),"")</f>
        <v/>
      </c>
      <c r="AH376" s="270" t="str">
        <f>_xlfn.IFNA(VLOOKUP(CONCATENATE(AH$4,$C376),'INSER DATA'!$A:$F,7,0),"")</f>
        <v/>
      </c>
      <c r="AI376" s="270" t="str">
        <f>_xlfn.IFNA(VLOOKUP(CONCATENATE(AI$4,$C376),'INSER DATA'!$A:$F,7,0),"")</f>
        <v/>
      </c>
      <c r="AJ376" s="270" t="str">
        <f>_xlfn.IFNA(VLOOKUP(CONCATENATE(AJ$4,$C376),'INSER DATA'!$A:$F,7,0),"")</f>
        <v/>
      </c>
      <c r="AK376" s="270" t="str">
        <f>_xlfn.IFNA(VLOOKUP(CONCATENATE(AK$4,$C376),'INSER DATA'!$A:$F,7,0),"")</f>
        <v/>
      </c>
      <c r="AL376" s="270" t="str">
        <f>_xlfn.IFNA(VLOOKUP(CONCATENATE(AL$4,$C376),'INSER DATA'!$A:$F,7,0),"")</f>
        <v/>
      </c>
      <c r="AM376" s="270" t="str">
        <f>_xlfn.IFNA(VLOOKUP(CONCATENATE(AM$4,$C376),'INSER DATA'!$A:$F,7,0),"")</f>
        <v/>
      </c>
      <c r="AN376" s="270" t="str">
        <f>_xlfn.IFNA(VLOOKUP(CONCATENATE(AN$4,$C376),'INSER DATA'!$A:$F,7,0),"")</f>
        <v/>
      </c>
      <c r="AO376" s="270" t="str">
        <f>_xlfn.IFNA(VLOOKUP(CONCATENATE(AO$4,$C376),'INSER DATA'!$A:$F,7,0),"")</f>
        <v/>
      </c>
      <c r="AP376" s="270" t="str">
        <f>_xlfn.IFNA(VLOOKUP(CONCATENATE(AP$4,$C376),'INSER DATA'!$A:$F,7,0),"")</f>
        <v/>
      </c>
      <c r="AQ376" s="270" t="str">
        <f>_xlfn.IFNA(VLOOKUP(CONCATENATE(AQ$4,$C376),'INSER DATA'!$A:$F,7,0),"")</f>
        <v/>
      </c>
      <c r="AR376" s="270" t="str">
        <f>_xlfn.IFNA(VLOOKUP(CONCATENATE(AR$4,$C376),'INSER DATA'!$A:$F,7,0),"")</f>
        <v/>
      </c>
      <c r="AS376" s="270" t="str">
        <f>_xlfn.IFNA(VLOOKUP(CONCATENATE(AS$4,$C376),'INSER DATA'!$A:$F,7,0),"")</f>
        <v/>
      </c>
      <c r="AT376" s="270" t="str">
        <f>_xlfn.IFNA(VLOOKUP(CONCATENATE(AT$4,$C376),'INSER DATA'!$A:$F,7,0),"")</f>
        <v/>
      </c>
      <c r="AU376" s="270" t="str">
        <f>_xlfn.IFNA(VLOOKUP(CONCATENATE(AU$4,$C376),'INSER DATA'!$A:$F,7,0),"")</f>
        <v/>
      </c>
      <c r="AV376" s="270" t="str">
        <f>_xlfn.IFNA(VLOOKUP(CONCATENATE(AV$4,$C376),'INSER DATA'!$A:$F,7,0),"")</f>
        <v/>
      </c>
      <c r="AW376" s="270" t="str">
        <f>_xlfn.IFNA(VLOOKUP(CONCATENATE(AW$4,$C376),'INSER DATA'!$A:$F,7,0),"")</f>
        <v/>
      </c>
      <c r="AX376" s="270" t="str">
        <f>_xlfn.IFNA(VLOOKUP(CONCATENATE(AX$4,$C376),'INSER DATA'!$A:$F,7,0),"")</f>
        <v/>
      </c>
      <c r="AY376" s="270" t="str">
        <f>_xlfn.IFNA(VLOOKUP(CONCATENATE(AY$4,$C376),'INSER DATA'!$A:$F,7,0),"")</f>
        <v/>
      </c>
      <c r="AZ376" s="270" t="str">
        <f>_xlfn.IFNA(VLOOKUP(CONCATENATE(AZ$4,$C376),'INSER DATA'!$A:$F,7,0),"")</f>
        <v/>
      </c>
      <c r="BA376" s="270" t="str">
        <f>_xlfn.IFNA(VLOOKUP(CONCATENATE(BA$4,$C376),'INSER DATA'!$A:$F,7,0),"")</f>
        <v/>
      </c>
      <c r="BB376" s="270" t="str">
        <f>_xlfn.IFNA(VLOOKUP(CONCATENATE(BB$4,$C376),'INSER DATA'!$A:$F,7,0),"")</f>
        <v/>
      </c>
      <c r="BC376" s="270" t="str">
        <f>_xlfn.IFNA(VLOOKUP(CONCATENATE(BC$4,$C376),'INSER DATA'!$A:$F,7,0),"")</f>
        <v/>
      </c>
      <c r="BD376" s="270" t="str">
        <f>_xlfn.IFNA(VLOOKUP(CONCATENATE(BD$4,$C376),'INSER DATA'!$A:$F,7,0),"")</f>
        <v/>
      </c>
      <c r="BE376" s="270" t="str">
        <f>_xlfn.IFNA(VLOOKUP(CONCATENATE(BE$4,$C376),'INSER DATA'!$A:$F,7,0),"")</f>
        <v/>
      </c>
      <c r="BF376" s="270" t="str">
        <f>_xlfn.IFNA(VLOOKUP(CONCATENATE(BF$4,$C376),'INSER DATA'!$A:$F,7,0),"")</f>
        <v/>
      </c>
      <c r="BG376" s="270" t="str">
        <f>_xlfn.IFNA(VLOOKUP(CONCATENATE(BG$4,$C376),'INSER DATA'!$A:$F,7,0),"")</f>
        <v/>
      </c>
      <c r="BH376" s="270" t="str">
        <f>_xlfn.IFNA(VLOOKUP(CONCATENATE(BH$4,$C376),'INSER DATA'!$A:$F,7,0),"")</f>
        <v/>
      </c>
      <c r="BI376" s="270" t="str">
        <f>_xlfn.IFNA(VLOOKUP(CONCATENATE(BI$4,$C376),'INSER DATA'!$A:$F,7,0),"")</f>
        <v/>
      </c>
      <c r="BJ376" s="270" t="str">
        <f>_xlfn.IFNA(VLOOKUP(CONCATENATE(BJ$4,$C376),'INSER DATA'!$A:$F,7,0),"")</f>
        <v/>
      </c>
      <c r="BK376" s="270" t="str">
        <f>_xlfn.IFNA(VLOOKUP(CONCATENATE(BK$4,$C376),'INSER DATA'!$A:$F,7,0),"")</f>
        <v/>
      </c>
      <c r="BL376" s="272"/>
      <c r="BM376" s="30"/>
      <c r="BN376" s="30"/>
      <c r="BO376" s="30"/>
      <c r="BP376" s="30"/>
      <c r="BQ376" s="30"/>
      <c r="BR376" s="30"/>
      <c r="BS376" s="30"/>
      <c r="BT376" s="30"/>
      <c r="BU376" s="30"/>
      <c r="BV376" s="30"/>
      <c r="BW376" s="30"/>
      <c r="BX376" s="30"/>
      <c r="BY376" s="30"/>
      <c r="BZ376" s="30"/>
      <c r="CA376" s="30"/>
      <c r="CB376" s="30"/>
      <c r="CC376" s="30"/>
      <c r="CD376" s="30"/>
      <c r="CE376" s="30"/>
      <c r="CF376" s="30"/>
      <c r="CG376" s="30"/>
      <c r="CH376" s="30"/>
      <c r="CI376" s="30"/>
      <c r="CJ376" s="30"/>
      <c r="CK376" s="30"/>
      <c r="CL376" s="30"/>
      <c r="CM376" s="30"/>
      <c r="CN376" s="30"/>
      <c r="CO376" s="30"/>
      <c r="CP376" s="30"/>
      <c r="CQ376" s="30"/>
      <c r="CR376" s="30"/>
      <c r="CS376" s="30"/>
      <c r="CT376" s="30"/>
      <c r="CU376" s="30"/>
      <c r="CV376" s="30"/>
      <c r="CW376" s="30"/>
      <c r="CX376" s="30"/>
      <c r="CY376" s="30"/>
      <c r="CZ376" s="30"/>
      <c r="DA376" s="30"/>
    </row>
    <row r="377" spans="1:105" ht="19.2" thickTop="1" thickBot="1" x14ac:dyDescent="0.4">
      <c r="A377" s="30"/>
      <c r="B377" s="30"/>
      <c r="C377" s="185" t="s">
        <v>882</v>
      </c>
      <c r="D377" s="46" t="s">
        <v>874</v>
      </c>
      <c r="E377" s="35" t="str">
        <f>_xlfn.XLOOKUP(Tabella4[[#This Row],[NOME]],'ROSE SQUADRE'!$N$3:$N$253,'ROSE SQUADRE'!$O$3:$O$253,"")</f>
        <v/>
      </c>
      <c r="F377" s="36" t="s">
        <v>162</v>
      </c>
      <c r="G377" s="43">
        <v>1</v>
      </c>
      <c r="H377" s="43">
        <v>1</v>
      </c>
      <c r="I377" s="44">
        <f t="shared" si="31"/>
        <v>0</v>
      </c>
      <c r="J377" s="37">
        <f t="shared" si="32"/>
        <v>1</v>
      </c>
      <c r="K377" s="38">
        <f t="shared" si="33"/>
        <v>5.5</v>
      </c>
      <c r="L377" s="38">
        <f t="shared" si="34"/>
        <v>5.5</v>
      </c>
      <c r="M377" s="39">
        <f t="shared" si="35"/>
        <v>5.5</v>
      </c>
      <c r="N377" s="45">
        <f t="shared" ca="1" si="36"/>
        <v>0</v>
      </c>
      <c r="O377" s="40">
        <f>SUMIF(Tabella1[Nome],Tabella4[[#This Row],[NOME]],Tabella1[Gf])</f>
        <v>0</v>
      </c>
      <c r="P377" s="40">
        <f>-(SUMIF(Tabella1[Nome],Tabella4[[#This Row],[NOME]],Tabella1[Gs]))</f>
        <v>0</v>
      </c>
      <c r="Q377" s="40">
        <f>SUMIF(Tabella1[Nome],Tabella4[[#This Row],[NOME]],Tabella1[Rp])</f>
        <v>0</v>
      </c>
      <c r="R377" s="40">
        <f>SUMIF(Tabella1[Nome],Tabella4[[#This Row],[NOME]],Tabella1[Rs])</f>
        <v>0</v>
      </c>
      <c r="S377" s="40">
        <f>SUMIF(Tabella1[Nome],Tabella4[[#This Row],[NOME]],Tabella1[Rf])</f>
        <v>0</v>
      </c>
      <c r="T377" s="40">
        <f>SUMIF(Tabella1[Nome],Tabella4[[#This Row],[NOME]],Tabella1[Au])</f>
        <v>0</v>
      </c>
      <c r="U377" s="41">
        <f>SUMIF(Tabella1[Nome],Tabella4[[#This Row],[NOME]],Tabella1[Amm])</f>
        <v>0</v>
      </c>
      <c r="V377" s="42">
        <f>SUMIF(Tabella1[Nome],Tabella4[[#This Row],[NOME]],Tabella1[Esp])</f>
        <v>0</v>
      </c>
      <c r="W377" s="40">
        <f>SUMIF(Tabella1[Nome],Tabella4[[#This Row],[NOME]],Tabella1[Ass])</f>
        <v>0</v>
      </c>
      <c r="X377" s="40">
        <f>SUMIF(Tabella1[Nome],Tabella4[[#This Row],[NOME]],Tabella1[Gdv])</f>
        <v>0</v>
      </c>
      <c r="Y377" s="40">
        <f>SUMIF(Tabella1[Nome],Tabella4[[#This Row],[NOME]],Tabella1[cl sh])</f>
        <v>0</v>
      </c>
      <c r="Z377" s="270" t="str">
        <f>_xlfn.IFNA(_xlfn.XLOOKUP(CONCATENATE(Z$4,$C377),Tabella1[CONC X VOTI IN TAB GIOC],Tabella1[Voto],""),"")</f>
        <v/>
      </c>
      <c r="AA377" s="270">
        <f>_xlfn.IFNA(_xlfn.XLOOKUP(CONCATENATE(AA$4,$C377),Tabella1[CONC X VOTI IN TAB GIOC],Tabella1[Voto],""),"")</f>
        <v>5.5</v>
      </c>
      <c r="AB377" s="270" t="str">
        <f>_xlfn.IFNA(_xlfn.XLOOKUP(CONCATENATE(AB$4,$C377),Tabella1[CONC X VOTI IN TAB GIOC],Tabella1[Voto]),"")</f>
        <v/>
      </c>
      <c r="AC377" s="270" t="str" cm="1">
        <f t="array" ref="AC377">_xlfn.IFNA(_xlfn.XLOOKUP(CONCATENATE(AC$4,$C377),INDEX(Tabella1[],0,MATCH("CONC X VOTI IN TAB GIOC",Tabella1[#Headers],0)),INDEX(Tabella1[],0,MATCH("Voto",Tabella1[#Headers],0))),"")</f>
        <v/>
      </c>
      <c r="AD377" s="270" t="str">
        <f>_xlfn.IFNA(_xlfn.XLOOKUP(CONCATENATE(AD$4,$C377),Tabella1[CONC X VOTI IN TAB GIOC],Tabella1[Voto]),"")</f>
        <v/>
      </c>
      <c r="AE377" s="270" t="str">
        <f>_xlfn.IFNA(VLOOKUP(CONCATENATE(AE$4,$C377),'INSER DATA'!$A:$F,6,0),"")</f>
        <v/>
      </c>
      <c r="AF377" s="270" t="str">
        <f>_xlfn.IFNA(VLOOKUP(CONCATENATE(AF$4,$C377),'INSER DATA'!$A:$F,6,0),"")</f>
        <v/>
      </c>
      <c r="AG377" s="270" t="str">
        <f>_xlfn.IFNA(VLOOKUP(CONCATENATE(AG$4,$C377),'INSER DATA'!$A:$F,6,0),"")</f>
        <v/>
      </c>
      <c r="AH377" s="270" t="str">
        <f>_xlfn.IFNA(VLOOKUP(CONCATENATE(AH$4,$C377),'INSER DATA'!$A:$F,7,0),"")</f>
        <v/>
      </c>
      <c r="AI377" s="270" t="str">
        <f>_xlfn.IFNA(VLOOKUP(CONCATENATE(AI$4,$C377),'INSER DATA'!$A:$F,7,0),"")</f>
        <v/>
      </c>
      <c r="AJ377" s="270" t="str">
        <f>_xlfn.IFNA(VLOOKUP(CONCATENATE(AJ$4,$C377),'INSER DATA'!$A:$F,7,0),"")</f>
        <v/>
      </c>
      <c r="AK377" s="270" t="str">
        <f>_xlfn.IFNA(VLOOKUP(CONCATENATE(AK$4,$C377),'INSER DATA'!$A:$F,7,0),"")</f>
        <v/>
      </c>
      <c r="AL377" s="270" t="str">
        <f>_xlfn.IFNA(VLOOKUP(CONCATENATE(AL$4,$C377),'INSER DATA'!$A:$F,7,0),"")</f>
        <v/>
      </c>
      <c r="AM377" s="270" t="str">
        <f>_xlfn.IFNA(VLOOKUP(CONCATENATE(AM$4,$C377),'INSER DATA'!$A:$F,7,0),"")</f>
        <v/>
      </c>
      <c r="AN377" s="270" t="str">
        <f>_xlfn.IFNA(VLOOKUP(CONCATENATE(AN$4,$C377),'INSER DATA'!$A:$F,7,0),"")</f>
        <v/>
      </c>
      <c r="AO377" s="270" t="str">
        <f>_xlfn.IFNA(VLOOKUP(CONCATENATE(AO$4,$C377),'INSER DATA'!$A:$F,7,0),"")</f>
        <v/>
      </c>
      <c r="AP377" s="270" t="str">
        <f>_xlfn.IFNA(VLOOKUP(CONCATENATE(AP$4,$C377),'INSER DATA'!$A:$F,7,0),"")</f>
        <v/>
      </c>
      <c r="AQ377" s="270" t="str">
        <f>_xlfn.IFNA(VLOOKUP(CONCATENATE(AQ$4,$C377),'INSER DATA'!$A:$F,7,0),"")</f>
        <v/>
      </c>
      <c r="AR377" s="270" t="str">
        <f>_xlfn.IFNA(VLOOKUP(CONCATENATE(AR$4,$C377),'INSER DATA'!$A:$F,7,0),"")</f>
        <v/>
      </c>
      <c r="AS377" s="270" t="str">
        <f>_xlfn.IFNA(VLOOKUP(CONCATENATE(AS$4,$C377),'INSER DATA'!$A:$F,7,0),"")</f>
        <v/>
      </c>
      <c r="AT377" s="270" t="str">
        <f>_xlfn.IFNA(VLOOKUP(CONCATENATE(AT$4,$C377),'INSER DATA'!$A:$F,7,0),"")</f>
        <v/>
      </c>
      <c r="AU377" s="270" t="str">
        <f>_xlfn.IFNA(VLOOKUP(CONCATENATE(AU$4,$C377),'INSER DATA'!$A:$F,7,0),"")</f>
        <v/>
      </c>
      <c r="AV377" s="270" t="str">
        <f>_xlfn.IFNA(VLOOKUP(CONCATENATE(AV$4,$C377),'INSER DATA'!$A:$F,7,0),"")</f>
        <v/>
      </c>
      <c r="AW377" s="270" t="str">
        <f>_xlfn.IFNA(VLOOKUP(CONCATENATE(AW$4,$C377),'INSER DATA'!$A:$F,7,0),"")</f>
        <v/>
      </c>
      <c r="AX377" s="270" t="str">
        <f>_xlfn.IFNA(VLOOKUP(CONCATENATE(AX$4,$C377),'INSER DATA'!$A:$F,7,0),"")</f>
        <v/>
      </c>
      <c r="AY377" s="270" t="str">
        <f>_xlfn.IFNA(VLOOKUP(CONCATENATE(AY$4,$C377),'INSER DATA'!$A:$F,7,0),"")</f>
        <v/>
      </c>
      <c r="AZ377" s="270" t="str">
        <f>_xlfn.IFNA(VLOOKUP(CONCATENATE(AZ$4,$C377),'INSER DATA'!$A:$F,7,0),"")</f>
        <v/>
      </c>
      <c r="BA377" s="270" t="str">
        <f>_xlfn.IFNA(VLOOKUP(CONCATENATE(BA$4,$C377),'INSER DATA'!$A:$F,7,0),"")</f>
        <v/>
      </c>
      <c r="BB377" s="270" t="str">
        <f>_xlfn.IFNA(VLOOKUP(CONCATENATE(BB$4,$C377),'INSER DATA'!$A:$F,7,0),"")</f>
        <v/>
      </c>
      <c r="BC377" s="270" t="str">
        <f>_xlfn.IFNA(VLOOKUP(CONCATENATE(BC$4,$C377),'INSER DATA'!$A:$F,7,0),"")</f>
        <v/>
      </c>
      <c r="BD377" s="270" t="str">
        <f>_xlfn.IFNA(VLOOKUP(CONCATENATE(BD$4,$C377),'INSER DATA'!$A:$F,7,0),"")</f>
        <v/>
      </c>
      <c r="BE377" s="270" t="str">
        <f>_xlfn.IFNA(VLOOKUP(CONCATENATE(BE$4,$C377),'INSER DATA'!$A:$F,7,0),"")</f>
        <v/>
      </c>
      <c r="BF377" s="270" t="str">
        <f>_xlfn.IFNA(VLOOKUP(CONCATENATE(BF$4,$C377),'INSER DATA'!$A:$F,7,0),"")</f>
        <v/>
      </c>
      <c r="BG377" s="270" t="str">
        <f>_xlfn.IFNA(VLOOKUP(CONCATENATE(BG$4,$C377),'INSER DATA'!$A:$F,7,0),"")</f>
        <v/>
      </c>
      <c r="BH377" s="270" t="str">
        <f>_xlfn.IFNA(VLOOKUP(CONCATENATE(BH$4,$C377),'INSER DATA'!$A:$F,7,0),"")</f>
        <v/>
      </c>
      <c r="BI377" s="270" t="str">
        <f>_xlfn.IFNA(VLOOKUP(CONCATENATE(BI$4,$C377),'INSER DATA'!$A:$F,7,0),"")</f>
        <v/>
      </c>
      <c r="BJ377" s="270" t="str">
        <f>_xlfn.IFNA(VLOOKUP(CONCATENATE(BJ$4,$C377),'INSER DATA'!$A:$F,7,0),"")</f>
        <v/>
      </c>
      <c r="BK377" s="270" t="str">
        <f>_xlfn.IFNA(VLOOKUP(CONCATENATE(BK$4,$C377),'INSER DATA'!$A:$F,7,0),"")</f>
        <v/>
      </c>
      <c r="BL377" s="272"/>
      <c r="BM377" s="30"/>
      <c r="BN377" s="30"/>
      <c r="BO377" s="30"/>
      <c r="BP377" s="30"/>
      <c r="BQ377" s="30"/>
      <c r="BR377" s="30"/>
      <c r="BS377" s="30"/>
      <c r="BT377" s="30"/>
      <c r="BU377" s="30"/>
      <c r="BV377" s="30"/>
      <c r="BW377" s="30"/>
      <c r="BX377" s="30"/>
      <c r="BY377" s="30"/>
      <c r="BZ377" s="30"/>
      <c r="CA377" s="30"/>
      <c r="CB377" s="30"/>
      <c r="CC377" s="30"/>
      <c r="CD377" s="30"/>
      <c r="CE377" s="30"/>
      <c r="CF377" s="30"/>
      <c r="CG377" s="30"/>
      <c r="CH377" s="30"/>
      <c r="CI377" s="30"/>
      <c r="CJ377" s="30"/>
      <c r="CK377" s="30"/>
      <c r="CL377" s="30"/>
      <c r="CM377" s="30"/>
      <c r="CN377" s="30"/>
      <c r="CO377" s="30"/>
      <c r="CP377" s="30"/>
      <c r="CQ377" s="30"/>
      <c r="CR377" s="30"/>
      <c r="CS377" s="30"/>
      <c r="CT377" s="30"/>
      <c r="CU377" s="30"/>
      <c r="CV377" s="30"/>
      <c r="CW377" s="30"/>
      <c r="CX377" s="30"/>
      <c r="CY377" s="30"/>
      <c r="CZ377" s="30"/>
      <c r="DA377" s="30"/>
    </row>
    <row r="378" spans="1:105" ht="19.2" thickTop="1" thickBot="1" x14ac:dyDescent="0.4">
      <c r="A378" s="30"/>
      <c r="B378" s="30"/>
      <c r="C378" s="356" t="s">
        <v>884</v>
      </c>
      <c r="D378" s="355" t="s">
        <v>874</v>
      </c>
      <c r="E378" s="35" t="str">
        <f>_xlfn.XLOOKUP(Tabella4[[#This Row],[NOME]],'ROSE SQUADRE'!$N$3:$N$253,'ROSE SQUADRE'!$O$3:$O$253,"")</f>
        <v>SHARK</v>
      </c>
      <c r="F378" s="36" t="s">
        <v>162</v>
      </c>
      <c r="G378" s="43">
        <v>5</v>
      </c>
      <c r="H378" s="43">
        <v>5</v>
      </c>
      <c r="I378" s="44">
        <f t="shared" si="31"/>
        <v>0</v>
      </c>
      <c r="J378" s="37">
        <f t="shared" si="32"/>
        <v>4</v>
      </c>
      <c r="K378" s="178">
        <f t="shared" si="33"/>
        <v>5.75</v>
      </c>
      <c r="L378" s="178">
        <f t="shared" si="34"/>
        <v>5.625</v>
      </c>
      <c r="M378" s="179">
        <f t="shared" si="35"/>
        <v>22.5</v>
      </c>
      <c r="N378" s="45">
        <f t="shared" ca="1" si="36"/>
        <v>0</v>
      </c>
      <c r="O378" s="40">
        <f>SUMIF(Tabella1[Nome],Tabella4[[#This Row],[NOME]],Tabella1[Gf])</f>
        <v>0</v>
      </c>
      <c r="P378" s="40">
        <f>-(SUMIF(Tabella1[Nome],Tabella4[[#This Row],[NOME]],Tabella1[Gs]))</f>
        <v>0</v>
      </c>
      <c r="Q378" s="40">
        <f>SUMIF(Tabella1[Nome],Tabella4[[#This Row],[NOME]],Tabella1[Rp])</f>
        <v>0</v>
      </c>
      <c r="R378" s="40">
        <f>SUMIF(Tabella1[Nome],Tabella4[[#This Row],[NOME]],Tabella1[Rs])</f>
        <v>0</v>
      </c>
      <c r="S378" s="40">
        <f>SUMIF(Tabella1[Nome],Tabella4[[#This Row],[NOME]],Tabella1[Rf])</f>
        <v>0</v>
      </c>
      <c r="T378" s="40">
        <f>SUMIF(Tabella1[Nome],Tabella4[[#This Row],[NOME]],Tabella1[Au])</f>
        <v>0</v>
      </c>
      <c r="U378" s="41">
        <f>SUMIF(Tabella1[Nome],Tabella4[[#This Row],[NOME]],Tabella1[Amm])</f>
        <v>1</v>
      </c>
      <c r="V378" s="42">
        <f>SUMIF(Tabella1[Nome],Tabella4[[#This Row],[NOME]],Tabella1[Esp])</f>
        <v>0</v>
      </c>
      <c r="W378" s="40">
        <f>SUMIF(Tabella1[Nome],Tabella4[[#This Row],[NOME]],Tabella1[Ass])</f>
        <v>0</v>
      </c>
      <c r="X378" s="40">
        <f>SUMIF(Tabella1[Nome],Tabella4[[#This Row],[NOME]],Tabella1[Gdv])</f>
        <v>0</v>
      </c>
      <c r="Y378" s="40">
        <f>SUMIF(Tabella1[Nome],Tabella4[[#This Row],[NOME]],Tabella1[cl sh])</f>
        <v>0</v>
      </c>
      <c r="Z378" s="270">
        <f>_xlfn.IFNA(_xlfn.XLOOKUP(CONCATENATE(Z$4,$C378),Tabella1[CONC X VOTI IN TAB GIOC],Tabella1[Voto],""),"")</f>
        <v>6</v>
      </c>
      <c r="AA378" s="270">
        <f>_xlfn.IFNA(_xlfn.XLOOKUP(CONCATENATE(AA$4,$C378),Tabella1[CONC X VOTI IN TAB GIOC],Tabella1[Voto],""),"")</f>
        <v>5</v>
      </c>
      <c r="AB378" s="270">
        <f>_xlfn.IFNA(_xlfn.XLOOKUP(CONCATENATE(AB$4,$C378),Tabella1[CONC X VOTI IN TAB GIOC],Tabella1[Voto]),"")</f>
        <v>6</v>
      </c>
      <c r="AC378" s="270" cm="1">
        <f t="array" ref="AC378">_xlfn.IFNA(_xlfn.XLOOKUP(CONCATENATE(AC$4,$C378),INDEX(Tabella1[],0,MATCH("CONC X VOTI IN TAB GIOC",Tabella1[#Headers],0)),INDEX(Tabella1[],0,MATCH("Voto",Tabella1[#Headers],0))),"")</f>
        <v>6</v>
      </c>
      <c r="AD378" s="270" t="str">
        <f>_xlfn.IFNA(_xlfn.XLOOKUP(CONCATENATE(AD$4,$C378),Tabella1[CONC X VOTI IN TAB GIOC],Tabella1[Voto]),"")</f>
        <v/>
      </c>
      <c r="AE378" s="270" t="str">
        <f>_xlfn.IFNA(VLOOKUP(CONCATENATE(AE$4,$C378),'INSER DATA'!$A:$F,6,0),"")</f>
        <v/>
      </c>
      <c r="AF378" s="270" t="str">
        <f>_xlfn.IFNA(VLOOKUP(CONCATENATE(AF$4,$C378),'INSER DATA'!$A:$F,6,0),"")</f>
        <v/>
      </c>
      <c r="AG378" s="270" t="str">
        <f>_xlfn.IFNA(VLOOKUP(CONCATENATE(AG$4,$C378),'INSER DATA'!$A:$F,6,0),"")</f>
        <v/>
      </c>
      <c r="AH378" s="270" t="str">
        <f>_xlfn.IFNA(VLOOKUP(CONCATENATE(AH$4,$C378),'INSER DATA'!$A:$F,7,0),"")</f>
        <v/>
      </c>
      <c r="AI378" s="270" t="str">
        <f>_xlfn.IFNA(VLOOKUP(CONCATENATE(AI$4,$C378),'INSER DATA'!$A:$F,7,0),"")</f>
        <v/>
      </c>
      <c r="AJ378" s="270" t="str">
        <f>_xlfn.IFNA(VLOOKUP(CONCATENATE(AJ$4,$C378),'INSER DATA'!$A:$F,7,0),"")</f>
        <v/>
      </c>
      <c r="AK378" s="270" t="str">
        <f>_xlfn.IFNA(VLOOKUP(CONCATENATE(AK$4,$C378),'INSER DATA'!$A:$F,7,0),"")</f>
        <v/>
      </c>
      <c r="AL378" s="270" t="str">
        <f>_xlfn.IFNA(VLOOKUP(CONCATENATE(AL$4,$C378),'INSER DATA'!$A:$F,7,0),"")</f>
        <v/>
      </c>
      <c r="AM378" s="270" t="str">
        <f>_xlfn.IFNA(VLOOKUP(CONCATENATE(AM$4,$C378),'INSER DATA'!$A:$F,7,0),"")</f>
        <v/>
      </c>
      <c r="AN378" s="270" t="str">
        <f>_xlfn.IFNA(VLOOKUP(CONCATENATE(AN$4,$C378),'INSER DATA'!$A:$F,7,0),"")</f>
        <v/>
      </c>
      <c r="AO378" s="270" t="str">
        <f>_xlfn.IFNA(VLOOKUP(CONCATENATE(AO$4,$C378),'INSER DATA'!$A:$F,7,0),"")</f>
        <v/>
      </c>
      <c r="AP378" s="270" t="str">
        <f>_xlfn.IFNA(VLOOKUP(CONCATENATE(AP$4,$C378),'INSER DATA'!$A:$F,7,0),"")</f>
        <v/>
      </c>
      <c r="AQ378" s="270" t="str">
        <f>_xlfn.IFNA(VLOOKUP(CONCATENATE(AQ$4,$C378),'INSER DATA'!$A:$F,7,0),"")</f>
        <v/>
      </c>
      <c r="AR378" s="270" t="str">
        <f>_xlfn.IFNA(VLOOKUP(CONCATENATE(AR$4,$C378),'INSER DATA'!$A:$F,7,0),"")</f>
        <v/>
      </c>
      <c r="AS378" s="270" t="str">
        <f>_xlfn.IFNA(VLOOKUP(CONCATENATE(AS$4,$C378),'INSER DATA'!$A:$F,7,0),"")</f>
        <v/>
      </c>
      <c r="AT378" s="270" t="str">
        <f>_xlfn.IFNA(VLOOKUP(CONCATENATE(AT$4,$C378),'INSER DATA'!$A:$F,7,0),"")</f>
        <v/>
      </c>
      <c r="AU378" s="270" t="str">
        <f>_xlfn.IFNA(VLOOKUP(CONCATENATE(AU$4,$C378),'INSER DATA'!$A:$F,7,0),"")</f>
        <v/>
      </c>
      <c r="AV378" s="270" t="str">
        <f>_xlfn.IFNA(VLOOKUP(CONCATENATE(AV$4,$C378),'INSER DATA'!$A:$F,7,0),"")</f>
        <v/>
      </c>
      <c r="AW378" s="270" t="str">
        <f>_xlfn.IFNA(VLOOKUP(CONCATENATE(AW$4,$C378),'INSER DATA'!$A:$F,7,0),"")</f>
        <v/>
      </c>
      <c r="AX378" s="270" t="str">
        <f>_xlfn.IFNA(VLOOKUP(CONCATENATE(AX$4,$C378),'INSER DATA'!$A:$F,7,0),"")</f>
        <v/>
      </c>
      <c r="AY378" s="270" t="str">
        <f>_xlfn.IFNA(VLOOKUP(CONCATENATE(AY$4,$C378),'INSER DATA'!$A:$F,7,0),"")</f>
        <v/>
      </c>
      <c r="AZ378" s="270" t="str">
        <f>_xlfn.IFNA(VLOOKUP(CONCATENATE(AZ$4,$C378),'INSER DATA'!$A:$F,7,0),"")</f>
        <v/>
      </c>
      <c r="BA378" s="270" t="str">
        <f>_xlfn.IFNA(VLOOKUP(CONCATENATE(BA$4,$C378),'INSER DATA'!$A:$F,7,0),"")</f>
        <v/>
      </c>
      <c r="BB378" s="270" t="str">
        <f>_xlfn.IFNA(VLOOKUP(CONCATENATE(BB$4,$C378),'INSER DATA'!$A:$F,7,0),"")</f>
        <v/>
      </c>
      <c r="BC378" s="270" t="str">
        <f>_xlfn.IFNA(VLOOKUP(CONCATENATE(BC$4,$C378),'INSER DATA'!$A:$F,7,0),"")</f>
        <v/>
      </c>
      <c r="BD378" s="270" t="str">
        <f>_xlfn.IFNA(VLOOKUP(CONCATENATE(BD$4,$C378),'INSER DATA'!$A:$F,7,0),"")</f>
        <v/>
      </c>
      <c r="BE378" s="270" t="str">
        <f>_xlfn.IFNA(VLOOKUP(CONCATENATE(BE$4,$C378),'INSER DATA'!$A:$F,7,0),"")</f>
        <v/>
      </c>
      <c r="BF378" s="270" t="str">
        <f>_xlfn.IFNA(VLOOKUP(CONCATENATE(BF$4,$C378),'INSER DATA'!$A:$F,7,0),"")</f>
        <v/>
      </c>
      <c r="BG378" s="270" t="str">
        <f>_xlfn.IFNA(VLOOKUP(CONCATENATE(BG$4,$C378),'INSER DATA'!$A:$F,7,0),"")</f>
        <v/>
      </c>
      <c r="BH378" s="270" t="str">
        <f>_xlfn.IFNA(VLOOKUP(CONCATENATE(BH$4,$C378),'INSER DATA'!$A:$F,7,0),"")</f>
        <v/>
      </c>
      <c r="BI378" s="270" t="str">
        <f>_xlfn.IFNA(VLOOKUP(CONCATENATE(BI$4,$C378),'INSER DATA'!$A:$F,7,0),"")</f>
        <v/>
      </c>
      <c r="BJ378" s="270" t="str">
        <f>_xlfn.IFNA(VLOOKUP(CONCATENATE(BJ$4,$C378),'INSER DATA'!$A:$F,7,0),"")</f>
        <v/>
      </c>
      <c r="BK378" s="270" t="str">
        <f>_xlfn.IFNA(VLOOKUP(CONCATENATE(BK$4,$C378),'INSER DATA'!$A:$F,7,0),"")</f>
        <v/>
      </c>
      <c r="BL378" s="272"/>
      <c r="BM378" s="30"/>
      <c r="BN378" s="30"/>
      <c r="BO378" s="30"/>
      <c r="BP378" s="30"/>
      <c r="BQ378" s="30"/>
      <c r="BR378" s="30"/>
      <c r="BS378" s="30"/>
      <c r="BT378" s="30"/>
      <c r="BU378" s="30"/>
      <c r="BV378" s="30"/>
      <c r="BW378" s="30"/>
      <c r="BX378" s="30"/>
      <c r="BY378" s="30"/>
      <c r="BZ378" s="30"/>
      <c r="CA378" s="30"/>
      <c r="CB378" s="30"/>
      <c r="CC378" s="30"/>
      <c r="CD378" s="30"/>
      <c r="CE378" s="30"/>
      <c r="CF378" s="30"/>
      <c r="CG378" s="30"/>
      <c r="CH378" s="30"/>
      <c r="CI378" s="30"/>
      <c r="CJ378" s="30"/>
      <c r="CK378" s="30"/>
      <c r="CL378" s="30"/>
      <c r="CM378" s="30"/>
      <c r="CN378" s="30"/>
      <c r="CO378" s="30"/>
      <c r="CP378" s="30"/>
      <c r="CQ378" s="30"/>
      <c r="CR378" s="30"/>
      <c r="CS378" s="30"/>
      <c r="CT378" s="30"/>
      <c r="CU378" s="30"/>
      <c r="CV378" s="30"/>
      <c r="CW378" s="30"/>
      <c r="CX378" s="30"/>
      <c r="CY378" s="30"/>
      <c r="CZ378" s="30"/>
      <c r="DA378" s="30"/>
    </row>
    <row r="379" spans="1:105" ht="19.2" thickTop="1" thickBot="1" x14ac:dyDescent="0.4">
      <c r="A379" s="30"/>
      <c r="B379" s="30"/>
      <c r="C379" s="358" t="s">
        <v>888</v>
      </c>
      <c r="D379" s="359" t="s">
        <v>874</v>
      </c>
      <c r="E379" s="35" t="str">
        <f>_xlfn.XLOOKUP(Tabella4[[#This Row],[NOME]],'ROSE SQUADRE'!$N$3:$N$253,'ROSE SQUADRE'!$O$3:$O$253,"")</f>
        <v>TRICCHETRACHT</v>
      </c>
      <c r="F379" s="36" t="s">
        <v>163</v>
      </c>
      <c r="G379" s="43">
        <v>3</v>
      </c>
      <c r="H379" s="43">
        <v>3</v>
      </c>
      <c r="I379" s="44">
        <f t="shared" si="31"/>
        <v>0</v>
      </c>
      <c r="J379" s="37">
        <f t="shared" si="32"/>
        <v>2</v>
      </c>
      <c r="K379" s="178">
        <f t="shared" si="33"/>
        <v>5.5</v>
      </c>
      <c r="L379" s="178">
        <f t="shared" si="34"/>
        <v>5.5</v>
      </c>
      <c r="M379" s="179">
        <f t="shared" si="35"/>
        <v>11</v>
      </c>
      <c r="N379" s="45">
        <f t="shared" ca="1" si="36"/>
        <v>0</v>
      </c>
      <c r="O379" s="40">
        <f>SUMIF(Tabella1[Nome],Tabella4[[#This Row],[NOME]],Tabella1[Gf])</f>
        <v>0</v>
      </c>
      <c r="P379" s="40">
        <f>-(SUMIF(Tabella1[Nome],Tabella4[[#This Row],[NOME]],Tabella1[Gs]))</f>
        <v>0</v>
      </c>
      <c r="Q379" s="40">
        <f>SUMIF(Tabella1[Nome],Tabella4[[#This Row],[NOME]],Tabella1[Rp])</f>
        <v>0</v>
      </c>
      <c r="R379" s="40">
        <f>SUMIF(Tabella1[Nome],Tabella4[[#This Row],[NOME]],Tabella1[Rs])</f>
        <v>0</v>
      </c>
      <c r="S379" s="40">
        <f>SUMIF(Tabella1[Nome],Tabella4[[#This Row],[NOME]],Tabella1[Rf])</f>
        <v>0</v>
      </c>
      <c r="T379" s="40">
        <f>SUMIF(Tabella1[Nome],Tabella4[[#This Row],[NOME]],Tabella1[Au])</f>
        <v>0</v>
      </c>
      <c r="U379" s="41">
        <f>SUMIF(Tabella1[Nome],Tabella4[[#This Row],[NOME]],Tabella1[Amm])</f>
        <v>0</v>
      </c>
      <c r="V379" s="42">
        <f>SUMIF(Tabella1[Nome],Tabella4[[#This Row],[NOME]],Tabella1[Esp])</f>
        <v>0</v>
      </c>
      <c r="W379" s="40">
        <f>SUMIF(Tabella1[Nome],Tabella4[[#This Row],[NOME]],Tabella1[Ass])</f>
        <v>0</v>
      </c>
      <c r="X379" s="40">
        <f>SUMIF(Tabella1[Nome],Tabella4[[#This Row],[NOME]],Tabella1[Gdv])</f>
        <v>0</v>
      </c>
      <c r="Y379" s="40">
        <f>SUMIF(Tabella1[Nome],Tabella4[[#This Row],[NOME]],Tabella1[cl sh])</f>
        <v>0</v>
      </c>
      <c r="Z379" s="270">
        <f>_xlfn.IFNA(_xlfn.XLOOKUP(CONCATENATE(Z$4,$C379),Tabella1[CONC X VOTI IN TAB GIOC],Tabella1[Voto],""),"")</f>
        <v>5.5</v>
      </c>
      <c r="AA379" s="270" t="str">
        <f>_xlfn.IFNA(_xlfn.XLOOKUP(CONCATENATE(AA$4,$C379),Tabella1[CONC X VOTI IN TAB GIOC],Tabella1[Voto],""),"")</f>
        <v/>
      </c>
      <c r="AB379" s="270" t="str">
        <f>_xlfn.IFNA(_xlfn.XLOOKUP(CONCATENATE(AB$4,$C379),Tabella1[CONC X VOTI IN TAB GIOC],Tabella1[Voto]),"")</f>
        <v/>
      </c>
      <c r="AC379" s="270" cm="1">
        <f t="array" ref="AC379">_xlfn.IFNA(_xlfn.XLOOKUP(CONCATENATE(AC$4,$C379),INDEX(Tabella1[],0,MATCH("CONC X VOTI IN TAB GIOC",Tabella1[#Headers],0)),INDEX(Tabella1[],0,MATCH("Voto",Tabella1[#Headers],0))),"")</f>
        <v>5.5</v>
      </c>
      <c r="AD379" s="270" t="str">
        <f>_xlfn.IFNA(_xlfn.XLOOKUP(CONCATENATE(AD$4,$C379),Tabella1[CONC X VOTI IN TAB GIOC],Tabella1[Voto]),"")</f>
        <v/>
      </c>
      <c r="AE379" s="270" t="str">
        <f>_xlfn.IFNA(VLOOKUP(CONCATENATE(AE$4,$C379),'INSER DATA'!$A:$F,6,0),"")</f>
        <v/>
      </c>
      <c r="AF379" s="270" t="str">
        <f>_xlfn.IFNA(VLOOKUP(CONCATENATE(AF$4,$C379),'INSER DATA'!$A:$F,6,0),"")</f>
        <v/>
      </c>
      <c r="AG379" s="270" t="str">
        <f>_xlfn.IFNA(VLOOKUP(CONCATENATE(AG$4,$C379),'INSER DATA'!$A:$F,6,0),"")</f>
        <v/>
      </c>
      <c r="AH379" s="270" t="str">
        <f>_xlfn.IFNA(VLOOKUP(CONCATENATE(AH$4,$C379),'INSER DATA'!$A:$F,7,0),"")</f>
        <v/>
      </c>
      <c r="AI379" s="270" t="str">
        <f>_xlfn.IFNA(VLOOKUP(CONCATENATE(AI$4,$C379),'INSER DATA'!$A:$F,7,0),"")</f>
        <v/>
      </c>
      <c r="AJ379" s="270" t="str">
        <f>_xlfn.IFNA(VLOOKUP(CONCATENATE(AJ$4,$C379),'INSER DATA'!$A:$F,7,0),"")</f>
        <v/>
      </c>
      <c r="AK379" s="270" t="str">
        <f>_xlfn.IFNA(VLOOKUP(CONCATENATE(AK$4,$C379),'INSER DATA'!$A:$F,7,0),"")</f>
        <v/>
      </c>
      <c r="AL379" s="270" t="str">
        <f>_xlfn.IFNA(VLOOKUP(CONCATENATE(AL$4,$C379),'INSER DATA'!$A:$F,7,0),"")</f>
        <v/>
      </c>
      <c r="AM379" s="270" t="str">
        <f>_xlfn.IFNA(VLOOKUP(CONCATENATE(AM$4,$C379),'INSER DATA'!$A:$F,7,0),"")</f>
        <v/>
      </c>
      <c r="AN379" s="270" t="str">
        <f>_xlfn.IFNA(VLOOKUP(CONCATENATE(AN$4,$C379),'INSER DATA'!$A:$F,7,0),"")</f>
        <v/>
      </c>
      <c r="AO379" s="270" t="str">
        <f>_xlfn.IFNA(VLOOKUP(CONCATENATE(AO$4,$C379),'INSER DATA'!$A:$F,7,0),"")</f>
        <v/>
      </c>
      <c r="AP379" s="270" t="str">
        <f>_xlfn.IFNA(VLOOKUP(CONCATENATE(AP$4,$C379),'INSER DATA'!$A:$F,7,0),"")</f>
        <v/>
      </c>
      <c r="AQ379" s="270" t="str">
        <f>_xlfn.IFNA(VLOOKUP(CONCATENATE(AQ$4,$C379),'INSER DATA'!$A:$F,7,0),"")</f>
        <v/>
      </c>
      <c r="AR379" s="270" t="str">
        <f>_xlfn.IFNA(VLOOKUP(CONCATENATE(AR$4,$C379),'INSER DATA'!$A:$F,7,0),"")</f>
        <v/>
      </c>
      <c r="AS379" s="270" t="str">
        <f>_xlfn.IFNA(VLOOKUP(CONCATENATE(AS$4,$C379),'INSER DATA'!$A:$F,7,0),"")</f>
        <v/>
      </c>
      <c r="AT379" s="270" t="str">
        <f>_xlfn.IFNA(VLOOKUP(CONCATENATE(AT$4,$C379),'INSER DATA'!$A:$F,7,0),"")</f>
        <v/>
      </c>
      <c r="AU379" s="270" t="str">
        <f>_xlfn.IFNA(VLOOKUP(CONCATENATE(AU$4,$C379),'INSER DATA'!$A:$F,7,0),"")</f>
        <v/>
      </c>
      <c r="AV379" s="270" t="str">
        <f>_xlfn.IFNA(VLOOKUP(CONCATENATE(AV$4,$C379),'INSER DATA'!$A:$F,7,0),"")</f>
        <v/>
      </c>
      <c r="AW379" s="270" t="str">
        <f>_xlfn.IFNA(VLOOKUP(CONCATENATE(AW$4,$C379),'INSER DATA'!$A:$F,7,0),"")</f>
        <v/>
      </c>
      <c r="AX379" s="270" t="str">
        <f>_xlfn.IFNA(VLOOKUP(CONCATENATE(AX$4,$C379),'INSER DATA'!$A:$F,7,0),"")</f>
        <v/>
      </c>
      <c r="AY379" s="270" t="str">
        <f>_xlfn.IFNA(VLOOKUP(CONCATENATE(AY$4,$C379),'INSER DATA'!$A:$F,7,0),"")</f>
        <v/>
      </c>
      <c r="AZ379" s="270" t="str">
        <f>_xlfn.IFNA(VLOOKUP(CONCATENATE(AZ$4,$C379),'INSER DATA'!$A:$F,7,0),"")</f>
        <v/>
      </c>
      <c r="BA379" s="270" t="str">
        <f>_xlfn.IFNA(VLOOKUP(CONCATENATE(BA$4,$C379),'INSER DATA'!$A:$F,7,0),"")</f>
        <v/>
      </c>
      <c r="BB379" s="270" t="str">
        <f>_xlfn.IFNA(VLOOKUP(CONCATENATE(BB$4,$C379),'INSER DATA'!$A:$F,7,0),"")</f>
        <v/>
      </c>
      <c r="BC379" s="270" t="str">
        <f>_xlfn.IFNA(VLOOKUP(CONCATENATE(BC$4,$C379),'INSER DATA'!$A:$F,7,0),"")</f>
        <v/>
      </c>
      <c r="BD379" s="270" t="str">
        <f>_xlfn.IFNA(VLOOKUP(CONCATENATE(BD$4,$C379),'INSER DATA'!$A:$F,7,0),"")</f>
        <v/>
      </c>
      <c r="BE379" s="270" t="str">
        <f>_xlfn.IFNA(VLOOKUP(CONCATENATE(BE$4,$C379),'INSER DATA'!$A:$F,7,0),"")</f>
        <v/>
      </c>
      <c r="BF379" s="270" t="str">
        <f>_xlfn.IFNA(VLOOKUP(CONCATENATE(BF$4,$C379),'INSER DATA'!$A:$F,7,0),"")</f>
        <v/>
      </c>
      <c r="BG379" s="270" t="str">
        <f>_xlfn.IFNA(VLOOKUP(CONCATENATE(BG$4,$C379),'INSER DATA'!$A:$F,7,0),"")</f>
        <v/>
      </c>
      <c r="BH379" s="270" t="str">
        <f>_xlfn.IFNA(VLOOKUP(CONCATENATE(BH$4,$C379),'INSER DATA'!$A:$F,7,0),"")</f>
        <v/>
      </c>
      <c r="BI379" s="270" t="str">
        <f>_xlfn.IFNA(VLOOKUP(CONCATENATE(BI$4,$C379),'INSER DATA'!$A:$F,7,0),"")</f>
        <v/>
      </c>
      <c r="BJ379" s="270" t="str">
        <f>_xlfn.IFNA(VLOOKUP(CONCATENATE(BJ$4,$C379),'INSER DATA'!$A:$F,7,0),"")</f>
        <v/>
      </c>
      <c r="BK379" s="270" t="str">
        <f>_xlfn.IFNA(VLOOKUP(CONCATENATE(BK$4,$C379),'INSER DATA'!$A:$F,7,0),"")</f>
        <v/>
      </c>
      <c r="BL379" s="272"/>
      <c r="BM379" s="30"/>
      <c r="BN379" s="30"/>
      <c r="BO379" s="30"/>
      <c r="BP379" s="30"/>
      <c r="BQ379" s="30"/>
      <c r="BR379" s="30"/>
      <c r="BS379" s="30"/>
      <c r="BT379" s="30"/>
      <c r="BU379" s="30"/>
      <c r="BV379" s="30"/>
      <c r="BW379" s="30"/>
      <c r="BX379" s="30"/>
      <c r="BY379" s="30"/>
      <c r="BZ379" s="30"/>
      <c r="CA379" s="30"/>
      <c r="CB379" s="30"/>
      <c r="CC379" s="30"/>
      <c r="CD379" s="30"/>
      <c r="CE379" s="30"/>
      <c r="CF379" s="30"/>
      <c r="CG379" s="30"/>
      <c r="CH379" s="30"/>
      <c r="CI379" s="30"/>
      <c r="CJ379" s="30"/>
      <c r="CK379" s="30"/>
      <c r="CL379" s="30"/>
      <c r="CM379" s="30"/>
      <c r="CN379" s="30"/>
      <c r="CO379" s="30"/>
      <c r="CP379" s="30"/>
      <c r="CQ379" s="30"/>
      <c r="CR379" s="30"/>
      <c r="CS379" s="30"/>
      <c r="CT379" s="30"/>
      <c r="CU379" s="30"/>
      <c r="CV379" s="30"/>
      <c r="CW379" s="30"/>
      <c r="CX379" s="30"/>
      <c r="CY379" s="30"/>
      <c r="CZ379" s="30"/>
      <c r="DA379" s="30"/>
    </row>
    <row r="380" spans="1:105" ht="19.2" thickTop="1" thickBot="1" x14ac:dyDescent="0.4">
      <c r="A380" s="30"/>
      <c r="B380" s="30"/>
      <c r="C380" s="354" t="s">
        <v>892</v>
      </c>
      <c r="D380" s="357" t="s">
        <v>874</v>
      </c>
      <c r="E380" s="35" t="str">
        <f>_xlfn.XLOOKUP(Tabella4[[#This Row],[NOME]],'ROSE SQUADRE'!$N$3:$N$253,'ROSE SQUADRE'!$O$3:$O$253,"")</f>
        <v>ATL. IMPROVVISATO</v>
      </c>
      <c r="F380" s="36" t="s">
        <v>163</v>
      </c>
      <c r="G380" s="43">
        <v>11</v>
      </c>
      <c r="H380" s="43">
        <v>11</v>
      </c>
      <c r="I380" s="44">
        <f t="shared" si="31"/>
        <v>0</v>
      </c>
      <c r="J380" s="37">
        <f t="shared" si="32"/>
        <v>4</v>
      </c>
      <c r="K380" s="178">
        <f t="shared" si="33"/>
        <v>5.625</v>
      </c>
      <c r="L380" s="178">
        <f t="shared" si="34"/>
        <v>5.625</v>
      </c>
      <c r="M380" s="179">
        <f t="shared" si="35"/>
        <v>22.5</v>
      </c>
      <c r="N380" s="45">
        <f t="shared" ca="1" si="36"/>
        <v>0</v>
      </c>
      <c r="O380" s="40">
        <f>SUMIF(Tabella1[Nome],Tabella4[[#This Row],[NOME]],Tabella1[Gf])</f>
        <v>0</v>
      </c>
      <c r="P380" s="40">
        <f>-(SUMIF(Tabella1[Nome],Tabella4[[#This Row],[NOME]],Tabella1[Gs]))</f>
        <v>0</v>
      </c>
      <c r="Q380" s="40">
        <f>SUMIF(Tabella1[Nome],Tabella4[[#This Row],[NOME]],Tabella1[Rp])</f>
        <v>0</v>
      </c>
      <c r="R380" s="40">
        <f>SUMIF(Tabella1[Nome],Tabella4[[#This Row],[NOME]],Tabella1[Rs])</f>
        <v>0</v>
      </c>
      <c r="S380" s="40">
        <f>SUMIF(Tabella1[Nome],Tabella4[[#This Row],[NOME]],Tabella1[Rf])</f>
        <v>0</v>
      </c>
      <c r="T380" s="40">
        <f>SUMIF(Tabella1[Nome],Tabella4[[#This Row],[NOME]],Tabella1[Au])</f>
        <v>0</v>
      </c>
      <c r="U380" s="41">
        <f>SUMIF(Tabella1[Nome],Tabella4[[#This Row],[NOME]],Tabella1[Amm])</f>
        <v>0</v>
      </c>
      <c r="V380" s="42">
        <f>SUMIF(Tabella1[Nome],Tabella4[[#This Row],[NOME]],Tabella1[Esp])</f>
        <v>0</v>
      </c>
      <c r="W380" s="40">
        <f>SUMIF(Tabella1[Nome],Tabella4[[#This Row],[NOME]],Tabella1[Ass])</f>
        <v>0</v>
      </c>
      <c r="X380" s="40">
        <f>SUMIF(Tabella1[Nome],Tabella4[[#This Row],[NOME]],Tabella1[Gdv])</f>
        <v>0</v>
      </c>
      <c r="Y380" s="40">
        <f>SUMIF(Tabella1[Nome],Tabella4[[#This Row],[NOME]],Tabella1[cl sh])</f>
        <v>0</v>
      </c>
      <c r="Z380" s="270">
        <f>_xlfn.IFNA(_xlfn.XLOOKUP(CONCATENATE(Z$4,$C380),Tabella1[CONC X VOTI IN TAB GIOC],Tabella1[Voto],""),"")</f>
        <v>5.5</v>
      </c>
      <c r="AA380" s="270">
        <f>_xlfn.IFNA(_xlfn.XLOOKUP(CONCATENATE(AA$4,$C380),Tabella1[CONC X VOTI IN TAB GIOC],Tabella1[Voto],""),"")</f>
        <v>5.5</v>
      </c>
      <c r="AB380" s="270">
        <f>_xlfn.IFNA(_xlfn.XLOOKUP(CONCATENATE(AB$4,$C380),Tabella1[CONC X VOTI IN TAB GIOC],Tabella1[Voto]),"")</f>
        <v>6</v>
      </c>
      <c r="AC380" s="270" cm="1">
        <f t="array" ref="AC380">_xlfn.IFNA(_xlfn.XLOOKUP(CONCATENATE(AC$4,$C380),INDEX(Tabella1[],0,MATCH("CONC X VOTI IN TAB GIOC",Tabella1[#Headers],0)),INDEX(Tabella1[],0,MATCH("Voto",Tabella1[#Headers],0))),"")</f>
        <v>5.5</v>
      </c>
      <c r="AD380" s="270" t="str">
        <f>_xlfn.IFNA(_xlfn.XLOOKUP(CONCATENATE(AD$4,$C380),Tabella1[CONC X VOTI IN TAB GIOC],Tabella1[Voto]),"")</f>
        <v/>
      </c>
      <c r="AE380" s="270" t="str">
        <f>_xlfn.IFNA(VLOOKUP(CONCATENATE(AE$4,$C380),'INSER DATA'!$A:$F,6,0),"")</f>
        <v/>
      </c>
      <c r="AF380" s="270" t="str">
        <f>_xlfn.IFNA(VLOOKUP(CONCATENATE(AF$4,$C380),'INSER DATA'!$A:$F,6,0),"")</f>
        <v/>
      </c>
      <c r="AG380" s="270" t="str">
        <f>_xlfn.IFNA(VLOOKUP(CONCATENATE(AG$4,$C380),'INSER DATA'!$A:$F,6,0),"")</f>
        <v/>
      </c>
      <c r="AH380" s="270" t="str">
        <f>_xlfn.IFNA(VLOOKUP(CONCATENATE(AH$4,$C380),'INSER DATA'!$A:$F,7,0),"")</f>
        <v/>
      </c>
      <c r="AI380" s="270" t="str">
        <f>_xlfn.IFNA(VLOOKUP(CONCATENATE(AI$4,$C380),'INSER DATA'!$A:$F,7,0),"")</f>
        <v/>
      </c>
      <c r="AJ380" s="270" t="str">
        <f>_xlfn.IFNA(VLOOKUP(CONCATENATE(AJ$4,$C380),'INSER DATA'!$A:$F,7,0),"")</f>
        <v/>
      </c>
      <c r="AK380" s="270" t="str">
        <f>_xlfn.IFNA(VLOOKUP(CONCATENATE(AK$4,$C380),'INSER DATA'!$A:$F,7,0),"")</f>
        <v/>
      </c>
      <c r="AL380" s="270" t="str">
        <f>_xlfn.IFNA(VLOOKUP(CONCATENATE(AL$4,$C380),'INSER DATA'!$A:$F,7,0),"")</f>
        <v/>
      </c>
      <c r="AM380" s="270" t="str">
        <f>_xlfn.IFNA(VLOOKUP(CONCATENATE(AM$4,$C380),'INSER DATA'!$A:$F,7,0),"")</f>
        <v/>
      </c>
      <c r="AN380" s="270" t="str">
        <f>_xlfn.IFNA(VLOOKUP(CONCATENATE(AN$4,$C380),'INSER DATA'!$A:$F,7,0),"")</f>
        <v/>
      </c>
      <c r="AO380" s="270" t="str">
        <f>_xlfn.IFNA(VLOOKUP(CONCATENATE(AO$4,$C380),'INSER DATA'!$A:$F,7,0),"")</f>
        <v/>
      </c>
      <c r="AP380" s="270" t="str">
        <f>_xlfn.IFNA(VLOOKUP(CONCATENATE(AP$4,$C380),'INSER DATA'!$A:$F,7,0),"")</f>
        <v/>
      </c>
      <c r="AQ380" s="270" t="str">
        <f>_xlfn.IFNA(VLOOKUP(CONCATENATE(AQ$4,$C380),'INSER DATA'!$A:$F,7,0),"")</f>
        <v/>
      </c>
      <c r="AR380" s="270" t="str">
        <f>_xlfn.IFNA(VLOOKUP(CONCATENATE(AR$4,$C380),'INSER DATA'!$A:$F,7,0),"")</f>
        <v/>
      </c>
      <c r="AS380" s="270" t="str">
        <f>_xlfn.IFNA(VLOOKUP(CONCATENATE(AS$4,$C380),'INSER DATA'!$A:$F,7,0),"")</f>
        <v/>
      </c>
      <c r="AT380" s="270" t="str">
        <f>_xlfn.IFNA(VLOOKUP(CONCATENATE(AT$4,$C380),'INSER DATA'!$A:$F,7,0),"")</f>
        <v/>
      </c>
      <c r="AU380" s="270" t="str">
        <f>_xlfn.IFNA(VLOOKUP(CONCATENATE(AU$4,$C380),'INSER DATA'!$A:$F,7,0),"")</f>
        <v/>
      </c>
      <c r="AV380" s="270" t="str">
        <f>_xlfn.IFNA(VLOOKUP(CONCATENATE(AV$4,$C380),'INSER DATA'!$A:$F,7,0),"")</f>
        <v/>
      </c>
      <c r="AW380" s="270" t="str">
        <f>_xlfn.IFNA(VLOOKUP(CONCATENATE(AW$4,$C380),'INSER DATA'!$A:$F,7,0),"")</f>
        <v/>
      </c>
      <c r="AX380" s="270" t="str">
        <f>_xlfn.IFNA(VLOOKUP(CONCATENATE(AX$4,$C380),'INSER DATA'!$A:$F,7,0),"")</f>
        <v/>
      </c>
      <c r="AY380" s="270" t="str">
        <f>_xlfn.IFNA(VLOOKUP(CONCATENATE(AY$4,$C380),'INSER DATA'!$A:$F,7,0),"")</f>
        <v/>
      </c>
      <c r="AZ380" s="270" t="str">
        <f>_xlfn.IFNA(VLOOKUP(CONCATENATE(AZ$4,$C380),'INSER DATA'!$A:$F,7,0),"")</f>
        <v/>
      </c>
      <c r="BA380" s="270" t="str">
        <f>_xlfn.IFNA(VLOOKUP(CONCATENATE(BA$4,$C380),'INSER DATA'!$A:$F,7,0),"")</f>
        <v/>
      </c>
      <c r="BB380" s="270" t="str">
        <f>_xlfn.IFNA(VLOOKUP(CONCATENATE(BB$4,$C380),'INSER DATA'!$A:$F,7,0),"")</f>
        <v/>
      </c>
      <c r="BC380" s="270" t="str">
        <f>_xlfn.IFNA(VLOOKUP(CONCATENATE(BC$4,$C380),'INSER DATA'!$A:$F,7,0),"")</f>
        <v/>
      </c>
      <c r="BD380" s="270" t="str">
        <f>_xlfn.IFNA(VLOOKUP(CONCATENATE(BD$4,$C380),'INSER DATA'!$A:$F,7,0),"")</f>
        <v/>
      </c>
      <c r="BE380" s="270" t="str">
        <f>_xlfn.IFNA(VLOOKUP(CONCATENATE(BE$4,$C380),'INSER DATA'!$A:$F,7,0),"")</f>
        <v/>
      </c>
      <c r="BF380" s="270" t="str">
        <f>_xlfn.IFNA(VLOOKUP(CONCATENATE(BF$4,$C380),'INSER DATA'!$A:$F,7,0),"")</f>
        <v/>
      </c>
      <c r="BG380" s="270" t="str">
        <f>_xlfn.IFNA(VLOOKUP(CONCATENATE(BG$4,$C380),'INSER DATA'!$A:$F,7,0),"")</f>
        <v/>
      </c>
      <c r="BH380" s="270" t="str">
        <f>_xlfn.IFNA(VLOOKUP(CONCATENATE(BH$4,$C380),'INSER DATA'!$A:$F,7,0),"")</f>
        <v/>
      </c>
      <c r="BI380" s="270" t="str">
        <f>_xlfn.IFNA(VLOOKUP(CONCATENATE(BI$4,$C380),'INSER DATA'!$A:$F,7,0),"")</f>
        <v/>
      </c>
      <c r="BJ380" s="270" t="str">
        <f>_xlfn.IFNA(VLOOKUP(CONCATENATE(BJ$4,$C380),'INSER DATA'!$A:$F,7,0),"")</f>
        <v/>
      </c>
      <c r="BK380" s="270" t="str">
        <f>_xlfn.IFNA(VLOOKUP(CONCATENATE(BK$4,$C380),'INSER DATA'!$A:$F,7,0),"")</f>
        <v/>
      </c>
      <c r="BL380" s="272"/>
      <c r="BM380" s="30"/>
      <c r="BN380" s="30"/>
      <c r="BO380" s="30"/>
      <c r="BP380" s="30"/>
      <c r="BQ380" s="30"/>
      <c r="BR380" s="30"/>
      <c r="BS380" s="30"/>
      <c r="BT380" s="30"/>
      <c r="BU380" s="30"/>
      <c r="BV380" s="30"/>
      <c r="BW380" s="30"/>
      <c r="BX380" s="30"/>
      <c r="BY380" s="30"/>
      <c r="BZ380" s="30"/>
      <c r="CA380" s="30"/>
      <c r="CB380" s="30"/>
      <c r="CC380" s="30"/>
      <c r="CD380" s="30"/>
      <c r="CE380" s="30"/>
      <c r="CF380" s="30"/>
      <c r="CG380" s="30"/>
      <c r="CH380" s="30"/>
      <c r="CI380" s="30"/>
      <c r="CJ380" s="30"/>
      <c r="CK380" s="30"/>
      <c r="CL380" s="30"/>
      <c r="CM380" s="30"/>
      <c r="CN380" s="30"/>
      <c r="CO380" s="30"/>
      <c r="CP380" s="30"/>
      <c r="CQ380" s="30"/>
      <c r="CR380" s="30"/>
      <c r="CS380" s="30"/>
      <c r="CT380" s="30"/>
      <c r="CU380" s="30"/>
      <c r="CV380" s="30"/>
      <c r="CW380" s="30"/>
      <c r="CX380" s="30"/>
      <c r="CY380" s="30"/>
      <c r="CZ380" s="30"/>
      <c r="DA380" s="30"/>
    </row>
    <row r="381" spans="1:105" ht="19.2" thickTop="1" thickBot="1" x14ac:dyDescent="0.4">
      <c r="A381" s="30"/>
      <c r="B381" s="30"/>
      <c r="C381" s="188" t="s">
        <v>992</v>
      </c>
      <c r="D381" s="187" t="s">
        <v>874</v>
      </c>
      <c r="E381" s="35" t="str">
        <f>_xlfn.XLOOKUP(Tabella4[[#This Row],[NOME]],'ROSE SQUADRE'!$N$3:$N$253,'ROSE SQUADRE'!$O$3:$O$253,"")</f>
        <v/>
      </c>
      <c r="F381" s="36" t="s">
        <v>162</v>
      </c>
      <c r="G381" s="43"/>
      <c r="H381" s="43"/>
      <c r="I381" s="44">
        <f t="shared" si="31"/>
        <v>0</v>
      </c>
      <c r="J381" s="37">
        <f t="shared" si="32"/>
        <v>1</v>
      </c>
      <c r="K381" s="178">
        <f t="shared" si="33"/>
        <v>5.5</v>
      </c>
      <c r="L381" s="178">
        <f t="shared" si="34"/>
        <v>5.5</v>
      </c>
      <c r="M381" s="179">
        <f t="shared" si="35"/>
        <v>5.5</v>
      </c>
      <c r="N381" s="45">
        <f t="shared" ca="1" si="36"/>
        <v>0</v>
      </c>
      <c r="O381" s="40">
        <f>SUMIF(Tabella1[Nome],Tabella4[[#This Row],[NOME]],Tabella1[Gf])</f>
        <v>0</v>
      </c>
      <c r="P381" s="40">
        <f>-(SUMIF(Tabella1[Nome],Tabella4[[#This Row],[NOME]],Tabella1[Gs]))</f>
        <v>0</v>
      </c>
      <c r="Q381" s="40">
        <f>SUMIF(Tabella1[Nome],Tabella4[[#This Row],[NOME]],Tabella1[Rp])</f>
        <v>0</v>
      </c>
      <c r="R381" s="40">
        <f>SUMIF(Tabella1[Nome],Tabella4[[#This Row],[NOME]],Tabella1[Rs])</f>
        <v>0</v>
      </c>
      <c r="S381" s="40">
        <f>SUMIF(Tabella1[Nome],Tabella4[[#This Row],[NOME]],Tabella1[Rf])</f>
        <v>0</v>
      </c>
      <c r="T381" s="40">
        <f>SUMIF(Tabella1[Nome],Tabella4[[#This Row],[NOME]],Tabella1[Au])</f>
        <v>0</v>
      </c>
      <c r="U381" s="41">
        <f>SUMIF(Tabella1[Nome],Tabella4[[#This Row],[NOME]],Tabella1[Amm])</f>
        <v>0</v>
      </c>
      <c r="V381" s="42">
        <f>SUMIF(Tabella1[Nome],Tabella4[[#This Row],[NOME]],Tabella1[Esp])</f>
        <v>0</v>
      </c>
      <c r="W381" s="40">
        <f>SUMIF(Tabella1[Nome],Tabella4[[#This Row],[NOME]],Tabella1[Ass])</f>
        <v>0</v>
      </c>
      <c r="X381" s="40">
        <f>SUMIF(Tabella1[Nome],Tabella4[[#This Row],[NOME]],Tabella1[Gdv])</f>
        <v>0</v>
      </c>
      <c r="Y381" s="40">
        <f>SUMIF(Tabella1[Nome],Tabella4[[#This Row],[NOME]],Tabella1[cl sh])</f>
        <v>0</v>
      </c>
      <c r="Z381" s="270">
        <f>_xlfn.IFNA(_xlfn.XLOOKUP(CONCATENATE(Z$4,$C381),Tabella1[CONC X VOTI IN TAB GIOC],Tabella1[Voto],""),"")</f>
        <v>5.5</v>
      </c>
      <c r="AA381" s="270" t="str">
        <f>_xlfn.IFNA(_xlfn.XLOOKUP(CONCATENATE(AA$4,$C381),Tabella1[CONC X VOTI IN TAB GIOC],Tabella1[Voto],""),"")</f>
        <v/>
      </c>
      <c r="AB381" s="270" t="str">
        <f>_xlfn.IFNA(_xlfn.XLOOKUP(CONCATENATE(AB$4,$C381),Tabella1[CONC X VOTI IN TAB GIOC],Tabella1[Voto]),"")</f>
        <v/>
      </c>
      <c r="AC381" s="270" t="str" cm="1">
        <f t="array" ref="AC381">_xlfn.IFNA(_xlfn.XLOOKUP(CONCATENATE(AC$4,$C381),INDEX(Tabella1[],0,MATCH("CONC X VOTI IN TAB GIOC",Tabella1[#Headers],0)),INDEX(Tabella1[],0,MATCH("Voto",Tabella1[#Headers],0))),"")</f>
        <v/>
      </c>
      <c r="AD381" s="270" t="str">
        <f>_xlfn.IFNA(_xlfn.XLOOKUP(CONCATENATE(AD$4,$C381),Tabella1[CONC X VOTI IN TAB GIOC],Tabella1[Voto]),"")</f>
        <v/>
      </c>
      <c r="AE381" s="270" t="str">
        <f>_xlfn.IFNA(VLOOKUP(CONCATENATE(AE$4,$C381),'INSER DATA'!$A:$F,6,0),"")</f>
        <v/>
      </c>
      <c r="AF381" s="270" t="str">
        <f>_xlfn.IFNA(VLOOKUP(CONCATENATE(AF$4,$C381),'INSER DATA'!$A:$F,6,0),"")</f>
        <v/>
      </c>
      <c r="AG381" s="270" t="str">
        <f>_xlfn.IFNA(VLOOKUP(CONCATENATE(AG$4,$C381),'INSER DATA'!$A:$F,6,0),"")</f>
        <v/>
      </c>
      <c r="AH381" s="270" t="str">
        <f>_xlfn.IFNA(VLOOKUP(CONCATENATE(AH$4,$C381),'INSER DATA'!$A:$F,7,0),"")</f>
        <v/>
      </c>
      <c r="AI381" s="270" t="str">
        <f>_xlfn.IFNA(VLOOKUP(CONCATENATE(AI$4,$C381),'INSER DATA'!$A:$F,7,0),"")</f>
        <v/>
      </c>
      <c r="AJ381" s="270" t="str">
        <f>_xlfn.IFNA(VLOOKUP(CONCATENATE(AJ$4,$C381),'INSER DATA'!$A:$F,7,0),"")</f>
        <v/>
      </c>
      <c r="AK381" s="270" t="str">
        <f>_xlfn.IFNA(VLOOKUP(CONCATENATE(AK$4,$C381),'INSER DATA'!$A:$F,7,0),"")</f>
        <v/>
      </c>
      <c r="AL381" s="270" t="str">
        <f>_xlfn.IFNA(VLOOKUP(CONCATENATE(AL$4,$C381),'INSER DATA'!$A:$F,7,0),"")</f>
        <v/>
      </c>
      <c r="AM381" s="270" t="str">
        <f>_xlfn.IFNA(VLOOKUP(CONCATENATE(AM$4,$C381),'INSER DATA'!$A:$F,7,0),"")</f>
        <v/>
      </c>
      <c r="AN381" s="270" t="str">
        <f>_xlfn.IFNA(VLOOKUP(CONCATENATE(AN$4,$C381),'INSER DATA'!$A:$F,7,0),"")</f>
        <v/>
      </c>
      <c r="AO381" s="270" t="str">
        <f>_xlfn.IFNA(VLOOKUP(CONCATENATE(AO$4,$C381),'INSER DATA'!$A:$F,7,0),"")</f>
        <v/>
      </c>
      <c r="AP381" s="270" t="str">
        <f>_xlfn.IFNA(VLOOKUP(CONCATENATE(AP$4,$C381),'INSER DATA'!$A:$F,7,0),"")</f>
        <v/>
      </c>
      <c r="AQ381" s="270" t="str">
        <f>_xlfn.IFNA(VLOOKUP(CONCATENATE(AQ$4,$C381),'INSER DATA'!$A:$F,7,0),"")</f>
        <v/>
      </c>
      <c r="AR381" s="270" t="str">
        <f>_xlfn.IFNA(VLOOKUP(CONCATENATE(AR$4,$C381),'INSER DATA'!$A:$F,7,0),"")</f>
        <v/>
      </c>
      <c r="AS381" s="270" t="str">
        <f>_xlfn.IFNA(VLOOKUP(CONCATENATE(AS$4,$C381),'INSER DATA'!$A:$F,7,0),"")</f>
        <v/>
      </c>
      <c r="AT381" s="270" t="str">
        <f>_xlfn.IFNA(VLOOKUP(CONCATENATE(AT$4,$C381),'INSER DATA'!$A:$F,7,0),"")</f>
        <v/>
      </c>
      <c r="AU381" s="270" t="str">
        <f>_xlfn.IFNA(VLOOKUP(CONCATENATE(AU$4,$C381),'INSER DATA'!$A:$F,7,0),"")</f>
        <v/>
      </c>
      <c r="AV381" s="270" t="str">
        <f>_xlfn.IFNA(VLOOKUP(CONCATENATE(AV$4,$C381),'INSER DATA'!$A:$F,7,0),"")</f>
        <v/>
      </c>
      <c r="AW381" s="270" t="str">
        <f>_xlfn.IFNA(VLOOKUP(CONCATENATE(AW$4,$C381),'INSER DATA'!$A:$F,7,0),"")</f>
        <v/>
      </c>
      <c r="AX381" s="270" t="str">
        <f>_xlfn.IFNA(VLOOKUP(CONCATENATE(AX$4,$C381),'INSER DATA'!$A:$F,7,0),"")</f>
        <v/>
      </c>
      <c r="AY381" s="270" t="str">
        <f>_xlfn.IFNA(VLOOKUP(CONCATENATE(AY$4,$C381),'INSER DATA'!$A:$F,7,0),"")</f>
        <v/>
      </c>
      <c r="AZ381" s="270" t="str">
        <f>_xlfn.IFNA(VLOOKUP(CONCATENATE(AZ$4,$C381),'INSER DATA'!$A:$F,7,0),"")</f>
        <v/>
      </c>
      <c r="BA381" s="270" t="str">
        <f>_xlfn.IFNA(VLOOKUP(CONCATENATE(BA$4,$C381),'INSER DATA'!$A:$F,7,0),"")</f>
        <v/>
      </c>
      <c r="BB381" s="270" t="str">
        <f>_xlfn.IFNA(VLOOKUP(CONCATENATE(BB$4,$C381),'INSER DATA'!$A:$F,7,0),"")</f>
        <v/>
      </c>
      <c r="BC381" s="270" t="str">
        <f>_xlfn.IFNA(VLOOKUP(CONCATENATE(BC$4,$C381),'INSER DATA'!$A:$F,7,0),"")</f>
        <v/>
      </c>
      <c r="BD381" s="270" t="str">
        <f>_xlfn.IFNA(VLOOKUP(CONCATENATE(BD$4,$C381),'INSER DATA'!$A:$F,7,0),"")</f>
        <v/>
      </c>
      <c r="BE381" s="270" t="str">
        <f>_xlfn.IFNA(VLOOKUP(CONCATENATE(BE$4,$C381),'INSER DATA'!$A:$F,7,0),"")</f>
        <v/>
      </c>
      <c r="BF381" s="270" t="str">
        <f>_xlfn.IFNA(VLOOKUP(CONCATENATE(BF$4,$C381),'INSER DATA'!$A:$F,7,0),"")</f>
        <v/>
      </c>
      <c r="BG381" s="270" t="str">
        <f>_xlfn.IFNA(VLOOKUP(CONCATENATE(BG$4,$C381),'INSER DATA'!$A:$F,7,0),"")</f>
        <v/>
      </c>
      <c r="BH381" s="270" t="str">
        <f>_xlfn.IFNA(VLOOKUP(CONCATENATE(BH$4,$C381),'INSER DATA'!$A:$F,7,0),"")</f>
        <v/>
      </c>
      <c r="BI381" s="270" t="str">
        <f>_xlfn.IFNA(VLOOKUP(CONCATENATE(BI$4,$C381),'INSER DATA'!$A:$F,7,0),"")</f>
        <v/>
      </c>
      <c r="BJ381" s="270" t="str">
        <f>_xlfn.IFNA(VLOOKUP(CONCATENATE(BJ$4,$C381),'INSER DATA'!$A:$F,7,0),"")</f>
        <v/>
      </c>
      <c r="BK381" s="270" t="str">
        <f>_xlfn.IFNA(VLOOKUP(CONCATENATE(BK$4,$C381),'INSER DATA'!$A:$F,7,0),"")</f>
        <v/>
      </c>
      <c r="BL381" s="272"/>
      <c r="BM381" s="30"/>
      <c r="BN381" s="30"/>
      <c r="BO381" s="30"/>
      <c r="BP381" s="30"/>
      <c r="BQ381" s="30"/>
      <c r="BR381" s="30"/>
      <c r="BS381" s="30"/>
      <c r="BT381" s="30"/>
      <c r="BU381" s="30"/>
      <c r="BV381" s="30"/>
      <c r="BW381" s="30"/>
      <c r="BX381" s="30"/>
      <c r="BY381" s="30"/>
      <c r="BZ381" s="30"/>
      <c r="CA381" s="30"/>
      <c r="CB381" s="30"/>
      <c r="CC381" s="30"/>
      <c r="CD381" s="30"/>
      <c r="CE381" s="30"/>
      <c r="CF381" s="30"/>
      <c r="CG381" s="30"/>
      <c r="CH381" s="30"/>
      <c r="CI381" s="30"/>
      <c r="CJ381" s="30"/>
      <c r="CK381" s="30"/>
      <c r="CL381" s="30"/>
      <c r="CM381" s="30"/>
      <c r="CN381" s="30"/>
      <c r="CO381" s="30"/>
      <c r="CP381" s="30"/>
      <c r="CQ381" s="30"/>
      <c r="CR381" s="30"/>
      <c r="CS381" s="30"/>
      <c r="CT381" s="30"/>
      <c r="CU381" s="30"/>
      <c r="CV381" s="30"/>
      <c r="CW381" s="30"/>
      <c r="CX381" s="30"/>
      <c r="CY381" s="30"/>
      <c r="CZ381" s="30"/>
      <c r="DA381" s="30"/>
    </row>
    <row r="382" spans="1:105" ht="19.2" thickTop="1" thickBot="1" x14ac:dyDescent="0.4">
      <c r="A382" s="30"/>
      <c r="B382" s="30"/>
      <c r="C382" s="188" t="s">
        <v>1035</v>
      </c>
      <c r="D382" s="187" t="s">
        <v>874</v>
      </c>
      <c r="E382" s="35" t="str">
        <f>_xlfn.XLOOKUP(Tabella4[[#This Row],[NOME]],'ROSE SQUADRE'!$N$3:$N$253,'ROSE SQUADRE'!$O$3:$O$253,"")</f>
        <v/>
      </c>
      <c r="F382" s="36" t="s">
        <v>161</v>
      </c>
      <c r="G382" s="43"/>
      <c r="H382" s="43"/>
      <c r="I382" s="44">
        <f t="shared" si="31"/>
        <v>0</v>
      </c>
      <c r="J382" s="37">
        <f t="shared" si="32"/>
        <v>1</v>
      </c>
      <c r="K382" s="178">
        <f t="shared" si="33"/>
        <v>5.5</v>
      </c>
      <c r="L382" s="178">
        <f t="shared" si="34"/>
        <v>5.5</v>
      </c>
      <c r="M382" s="179">
        <f t="shared" si="35"/>
        <v>5.5</v>
      </c>
      <c r="N382" s="45">
        <f t="shared" ca="1" si="36"/>
        <v>0</v>
      </c>
      <c r="O382" s="40">
        <f>SUMIF(Tabella1[Nome],Tabella4[[#This Row],[NOME]],Tabella1[Gf])</f>
        <v>0</v>
      </c>
      <c r="P382" s="40">
        <f>-(SUMIF(Tabella1[Nome],Tabella4[[#This Row],[NOME]],Tabella1[Gs]))</f>
        <v>0</v>
      </c>
      <c r="Q382" s="40">
        <f>SUMIF(Tabella1[Nome],Tabella4[[#This Row],[NOME]],Tabella1[Rp])</f>
        <v>0</v>
      </c>
      <c r="R382" s="40">
        <f>SUMIF(Tabella1[Nome],Tabella4[[#This Row],[NOME]],Tabella1[Rs])</f>
        <v>0</v>
      </c>
      <c r="S382" s="40">
        <f>SUMIF(Tabella1[Nome],Tabella4[[#This Row],[NOME]],Tabella1[Rf])</f>
        <v>0</v>
      </c>
      <c r="T382" s="40">
        <f>SUMIF(Tabella1[Nome],Tabella4[[#This Row],[NOME]],Tabella1[Au])</f>
        <v>0</v>
      </c>
      <c r="U382" s="41">
        <f>SUMIF(Tabella1[Nome],Tabella4[[#This Row],[NOME]],Tabella1[Amm])</f>
        <v>0</v>
      </c>
      <c r="V382" s="42">
        <f>SUMIF(Tabella1[Nome],Tabella4[[#This Row],[NOME]],Tabella1[Esp])</f>
        <v>0</v>
      </c>
      <c r="W382" s="40">
        <f>SUMIF(Tabella1[Nome],Tabella4[[#This Row],[NOME]],Tabella1[Ass])</f>
        <v>0</v>
      </c>
      <c r="X382" s="40">
        <f>SUMIF(Tabella1[Nome],Tabella4[[#This Row],[NOME]],Tabella1[Gdv])</f>
        <v>0</v>
      </c>
      <c r="Y382" s="40">
        <f>SUMIF(Tabella1[Nome],Tabella4[[#This Row],[NOME]],Tabella1[cl sh])</f>
        <v>0</v>
      </c>
      <c r="Z382" s="270" t="str">
        <f>_xlfn.IFNA(_xlfn.XLOOKUP(CONCATENATE(Z$4,$C382),Tabella1[CONC X VOTI IN TAB GIOC],Tabella1[Voto],""),"")</f>
        <v/>
      </c>
      <c r="AA382" s="270">
        <f>_xlfn.IFNA(_xlfn.XLOOKUP(CONCATENATE(AA$4,$C382),Tabella1[CONC X VOTI IN TAB GIOC],Tabella1[Voto],""),"")</f>
        <v>5.5</v>
      </c>
      <c r="AB382" s="270" t="str">
        <f>_xlfn.IFNA(_xlfn.XLOOKUP(CONCATENATE(AB$4,$C382),Tabella1[CONC X VOTI IN TAB GIOC],Tabella1[Voto]),"")</f>
        <v/>
      </c>
      <c r="AC382" s="270" t="str" cm="1">
        <f t="array" ref="AC382">_xlfn.IFNA(_xlfn.XLOOKUP(CONCATENATE(AC$4,$C382),INDEX(Tabella1[],0,MATCH("CONC X VOTI IN TAB GIOC",Tabella1[#Headers],0)),INDEX(Tabella1[],0,MATCH("Voto",Tabella1[#Headers],0))),"")</f>
        <v/>
      </c>
      <c r="AD382" s="270" t="str">
        <f>_xlfn.IFNA(_xlfn.XLOOKUP(CONCATENATE(AD$4,$C382),Tabella1[CONC X VOTI IN TAB GIOC],Tabella1[Voto]),"")</f>
        <v/>
      </c>
      <c r="AE382" s="270" t="str">
        <f>_xlfn.IFNA(VLOOKUP(CONCATENATE(AE$4,$C382),'INSER DATA'!$A:$F,6,0),"")</f>
        <v/>
      </c>
      <c r="AF382" s="270" t="str">
        <f>_xlfn.IFNA(VLOOKUP(CONCATENATE(AF$4,$C382),'INSER DATA'!$A:$F,6,0),"")</f>
        <v/>
      </c>
      <c r="AG382" s="270" t="str">
        <f>_xlfn.IFNA(VLOOKUP(CONCATENATE(AG$4,$C382),'INSER DATA'!$A:$F,6,0),"")</f>
        <v/>
      </c>
      <c r="AH382" s="270" t="str">
        <f>_xlfn.IFNA(VLOOKUP(CONCATENATE(AH$4,$C382),'INSER DATA'!$A:$F,7,0),"")</f>
        <v/>
      </c>
      <c r="AI382" s="270" t="str">
        <f>_xlfn.IFNA(VLOOKUP(CONCATENATE(AI$4,$C382),'INSER DATA'!$A:$F,7,0),"")</f>
        <v/>
      </c>
      <c r="AJ382" s="270" t="str">
        <f>_xlfn.IFNA(VLOOKUP(CONCATENATE(AJ$4,$C382),'INSER DATA'!$A:$F,7,0),"")</f>
        <v/>
      </c>
      <c r="AK382" s="270" t="str">
        <f>_xlfn.IFNA(VLOOKUP(CONCATENATE(AK$4,$C382),'INSER DATA'!$A:$F,7,0),"")</f>
        <v/>
      </c>
      <c r="AL382" s="270" t="str">
        <f>_xlfn.IFNA(VLOOKUP(CONCATENATE(AL$4,$C382),'INSER DATA'!$A:$F,7,0),"")</f>
        <v/>
      </c>
      <c r="AM382" s="270" t="str">
        <f>_xlfn.IFNA(VLOOKUP(CONCATENATE(AM$4,$C382),'INSER DATA'!$A:$F,7,0),"")</f>
        <v/>
      </c>
      <c r="AN382" s="270" t="str">
        <f>_xlfn.IFNA(VLOOKUP(CONCATENATE(AN$4,$C382),'INSER DATA'!$A:$F,7,0),"")</f>
        <v/>
      </c>
      <c r="AO382" s="270" t="str">
        <f>_xlfn.IFNA(VLOOKUP(CONCATENATE(AO$4,$C382),'INSER DATA'!$A:$F,7,0),"")</f>
        <v/>
      </c>
      <c r="AP382" s="270" t="str">
        <f>_xlfn.IFNA(VLOOKUP(CONCATENATE(AP$4,$C382),'INSER DATA'!$A:$F,7,0),"")</f>
        <v/>
      </c>
      <c r="AQ382" s="270" t="str">
        <f>_xlfn.IFNA(VLOOKUP(CONCATENATE(AQ$4,$C382),'INSER DATA'!$A:$F,7,0),"")</f>
        <v/>
      </c>
      <c r="AR382" s="270" t="str">
        <f>_xlfn.IFNA(VLOOKUP(CONCATENATE(AR$4,$C382),'INSER DATA'!$A:$F,7,0),"")</f>
        <v/>
      </c>
      <c r="AS382" s="270" t="str">
        <f>_xlfn.IFNA(VLOOKUP(CONCATENATE(AS$4,$C382),'INSER DATA'!$A:$F,7,0),"")</f>
        <v/>
      </c>
      <c r="AT382" s="270" t="str">
        <f>_xlfn.IFNA(VLOOKUP(CONCATENATE(AT$4,$C382),'INSER DATA'!$A:$F,7,0),"")</f>
        <v/>
      </c>
      <c r="AU382" s="270" t="str">
        <f>_xlfn.IFNA(VLOOKUP(CONCATENATE(AU$4,$C382),'INSER DATA'!$A:$F,7,0),"")</f>
        <v/>
      </c>
      <c r="AV382" s="270" t="str">
        <f>_xlfn.IFNA(VLOOKUP(CONCATENATE(AV$4,$C382),'INSER DATA'!$A:$F,7,0),"")</f>
        <v/>
      </c>
      <c r="AW382" s="270" t="str">
        <f>_xlfn.IFNA(VLOOKUP(CONCATENATE(AW$4,$C382),'INSER DATA'!$A:$F,7,0),"")</f>
        <v/>
      </c>
      <c r="AX382" s="270" t="str">
        <f>_xlfn.IFNA(VLOOKUP(CONCATENATE(AX$4,$C382),'INSER DATA'!$A:$F,7,0),"")</f>
        <v/>
      </c>
      <c r="AY382" s="270" t="str">
        <f>_xlfn.IFNA(VLOOKUP(CONCATENATE(AY$4,$C382),'INSER DATA'!$A:$F,7,0),"")</f>
        <v/>
      </c>
      <c r="AZ382" s="270" t="str">
        <f>_xlfn.IFNA(VLOOKUP(CONCATENATE(AZ$4,$C382),'INSER DATA'!$A:$F,7,0),"")</f>
        <v/>
      </c>
      <c r="BA382" s="270" t="str">
        <f>_xlfn.IFNA(VLOOKUP(CONCATENATE(BA$4,$C382),'INSER DATA'!$A:$F,7,0),"")</f>
        <v/>
      </c>
      <c r="BB382" s="270" t="str">
        <f>_xlfn.IFNA(VLOOKUP(CONCATENATE(BB$4,$C382),'INSER DATA'!$A:$F,7,0),"")</f>
        <v/>
      </c>
      <c r="BC382" s="270" t="str">
        <f>_xlfn.IFNA(VLOOKUP(CONCATENATE(BC$4,$C382),'INSER DATA'!$A:$F,7,0),"")</f>
        <v/>
      </c>
      <c r="BD382" s="270" t="str">
        <f>_xlfn.IFNA(VLOOKUP(CONCATENATE(BD$4,$C382),'INSER DATA'!$A:$F,7,0),"")</f>
        <v/>
      </c>
      <c r="BE382" s="270" t="str">
        <f>_xlfn.IFNA(VLOOKUP(CONCATENATE(BE$4,$C382),'INSER DATA'!$A:$F,7,0),"")</f>
        <v/>
      </c>
      <c r="BF382" s="270" t="str">
        <f>_xlfn.IFNA(VLOOKUP(CONCATENATE(BF$4,$C382),'INSER DATA'!$A:$F,7,0),"")</f>
        <v/>
      </c>
      <c r="BG382" s="270" t="str">
        <f>_xlfn.IFNA(VLOOKUP(CONCATENATE(BG$4,$C382),'INSER DATA'!$A:$F,7,0),"")</f>
        <v/>
      </c>
      <c r="BH382" s="270" t="str">
        <f>_xlfn.IFNA(VLOOKUP(CONCATENATE(BH$4,$C382),'INSER DATA'!$A:$F,7,0),"")</f>
        <v/>
      </c>
      <c r="BI382" s="270" t="str">
        <f>_xlfn.IFNA(VLOOKUP(CONCATENATE(BI$4,$C382),'INSER DATA'!$A:$F,7,0),"")</f>
        <v/>
      </c>
      <c r="BJ382" s="270" t="str">
        <f>_xlfn.IFNA(VLOOKUP(CONCATENATE(BJ$4,$C382),'INSER DATA'!$A:$F,7,0),"")</f>
        <v/>
      </c>
      <c r="BK382" s="270" t="str">
        <f>_xlfn.IFNA(VLOOKUP(CONCATENATE(BK$4,$C382),'INSER DATA'!$A:$F,7,0),"")</f>
        <v/>
      </c>
      <c r="BL382" s="272"/>
      <c r="BM382" s="30"/>
      <c r="BN382" s="30"/>
      <c r="BO382" s="30"/>
      <c r="BP382" s="30"/>
      <c r="BQ382" s="30"/>
      <c r="BR382" s="30"/>
      <c r="BS382" s="30"/>
      <c r="BT382" s="30"/>
      <c r="BU382" s="30"/>
      <c r="BV382" s="30"/>
      <c r="BW382" s="30"/>
      <c r="BX382" s="30"/>
      <c r="BY382" s="30"/>
      <c r="BZ382" s="30"/>
      <c r="CA382" s="30"/>
      <c r="CB382" s="30"/>
      <c r="CC382" s="30"/>
      <c r="CD382" s="30"/>
      <c r="CE382" s="30"/>
      <c r="CF382" s="30"/>
      <c r="CG382" s="30"/>
      <c r="CH382" s="30"/>
      <c r="CI382" s="30"/>
      <c r="CJ382" s="30"/>
      <c r="CK382" s="30"/>
      <c r="CL382" s="30"/>
      <c r="CM382" s="30"/>
      <c r="CN382" s="30"/>
      <c r="CO382" s="30"/>
      <c r="CP382" s="30"/>
      <c r="CQ382" s="30"/>
      <c r="CR382" s="30"/>
      <c r="CS382" s="30"/>
      <c r="CT382" s="30"/>
      <c r="CU382" s="30"/>
      <c r="CV382" s="30"/>
      <c r="CW382" s="30"/>
      <c r="CX382" s="30"/>
      <c r="CY382" s="30"/>
      <c r="CZ382" s="30"/>
      <c r="DA382" s="30"/>
    </row>
    <row r="383" spans="1:105" ht="19.2" thickTop="1" thickBot="1" x14ac:dyDescent="0.4">
      <c r="A383" s="30"/>
      <c r="B383" s="30"/>
      <c r="C383" s="188" t="s">
        <v>993</v>
      </c>
      <c r="D383" s="187" t="s">
        <v>874</v>
      </c>
      <c r="E383" s="35" t="str">
        <f>_xlfn.XLOOKUP(Tabella4[[#This Row],[NOME]],'ROSE SQUADRE'!$N$3:$N$253,'ROSE SQUADRE'!$O$3:$O$253,"")</f>
        <v/>
      </c>
      <c r="F383" s="36" t="s">
        <v>162</v>
      </c>
      <c r="G383" s="43"/>
      <c r="H383" s="43"/>
      <c r="I383" s="44">
        <f t="shared" si="31"/>
        <v>0</v>
      </c>
      <c r="J383" s="37">
        <f t="shared" si="32"/>
        <v>2</v>
      </c>
      <c r="K383" s="38">
        <f t="shared" si="33"/>
        <v>5</v>
      </c>
      <c r="L383" s="38">
        <f t="shared" si="34"/>
        <v>4.75</v>
      </c>
      <c r="M383" s="39">
        <f t="shared" si="35"/>
        <v>9.5</v>
      </c>
      <c r="N383" s="45">
        <f t="shared" ca="1" si="36"/>
        <v>0</v>
      </c>
      <c r="O383" s="40">
        <f>SUMIF(Tabella1[Nome],Tabella4[[#This Row],[NOME]],Tabella1[Gf])</f>
        <v>0</v>
      </c>
      <c r="P383" s="40">
        <f>-(SUMIF(Tabella1[Nome],Tabella4[[#This Row],[NOME]],Tabella1[Gs]))</f>
        <v>0</v>
      </c>
      <c r="Q383" s="40">
        <f>SUMIF(Tabella1[Nome],Tabella4[[#This Row],[NOME]],Tabella1[Rp])</f>
        <v>0</v>
      </c>
      <c r="R383" s="40">
        <f>SUMIF(Tabella1[Nome],Tabella4[[#This Row],[NOME]],Tabella1[Rs])</f>
        <v>0</v>
      </c>
      <c r="S383" s="40">
        <f>SUMIF(Tabella1[Nome],Tabella4[[#This Row],[NOME]],Tabella1[Rf])</f>
        <v>0</v>
      </c>
      <c r="T383" s="40">
        <f>SUMIF(Tabella1[Nome],Tabella4[[#This Row],[NOME]],Tabella1[Au])</f>
        <v>0</v>
      </c>
      <c r="U383" s="41">
        <f>SUMIF(Tabella1[Nome],Tabella4[[#This Row],[NOME]],Tabella1[Amm])</f>
        <v>1</v>
      </c>
      <c r="V383" s="42">
        <f>SUMIF(Tabella1[Nome],Tabella4[[#This Row],[NOME]],Tabella1[Esp])</f>
        <v>0</v>
      </c>
      <c r="W383" s="40">
        <f>SUMIF(Tabella1[Nome],Tabella4[[#This Row],[NOME]],Tabella1[Ass])</f>
        <v>0</v>
      </c>
      <c r="X383" s="40">
        <f>SUMIF(Tabella1[Nome],Tabella4[[#This Row],[NOME]],Tabella1[Gdv])</f>
        <v>0</v>
      </c>
      <c r="Y383" s="40">
        <f>SUMIF(Tabella1[Nome],Tabella4[[#This Row],[NOME]],Tabella1[cl sh])</f>
        <v>0</v>
      </c>
      <c r="Z383" s="270">
        <f>_xlfn.IFNA(_xlfn.XLOOKUP(CONCATENATE(Z$4,$C383),Tabella1[CONC X VOTI IN TAB GIOC],Tabella1[Voto],""),"")</f>
        <v>5.5</v>
      </c>
      <c r="AA383" s="270">
        <f>_xlfn.IFNA(_xlfn.XLOOKUP(CONCATENATE(AA$4,$C383),Tabella1[CONC X VOTI IN TAB GIOC],Tabella1[Voto],""),"")</f>
        <v>4.5</v>
      </c>
      <c r="AB383" s="270" t="str">
        <f>_xlfn.IFNA(_xlfn.XLOOKUP(CONCATENATE(AB$4,$C383),Tabella1[CONC X VOTI IN TAB GIOC],Tabella1[Voto]),"")</f>
        <v/>
      </c>
      <c r="AC383" s="270" t="str" cm="1">
        <f t="array" ref="AC383">_xlfn.IFNA(_xlfn.XLOOKUP(CONCATENATE(AC$4,$C383),INDEX(Tabella1[],0,MATCH("CONC X VOTI IN TAB GIOC",Tabella1[#Headers],0)),INDEX(Tabella1[],0,MATCH("Voto",Tabella1[#Headers],0))),"")</f>
        <v/>
      </c>
      <c r="AD383" s="270" t="str">
        <f>_xlfn.IFNA(_xlfn.XLOOKUP(CONCATENATE(AD$4,$C383),Tabella1[CONC X VOTI IN TAB GIOC],Tabella1[Voto]),"")</f>
        <v/>
      </c>
      <c r="AE383" s="270" t="str">
        <f>_xlfn.IFNA(VLOOKUP(CONCATENATE(AE$4,$C383),'INSER DATA'!$A:$F,6,0),"")</f>
        <v/>
      </c>
      <c r="AF383" s="270" t="str">
        <f>_xlfn.IFNA(VLOOKUP(CONCATENATE(AF$4,$C383),'INSER DATA'!$A:$F,6,0),"")</f>
        <v/>
      </c>
      <c r="AG383" s="270" t="str">
        <f>_xlfn.IFNA(VLOOKUP(CONCATENATE(AG$4,$C383),'INSER DATA'!$A:$F,6,0),"")</f>
        <v/>
      </c>
      <c r="AH383" s="270" t="str">
        <f>_xlfn.IFNA(VLOOKUP(CONCATENATE(AH$4,$C383),'INSER DATA'!$A:$F,7,0),"")</f>
        <v/>
      </c>
      <c r="AI383" s="270" t="str">
        <f>_xlfn.IFNA(VLOOKUP(CONCATENATE(AI$4,$C383),'INSER DATA'!$A:$F,7,0),"")</f>
        <v/>
      </c>
      <c r="AJ383" s="270" t="str">
        <f>_xlfn.IFNA(VLOOKUP(CONCATENATE(AJ$4,$C383),'INSER DATA'!$A:$F,7,0),"")</f>
        <v/>
      </c>
      <c r="AK383" s="270" t="str">
        <f>_xlfn.IFNA(VLOOKUP(CONCATENATE(AK$4,$C383),'INSER DATA'!$A:$F,7,0),"")</f>
        <v/>
      </c>
      <c r="AL383" s="270" t="str">
        <f>_xlfn.IFNA(VLOOKUP(CONCATENATE(AL$4,$C383),'INSER DATA'!$A:$F,7,0),"")</f>
        <v/>
      </c>
      <c r="AM383" s="270" t="str">
        <f>_xlfn.IFNA(VLOOKUP(CONCATENATE(AM$4,$C383),'INSER DATA'!$A:$F,7,0),"")</f>
        <v/>
      </c>
      <c r="AN383" s="270" t="str">
        <f>_xlfn.IFNA(VLOOKUP(CONCATENATE(AN$4,$C383),'INSER DATA'!$A:$F,7,0),"")</f>
        <v/>
      </c>
      <c r="AO383" s="270" t="str">
        <f>_xlfn.IFNA(VLOOKUP(CONCATENATE(AO$4,$C383),'INSER DATA'!$A:$F,7,0),"")</f>
        <v/>
      </c>
      <c r="AP383" s="270" t="str">
        <f>_xlfn.IFNA(VLOOKUP(CONCATENATE(AP$4,$C383),'INSER DATA'!$A:$F,7,0),"")</f>
        <v/>
      </c>
      <c r="AQ383" s="270" t="str">
        <f>_xlfn.IFNA(VLOOKUP(CONCATENATE(AQ$4,$C383),'INSER DATA'!$A:$F,7,0),"")</f>
        <v/>
      </c>
      <c r="AR383" s="270" t="str">
        <f>_xlfn.IFNA(VLOOKUP(CONCATENATE(AR$4,$C383),'INSER DATA'!$A:$F,7,0),"")</f>
        <v/>
      </c>
      <c r="AS383" s="270" t="str">
        <f>_xlfn.IFNA(VLOOKUP(CONCATENATE(AS$4,$C383),'INSER DATA'!$A:$F,7,0),"")</f>
        <v/>
      </c>
      <c r="AT383" s="270" t="str">
        <f>_xlfn.IFNA(VLOOKUP(CONCATENATE(AT$4,$C383),'INSER DATA'!$A:$F,7,0),"")</f>
        <v/>
      </c>
      <c r="AU383" s="270" t="str">
        <f>_xlfn.IFNA(VLOOKUP(CONCATENATE(AU$4,$C383),'INSER DATA'!$A:$F,7,0),"")</f>
        <v/>
      </c>
      <c r="AV383" s="270" t="str">
        <f>_xlfn.IFNA(VLOOKUP(CONCATENATE(AV$4,$C383),'INSER DATA'!$A:$F,7,0),"")</f>
        <v/>
      </c>
      <c r="AW383" s="270" t="str">
        <f>_xlfn.IFNA(VLOOKUP(CONCATENATE(AW$4,$C383),'INSER DATA'!$A:$F,7,0),"")</f>
        <v/>
      </c>
      <c r="AX383" s="270" t="str">
        <f>_xlfn.IFNA(VLOOKUP(CONCATENATE(AX$4,$C383),'INSER DATA'!$A:$F,7,0),"")</f>
        <v/>
      </c>
      <c r="AY383" s="270" t="str">
        <f>_xlfn.IFNA(VLOOKUP(CONCATENATE(AY$4,$C383),'INSER DATA'!$A:$F,7,0),"")</f>
        <v/>
      </c>
      <c r="AZ383" s="270" t="str">
        <f>_xlfn.IFNA(VLOOKUP(CONCATENATE(AZ$4,$C383),'INSER DATA'!$A:$F,7,0),"")</f>
        <v/>
      </c>
      <c r="BA383" s="270" t="str">
        <f>_xlfn.IFNA(VLOOKUP(CONCATENATE(BA$4,$C383),'INSER DATA'!$A:$F,7,0),"")</f>
        <v/>
      </c>
      <c r="BB383" s="270" t="str">
        <f>_xlfn.IFNA(VLOOKUP(CONCATENATE(BB$4,$C383),'INSER DATA'!$A:$F,7,0),"")</f>
        <v/>
      </c>
      <c r="BC383" s="270" t="str">
        <f>_xlfn.IFNA(VLOOKUP(CONCATENATE(BC$4,$C383),'INSER DATA'!$A:$F,7,0),"")</f>
        <v/>
      </c>
      <c r="BD383" s="270" t="str">
        <f>_xlfn.IFNA(VLOOKUP(CONCATENATE(BD$4,$C383),'INSER DATA'!$A:$F,7,0),"")</f>
        <v/>
      </c>
      <c r="BE383" s="270" t="str">
        <f>_xlfn.IFNA(VLOOKUP(CONCATENATE(BE$4,$C383),'INSER DATA'!$A:$F,7,0),"")</f>
        <v/>
      </c>
      <c r="BF383" s="270" t="str">
        <f>_xlfn.IFNA(VLOOKUP(CONCATENATE(BF$4,$C383),'INSER DATA'!$A:$F,7,0),"")</f>
        <v/>
      </c>
      <c r="BG383" s="270" t="str">
        <f>_xlfn.IFNA(VLOOKUP(CONCATENATE(BG$4,$C383),'INSER DATA'!$A:$F,7,0),"")</f>
        <v/>
      </c>
      <c r="BH383" s="270" t="str">
        <f>_xlfn.IFNA(VLOOKUP(CONCATENATE(BH$4,$C383),'INSER DATA'!$A:$F,7,0),"")</f>
        <v/>
      </c>
      <c r="BI383" s="270" t="str">
        <f>_xlfn.IFNA(VLOOKUP(CONCATENATE(BI$4,$C383),'INSER DATA'!$A:$F,7,0),"")</f>
        <v/>
      </c>
      <c r="BJ383" s="270" t="str">
        <f>_xlfn.IFNA(VLOOKUP(CONCATENATE(BJ$4,$C383),'INSER DATA'!$A:$F,7,0),"")</f>
        <v/>
      </c>
      <c r="BK383" s="270" t="str">
        <f>_xlfn.IFNA(VLOOKUP(CONCATENATE(BK$4,$C383),'INSER DATA'!$A:$F,7,0),"")</f>
        <v/>
      </c>
      <c r="BL383" s="272"/>
      <c r="BM383" s="30"/>
      <c r="BN383" s="30"/>
      <c r="BO383" s="30"/>
      <c r="BP383" s="30"/>
      <c r="BQ383" s="30"/>
      <c r="BR383" s="30"/>
      <c r="BS383" s="30"/>
      <c r="BT383" s="30"/>
      <c r="BU383" s="30"/>
      <c r="BV383" s="30"/>
      <c r="BW383" s="30"/>
      <c r="BX383" s="30"/>
      <c r="BY383" s="30"/>
      <c r="BZ383" s="30"/>
      <c r="CA383" s="30"/>
      <c r="CB383" s="30"/>
      <c r="CC383" s="30"/>
      <c r="CD383" s="30"/>
      <c r="CE383" s="30"/>
      <c r="CF383" s="30"/>
      <c r="CG383" s="30"/>
      <c r="CH383" s="30"/>
      <c r="CI383" s="30"/>
      <c r="CJ383" s="30"/>
      <c r="CK383" s="30"/>
      <c r="CL383" s="30"/>
      <c r="CM383" s="30"/>
      <c r="CN383" s="30"/>
      <c r="CO383" s="30"/>
      <c r="CP383" s="30"/>
      <c r="CQ383" s="30"/>
      <c r="CR383" s="30"/>
      <c r="CS383" s="30"/>
      <c r="CT383" s="30"/>
      <c r="CU383" s="30"/>
      <c r="CV383" s="30"/>
      <c r="CW383" s="30"/>
      <c r="CX383" s="30"/>
      <c r="CY383" s="30"/>
      <c r="CZ383" s="30"/>
      <c r="DA383" s="30"/>
    </row>
    <row r="384" spans="1:105" ht="19.2" thickTop="1" thickBot="1" x14ac:dyDescent="0.4">
      <c r="A384" s="30"/>
      <c r="B384" s="30"/>
      <c r="C384" s="185" t="s">
        <v>875</v>
      </c>
      <c r="D384" s="46" t="s">
        <v>874</v>
      </c>
      <c r="E384" s="35" t="str">
        <f>_xlfn.XLOOKUP(Tabella4[[#This Row],[NOME]],'ROSE SQUADRE'!$N$3:$N$253,'ROSE SQUADRE'!$O$3:$O$253,"")</f>
        <v/>
      </c>
      <c r="F384" s="36" t="s">
        <v>5</v>
      </c>
      <c r="G384" s="43">
        <v>7</v>
      </c>
      <c r="H384" s="43">
        <v>7</v>
      </c>
      <c r="I384" s="44">
        <f t="shared" si="31"/>
        <v>0</v>
      </c>
      <c r="J384" s="37">
        <f t="shared" si="32"/>
        <v>0</v>
      </c>
      <c r="K384" s="178">
        <f t="shared" si="33"/>
        <v>0</v>
      </c>
      <c r="L384" s="178">
        <f t="shared" si="34"/>
        <v>0</v>
      </c>
      <c r="M384" s="179">
        <f t="shared" si="35"/>
        <v>0</v>
      </c>
      <c r="N384" s="45">
        <f t="shared" ca="1" si="36"/>
        <v>0</v>
      </c>
      <c r="O384" s="40">
        <f>SUMIF(Tabella1[Nome],Tabella4[[#This Row],[NOME]],Tabella1[Gf])</f>
        <v>0</v>
      </c>
      <c r="P384" s="40">
        <f>-(SUMIF(Tabella1[Nome],Tabella4[[#This Row],[NOME]],Tabella1[Gs]))</f>
        <v>0</v>
      </c>
      <c r="Q384" s="40">
        <f>SUMIF(Tabella1[Nome],Tabella4[[#This Row],[NOME]],Tabella1[Rp])</f>
        <v>0</v>
      </c>
      <c r="R384" s="40">
        <f>SUMIF(Tabella1[Nome],Tabella4[[#This Row],[NOME]],Tabella1[Rs])</f>
        <v>0</v>
      </c>
      <c r="S384" s="40">
        <f>SUMIF(Tabella1[Nome],Tabella4[[#This Row],[NOME]],Tabella1[Rf])</f>
        <v>0</v>
      </c>
      <c r="T384" s="40">
        <f>SUMIF(Tabella1[Nome],Tabella4[[#This Row],[NOME]],Tabella1[Au])</f>
        <v>0</v>
      </c>
      <c r="U384" s="41">
        <f>SUMIF(Tabella1[Nome],Tabella4[[#This Row],[NOME]],Tabella1[Amm])</f>
        <v>0</v>
      </c>
      <c r="V384" s="42">
        <f>SUMIF(Tabella1[Nome],Tabella4[[#This Row],[NOME]],Tabella1[Esp])</f>
        <v>0</v>
      </c>
      <c r="W384" s="40">
        <f>SUMIF(Tabella1[Nome],Tabella4[[#This Row],[NOME]],Tabella1[Ass])</f>
        <v>0</v>
      </c>
      <c r="X384" s="40">
        <f>SUMIF(Tabella1[Nome],Tabella4[[#This Row],[NOME]],Tabella1[Gdv])</f>
        <v>0</v>
      </c>
      <c r="Y384" s="40">
        <f>SUMIF(Tabella1[Nome],Tabella4[[#This Row],[NOME]],Tabella1[cl sh])</f>
        <v>0</v>
      </c>
      <c r="Z384" s="270" t="str">
        <f>_xlfn.IFNA(_xlfn.XLOOKUP(CONCATENATE(Z$4,$C384),Tabella1[CONC X VOTI IN TAB GIOC],Tabella1[Voto],""),"")</f>
        <v/>
      </c>
      <c r="AA384" s="270" t="str">
        <f>_xlfn.IFNA(_xlfn.XLOOKUP(CONCATENATE(AA$4,$C384),Tabella1[CONC X VOTI IN TAB GIOC],Tabella1[Voto],""),"")</f>
        <v/>
      </c>
      <c r="AB384" s="270" t="str">
        <f>_xlfn.IFNA(_xlfn.XLOOKUP(CONCATENATE(AB$4,$C384),Tabella1[CONC X VOTI IN TAB GIOC],Tabella1[Voto]),"")</f>
        <v/>
      </c>
      <c r="AC384" s="270" t="str" cm="1">
        <f t="array" ref="AC384">_xlfn.IFNA(_xlfn.XLOOKUP(CONCATENATE(AC$4,$C384),INDEX(Tabella1[],0,MATCH("CONC X VOTI IN TAB GIOC",Tabella1[#Headers],0)),INDEX(Tabella1[],0,MATCH("Voto",Tabella1[#Headers],0))),"")</f>
        <v/>
      </c>
      <c r="AD384" s="270" t="str">
        <f>_xlfn.IFNA(_xlfn.XLOOKUP(CONCATENATE(AD$4,$C384),Tabella1[CONC X VOTI IN TAB GIOC],Tabella1[Voto]),"")</f>
        <v/>
      </c>
      <c r="AE384" s="270" t="str">
        <f>_xlfn.IFNA(VLOOKUP(CONCATENATE(AE$4,$C384),'INSER DATA'!$A:$F,6,0),"")</f>
        <v/>
      </c>
      <c r="AF384" s="270" t="str">
        <f>_xlfn.IFNA(VLOOKUP(CONCATENATE(AF$4,$C384),'INSER DATA'!$A:$F,6,0),"")</f>
        <v/>
      </c>
      <c r="AG384" s="270" t="str">
        <f>_xlfn.IFNA(VLOOKUP(CONCATENATE(AG$4,$C384),'INSER DATA'!$A:$F,6,0),"")</f>
        <v/>
      </c>
      <c r="AH384" s="270" t="str">
        <f>_xlfn.IFNA(VLOOKUP(CONCATENATE(AH$4,$C384),'INSER DATA'!$A:$F,7,0),"")</f>
        <v/>
      </c>
      <c r="AI384" s="270" t="str">
        <f>_xlfn.IFNA(VLOOKUP(CONCATENATE(AI$4,$C384),'INSER DATA'!$A:$F,7,0),"")</f>
        <v/>
      </c>
      <c r="AJ384" s="270" t="str">
        <f>_xlfn.IFNA(VLOOKUP(CONCATENATE(AJ$4,$C384),'INSER DATA'!$A:$F,7,0),"")</f>
        <v/>
      </c>
      <c r="AK384" s="270" t="str">
        <f>_xlfn.IFNA(VLOOKUP(CONCATENATE(AK$4,$C384),'INSER DATA'!$A:$F,7,0),"")</f>
        <v/>
      </c>
      <c r="AL384" s="270" t="str">
        <f>_xlfn.IFNA(VLOOKUP(CONCATENATE(AL$4,$C384),'INSER DATA'!$A:$F,7,0),"")</f>
        <v/>
      </c>
      <c r="AM384" s="270" t="str">
        <f>_xlfn.IFNA(VLOOKUP(CONCATENATE(AM$4,$C384),'INSER DATA'!$A:$F,7,0),"")</f>
        <v/>
      </c>
      <c r="AN384" s="270" t="str">
        <f>_xlfn.IFNA(VLOOKUP(CONCATENATE(AN$4,$C384),'INSER DATA'!$A:$F,7,0),"")</f>
        <v/>
      </c>
      <c r="AO384" s="270" t="str">
        <f>_xlfn.IFNA(VLOOKUP(CONCATENATE(AO$4,$C384),'INSER DATA'!$A:$F,7,0),"")</f>
        <v/>
      </c>
      <c r="AP384" s="270" t="str">
        <f>_xlfn.IFNA(VLOOKUP(CONCATENATE(AP$4,$C384),'INSER DATA'!$A:$F,7,0),"")</f>
        <v/>
      </c>
      <c r="AQ384" s="270" t="str">
        <f>_xlfn.IFNA(VLOOKUP(CONCATENATE(AQ$4,$C384),'INSER DATA'!$A:$F,7,0),"")</f>
        <v/>
      </c>
      <c r="AR384" s="270" t="str">
        <f>_xlfn.IFNA(VLOOKUP(CONCATENATE(AR$4,$C384),'INSER DATA'!$A:$F,7,0),"")</f>
        <v/>
      </c>
      <c r="AS384" s="270" t="str">
        <f>_xlfn.IFNA(VLOOKUP(CONCATENATE(AS$4,$C384),'INSER DATA'!$A:$F,7,0),"")</f>
        <v/>
      </c>
      <c r="AT384" s="270" t="str">
        <f>_xlfn.IFNA(VLOOKUP(CONCATENATE(AT$4,$C384),'INSER DATA'!$A:$F,7,0),"")</f>
        <v/>
      </c>
      <c r="AU384" s="270" t="str">
        <f>_xlfn.IFNA(VLOOKUP(CONCATENATE(AU$4,$C384),'INSER DATA'!$A:$F,7,0),"")</f>
        <v/>
      </c>
      <c r="AV384" s="270" t="str">
        <f>_xlfn.IFNA(VLOOKUP(CONCATENATE(AV$4,$C384),'INSER DATA'!$A:$F,7,0),"")</f>
        <v/>
      </c>
      <c r="AW384" s="270" t="str">
        <f>_xlfn.IFNA(VLOOKUP(CONCATENATE(AW$4,$C384),'INSER DATA'!$A:$F,7,0),"")</f>
        <v/>
      </c>
      <c r="AX384" s="270" t="str">
        <f>_xlfn.IFNA(VLOOKUP(CONCATENATE(AX$4,$C384),'INSER DATA'!$A:$F,7,0),"")</f>
        <v/>
      </c>
      <c r="AY384" s="270" t="str">
        <f>_xlfn.IFNA(VLOOKUP(CONCATENATE(AY$4,$C384),'INSER DATA'!$A:$F,7,0),"")</f>
        <v/>
      </c>
      <c r="AZ384" s="270" t="str">
        <f>_xlfn.IFNA(VLOOKUP(CONCATENATE(AZ$4,$C384),'INSER DATA'!$A:$F,7,0),"")</f>
        <v/>
      </c>
      <c r="BA384" s="270" t="str">
        <f>_xlfn.IFNA(VLOOKUP(CONCATENATE(BA$4,$C384),'INSER DATA'!$A:$F,7,0),"")</f>
        <v/>
      </c>
      <c r="BB384" s="270" t="str">
        <f>_xlfn.IFNA(VLOOKUP(CONCATENATE(BB$4,$C384),'INSER DATA'!$A:$F,7,0),"")</f>
        <v/>
      </c>
      <c r="BC384" s="270" t="str">
        <f>_xlfn.IFNA(VLOOKUP(CONCATENATE(BC$4,$C384),'INSER DATA'!$A:$F,7,0),"")</f>
        <v/>
      </c>
      <c r="BD384" s="270" t="str">
        <f>_xlfn.IFNA(VLOOKUP(CONCATENATE(BD$4,$C384),'INSER DATA'!$A:$F,7,0),"")</f>
        <v/>
      </c>
      <c r="BE384" s="270" t="str">
        <f>_xlfn.IFNA(VLOOKUP(CONCATENATE(BE$4,$C384),'INSER DATA'!$A:$F,7,0),"")</f>
        <v/>
      </c>
      <c r="BF384" s="270" t="str">
        <f>_xlfn.IFNA(VLOOKUP(CONCATENATE(BF$4,$C384),'INSER DATA'!$A:$F,7,0),"")</f>
        <v/>
      </c>
      <c r="BG384" s="270" t="str">
        <f>_xlfn.IFNA(VLOOKUP(CONCATENATE(BG$4,$C384),'INSER DATA'!$A:$F,7,0),"")</f>
        <v/>
      </c>
      <c r="BH384" s="270" t="str">
        <f>_xlfn.IFNA(VLOOKUP(CONCATENATE(BH$4,$C384),'INSER DATA'!$A:$F,7,0),"")</f>
        <v/>
      </c>
      <c r="BI384" s="270" t="str">
        <f>_xlfn.IFNA(VLOOKUP(CONCATENATE(BI$4,$C384),'INSER DATA'!$A:$F,7,0),"")</f>
        <v/>
      </c>
      <c r="BJ384" s="270" t="str">
        <f>_xlfn.IFNA(VLOOKUP(CONCATENATE(BJ$4,$C384),'INSER DATA'!$A:$F,7,0),"")</f>
        <v/>
      </c>
      <c r="BK384" s="270" t="str">
        <f>_xlfn.IFNA(VLOOKUP(CONCATENATE(BK$4,$C384),'INSER DATA'!$A:$F,7,0),"")</f>
        <v/>
      </c>
      <c r="BL384" s="272"/>
      <c r="BM384" s="30"/>
      <c r="BN384" s="30"/>
      <c r="BO384" s="30"/>
      <c r="BP384" s="30"/>
      <c r="BQ384" s="30"/>
      <c r="BR384" s="30"/>
      <c r="BS384" s="30"/>
      <c r="BT384" s="30"/>
      <c r="BU384" s="30"/>
      <c r="BV384" s="30"/>
      <c r="BW384" s="30"/>
      <c r="BX384" s="30"/>
      <c r="BY384" s="30"/>
      <c r="BZ384" s="30"/>
      <c r="CA384" s="30"/>
      <c r="CB384" s="30"/>
      <c r="CC384" s="30"/>
      <c r="CD384" s="30"/>
      <c r="CE384" s="30"/>
      <c r="CF384" s="30"/>
      <c r="CG384" s="30"/>
      <c r="CH384" s="30"/>
      <c r="CI384" s="30"/>
      <c r="CJ384" s="30"/>
      <c r="CK384" s="30"/>
      <c r="CL384" s="30"/>
      <c r="CM384" s="30"/>
      <c r="CN384" s="30"/>
      <c r="CO384" s="30"/>
      <c r="CP384" s="30"/>
      <c r="CQ384" s="30"/>
      <c r="CR384" s="30"/>
      <c r="CS384" s="30"/>
      <c r="CT384" s="30"/>
      <c r="CU384" s="30"/>
      <c r="CV384" s="30"/>
      <c r="CW384" s="30"/>
      <c r="CX384" s="30"/>
      <c r="CY384" s="30"/>
      <c r="CZ384" s="30"/>
      <c r="DA384" s="30"/>
    </row>
    <row r="385" spans="1:105" ht="19.2" thickTop="1" thickBot="1" x14ac:dyDescent="0.4">
      <c r="A385" s="30"/>
      <c r="B385" s="30"/>
      <c r="C385" s="188" t="s">
        <v>877</v>
      </c>
      <c r="D385" s="187" t="s">
        <v>874</v>
      </c>
      <c r="E385" s="35" t="str">
        <f>_xlfn.XLOOKUP(Tabella4[[#This Row],[NOME]],'ROSE SQUADRE'!$N$3:$N$253,'ROSE SQUADRE'!$O$3:$O$253,"")</f>
        <v/>
      </c>
      <c r="F385" s="36" t="s">
        <v>161</v>
      </c>
      <c r="G385" s="43">
        <v>1</v>
      </c>
      <c r="H385" s="43">
        <v>1</v>
      </c>
      <c r="I385" s="44">
        <f t="shared" si="31"/>
        <v>0</v>
      </c>
      <c r="J385" s="37">
        <f t="shared" si="32"/>
        <v>0</v>
      </c>
      <c r="K385" s="178">
        <f t="shared" si="33"/>
        <v>0</v>
      </c>
      <c r="L385" s="178">
        <f t="shared" si="34"/>
        <v>0</v>
      </c>
      <c r="M385" s="179">
        <f t="shared" si="35"/>
        <v>0</v>
      </c>
      <c r="N385" s="45">
        <f t="shared" ca="1" si="36"/>
        <v>0</v>
      </c>
      <c r="O385" s="40">
        <f>SUMIF(Tabella1[Nome],Tabella4[[#This Row],[NOME]],Tabella1[Gf])</f>
        <v>0</v>
      </c>
      <c r="P385" s="40">
        <f>-(SUMIF(Tabella1[Nome],Tabella4[[#This Row],[NOME]],Tabella1[Gs]))</f>
        <v>0</v>
      </c>
      <c r="Q385" s="40">
        <f>SUMIF(Tabella1[Nome],Tabella4[[#This Row],[NOME]],Tabella1[Rp])</f>
        <v>0</v>
      </c>
      <c r="R385" s="40">
        <f>SUMIF(Tabella1[Nome],Tabella4[[#This Row],[NOME]],Tabella1[Rs])</f>
        <v>0</v>
      </c>
      <c r="S385" s="40">
        <f>SUMIF(Tabella1[Nome],Tabella4[[#This Row],[NOME]],Tabella1[Rf])</f>
        <v>0</v>
      </c>
      <c r="T385" s="40">
        <f>SUMIF(Tabella1[Nome],Tabella4[[#This Row],[NOME]],Tabella1[Au])</f>
        <v>0</v>
      </c>
      <c r="U385" s="41">
        <f>SUMIF(Tabella1[Nome],Tabella4[[#This Row],[NOME]],Tabella1[Amm])</f>
        <v>0</v>
      </c>
      <c r="V385" s="42">
        <f>SUMIF(Tabella1[Nome],Tabella4[[#This Row],[NOME]],Tabella1[Esp])</f>
        <v>0</v>
      </c>
      <c r="W385" s="40">
        <f>SUMIF(Tabella1[Nome],Tabella4[[#This Row],[NOME]],Tabella1[Ass])</f>
        <v>0</v>
      </c>
      <c r="X385" s="40">
        <f>SUMIF(Tabella1[Nome],Tabella4[[#This Row],[NOME]],Tabella1[Gdv])</f>
        <v>0</v>
      </c>
      <c r="Y385" s="40">
        <f>SUMIF(Tabella1[Nome],Tabella4[[#This Row],[NOME]],Tabella1[cl sh])</f>
        <v>0</v>
      </c>
      <c r="Z385" s="270" t="str">
        <f>_xlfn.IFNA(_xlfn.XLOOKUP(CONCATENATE(Z$4,$C385),Tabella1[CONC X VOTI IN TAB GIOC],Tabella1[Voto],""),"")</f>
        <v/>
      </c>
      <c r="AA385" s="270" t="str">
        <f>_xlfn.IFNA(_xlfn.XLOOKUP(CONCATENATE(AA$4,$C385),Tabella1[CONC X VOTI IN TAB GIOC],Tabella1[Voto],""),"")</f>
        <v/>
      </c>
      <c r="AB385" s="270" t="str">
        <f>_xlfn.IFNA(_xlfn.XLOOKUP(CONCATENATE(AB$4,$C385),Tabella1[CONC X VOTI IN TAB GIOC],Tabella1[Voto]),"")</f>
        <v/>
      </c>
      <c r="AC385" s="270" t="str" cm="1">
        <f t="array" ref="AC385">_xlfn.IFNA(_xlfn.XLOOKUP(CONCATENATE(AC$4,$C385),INDEX(Tabella1[],0,MATCH("CONC X VOTI IN TAB GIOC",Tabella1[#Headers],0)),INDEX(Tabella1[],0,MATCH("Voto",Tabella1[#Headers],0))),"")</f>
        <v/>
      </c>
      <c r="AD385" s="270" t="str">
        <f>_xlfn.IFNA(_xlfn.XLOOKUP(CONCATENATE(AD$4,$C385),Tabella1[CONC X VOTI IN TAB GIOC],Tabella1[Voto]),"")</f>
        <v/>
      </c>
      <c r="AE385" s="270" t="str">
        <f>_xlfn.IFNA(VLOOKUP(CONCATENATE(AE$4,$C385),'INSER DATA'!$A:$F,6,0),"")</f>
        <v/>
      </c>
      <c r="AF385" s="270" t="str">
        <f>_xlfn.IFNA(VLOOKUP(CONCATENATE(AF$4,$C385),'INSER DATA'!$A:$F,6,0),"")</f>
        <v/>
      </c>
      <c r="AG385" s="270" t="str">
        <f>_xlfn.IFNA(VLOOKUP(CONCATENATE(AG$4,$C385),'INSER DATA'!$A:$F,6,0),"")</f>
        <v/>
      </c>
      <c r="AH385" s="270" t="str">
        <f>_xlfn.IFNA(VLOOKUP(CONCATENATE(AH$4,$C385),'INSER DATA'!$A:$F,7,0),"")</f>
        <v/>
      </c>
      <c r="AI385" s="270" t="str">
        <f>_xlfn.IFNA(VLOOKUP(CONCATENATE(AI$4,$C385),'INSER DATA'!$A:$F,7,0),"")</f>
        <v/>
      </c>
      <c r="AJ385" s="270" t="str">
        <f>_xlfn.IFNA(VLOOKUP(CONCATENATE(AJ$4,$C385),'INSER DATA'!$A:$F,7,0),"")</f>
        <v/>
      </c>
      <c r="AK385" s="270" t="str">
        <f>_xlfn.IFNA(VLOOKUP(CONCATENATE(AK$4,$C385),'INSER DATA'!$A:$F,7,0),"")</f>
        <v/>
      </c>
      <c r="AL385" s="270" t="str">
        <f>_xlfn.IFNA(VLOOKUP(CONCATENATE(AL$4,$C385),'INSER DATA'!$A:$F,7,0),"")</f>
        <v/>
      </c>
      <c r="AM385" s="270" t="str">
        <f>_xlfn.IFNA(VLOOKUP(CONCATENATE(AM$4,$C385),'INSER DATA'!$A:$F,7,0),"")</f>
        <v/>
      </c>
      <c r="AN385" s="270" t="str">
        <f>_xlfn.IFNA(VLOOKUP(CONCATENATE(AN$4,$C385),'INSER DATA'!$A:$F,7,0),"")</f>
        <v/>
      </c>
      <c r="AO385" s="270" t="str">
        <f>_xlfn.IFNA(VLOOKUP(CONCATENATE(AO$4,$C385),'INSER DATA'!$A:$F,7,0),"")</f>
        <v/>
      </c>
      <c r="AP385" s="270" t="str">
        <f>_xlfn.IFNA(VLOOKUP(CONCATENATE(AP$4,$C385),'INSER DATA'!$A:$F,7,0),"")</f>
        <v/>
      </c>
      <c r="AQ385" s="270" t="str">
        <f>_xlfn.IFNA(VLOOKUP(CONCATENATE(AQ$4,$C385),'INSER DATA'!$A:$F,7,0),"")</f>
        <v/>
      </c>
      <c r="AR385" s="270" t="str">
        <f>_xlfn.IFNA(VLOOKUP(CONCATENATE(AR$4,$C385),'INSER DATA'!$A:$F,7,0),"")</f>
        <v/>
      </c>
      <c r="AS385" s="270" t="str">
        <f>_xlfn.IFNA(VLOOKUP(CONCATENATE(AS$4,$C385),'INSER DATA'!$A:$F,7,0),"")</f>
        <v/>
      </c>
      <c r="AT385" s="270" t="str">
        <f>_xlfn.IFNA(VLOOKUP(CONCATENATE(AT$4,$C385),'INSER DATA'!$A:$F,7,0),"")</f>
        <v/>
      </c>
      <c r="AU385" s="270" t="str">
        <f>_xlfn.IFNA(VLOOKUP(CONCATENATE(AU$4,$C385),'INSER DATA'!$A:$F,7,0),"")</f>
        <v/>
      </c>
      <c r="AV385" s="270" t="str">
        <f>_xlfn.IFNA(VLOOKUP(CONCATENATE(AV$4,$C385),'INSER DATA'!$A:$F,7,0),"")</f>
        <v/>
      </c>
      <c r="AW385" s="270" t="str">
        <f>_xlfn.IFNA(VLOOKUP(CONCATENATE(AW$4,$C385),'INSER DATA'!$A:$F,7,0),"")</f>
        <v/>
      </c>
      <c r="AX385" s="270" t="str">
        <f>_xlfn.IFNA(VLOOKUP(CONCATENATE(AX$4,$C385),'INSER DATA'!$A:$F,7,0),"")</f>
        <v/>
      </c>
      <c r="AY385" s="270" t="str">
        <f>_xlfn.IFNA(VLOOKUP(CONCATENATE(AY$4,$C385),'INSER DATA'!$A:$F,7,0),"")</f>
        <v/>
      </c>
      <c r="AZ385" s="270" t="str">
        <f>_xlfn.IFNA(VLOOKUP(CONCATENATE(AZ$4,$C385),'INSER DATA'!$A:$F,7,0),"")</f>
        <v/>
      </c>
      <c r="BA385" s="270" t="str">
        <f>_xlfn.IFNA(VLOOKUP(CONCATENATE(BA$4,$C385),'INSER DATA'!$A:$F,7,0),"")</f>
        <v/>
      </c>
      <c r="BB385" s="270" t="str">
        <f>_xlfn.IFNA(VLOOKUP(CONCATENATE(BB$4,$C385),'INSER DATA'!$A:$F,7,0),"")</f>
        <v/>
      </c>
      <c r="BC385" s="270" t="str">
        <f>_xlfn.IFNA(VLOOKUP(CONCATENATE(BC$4,$C385),'INSER DATA'!$A:$F,7,0),"")</f>
        <v/>
      </c>
      <c r="BD385" s="270" t="str">
        <f>_xlfn.IFNA(VLOOKUP(CONCATENATE(BD$4,$C385),'INSER DATA'!$A:$F,7,0),"")</f>
        <v/>
      </c>
      <c r="BE385" s="270" t="str">
        <f>_xlfn.IFNA(VLOOKUP(CONCATENATE(BE$4,$C385),'INSER DATA'!$A:$F,7,0),"")</f>
        <v/>
      </c>
      <c r="BF385" s="270" t="str">
        <f>_xlfn.IFNA(VLOOKUP(CONCATENATE(BF$4,$C385),'INSER DATA'!$A:$F,7,0),"")</f>
        <v/>
      </c>
      <c r="BG385" s="270" t="str">
        <f>_xlfn.IFNA(VLOOKUP(CONCATENATE(BG$4,$C385),'INSER DATA'!$A:$F,7,0),"")</f>
        <v/>
      </c>
      <c r="BH385" s="270" t="str">
        <f>_xlfn.IFNA(VLOOKUP(CONCATENATE(BH$4,$C385),'INSER DATA'!$A:$F,7,0),"")</f>
        <v/>
      </c>
      <c r="BI385" s="270" t="str">
        <f>_xlfn.IFNA(VLOOKUP(CONCATENATE(BI$4,$C385),'INSER DATA'!$A:$F,7,0),"")</f>
        <v/>
      </c>
      <c r="BJ385" s="270" t="str">
        <f>_xlfn.IFNA(VLOOKUP(CONCATENATE(BJ$4,$C385),'INSER DATA'!$A:$F,7,0),"")</f>
        <v/>
      </c>
      <c r="BK385" s="270" t="str">
        <f>_xlfn.IFNA(VLOOKUP(CONCATENATE(BK$4,$C385),'INSER DATA'!$A:$F,7,0),"")</f>
        <v/>
      </c>
      <c r="BL385" s="272"/>
      <c r="BM385" s="30"/>
      <c r="BN385" s="30"/>
      <c r="BO385" s="30"/>
      <c r="BP385" s="30"/>
      <c r="BQ385" s="30"/>
      <c r="BR385" s="30"/>
      <c r="BS385" s="30"/>
      <c r="BT385" s="30"/>
      <c r="BU385" s="30"/>
      <c r="BV385" s="30"/>
      <c r="BW385" s="30"/>
      <c r="BX385" s="30"/>
      <c r="BY385" s="30"/>
      <c r="BZ385" s="30"/>
      <c r="CA385" s="30"/>
      <c r="CB385" s="30"/>
      <c r="CC385" s="30"/>
      <c r="CD385" s="30"/>
      <c r="CE385" s="30"/>
      <c r="CF385" s="30"/>
      <c r="CG385" s="30"/>
      <c r="CH385" s="30"/>
      <c r="CI385" s="30"/>
      <c r="CJ385" s="30"/>
      <c r="CK385" s="30"/>
      <c r="CL385" s="30"/>
      <c r="CM385" s="30"/>
      <c r="CN385" s="30"/>
      <c r="CO385" s="30"/>
      <c r="CP385" s="30"/>
      <c r="CQ385" s="30"/>
      <c r="CR385" s="30"/>
      <c r="CS385" s="30"/>
      <c r="CT385" s="30"/>
      <c r="CU385" s="30"/>
      <c r="CV385" s="30"/>
      <c r="CW385" s="30"/>
      <c r="CX385" s="30"/>
      <c r="CY385" s="30"/>
      <c r="CZ385" s="30"/>
      <c r="DA385" s="30"/>
    </row>
    <row r="386" spans="1:105" ht="19.2" thickTop="1" thickBot="1" x14ac:dyDescent="0.4">
      <c r="A386" s="30"/>
      <c r="B386" s="30"/>
      <c r="C386" s="188" t="s">
        <v>880</v>
      </c>
      <c r="D386" s="187" t="s">
        <v>874</v>
      </c>
      <c r="E386" s="35" t="str">
        <f>_xlfn.XLOOKUP(Tabella4[[#This Row],[NOME]],'ROSE SQUADRE'!$N$3:$N$253,'ROSE SQUADRE'!$O$3:$O$253,"")</f>
        <v/>
      </c>
      <c r="F386" s="36" t="s">
        <v>161</v>
      </c>
      <c r="G386" s="43">
        <v>4</v>
      </c>
      <c r="H386" s="43">
        <v>4</v>
      </c>
      <c r="I386" s="44">
        <f t="shared" si="31"/>
        <v>0</v>
      </c>
      <c r="J386" s="37">
        <f t="shared" si="32"/>
        <v>1</v>
      </c>
      <c r="K386" s="38">
        <f t="shared" si="33"/>
        <v>6</v>
      </c>
      <c r="L386" s="38">
        <f t="shared" si="34"/>
        <v>6</v>
      </c>
      <c r="M386" s="39">
        <f t="shared" si="35"/>
        <v>6</v>
      </c>
      <c r="N386" s="45">
        <f t="shared" ca="1" si="36"/>
        <v>0</v>
      </c>
      <c r="O386" s="40">
        <f>SUMIF(Tabella1[Nome],Tabella4[[#This Row],[NOME]],Tabella1[Gf])</f>
        <v>0</v>
      </c>
      <c r="P386" s="40">
        <f>-(SUMIF(Tabella1[Nome],Tabella4[[#This Row],[NOME]],Tabella1[Gs]))</f>
        <v>0</v>
      </c>
      <c r="Q386" s="40">
        <f>SUMIF(Tabella1[Nome],Tabella4[[#This Row],[NOME]],Tabella1[Rp])</f>
        <v>0</v>
      </c>
      <c r="R386" s="40">
        <f>SUMIF(Tabella1[Nome],Tabella4[[#This Row],[NOME]],Tabella1[Rs])</f>
        <v>0</v>
      </c>
      <c r="S386" s="40">
        <f>SUMIF(Tabella1[Nome],Tabella4[[#This Row],[NOME]],Tabella1[Rf])</f>
        <v>0</v>
      </c>
      <c r="T386" s="40">
        <f>SUMIF(Tabella1[Nome],Tabella4[[#This Row],[NOME]],Tabella1[Au])</f>
        <v>0</v>
      </c>
      <c r="U386" s="41">
        <f>SUMIF(Tabella1[Nome],Tabella4[[#This Row],[NOME]],Tabella1[Amm])</f>
        <v>0</v>
      </c>
      <c r="V386" s="42">
        <f>SUMIF(Tabella1[Nome],Tabella4[[#This Row],[NOME]],Tabella1[Esp])</f>
        <v>0</v>
      </c>
      <c r="W386" s="40">
        <f>SUMIF(Tabella1[Nome],Tabella4[[#This Row],[NOME]],Tabella1[Ass])</f>
        <v>0</v>
      </c>
      <c r="X386" s="40">
        <f>SUMIF(Tabella1[Nome],Tabella4[[#This Row],[NOME]],Tabella1[Gdv])</f>
        <v>0</v>
      </c>
      <c r="Y386" s="40">
        <f>SUMIF(Tabella1[Nome],Tabella4[[#This Row],[NOME]],Tabella1[cl sh])</f>
        <v>0</v>
      </c>
      <c r="Z386" s="270" t="str">
        <f>_xlfn.IFNA(_xlfn.XLOOKUP(CONCATENATE(Z$4,$C386),Tabella1[CONC X VOTI IN TAB GIOC],Tabella1[Voto],""),"")</f>
        <v/>
      </c>
      <c r="AA386" s="270" t="str">
        <f>_xlfn.IFNA(_xlfn.XLOOKUP(CONCATENATE(AA$4,$C386),Tabella1[CONC X VOTI IN TAB GIOC],Tabella1[Voto],""),"")</f>
        <v/>
      </c>
      <c r="AB386" s="270">
        <f>_xlfn.IFNA(_xlfn.XLOOKUP(CONCATENATE(AB$4,$C386),Tabella1[CONC X VOTI IN TAB GIOC],Tabella1[Voto]),"")</f>
        <v>6</v>
      </c>
      <c r="AC386" s="270" t="str" cm="1">
        <f t="array" ref="AC386">_xlfn.IFNA(_xlfn.XLOOKUP(CONCATENATE(AC$4,$C386),INDEX(Tabella1[],0,MATCH("CONC X VOTI IN TAB GIOC",Tabella1[#Headers],0)),INDEX(Tabella1[],0,MATCH("Voto",Tabella1[#Headers],0))),"")</f>
        <v/>
      </c>
      <c r="AD386" s="270" t="str">
        <f>_xlfn.IFNA(_xlfn.XLOOKUP(CONCATENATE(AD$4,$C386),Tabella1[CONC X VOTI IN TAB GIOC],Tabella1[Voto]),"")</f>
        <v/>
      </c>
      <c r="AE386" s="270" t="str">
        <f>_xlfn.IFNA(VLOOKUP(CONCATENATE(AE$4,$C386),'INSER DATA'!$A:$F,6,0),"")</f>
        <v/>
      </c>
      <c r="AF386" s="270" t="str">
        <f>_xlfn.IFNA(VLOOKUP(CONCATENATE(AF$4,$C386),'INSER DATA'!$A:$F,6,0),"")</f>
        <v/>
      </c>
      <c r="AG386" s="270" t="str">
        <f>_xlfn.IFNA(VLOOKUP(CONCATENATE(AG$4,$C386),'INSER DATA'!$A:$F,6,0),"")</f>
        <v/>
      </c>
      <c r="AH386" s="270" t="str">
        <f>_xlfn.IFNA(VLOOKUP(CONCATENATE(AH$4,$C386),'INSER DATA'!$A:$F,7,0),"")</f>
        <v/>
      </c>
      <c r="AI386" s="270" t="str">
        <f>_xlfn.IFNA(VLOOKUP(CONCATENATE(AI$4,$C386),'INSER DATA'!$A:$F,7,0),"")</f>
        <v/>
      </c>
      <c r="AJ386" s="270" t="str">
        <f>_xlfn.IFNA(VLOOKUP(CONCATENATE(AJ$4,$C386),'INSER DATA'!$A:$F,7,0),"")</f>
        <v/>
      </c>
      <c r="AK386" s="270" t="str">
        <f>_xlfn.IFNA(VLOOKUP(CONCATENATE(AK$4,$C386),'INSER DATA'!$A:$F,7,0),"")</f>
        <v/>
      </c>
      <c r="AL386" s="270" t="str">
        <f>_xlfn.IFNA(VLOOKUP(CONCATENATE(AL$4,$C386),'INSER DATA'!$A:$F,7,0),"")</f>
        <v/>
      </c>
      <c r="AM386" s="270" t="str">
        <f>_xlfn.IFNA(VLOOKUP(CONCATENATE(AM$4,$C386),'INSER DATA'!$A:$F,7,0),"")</f>
        <v/>
      </c>
      <c r="AN386" s="270" t="str">
        <f>_xlfn.IFNA(VLOOKUP(CONCATENATE(AN$4,$C386),'INSER DATA'!$A:$F,7,0),"")</f>
        <v/>
      </c>
      <c r="AO386" s="270" t="str">
        <f>_xlfn.IFNA(VLOOKUP(CONCATENATE(AO$4,$C386),'INSER DATA'!$A:$F,7,0),"")</f>
        <v/>
      </c>
      <c r="AP386" s="270" t="str">
        <f>_xlfn.IFNA(VLOOKUP(CONCATENATE(AP$4,$C386),'INSER DATA'!$A:$F,7,0),"")</f>
        <v/>
      </c>
      <c r="AQ386" s="270" t="str">
        <f>_xlfn.IFNA(VLOOKUP(CONCATENATE(AQ$4,$C386),'INSER DATA'!$A:$F,7,0),"")</f>
        <v/>
      </c>
      <c r="AR386" s="270" t="str">
        <f>_xlfn.IFNA(VLOOKUP(CONCATENATE(AR$4,$C386),'INSER DATA'!$A:$F,7,0),"")</f>
        <v/>
      </c>
      <c r="AS386" s="270" t="str">
        <f>_xlfn.IFNA(VLOOKUP(CONCATENATE(AS$4,$C386),'INSER DATA'!$A:$F,7,0),"")</f>
        <v/>
      </c>
      <c r="AT386" s="270" t="str">
        <f>_xlfn.IFNA(VLOOKUP(CONCATENATE(AT$4,$C386),'INSER DATA'!$A:$F,7,0),"")</f>
        <v/>
      </c>
      <c r="AU386" s="270" t="str">
        <f>_xlfn.IFNA(VLOOKUP(CONCATENATE(AU$4,$C386),'INSER DATA'!$A:$F,7,0),"")</f>
        <v/>
      </c>
      <c r="AV386" s="270" t="str">
        <f>_xlfn.IFNA(VLOOKUP(CONCATENATE(AV$4,$C386),'INSER DATA'!$A:$F,7,0),"")</f>
        <v/>
      </c>
      <c r="AW386" s="270" t="str">
        <f>_xlfn.IFNA(VLOOKUP(CONCATENATE(AW$4,$C386),'INSER DATA'!$A:$F,7,0),"")</f>
        <v/>
      </c>
      <c r="AX386" s="270" t="str">
        <f>_xlfn.IFNA(VLOOKUP(CONCATENATE(AX$4,$C386),'INSER DATA'!$A:$F,7,0),"")</f>
        <v/>
      </c>
      <c r="AY386" s="270" t="str">
        <f>_xlfn.IFNA(VLOOKUP(CONCATENATE(AY$4,$C386),'INSER DATA'!$A:$F,7,0),"")</f>
        <v/>
      </c>
      <c r="AZ386" s="270" t="str">
        <f>_xlfn.IFNA(VLOOKUP(CONCATENATE(AZ$4,$C386),'INSER DATA'!$A:$F,7,0),"")</f>
        <v/>
      </c>
      <c r="BA386" s="270" t="str">
        <f>_xlfn.IFNA(VLOOKUP(CONCATENATE(BA$4,$C386),'INSER DATA'!$A:$F,7,0),"")</f>
        <v/>
      </c>
      <c r="BB386" s="270" t="str">
        <f>_xlfn.IFNA(VLOOKUP(CONCATENATE(BB$4,$C386),'INSER DATA'!$A:$F,7,0),"")</f>
        <v/>
      </c>
      <c r="BC386" s="270" t="str">
        <f>_xlfn.IFNA(VLOOKUP(CONCATENATE(BC$4,$C386),'INSER DATA'!$A:$F,7,0),"")</f>
        <v/>
      </c>
      <c r="BD386" s="270" t="str">
        <f>_xlfn.IFNA(VLOOKUP(CONCATENATE(BD$4,$C386),'INSER DATA'!$A:$F,7,0),"")</f>
        <v/>
      </c>
      <c r="BE386" s="270" t="str">
        <f>_xlfn.IFNA(VLOOKUP(CONCATENATE(BE$4,$C386),'INSER DATA'!$A:$F,7,0),"")</f>
        <v/>
      </c>
      <c r="BF386" s="270" t="str">
        <f>_xlfn.IFNA(VLOOKUP(CONCATENATE(BF$4,$C386),'INSER DATA'!$A:$F,7,0),"")</f>
        <v/>
      </c>
      <c r="BG386" s="270" t="str">
        <f>_xlfn.IFNA(VLOOKUP(CONCATENATE(BG$4,$C386),'INSER DATA'!$A:$F,7,0),"")</f>
        <v/>
      </c>
      <c r="BH386" s="270" t="str">
        <f>_xlfn.IFNA(VLOOKUP(CONCATENATE(BH$4,$C386),'INSER DATA'!$A:$F,7,0),"")</f>
        <v/>
      </c>
      <c r="BI386" s="270" t="str">
        <f>_xlfn.IFNA(VLOOKUP(CONCATENATE(BI$4,$C386),'INSER DATA'!$A:$F,7,0),"")</f>
        <v/>
      </c>
      <c r="BJ386" s="270" t="str">
        <f>_xlfn.IFNA(VLOOKUP(CONCATENATE(BJ$4,$C386),'INSER DATA'!$A:$F,7,0),"")</f>
        <v/>
      </c>
      <c r="BK386" s="270" t="str">
        <f>_xlfn.IFNA(VLOOKUP(CONCATENATE(BK$4,$C386),'INSER DATA'!$A:$F,7,0),"")</f>
        <v/>
      </c>
      <c r="BL386" s="272"/>
      <c r="BM386" s="30"/>
      <c r="BN386" s="30"/>
      <c r="BO386" s="30"/>
      <c r="BP386" s="30"/>
      <c r="BQ386" s="30"/>
      <c r="BR386" s="30"/>
      <c r="BS386" s="30"/>
      <c r="BT386" s="30"/>
      <c r="BU386" s="30"/>
      <c r="BV386" s="30"/>
      <c r="BW386" s="30"/>
      <c r="BX386" s="30"/>
      <c r="BY386" s="30"/>
      <c r="BZ386" s="30"/>
      <c r="CA386" s="30"/>
      <c r="CB386" s="30"/>
      <c r="CC386" s="30"/>
      <c r="CD386" s="30"/>
      <c r="CE386" s="30"/>
      <c r="CF386" s="30"/>
      <c r="CG386" s="30"/>
      <c r="CH386" s="30"/>
      <c r="CI386" s="30"/>
      <c r="CJ386" s="30"/>
      <c r="CK386" s="30"/>
      <c r="CL386" s="30"/>
      <c r="CM386" s="30"/>
      <c r="CN386" s="30"/>
      <c r="CO386" s="30"/>
      <c r="CP386" s="30"/>
      <c r="CQ386" s="30"/>
      <c r="CR386" s="30"/>
      <c r="CS386" s="30"/>
      <c r="CT386" s="30"/>
      <c r="CU386" s="30"/>
      <c r="CV386" s="30"/>
      <c r="CW386" s="30"/>
      <c r="CX386" s="30"/>
      <c r="CY386" s="30"/>
      <c r="CZ386" s="30"/>
      <c r="DA386" s="30"/>
    </row>
    <row r="387" spans="1:105" ht="19.2" thickTop="1" thickBot="1" x14ac:dyDescent="0.4">
      <c r="A387" s="30"/>
      <c r="B387" s="30"/>
      <c r="C387" s="356" t="s">
        <v>623</v>
      </c>
      <c r="D387" s="355" t="s">
        <v>874</v>
      </c>
      <c r="E387" s="35" t="str">
        <f>_xlfn.XLOOKUP(Tabella4[[#This Row],[NOME]],'ROSE SQUADRE'!$N$3:$N$253,'ROSE SQUADRE'!$O$3:$O$253,"")</f>
        <v>PESCICULINI</v>
      </c>
      <c r="F387" s="36" t="s">
        <v>162</v>
      </c>
      <c r="G387" s="43">
        <v>6</v>
      </c>
      <c r="H387" s="43">
        <v>6</v>
      </c>
      <c r="I387" s="44">
        <f t="shared" si="31"/>
        <v>0</v>
      </c>
      <c r="J387" s="37">
        <f t="shared" si="32"/>
        <v>0</v>
      </c>
      <c r="K387" s="38">
        <f t="shared" si="33"/>
        <v>0</v>
      </c>
      <c r="L387" s="38">
        <f t="shared" si="34"/>
        <v>0</v>
      </c>
      <c r="M387" s="39">
        <f t="shared" si="35"/>
        <v>0</v>
      </c>
      <c r="N387" s="45">
        <f t="shared" ca="1" si="36"/>
        <v>0</v>
      </c>
      <c r="O387" s="40">
        <f>SUMIF(Tabella1[Nome],Tabella4[[#This Row],[NOME]],Tabella1[Gf])</f>
        <v>0</v>
      </c>
      <c r="P387" s="40">
        <f>-(SUMIF(Tabella1[Nome],Tabella4[[#This Row],[NOME]],Tabella1[Gs]))</f>
        <v>0</v>
      </c>
      <c r="Q387" s="40">
        <f>SUMIF(Tabella1[Nome],Tabella4[[#This Row],[NOME]],Tabella1[Rp])</f>
        <v>0</v>
      </c>
      <c r="R387" s="40">
        <f>SUMIF(Tabella1[Nome],Tabella4[[#This Row],[NOME]],Tabella1[Rs])</f>
        <v>0</v>
      </c>
      <c r="S387" s="40">
        <f>SUMIF(Tabella1[Nome],Tabella4[[#This Row],[NOME]],Tabella1[Rf])</f>
        <v>0</v>
      </c>
      <c r="T387" s="40">
        <f>SUMIF(Tabella1[Nome],Tabella4[[#This Row],[NOME]],Tabella1[Au])</f>
        <v>0</v>
      </c>
      <c r="U387" s="41">
        <f>SUMIF(Tabella1[Nome],Tabella4[[#This Row],[NOME]],Tabella1[Amm])</f>
        <v>0</v>
      </c>
      <c r="V387" s="42">
        <f>SUMIF(Tabella1[Nome],Tabella4[[#This Row],[NOME]],Tabella1[Esp])</f>
        <v>0</v>
      </c>
      <c r="W387" s="40">
        <f>SUMIF(Tabella1[Nome],Tabella4[[#This Row],[NOME]],Tabella1[Ass])</f>
        <v>0</v>
      </c>
      <c r="X387" s="40">
        <f>SUMIF(Tabella1[Nome],Tabella4[[#This Row],[NOME]],Tabella1[Gdv])</f>
        <v>0</v>
      </c>
      <c r="Y387" s="40">
        <f>SUMIF(Tabella1[Nome],Tabella4[[#This Row],[NOME]],Tabella1[cl sh])</f>
        <v>0</v>
      </c>
      <c r="Z387" s="270" t="str">
        <f>_xlfn.IFNA(_xlfn.XLOOKUP(CONCATENATE(Z$4,$C387),Tabella1[CONC X VOTI IN TAB GIOC],Tabella1[Voto],""),"")</f>
        <v/>
      </c>
      <c r="AA387" s="270" t="str">
        <f>_xlfn.IFNA(_xlfn.XLOOKUP(CONCATENATE(AA$4,$C387),Tabella1[CONC X VOTI IN TAB GIOC],Tabella1[Voto],""),"")</f>
        <v/>
      </c>
      <c r="AB387" s="270" t="str">
        <f>_xlfn.IFNA(_xlfn.XLOOKUP(CONCATENATE(AB$4,$C387),Tabella1[CONC X VOTI IN TAB GIOC],Tabella1[Voto]),"")</f>
        <v/>
      </c>
      <c r="AC387" s="270" t="str" cm="1">
        <f t="array" ref="AC387">_xlfn.IFNA(_xlfn.XLOOKUP(CONCATENATE(AC$4,$C387),INDEX(Tabella1[],0,MATCH("CONC X VOTI IN TAB GIOC",Tabella1[#Headers],0)),INDEX(Tabella1[],0,MATCH("Voto",Tabella1[#Headers],0))),"")</f>
        <v/>
      </c>
      <c r="AD387" s="270" t="str">
        <f>_xlfn.IFNA(_xlfn.XLOOKUP(CONCATENATE(AD$4,$C387),Tabella1[CONC X VOTI IN TAB GIOC],Tabella1[Voto]),"")</f>
        <v/>
      </c>
      <c r="AE387" s="270" t="str">
        <f>_xlfn.IFNA(VLOOKUP(CONCATENATE(AE$4,$C387),'INSER DATA'!$A:$F,6,0),"")</f>
        <v/>
      </c>
      <c r="AF387" s="270" t="str">
        <f>_xlfn.IFNA(VLOOKUP(CONCATENATE(AF$4,$C387),'INSER DATA'!$A:$F,6,0),"")</f>
        <v/>
      </c>
      <c r="AG387" s="270" t="str">
        <f>_xlfn.IFNA(VLOOKUP(CONCATENATE(AG$4,$C387),'INSER DATA'!$A:$F,6,0),"")</f>
        <v/>
      </c>
      <c r="AH387" s="270" t="str">
        <f>_xlfn.IFNA(VLOOKUP(CONCATENATE(AH$4,$C387),'INSER DATA'!$A:$F,7,0),"")</f>
        <v/>
      </c>
      <c r="AI387" s="270" t="str">
        <f>_xlfn.IFNA(VLOOKUP(CONCATENATE(AI$4,$C387),'INSER DATA'!$A:$F,7,0),"")</f>
        <v/>
      </c>
      <c r="AJ387" s="270" t="str">
        <f>_xlfn.IFNA(VLOOKUP(CONCATENATE(AJ$4,$C387),'INSER DATA'!$A:$F,7,0),"")</f>
        <v/>
      </c>
      <c r="AK387" s="270" t="str">
        <f>_xlfn.IFNA(VLOOKUP(CONCATENATE(AK$4,$C387),'INSER DATA'!$A:$F,7,0),"")</f>
        <v/>
      </c>
      <c r="AL387" s="270" t="str">
        <f>_xlfn.IFNA(VLOOKUP(CONCATENATE(AL$4,$C387),'INSER DATA'!$A:$F,7,0),"")</f>
        <v/>
      </c>
      <c r="AM387" s="270" t="str">
        <f>_xlfn.IFNA(VLOOKUP(CONCATENATE(AM$4,$C387),'INSER DATA'!$A:$F,7,0),"")</f>
        <v/>
      </c>
      <c r="AN387" s="270" t="str">
        <f>_xlfn.IFNA(VLOOKUP(CONCATENATE(AN$4,$C387),'INSER DATA'!$A:$F,7,0),"")</f>
        <v/>
      </c>
      <c r="AO387" s="270" t="str">
        <f>_xlfn.IFNA(VLOOKUP(CONCATENATE(AO$4,$C387),'INSER DATA'!$A:$F,7,0),"")</f>
        <v/>
      </c>
      <c r="AP387" s="270" t="str">
        <f>_xlfn.IFNA(VLOOKUP(CONCATENATE(AP$4,$C387),'INSER DATA'!$A:$F,7,0),"")</f>
        <v/>
      </c>
      <c r="AQ387" s="270" t="str">
        <f>_xlfn.IFNA(VLOOKUP(CONCATENATE(AQ$4,$C387),'INSER DATA'!$A:$F,7,0),"")</f>
        <v/>
      </c>
      <c r="AR387" s="270" t="str">
        <f>_xlfn.IFNA(VLOOKUP(CONCATENATE(AR$4,$C387),'INSER DATA'!$A:$F,7,0),"")</f>
        <v/>
      </c>
      <c r="AS387" s="270" t="str">
        <f>_xlfn.IFNA(VLOOKUP(CONCATENATE(AS$4,$C387),'INSER DATA'!$A:$F,7,0),"")</f>
        <v/>
      </c>
      <c r="AT387" s="270" t="str">
        <f>_xlfn.IFNA(VLOOKUP(CONCATENATE(AT$4,$C387),'INSER DATA'!$A:$F,7,0),"")</f>
        <v/>
      </c>
      <c r="AU387" s="270" t="str">
        <f>_xlfn.IFNA(VLOOKUP(CONCATENATE(AU$4,$C387),'INSER DATA'!$A:$F,7,0),"")</f>
        <v/>
      </c>
      <c r="AV387" s="270" t="str">
        <f>_xlfn.IFNA(VLOOKUP(CONCATENATE(AV$4,$C387),'INSER DATA'!$A:$F,7,0),"")</f>
        <v/>
      </c>
      <c r="AW387" s="270" t="str">
        <f>_xlfn.IFNA(VLOOKUP(CONCATENATE(AW$4,$C387),'INSER DATA'!$A:$F,7,0),"")</f>
        <v/>
      </c>
      <c r="AX387" s="270" t="str">
        <f>_xlfn.IFNA(VLOOKUP(CONCATENATE(AX$4,$C387),'INSER DATA'!$A:$F,7,0),"")</f>
        <v/>
      </c>
      <c r="AY387" s="270" t="str">
        <f>_xlfn.IFNA(VLOOKUP(CONCATENATE(AY$4,$C387),'INSER DATA'!$A:$F,7,0),"")</f>
        <v/>
      </c>
      <c r="AZ387" s="270" t="str">
        <f>_xlfn.IFNA(VLOOKUP(CONCATENATE(AZ$4,$C387),'INSER DATA'!$A:$F,7,0),"")</f>
        <v/>
      </c>
      <c r="BA387" s="270" t="str">
        <f>_xlfn.IFNA(VLOOKUP(CONCATENATE(BA$4,$C387),'INSER DATA'!$A:$F,7,0),"")</f>
        <v/>
      </c>
      <c r="BB387" s="270" t="str">
        <f>_xlfn.IFNA(VLOOKUP(CONCATENATE(BB$4,$C387),'INSER DATA'!$A:$F,7,0),"")</f>
        <v/>
      </c>
      <c r="BC387" s="270" t="str">
        <f>_xlfn.IFNA(VLOOKUP(CONCATENATE(BC$4,$C387),'INSER DATA'!$A:$F,7,0),"")</f>
        <v/>
      </c>
      <c r="BD387" s="270" t="str">
        <f>_xlfn.IFNA(VLOOKUP(CONCATENATE(BD$4,$C387),'INSER DATA'!$A:$F,7,0),"")</f>
        <v/>
      </c>
      <c r="BE387" s="270" t="str">
        <f>_xlfn.IFNA(VLOOKUP(CONCATENATE(BE$4,$C387),'INSER DATA'!$A:$F,7,0),"")</f>
        <v/>
      </c>
      <c r="BF387" s="270" t="str">
        <f>_xlfn.IFNA(VLOOKUP(CONCATENATE(BF$4,$C387),'INSER DATA'!$A:$F,7,0),"")</f>
        <v/>
      </c>
      <c r="BG387" s="270" t="str">
        <f>_xlfn.IFNA(VLOOKUP(CONCATENATE(BG$4,$C387),'INSER DATA'!$A:$F,7,0),"")</f>
        <v/>
      </c>
      <c r="BH387" s="270" t="str">
        <f>_xlfn.IFNA(VLOOKUP(CONCATENATE(BH$4,$C387),'INSER DATA'!$A:$F,7,0),"")</f>
        <v/>
      </c>
      <c r="BI387" s="270" t="str">
        <f>_xlfn.IFNA(VLOOKUP(CONCATENATE(BI$4,$C387),'INSER DATA'!$A:$F,7,0),"")</f>
        <v/>
      </c>
      <c r="BJ387" s="270" t="str">
        <f>_xlfn.IFNA(VLOOKUP(CONCATENATE(BJ$4,$C387),'INSER DATA'!$A:$F,7,0),"")</f>
        <v/>
      </c>
      <c r="BK387" s="270" t="str">
        <f>_xlfn.IFNA(VLOOKUP(CONCATENATE(BK$4,$C387),'INSER DATA'!$A:$F,7,0),"")</f>
        <v/>
      </c>
      <c r="BL387" s="272"/>
      <c r="BM387" s="30"/>
      <c r="BN387" s="30"/>
      <c r="BO387" s="30"/>
      <c r="BP387" s="30"/>
      <c r="BQ387" s="30"/>
      <c r="BR387" s="30"/>
      <c r="BS387" s="30"/>
      <c r="BT387" s="30"/>
      <c r="BU387" s="30"/>
      <c r="BV387" s="30"/>
      <c r="BW387" s="30"/>
      <c r="BX387" s="30"/>
      <c r="BY387" s="30"/>
      <c r="BZ387" s="30"/>
      <c r="CA387" s="30"/>
      <c r="CB387" s="30"/>
      <c r="CC387" s="30"/>
      <c r="CD387" s="30"/>
      <c r="CE387" s="30"/>
      <c r="CF387" s="30"/>
      <c r="CG387" s="30"/>
      <c r="CH387" s="30"/>
      <c r="CI387" s="30"/>
      <c r="CJ387" s="30"/>
      <c r="CK387" s="30"/>
      <c r="CL387" s="30"/>
      <c r="CM387" s="30"/>
      <c r="CN387" s="30"/>
      <c r="CO387" s="30"/>
      <c r="CP387" s="30"/>
      <c r="CQ387" s="30"/>
      <c r="CR387" s="30"/>
      <c r="CS387" s="30"/>
      <c r="CT387" s="30"/>
      <c r="CU387" s="30"/>
      <c r="CV387" s="30"/>
      <c r="CW387" s="30"/>
      <c r="CX387" s="30"/>
      <c r="CY387" s="30"/>
      <c r="CZ387" s="30"/>
      <c r="DA387" s="30"/>
    </row>
    <row r="388" spans="1:105" ht="19.2" thickTop="1" thickBot="1" x14ac:dyDescent="0.4">
      <c r="A388" s="30"/>
      <c r="B388" s="30"/>
      <c r="C388" s="188" t="s">
        <v>886</v>
      </c>
      <c r="D388" s="187" t="s">
        <v>874</v>
      </c>
      <c r="E388" s="35" t="str">
        <f>_xlfn.XLOOKUP(Tabella4[[#This Row],[NOME]],'ROSE SQUADRE'!$N$3:$N$253,'ROSE SQUADRE'!$O$3:$O$253,"")</f>
        <v/>
      </c>
      <c r="F388" s="36" t="s">
        <v>162</v>
      </c>
      <c r="G388" s="43">
        <v>3</v>
      </c>
      <c r="H388" s="43">
        <v>3</v>
      </c>
      <c r="I388" s="44">
        <f t="shared" si="31"/>
        <v>0</v>
      </c>
      <c r="J388" s="37">
        <f t="shared" si="32"/>
        <v>0</v>
      </c>
      <c r="K388" s="38">
        <f t="shared" si="33"/>
        <v>0</v>
      </c>
      <c r="L388" s="38">
        <f t="shared" si="34"/>
        <v>0</v>
      </c>
      <c r="M388" s="39">
        <f t="shared" si="35"/>
        <v>0</v>
      </c>
      <c r="N388" s="45">
        <f t="shared" ca="1" si="36"/>
        <v>0</v>
      </c>
      <c r="O388" s="40">
        <f>SUMIF(Tabella1[Nome],Tabella4[[#This Row],[NOME]],Tabella1[Gf])</f>
        <v>0</v>
      </c>
      <c r="P388" s="40">
        <f>-(SUMIF(Tabella1[Nome],Tabella4[[#This Row],[NOME]],Tabella1[Gs]))</f>
        <v>0</v>
      </c>
      <c r="Q388" s="40">
        <f>SUMIF(Tabella1[Nome],Tabella4[[#This Row],[NOME]],Tabella1[Rp])</f>
        <v>0</v>
      </c>
      <c r="R388" s="40">
        <f>SUMIF(Tabella1[Nome],Tabella4[[#This Row],[NOME]],Tabella1[Rs])</f>
        <v>0</v>
      </c>
      <c r="S388" s="40">
        <f>SUMIF(Tabella1[Nome],Tabella4[[#This Row],[NOME]],Tabella1[Rf])</f>
        <v>0</v>
      </c>
      <c r="T388" s="40">
        <f>SUMIF(Tabella1[Nome],Tabella4[[#This Row],[NOME]],Tabella1[Au])</f>
        <v>0</v>
      </c>
      <c r="U388" s="41">
        <f>SUMIF(Tabella1[Nome],Tabella4[[#This Row],[NOME]],Tabella1[Amm])</f>
        <v>0</v>
      </c>
      <c r="V388" s="42">
        <f>SUMIF(Tabella1[Nome],Tabella4[[#This Row],[NOME]],Tabella1[Esp])</f>
        <v>0</v>
      </c>
      <c r="W388" s="40">
        <f>SUMIF(Tabella1[Nome],Tabella4[[#This Row],[NOME]],Tabella1[Ass])</f>
        <v>0</v>
      </c>
      <c r="X388" s="40">
        <f>SUMIF(Tabella1[Nome],Tabella4[[#This Row],[NOME]],Tabella1[Gdv])</f>
        <v>0</v>
      </c>
      <c r="Y388" s="40">
        <f>SUMIF(Tabella1[Nome],Tabella4[[#This Row],[NOME]],Tabella1[cl sh])</f>
        <v>0</v>
      </c>
      <c r="Z388" s="270" t="str">
        <f>_xlfn.IFNA(_xlfn.XLOOKUP(CONCATENATE(Z$4,$C388),Tabella1[CONC X VOTI IN TAB GIOC],Tabella1[Voto],""),"")</f>
        <v/>
      </c>
      <c r="AA388" s="270" t="str">
        <f>_xlfn.IFNA(_xlfn.XLOOKUP(CONCATENATE(AA$4,$C388),Tabella1[CONC X VOTI IN TAB GIOC],Tabella1[Voto],""),"")</f>
        <v/>
      </c>
      <c r="AB388" s="270" t="str">
        <f>_xlfn.IFNA(_xlfn.XLOOKUP(CONCATENATE(AB$4,$C388),Tabella1[CONC X VOTI IN TAB GIOC],Tabella1[Voto]),"")</f>
        <v/>
      </c>
      <c r="AC388" s="270" t="str" cm="1">
        <f t="array" ref="AC388">_xlfn.IFNA(_xlfn.XLOOKUP(CONCATENATE(AC$4,$C388),INDEX(Tabella1[],0,MATCH("CONC X VOTI IN TAB GIOC",Tabella1[#Headers],0)),INDEX(Tabella1[],0,MATCH("Voto",Tabella1[#Headers],0))),"")</f>
        <v/>
      </c>
      <c r="AD388" s="270" t="str">
        <f>_xlfn.IFNA(_xlfn.XLOOKUP(CONCATENATE(AD$4,$C388),Tabella1[CONC X VOTI IN TAB GIOC],Tabella1[Voto]),"")</f>
        <v/>
      </c>
      <c r="AE388" s="270" t="str">
        <f>_xlfn.IFNA(VLOOKUP(CONCATENATE(AE$4,$C388),'INSER DATA'!$A:$F,6,0),"")</f>
        <v/>
      </c>
      <c r="AF388" s="270" t="str">
        <f>_xlfn.IFNA(VLOOKUP(CONCATENATE(AF$4,$C388),'INSER DATA'!$A:$F,6,0),"")</f>
        <v/>
      </c>
      <c r="AG388" s="270" t="str">
        <f>_xlfn.IFNA(VLOOKUP(CONCATENATE(AG$4,$C388),'INSER DATA'!$A:$F,6,0),"")</f>
        <v/>
      </c>
      <c r="AH388" s="270" t="str">
        <f>_xlfn.IFNA(VLOOKUP(CONCATENATE(AH$4,$C388),'INSER DATA'!$A:$F,7,0),"")</f>
        <v/>
      </c>
      <c r="AI388" s="270" t="str">
        <f>_xlfn.IFNA(VLOOKUP(CONCATENATE(AI$4,$C388),'INSER DATA'!$A:$F,7,0),"")</f>
        <v/>
      </c>
      <c r="AJ388" s="270" t="str">
        <f>_xlfn.IFNA(VLOOKUP(CONCATENATE(AJ$4,$C388),'INSER DATA'!$A:$F,7,0),"")</f>
        <v/>
      </c>
      <c r="AK388" s="270" t="str">
        <f>_xlfn.IFNA(VLOOKUP(CONCATENATE(AK$4,$C388),'INSER DATA'!$A:$F,7,0),"")</f>
        <v/>
      </c>
      <c r="AL388" s="270" t="str">
        <f>_xlfn.IFNA(VLOOKUP(CONCATENATE(AL$4,$C388),'INSER DATA'!$A:$F,7,0),"")</f>
        <v/>
      </c>
      <c r="AM388" s="270" t="str">
        <f>_xlfn.IFNA(VLOOKUP(CONCATENATE(AM$4,$C388),'INSER DATA'!$A:$F,7,0),"")</f>
        <v/>
      </c>
      <c r="AN388" s="270" t="str">
        <f>_xlfn.IFNA(VLOOKUP(CONCATENATE(AN$4,$C388),'INSER DATA'!$A:$F,7,0),"")</f>
        <v/>
      </c>
      <c r="AO388" s="270" t="str">
        <f>_xlfn.IFNA(VLOOKUP(CONCATENATE(AO$4,$C388),'INSER DATA'!$A:$F,7,0),"")</f>
        <v/>
      </c>
      <c r="AP388" s="270" t="str">
        <f>_xlfn.IFNA(VLOOKUP(CONCATENATE(AP$4,$C388),'INSER DATA'!$A:$F,7,0),"")</f>
        <v/>
      </c>
      <c r="AQ388" s="270" t="str">
        <f>_xlfn.IFNA(VLOOKUP(CONCATENATE(AQ$4,$C388),'INSER DATA'!$A:$F,7,0),"")</f>
        <v/>
      </c>
      <c r="AR388" s="270" t="str">
        <f>_xlfn.IFNA(VLOOKUP(CONCATENATE(AR$4,$C388),'INSER DATA'!$A:$F,7,0),"")</f>
        <v/>
      </c>
      <c r="AS388" s="270" t="str">
        <f>_xlfn.IFNA(VLOOKUP(CONCATENATE(AS$4,$C388),'INSER DATA'!$A:$F,7,0),"")</f>
        <v/>
      </c>
      <c r="AT388" s="270" t="str">
        <f>_xlfn.IFNA(VLOOKUP(CONCATENATE(AT$4,$C388),'INSER DATA'!$A:$F,7,0),"")</f>
        <v/>
      </c>
      <c r="AU388" s="270" t="str">
        <f>_xlfn.IFNA(VLOOKUP(CONCATENATE(AU$4,$C388),'INSER DATA'!$A:$F,7,0),"")</f>
        <v/>
      </c>
      <c r="AV388" s="270" t="str">
        <f>_xlfn.IFNA(VLOOKUP(CONCATENATE(AV$4,$C388),'INSER DATA'!$A:$F,7,0),"")</f>
        <v/>
      </c>
      <c r="AW388" s="270" t="str">
        <f>_xlfn.IFNA(VLOOKUP(CONCATENATE(AW$4,$C388),'INSER DATA'!$A:$F,7,0),"")</f>
        <v/>
      </c>
      <c r="AX388" s="270" t="str">
        <f>_xlfn.IFNA(VLOOKUP(CONCATENATE(AX$4,$C388),'INSER DATA'!$A:$F,7,0),"")</f>
        <v/>
      </c>
      <c r="AY388" s="270" t="str">
        <f>_xlfn.IFNA(VLOOKUP(CONCATENATE(AY$4,$C388),'INSER DATA'!$A:$F,7,0),"")</f>
        <v/>
      </c>
      <c r="AZ388" s="270" t="str">
        <f>_xlfn.IFNA(VLOOKUP(CONCATENATE(AZ$4,$C388),'INSER DATA'!$A:$F,7,0),"")</f>
        <v/>
      </c>
      <c r="BA388" s="270" t="str">
        <f>_xlfn.IFNA(VLOOKUP(CONCATENATE(BA$4,$C388),'INSER DATA'!$A:$F,7,0),"")</f>
        <v/>
      </c>
      <c r="BB388" s="270" t="str">
        <f>_xlfn.IFNA(VLOOKUP(CONCATENATE(BB$4,$C388),'INSER DATA'!$A:$F,7,0),"")</f>
        <v/>
      </c>
      <c r="BC388" s="270" t="str">
        <f>_xlfn.IFNA(VLOOKUP(CONCATENATE(BC$4,$C388),'INSER DATA'!$A:$F,7,0),"")</f>
        <v/>
      </c>
      <c r="BD388" s="270" t="str">
        <f>_xlfn.IFNA(VLOOKUP(CONCATENATE(BD$4,$C388),'INSER DATA'!$A:$F,7,0),"")</f>
        <v/>
      </c>
      <c r="BE388" s="270" t="str">
        <f>_xlfn.IFNA(VLOOKUP(CONCATENATE(BE$4,$C388),'INSER DATA'!$A:$F,7,0),"")</f>
        <v/>
      </c>
      <c r="BF388" s="270" t="str">
        <f>_xlfn.IFNA(VLOOKUP(CONCATENATE(BF$4,$C388),'INSER DATA'!$A:$F,7,0),"")</f>
        <v/>
      </c>
      <c r="BG388" s="270" t="str">
        <f>_xlfn.IFNA(VLOOKUP(CONCATENATE(BG$4,$C388),'INSER DATA'!$A:$F,7,0),"")</f>
        <v/>
      </c>
      <c r="BH388" s="270" t="str">
        <f>_xlfn.IFNA(VLOOKUP(CONCATENATE(BH$4,$C388),'INSER DATA'!$A:$F,7,0),"")</f>
        <v/>
      </c>
      <c r="BI388" s="270" t="str">
        <f>_xlfn.IFNA(VLOOKUP(CONCATENATE(BI$4,$C388),'INSER DATA'!$A:$F,7,0),"")</f>
        <v/>
      </c>
      <c r="BJ388" s="270" t="str">
        <f>_xlfn.IFNA(VLOOKUP(CONCATENATE(BJ$4,$C388),'INSER DATA'!$A:$F,7,0),"")</f>
        <v/>
      </c>
      <c r="BK388" s="270" t="str">
        <f>_xlfn.IFNA(VLOOKUP(CONCATENATE(BK$4,$C388),'INSER DATA'!$A:$F,7,0),"")</f>
        <v/>
      </c>
      <c r="BL388" s="272"/>
      <c r="BM388" s="30"/>
      <c r="BN388" s="30"/>
      <c r="BO388" s="30"/>
      <c r="BP388" s="30"/>
      <c r="BQ388" s="30"/>
      <c r="BR388" s="30"/>
      <c r="BS388" s="30"/>
      <c r="BT388" s="30"/>
      <c r="BU388" s="30"/>
      <c r="BV388" s="30"/>
      <c r="BW388" s="30"/>
      <c r="BX388" s="30"/>
      <c r="BY388" s="30"/>
      <c r="BZ388" s="30"/>
      <c r="CA388" s="30"/>
      <c r="CB388" s="30"/>
      <c r="CC388" s="30"/>
      <c r="CD388" s="30"/>
      <c r="CE388" s="30"/>
      <c r="CF388" s="30"/>
      <c r="CG388" s="30"/>
      <c r="CH388" s="30"/>
      <c r="CI388" s="30"/>
      <c r="CJ388" s="30"/>
      <c r="CK388" s="30"/>
      <c r="CL388" s="30"/>
      <c r="CM388" s="30"/>
      <c r="CN388" s="30"/>
      <c r="CO388" s="30"/>
      <c r="CP388" s="30"/>
      <c r="CQ388" s="30"/>
      <c r="CR388" s="30"/>
      <c r="CS388" s="30"/>
      <c r="CT388" s="30"/>
      <c r="CU388" s="30"/>
      <c r="CV388" s="30"/>
      <c r="CW388" s="30"/>
      <c r="CX388" s="30"/>
      <c r="CY388" s="30"/>
      <c r="CZ388" s="30"/>
      <c r="DA388" s="30"/>
    </row>
    <row r="389" spans="1:105" ht="19.2" thickTop="1" thickBot="1" x14ac:dyDescent="0.4">
      <c r="A389" s="30"/>
      <c r="B389" s="30"/>
      <c r="C389" s="188" t="s">
        <v>887</v>
      </c>
      <c r="D389" s="187" t="s">
        <v>874</v>
      </c>
      <c r="E389" s="35" t="str">
        <f>_xlfn.XLOOKUP(Tabella4[[#This Row],[NOME]],'ROSE SQUADRE'!$N$3:$N$253,'ROSE SQUADRE'!$O$3:$O$253,"")</f>
        <v/>
      </c>
      <c r="F389" s="36" t="s">
        <v>163</v>
      </c>
      <c r="G389" s="43">
        <v>1</v>
      </c>
      <c r="H389" s="43">
        <v>1</v>
      </c>
      <c r="I389" s="44">
        <f t="shared" ref="I389:I452" si="37">SUM(H389-G389)</f>
        <v>0</v>
      </c>
      <c r="J389" s="37">
        <f t="shared" ref="J389:J452" si="38">COUNT(Z389:CJ389)</f>
        <v>0</v>
      </c>
      <c r="K389" s="178">
        <f t="shared" ref="K389:K452" si="39">IF(J389=0,0,AVERAGE(Z389:CJ389))</f>
        <v>0</v>
      </c>
      <c r="L389" s="178">
        <f t="shared" ref="L389:L452" si="40">IF(J389=0,0,M389/J389)</f>
        <v>0</v>
      </c>
      <c r="M389" s="179">
        <f t="shared" ref="M389:M452" si="41">SUM(Z389:CJ389)+(O389*3)+P389+(Q389*3)-(R389*3)-(T389*2)-(U389/2)-V389+W389+X389+Y389</f>
        <v>0</v>
      </c>
      <c r="N389" s="45">
        <f t="shared" ca="1" si="36"/>
        <v>0</v>
      </c>
      <c r="O389" s="40">
        <f>SUMIF(Tabella1[Nome],Tabella4[[#This Row],[NOME]],Tabella1[Gf])</f>
        <v>0</v>
      </c>
      <c r="P389" s="40">
        <f>-(SUMIF(Tabella1[Nome],Tabella4[[#This Row],[NOME]],Tabella1[Gs]))</f>
        <v>0</v>
      </c>
      <c r="Q389" s="40">
        <f>SUMIF(Tabella1[Nome],Tabella4[[#This Row],[NOME]],Tabella1[Rp])</f>
        <v>0</v>
      </c>
      <c r="R389" s="40">
        <f>SUMIF(Tabella1[Nome],Tabella4[[#This Row],[NOME]],Tabella1[Rs])</f>
        <v>0</v>
      </c>
      <c r="S389" s="40">
        <f>SUMIF(Tabella1[Nome],Tabella4[[#This Row],[NOME]],Tabella1[Rf])</f>
        <v>0</v>
      </c>
      <c r="T389" s="40">
        <f>SUMIF(Tabella1[Nome],Tabella4[[#This Row],[NOME]],Tabella1[Au])</f>
        <v>0</v>
      </c>
      <c r="U389" s="41">
        <f>SUMIF(Tabella1[Nome],Tabella4[[#This Row],[NOME]],Tabella1[Amm])</f>
        <v>0</v>
      </c>
      <c r="V389" s="42">
        <f>SUMIF(Tabella1[Nome],Tabella4[[#This Row],[NOME]],Tabella1[Esp])</f>
        <v>0</v>
      </c>
      <c r="W389" s="40">
        <f>SUMIF(Tabella1[Nome],Tabella4[[#This Row],[NOME]],Tabella1[Ass])</f>
        <v>0</v>
      </c>
      <c r="X389" s="40">
        <f>SUMIF(Tabella1[Nome],Tabella4[[#This Row],[NOME]],Tabella1[Gdv])</f>
        <v>0</v>
      </c>
      <c r="Y389" s="40">
        <f>SUMIF(Tabella1[Nome],Tabella4[[#This Row],[NOME]],Tabella1[cl sh])</f>
        <v>0</v>
      </c>
      <c r="Z389" s="270" t="str">
        <f>_xlfn.IFNA(_xlfn.XLOOKUP(CONCATENATE(Z$4,$C389),Tabella1[CONC X VOTI IN TAB GIOC],Tabella1[Voto],""),"")</f>
        <v/>
      </c>
      <c r="AA389" s="270" t="str">
        <f>_xlfn.IFNA(_xlfn.XLOOKUP(CONCATENATE(AA$4,$C389),Tabella1[CONC X VOTI IN TAB GIOC],Tabella1[Voto],""),"")</f>
        <v/>
      </c>
      <c r="AB389" s="270" t="str">
        <f>_xlfn.IFNA(_xlfn.XLOOKUP(CONCATENATE(AB$4,$C389),Tabella1[CONC X VOTI IN TAB GIOC],Tabella1[Voto]),"")</f>
        <v/>
      </c>
      <c r="AC389" s="270" t="str" cm="1">
        <f t="array" ref="AC389">_xlfn.IFNA(_xlfn.XLOOKUP(CONCATENATE(AC$4,$C389),INDEX(Tabella1[],0,MATCH("CONC X VOTI IN TAB GIOC",Tabella1[#Headers],0)),INDEX(Tabella1[],0,MATCH("Voto",Tabella1[#Headers],0))),"")</f>
        <v/>
      </c>
      <c r="AD389" s="270" t="str">
        <f>_xlfn.IFNA(_xlfn.XLOOKUP(CONCATENATE(AD$4,$C389),Tabella1[CONC X VOTI IN TAB GIOC],Tabella1[Voto]),"")</f>
        <v/>
      </c>
      <c r="AE389" s="270" t="str">
        <f>_xlfn.IFNA(VLOOKUP(CONCATENATE(AE$4,$C389),'INSER DATA'!$A:$F,6,0),"")</f>
        <v/>
      </c>
      <c r="AF389" s="270" t="str">
        <f>_xlfn.IFNA(VLOOKUP(CONCATENATE(AF$4,$C389),'INSER DATA'!$A:$F,6,0),"")</f>
        <v/>
      </c>
      <c r="AG389" s="270" t="str">
        <f>_xlfn.IFNA(VLOOKUP(CONCATENATE(AG$4,$C389),'INSER DATA'!$A:$F,6,0),"")</f>
        <v/>
      </c>
      <c r="AH389" s="270" t="str">
        <f>_xlfn.IFNA(VLOOKUP(CONCATENATE(AH$4,$C389),'INSER DATA'!$A:$F,7,0),"")</f>
        <v/>
      </c>
      <c r="AI389" s="270" t="str">
        <f>_xlfn.IFNA(VLOOKUP(CONCATENATE(AI$4,$C389),'INSER DATA'!$A:$F,7,0),"")</f>
        <v/>
      </c>
      <c r="AJ389" s="270" t="str">
        <f>_xlfn.IFNA(VLOOKUP(CONCATENATE(AJ$4,$C389),'INSER DATA'!$A:$F,7,0),"")</f>
        <v/>
      </c>
      <c r="AK389" s="270" t="str">
        <f>_xlfn.IFNA(VLOOKUP(CONCATENATE(AK$4,$C389),'INSER DATA'!$A:$F,7,0),"")</f>
        <v/>
      </c>
      <c r="AL389" s="270" t="str">
        <f>_xlfn.IFNA(VLOOKUP(CONCATENATE(AL$4,$C389),'INSER DATA'!$A:$F,7,0),"")</f>
        <v/>
      </c>
      <c r="AM389" s="270" t="str">
        <f>_xlfn.IFNA(VLOOKUP(CONCATENATE(AM$4,$C389),'INSER DATA'!$A:$F,7,0),"")</f>
        <v/>
      </c>
      <c r="AN389" s="270" t="str">
        <f>_xlfn.IFNA(VLOOKUP(CONCATENATE(AN$4,$C389),'INSER DATA'!$A:$F,7,0),"")</f>
        <v/>
      </c>
      <c r="AO389" s="270" t="str">
        <f>_xlfn.IFNA(VLOOKUP(CONCATENATE(AO$4,$C389),'INSER DATA'!$A:$F,7,0),"")</f>
        <v/>
      </c>
      <c r="AP389" s="270" t="str">
        <f>_xlfn.IFNA(VLOOKUP(CONCATENATE(AP$4,$C389),'INSER DATA'!$A:$F,7,0),"")</f>
        <v/>
      </c>
      <c r="AQ389" s="270" t="str">
        <f>_xlfn.IFNA(VLOOKUP(CONCATENATE(AQ$4,$C389),'INSER DATA'!$A:$F,7,0),"")</f>
        <v/>
      </c>
      <c r="AR389" s="270" t="str">
        <f>_xlfn.IFNA(VLOOKUP(CONCATENATE(AR$4,$C389),'INSER DATA'!$A:$F,7,0),"")</f>
        <v/>
      </c>
      <c r="AS389" s="270" t="str">
        <f>_xlfn.IFNA(VLOOKUP(CONCATENATE(AS$4,$C389),'INSER DATA'!$A:$F,7,0),"")</f>
        <v/>
      </c>
      <c r="AT389" s="270" t="str">
        <f>_xlfn.IFNA(VLOOKUP(CONCATENATE(AT$4,$C389),'INSER DATA'!$A:$F,7,0),"")</f>
        <v/>
      </c>
      <c r="AU389" s="270" t="str">
        <f>_xlfn.IFNA(VLOOKUP(CONCATENATE(AU$4,$C389),'INSER DATA'!$A:$F,7,0),"")</f>
        <v/>
      </c>
      <c r="AV389" s="270" t="str">
        <f>_xlfn.IFNA(VLOOKUP(CONCATENATE(AV$4,$C389),'INSER DATA'!$A:$F,7,0),"")</f>
        <v/>
      </c>
      <c r="AW389" s="270" t="str">
        <f>_xlfn.IFNA(VLOOKUP(CONCATENATE(AW$4,$C389),'INSER DATA'!$A:$F,7,0),"")</f>
        <v/>
      </c>
      <c r="AX389" s="270" t="str">
        <f>_xlfn.IFNA(VLOOKUP(CONCATENATE(AX$4,$C389),'INSER DATA'!$A:$F,7,0),"")</f>
        <v/>
      </c>
      <c r="AY389" s="270" t="str">
        <f>_xlfn.IFNA(VLOOKUP(CONCATENATE(AY$4,$C389),'INSER DATA'!$A:$F,7,0),"")</f>
        <v/>
      </c>
      <c r="AZ389" s="270" t="str">
        <f>_xlfn.IFNA(VLOOKUP(CONCATENATE(AZ$4,$C389),'INSER DATA'!$A:$F,7,0),"")</f>
        <v/>
      </c>
      <c r="BA389" s="270" t="str">
        <f>_xlfn.IFNA(VLOOKUP(CONCATENATE(BA$4,$C389),'INSER DATA'!$A:$F,7,0),"")</f>
        <v/>
      </c>
      <c r="BB389" s="270" t="str">
        <f>_xlfn.IFNA(VLOOKUP(CONCATENATE(BB$4,$C389),'INSER DATA'!$A:$F,7,0),"")</f>
        <v/>
      </c>
      <c r="BC389" s="270" t="str">
        <f>_xlfn.IFNA(VLOOKUP(CONCATENATE(BC$4,$C389),'INSER DATA'!$A:$F,7,0),"")</f>
        <v/>
      </c>
      <c r="BD389" s="270" t="str">
        <f>_xlfn.IFNA(VLOOKUP(CONCATENATE(BD$4,$C389),'INSER DATA'!$A:$F,7,0),"")</f>
        <v/>
      </c>
      <c r="BE389" s="270" t="str">
        <f>_xlfn.IFNA(VLOOKUP(CONCATENATE(BE$4,$C389),'INSER DATA'!$A:$F,7,0),"")</f>
        <v/>
      </c>
      <c r="BF389" s="270" t="str">
        <f>_xlfn.IFNA(VLOOKUP(CONCATENATE(BF$4,$C389),'INSER DATA'!$A:$F,7,0),"")</f>
        <v/>
      </c>
      <c r="BG389" s="270" t="str">
        <f>_xlfn.IFNA(VLOOKUP(CONCATENATE(BG$4,$C389),'INSER DATA'!$A:$F,7,0),"")</f>
        <v/>
      </c>
      <c r="BH389" s="270" t="str">
        <f>_xlfn.IFNA(VLOOKUP(CONCATENATE(BH$4,$C389),'INSER DATA'!$A:$F,7,0),"")</f>
        <v/>
      </c>
      <c r="BI389" s="270" t="str">
        <f>_xlfn.IFNA(VLOOKUP(CONCATENATE(BI$4,$C389),'INSER DATA'!$A:$F,7,0),"")</f>
        <v/>
      </c>
      <c r="BJ389" s="270" t="str">
        <f>_xlfn.IFNA(VLOOKUP(CONCATENATE(BJ$4,$C389),'INSER DATA'!$A:$F,7,0),"")</f>
        <v/>
      </c>
      <c r="BK389" s="270" t="str">
        <f>_xlfn.IFNA(VLOOKUP(CONCATENATE(BK$4,$C389),'INSER DATA'!$A:$F,7,0),"")</f>
        <v/>
      </c>
      <c r="BL389" s="272"/>
      <c r="BM389" s="30"/>
      <c r="BN389" s="30"/>
      <c r="BO389" s="30"/>
      <c r="BP389" s="30"/>
      <c r="BQ389" s="30"/>
      <c r="BR389" s="30"/>
      <c r="BS389" s="30"/>
      <c r="BT389" s="30"/>
      <c r="BU389" s="30"/>
      <c r="BV389" s="30"/>
      <c r="BW389" s="30"/>
      <c r="BX389" s="30"/>
      <c r="BY389" s="30"/>
      <c r="BZ389" s="30"/>
      <c r="CA389" s="30"/>
      <c r="CB389" s="30"/>
      <c r="CC389" s="30"/>
      <c r="CD389" s="30"/>
      <c r="CE389" s="30"/>
      <c r="CF389" s="30"/>
      <c r="CG389" s="30"/>
      <c r="CH389" s="30"/>
      <c r="CI389" s="30"/>
      <c r="CJ389" s="30"/>
      <c r="CK389" s="30"/>
      <c r="CL389" s="30"/>
      <c r="CM389" s="30"/>
      <c r="CN389" s="30"/>
      <c r="CO389" s="30"/>
      <c r="CP389" s="30"/>
      <c r="CQ389" s="30"/>
      <c r="CR389" s="30"/>
      <c r="CS389" s="30"/>
      <c r="CT389" s="30"/>
      <c r="CU389" s="30"/>
      <c r="CV389" s="30"/>
      <c r="CW389" s="30"/>
      <c r="CX389" s="30"/>
      <c r="CY389" s="30"/>
      <c r="CZ389" s="30"/>
      <c r="DA389" s="30"/>
    </row>
    <row r="390" spans="1:105" ht="19.2" thickTop="1" thickBot="1" x14ac:dyDescent="0.4">
      <c r="A390" s="30"/>
      <c r="B390" s="30"/>
      <c r="C390" s="185" t="s">
        <v>889</v>
      </c>
      <c r="D390" s="46" t="s">
        <v>874</v>
      </c>
      <c r="E390" s="35" t="str">
        <f>_xlfn.XLOOKUP(Tabella4[[#This Row],[NOME]],'ROSE SQUADRE'!$N$3:$N$253,'ROSE SQUADRE'!$O$3:$O$253,"")</f>
        <v/>
      </c>
      <c r="F390" s="36" t="s">
        <v>163</v>
      </c>
      <c r="G390" s="43">
        <v>5</v>
      </c>
      <c r="H390" s="43">
        <v>5</v>
      </c>
      <c r="I390" s="44">
        <f t="shared" si="37"/>
        <v>0</v>
      </c>
      <c r="J390" s="37">
        <f t="shared" si="38"/>
        <v>2</v>
      </c>
      <c r="K390" s="178">
        <f t="shared" si="39"/>
        <v>5.5</v>
      </c>
      <c r="L390" s="178">
        <f t="shared" si="40"/>
        <v>5.5</v>
      </c>
      <c r="M390" s="179">
        <f t="shared" si="41"/>
        <v>11</v>
      </c>
      <c r="N390" s="45">
        <f t="shared" ca="1" si="36"/>
        <v>0</v>
      </c>
      <c r="O390" s="40">
        <f>SUMIF(Tabella1[Nome],Tabella4[[#This Row],[NOME]],Tabella1[Gf])</f>
        <v>0</v>
      </c>
      <c r="P390" s="40">
        <f>-(SUMIF(Tabella1[Nome],Tabella4[[#This Row],[NOME]],Tabella1[Gs]))</f>
        <v>0</v>
      </c>
      <c r="Q390" s="40">
        <f>SUMIF(Tabella1[Nome],Tabella4[[#This Row],[NOME]],Tabella1[Rp])</f>
        <v>0</v>
      </c>
      <c r="R390" s="40">
        <f>SUMIF(Tabella1[Nome],Tabella4[[#This Row],[NOME]],Tabella1[Rs])</f>
        <v>0</v>
      </c>
      <c r="S390" s="40">
        <f>SUMIF(Tabella1[Nome],Tabella4[[#This Row],[NOME]],Tabella1[Rf])</f>
        <v>0</v>
      </c>
      <c r="T390" s="40">
        <f>SUMIF(Tabella1[Nome],Tabella4[[#This Row],[NOME]],Tabella1[Au])</f>
        <v>0</v>
      </c>
      <c r="U390" s="41">
        <f>SUMIF(Tabella1[Nome],Tabella4[[#This Row],[NOME]],Tabella1[Amm])</f>
        <v>0</v>
      </c>
      <c r="V390" s="42">
        <f>SUMIF(Tabella1[Nome],Tabella4[[#This Row],[NOME]],Tabella1[Esp])</f>
        <v>0</v>
      </c>
      <c r="W390" s="40">
        <f>SUMIF(Tabella1[Nome],Tabella4[[#This Row],[NOME]],Tabella1[Ass])</f>
        <v>0</v>
      </c>
      <c r="X390" s="40">
        <f>SUMIF(Tabella1[Nome],Tabella4[[#This Row],[NOME]],Tabella1[Gdv])</f>
        <v>0</v>
      </c>
      <c r="Y390" s="40">
        <f>SUMIF(Tabella1[Nome],Tabella4[[#This Row],[NOME]],Tabella1[cl sh])</f>
        <v>0</v>
      </c>
      <c r="Z390" s="270" t="str">
        <f>_xlfn.IFNA(_xlfn.XLOOKUP(CONCATENATE(Z$4,$C390),Tabella1[CONC X VOTI IN TAB GIOC],Tabella1[Voto],""),"")</f>
        <v/>
      </c>
      <c r="AA390" s="270" t="str">
        <f>_xlfn.IFNA(_xlfn.XLOOKUP(CONCATENATE(AA$4,$C390),Tabella1[CONC X VOTI IN TAB GIOC],Tabella1[Voto],""),"")</f>
        <v/>
      </c>
      <c r="AB390" s="270">
        <f>_xlfn.IFNA(_xlfn.XLOOKUP(CONCATENATE(AB$4,$C390),Tabella1[CONC X VOTI IN TAB GIOC],Tabella1[Voto]),"")</f>
        <v>5.5</v>
      </c>
      <c r="AC390" s="270" cm="1">
        <f t="array" ref="AC390">_xlfn.IFNA(_xlfn.XLOOKUP(CONCATENATE(AC$4,$C390),INDEX(Tabella1[],0,MATCH("CONC X VOTI IN TAB GIOC",Tabella1[#Headers],0)),INDEX(Tabella1[],0,MATCH("Voto",Tabella1[#Headers],0))),"")</f>
        <v>5.5</v>
      </c>
      <c r="AD390" s="270" t="str">
        <f>_xlfn.IFNA(_xlfn.XLOOKUP(CONCATENATE(AD$4,$C390),Tabella1[CONC X VOTI IN TAB GIOC],Tabella1[Voto]),"")</f>
        <v/>
      </c>
      <c r="AE390" s="270" t="str">
        <f>_xlfn.IFNA(VLOOKUP(CONCATENATE(AE$4,$C390),'INSER DATA'!$A:$F,6,0),"")</f>
        <v/>
      </c>
      <c r="AF390" s="270" t="str">
        <f>_xlfn.IFNA(VLOOKUP(CONCATENATE(AF$4,$C390),'INSER DATA'!$A:$F,6,0),"")</f>
        <v/>
      </c>
      <c r="AG390" s="270" t="str">
        <f>_xlfn.IFNA(VLOOKUP(CONCATENATE(AG$4,$C390),'INSER DATA'!$A:$F,6,0),"")</f>
        <v/>
      </c>
      <c r="AH390" s="270" t="str">
        <f>_xlfn.IFNA(VLOOKUP(CONCATENATE(AH$4,$C390),'INSER DATA'!$A:$F,7,0),"")</f>
        <v/>
      </c>
      <c r="AI390" s="270" t="str">
        <f>_xlfn.IFNA(VLOOKUP(CONCATENATE(AI$4,$C390),'INSER DATA'!$A:$F,7,0),"")</f>
        <v/>
      </c>
      <c r="AJ390" s="270" t="str">
        <f>_xlfn.IFNA(VLOOKUP(CONCATENATE(AJ$4,$C390),'INSER DATA'!$A:$F,7,0),"")</f>
        <v/>
      </c>
      <c r="AK390" s="270" t="str">
        <f>_xlfn.IFNA(VLOOKUP(CONCATENATE(AK$4,$C390),'INSER DATA'!$A:$F,7,0),"")</f>
        <v/>
      </c>
      <c r="AL390" s="270" t="str">
        <f>_xlfn.IFNA(VLOOKUP(CONCATENATE(AL$4,$C390),'INSER DATA'!$A:$F,7,0),"")</f>
        <v/>
      </c>
      <c r="AM390" s="270" t="str">
        <f>_xlfn.IFNA(VLOOKUP(CONCATENATE(AM$4,$C390),'INSER DATA'!$A:$F,7,0),"")</f>
        <v/>
      </c>
      <c r="AN390" s="270" t="str">
        <f>_xlfn.IFNA(VLOOKUP(CONCATENATE(AN$4,$C390),'INSER DATA'!$A:$F,7,0),"")</f>
        <v/>
      </c>
      <c r="AO390" s="270" t="str">
        <f>_xlfn.IFNA(VLOOKUP(CONCATENATE(AO$4,$C390),'INSER DATA'!$A:$F,7,0),"")</f>
        <v/>
      </c>
      <c r="AP390" s="270" t="str">
        <f>_xlfn.IFNA(VLOOKUP(CONCATENATE(AP$4,$C390),'INSER DATA'!$A:$F,7,0),"")</f>
        <v/>
      </c>
      <c r="AQ390" s="270" t="str">
        <f>_xlfn.IFNA(VLOOKUP(CONCATENATE(AQ$4,$C390),'INSER DATA'!$A:$F,7,0),"")</f>
        <v/>
      </c>
      <c r="AR390" s="270" t="str">
        <f>_xlfn.IFNA(VLOOKUP(CONCATENATE(AR$4,$C390),'INSER DATA'!$A:$F,7,0),"")</f>
        <v/>
      </c>
      <c r="AS390" s="270" t="str">
        <f>_xlfn.IFNA(VLOOKUP(CONCATENATE(AS$4,$C390),'INSER DATA'!$A:$F,7,0),"")</f>
        <v/>
      </c>
      <c r="AT390" s="270" t="str">
        <f>_xlfn.IFNA(VLOOKUP(CONCATENATE(AT$4,$C390),'INSER DATA'!$A:$F,7,0),"")</f>
        <v/>
      </c>
      <c r="AU390" s="270" t="str">
        <f>_xlfn.IFNA(VLOOKUP(CONCATENATE(AU$4,$C390),'INSER DATA'!$A:$F,7,0),"")</f>
        <v/>
      </c>
      <c r="AV390" s="270" t="str">
        <f>_xlfn.IFNA(VLOOKUP(CONCATENATE(AV$4,$C390),'INSER DATA'!$A:$F,7,0),"")</f>
        <v/>
      </c>
      <c r="AW390" s="270" t="str">
        <f>_xlfn.IFNA(VLOOKUP(CONCATENATE(AW$4,$C390),'INSER DATA'!$A:$F,7,0),"")</f>
        <v/>
      </c>
      <c r="AX390" s="270" t="str">
        <f>_xlfn.IFNA(VLOOKUP(CONCATENATE(AX$4,$C390),'INSER DATA'!$A:$F,7,0),"")</f>
        <v/>
      </c>
      <c r="AY390" s="270" t="str">
        <f>_xlfn.IFNA(VLOOKUP(CONCATENATE(AY$4,$C390),'INSER DATA'!$A:$F,7,0),"")</f>
        <v/>
      </c>
      <c r="AZ390" s="270" t="str">
        <f>_xlfn.IFNA(VLOOKUP(CONCATENATE(AZ$4,$C390),'INSER DATA'!$A:$F,7,0),"")</f>
        <v/>
      </c>
      <c r="BA390" s="270" t="str">
        <f>_xlfn.IFNA(VLOOKUP(CONCATENATE(BA$4,$C390),'INSER DATA'!$A:$F,7,0),"")</f>
        <v/>
      </c>
      <c r="BB390" s="270" t="str">
        <f>_xlfn.IFNA(VLOOKUP(CONCATENATE(BB$4,$C390),'INSER DATA'!$A:$F,7,0),"")</f>
        <v/>
      </c>
      <c r="BC390" s="270" t="str">
        <f>_xlfn.IFNA(VLOOKUP(CONCATENATE(BC$4,$C390),'INSER DATA'!$A:$F,7,0),"")</f>
        <v/>
      </c>
      <c r="BD390" s="270" t="str">
        <f>_xlfn.IFNA(VLOOKUP(CONCATENATE(BD$4,$C390),'INSER DATA'!$A:$F,7,0),"")</f>
        <v/>
      </c>
      <c r="BE390" s="270" t="str">
        <f>_xlfn.IFNA(VLOOKUP(CONCATENATE(BE$4,$C390),'INSER DATA'!$A:$F,7,0),"")</f>
        <v/>
      </c>
      <c r="BF390" s="270" t="str">
        <f>_xlfn.IFNA(VLOOKUP(CONCATENATE(BF$4,$C390),'INSER DATA'!$A:$F,7,0),"")</f>
        <v/>
      </c>
      <c r="BG390" s="270" t="str">
        <f>_xlfn.IFNA(VLOOKUP(CONCATENATE(BG$4,$C390),'INSER DATA'!$A:$F,7,0),"")</f>
        <v/>
      </c>
      <c r="BH390" s="270" t="str">
        <f>_xlfn.IFNA(VLOOKUP(CONCATENATE(BH$4,$C390),'INSER DATA'!$A:$F,7,0),"")</f>
        <v/>
      </c>
      <c r="BI390" s="270" t="str">
        <f>_xlfn.IFNA(VLOOKUP(CONCATENATE(BI$4,$C390),'INSER DATA'!$A:$F,7,0),"")</f>
        <v/>
      </c>
      <c r="BJ390" s="270" t="str">
        <f>_xlfn.IFNA(VLOOKUP(CONCATENATE(BJ$4,$C390),'INSER DATA'!$A:$F,7,0),"")</f>
        <v/>
      </c>
      <c r="BK390" s="270" t="str">
        <f>_xlfn.IFNA(VLOOKUP(CONCATENATE(BK$4,$C390),'INSER DATA'!$A:$F,7,0),"")</f>
        <v/>
      </c>
      <c r="BL390" s="272"/>
      <c r="BM390" s="30"/>
      <c r="BN390" s="30"/>
      <c r="BO390" s="30"/>
      <c r="BP390" s="30"/>
      <c r="BQ390" s="30"/>
      <c r="BR390" s="30"/>
      <c r="BS390" s="30"/>
      <c r="BT390" s="30"/>
      <c r="BU390" s="30"/>
      <c r="BV390" s="30"/>
      <c r="BW390" s="30"/>
      <c r="BX390" s="30"/>
      <c r="BY390" s="30"/>
      <c r="BZ390" s="30"/>
      <c r="CA390" s="30"/>
      <c r="CB390" s="30"/>
      <c r="CC390" s="30"/>
      <c r="CD390" s="30"/>
      <c r="CE390" s="30"/>
      <c r="CF390" s="30"/>
      <c r="CG390" s="30"/>
      <c r="CH390" s="30"/>
      <c r="CI390" s="30"/>
      <c r="CJ390" s="30"/>
      <c r="CK390" s="30"/>
      <c r="CL390" s="30"/>
      <c r="CM390" s="30"/>
      <c r="CN390" s="30"/>
      <c r="CO390" s="30"/>
      <c r="CP390" s="30"/>
      <c r="CQ390" s="30"/>
      <c r="CR390" s="30"/>
      <c r="CS390" s="30"/>
      <c r="CT390" s="30"/>
      <c r="CU390" s="30"/>
      <c r="CV390" s="30"/>
      <c r="CW390" s="30"/>
      <c r="CX390" s="30"/>
      <c r="CY390" s="30"/>
      <c r="CZ390" s="30"/>
      <c r="DA390" s="30"/>
    </row>
    <row r="391" spans="1:105" ht="19.2" thickTop="1" thickBot="1" x14ac:dyDescent="0.4">
      <c r="A391" s="30"/>
      <c r="B391" s="30"/>
      <c r="C391" s="354" t="s">
        <v>906</v>
      </c>
      <c r="D391" s="357" t="s">
        <v>894</v>
      </c>
      <c r="E391" s="35" t="str">
        <f>_xlfn.XLOOKUP(Tabella4[[#This Row],[NOME]],'ROSE SQUADRE'!$N$3:$N$253,'ROSE SQUADRE'!$O$3:$O$253,"")</f>
        <v>AC ASPARAGHESE</v>
      </c>
      <c r="F391" s="36" t="s">
        <v>163</v>
      </c>
      <c r="G391" s="43">
        <v>34</v>
      </c>
      <c r="H391" s="43">
        <v>36</v>
      </c>
      <c r="I391" s="44">
        <f t="shared" si="37"/>
        <v>2</v>
      </c>
      <c r="J391" s="37">
        <f t="shared" si="38"/>
        <v>4</v>
      </c>
      <c r="K391" s="178">
        <f t="shared" si="39"/>
        <v>7.375</v>
      </c>
      <c r="L391" s="178">
        <f t="shared" si="40"/>
        <v>12.5</v>
      </c>
      <c r="M391" s="179">
        <f t="shared" si="41"/>
        <v>50</v>
      </c>
      <c r="N391" s="45">
        <f t="shared" ca="1" si="36"/>
        <v>0</v>
      </c>
      <c r="O391" s="40">
        <f>SUMIF(Tabella1[Nome],Tabella4[[#This Row],[NOME]],Tabella1[Gf])</f>
        <v>6</v>
      </c>
      <c r="P391" s="40">
        <f>-(SUMIF(Tabella1[Nome],Tabella4[[#This Row],[NOME]],Tabella1[Gs]))</f>
        <v>0</v>
      </c>
      <c r="Q391" s="40">
        <f>SUMIF(Tabella1[Nome],Tabella4[[#This Row],[NOME]],Tabella1[Rp])</f>
        <v>0</v>
      </c>
      <c r="R391" s="40">
        <f>SUMIF(Tabella1[Nome],Tabella4[[#This Row],[NOME]],Tabella1[Rs])</f>
        <v>0</v>
      </c>
      <c r="S391" s="40">
        <f>SUMIF(Tabella1[Nome],Tabella4[[#This Row],[NOME]],Tabella1[Rf])</f>
        <v>0</v>
      </c>
      <c r="T391" s="40">
        <f>SUMIF(Tabella1[Nome],Tabella4[[#This Row],[NOME]],Tabella1[Au])</f>
        <v>0</v>
      </c>
      <c r="U391" s="41">
        <f>SUMIF(Tabella1[Nome],Tabella4[[#This Row],[NOME]],Tabella1[Amm])</f>
        <v>1</v>
      </c>
      <c r="V391" s="42">
        <f>SUMIF(Tabella1[Nome],Tabella4[[#This Row],[NOME]],Tabella1[Esp])</f>
        <v>0</v>
      </c>
      <c r="W391" s="40">
        <f>SUMIF(Tabella1[Nome],Tabella4[[#This Row],[NOME]],Tabella1[Ass])</f>
        <v>0</v>
      </c>
      <c r="X391" s="40">
        <f>SUMIF(Tabella1[Nome],Tabella4[[#This Row],[NOME]],Tabella1[Gdv])</f>
        <v>3</v>
      </c>
      <c r="Y391" s="40">
        <f>SUMIF(Tabella1[Nome],Tabella4[[#This Row],[NOME]],Tabella1[cl sh])</f>
        <v>0</v>
      </c>
      <c r="Z391" s="270">
        <f>_xlfn.IFNA(_xlfn.XLOOKUP(CONCATENATE(Z$4,$C391),Tabella1[CONC X VOTI IN TAB GIOC],Tabella1[Voto],""),"")</f>
        <v>8.5</v>
      </c>
      <c r="AA391" s="270">
        <f>_xlfn.IFNA(_xlfn.XLOOKUP(CONCATENATE(AA$4,$C391),Tabella1[CONC X VOTI IN TAB GIOC],Tabella1[Voto],""),"")</f>
        <v>8</v>
      </c>
      <c r="AB391" s="270">
        <f>_xlfn.IFNA(_xlfn.XLOOKUP(CONCATENATE(AB$4,$C391),Tabella1[CONC X VOTI IN TAB GIOC],Tabella1[Voto]),"")</f>
        <v>6</v>
      </c>
      <c r="AC391" s="270" cm="1">
        <f t="array" ref="AC391">_xlfn.IFNA(_xlfn.XLOOKUP(CONCATENATE(AC$4,$C391),INDEX(Tabella1[],0,MATCH("CONC X VOTI IN TAB GIOC",Tabella1[#Headers],0)),INDEX(Tabella1[],0,MATCH("Voto",Tabella1[#Headers],0))),"")</f>
        <v>7</v>
      </c>
      <c r="AD391" s="270" t="str">
        <f>_xlfn.IFNA(_xlfn.XLOOKUP(CONCATENATE(AD$4,$C391),Tabella1[CONC X VOTI IN TAB GIOC],Tabella1[Voto]),"")</f>
        <v/>
      </c>
      <c r="AE391" s="270" t="str">
        <f>_xlfn.IFNA(VLOOKUP(CONCATENATE(AE$4,$C391),'INSER DATA'!$A:$F,6,0),"")</f>
        <v/>
      </c>
      <c r="AF391" s="270" t="str">
        <f>_xlfn.IFNA(VLOOKUP(CONCATENATE(AF$4,$C391),'INSER DATA'!$A:$F,6,0),"")</f>
        <v/>
      </c>
      <c r="AG391" s="270" t="str">
        <f>_xlfn.IFNA(VLOOKUP(CONCATENATE(AG$4,$C391),'INSER DATA'!$A:$F,6,0),"")</f>
        <v/>
      </c>
      <c r="AH391" s="270" t="str">
        <f>_xlfn.IFNA(VLOOKUP(CONCATENATE(AH$4,$C391),'INSER DATA'!$A:$F,7,0),"")</f>
        <v/>
      </c>
      <c r="AI391" s="270" t="str">
        <f>_xlfn.IFNA(VLOOKUP(CONCATENATE(AI$4,$C391),'INSER DATA'!$A:$F,7,0),"")</f>
        <v/>
      </c>
      <c r="AJ391" s="270" t="str">
        <f>_xlfn.IFNA(VLOOKUP(CONCATENATE(AJ$4,$C391),'INSER DATA'!$A:$F,7,0),"")</f>
        <v/>
      </c>
      <c r="AK391" s="270" t="str">
        <f>_xlfn.IFNA(VLOOKUP(CONCATENATE(AK$4,$C391),'INSER DATA'!$A:$F,7,0),"")</f>
        <v/>
      </c>
      <c r="AL391" s="270" t="str">
        <f>_xlfn.IFNA(VLOOKUP(CONCATENATE(AL$4,$C391),'INSER DATA'!$A:$F,7,0),"")</f>
        <v/>
      </c>
      <c r="AM391" s="270" t="str">
        <f>_xlfn.IFNA(VLOOKUP(CONCATENATE(AM$4,$C391),'INSER DATA'!$A:$F,7,0),"")</f>
        <v/>
      </c>
      <c r="AN391" s="270" t="str">
        <f>_xlfn.IFNA(VLOOKUP(CONCATENATE(AN$4,$C391),'INSER DATA'!$A:$F,7,0),"")</f>
        <v/>
      </c>
      <c r="AO391" s="270" t="str">
        <f>_xlfn.IFNA(VLOOKUP(CONCATENATE(AO$4,$C391),'INSER DATA'!$A:$F,7,0),"")</f>
        <v/>
      </c>
      <c r="AP391" s="270" t="str">
        <f>_xlfn.IFNA(VLOOKUP(CONCATENATE(AP$4,$C391),'INSER DATA'!$A:$F,7,0),"")</f>
        <v/>
      </c>
      <c r="AQ391" s="270" t="str">
        <f>_xlfn.IFNA(VLOOKUP(CONCATENATE(AQ$4,$C391),'INSER DATA'!$A:$F,7,0),"")</f>
        <v/>
      </c>
      <c r="AR391" s="270" t="str">
        <f>_xlfn.IFNA(VLOOKUP(CONCATENATE(AR$4,$C391),'INSER DATA'!$A:$F,7,0),"")</f>
        <v/>
      </c>
      <c r="AS391" s="270" t="str">
        <f>_xlfn.IFNA(VLOOKUP(CONCATENATE(AS$4,$C391),'INSER DATA'!$A:$F,7,0),"")</f>
        <v/>
      </c>
      <c r="AT391" s="270" t="str">
        <f>_xlfn.IFNA(VLOOKUP(CONCATENATE(AT$4,$C391),'INSER DATA'!$A:$F,7,0),"")</f>
        <v/>
      </c>
      <c r="AU391" s="270" t="str">
        <f>_xlfn.IFNA(VLOOKUP(CONCATENATE(AU$4,$C391),'INSER DATA'!$A:$F,7,0),"")</f>
        <v/>
      </c>
      <c r="AV391" s="270" t="str">
        <f>_xlfn.IFNA(VLOOKUP(CONCATENATE(AV$4,$C391),'INSER DATA'!$A:$F,7,0),"")</f>
        <v/>
      </c>
      <c r="AW391" s="270" t="str">
        <f>_xlfn.IFNA(VLOOKUP(CONCATENATE(AW$4,$C391),'INSER DATA'!$A:$F,7,0),"")</f>
        <v/>
      </c>
      <c r="AX391" s="270" t="str">
        <f>_xlfn.IFNA(VLOOKUP(CONCATENATE(AX$4,$C391),'INSER DATA'!$A:$F,7,0),"")</f>
        <v/>
      </c>
      <c r="AY391" s="270" t="str">
        <f>_xlfn.IFNA(VLOOKUP(CONCATENATE(AY$4,$C391),'INSER DATA'!$A:$F,7,0),"")</f>
        <v/>
      </c>
      <c r="AZ391" s="270" t="str">
        <f>_xlfn.IFNA(VLOOKUP(CONCATENATE(AZ$4,$C391),'INSER DATA'!$A:$F,7,0),"")</f>
        <v/>
      </c>
      <c r="BA391" s="270" t="str">
        <f>_xlfn.IFNA(VLOOKUP(CONCATENATE(BA$4,$C391),'INSER DATA'!$A:$F,7,0),"")</f>
        <v/>
      </c>
      <c r="BB391" s="270" t="str">
        <f>_xlfn.IFNA(VLOOKUP(CONCATENATE(BB$4,$C391),'INSER DATA'!$A:$F,7,0),"")</f>
        <v/>
      </c>
      <c r="BC391" s="270" t="str">
        <f>_xlfn.IFNA(VLOOKUP(CONCATENATE(BC$4,$C391),'INSER DATA'!$A:$F,7,0),"")</f>
        <v/>
      </c>
      <c r="BD391" s="270" t="str">
        <f>_xlfn.IFNA(VLOOKUP(CONCATENATE(BD$4,$C391),'INSER DATA'!$A:$F,7,0),"")</f>
        <v/>
      </c>
      <c r="BE391" s="270" t="str">
        <f>_xlfn.IFNA(VLOOKUP(CONCATENATE(BE$4,$C391),'INSER DATA'!$A:$F,7,0),"")</f>
        <v/>
      </c>
      <c r="BF391" s="270" t="str">
        <f>_xlfn.IFNA(VLOOKUP(CONCATENATE(BF$4,$C391),'INSER DATA'!$A:$F,7,0),"")</f>
        <v/>
      </c>
      <c r="BG391" s="270" t="str">
        <f>_xlfn.IFNA(VLOOKUP(CONCATENATE(BG$4,$C391),'INSER DATA'!$A:$F,7,0),"")</f>
        <v/>
      </c>
      <c r="BH391" s="270" t="str">
        <f>_xlfn.IFNA(VLOOKUP(CONCATENATE(BH$4,$C391),'INSER DATA'!$A:$F,7,0),"")</f>
        <v/>
      </c>
      <c r="BI391" s="270" t="str">
        <f>_xlfn.IFNA(VLOOKUP(CONCATENATE(BI$4,$C391),'INSER DATA'!$A:$F,7,0),"")</f>
        <v/>
      </c>
      <c r="BJ391" s="270" t="str">
        <f>_xlfn.IFNA(VLOOKUP(CONCATENATE(BJ$4,$C391),'INSER DATA'!$A:$F,7,0),"")</f>
        <v/>
      </c>
      <c r="BK391" s="270" t="str">
        <f>_xlfn.IFNA(VLOOKUP(CONCATENATE(BK$4,$C391),'INSER DATA'!$A:$F,7,0),"")</f>
        <v/>
      </c>
      <c r="BL391" s="272"/>
      <c r="BM391" s="30"/>
      <c r="BN391" s="30"/>
      <c r="BO391" s="30"/>
      <c r="BP391" s="30"/>
      <c r="BQ391" s="30"/>
      <c r="BR391" s="30"/>
      <c r="BS391" s="30"/>
      <c r="BT391" s="30"/>
      <c r="BU391" s="30"/>
      <c r="BV391" s="30"/>
      <c r="BW391" s="30"/>
      <c r="BX391" s="30"/>
      <c r="BY391" s="30"/>
      <c r="BZ391" s="30"/>
      <c r="CA391" s="30"/>
      <c r="CB391" s="30"/>
      <c r="CC391" s="30"/>
      <c r="CD391" s="30"/>
      <c r="CE391" s="30"/>
      <c r="CF391" s="30"/>
      <c r="CG391" s="30"/>
      <c r="CH391" s="30"/>
      <c r="CI391" s="30"/>
      <c r="CJ391" s="30"/>
      <c r="CK391" s="30"/>
      <c r="CL391" s="30"/>
      <c r="CM391" s="30"/>
      <c r="CN391" s="30"/>
      <c r="CO391" s="30"/>
      <c r="CP391" s="30"/>
      <c r="CQ391" s="30"/>
      <c r="CR391" s="30"/>
      <c r="CS391" s="30"/>
      <c r="CT391" s="30"/>
      <c r="CU391" s="30"/>
      <c r="CV391" s="30"/>
      <c r="CW391" s="30"/>
      <c r="CX391" s="30"/>
      <c r="CY391" s="30"/>
      <c r="CZ391" s="30"/>
      <c r="DA391" s="30"/>
    </row>
    <row r="392" spans="1:105" ht="19.2" thickTop="1" thickBot="1" x14ac:dyDescent="0.4">
      <c r="A392" s="30"/>
      <c r="B392" s="30"/>
      <c r="C392" s="354" t="s">
        <v>256</v>
      </c>
      <c r="D392" s="357" t="s">
        <v>894</v>
      </c>
      <c r="E392" s="35" t="str">
        <f>_xlfn.XLOOKUP(Tabella4[[#This Row],[NOME]],'ROSE SQUADRE'!$N$3:$N$253,'ROSE SQUADRE'!$O$3:$O$253,"")</f>
        <v>FC INTERNAZIOANALE</v>
      </c>
      <c r="F392" s="36" t="s">
        <v>163</v>
      </c>
      <c r="G392" s="43">
        <v>14</v>
      </c>
      <c r="H392" s="43">
        <v>15</v>
      </c>
      <c r="I392" s="44">
        <f t="shared" si="37"/>
        <v>1</v>
      </c>
      <c r="J392" s="37">
        <f t="shared" si="38"/>
        <v>4</v>
      </c>
      <c r="K392" s="38">
        <f t="shared" si="39"/>
        <v>7.125</v>
      </c>
      <c r="L392" s="38">
        <f t="shared" si="40"/>
        <v>8.125</v>
      </c>
      <c r="M392" s="39">
        <f t="shared" si="41"/>
        <v>32.5</v>
      </c>
      <c r="N392" s="45">
        <f t="shared" ca="1" si="36"/>
        <v>0</v>
      </c>
      <c r="O392" s="40">
        <f>SUMIF(Tabella1[Nome],Tabella4[[#This Row],[NOME]],Tabella1[Gf])</f>
        <v>0</v>
      </c>
      <c r="P392" s="40">
        <f>-(SUMIF(Tabella1[Nome],Tabella4[[#This Row],[NOME]],Tabella1[Gs]))</f>
        <v>0</v>
      </c>
      <c r="Q392" s="40">
        <f>SUMIF(Tabella1[Nome],Tabella4[[#This Row],[NOME]],Tabella1[Rp])</f>
        <v>0</v>
      </c>
      <c r="R392" s="40">
        <f>SUMIF(Tabella1[Nome],Tabella4[[#This Row],[NOME]],Tabella1[Rs])</f>
        <v>0</v>
      </c>
      <c r="S392" s="40">
        <f>SUMIF(Tabella1[Nome],Tabella4[[#This Row],[NOME]],Tabella1[Rf])</f>
        <v>0</v>
      </c>
      <c r="T392" s="40">
        <f>SUMIF(Tabella1[Nome],Tabella4[[#This Row],[NOME]],Tabella1[Au])</f>
        <v>0</v>
      </c>
      <c r="U392" s="41">
        <f>SUMIF(Tabella1[Nome],Tabella4[[#This Row],[NOME]],Tabella1[Amm])</f>
        <v>0</v>
      </c>
      <c r="V392" s="42">
        <f>SUMIF(Tabella1[Nome],Tabella4[[#This Row],[NOME]],Tabella1[Esp])</f>
        <v>0</v>
      </c>
      <c r="W392" s="40">
        <f>SUMIF(Tabella1[Nome],Tabella4[[#This Row],[NOME]],Tabella1[Ass])</f>
        <v>4</v>
      </c>
      <c r="X392" s="40">
        <f>SUMIF(Tabella1[Nome],Tabella4[[#This Row],[NOME]],Tabella1[Gdv])</f>
        <v>0</v>
      </c>
      <c r="Y392" s="40">
        <f>SUMIF(Tabella1[Nome],Tabella4[[#This Row],[NOME]],Tabella1[cl sh])</f>
        <v>0</v>
      </c>
      <c r="Z392" s="270">
        <f>_xlfn.IFNA(_xlfn.XLOOKUP(CONCATENATE(Z$4,$C392),Tabella1[CONC X VOTI IN TAB GIOC],Tabella1[Voto],""),"")</f>
        <v>8</v>
      </c>
      <c r="AA392" s="270">
        <f>_xlfn.IFNA(_xlfn.XLOOKUP(CONCATENATE(AA$4,$C392),Tabella1[CONC X VOTI IN TAB GIOC],Tabella1[Voto],""),"")</f>
        <v>7</v>
      </c>
      <c r="AB392" s="270">
        <f>_xlfn.IFNA(_xlfn.XLOOKUP(CONCATENATE(AB$4,$C392),Tabella1[CONC X VOTI IN TAB GIOC],Tabella1[Voto]),"")</f>
        <v>7</v>
      </c>
      <c r="AC392" s="270" cm="1">
        <f t="array" ref="AC392">_xlfn.IFNA(_xlfn.XLOOKUP(CONCATENATE(AC$4,$C392),INDEX(Tabella1[],0,MATCH("CONC X VOTI IN TAB GIOC",Tabella1[#Headers],0)),INDEX(Tabella1[],0,MATCH("Voto",Tabella1[#Headers],0))),"")</f>
        <v>6.5</v>
      </c>
      <c r="AD392" s="270" t="str">
        <f>_xlfn.IFNA(_xlfn.XLOOKUP(CONCATENATE(AD$4,$C392),Tabella1[CONC X VOTI IN TAB GIOC],Tabella1[Voto]),"")</f>
        <v/>
      </c>
      <c r="AE392" s="270" t="str">
        <f>_xlfn.IFNA(VLOOKUP(CONCATENATE(AE$4,$C392),'INSER DATA'!$A:$F,6,0),"")</f>
        <v/>
      </c>
      <c r="AF392" s="270" t="str">
        <f>_xlfn.IFNA(VLOOKUP(CONCATENATE(AF$4,$C392),'INSER DATA'!$A:$F,6,0),"")</f>
        <v/>
      </c>
      <c r="AG392" s="270" t="str">
        <f>_xlfn.IFNA(VLOOKUP(CONCATENATE(AG$4,$C392),'INSER DATA'!$A:$F,6,0),"")</f>
        <v/>
      </c>
      <c r="AH392" s="270" t="str">
        <f>_xlfn.IFNA(VLOOKUP(CONCATENATE(AH$4,$C392),'INSER DATA'!$A:$F,7,0),"")</f>
        <v/>
      </c>
      <c r="AI392" s="270" t="str">
        <f>_xlfn.IFNA(VLOOKUP(CONCATENATE(AI$4,$C392),'INSER DATA'!$A:$F,7,0),"")</f>
        <v/>
      </c>
      <c r="AJ392" s="270" t="str">
        <f>_xlfn.IFNA(VLOOKUP(CONCATENATE(AJ$4,$C392),'INSER DATA'!$A:$F,7,0),"")</f>
        <v/>
      </c>
      <c r="AK392" s="270" t="str">
        <f>_xlfn.IFNA(VLOOKUP(CONCATENATE(AK$4,$C392),'INSER DATA'!$A:$F,7,0),"")</f>
        <v/>
      </c>
      <c r="AL392" s="270" t="str">
        <f>_xlfn.IFNA(VLOOKUP(CONCATENATE(AL$4,$C392),'INSER DATA'!$A:$F,7,0),"")</f>
        <v/>
      </c>
      <c r="AM392" s="270" t="str">
        <f>_xlfn.IFNA(VLOOKUP(CONCATENATE(AM$4,$C392),'INSER DATA'!$A:$F,7,0),"")</f>
        <v/>
      </c>
      <c r="AN392" s="270" t="str">
        <f>_xlfn.IFNA(VLOOKUP(CONCATENATE(AN$4,$C392),'INSER DATA'!$A:$F,7,0),"")</f>
        <v/>
      </c>
      <c r="AO392" s="270" t="str">
        <f>_xlfn.IFNA(VLOOKUP(CONCATENATE(AO$4,$C392),'INSER DATA'!$A:$F,7,0),"")</f>
        <v/>
      </c>
      <c r="AP392" s="270" t="str">
        <f>_xlfn.IFNA(VLOOKUP(CONCATENATE(AP$4,$C392),'INSER DATA'!$A:$F,7,0),"")</f>
        <v/>
      </c>
      <c r="AQ392" s="270" t="str">
        <f>_xlfn.IFNA(VLOOKUP(CONCATENATE(AQ$4,$C392),'INSER DATA'!$A:$F,7,0),"")</f>
        <v/>
      </c>
      <c r="AR392" s="270" t="str">
        <f>_xlfn.IFNA(VLOOKUP(CONCATENATE(AR$4,$C392),'INSER DATA'!$A:$F,7,0),"")</f>
        <v/>
      </c>
      <c r="AS392" s="270" t="str">
        <f>_xlfn.IFNA(VLOOKUP(CONCATENATE(AS$4,$C392),'INSER DATA'!$A:$F,7,0),"")</f>
        <v/>
      </c>
      <c r="AT392" s="270" t="str">
        <f>_xlfn.IFNA(VLOOKUP(CONCATENATE(AT$4,$C392),'INSER DATA'!$A:$F,7,0),"")</f>
        <v/>
      </c>
      <c r="AU392" s="270" t="str">
        <f>_xlfn.IFNA(VLOOKUP(CONCATENATE(AU$4,$C392),'INSER DATA'!$A:$F,7,0),"")</f>
        <v/>
      </c>
      <c r="AV392" s="270" t="str">
        <f>_xlfn.IFNA(VLOOKUP(CONCATENATE(AV$4,$C392),'INSER DATA'!$A:$F,7,0),"")</f>
        <v/>
      </c>
      <c r="AW392" s="270" t="str">
        <f>_xlfn.IFNA(VLOOKUP(CONCATENATE(AW$4,$C392),'INSER DATA'!$A:$F,7,0),"")</f>
        <v/>
      </c>
      <c r="AX392" s="270" t="str">
        <f>_xlfn.IFNA(VLOOKUP(CONCATENATE(AX$4,$C392),'INSER DATA'!$A:$F,7,0),"")</f>
        <v/>
      </c>
      <c r="AY392" s="270" t="str">
        <f>_xlfn.IFNA(VLOOKUP(CONCATENATE(AY$4,$C392),'INSER DATA'!$A:$F,7,0),"")</f>
        <v/>
      </c>
      <c r="AZ392" s="270" t="str">
        <f>_xlfn.IFNA(VLOOKUP(CONCATENATE(AZ$4,$C392),'INSER DATA'!$A:$F,7,0),"")</f>
        <v/>
      </c>
      <c r="BA392" s="270" t="str">
        <f>_xlfn.IFNA(VLOOKUP(CONCATENATE(BA$4,$C392),'INSER DATA'!$A:$F,7,0),"")</f>
        <v/>
      </c>
      <c r="BB392" s="270" t="str">
        <f>_xlfn.IFNA(VLOOKUP(CONCATENATE(BB$4,$C392),'INSER DATA'!$A:$F,7,0),"")</f>
        <v/>
      </c>
      <c r="BC392" s="270" t="str">
        <f>_xlfn.IFNA(VLOOKUP(CONCATENATE(BC$4,$C392),'INSER DATA'!$A:$F,7,0),"")</f>
        <v/>
      </c>
      <c r="BD392" s="270" t="str">
        <f>_xlfn.IFNA(VLOOKUP(CONCATENATE(BD$4,$C392),'INSER DATA'!$A:$F,7,0),"")</f>
        <v/>
      </c>
      <c r="BE392" s="270" t="str">
        <f>_xlfn.IFNA(VLOOKUP(CONCATENATE(BE$4,$C392),'INSER DATA'!$A:$F,7,0),"")</f>
        <v/>
      </c>
      <c r="BF392" s="270" t="str">
        <f>_xlfn.IFNA(VLOOKUP(CONCATENATE(BF$4,$C392),'INSER DATA'!$A:$F,7,0),"")</f>
        <v/>
      </c>
      <c r="BG392" s="270" t="str">
        <f>_xlfn.IFNA(VLOOKUP(CONCATENATE(BG$4,$C392),'INSER DATA'!$A:$F,7,0),"")</f>
        <v/>
      </c>
      <c r="BH392" s="270" t="str">
        <f>_xlfn.IFNA(VLOOKUP(CONCATENATE(BH$4,$C392),'INSER DATA'!$A:$F,7,0),"")</f>
        <v/>
      </c>
      <c r="BI392" s="270" t="str">
        <f>_xlfn.IFNA(VLOOKUP(CONCATENATE(BI$4,$C392),'INSER DATA'!$A:$F,7,0),"")</f>
        <v/>
      </c>
      <c r="BJ392" s="270" t="str">
        <f>_xlfn.IFNA(VLOOKUP(CONCATENATE(BJ$4,$C392),'INSER DATA'!$A:$F,7,0),"")</f>
        <v/>
      </c>
      <c r="BK392" s="270" t="str">
        <f>_xlfn.IFNA(VLOOKUP(CONCATENATE(BK$4,$C392),'INSER DATA'!$A:$F,7,0),"")</f>
        <v/>
      </c>
      <c r="BL392" s="272"/>
      <c r="BM392" s="30"/>
      <c r="BN392" s="30"/>
      <c r="BO392" s="30"/>
      <c r="BP392" s="30"/>
      <c r="BQ392" s="30"/>
      <c r="BR392" s="30"/>
      <c r="BS392" s="30"/>
      <c r="BT392" s="30"/>
      <c r="BU392" s="30"/>
      <c r="BV392" s="30"/>
      <c r="BW392" s="30"/>
      <c r="BX392" s="30"/>
      <c r="BY392" s="30"/>
      <c r="BZ392" s="30"/>
      <c r="CA392" s="30"/>
      <c r="CB392" s="30"/>
      <c r="CC392" s="30"/>
      <c r="CD392" s="30"/>
      <c r="CE392" s="30"/>
      <c r="CF392" s="30"/>
      <c r="CG392" s="30"/>
      <c r="CH392" s="30"/>
      <c r="CI392" s="30"/>
      <c r="CJ392" s="30"/>
      <c r="CK392" s="30"/>
      <c r="CL392" s="30"/>
      <c r="CM392" s="30"/>
      <c r="CN392" s="30"/>
      <c r="CO392" s="30"/>
      <c r="CP392" s="30"/>
      <c r="CQ392" s="30"/>
      <c r="CR392" s="30"/>
      <c r="CS392" s="30"/>
      <c r="CT392" s="30"/>
      <c r="CU392" s="30"/>
      <c r="CV392" s="30"/>
      <c r="CW392" s="30"/>
      <c r="CX392" s="30"/>
      <c r="CY392" s="30"/>
      <c r="CZ392" s="30"/>
      <c r="DA392" s="30"/>
    </row>
    <row r="393" spans="1:105" ht="19.2" thickTop="1" thickBot="1" x14ac:dyDescent="0.4">
      <c r="A393" s="30"/>
      <c r="B393" s="30"/>
      <c r="C393" s="185" t="s">
        <v>895</v>
      </c>
      <c r="D393" s="46" t="s">
        <v>894</v>
      </c>
      <c r="E393" s="35" t="str">
        <f>_xlfn.XLOOKUP(Tabella4[[#This Row],[NOME]],'ROSE SQUADRE'!$N$3:$N$253,'ROSE SQUADRE'!$O$3:$O$253,"")</f>
        <v/>
      </c>
      <c r="F393" s="36" t="s">
        <v>161</v>
      </c>
      <c r="G393" s="43">
        <v>4</v>
      </c>
      <c r="H393" s="43">
        <v>4</v>
      </c>
      <c r="I393" s="44">
        <f t="shared" si="37"/>
        <v>0</v>
      </c>
      <c r="J393" s="37">
        <f t="shared" si="38"/>
        <v>2</v>
      </c>
      <c r="K393" s="38">
        <f t="shared" si="39"/>
        <v>6.5</v>
      </c>
      <c r="L393" s="38">
        <f t="shared" si="40"/>
        <v>6.5</v>
      </c>
      <c r="M393" s="39">
        <f t="shared" si="41"/>
        <v>13</v>
      </c>
      <c r="N393" s="45">
        <f t="shared" ca="1" si="36"/>
        <v>0</v>
      </c>
      <c r="O393" s="40">
        <f>SUMIF(Tabella1[Nome],Tabella4[[#This Row],[NOME]],Tabella1[Gf])</f>
        <v>0</v>
      </c>
      <c r="P393" s="40">
        <f>-(SUMIF(Tabella1[Nome],Tabella4[[#This Row],[NOME]],Tabella1[Gs]))</f>
        <v>0</v>
      </c>
      <c r="Q393" s="40">
        <f>SUMIF(Tabella1[Nome],Tabella4[[#This Row],[NOME]],Tabella1[Rp])</f>
        <v>0</v>
      </c>
      <c r="R393" s="40">
        <f>SUMIF(Tabella1[Nome],Tabella4[[#This Row],[NOME]],Tabella1[Rs])</f>
        <v>0</v>
      </c>
      <c r="S393" s="40">
        <f>SUMIF(Tabella1[Nome],Tabella4[[#This Row],[NOME]],Tabella1[Rf])</f>
        <v>0</v>
      </c>
      <c r="T393" s="40">
        <f>SUMIF(Tabella1[Nome],Tabella4[[#This Row],[NOME]],Tabella1[Au])</f>
        <v>0</v>
      </c>
      <c r="U393" s="41">
        <f>SUMIF(Tabella1[Nome],Tabella4[[#This Row],[NOME]],Tabella1[Amm])</f>
        <v>0</v>
      </c>
      <c r="V393" s="42">
        <f>SUMIF(Tabella1[Nome],Tabella4[[#This Row],[NOME]],Tabella1[Esp])</f>
        <v>0</v>
      </c>
      <c r="W393" s="40">
        <f>SUMIF(Tabella1[Nome],Tabella4[[#This Row],[NOME]],Tabella1[Ass])</f>
        <v>0</v>
      </c>
      <c r="X393" s="40">
        <f>SUMIF(Tabella1[Nome],Tabella4[[#This Row],[NOME]],Tabella1[Gdv])</f>
        <v>0</v>
      </c>
      <c r="Y393" s="40">
        <f>SUMIF(Tabella1[Nome],Tabella4[[#This Row],[NOME]],Tabella1[cl sh])</f>
        <v>0</v>
      </c>
      <c r="Z393" s="270" t="str">
        <f>_xlfn.IFNA(_xlfn.XLOOKUP(CONCATENATE(Z$4,$C393),Tabella1[CONC X VOTI IN TAB GIOC],Tabella1[Voto],""),"")</f>
        <v/>
      </c>
      <c r="AA393" s="270">
        <f>_xlfn.IFNA(_xlfn.XLOOKUP(CONCATENATE(AA$4,$C393),Tabella1[CONC X VOTI IN TAB GIOC],Tabella1[Voto],""),"")</f>
        <v>7</v>
      </c>
      <c r="AB393" s="270">
        <f>_xlfn.IFNA(_xlfn.XLOOKUP(CONCATENATE(AB$4,$C393),Tabella1[CONC X VOTI IN TAB GIOC],Tabella1[Voto]),"")</f>
        <v>6</v>
      </c>
      <c r="AC393" s="270" t="str" cm="1">
        <f t="array" ref="AC393">_xlfn.IFNA(_xlfn.XLOOKUP(CONCATENATE(AC$4,$C393),INDEX(Tabella1[],0,MATCH("CONC X VOTI IN TAB GIOC",Tabella1[#Headers],0)),INDEX(Tabella1[],0,MATCH("Voto",Tabella1[#Headers],0))),"")</f>
        <v/>
      </c>
      <c r="AD393" s="270" t="str">
        <f>_xlfn.IFNA(_xlfn.XLOOKUP(CONCATENATE(AD$4,$C393),Tabella1[CONC X VOTI IN TAB GIOC],Tabella1[Voto]),"")</f>
        <v/>
      </c>
      <c r="AE393" s="270" t="str">
        <f>_xlfn.IFNA(VLOOKUP(CONCATENATE(AE$4,$C393),'INSER DATA'!$A:$F,6,0),"")</f>
        <v/>
      </c>
      <c r="AF393" s="270" t="str">
        <f>_xlfn.IFNA(VLOOKUP(CONCATENATE(AF$4,$C393),'INSER DATA'!$A:$F,6,0),"")</f>
        <v/>
      </c>
      <c r="AG393" s="270" t="str">
        <f>_xlfn.IFNA(VLOOKUP(CONCATENATE(AG$4,$C393),'INSER DATA'!$A:$F,6,0),"")</f>
        <v/>
      </c>
      <c r="AH393" s="270" t="str">
        <f>_xlfn.IFNA(VLOOKUP(CONCATENATE(AH$4,$C393),'INSER DATA'!$A:$F,7,0),"")</f>
        <v/>
      </c>
      <c r="AI393" s="270" t="str">
        <f>_xlfn.IFNA(VLOOKUP(CONCATENATE(AI$4,$C393),'INSER DATA'!$A:$F,7,0),"")</f>
        <v/>
      </c>
      <c r="AJ393" s="270" t="str">
        <f>_xlfn.IFNA(VLOOKUP(CONCATENATE(AJ$4,$C393),'INSER DATA'!$A:$F,7,0),"")</f>
        <v/>
      </c>
      <c r="AK393" s="270" t="str">
        <f>_xlfn.IFNA(VLOOKUP(CONCATENATE(AK$4,$C393),'INSER DATA'!$A:$F,7,0),"")</f>
        <v/>
      </c>
      <c r="AL393" s="270" t="str">
        <f>_xlfn.IFNA(VLOOKUP(CONCATENATE(AL$4,$C393),'INSER DATA'!$A:$F,7,0),"")</f>
        <v/>
      </c>
      <c r="AM393" s="270" t="str">
        <f>_xlfn.IFNA(VLOOKUP(CONCATENATE(AM$4,$C393),'INSER DATA'!$A:$F,7,0),"")</f>
        <v/>
      </c>
      <c r="AN393" s="270" t="str">
        <f>_xlfn.IFNA(VLOOKUP(CONCATENATE(AN$4,$C393),'INSER DATA'!$A:$F,7,0),"")</f>
        <v/>
      </c>
      <c r="AO393" s="270" t="str">
        <f>_xlfn.IFNA(VLOOKUP(CONCATENATE(AO$4,$C393),'INSER DATA'!$A:$F,7,0),"")</f>
        <v/>
      </c>
      <c r="AP393" s="270" t="str">
        <f>_xlfn.IFNA(VLOOKUP(CONCATENATE(AP$4,$C393),'INSER DATA'!$A:$F,7,0),"")</f>
        <v/>
      </c>
      <c r="AQ393" s="270" t="str">
        <f>_xlfn.IFNA(VLOOKUP(CONCATENATE(AQ$4,$C393),'INSER DATA'!$A:$F,7,0),"")</f>
        <v/>
      </c>
      <c r="AR393" s="270" t="str">
        <f>_xlfn.IFNA(VLOOKUP(CONCATENATE(AR$4,$C393),'INSER DATA'!$A:$F,7,0),"")</f>
        <v/>
      </c>
      <c r="AS393" s="270" t="str">
        <f>_xlfn.IFNA(VLOOKUP(CONCATENATE(AS$4,$C393),'INSER DATA'!$A:$F,7,0),"")</f>
        <v/>
      </c>
      <c r="AT393" s="270" t="str">
        <f>_xlfn.IFNA(VLOOKUP(CONCATENATE(AT$4,$C393),'INSER DATA'!$A:$F,7,0),"")</f>
        <v/>
      </c>
      <c r="AU393" s="270" t="str">
        <f>_xlfn.IFNA(VLOOKUP(CONCATENATE(AU$4,$C393),'INSER DATA'!$A:$F,7,0),"")</f>
        <v/>
      </c>
      <c r="AV393" s="270" t="str">
        <f>_xlfn.IFNA(VLOOKUP(CONCATENATE(AV$4,$C393),'INSER DATA'!$A:$F,7,0),"")</f>
        <v/>
      </c>
      <c r="AW393" s="270" t="str">
        <f>_xlfn.IFNA(VLOOKUP(CONCATENATE(AW$4,$C393),'INSER DATA'!$A:$F,7,0),"")</f>
        <v/>
      </c>
      <c r="AX393" s="270" t="str">
        <f>_xlfn.IFNA(VLOOKUP(CONCATENATE(AX$4,$C393),'INSER DATA'!$A:$F,7,0),"")</f>
        <v/>
      </c>
      <c r="AY393" s="270" t="str">
        <f>_xlfn.IFNA(VLOOKUP(CONCATENATE(AY$4,$C393),'INSER DATA'!$A:$F,7,0),"")</f>
        <v/>
      </c>
      <c r="AZ393" s="270" t="str">
        <f>_xlfn.IFNA(VLOOKUP(CONCATENATE(AZ$4,$C393),'INSER DATA'!$A:$F,7,0),"")</f>
        <v/>
      </c>
      <c r="BA393" s="270" t="str">
        <f>_xlfn.IFNA(VLOOKUP(CONCATENATE(BA$4,$C393),'INSER DATA'!$A:$F,7,0),"")</f>
        <v/>
      </c>
      <c r="BB393" s="270" t="str">
        <f>_xlfn.IFNA(VLOOKUP(CONCATENATE(BB$4,$C393),'INSER DATA'!$A:$F,7,0),"")</f>
        <v/>
      </c>
      <c r="BC393" s="270" t="str">
        <f>_xlfn.IFNA(VLOOKUP(CONCATENATE(BC$4,$C393),'INSER DATA'!$A:$F,7,0),"")</f>
        <v/>
      </c>
      <c r="BD393" s="270" t="str">
        <f>_xlfn.IFNA(VLOOKUP(CONCATENATE(BD$4,$C393),'INSER DATA'!$A:$F,7,0),"")</f>
        <v/>
      </c>
      <c r="BE393" s="270" t="str">
        <f>_xlfn.IFNA(VLOOKUP(CONCATENATE(BE$4,$C393),'INSER DATA'!$A:$F,7,0),"")</f>
        <v/>
      </c>
      <c r="BF393" s="270" t="str">
        <f>_xlfn.IFNA(VLOOKUP(CONCATENATE(BF$4,$C393),'INSER DATA'!$A:$F,7,0),"")</f>
        <v/>
      </c>
      <c r="BG393" s="270" t="str">
        <f>_xlfn.IFNA(VLOOKUP(CONCATENATE(BG$4,$C393),'INSER DATA'!$A:$F,7,0),"")</f>
        <v/>
      </c>
      <c r="BH393" s="270" t="str">
        <f>_xlfn.IFNA(VLOOKUP(CONCATENATE(BH$4,$C393),'INSER DATA'!$A:$F,7,0),"")</f>
        <v/>
      </c>
      <c r="BI393" s="270" t="str">
        <f>_xlfn.IFNA(VLOOKUP(CONCATENATE(BI$4,$C393),'INSER DATA'!$A:$F,7,0),"")</f>
        <v/>
      </c>
      <c r="BJ393" s="270" t="str">
        <f>_xlfn.IFNA(VLOOKUP(CONCATENATE(BJ$4,$C393),'INSER DATA'!$A:$F,7,0),"")</f>
        <v/>
      </c>
      <c r="BK393" s="270" t="str">
        <f>_xlfn.IFNA(VLOOKUP(CONCATENATE(BK$4,$C393),'INSER DATA'!$A:$F,7,0),"")</f>
        <v/>
      </c>
      <c r="BL393" s="272"/>
      <c r="BM393" s="30"/>
      <c r="BN393" s="30"/>
      <c r="BO393" s="30"/>
      <c r="BP393" s="30"/>
      <c r="BQ393" s="30"/>
      <c r="BR393" s="30"/>
      <c r="BS393" s="30"/>
      <c r="BT393" s="30"/>
      <c r="BU393" s="30"/>
      <c r="BV393" s="30"/>
      <c r="BW393" s="30"/>
      <c r="BX393" s="30"/>
      <c r="BY393" s="30"/>
      <c r="BZ393" s="30"/>
      <c r="CA393" s="30"/>
      <c r="CB393" s="30"/>
      <c r="CC393" s="30"/>
      <c r="CD393" s="30"/>
      <c r="CE393" s="30"/>
      <c r="CF393" s="30"/>
      <c r="CG393" s="30"/>
      <c r="CH393" s="30"/>
      <c r="CI393" s="30"/>
      <c r="CJ393" s="30"/>
      <c r="CK393" s="30"/>
      <c r="CL393" s="30"/>
      <c r="CM393" s="30"/>
      <c r="CN393" s="30"/>
      <c r="CO393" s="30"/>
      <c r="CP393" s="30"/>
      <c r="CQ393" s="30"/>
      <c r="CR393" s="30"/>
      <c r="CS393" s="30"/>
      <c r="CT393" s="30"/>
      <c r="CU393" s="30"/>
      <c r="CV393" s="30"/>
      <c r="CW393" s="30"/>
      <c r="CX393" s="30"/>
      <c r="CY393" s="30"/>
      <c r="CZ393" s="30"/>
      <c r="DA393" s="30"/>
    </row>
    <row r="394" spans="1:105" ht="19.2" thickTop="1" thickBot="1" x14ac:dyDescent="0.4">
      <c r="A394" s="30"/>
      <c r="B394" s="30"/>
      <c r="C394" s="356" t="s">
        <v>900</v>
      </c>
      <c r="D394" s="355" t="s">
        <v>894</v>
      </c>
      <c r="E394" s="35" t="str">
        <f>_xlfn.XLOOKUP(Tabella4[[#This Row],[NOME]],'ROSE SQUADRE'!$N$3:$N$253,'ROSE SQUADRE'!$O$3:$O$253,"")</f>
        <v>PESCICULINI</v>
      </c>
      <c r="F394" s="36" t="s">
        <v>161</v>
      </c>
      <c r="G394" s="43">
        <v>17</v>
      </c>
      <c r="H394" s="43">
        <v>17</v>
      </c>
      <c r="I394" s="44">
        <f t="shared" si="37"/>
        <v>0</v>
      </c>
      <c r="J394" s="37">
        <f t="shared" si="38"/>
        <v>3</v>
      </c>
      <c r="K394" s="178">
        <f t="shared" si="39"/>
        <v>6.833333333333333</v>
      </c>
      <c r="L394" s="178">
        <f t="shared" si="40"/>
        <v>7.166666666666667</v>
      </c>
      <c r="M394" s="179">
        <f t="shared" si="41"/>
        <v>21.5</v>
      </c>
      <c r="N394" s="45">
        <f t="shared" ca="1" si="36"/>
        <v>0</v>
      </c>
      <c r="O394" s="40">
        <f>SUMIF(Tabella1[Nome],Tabella4[[#This Row],[NOME]],Tabella1[Gf])</f>
        <v>0</v>
      </c>
      <c r="P394" s="40">
        <f>-(SUMIF(Tabella1[Nome],Tabella4[[#This Row],[NOME]],Tabella1[Gs]))</f>
        <v>0</v>
      </c>
      <c r="Q394" s="40">
        <f>SUMIF(Tabella1[Nome],Tabella4[[#This Row],[NOME]],Tabella1[Rp])</f>
        <v>0</v>
      </c>
      <c r="R394" s="40">
        <f>SUMIF(Tabella1[Nome],Tabella4[[#This Row],[NOME]],Tabella1[Rs])</f>
        <v>0</v>
      </c>
      <c r="S394" s="40">
        <f>SUMIF(Tabella1[Nome],Tabella4[[#This Row],[NOME]],Tabella1[Rf])</f>
        <v>0</v>
      </c>
      <c r="T394" s="40">
        <f>SUMIF(Tabella1[Nome],Tabella4[[#This Row],[NOME]],Tabella1[Au])</f>
        <v>0</v>
      </c>
      <c r="U394" s="41">
        <f>SUMIF(Tabella1[Nome],Tabella4[[#This Row],[NOME]],Tabella1[Amm])</f>
        <v>0</v>
      </c>
      <c r="V394" s="42">
        <f>SUMIF(Tabella1[Nome],Tabella4[[#This Row],[NOME]],Tabella1[Esp])</f>
        <v>0</v>
      </c>
      <c r="W394" s="40">
        <f>SUMIF(Tabella1[Nome],Tabella4[[#This Row],[NOME]],Tabella1[Ass])</f>
        <v>1</v>
      </c>
      <c r="X394" s="40">
        <f>SUMIF(Tabella1[Nome],Tabella4[[#This Row],[NOME]],Tabella1[Gdv])</f>
        <v>0</v>
      </c>
      <c r="Y394" s="40">
        <f>SUMIF(Tabella1[Nome],Tabella4[[#This Row],[NOME]],Tabella1[cl sh])</f>
        <v>0</v>
      </c>
      <c r="Z394" s="270">
        <f>_xlfn.IFNA(_xlfn.XLOOKUP(CONCATENATE(Z$4,$C394),Tabella1[CONC X VOTI IN TAB GIOC],Tabella1[Voto],""),"")</f>
        <v>6.5</v>
      </c>
      <c r="AA394" s="270">
        <f>_xlfn.IFNA(_xlfn.XLOOKUP(CONCATENATE(AA$4,$C394),Tabella1[CONC X VOTI IN TAB GIOC],Tabella1[Voto],""),"")</f>
        <v>7</v>
      </c>
      <c r="AB394" s="270">
        <f>_xlfn.IFNA(_xlfn.XLOOKUP(CONCATENATE(AB$4,$C394),Tabella1[CONC X VOTI IN TAB GIOC],Tabella1[Voto]),"")</f>
        <v>7</v>
      </c>
      <c r="AC394" s="270" t="str" cm="1">
        <f t="array" ref="AC394">_xlfn.IFNA(_xlfn.XLOOKUP(CONCATENATE(AC$4,$C394),INDEX(Tabella1[],0,MATCH("CONC X VOTI IN TAB GIOC",Tabella1[#Headers],0)),INDEX(Tabella1[],0,MATCH("Voto",Tabella1[#Headers],0))),"")</f>
        <v/>
      </c>
      <c r="AD394" s="270" t="str">
        <f>_xlfn.IFNA(_xlfn.XLOOKUP(CONCATENATE(AD$4,$C394),Tabella1[CONC X VOTI IN TAB GIOC],Tabella1[Voto]),"")</f>
        <v/>
      </c>
      <c r="AE394" s="270" t="str">
        <f>_xlfn.IFNA(VLOOKUP(CONCATENATE(AE$4,$C394),'INSER DATA'!$A:$F,6,0),"")</f>
        <v/>
      </c>
      <c r="AF394" s="270" t="str">
        <f>_xlfn.IFNA(VLOOKUP(CONCATENATE(AF$4,$C394),'INSER DATA'!$A:$F,6,0),"")</f>
        <v/>
      </c>
      <c r="AG394" s="270" t="str">
        <f>_xlfn.IFNA(VLOOKUP(CONCATENATE(AG$4,$C394),'INSER DATA'!$A:$F,6,0),"")</f>
        <v/>
      </c>
      <c r="AH394" s="270" t="str">
        <f>_xlfn.IFNA(VLOOKUP(CONCATENATE(AH$4,$C394),'INSER DATA'!$A:$F,7,0),"")</f>
        <v/>
      </c>
      <c r="AI394" s="270" t="str">
        <f>_xlfn.IFNA(VLOOKUP(CONCATENATE(AI$4,$C394),'INSER DATA'!$A:$F,7,0),"")</f>
        <v/>
      </c>
      <c r="AJ394" s="270" t="str">
        <f>_xlfn.IFNA(VLOOKUP(CONCATENATE(AJ$4,$C394),'INSER DATA'!$A:$F,7,0),"")</f>
        <v/>
      </c>
      <c r="AK394" s="270" t="str">
        <f>_xlfn.IFNA(VLOOKUP(CONCATENATE(AK$4,$C394),'INSER DATA'!$A:$F,7,0),"")</f>
        <v/>
      </c>
      <c r="AL394" s="270" t="str">
        <f>_xlfn.IFNA(VLOOKUP(CONCATENATE(AL$4,$C394),'INSER DATA'!$A:$F,7,0),"")</f>
        <v/>
      </c>
      <c r="AM394" s="270" t="str">
        <f>_xlfn.IFNA(VLOOKUP(CONCATENATE(AM$4,$C394),'INSER DATA'!$A:$F,7,0),"")</f>
        <v/>
      </c>
      <c r="AN394" s="270" t="str">
        <f>_xlfn.IFNA(VLOOKUP(CONCATENATE(AN$4,$C394),'INSER DATA'!$A:$F,7,0),"")</f>
        <v/>
      </c>
      <c r="AO394" s="270" t="str">
        <f>_xlfn.IFNA(VLOOKUP(CONCATENATE(AO$4,$C394),'INSER DATA'!$A:$F,7,0),"")</f>
        <v/>
      </c>
      <c r="AP394" s="270" t="str">
        <f>_xlfn.IFNA(VLOOKUP(CONCATENATE(AP$4,$C394),'INSER DATA'!$A:$F,7,0),"")</f>
        <v/>
      </c>
      <c r="AQ394" s="270" t="str">
        <f>_xlfn.IFNA(VLOOKUP(CONCATENATE(AQ$4,$C394),'INSER DATA'!$A:$F,7,0),"")</f>
        <v/>
      </c>
      <c r="AR394" s="270" t="str">
        <f>_xlfn.IFNA(VLOOKUP(CONCATENATE(AR$4,$C394),'INSER DATA'!$A:$F,7,0),"")</f>
        <v/>
      </c>
      <c r="AS394" s="270" t="str">
        <f>_xlfn.IFNA(VLOOKUP(CONCATENATE(AS$4,$C394),'INSER DATA'!$A:$F,7,0),"")</f>
        <v/>
      </c>
      <c r="AT394" s="270" t="str">
        <f>_xlfn.IFNA(VLOOKUP(CONCATENATE(AT$4,$C394),'INSER DATA'!$A:$F,7,0),"")</f>
        <v/>
      </c>
      <c r="AU394" s="270" t="str">
        <f>_xlfn.IFNA(VLOOKUP(CONCATENATE(AU$4,$C394),'INSER DATA'!$A:$F,7,0),"")</f>
        <v/>
      </c>
      <c r="AV394" s="270" t="str">
        <f>_xlfn.IFNA(VLOOKUP(CONCATENATE(AV$4,$C394),'INSER DATA'!$A:$F,7,0),"")</f>
        <v/>
      </c>
      <c r="AW394" s="270" t="str">
        <f>_xlfn.IFNA(VLOOKUP(CONCATENATE(AW$4,$C394),'INSER DATA'!$A:$F,7,0),"")</f>
        <v/>
      </c>
      <c r="AX394" s="270" t="str">
        <f>_xlfn.IFNA(VLOOKUP(CONCATENATE(AX$4,$C394),'INSER DATA'!$A:$F,7,0),"")</f>
        <v/>
      </c>
      <c r="AY394" s="270" t="str">
        <f>_xlfn.IFNA(VLOOKUP(CONCATENATE(AY$4,$C394),'INSER DATA'!$A:$F,7,0),"")</f>
        <v/>
      </c>
      <c r="AZ394" s="270" t="str">
        <f>_xlfn.IFNA(VLOOKUP(CONCATENATE(AZ$4,$C394),'INSER DATA'!$A:$F,7,0),"")</f>
        <v/>
      </c>
      <c r="BA394" s="270" t="str">
        <f>_xlfn.IFNA(VLOOKUP(CONCATENATE(BA$4,$C394),'INSER DATA'!$A:$F,7,0),"")</f>
        <v/>
      </c>
      <c r="BB394" s="270" t="str">
        <f>_xlfn.IFNA(VLOOKUP(CONCATENATE(BB$4,$C394),'INSER DATA'!$A:$F,7,0),"")</f>
        <v/>
      </c>
      <c r="BC394" s="270" t="str">
        <f>_xlfn.IFNA(VLOOKUP(CONCATENATE(BC$4,$C394),'INSER DATA'!$A:$F,7,0),"")</f>
        <v/>
      </c>
      <c r="BD394" s="270" t="str">
        <f>_xlfn.IFNA(VLOOKUP(CONCATENATE(BD$4,$C394),'INSER DATA'!$A:$F,7,0),"")</f>
        <v/>
      </c>
      <c r="BE394" s="270" t="str">
        <f>_xlfn.IFNA(VLOOKUP(CONCATENATE(BE$4,$C394),'INSER DATA'!$A:$F,7,0),"")</f>
        <v/>
      </c>
      <c r="BF394" s="270" t="str">
        <f>_xlfn.IFNA(VLOOKUP(CONCATENATE(BF$4,$C394),'INSER DATA'!$A:$F,7,0),"")</f>
        <v/>
      </c>
      <c r="BG394" s="270" t="str">
        <f>_xlfn.IFNA(VLOOKUP(CONCATENATE(BG$4,$C394),'INSER DATA'!$A:$F,7,0),"")</f>
        <v/>
      </c>
      <c r="BH394" s="270" t="str">
        <f>_xlfn.IFNA(VLOOKUP(CONCATENATE(BH$4,$C394),'INSER DATA'!$A:$F,7,0),"")</f>
        <v/>
      </c>
      <c r="BI394" s="270" t="str">
        <f>_xlfn.IFNA(VLOOKUP(CONCATENATE(BI$4,$C394),'INSER DATA'!$A:$F,7,0),"")</f>
        <v/>
      </c>
      <c r="BJ394" s="270" t="str">
        <f>_xlfn.IFNA(VLOOKUP(CONCATENATE(BJ$4,$C394),'INSER DATA'!$A:$F,7,0),"")</f>
        <v/>
      </c>
      <c r="BK394" s="270" t="str">
        <f>_xlfn.IFNA(VLOOKUP(CONCATENATE(BK$4,$C394),'INSER DATA'!$A:$F,7,0),"")</f>
        <v/>
      </c>
      <c r="BL394" s="272"/>
      <c r="BM394" s="30"/>
      <c r="BN394" s="30"/>
      <c r="BO394" s="30"/>
      <c r="BP394" s="30"/>
      <c r="BQ394" s="30"/>
      <c r="BR394" s="30"/>
      <c r="BS394" s="30"/>
      <c r="BT394" s="30"/>
      <c r="BU394" s="30"/>
      <c r="BV394" s="30"/>
      <c r="BW394" s="30"/>
      <c r="BX394" s="30"/>
      <c r="BY394" s="30"/>
      <c r="BZ394" s="30"/>
      <c r="CA394" s="30"/>
      <c r="CB394" s="30"/>
      <c r="CC394" s="30"/>
      <c r="CD394" s="30"/>
      <c r="CE394" s="30"/>
      <c r="CF394" s="30"/>
      <c r="CG394" s="30"/>
      <c r="CH394" s="30"/>
      <c r="CI394" s="30"/>
      <c r="CJ394" s="30"/>
      <c r="CK394" s="30"/>
      <c r="CL394" s="30"/>
      <c r="CM394" s="30"/>
      <c r="CN394" s="30"/>
      <c r="CO394" s="30"/>
      <c r="CP394" s="30"/>
      <c r="CQ394" s="30"/>
      <c r="CR394" s="30"/>
      <c r="CS394" s="30"/>
      <c r="CT394" s="30"/>
      <c r="CU394" s="30"/>
      <c r="CV394" s="30"/>
      <c r="CW394" s="30"/>
      <c r="CX394" s="30"/>
      <c r="CY394" s="30"/>
      <c r="CZ394" s="30"/>
      <c r="DA394" s="30"/>
    </row>
    <row r="395" spans="1:105" ht="19.2" thickTop="1" thickBot="1" x14ac:dyDescent="0.4">
      <c r="A395" s="30"/>
      <c r="B395" s="30"/>
      <c r="C395" s="354" t="s">
        <v>904</v>
      </c>
      <c r="D395" s="357" t="s">
        <v>894</v>
      </c>
      <c r="E395" s="35" t="str">
        <f>_xlfn.XLOOKUP(Tabella4[[#This Row],[NOME]],'ROSE SQUADRE'!$N$3:$N$253,'ROSE SQUADRE'!$O$3:$O$253,"")</f>
        <v>SESTO ASENSIO</v>
      </c>
      <c r="F395" s="36" t="s">
        <v>162</v>
      </c>
      <c r="G395" s="43">
        <v>19</v>
      </c>
      <c r="H395" s="43">
        <v>19</v>
      </c>
      <c r="I395" s="44">
        <f t="shared" si="37"/>
        <v>0</v>
      </c>
      <c r="J395" s="37">
        <f t="shared" si="38"/>
        <v>4</v>
      </c>
      <c r="K395" s="38">
        <f t="shared" si="39"/>
        <v>6.375</v>
      </c>
      <c r="L395" s="38">
        <f t="shared" si="40"/>
        <v>7.125</v>
      </c>
      <c r="M395" s="39">
        <f t="shared" si="41"/>
        <v>28.5</v>
      </c>
      <c r="N395" s="45">
        <f t="shared" ref="N395:N447" ca="1" si="42">ContaCellePerColore(Z395:BK395,$C$3)</f>
        <v>0</v>
      </c>
      <c r="O395" s="40">
        <f>SUMIF(Tabella1[Nome],Tabella4[[#This Row],[NOME]],Tabella1[Gf])</f>
        <v>1</v>
      </c>
      <c r="P395" s="40">
        <f>-(SUMIF(Tabella1[Nome],Tabella4[[#This Row],[NOME]],Tabella1[Gs]))</f>
        <v>0</v>
      </c>
      <c r="Q395" s="40">
        <f>SUMIF(Tabella1[Nome],Tabella4[[#This Row],[NOME]],Tabella1[Rp])</f>
        <v>0</v>
      </c>
      <c r="R395" s="40">
        <f>SUMIF(Tabella1[Nome],Tabella4[[#This Row],[NOME]],Tabella1[Rs])</f>
        <v>0</v>
      </c>
      <c r="S395" s="40">
        <f>SUMIF(Tabella1[Nome],Tabella4[[#This Row],[NOME]],Tabella1[Rf])</f>
        <v>0</v>
      </c>
      <c r="T395" s="40">
        <f>SUMIF(Tabella1[Nome],Tabella4[[#This Row],[NOME]],Tabella1[Au])</f>
        <v>0</v>
      </c>
      <c r="U395" s="41">
        <f>SUMIF(Tabella1[Nome],Tabella4[[#This Row],[NOME]],Tabella1[Amm])</f>
        <v>0</v>
      </c>
      <c r="V395" s="42">
        <f>SUMIF(Tabella1[Nome],Tabella4[[#This Row],[NOME]],Tabella1[Esp])</f>
        <v>0</v>
      </c>
      <c r="W395" s="40">
        <f>SUMIF(Tabella1[Nome],Tabella4[[#This Row],[NOME]],Tabella1[Ass])</f>
        <v>0</v>
      </c>
      <c r="X395" s="40">
        <f>SUMIF(Tabella1[Nome],Tabella4[[#This Row],[NOME]],Tabella1[Gdv])</f>
        <v>0</v>
      </c>
      <c r="Y395" s="40">
        <f>SUMIF(Tabella1[Nome],Tabella4[[#This Row],[NOME]],Tabella1[cl sh])</f>
        <v>0</v>
      </c>
      <c r="Z395" s="270">
        <f>_xlfn.IFNA(_xlfn.XLOOKUP(CONCATENATE(Z$4,$C395),Tabella1[CONC X VOTI IN TAB GIOC],Tabella1[Voto],""),"")</f>
        <v>6.5</v>
      </c>
      <c r="AA395" s="270">
        <f>_xlfn.IFNA(_xlfn.XLOOKUP(CONCATENATE(AA$4,$C395),Tabella1[CONC X VOTI IN TAB GIOC],Tabella1[Voto],""),"")</f>
        <v>7</v>
      </c>
      <c r="AB395" s="270">
        <f>_xlfn.IFNA(_xlfn.XLOOKUP(CONCATENATE(AB$4,$C395),Tabella1[CONC X VOTI IN TAB GIOC],Tabella1[Voto]),"")</f>
        <v>6</v>
      </c>
      <c r="AC395" s="270" cm="1">
        <f t="array" ref="AC395">_xlfn.IFNA(_xlfn.XLOOKUP(CONCATENATE(AC$4,$C395),INDEX(Tabella1[],0,MATCH("CONC X VOTI IN TAB GIOC",Tabella1[#Headers],0)),INDEX(Tabella1[],0,MATCH("Voto",Tabella1[#Headers],0))),"")</f>
        <v>6</v>
      </c>
      <c r="AD395" s="270" t="str">
        <f>_xlfn.IFNA(_xlfn.XLOOKUP(CONCATENATE(AD$4,$C395),Tabella1[CONC X VOTI IN TAB GIOC],Tabella1[Voto]),"")</f>
        <v/>
      </c>
      <c r="AE395" s="270" t="str">
        <f>_xlfn.IFNA(VLOOKUP(CONCATENATE(AE$4,$C395),'INSER DATA'!$A:$F,6,0),"")</f>
        <v/>
      </c>
      <c r="AF395" s="270" t="str">
        <f>_xlfn.IFNA(VLOOKUP(CONCATENATE(AF$4,$C395),'INSER DATA'!$A:$F,6,0),"")</f>
        <v/>
      </c>
      <c r="AG395" s="270" t="str">
        <f>_xlfn.IFNA(VLOOKUP(CONCATENATE(AG$4,$C395),'INSER DATA'!$A:$F,6,0),"")</f>
        <v/>
      </c>
      <c r="AH395" s="270" t="str">
        <f>_xlfn.IFNA(VLOOKUP(CONCATENATE(AH$4,$C395),'INSER DATA'!$A:$F,7,0),"")</f>
        <v/>
      </c>
      <c r="AI395" s="270" t="str">
        <f>_xlfn.IFNA(VLOOKUP(CONCATENATE(AI$4,$C395),'INSER DATA'!$A:$F,7,0),"")</f>
        <v/>
      </c>
      <c r="AJ395" s="270" t="str">
        <f>_xlfn.IFNA(VLOOKUP(CONCATENATE(AJ$4,$C395),'INSER DATA'!$A:$F,7,0),"")</f>
        <v/>
      </c>
      <c r="AK395" s="270" t="str">
        <f>_xlfn.IFNA(VLOOKUP(CONCATENATE(AK$4,$C395),'INSER DATA'!$A:$F,7,0),"")</f>
        <v/>
      </c>
      <c r="AL395" s="270" t="str">
        <f>_xlfn.IFNA(VLOOKUP(CONCATENATE(AL$4,$C395),'INSER DATA'!$A:$F,7,0),"")</f>
        <v/>
      </c>
      <c r="AM395" s="270" t="str">
        <f>_xlfn.IFNA(VLOOKUP(CONCATENATE(AM$4,$C395),'INSER DATA'!$A:$F,7,0),"")</f>
        <v/>
      </c>
      <c r="AN395" s="270" t="str">
        <f>_xlfn.IFNA(VLOOKUP(CONCATENATE(AN$4,$C395),'INSER DATA'!$A:$F,7,0),"")</f>
        <v/>
      </c>
      <c r="AO395" s="270" t="str">
        <f>_xlfn.IFNA(VLOOKUP(CONCATENATE(AO$4,$C395),'INSER DATA'!$A:$F,7,0),"")</f>
        <v/>
      </c>
      <c r="AP395" s="270" t="str">
        <f>_xlfn.IFNA(VLOOKUP(CONCATENATE(AP$4,$C395),'INSER DATA'!$A:$F,7,0),"")</f>
        <v/>
      </c>
      <c r="AQ395" s="270" t="str">
        <f>_xlfn.IFNA(VLOOKUP(CONCATENATE(AQ$4,$C395),'INSER DATA'!$A:$F,7,0),"")</f>
        <v/>
      </c>
      <c r="AR395" s="270" t="str">
        <f>_xlfn.IFNA(VLOOKUP(CONCATENATE(AR$4,$C395),'INSER DATA'!$A:$F,7,0),"")</f>
        <v/>
      </c>
      <c r="AS395" s="270" t="str">
        <f>_xlfn.IFNA(VLOOKUP(CONCATENATE(AS$4,$C395),'INSER DATA'!$A:$F,7,0),"")</f>
        <v/>
      </c>
      <c r="AT395" s="270" t="str">
        <f>_xlfn.IFNA(VLOOKUP(CONCATENATE(AT$4,$C395),'INSER DATA'!$A:$F,7,0),"")</f>
        <v/>
      </c>
      <c r="AU395" s="270" t="str">
        <f>_xlfn.IFNA(VLOOKUP(CONCATENATE(AU$4,$C395),'INSER DATA'!$A:$F,7,0),"")</f>
        <v/>
      </c>
      <c r="AV395" s="270" t="str">
        <f>_xlfn.IFNA(VLOOKUP(CONCATENATE(AV$4,$C395),'INSER DATA'!$A:$F,7,0),"")</f>
        <v/>
      </c>
      <c r="AW395" s="270" t="str">
        <f>_xlfn.IFNA(VLOOKUP(CONCATENATE(AW$4,$C395),'INSER DATA'!$A:$F,7,0),"")</f>
        <v/>
      </c>
      <c r="AX395" s="270" t="str">
        <f>_xlfn.IFNA(VLOOKUP(CONCATENATE(AX$4,$C395),'INSER DATA'!$A:$F,7,0),"")</f>
        <v/>
      </c>
      <c r="AY395" s="270" t="str">
        <f>_xlfn.IFNA(VLOOKUP(CONCATENATE(AY$4,$C395),'INSER DATA'!$A:$F,7,0),"")</f>
        <v/>
      </c>
      <c r="AZ395" s="270" t="str">
        <f>_xlfn.IFNA(VLOOKUP(CONCATENATE(AZ$4,$C395),'INSER DATA'!$A:$F,7,0),"")</f>
        <v/>
      </c>
      <c r="BA395" s="270" t="str">
        <f>_xlfn.IFNA(VLOOKUP(CONCATENATE(BA$4,$C395),'INSER DATA'!$A:$F,7,0),"")</f>
        <v/>
      </c>
      <c r="BB395" s="270" t="str">
        <f>_xlfn.IFNA(VLOOKUP(CONCATENATE(BB$4,$C395),'INSER DATA'!$A:$F,7,0),"")</f>
        <v/>
      </c>
      <c r="BC395" s="270" t="str">
        <f>_xlfn.IFNA(VLOOKUP(CONCATENATE(BC$4,$C395),'INSER DATA'!$A:$F,7,0),"")</f>
        <v/>
      </c>
      <c r="BD395" s="270" t="str">
        <f>_xlfn.IFNA(VLOOKUP(CONCATENATE(BD$4,$C395),'INSER DATA'!$A:$F,7,0),"")</f>
        <v/>
      </c>
      <c r="BE395" s="270" t="str">
        <f>_xlfn.IFNA(VLOOKUP(CONCATENATE(BE$4,$C395),'INSER DATA'!$A:$F,7,0),"")</f>
        <v/>
      </c>
      <c r="BF395" s="270" t="str">
        <f>_xlfn.IFNA(VLOOKUP(CONCATENATE(BF$4,$C395),'INSER DATA'!$A:$F,7,0),"")</f>
        <v/>
      </c>
      <c r="BG395" s="270" t="str">
        <f>_xlfn.IFNA(VLOOKUP(CONCATENATE(BG$4,$C395),'INSER DATA'!$A:$F,7,0),"")</f>
        <v/>
      </c>
      <c r="BH395" s="270" t="str">
        <f>_xlfn.IFNA(VLOOKUP(CONCATENATE(BH$4,$C395),'INSER DATA'!$A:$F,7,0),"")</f>
        <v/>
      </c>
      <c r="BI395" s="270" t="str">
        <f>_xlfn.IFNA(VLOOKUP(CONCATENATE(BI$4,$C395),'INSER DATA'!$A:$F,7,0),"")</f>
        <v/>
      </c>
      <c r="BJ395" s="270" t="str">
        <f>_xlfn.IFNA(VLOOKUP(CONCATENATE(BJ$4,$C395),'INSER DATA'!$A:$F,7,0),"")</f>
        <v/>
      </c>
      <c r="BK395" s="270" t="str">
        <f>_xlfn.IFNA(VLOOKUP(CONCATENATE(BK$4,$C395),'INSER DATA'!$A:$F,7,0),"")</f>
        <v/>
      </c>
      <c r="BL395" s="272"/>
      <c r="BM395" s="30"/>
      <c r="BN395" s="30"/>
      <c r="BO395" s="30"/>
      <c r="BP395" s="30"/>
      <c r="BQ395" s="30"/>
      <c r="BR395" s="30"/>
      <c r="BS395" s="30"/>
      <c r="BT395" s="30"/>
      <c r="BU395" s="30"/>
      <c r="BV395" s="30"/>
      <c r="BW395" s="30"/>
      <c r="BX395" s="30"/>
      <c r="BY395" s="30"/>
      <c r="BZ395" s="30"/>
      <c r="CA395" s="30"/>
      <c r="CB395" s="30"/>
      <c r="CC395" s="30"/>
      <c r="CD395" s="30"/>
      <c r="CE395" s="30"/>
      <c r="CF395" s="30"/>
      <c r="CG395" s="30"/>
      <c r="CH395" s="30"/>
      <c r="CI395" s="30"/>
      <c r="CJ395" s="30"/>
      <c r="CK395" s="30"/>
      <c r="CL395" s="30"/>
      <c r="CM395" s="30"/>
      <c r="CN395" s="30"/>
      <c r="CO395" s="30"/>
      <c r="CP395" s="30"/>
      <c r="CQ395" s="30"/>
      <c r="CR395" s="30"/>
      <c r="CS395" s="30"/>
      <c r="CT395" s="30"/>
      <c r="CU395" s="30"/>
      <c r="CV395" s="30"/>
      <c r="CW395" s="30"/>
      <c r="CX395" s="30"/>
      <c r="CY395" s="30"/>
      <c r="CZ395" s="30"/>
      <c r="DA395" s="30"/>
    </row>
    <row r="396" spans="1:105" ht="19.2" thickTop="1" thickBot="1" x14ac:dyDescent="0.4">
      <c r="A396" s="30"/>
      <c r="B396" s="30"/>
      <c r="C396" s="356" t="s">
        <v>896</v>
      </c>
      <c r="D396" s="355" t="s">
        <v>894</v>
      </c>
      <c r="E396" s="35" t="str">
        <f>_xlfn.XLOOKUP(Tabella4[[#This Row],[NOME]],'ROSE SQUADRE'!$N$3:$N$253,'ROSE SQUADRE'!$O$3:$O$253,"")</f>
        <v>PARTIZAN DEGRADO</v>
      </c>
      <c r="F396" s="36" t="s">
        <v>161</v>
      </c>
      <c r="G396" s="43">
        <v>10</v>
      </c>
      <c r="H396" s="43">
        <v>10</v>
      </c>
      <c r="I396" s="44">
        <f t="shared" si="37"/>
        <v>0</v>
      </c>
      <c r="J396" s="37">
        <f t="shared" si="38"/>
        <v>4</v>
      </c>
      <c r="K396" s="178">
        <f t="shared" si="39"/>
        <v>6.5</v>
      </c>
      <c r="L396" s="178">
        <f t="shared" si="40"/>
        <v>7</v>
      </c>
      <c r="M396" s="179">
        <f t="shared" si="41"/>
        <v>28</v>
      </c>
      <c r="N396" s="45">
        <f t="shared" ca="1" si="42"/>
        <v>0</v>
      </c>
      <c r="O396" s="40">
        <f>SUMIF(Tabella1[Nome],Tabella4[[#This Row],[NOME]],Tabella1[Gf])</f>
        <v>1</v>
      </c>
      <c r="P396" s="40">
        <f>-(SUMIF(Tabella1[Nome],Tabella4[[#This Row],[NOME]],Tabella1[Gs]))</f>
        <v>0</v>
      </c>
      <c r="Q396" s="40">
        <f>SUMIF(Tabella1[Nome],Tabella4[[#This Row],[NOME]],Tabella1[Rp])</f>
        <v>0</v>
      </c>
      <c r="R396" s="40">
        <f>SUMIF(Tabella1[Nome],Tabella4[[#This Row],[NOME]],Tabella1[Rs])</f>
        <v>0</v>
      </c>
      <c r="S396" s="40">
        <f>SUMIF(Tabella1[Nome],Tabella4[[#This Row],[NOME]],Tabella1[Rf])</f>
        <v>0</v>
      </c>
      <c r="T396" s="40">
        <f>SUMIF(Tabella1[Nome],Tabella4[[#This Row],[NOME]],Tabella1[Au])</f>
        <v>0</v>
      </c>
      <c r="U396" s="41">
        <f>SUMIF(Tabella1[Nome],Tabella4[[#This Row],[NOME]],Tabella1[Amm])</f>
        <v>2</v>
      </c>
      <c r="V396" s="42">
        <f>SUMIF(Tabella1[Nome],Tabella4[[#This Row],[NOME]],Tabella1[Esp])</f>
        <v>0</v>
      </c>
      <c r="W396" s="40">
        <f>SUMIF(Tabella1[Nome],Tabella4[[#This Row],[NOME]],Tabella1[Ass])</f>
        <v>0</v>
      </c>
      <c r="X396" s="40">
        <f>SUMIF(Tabella1[Nome],Tabella4[[#This Row],[NOME]],Tabella1[Gdv])</f>
        <v>0</v>
      </c>
      <c r="Y396" s="40">
        <f>SUMIF(Tabella1[Nome],Tabella4[[#This Row],[NOME]],Tabella1[cl sh])</f>
        <v>0</v>
      </c>
      <c r="Z396" s="270">
        <f>_xlfn.IFNA(_xlfn.XLOOKUP(CONCATENATE(Z$4,$C396),Tabella1[CONC X VOTI IN TAB GIOC],Tabella1[Voto],""),"")</f>
        <v>6.5</v>
      </c>
      <c r="AA396" s="270">
        <f>_xlfn.IFNA(_xlfn.XLOOKUP(CONCATENATE(AA$4,$C396),Tabella1[CONC X VOTI IN TAB GIOC],Tabella1[Voto],""),"")</f>
        <v>6.5</v>
      </c>
      <c r="AB396" s="270">
        <f>_xlfn.IFNA(_xlfn.XLOOKUP(CONCATENATE(AB$4,$C396),Tabella1[CONC X VOTI IN TAB GIOC],Tabella1[Voto]),"")</f>
        <v>7</v>
      </c>
      <c r="AC396" s="270" cm="1">
        <f t="array" ref="AC396">_xlfn.IFNA(_xlfn.XLOOKUP(CONCATENATE(AC$4,$C396),INDEX(Tabella1[],0,MATCH("CONC X VOTI IN TAB GIOC",Tabella1[#Headers],0)),INDEX(Tabella1[],0,MATCH("Voto",Tabella1[#Headers],0))),"")</f>
        <v>6</v>
      </c>
      <c r="AD396" s="270" t="str">
        <f>_xlfn.IFNA(_xlfn.XLOOKUP(CONCATENATE(AD$4,$C396),Tabella1[CONC X VOTI IN TAB GIOC],Tabella1[Voto]),"")</f>
        <v/>
      </c>
      <c r="AE396" s="270" t="str">
        <f>_xlfn.IFNA(VLOOKUP(CONCATENATE(AE$4,$C396),'INSER DATA'!$A:$F,6,0),"")</f>
        <v/>
      </c>
      <c r="AF396" s="270" t="str">
        <f>_xlfn.IFNA(VLOOKUP(CONCATENATE(AF$4,$C396),'INSER DATA'!$A:$F,6,0),"")</f>
        <v/>
      </c>
      <c r="AG396" s="270" t="str">
        <f>_xlfn.IFNA(VLOOKUP(CONCATENATE(AG$4,$C396),'INSER DATA'!$A:$F,6,0),"")</f>
        <v/>
      </c>
      <c r="AH396" s="270" t="str">
        <f>_xlfn.IFNA(VLOOKUP(CONCATENATE(AH$4,$C396),'INSER DATA'!$A:$F,7,0),"")</f>
        <v/>
      </c>
      <c r="AI396" s="270" t="str">
        <f>_xlfn.IFNA(VLOOKUP(CONCATENATE(AI$4,$C396),'INSER DATA'!$A:$F,7,0),"")</f>
        <v/>
      </c>
      <c r="AJ396" s="270" t="str">
        <f>_xlfn.IFNA(VLOOKUP(CONCATENATE(AJ$4,$C396),'INSER DATA'!$A:$F,7,0),"")</f>
        <v/>
      </c>
      <c r="AK396" s="270" t="str">
        <f>_xlfn.IFNA(VLOOKUP(CONCATENATE(AK$4,$C396),'INSER DATA'!$A:$F,7,0),"")</f>
        <v/>
      </c>
      <c r="AL396" s="270" t="str">
        <f>_xlfn.IFNA(VLOOKUP(CONCATENATE(AL$4,$C396),'INSER DATA'!$A:$F,7,0),"")</f>
        <v/>
      </c>
      <c r="AM396" s="270" t="str">
        <f>_xlfn.IFNA(VLOOKUP(CONCATENATE(AM$4,$C396),'INSER DATA'!$A:$F,7,0),"")</f>
        <v/>
      </c>
      <c r="AN396" s="270" t="str">
        <f>_xlfn.IFNA(VLOOKUP(CONCATENATE(AN$4,$C396),'INSER DATA'!$A:$F,7,0),"")</f>
        <v/>
      </c>
      <c r="AO396" s="270" t="str">
        <f>_xlfn.IFNA(VLOOKUP(CONCATENATE(AO$4,$C396),'INSER DATA'!$A:$F,7,0),"")</f>
        <v/>
      </c>
      <c r="AP396" s="270" t="str">
        <f>_xlfn.IFNA(VLOOKUP(CONCATENATE(AP$4,$C396),'INSER DATA'!$A:$F,7,0),"")</f>
        <v/>
      </c>
      <c r="AQ396" s="270" t="str">
        <f>_xlfn.IFNA(VLOOKUP(CONCATENATE(AQ$4,$C396),'INSER DATA'!$A:$F,7,0),"")</f>
        <v/>
      </c>
      <c r="AR396" s="270" t="str">
        <f>_xlfn.IFNA(VLOOKUP(CONCATENATE(AR$4,$C396),'INSER DATA'!$A:$F,7,0),"")</f>
        <v/>
      </c>
      <c r="AS396" s="270" t="str">
        <f>_xlfn.IFNA(VLOOKUP(CONCATENATE(AS$4,$C396),'INSER DATA'!$A:$F,7,0),"")</f>
        <v/>
      </c>
      <c r="AT396" s="270" t="str">
        <f>_xlfn.IFNA(VLOOKUP(CONCATENATE(AT$4,$C396),'INSER DATA'!$A:$F,7,0),"")</f>
        <v/>
      </c>
      <c r="AU396" s="270" t="str">
        <f>_xlfn.IFNA(VLOOKUP(CONCATENATE(AU$4,$C396),'INSER DATA'!$A:$F,7,0),"")</f>
        <v/>
      </c>
      <c r="AV396" s="270" t="str">
        <f>_xlfn.IFNA(VLOOKUP(CONCATENATE(AV$4,$C396),'INSER DATA'!$A:$F,7,0),"")</f>
        <v/>
      </c>
      <c r="AW396" s="270" t="str">
        <f>_xlfn.IFNA(VLOOKUP(CONCATENATE(AW$4,$C396),'INSER DATA'!$A:$F,7,0),"")</f>
        <v/>
      </c>
      <c r="AX396" s="270" t="str">
        <f>_xlfn.IFNA(VLOOKUP(CONCATENATE(AX$4,$C396),'INSER DATA'!$A:$F,7,0),"")</f>
        <v/>
      </c>
      <c r="AY396" s="270" t="str">
        <f>_xlfn.IFNA(VLOOKUP(CONCATENATE(AY$4,$C396),'INSER DATA'!$A:$F,7,0),"")</f>
        <v/>
      </c>
      <c r="AZ396" s="270" t="str">
        <f>_xlfn.IFNA(VLOOKUP(CONCATENATE(AZ$4,$C396),'INSER DATA'!$A:$F,7,0),"")</f>
        <v/>
      </c>
      <c r="BA396" s="270" t="str">
        <f>_xlfn.IFNA(VLOOKUP(CONCATENATE(BA$4,$C396),'INSER DATA'!$A:$F,7,0),"")</f>
        <v/>
      </c>
      <c r="BB396" s="270" t="str">
        <f>_xlfn.IFNA(VLOOKUP(CONCATENATE(BB$4,$C396),'INSER DATA'!$A:$F,7,0),"")</f>
        <v/>
      </c>
      <c r="BC396" s="270" t="str">
        <f>_xlfn.IFNA(VLOOKUP(CONCATENATE(BC$4,$C396),'INSER DATA'!$A:$F,7,0),"")</f>
        <v/>
      </c>
      <c r="BD396" s="270" t="str">
        <f>_xlfn.IFNA(VLOOKUP(CONCATENATE(BD$4,$C396),'INSER DATA'!$A:$F,7,0),"")</f>
        <v/>
      </c>
      <c r="BE396" s="270" t="str">
        <f>_xlfn.IFNA(VLOOKUP(CONCATENATE(BE$4,$C396),'INSER DATA'!$A:$F,7,0),"")</f>
        <v/>
      </c>
      <c r="BF396" s="270" t="str">
        <f>_xlfn.IFNA(VLOOKUP(CONCATENATE(BF$4,$C396),'INSER DATA'!$A:$F,7,0),"")</f>
        <v/>
      </c>
      <c r="BG396" s="270" t="str">
        <f>_xlfn.IFNA(VLOOKUP(CONCATENATE(BG$4,$C396),'INSER DATA'!$A:$F,7,0),"")</f>
        <v/>
      </c>
      <c r="BH396" s="270" t="str">
        <f>_xlfn.IFNA(VLOOKUP(CONCATENATE(BH$4,$C396),'INSER DATA'!$A:$F,7,0),"")</f>
        <v/>
      </c>
      <c r="BI396" s="270" t="str">
        <f>_xlfn.IFNA(VLOOKUP(CONCATENATE(BI$4,$C396),'INSER DATA'!$A:$F,7,0),"")</f>
        <v/>
      </c>
      <c r="BJ396" s="270" t="str">
        <f>_xlfn.IFNA(VLOOKUP(CONCATENATE(BJ$4,$C396),'INSER DATA'!$A:$F,7,0),"")</f>
        <v/>
      </c>
      <c r="BK396" s="270" t="str">
        <f>_xlfn.IFNA(VLOOKUP(CONCATENATE(BK$4,$C396),'INSER DATA'!$A:$F,7,0),"")</f>
        <v/>
      </c>
      <c r="BL396" s="272"/>
      <c r="BM396" s="30"/>
      <c r="BN396" s="30"/>
      <c r="BO396" s="30"/>
      <c r="BP396" s="30"/>
      <c r="BQ396" s="30"/>
      <c r="BR396" s="30"/>
      <c r="BS396" s="30"/>
      <c r="BT396" s="30"/>
      <c r="BU396" s="30"/>
      <c r="BV396" s="30"/>
      <c r="BW396" s="30"/>
      <c r="BX396" s="30"/>
      <c r="BY396" s="30"/>
      <c r="BZ396" s="30"/>
      <c r="CA396" s="30"/>
      <c r="CB396" s="30"/>
      <c r="CC396" s="30"/>
      <c r="CD396" s="30"/>
      <c r="CE396" s="30"/>
      <c r="CF396" s="30"/>
      <c r="CG396" s="30"/>
      <c r="CH396" s="30"/>
      <c r="CI396" s="30"/>
      <c r="CJ396" s="30"/>
      <c r="CK396" s="30"/>
      <c r="CL396" s="30"/>
      <c r="CM396" s="30"/>
      <c r="CN396" s="30"/>
      <c r="CO396" s="30"/>
      <c r="CP396" s="30"/>
      <c r="CQ396" s="30"/>
      <c r="CR396" s="30"/>
      <c r="CS396" s="30"/>
      <c r="CT396" s="30"/>
      <c r="CU396" s="30"/>
      <c r="CV396" s="30"/>
      <c r="CW396" s="30"/>
      <c r="CX396" s="30"/>
      <c r="CY396" s="30"/>
      <c r="CZ396" s="30"/>
      <c r="DA396" s="30"/>
    </row>
    <row r="397" spans="1:105" ht="19.2" thickTop="1" thickBot="1" x14ac:dyDescent="0.4">
      <c r="A397" s="30"/>
      <c r="B397" s="30"/>
      <c r="C397" s="356" t="s">
        <v>277</v>
      </c>
      <c r="D397" s="355" t="s">
        <v>894</v>
      </c>
      <c r="E397" s="35" t="str">
        <f>_xlfn.XLOOKUP(Tabella4[[#This Row],[NOME]],'ROSE SQUADRE'!$N$3:$N$253,'ROSE SQUADRE'!$O$3:$O$253,"")</f>
        <v>PESCICULINI</v>
      </c>
      <c r="F397" s="36" t="s">
        <v>161</v>
      </c>
      <c r="G397" s="43">
        <v>15</v>
      </c>
      <c r="H397" s="43">
        <v>15</v>
      </c>
      <c r="I397" s="44">
        <f t="shared" si="37"/>
        <v>0</v>
      </c>
      <c r="J397" s="37">
        <f t="shared" si="38"/>
        <v>4</v>
      </c>
      <c r="K397" s="38">
        <f t="shared" si="39"/>
        <v>6.25</v>
      </c>
      <c r="L397" s="38">
        <f t="shared" si="40"/>
        <v>6.5</v>
      </c>
      <c r="M397" s="39">
        <f t="shared" si="41"/>
        <v>26</v>
      </c>
      <c r="N397" s="45">
        <f t="shared" ca="1" si="42"/>
        <v>0</v>
      </c>
      <c r="O397" s="40">
        <f>SUMIF(Tabella1[Nome],Tabella4[[#This Row],[NOME]],Tabella1[Gf])</f>
        <v>0</v>
      </c>
      <c r="P397" s="40">
        <f>-(SUMIF(Tabella1[Nome],Tabella4[[#This Row],[NOME]],Tabella1[Gs]))</f>
        <v>0</v>
      </c>
      <c r="Q397" s="40">
        <f>SUMIF(Tabella1[Nome],Tabella4[[#This Row],[NOME]],Tabella1[Rp])</f>
        <v>0</v>
      </c>
      <c r="R397" s="40">
        <f>SUMIF(Tabella1[Nome],Tabella4[[#This Row],[NOME]],Tabella1[Rs])</f>
        <v>0</v>
      </c>
      <c r="S397" s="40">
        <f>SUMIF(Tabella1[Nome],Tabella4[[#This Row],[NOME]],Tabella1[Rf])</f>
        <v>0</v>
      </c>
      <c r="T397" s="40">
        <f>SUMIF(Tabella1[Nome],Tabella4[[#This Row],[NOME]],Tabella1[Au])</f>
        <v>0</v>
      </c>
      <c r="U397" s="41">
        <f>SUMIF(Tabella1[Nome],Tabella4[[#This Row],[NOME]],Tabella1[Amm])</f>
        <v>0</v>
      </c>
      <c r="V397" s="42">
        <f>SUMIF(Tabella1[Nome],Tabella4[[#This Row],[NOME]],Tabella1[Esp])</f>
        <v>0</v>
      </c>
      <c r="W397" s="40">
        <f>SUMIF(Tabella1[Nome],Tabella4[[#This Row],[NOME]],Tabella1[Ass])</f>
        <v>1</v>
      </c>
      <c r="X397" s="40">
        <f>SUMIF(Tabella1[Nome],Tabella4[[#This Row],[NOME]],Tabella1[Gdv])</f>
        <v>0</v>
      </c>
      <c r="Y397" s="40">
        <f>SUMIF(Tabella1[Nome],Tabella4[[#This Row],[NOME]],Tabella1[cl sh])</f>
        <v>0</v>
      </c>
      <c r="Z397" s="270">
        <f>_xlfn.IFNA(_xlfn.XLOOKUP(CONCATENATE(Z$4,$C397),Tabella1[CONC X VOTI IN TAB GIOC],Tabella1[Voto],""),"")</f>
        <v>6.5</v>
      </c>
      <c r="AA397" s="270">
        <f>_xlfn.IFNA(_xlfn.XLOOKUP(CONCATENATE(AA$4,$C397),Tabella1[CONC X VOTI IN TAB GIOC],Tabella1[Voto],""),"")</f>
        <v>6.5</v>
      </c>
      <c r="AB397" s="270">
        <f>_xlfn.IFNA(_xlfn.XLOOKUP(CONCATENATE(AB$4,$C397),Tabella1[CONC X VOTI IN TAB GIOC],Tabella1[Voto]),"")</f>
        <v>5</v>
      </c>
      <c r="AC397" s="270" cm="1">
        <f t="array" ref="AC397">_xlfn.IFNA(_xlfn.XLOOKUP(CONCATENATE(AC$4,$C397),INDEX(Tabella1[],0,MATCH("CONC X VOTI IN TAB GIOC",Tabella1[#Headers],0)),INDEX(Tabella1[],0,MATCH("Voto",Tabella1[#Headers],0))),"")</f>
        <v>7</v>
      </c>
      <c r="AD397" s="270" t="str">
        <f>_xlfn.IFNA(_xlfn.XLOOKUP(CONCATENATE(AD$4,$C397),Tabella1[CONC X VOTI IN TAB GIOC],Tabella1[Voto]),"")</f>
        <v/>
      </c>
      <c r="AE397" s="270" t="str">
        <f>_xlfn.IFNA(VLOOKUP(CONCATENATE(AE$4,$C397),'INSER DATA'!$A:$F,6,0),"")</f>
        <v/>
      </c>
      <c r="AF397" s="270" t="str">
        <f>_xlfn.IFNA(VLOOKUP(CONCATENATE(AF$4,$C397),'INSER DATA'!$A:$F,6,0),"")</f>
        <v/>
      </c>
      <c r="AG397" s="270" t="str">
        <f>_xlfn.IFNA(VLOOKUP(CONCATENATE(AG$4,$C397),'INSER DATA'!$A:$F,6,0),"")</f>
        <v/>
      </c>
      <c r="AH397" s="270" t="str">
        <f>_xlfn.IFNA(VLOOKUP(CONCATENATE(AH$4,$C397),'INSER DATA'!$A:$F,7,0),"")</f>
        <v/>
      </c>
      <c r="AI397" s="270" t="str">
        <f>_xlfn.IFNA(VLOOKUP(CONCATENATE(AI$4,$C397),'INSER DATA'!$A:$F,7,0),"")</f>
        <v/>
      </c>
      <c r="AJ397" s="270" t="str">
        <f>_xlfn.IFNA(VLOOKUP(CONCATENATE(AJ$4,$C397),'INSER DATA'!$A:$F,7,0),"")</f>
        <v/>
      </c>
      <c r="AK397" s="270" t="str">
        <f>_xlfn.IFNA(VLOOKUP(CONCATENATE(AK$4,$C397),'INSER DATA'!$A:$F,7,0),"")</f>
        <v/>
      </c>
      <c r="AL397" s="270" t="str">
        <f>_xlfn.IFNA(VLOOKUP(CONCATENATE(AL$4,$C397),'INSER DATA'!$A:$F,7,0),"")</f>
        <v/>
      </c>
      <c r="AM397" s="270" t="str">
        <f>_xlfn.IFNA(VLOOKUP(CONCATENATE(AM$4,$C397),'INSER DATA'!$A:$F,7,0),"")</f>
        <v/>
      </c>
      <c r="AN397" s="270" t="str">
        <f>_xlfn.IFNA(VLOOKUP(CONCATENATE(AN$4,$C397),'INSER DATA'!$A:$F,7,0),"")</f>
        <v/>
      </c>
      <c r="AO397" s="270" t="str">
        <f>_xlfn.IFNA(VLOOKUP(CONCATENATE(AO$4,$C397),'INSER DATA'!$A:$F,7,0),"")</f>
        <v/>
      </c>
      <c r="AP397" s="270" t="str">
        <f>_xlfn.IFNA(VLOOKUP(CONCATENATE(AP$4,$C397),'INSER DATA'!$A:$F,7,0),"")</f>
        <v/>
      </c>
      <c r="AQ397" s="270" t="str">
        <f>_xlfn.IFNA(VLOOKUP(CONCATENATE(AQ$4,$C397),'INSER DATA'!$A:$F,7,0),"")</f>
        <v/>
      </c>
      <c r="AR397" s="270" t="str">
        <f>_xlfn.IFNA(VLOOKUP(CONCATENATE(AR$4,$C397),'INSER DATA'!$A:$F,7,0),"")</f>
        <v/>
      </c>
      <c r="AS397" s="270" t="str">
        <f>_xlfn.IFNA(VLOOKUP(CONCATENATE(AS$4,$C397),'INSER DATA'!$A:$F,7,0),"")</f>
        <v/>
      </c>
      <c r="AT397" s="270" t="str">
        <f>_xlfn.IFNA(VLOOKUP(CONCATENATE(AT$4,$C397),'INSER DATA'!$A:$F,7,0),"")</f>
        <v/>
      </c>
      <c r="AU397" s="270" t="str">
        <f>_xlfn.IFNA(VLOOKUP(CONCATENATE(AU$4,$C397),'INSER DATA'!$A:$F,7,0),"")</f>
        <v/>
      </c>
      <c r="AV397" s="270" t="str">
        <f>_xlfn.IFNA(VLOOKUP(CONCATENATE(AV$4,$C397),'INSER DATA'!$A:$F,7,0),"")</f>
        <v/>
      </c>
      <c r="AW397" s="270" t="str">
        <f>_xlfn.IFNA(VLOOKUP(CONCATENATE(AW$4,$C397),'INSER DATA'!$A:$F,7,0),"")</f>
        <v/>
      </c>
      <c r="AX397" s="270" t="str">
        <f>_xlfn.IFNA(VLOOKUP(CONCATENATE(AX$4,$C397),'INSER DATA'!$A:$F,7,0),"")</f>
        <v/>
      </c>
      <c r="AY397" s="270" t="str">
        <f>_xlfn.IFNA(VLOOKUP(CONCATENATE(AY$4,$C397),'INSER DATA'!$A:$F,7,0),"")</f>
        <v/>
      </c>
      <c r="AZ397" s="270" t="str">
        <f>_xlfn.IFNA(VLOOKUP(CONCATENATE(AZ$4,$C397),'INSER DATA'!$A:$F,7,0),"")</f>
        <v/>
      </c>
      <c r="BA397" s="270" t="str">
        <f>_xlfn.IFNA(VLOOKUP(CONCATENATE(BA$4,$C397),'INSER DATA'!$A:$F,7,0),"")</f>
        <v/>
      </c>
      <c r="BB397" s="270" t="str">
        <f>_xlfn.IFNA(VLOOKUP(CONCATENATE(BB$4,$C397),'INSER DATA'!$A:$F,7,0),"")</f>
        <v/>
      </c>
      <c r="BC397" s="270" t="str">
        <f>_xlfn.IFNA(VLOOKUP(CONCATENATE(BC$4,$C397),'INSER DATA'!$A:$F,7,0),"")</f>
        <v/>
      </c>
      <c r="BD397" s="270" t="str">
        <f>_xlfn.IFNA(VLOOKUP(CONCATENATE(BD$4,$C397),'INSER DATA'!$A:$F,7,0),"")</f>
        <v/>
      </c>
      <c r="BE397" s="270" t="str">
        <f>_xlfn.IFNA(VLOOKUP(CONCATENATE(BE$4,$C397),'INSER DATA'!$A:$F,7,0),"")</f>
        <v/>
      </c>
      <c r="BF397" s="270" t="str">
        <f>_xlfn.IFNA(VLOOKUP(CONCATENATE(BF$4,$C397),'INSER DATA'!$A:$F,7,0),"")</f>
        <v/>
      </c>
      <c r="BG397" s="270" t="str">
        <f>_xlfn.IFNA(VLOOKUP(CONCATENATE(BG$4,$C397),'INSER DATA'!$A:$F,7,0),"")</f>
        <v/>
      </c>
      <c r="BH397" s="270" t="str">
        <f>_xlfn.IFNA(VLOOKUP(CONCATENATE(BH$4,$C397),'INSER DATA'!$A:$F,7,0),"")</f>
        <v/>
      </c>
      <c r="BI397" s="270" t="str">
        <f>_xlfn.IFNA(VLOOKUP(CONCATENATE(BI$4,$C397),'INSER DATA'!$A:$F,7,0),"")</f>
        <v/>
      </c>
      <c r="BJ397" s="270" t="str">
        <f>_xlfn.IFNA(VLOOKUP(CONCATENATE(BJ$4,$C397),'INSER DATA'!$A:$F,7,0),"")</f>
        <v/>
      </c>
      <c r="BK397" s="270" t="str">
        <f>_xlfn.IFNA(VLOOKUP(CONCATENATE(BK$4,$C397),'INSER DATA'!$A:$F,7,0),"")</f>
        <v/>
      </c>
      <c r="BL397" s="272"/>
      <c r="BM397" s="30"/>
      <c r="BN397" s="30"/>
      <c r="BO397" s="30"/>
      <c r="BP397" s="30"/>
      <c r="BQ397" s="30"/>
      <c r="BR397" s="30"/>
      <c r="BS397" s="30"/>
      <c r="BT397" s="30"/>
      <c r="BU397" s="30"/>
      <c r="BV397" s="30"/>
      <c r="BW397" s="30"/>
      <c r="BX397" s="30"/>
      <c r="BY397" s="30"/>
      <c r="BZ397" s="30"/>
      <c r="CA397" s="30"/>
      <c r="CB397" s="30"/>
      <c r="CC397" s="30"/>
      <c r="CD397" s="30"/>
      <c r="CE397" s="30"/>
      <c r="CF397" s="30"/>
      <c r="CG397" s="30"/>
      <c r="CH397" s="30"/>
      <c r="CI397" s="30"/>
      <c r="CJ397" s="30"/>
      <c r="CK397" s="30"/>
      <c r="CL397" s="30"/>
      <c r="CM397" s="30"/>
      <c r="CN397" s="30"/>
      <c r="CO397" s="30"/>
      <c r="CP397" s="30"/>
      <c r="CQ397" s="30"/>
      <c r="CR397" s="30"/>
      <c r="CS397" s="30"/>
      <c r="CT397" s="30"/>
      <c r="CU397" s="30"/>
      <c r="CV397" s="30"/>
      <c r="CW397" s="30"/>
      <c r="CX397" s="30"/>
      <c r="CY397" s="30"/>
      <c r="CZ397" s="30"/>
      <c r="DA397" s="30"/>
    </row>
    <row r="398" spans="1:105" ht="19.2" thickTop="1" thickBot="1" x14ac:dyDescent="0.4">
      <c r="A398" s="30"/>
      <c r="B398" s="30"/>
      <c r="C398" s="354" t="s">
        <v>281</v>
      </c>
      <c r="D398" s="355" t="s">
        <v>894</v>
      </c>
      <c r="E398" s="35" t="str">
        <f>_xlfn.XLOOKUP(Tabella4[[#This Row],[NOME]],'ROSE SQUADRE'!$N$3:$N$253,'ROSE SQUADRE'!$O$3:$O$253,"")</f>
        <v>SAN GRIA</v>
      </c>
      <c r="F398" s="36" t="s">
        <v>162</v>
      </c>
      <c r="G398" s="43">
        <v>8</v>
      </c>
      <c r="H398" s="43">
        <v>8</v>
      </c>
      <c r="I398" s="44">
        <f t="shared" si="37"/>
        <v>0</v>
      </c>
      <c r="J398" s="37">
        <f t="shared" si="38"/>
        <v>4</v>
      </c>
      <c r="K398" s="38">
        <f t="shared" si="39"/>
        <v>6.25</v>
      </c>
      <c r="L398" s="38">
        <f t="shared" si="40"/>
        <v>6.25</v>
      </c>
      <c r="M398" s="39">
        <f t="shared" si="41"/>
        <v>25</v>
      </c>
      <c r="N398" s="45">
        <f t="shared" ca="1" si="42"/>
        <v>1</v>
      </c>
      <c r="O398" s="40">
        <f>SUMIF(Tabella1[Nome],Tabella4[[#This Row],[NOME]],Tabella1[Gf])</f>
        <v>0</v>
      </c>
      <c r="P398" s="40">
        <f>-(SUMIF(Tabella1[Nome],Tabella4[[#This Row],[NOME]],Tabella1[Gs]))</f>
        <v>0</v>
      </c>
      <c r="Q398" s="40">
        <f>SUMIF(Tabella1[Nome],Tabella4[[#This Row],[NOME]],Tabella1[Rp])</f>
        <v>0</v>
      </c>
      <c r="R398" s="40">
        <f>SUMIF(Tabella1[Nome],Tabella4[[#This Row],[NOME]],Tabella1[Rs])</f>
        <v>0</v>
      </c>
      <c r="S398" s="40">
        <f>SUMIF(Tabella1[Nome],Tabella4[[#This Row],[NOME]],Tabella1[Rf])</f>
        <v>0</v>
      </c>
      <c r="T398" s="40">
        <f>SUMIF(Tabella1[Nome],Tabella4[[#This Row],[NOME]],Tabella1[Au])</f>
        <v>0</v>
      </c>
      <c r="U398" s="41">
        <f>SUMIF(Tabella1[Nome],Tabella4[[#This Row],[NOME]],Tabella1[Amm])</f>
        <v>0</v>
      </c>
      <c r="V398" s="42">
        <f>SUMIF(Tabella1[Nome],Tabella4[[#This Row],[NOME]],Tabella1[Esp])</f>
        <v>0</v>
      </c>
      <c r="W398" s="40">
        <f>SUMIF(Tabella1[Nome],Tabella4[[#This Row],[NOME]],Tabella1[Ass])</f>
        <v>0</v>
      </c>
      <c r="X398" s="40">
        <f>SUMIF(Tabella1[Nome],Tabella4[[#This Row],[NOME]],Tabella1[Gdv])</f>
        <v>0</v>
      </c>
      <c r="Y398" s="40">
        <f>SUMIF(Tabella1[Nome],Tabella4[[#This Row],[NOME]],Tabella1[cl sh])</f>
        <v>0</v>
      </c>
      <c r="Z398" s="270">
        <f>_xlfn.IFNA(_xlfn.XLOOKUP(CONCATENATE(Z$4,$C398),Tabella1[CONC X VOTI IN TAB GIOC],Tabella1[Voto],""),"")</f>
        <v>6.5</v>
      </c>
      <c r="AA398" s="270">
        <f>_xlfn.IFNA(_xlfn.XLOOKUP(CONCATENATE(AA$4,$C398),Tabella1[CONC X VOTI IN TAB GIOC],Tabella1[Voto],""),"")</f>
        <v>6.5</v>
      </c>
      <c r="AB398" s="400">
        <f>_xlfn.IFNA(_xlfn.XLOOKUP(CONCATENATE(AB$4,$C398),Tabella1[CONC X VOTI IN TAB GIOC],Tabella1[Voto]),"")</f>
        <v>6</v>
      </c>
      <c r="AC398" s="270" cm="1">
        <f t="array" ref="AC398">_xlfn.IFNA(_xlfn.XLOOKUP(CONCATENATE(AC$4,$C398),INDEX(Tabella1[],0,MATCH("CONC X VOTI IN TAB GIOC",Tabella1[#Headers],0)),INDEX(Tabella1[],0,MATCH("Voto",Tabella1[#Headers],0))),"")</f>
        <v>6</v>
      </c>
      <c r="AD398" s="270" t="str">
        <f>_xlfn.IFNA(_xlfn.XLOOKUP(CONCATENATE(AD$4,$C398),Tabella1[CONC X VOTI IN TAB GIOC],Tabella1[Voto]),"")</f>
        <v/>
      </c>
      <c r="AE398" s="270" t="str">
        <f>_xlfn.IFNA(VLOOKUP(CONCATENATE(AE$4,$C398),'INSER DATA'!$A:$F,6,0),"")</f>
        <v/>
      </c>
      <c r="AF398" s="270" t="str">
        <f>_xlfn.IFNA(VLOOKUP(CONCATENATE(AF$4,$C398),'INSER DATA'!$A:$F,6,0),"")</f>
        <v/>
      </c>
      <c r="AG398" s="270" t="str">
        <f>_xlfn.IFNA(VLOOKUP(CONCATENATE(AG$4,$C398),'INSER DATA'!$A:$F,6,0),"")</f>
        <v/>
      </c>
      <c r="AH398" s="270" t="str">
        <f>_xlfn.IFNA(VLOOKUP(CONCATENATE(AH$4,$C398),'INSER DATA'!$A:$F,7,0),"")</f>
        <v/>
      </c>
      <c r="AI398" s="270" t="str">
        <f>_xlfn.IFNA(VLOOKUP(CONCATENATE(AI$4,$C398),'INSER DATA'!$A:$F,7,0),"")</f>
        <v/>
      </c>
      <c r="AJ398" s="270" t="str">
        <f>_xlfn.IFNA(VLOOKUP(CONCATENATE(AJ$4,$C398),'INSER DATA'!$A:$F,7,0),"")</f>
        <v/>
      </c>
      <c r="AK398" s="270" t="str">
        <f>_xlfn.IFNA(VLOOKUP(CONCATENATE(AK$4,$C398),'INSER DATA'!$A:$F,7,0),"")</f>
        <v/>
      </c>
      <c r="AL398" s="270" t="str">
        <f>_xlfn.IFNA(VLOOKUP(CONCATENATE(AL$4,$C398),'INSER DATA'!$A:$F,7,0),"")</f>
        <v/>
      </c>
      <c r="AM398" s="270" t="str">
        <f>_xlfn.IFNA(VLOOKUP(CONCATENATE(AM$4,$C398),'INSER DATA'!$A:$F,7,0),"")</f>
        <v/>
      </c>
      <c r="AN398" s="270" t="str">
        <f>_xlfn.IFNA(VLOOKUP(CONCATENATE(AN$4,$C398),'INSER DATA'!$A:$F,7,0),"")</f>
        <v/>
      </c>
      <c r="AO398" s="270" t="str">
        <f>_xlfn.IFNA(VLOOKUP(CONCATENATE(AO$4,$C398),'INSER DATA'!$A:$F,7,0),"")</f>
        <v/>
      </c>
      <c r="AP398" s="270" t="str">
        <f>_xlfn.IFNA(VLOOKUP(CONCATENATE(AP$4,$C398),'INSER DATA'!$A:$F,7,0),"")</f>
        <v/>
      </c>
      <c r="AQ398" s="270" t="str">
        <f>_xlfn.IFNA(VLOOKUP(CONCATENATE(AQ$4,$C398),'INSER DATA'!$A:$F,7,0),"")</f>
        <v/>
      </c>
      <c r="AR398" s="270" t="str">
        <f>_xlfn.IFNA(VLOOKUP(CONCATENATE(AR$4,$C398),'INSER DATA'!$A:$F,7,0),"")</f>
        <v/>
      </c>
      <c r="AS398" s="270" t="str">
        <f>_xlfn.IFNA(VLOOKUP(CONCATENATE(AS$4,$C398),'INSER DATA'!$A:$F,7,0),"")</f>
        <v/>
      </c>
      <c r="AT398" s="270" t="str">
        <f>_xlfn.IFNA(VLOOKUP(CONCATENATE(AT$4,$C398),'INSER DATA'!$A:$F,7,0),"")</f>
        <v/>
      </c>
      <c r="AU398" s="270" t="str">
        <f>_xlfn.IFNA(VLOOKUP(CONCATENATE(AU$4,$C398),'INSER DATA'!$A:$F,7,0),"")</f>
        <v/>
      </c>
      <c r="AV398" s="270" t="str">
        <f>_xlfn.IFNA(VLOOKUP(CONCATENATE(AV$4,$C398),'INSER DATA'!$A:$F,7,0),"")</f>
        <v/>
      </c>
      <c r="AW398" s="270" t="str">
        <f>_xlfn.IFNA(VLOOKUP(CONCATENATE(AW$4,$C398),'INSER DATA'!$A:$F,7,0),"")</f>
        <v/>
      </c>
      <c r="AX398" s="270" t="str">
        <f>_xlfn.IFNA(VLOOKUP(CONCATENATE(AX$4,$C398),'INSER DATA'!$A:$F,7,0),"")</f>
        <v/>
      </c>
      <c r="AY398" s="270" t="str">
        <f>_xlfn.IFNA(VLOOKUP(CONCATENATE(AY$4,$C398),'INSER DATA'!$A:$F,7,0),"")</f>
        <v/>
      </c>
      <c r="AZ398" s="270" t="str">
        <f>_xlfn.IFNA(VLOOKUP(CONCATENATE(AZ$4,$C398),'INSER DATA'!$A:$F,7,0),"")</f>
        <v/>
      </c>
      <c r="BA398" s="270" t="str">
        <f>_xlfn.IFNA(VLOOKUP(CONCATENATE(BA$4,$C398),'INSER DATA'!$A:$F,7,0),"")</f>
        <v/>
      </c>
      <c r="BB398" s="270" t="str">
        <f>_xlfn.IFNA(VLOOKUP(CONCATENATE(BB$4,$C398),'INSER DATA'!$A:$F,7,0),"")</f>
        <v/>
      </c>
      <c r="BC398" s="270" t="str">
        <f>_xlfn.IFNA(VLOOKUP(CONCATENATE(BC$4,$C398),'INSER DATA'!$A:$F,7,0),"")</f>
        <v/>
      </c>
      <c r="BD398" s="270" t="str">
        <f>_xlfn.IFNA(VLOOKUP(CONCATENATE(BD$4,$C398),'INSER DATA'!$A:$F,7,0),"")</f>
        <v/>
      </c>
      <c r="BE398" s="270" t="str">
        <f>_xlfn.IFNA(VLOOKUP(CONCATENATE(BE$4,$C398),'INSER DATA'!$A:$F,7,0),"")</f>
        <v/>
      </c>
      <c r="BF398" s="270" t="str">
        <f>_xlfn.IFNA(VLOOKUP(CONCATENATE(BF$4,$C398),'INSER DATA'!$A:$F,7,0),"")</f>
        <v/>
      </c>
      <c r="BG398" s="270" t="str">
        <f>_xlfn.IFNA(VLOOKUP(CONCATENATE(BG$4,$C398),'INSER DATA'!$A:$F,7,0),"")</f>
        <v/>
      </c>
      <c r="BH398" s="270" t="str">
        <f>_xlfn.IFNA(VLOOKUP(CONCATENATE(BH$4,$C398),'INSER DATA'!$A:$F,7,0),"")</f>
        <v/>
      </c>
      <c r="BI398" s="270" t="str">
        <f>_xlfn.IFNA(VLOOKUP(CONCATENATE(BI$4,$C398),'INSER DATA'!$A:$F,7,0),"")</f>
        <v/>
      </c>
      <c r="BJ398" s="270" t="str">
        <f>_xlfn.IFNA(VLOOKUP(CONCATENATE(BJ$4,$C398),'INSER DATA'!$A:$F,7,0),"")</f>
        <v/>
      </c>
      <c r="BK398" s="270" t="str">
        <f>_xlfn.IFNA(VLOOKUP(CONCATENATE(BK$4,$C398),'INSER DATA'!$A:$F,7,0),"")</f>
        <v/>
      </c>
      <c r="BL398" s="272"/>
      <c r="BM398" s="30"/>
      <c r="BN398" s="30"/>
      <c r="BO398" s="30"/>
      <c r="BP398" s="30"/>
      <c r="BQ398" s="30"/>
      <c r="BR398" s="30"/>
      <c r="BS398" s="30"/>
      <c r="BT398" s="30"/>
      <c r="BU398" s="30"/>
      <c r="BV398" s="30"/>
      <c r="BW398" s="30"/>
      <c r="BX398" s="30"/>
      <c r="BY398" s="30"/>
      <c r="BZ398" s="30"/>
      <c r="CA398" s="30"/>
      <c r="CB398" s="30"/>
      <c r="CC398" s="30"/>
      <c r="CD398" s="30"/>
      <c r="CE398" s="30"/>
      <c r="CF398" s="30"/>
      <c r="CG398" s="30"/>
      <c r="CH398" s="30"/>
      <c r="CI398" s="30"/>
      <c r="CJ398" s="30"/>
      <c r="CK398" s="30"/>
      <c r="CL398" s="30"/>
      <c r="CM398" s="30"/>
      <c r="CN398" s="30"/>
      <c r="CO398" s="30"/>
      <c r="CP398" s="30"/>
      <c r="CQ398" s="30"/>
      <c r="CR398" s="30"/>
      <c r="CS398" s="30"/>
      <c r="CT398" s="30"/>
      <c r="CU398" s="30"/>
      <c r="CV398" s="30"/>
      <c r="CW398" s="30"/>
      <c r="CX398" s="30"/>
      <c r="CY398" s="30"/>
      <c r="CZ398" s="30"/>
      <c r="DA398" s="30"/>
    </row>
    <row r="399" spans="1:105" ht="19.2" thickTop="1" thickBot="1" x14ac:dyDescent="0.4">
      <c r="A399" s="30"/>
      <c r="B399" s="30"/>
      <c r="C399" s="356" t="s">
        <v>903</v>
      </c>
      <c r="D399" s="355" t="s">
        <v>894</v>
      </c>
      <c r="E399" s="35" t="str">
        <f>_xlfn.XLOOKUP(Tabella4[[#This Row],[NOME]],'ROSE SQUADRE'!$N$3:$N$253,'ROSE SQUADRE'!$O$3:$O$253,"")</f>
        <v>AC ASPARAGHESE</v>
      </c>
      <c r="F399" s="36" t="s">
        <v>162</v>
      </c>
      <c r="G399" s="43">
        <v>10</v>
      </c>
      <c r="H399" s="43">
        <v>10</v>
      </c>
      <c r="I399" s="44">
        <f t="shared" si="37"/>
        <v>0</v>
      </c>
      <c r="J399" s="37">
        <f t="shared" si="38"/>
        <v>4</v>
      </c>
      <c r="K399" s="38">
        <f t="shared" si="39"/>
        <v>6.25</v>
      </c>
      <c r="L399" s="38">
        <f t="shared" si="40"/>
        <v>6.125</v>
      </c>
      <c r="M399" s="39">
        <f t="shared" si="41"/>
        <v>24.5</v>
      </c>
      <c r="N399" s="45">
        <f t="shared" ca="1" si="42"/>
        <v>0</v>
      </c>
      <c r="O399" s="40">
        <f>SUMIF(Tabella1[Nome],Tabella4[[#This Row],[NOME]],Tabella1[Gf])</f>
        <v>0</v>
      </c>
      <c r="P399" s="40">
        <f>-(SUMIF(Tabella1[Nome],Tabella4[[#This Row],[NOME]],Tabella1[Gs]))</f>
        <v>0</v>
      </c>
      <c r="Q399" s="40">
        <f>SUMIF(Tabella1[Nome],Tabella4[[#This Row],[NOME]],Tabella1[Rp])</f>
        <v>0</v>
      </c>
      <c r="R399" s="40">
        <f>SUMIF(Tabella1[Nome],Tabella4[[#This Row],[NOME]],Tabella1[Rs])</f>
        <v>0</v>
      </c>
      <c r="S399" s="40">
        <f>SUMIF(Tabella1[Nome],Tabella4[[#This Row],[NOME]],Tabella1[Rf])</f>
        <v>0</v>
      </c>
      <c r="T399" s="40">
        <f>SUMIF(Tabella1[Nome],Tabella4[[#This Row],[NOME]],Tabella1[Au])</f>
        <v>0</v>
      </c>
      <c r="U399" s="41">
        <f>SUMIF(Tabella1[Nome],Tabella4[[#This Row],[NOME]],Tabella1[Amm])</f>
        <v>1</v>
      </c>
      <c r="V399" s="42">
        <f>SUMIF(Tabella1[Nome],Tabella4[[#This Row],[NOME]],Tabella1[Esp])</f>
        <v>0</v>
      </c>
      <c r="W399" s="40">
        <f>SUMIF(Tabella1[Nome],Tabella4[[#This Row],[NOME]],Tabella1[Ass])</f>
        <v>0</v>
      </c>
      <c r="X399" s="40">
        <f>SUMIF(Tabella1[Nome],Tabella4[[#This Row],[NOME]],Tabella1[Gdv])</f>
        <v>0</v>
      </c>
      <c r="Y399" s="40">
        <f>SUMIF(Tabella1[Nome],Tabella4[[#This Row],[NOME]],Tabella1[cl sh])</f>
        <v>0</v>
      </c>
      <c r="Z399" s="270">
        <f>_xlfn.IFNA(_xlfn.XLOOKUP(CONCATENATE(Z$4,$C399),Tabella1[CONC X VOTI IN TAB GIOC],Tabella1[Voto],""),"")</f>
        <v>6</v>
      </c>
      <c r="AA399" s="270">
        <f>_xlfn.IFNA(_xlfn.XLOOKUP(CONCATENATE(AA$4,$C399),Tabella1[CONC X VOTI IN TAB GIOC],Tabella1[Voto],""),"")</f>
        <v>7</v>
      </c>
      <c r="AB399" s="270">
        <f>_xlfn.IFNA(_xlfn.XLOOKUP(CONCATENATE(AB$4,$C399),Tabella1[CONC X VOTI IN TAB GIOC],Tabella1[Voto]),"")</f>
        <v>6</v>
      </c>
      <c r="AC399" s="270" cm="1">
        <f t="array" ref="AC399">_xlfn.IFNA(_xlfn.XLOOKUP(CONCATENATE(AC$4,$C399),INDEX(Tabella1[],0,MATCH("CONC X VOTI IN TAB GIOC",Tabella1[#Headers],0)),INDEX(Tabella1[],0,MATCH("Voto",Tabella1[#Headers],0))),"")</f>
        <v>6</v>
      </c>
      <c r="AD399" s="270" t="str">
        <f>_xlfn.IFNA(_xlfn.XLOOKUP(CONCATENATE(AD$4,$C399),Tabella1[CONC X VOTI IN TAB GIOC],Tabella1[Voto]),"")</f>
        <v/>
      </c>
      <c r="AE399" s="270" t="str">
        <f>_xlfn.IFNA(VLOOKUP(CONCATENATE(AE$4,$C399),'INSER DATA'!$A:$F,6,0),"")</f>
        <v/>
      </c>
      <c r="AF399" s="270" t="str">
        <f>_xlfn.IFNA(VLOOKUP(CONCATENATE(AF$4,$C399),'INSER DATA'!$A:$F,6,0),"")</f>
        <v/>
      </c>
      <c r="AG399" s="270" t="str">
        <f>_xlfn.IFNA(VLOOKUP(CONCATENATE(AG$4,$C399),'INSER DATA'!$A:$F,6,0),"")</f>
        <v/>
      </c>
      <c r="AH399" s="270" t="str">
        <f>_xlfn.IFNA(VLOOKUP(CONCATENATE(AH$4,$C399),'INSER DATA'!$A:$F,7,0),"")</f>
        <v/>
      </c>
      <c r="AI399" s="270" t="str">
        <f>_xlfn.IFNA(VLOOKUP(CONCATENATE(AI$4,$C399),'INSER DATA'!$A:$F,7,0),"")</f>
        <v/>
      </c>
      <c r="AJ399" s="270" t="str">
        <f>_xlfn.IFNA(VLOOKUP(CONCATENATE(AJ$4,$C399),'INSER DATA'!$A:$F,7,0),"")</f>
        <v/>
      </c>
      <c r="AK399" s="270" t="str">
        <f>_xlfn.IFNA(VLOOKUP(CONCATENATE(AK$4,$C399),'INSER DATA'!$A:$F,7,0),"")</f>
        <v/>
      </c>
      <c r="AL399" s="270" t="str">
        <f>_xlfn.IFNA(VLOOKUP(CONCATENATE(AL$4,$C399),'INSER DATA'!$A:$F,7,0),"")</f>
        <v/>
      </c>
      <c r="AM399" s="270" t="str">
        <f>_xlfn.IFNA(VLOOKUP(CONCATENATE(AM$4,$C399),'INSER DATA'!$A:$F,7,0),"")</f>
        <v/>
      </c>
      <c r="AN399" s="270" t="str">
        <f>_xlfn.IFNA(VLOOKUP(CONCATENATE(AN$4,$C399),'INSER DATA'!$A:$F,7,0),"")</f>
        <v/>
      </c>
      <c r="AO399" s="270" t="str">
        <f>_xlfn.IFNA(VLOOKUP(CONCATENATE(AO$4,$C399),'INSER DATA'!$A:$F,7,0),"")</f>
        <v/>
      </c>
      <c r="AP399" s="270" t="str">
        <f>_xlfn.IFNA(VLOOKUP(CONCATENATE(AP$4,$C399),'INSER DATA'!$A:$F,7,0),"")</f>
        <v/>
      </c>
      <c r="AQ399" s="270" t="str">
        <f>_xlfn.IFNA(VLOOKUP(CONCATENATE(AQ$4,$C399),'INSER DATA'!$A:$F,7,0),"")</f>
        <v/>
      </c>
      <c r="AR399" s="270" t="str">
        <f>_xlfn.IFNA(VLOOKUP(CONCATENATE(AR$4,$C399),'INSER DATA'!$A:$F,7,0),"")</f>
        <v/>
      </c>
      <c r="AS399" s="270" t="str">
        <f>_xlfn.IFNA(VLOOKUP(CONCATENATE(AS$4,$C399),'INSER DATA'!$A:$F,7,0),"")</f>
        <v/>
      </c>
      <c r="AT399" s="270" t="str">
        <f>_xlfn.IFNA(VLOOKUP(CONCATENATE(AT$4,$C399),'INSER DATA'!$A:$F,7,0),"")</f>
        <v/>
      </c>
      <c r="AU399" s="270" t="str">
        <f>_xlfn.IFNA(VLOOKUP(CONCATENATE(AU$4,$C399),'INSER DATA'!$A:$F,7,0),"")</f>
        <v/>
      </c>
      <c r="AV399" s="270" t="str">
        <f>_xlfn.IFNA(VLOOKUP(CONCATENATE(AV$4,$C399),'INSER DATA'!$A:$F,7,0),"")</f>
        <v/>
      </c>
      <c r="AW399" s="270" t="str">
        <f>_xlfn.IFNA(VLOOKUP(CONCATENATE(AW$4,$C399),'INSER DATA'!$A:$F,7,0),"")</f>
        <v/>
      </c>
      <c r="AX399" s="270" t="str">
        <f>_xlfn.IFNA(VLOOKUP(CONCATENATE(AX$4,$C399),'INSER DATA'!$A:$F,7,0),"")</f>
        <v/>
      </c>
      <c r="AY399" s="270" t="str">
        <f>_xlfn.IFNA(VLOOKUP(CONCATENATE(AY$4,$C399),'INSER DATA'!$A:$F,7,0),"")</f>
        <v/>
      </c>
      <c r="AZ399" s="270" t="str">
        <f>_xlfn.IFNA(VLOOKUP(CONCATENATE(AZ$4,$C399),'INSER DATA'!$A:$F,7,0),"")</f>
        <v/>
      </c>
      <c r="BA399" s="270" t="str">
        <f>_xlfn.IFNA(VLOOKUP(CONCATENATE(BA$4,$C399),'INSER DATA'!$A:$F,7,0),"")</f>
        <v/>
      </c>
      <c r="BB399" s="270" t="str">
        <f>_xlfn.IFNA(VLOOKUP(CONCATENATE(BB$4,$C399),'INSER DATA'!$A:$F,7,0),"")</f>
        <v/>
      </c>
      <c r="BC399" s="270" t="str">
        <f>_xlfn.IFNA(VLOOKUP(CONCATENATE(BC$4,$C399),'INSER DATA'!$A:$F,7,0),"")</f>
        <v/>
      </c>
      <c r="BD399" s="270" t="str">
        <f>_xlfn.IFNA(VLOOKUP(CONCATENATE(BD$4,$C399),'INSER DATA'!$A:$F,7,0),"")</f>
        <v/>
      </c>
      <c r="BE399" s="270" t="str">
        <f>_xlfn.IFNA(VLOOKUP(CONCATENATE(BE$4,$C399),'INSER DATA'!$A:$F,7,0),"")</f>
        <v/>
      </c>
      <c r="BF399" s="270" t="str">
        <f>_xlfn.IFNA(VLOOKUP(CONCATENATE(BF$4,$C399),'INSER DATA'!$A:$F,7,0),"")</f>
        <v/>
      </c>
      <c r="BG399" s="270" t="str">
        <f>_xlfn.IFNA(VLOOKUP(CONCATENATE(BG$4,$C399),'INSER DATA'!$A:$F,7,0),"")</f>
        <v/>
      </c>
      <c r="BH399" s="270" t="str">
        <f>_xlfn.IFNA(VLOOKUP(CONCATENATE(BH$4,$C399),'INSER DATA'!$A:$F,7,0),"")</f>
        <v/>
      </c>
      <c r="BI399" s="270" t="str">
        <f>_xlfn.IFNA(VLOOKUP(CONCATENATE(BI$4,$C399),'INSER DATA'!$A:$F,7,0),"")</f>
        <v/>
      </c>
      <c r="BJ399" s="270" t="str">
        <f>_xlfn.IFNA(VLOOKUP(CONCATENATE(BJ$4,$C399),'INSER DATA'!$A:$F,7,0),"")</f>
        <v/>
      </c>
      <c r="BK399" s="270" t="str">
        <f>_xlfn.IFNA(VLOOKUP(CONCATENATE(BK$4,$C399),'INSER DATA'!$A:$F,7,0),"")</f>
        <v/>
      </c>
      <c r="BL399" s="272"/>
      <c r="BM399" s="30"/>
      <c r="BN399" s="30"/>
      <c r="BO399" s="30"/>
      <c r="BP399" s="30"/>
      <c r="BQ399" s="30"/>
      <c r="BR399" s="30"/>
      <c r="BS399" s="30"/>
      <c r="BT399" s="30"/>
      <c r="BU399" s="30"/>
      <c r="BV399" s="30"/>
      <c r="BW399" s="30"/>
      <c r="BX399" s="30"/>
      <c r="BY399" s="30"/>
      <c r="BZ399" s="30"/>
      <c r="CA399" s="30"/>
      <c r="CB399" s="30"/>
      <c r="CC399" s="30"/>
      <c r="CD399" s="30"/>
      <c r="CE399" s="30"/>
      <c r="CF399" s="30"/>
      <c r="CG399" s="30"/>
      <c r="CH399" s="30"/>
      <c r="CI399" s="30"/>
      <c r="CJ399" s="30"/>
      <c r="CK399" s="30"/>
      <c r="CL399" s="30"/>
      <c r="CM399" s="30"/>
      <c r="CN399" s="30"/>
      <c r="CO399" s="30"/>
      <c r="CP399" s="30"/>
      <c r="CQ399" s="30"/>
      <c r="CR399" s="30"/>
      <c r="CS399" s="30"/>
      <c r="CT399" s="30"/>
      <c r="CU399" s="30"/>
      <c r="CV399" s="30"/>
      <c r="CW399" s="30"/>
      <c r="CX399" s="30"/>
      <c r="CY399" s="30"/>
      <c r="CZ399" s="30"/>
      <c r="DA399" s="30"/>
    </row>
    <row r="400" spans="1:105" ht="19.2" thickTop="1" thickBot="1" x14ac:dyDescent="0.4">
      <c r="A400" s="30"/>
      <c r="B400" s="30"/>
      <c r="C400" s="185" t="s">
        <v>905</v>
      </c>
      <c r="D400" s="46" t="s">
        <v>894</v>
      </c>
      <c r="E400" s="35" t="str">
        <f>_xlfn.XLOOKUP(Tabella4[[#This Row],[NOME]],'ROSE SQUADRE'!$N$3:$N$253,'ROSE SQUADRE'!$O$3:$O$253,"")</f>
        <v/>
      </c>
      <c r="F400" s="36" t="s">
        <v>162</v>
      </c>
      <c r="G400" s="43">
        <v>5</v>
      </c>
      <c r="H400" s="43">
        <v>7</v>
      </c>
      <c r="I400" s="44">
        <f t="shared" si="37"/>
        <v>2</v>
      </c>
      <c r="J400" s="37">
        <f t="shared" si="38"/>
        <v>3</v>
      </c>
      <c r="K400" s="38">
        <f t="shared" si="39"/>
        <v>6.5</v>
      </c>
      <c r="L400" s="38">
        <f t="shared" si="40"/>
        <v>8.3333333333333339</v>
      </c>
      <c r="M400" s="39">
        <f t="shared" si="41"/>
        <v>25</v>
      </c>
      <c r="N400" s="45">
        <f t="shared" ca="1" si="42"/>
        <v>0</v>
      </c>
      <c r="O400" s="40">
        <f>SUMIF(Tabella1[Nome],Tabella4[[#This Row],[NOME]],Tabella1[Gf])</f>
        <v>2</v>
      </c>
      <c r="P400" s="40">
        <f>-(SUMIF(Tabella1[Nome],Tabella4[[#This Row],[NOME]],Tabella1[Gs]))</f>
        <v>0</v>
      </c>
      <c r="Q400" s="40">
        <f>SUMIF(Tabella1[Nome],Tabella4[[#This Row],[NOME]],Tabella1[Rp])</f>
        <v>0</v>
      </c>
      <c r="R400" s="40">
        <f>SUMIF(Tabella1[Nome],Tabella4[[#This Row],[NOME]],Tabella1[Rs])</f>
        <v>0</v>
      </c>
      <c r="S400" s="40">
        <f>SUMIF(Tabella1[Nome],Tabella4[[#This Row],[NOME]],Tabella1[Rf])</f>
        <v>0</v>
      </c>
      <c r="T400" s="40">
        <f>SUMIF(Tabella1[Nome],Tabella4[[#This Row],[NOME]],Tabella1[Au])</f>
        <v>0</v>
      </c>
      <c r="U400" s="41">
        <f>SUMIF(Tabella1[Nome],Tabella4[[#This Row],[NOME]],Tabella1[Amm])</f>
        <v>1</v>
      </c>
      <c r="V400" s="42">
        <f>SUMIF(Tabella1[Nome],Tabella4[[#This Row],[NOME]],Tabella1[Esp])</f>
        <v>0</v>
      </c>
      <c r="W400" s="40">
        <f>SUMIF(Tabella1[Nome],Tabella4[[#This Row],[NOME]],Tabella1[Ass])</f>
        <v>0</v>
      </c>
      <c r="X400" s="40">
        <f>SUMIF(Tabella1[Nome],Tabella4[[#This Row],[NOME]],Tabella1[Gdv])</f>
        <v>0</v>
      </c>
      <c r="Y400" s="40">
        <f>SUMIF(Tabella1[Nome],Tabella4[[#This Row],[NOME]],Tabella1[cl sh])</f>
        <v>0</v>
      </c>
      <c r="Z400" s="270">
        <f>_xlfn.IFNA(_xlfn.XLOOKUP(CONCATENATE(Z$4,$C400),Tabella1[CONC X VOTI IN TAB GIOC],Tabella1[Voto],""),"")</f>
        <v>6.5</v>
      </c>
      <c r="AA400" s="270">
        <f>_xlfn.IFNA(_xlfn.XLOOKUP(CONCATENATE(AA$4,$C400),Tabella1[CONC X VOTI IN TAB GIOC],Tabella1[Voto],""),"")</f>
        <v>6.5</v>
      </c>
      <c r="AB400" s="270" t="str">
        <f>_xlfn.IFNA(_xlfn.XLOOKUP(CONCATENATE(AB$4,$C400),Tabella1[CONC X VOTI IN TAB GIOC],Tabella1[Voto]),"")</f>
        <v/>
      </c>
      <c r="AC400" s="270" cm="1">
        <f t="array" ref="AC400">_xlfn.IFNA(_xlfn.XLOOKUP(CONCATENATE(AC$4,$C400),INDEX(Tabella1[],0,MATCH("CONC X VOTI IN TAB GIOC",Tabella1[#Headers],0)),INDEX(Tabella1[],0,MATCH("Voto",Tabella1[#Headers],0))),"")</f>
        <v>6.5</v>
      </c>
      <c r="AD400" s="270" t="str">
        <f>_xlfn.IFNA(_xlfn.XLOOKUP(CONCATENATE(AD$4,$C400),Tabella1[CONC X VOTI IN TAB GIOC],Tabella1[Voto]),"")</f>
        <v/>
      </c>
      <c r="AE400" s="270" t="str">
        <f>_xlfn.IFNA(VLOOKUP(CONCATENATE(AE$4,$C400),'INSER DATA'!$A:$F,6,0),"")</f>
        <v/>
      </c>
      <c r="AF400" s="270" t="str">
        <f>_xlfn.IFNA(VLOOKUP(CONCATENATE(AF$4,$C400),'INSER DATA'!$A:$F,6,0),"")</f>
        <v/>
      </c>
      <c r="AG400" s="270" t="str">
        <f>_xlfn.IFNA(VLOOKUP(CONCATENATE(AG$4,$C400),'INSER DATA'!$A:$F,6,0),"")</f>
        <v/>
      </c>
      <c r="AH400" s="270" t="str">
        <f>_xlfn.IFNA(VLOOKUP(CONCATENATE(AH$4,$C400),'INSER DATA'!$A:$F,7,0),"")</f>
        <v/>
      </c>
      <c r="AI400" s="270" t="str">
        <f>_xlfn.IFNA(VLOOKUP(CONCATENATE(AI$4,$C400),'INSER DATA'!$A:$F,7,0),"")</f>
        <v/>
      </c>
      <c r="AJ400" s="270" t="str">
        <f>_xlfn.IFNA(VLOOKUP(CONCATENATE(AJ$4,$C400),'INSER DATA'!$A:$F,7,0),"")</f>
        <v/>
      </c>
      <c r="AK400" s="270" t="str">
        <f>_xlfn.IFNA(VLOOKUP(CONCATENATE(AK$4,$C400),'INSER DATA'!$A:$F,7,0),"")</f>
        <v/>
      </c>
      <c r="AL400" s="270" t="str">
        <f>_xlfn.IFNA(VLOOKUP(CONCATENATE(AL$4,$C400),'INSER DATA'!$A:$F,7,0),"")</f>
        <v/>
      </c>
      <c r="AM400" s="270" t="str">
        <f>_xlfn.IFNA(VLOOKUP(CONCATENATE(AM$4,$C400),'INSER DATA'!$A:$F,7,0),"")</f>
        <v/>
      </c>
      <c r="AN400" s="270" t="str">
        <f>_xlfn.IFNA(VLOOKUP(CONCATENATE(AN$4,$C400),'INSER DATA'!$A:$F,7,0),"")</f>
        <v/>
      </c>
      <c r="AO400" s="270" t="str">
        <f>_xlfn.IFNA(VLOOKUP(CONCATENATE(AO$4,$C400),'INSER DATA'!$A:$F,7,0),"")</f>
        <v/>
      </c>
      <c r="AP400" s="270" t="str">
        <f>_xlfn.IFNA(VLOOKUP(CONCATENATE(AP$4,$C400),'INSER DATA'!$A:$F,7,0),"")</f>
        <v/>
      </c>
      <c r="AQ400" s="270" t="str">
        <f>_xlfn.IFNA(VLOOKUP(CONCATENATE(AQ$4,$C400),'INSER DATA'!$A:$F,7,0),"")</f>
        <v/>
      </c>
      <c r="AR400" s="270" t="str">
        <f>_xlfn.IFNA(VLOOKUP(CONCATENATE(AR$4,$C400),'INSER DATA'!$A:$F,7,0),"")</f>
        <v/>
      </c>
      <c r="AS400" s="270" t="str">
        <f>_xlfn.IFNA(VLOOKUP(CONCATENATE(AS$4,$C400),'INSER DATA'!$A:$F,7,0),"")</f>
        <v/>
      </c>
      <c r="AT400" s="270" t="str">
        <f>_xlfn.IFNA(VLOOKUP(CONCATENATE(AT$4,$C400),'INSER DATA'!$A:$F,7,0),"")</f>
        <v/>
      </c>
      <c r="AU400" s="270" t="str">
        <f>_xlfn.IFNA(VLOOKUP(CONCATENATE(AU$4,$C400),'INSER DATA'!$A:$F,7,0),"")</f>
        <v/>
      </c>
      <c r="AV400" s="270" t="str">
        <f>_xlfn.IFNA(VLOOKUP(CONCATENATE(AV$4,$C400),'INSER DATA'!$A:$F,7,0),"")</f>
        <v/>
      </c>
      <c r="AW400" s="270" t="str">
        <f>_xlfn.IFNA(VLOOKUP(CONCATENATE(AW$4,$C400),'INSER DATA'!$A:$F,7,0),"")</f>
        <v/>
      </c>
      <c r="AX400" s="270" t="str">
        <f>_xlfn.IFNA(VLOOKUP(CONCATENATE(AX$4,$C400),'INSER DATA'!$A:$F,7,0),"")</f>
        <v/>
      </c>
      <c r="AY400" s="270" t="str">
        <f>_xlfn.IFNA(VLOOKUP(CONCATENATE(AY$4,$C400),'INSER DATA'!$A:$F,7,0),"")</f>
        <v/>
      </c>
      <c r="AZ400" s="270" t="str">
        <f>_xlfn.IFNA(VLOOKUP(CONCATENATE(AZ$4,$C400),'INSER DATA'!$A:$F,7,0),"")</f>
        <v/>
      </c>
      <c r="BA400" s="270" t="str">
        <f>_xlfn.IFNA(VLOOKUP(CONCATENATE(BA$4,$C400),'INSER DATA'!$A:$F,7,0),"")</f>
        <v/>
      </c>
      <c r="BB400" s="270" t="str">
        <f>_xlfn.IFNA(VLOOKUP(CONCATENATE(BB$4,$C400),'INSER DATA'!$A:$F,7,0),"")</f>
        <v/>
      </c>
      <c r="BC400" s="270" t="str">
        <f>_xlfn.IFNA(VLOOKUP(CONCATENATE(BC$4,$C400),'INSER DATA'!$A:$F,7,0),"")</f>
        <v/>
      </c>
      <c r="BD400" s="270" t="str">
        <f>_xlfn.IFNA(VLOOKUP(CONCATENATE(BD$4,$C400),'INSER DATA'!$A:$F,7,0),"")</f>
        <v/>
      </c>
      <c r="BE400" s="270" t="str">
        <f>_xlfn.IFNA(VLOOKUP(CONCATENATE(BE$4,$C400),'INSER DATA'!$A:$F,7,0),"")</f>
        <v/>
      </c>
      <c r="BF400" s="270" t="str">
        <f>_xlfn.IFNA(VLOOKUP(CONCATENATE(BF$4,$C400),'INSER DATA'!$A:$F,7,0),"")</f>
        <v/>
      </c>
      <c r="BG400" s="270" t="str">
        <f>_xlfn.IFNA(VLOOKUP(CONCATENATE(BG$4,$C400),'INSER DATA'!$A:$F,7,0),"")</f>
        <v/>
      </c>
      <c r="BH400" s="270" t="str">
        <f>_xlfn.IFNA(VLOOKUP(CONCATENATE(BH$4,$C400),'INSER DATA'!$A:$F,7,0),"")</f>
        <v/>
      </c>
      <c r="BI400" s="270" t="str">
        <f>_xlfn.IFNA(VLOOKUP(CONCATENATE(BI$4,$C400),'INSER DATA'!$A:$F,7,0),"")</f>
        <v/>
      </c>
      <c r="BJ400" s="270" t="str">
        <f>_xlfn.IFNA(VLOOKUP(CONCATENATE(BJ$4,$C400),'INSER DATA'!$A:$F,7,0),"")</f>
        <v/>
      </c>
      <c r="BK400" s="270" t="str">
        <f>_xlfn.IFNA(VLOOKUP(CONCATENATE(BK$4,$C400),'INSER DATA'!$A:$F,7,0),"")</f>
        <v/>
      </c>
      <c r="BL400" s="272"/>
      <c r="BM400" s="30"/>
      <c r="BN400" s="30"/>
      <c r="BO400" s="30"/>
      <c r="BP400" s="30"/>
      <c r="BQ400" s="30"/>
      <c r="BR400" s="30"/>
      <c r="BS400" s="30"/>
      <c r="BT400" s="30"/>
      <c r="BU400" s="30"/>
      <c r="BV400" s="30"/>
      <c r="BW400" s="30"/>
      <c r="BX400" s="30"/>
      <c r="BY400" s="30"/>
      <c r="BZ400" s="30"/>
      <c r="CA400" s="30"/>
      <c r="CB400" s="30"/>
      <c r="CC400" s="30"/>
      <c r="CD400" s="30"/>
      <c r="CE400" s="30"/>
      <c r="CF400" s="30"/>
      <c r="CG400" s="30"/>
      <c r="CH400" s="30"/>
      <c r="CI400" s="30"/>
      <c r="CJ400" s="30"/>
      <c r="CK400" s="30"/>
      <c r="CL400" s="30"/>
      <c r="CM400" s="30"/>
      <c r="CN400" s="30"/>
      <c r="CO400" s="30"/>
      <c r="CP400" s="30"/>
      <c r="CQ400" s="30"/>
      <c r="CR400" s="30"/>
      <c r="CS400" s="30"/>
      <c r="CT400" s="30"/>
      <c r="CU400" s="30"/>
      <c r="CV400" s="30"/>
      <c r="CW400" s="30"/>
      <c r="CX400" s="30"/>
      <c r="CY400" s="30"/>
      <c r="CZ400" s="30"/>
      <c r="DA400" s="30"/>
    </row>
    <row r="401" spans="1:105" ht="19.2" thickTop="1" thickBot="1" x14ac:dyDescent="0.4">
      <c r="A401" s="30"/>
      <c r="B401" s="30"/>
      <c r="C401" s="354" t="s">
        <v>907</v>
      </c>
      <c r="D401" s="357" t="s">
        <v>894</v>
      </c>
      <c r="E401" s="35" t="str">
        <f>_xlfn.XLOOKUP(Tabella4[[#This Row],[NOME]],'ROSE SQUADRE'!$N$3:$N$253,'ROSE SQUADRE'!$O$3:$O$253,"")</f>
        <v>AC ASPARAGHESE</v>
      </c>
      <c r="F401" s="36" t="s">
        <v>163</v>
      </c>
      <c r="G401" s="43">
        <v>12</v>
      </c>
      <c r="H401" s="43">
        <v>12</v>
      </c>
      <c r="I401" s="44">
        <f t="shared" si="37"/>
        <v>0</v>
      </c>
      <c r="J401" s="37">
        <f t="shared" si="38"/>
        <v>4</v>
      </c>
      <c r="K401" s="178">
        <f t="shared" si="39"/>
        <v>6.625</v>
      </c>
      <c r="L401" s="178">
        <f t="shared" si="40"/>
        <v>8.625</v>
      </c>
      <c r="M401" s="179">
        <f t="shared" si="41"/>
        <v>34.5</v>
      </c>
      <c r="N401" s="45">
        <f t="shared" ca="1" si="42"/>
        <v>0</v>
      </c>
      <c r="O401" s="40">
        <f>SUMIF(Tabella1[Nome],Tabella4[[#This Row],[NOME]],Tabella1[Gf])</f>
        <v>2</v>
      </c>
      <c r="P401" s="40">
        <f>-(SUMIF(Tabella1[Nome],Tabella4[[#This Row],[NOME]],Tabella1[Gs]))</f>
        <v>0</v>
      </c>
      <c r="Q401" s="40">
        <f>SUMIF(Tabella1[Nome],Tabella4[[#This Row],[NOME]],Tabella1[Rp])</f>
        <v>0</v>
      </c>
      <c r="R401" s="40">
        <f>SUMIF(Tabella1[Nome],Tabella4[[#This Row],[NOME]],Tabella1[Rs])</f>
        <v>0</v>
      </c>
      <c r="S401" s="40">
        <f>SUMIF(Tabella1[Nome],Tabella4[[#This Row],[NOME]],Tabella1[Rf])</f>
        <v>0</v>
      </c>
      <c r="T401" s="40">
        <f>SUMIF(Tabella1[Nome],Tabella4[[#This Row],[NOME]],Tabella1[Au])</f>
        <v>0</v>
      </c>
      <c r="U401" s="41">
        <f>SUMIF(Tabella1[Nome],Tabella4[[#This Row],[NOME]],Tabella1[Amm])</f>
        <v>0</v>
      </c>
      <c r="V401" s="42">
        <f>SUMIF(Tabella1[Nome],Tabella4[[#This Row],[NOME]],Tabella1[Esp])</f>
        <v>0</v>
      </c>
      <c r="W401" s="40">
        <f>SUMIF(Tabella1[Nome],Tabella4[[#This Row],[NOME]],Tabella1[Ass])</f>
        <v>1</v>
      </c>
      <c r="X401" s="40">
        <f>SUMIF(Tabella1[Nome],Tabella4[[#This Row],[NOME]],Tabella1[Gdv])</f>
        <v>1</v>
      </c>
      <c r="Y401" s="40">
        <f>SUMIF(Tabella1[Nome],Tabella4[[#This Row],[NOME]],Tabella1[cl sh])</f>
        <v>0</v>
      </c>
      <c r="Z401" s="270">
        <f>_xlfn.IFNA(_xlfn.XLOOKUP(CONCATENATE(Z$4,$C401),Tabella1[CONC X VOTI IN TAB GIOC],Tabella1[Voto],""),"")</f>
        <v>6</v>
      </c>
      <c r="AA401" s="270">
        <f>_xlfn.IFNA(_xlfn.XLOOKUP(CONCATENATE(AA$4,$C401),Tabella1[CONC X VOTI IN TAB GIOC],Tabella1[Voto],""),"")</f>
        <v>7</v>
      </c>
      <c r="AB401" s="270">
        <f>_xlfn.IFNA(_xlfn.XLOOKUP(CONCATENATE(AB$4,$C401),Tabella1[CONC X VOTI IN TAB GIOC],Tabella1[Voto]),"")</f>
        <v>7.5</v>
      </c>
      <c r="AC401" s="270" cm="1">
        <f t="array" ref="AC401">_xlfn.IFNA(_xlfn.XLOOKUP(CONCATENATE(AC$4,$C401),INDEX(Tabella1[],0,MATCH("CONC X VOTI IN TAB GIOC",Tabella1[#Headers],0)),INDEX(Tabella1[],0,MATCH("Voto",Tabella1[#Headers],0))),"")</f>
        <v>6</v>
      </c>
      <c r="AD401" s="270" t="str">
        <f>_xlfn.IFNA(_xlfn.XLOOKUP(CONCATENATE(AD$4,$C401),Tabella1[CONC X VOTI IN TAB GIOC],Tabella1[Voto]),"")</f>
        <v/>
      </c>
      <c r="AE401" s="270" t="str">
        <f>_xlfn.IFNA(VLOOKUP(CONCATENATE(AE$4,$C401),'INSER DATA'!$A:$F,6,0),"")</f>
        <v/>
      </c>
      <c r="AF401" s="270" t="str">
        <f>_xlfn.IFNA(VLOOKUP(CONCATENATE(AF$4,$C401),'INSER DATA'!$A:$F,6,0),"")</f>
        <v/>
      </c>
      <c r="AG401" s="270" t="str">
        <f>_xlfn.IFNA(VLOOKUP(CONCATENATE(AG$4,$C401),'INSER DATA'!$A:$F,6,0),"")</f>
        <v/>
      </c>
      <c r="AH401" s="270" t="str">
        <f>_xlfn.IFNA(VLOOKUP(CONCATENATE(AH$4,$C401),'INSER DATA'!$A:$F,7,0),"")</f>
        <v/>
      </c>
      <c r="AI401" s="270" t="str">
        <f>_xlfn.IFNA(VLOOKUP(CONCATENATE(AI$4,$C401),'INSER DATA'!$A:$F,7,0),"")</f>
        <v/>
      </c>
      <c r="AJ401" s="270" t="str">
        <f>_xlfn.IFNA(VLOOKUP(CONCATENATE(AJ$4,$C401),'INSER DATA'!$A:$F,7,0),"")</f>
        <v/>
      </c>
      <c r="AK401" s="270" t="str">
        <f>_xlfn.IFNA(VLOOKUP(CONCATENATE(AK$4,$C401),'INSER DATA'!$A:$F,7,0),"")</f>
        <v/>
      </c>
      <c r="AL401" s="270" t="str">
        <f>_xlfn.IFNA(VLOOKUP(CONCATENATE(AL$4,$C401),'INSER DATA'!$A:$F,7,0),"")</f>
        <v/>
      </c>
      <c r="AM401" s="270" t="str">
        <f>_xlfn.IFNA(VLOOKUP(CONCATENATE(AM$4,$C401),'INSER DATA'!$A:$F,7,0),"")</f>
        <v/>
      </c>
      <c r="AN401" s="270" t="str">
        <f>_xlfn.IFNA(VLOOKUP(CONCATENATE(AN$4,$C401),'INSER DATA'!$A:$F,7,0),"")</f>
        <v/>
      </c>
      <c r="AO401" s="270" t="str">
        <f>_xlfn.IFNA(VLOOKUP(CONCATENATE(AO$4,$C401),'INSER DATA'!$A:$F,7,0),"")</f>
        <v/>
      </c>
      <c r="AP401" s="270" t="str">
        <f>_xlfn.IFNA(VLOOKUP(CONCATENATE(AP$4,$C401),'INSER DATA'!$A:$F,7,0),"")</f>
        <v/>
      </c>
      <c r="AQ401" s="270" t="str">
        <f>_xlfn.IFNA(VLOOKUP(CONCATENATE(AQ$4,$C401),'INSER DATA'!$A:$F,7,0),"")</f>
        <v/>
      </c>
      <c r="AR401" s="270" t="str">
        <f>_xlfn.IFNA(VLOOKUP(CONCATENATE(AR$4,$C401),'INSER DATA'!$A:$F,7,0),"")</f>
        <v/>
      </c>
      <c r="AS401" s="270" t="str">
        <f>_xlfn.IFNA(VLOOKUP(CONCATENATE(AS$4,$C401),'INSER DATA'!$A:$F,7,0),"")</f>
        <v/>
      </c>
      <c r="AT401" s="270" t="str">
        <f>_xlfn.IFNA(VLOOKUP(CONCATENATE(AT$4,$C401),'INSER DATA'!$A:$F,7,0),"")</f>
        <v/>
      </c>
      <c r="AU401" s="270" t="str">
        <f>_xlfn.IFNA(VLOOKUP(CONCATENATE(AU$4,$C401),'INSER DATA'!$A:$F,7,0),"")</f>
        <v/>
      </c>
      <c r="AV401" s="270" t="str">
        <f>_xlfn.IFNA(VLOOKUP(CONCATENATE(AV$4,$C401),'INSER DATA'!$A:$F,7,0),"")</f>
        <v/>
      </c>
      <c r="AW401" s="270" t="str">
        <f>_xlfn.IFNA(VLOOKUP(CONCATENATE(AW$4,$C401),'INSER DATA'!$A:$F,7,0),"")</f>
        <v/>
      </c>
      <c r="AX401" s="270" t="str">
        <f>_xlfn.IFNA(VLOOKUP(CONCATENATE(AX$4,$C401),'INSER DATA'!$A:$F,7,0),"")</f>
        <v/>
      </c>
      <c r="AY401" s="270" t="str">
        <f>_xlfn.IFNA(VLOOKUP(CONCATENATE(AY$4,$C401),'INSER DATA'!$A:$F,7,0),"")</f>
        <v/>
      </c>
      <c r="AZ401" s="270" t="str">
        <f>_xlfn.IFNA(VLOOKUP(CONCATENATE(AZ$4,$C401),'INSER DATA'!$A:$F,7,0),"")</f>
        <v/>
      </c>
      <c r="BA401" s="270" t="str">
        <f>_xlfn.IFNA(VLOOKUP(CONCATENATE(BA$4,$C401),'INSER DATA'!$A:$F,7,0),"")</f>
        <v/>
      </c>
      <c r="BB401" s="270" t="str">
        <f>_xlfn.IFNA(VLOOKUP(CONCATENATE(BB$4,$C401),'INSER DATA'!$A:$F,7,0),"")</f>
        <v/>
      </c>
      <c r="BC401" s="270" t="str">
        <f>_xlfn.IFNA(VLOOKUP(CONCATENATE(BC$4,$C401),'INSER DATA'!$A:$F,7,0),"")</f>
        <v/>
      </c>
      <c r="BD401" s="270" t="str">
        <f>_xlfn.IFNA(VLOOKUP(CONCATENATE(BD$4,$C401),'INSER DATA'!$A:$F,7,0),"")</f>
        <v/>
      </c>
      <c r="BE401" s="270" t="str">
        <f>_xlfn.IFNA(VLOOKUP(CONCATENATE(BE$4,$C401),'INSER DATA'!$A:$F,7,0),"")</f>
        <v/>
      </c>
      <c r="BF401" s="270" t="str">
        <f>_xlfn.IFNA(VLOOKUP(CONCATENATE(BF$4,$C401),'INSER DATA'!$A:$F,7,0),"")</f>
        <v/>
      </c>
      <c r="BG401" s="270" t="str">
        <f>_xlfn.IFNA(VLOOKUP(CONCATENATE(BG$4,$C401),'INSER DATA'!$A:$F,7,0),"")</f>
        <v/>
      </c>
      <c r="BH401" s="270" t="str">
        <f>_xlfn.IFNA(VLOOKUP(CONCATENATE(BH$4,$C401),'INSER DATA'!$A:$F,7,0),"")</f>
        <v/>
      </c>
      <c r="BI401" s="270" t="str">
        <f>_xlfn.IFNA(VLOOKUP(CONCATENATE(BI$4,$C401),'INSER DATA'!$A:$F,7,0),"")</f>
        <v/>
      </c>
      <c r="BJ401" s="270" t="str">
        <f>_xlfn.IFNA(VLOOKUP(CONCATENATE(BJ$4,$C401),'INSER DATA'!$A:$F,7,0),"")</f>
        <v/>
      </c>
      <c r="BK401" s="270" t="str">
        <f>_xlfn.IFNA(VLOOKUP(CONCATENATE(BK$4,$C401),'INSER DATA'!$A:$F,7,0),"")</f>
        <v/>
      </c>
      <c r="BL401" s="272"/>
      <c r="BM401" s="30"/>
      <c r="BN401" s="30"/>
      <c r="BO401" s="30"/>
      <c r="BP401" s="30"/>
      <c r="BQ401" s="30"/>
      <c r="BR401" s="30"/>
      <c r="BS401" s="30"/>
      <c r="BT401" s="30"/>
      <c r="BU401" s="30"/>
      <c r="BV401" s="30"/>
      <c r="BW401" s="30"/>
      <c r="BX401" s="30"/>
      <c r="BY401" s="30"/>
      <c r="BZ401" s="30"/>
      <c r="CA401" s="30"/>
      <c r="CB401" s="30"/>
      <c r="CC401" s="30"/>
      <c r="CD401" s="30"/>
      <c r="CE401" s="30"/>
      <c r="CF401" s="30"/>
      <c r="CG401" s="30"/>
      <c r="CH401" s="30"/>
      <c r="CI401" s="30"/>
      <c r="CJ401" s="30"/>
      <c r="CK401" s="30"/>
      <c r="CL401" s="30"/>
      <c r="CM401" s="30"/>
      <c r="CN401" s="30"/>
      <c r="CO401" s="30"/>
      <c r="CP401" s="30"/>
      <c r="CQ401" s="30"/>
      <c r="CR401" s="30"/>
      <c r="CS401" s="30"/>
      <c r="CT401" s="30"/>
      <c r="CU401" s="30"/>
      <c r="CV401" s="30"/>
      <c r="CW401" s="30"/>
      <c r="CX401" s="30"/>
      <c r="CY401" s="30"/>
      <c r="CZ401" s="30"/>
      <c r="DA401" s="30"/>
    </row>
    <row r="402" spans="1:105" ht="19.2" thickTop="1" thickBot="1" x14ac:dyDescent="0.4">
      <c r="A402" s="30"/>
      <c r="B402" s="30"/>
      <c r="C402" s="356" t="s">
        <v>994</v>
      </c>
      <c r="D402" s="355" t="s">
        <v>894</v>
      </c>
      <c r="E402" s="35" t="str">
        <f>_xlfn.XLOOKUP(Tabella4[[#This Row],[NOME]],'ROSE SQUADRE'!$N$3:$N$253,'ROSE SQUADRE'!$O$3:$O$253,"")</f>
        <v>PARTIZAN DEGRADO</v>
      </c>
      <c r="F402" s="36" t="s">
        <v>161</v>
      </c>
      <c r="G402" s="43"/>
      <c r="H402" s="43"/>
      <c r="I402" s="44">
        <f t="shared" si="37"/>
        <v>0</v>
      </c>
      <c r="J402" s="37">
        <f t="shared" si="38"/>
        <v>4</v>
      </c>
      <c r="K402" s="178">
        <f t="shared" si="39"/>
        <v>6.25</v>
      </c>
      <c r="L402" s="178">
        <f t="shared" si="40"/>
        <v>6.25</v>
      </c>
      <c r="M402" s="179">
        <f t="shared" si="41"/>
        <v>25</v>
      </c>
      <c r="N402" s="45">
        <f t="shared" ca="1" si="42"/>
        <v>0</v>
      </c>
      <c r="O402" s="40">
        <f>SUMIF(Tabella1[Nome],Tabella4[[#This Row],[NOME]],Tabella1[Gf])</f>
        <v>0</v>
      </c>
      <c r="P402" s="40">
        <f>-(SUMIF(Tabella1[Nome],Tabella4[[#This Row],[NOME]],Tabella1[Gs]))</f>
        <v>0</v>
      </c>
      <c r="Q402" s="40">
        <f>SUMIF(Tabella1[Nome],Tabella4[[#This Row],[NOME]],Tabella1[Rp])</f>
        <v>0</v>
      </c>
      <c r="R402" s="40">
        <f>SUMIF(Tabella1[Nome],Tabella4[[#This Row],[NOME]],Tabella1[Rs])</f>
        <v>0</v>
      </c>
      <c r="S402" s="40">
        <f>SUMIF(Tabella1[Nome],Tabella4[[#This Row],[NOME]],Tabella1[Rf])</f>
        <v>0</v>
      </c>
      <c r="T402" s="40">
        <f>SUMIF(Tabella1[Nome],Tabella4[[#This Row],[NOME]],Tabella1[Au])</f>
        <v>0</v>
      </c>
      <c r="U402" s="41">
        <f>SUMIF(Tabella1[Nome],Tabella4[[#This Row],[NOME]],Tabella1[Amm])</f>
        <v>0</v>
      </c>
      <c r="V402" s="42">
        <f>SUMIF(Tabella1[Nome],Tabella4[[#This Row],[NOME]],Tabella1[Esp])</f>
        <v>0</v>
      </c>
      <c r="W402" s="40">
        <f>SUMIF(Tabella1[Nome],Tabella4[[#This Row],[NOME]],Tabella1[Ass])</f>
        <v>0</v>
      </c>
      <c r="X402" s="40">
        <f>SUMIF(Tabella1[Nome],Tabella4[[#This Row],[NOME]],Tabella1[Gdv])</f>
        <v>0</v>
      </c>
      <c r="Y402" s="40">
        <f>SUMIF(Tabella1[Nome],Tabella4[[#This Row],[NOME]],Tabella1[cl sh])</f>
        <v>0</v>
      </c>
      <c r="Z402" s="270">
        <f>_xlfn.IFNA(_xlfn.XLOOKUP(CONCATENATE(Z$4,$C402),Tabella1[CONC X VOTI IN TAB GIOC],Tabella1[Voto],""),"")</f>
        <v>6.5</v>
      </c>
      <c r="AA402" s="270">
        <f>_xlfn.IFNA(_xlfn.XLOOKUP(CONCATENATE(AA$4,$C402),Tabella1[CONC X VOTI IN TAB GIOC],Tabella1[Voto],""),"")</f>
        <v>6.5</v>
      </c>
      <c r="AB402" s="270">
        <f>_xlfn.IFNA(_xlfn.XLOOKUP(CONCATENATE(AB$4,$C402),Tabella1[CONC X VOTI IN TAB GIOC],Tabella1[Voto]),"")</f>
        <v>6</v>
      </c>
      <c r="AC402" s="270" cm="1">
        <f t="array" ref="AC402">_xlfn.IFNA(_xlfn.XLOOKUP(CONCATENATE(AC$4,$C402),INDEX(Tabella1[],0,MATCH("CONC X VOTI IN TAB GIOC",Tabella1[#Headers],0)),INDEX(Tabella1[],0,MATCH("Voto",Tabella1[#Headers],0))),"")</f>
        <v>6</v>
      </c>
      <c r="AD402" s="270" t="str">
        <f>_xlfn.IFNA(_xlfn.XLOOKUP(CONCATENATE(AD$4,$C402),Tabella1[CONC X VOTI IN TAB GIOC],Tabella1[Voto]),"")</f>
        <v/>
      </c>
      <c r="AE402" s="270" t="str">
        <f>_xlfn.IFNA(VLOOKUP(CONCATENATE(AE$4,$C402),'INSER DATA'!$A:$F,6,0),"")</f>
        <v/>
      </c>
      <c r="AF402" s="270" t="str">
        <f>_xlfn.IFNA(VLOOKUP(CONCATENATE(AF$4,$C402),'INSER DATA'!$A:$F,6,0),"")</f>
        <v/>
      </c>
      <c r="AG402" s="270" t="str">
        <f>_xlfn.IFNA(VLOOKUP(CONCATENATE(AG$4,$C402),'INSER DATA'!$A:$F,6,0),"")</f>
        <v/>
      </c>
      <c r="AH402" s="270" t="str">
        <f>_xlfn.IFNA(VLOOKUP(CONCATENATE(AH$4,$C402),'INSER DATA'!$A:$F,7,0),"")</f>
        <v/>
      </c>
      <c r="AI402" s="270" t="str">
        <f>_xlfn.IFNA(VLOOKUP(CONCATENATE(AI$4,$C402),'INSER DATA'!$A:$F,7,0),"")</f>
        <v/>
      </c>
      <c r="AJ402" s="270" t="str">
        <f>_xlfn.IFNA(VLOOKUP(CONCATENATE(AJ$4,$C402),'INSER DATA'!$A:$F,7,0),"")</f>
        <v/>
      </c>
      <c r="AK402" s="270" t="str">
        <f>_xlfn.IFNA(VLOOKUP(CONCATENATE(AK$4,$C402),'INSER DATA'!$A:$F,7,0),"")</f>
        <v/>
      </c>
      <c r="AL402" s="270" t="str">
        <f>_xlfn.IFNA(VLOOKUP(CONCATENATE(AL$4,$C402),'INSER DATA'!$A:$F,7,0),"")</f>
        <v/>
      </c>
      <c r="AM402" s="270" t="str">
        <f>_xlfn.IFNA(VLOOKUP(CONCATENATE(AM$4,$C402),'INSER DATA'!$A:$F,7,0),"")</f>
        <v/>
      </c>
      <c r="AN402" s="270" t="str">
        <f>_xlfn.IFNA(VLOOKUP(CONCATENATE(AN$4,$C402),'INSER DATA'!$A:$F,7,0),"")</f>
        <v/>
      </c>
      <c r="AO402" s="270" t="str">
        <f>_xlfn.IFNA(VLOOKUP(CONCATENATE(AO$4,$C402),'INSER DATA'!$A:$F,7,0),"")</f>
        <v/>
      </c>
      <c r="AP402" s="270" t="str">
        <f>_xlfn.IFNA(VLOOKUP(CONCATENATE(AP$4,$C402),'INSER DATA'!$A:$F,7,0),"")</f>
        <v/>
      </c>
      <c r="AQ402" s="270" t="str">
        <f>_xlfn.IFNA(VLOOKUP(CONCATENATE(AQ$4,$C402),'INSER DATA'!$A:$F,7,0),"")</f>
        <v/>
      </c>
      <c r="AR402" s="270" t="str">
        <f>_xlfn.IFNA(VLOOKUP(CONCATENATE(AR$4,$C402),'INSER DATA'!$A:$F,7,0),"")</f>
        <v/>
      </c>
      <c r="AS402" s="270" t="str">
        <f>_xlfn.IFNA(VLOOKUP(CONCATENATE(AS$4,$C402),'INSER DATA'!$A:$F,7,0),"")</f>
        <v/>
      </c>
      <c r="AT402" s="270" t="str">
        <f>_xlfn.IFNA(VLOOKUP(CONCATENATE(AT$4,$C402),'INSER DATA'!$A:$F,7,0),"")</f>
        <v/>
      </c>
      <c r="AU402" s="270" t="str">
        <f>_xlfn.IFNA(VLOOKUP(CONCATENATE(AU$4,$C402),'INSER DATA'!$A:$F,7,0),"")</f>
        <v/>
      </c>
      <c r="AV402" s="270" t="str">
        <f>_xlfn.IFNA(VLOOKUP(CONCATENATE(AV$4,$C402),'INSER DATA'!$A:$F,7,0),"")</f>
        <v/>
      </c>
      <c r="AW402" s="270" t="str">
        <f>_xlfn.IFNA(VLOOKUP(CONCATENATE(AW$4,$C402),'INSER DATA'!$A:$F,7,0),"")</f>
        <v/>
      </c>
      <c r="AX402" s="270" t="str">
        <f>_xlfn.IFNA(VLOOKUP(CONCATENATE(AX$4,$C402),'INSER DATA'!$A:$F,7,0),"")</f>
        <v/>
      </c>
      <c r="AY402" s="270" t="str">
        <f>_xlfn.IFNA(VLOOKUP(CONCATENATE(AY$4,$C402),'INSER DATA'!$A:$F,7,0),"")</f>
        <v/>
      </c>
      <c r="AZ402" s="270" t="str">
        <f>_xlfn.IFNA(VLOOKUP(CONCATENATE(AZ$4,$C402),'INSER DATA'!$A:$F,7,0),"")</f>
        <v/>
      </c>
      <c r="BA402" s="270" t="str">
        <f>_xlfn.IFNA(VLOOKUP(CONCATENATE(BA$4,$C402),'INSER DATA'!$A:$F,7,0),"")</f>
        <v/>
      </c>
      <c r="BB402" s="270" t="str">
        <f>_xlfn.IFNA(VLOOKUP(CONCATENATE(BB$4,$C402),'INSER DATA'!$A:$F,7,0),"")</f>
        <v/>
      </c>
      <c r="BC402" s="270" t="str">
        <f>_xlfn.IFNA(VLOOKUP(CONCATENATE(BC$4,$C402),'INSER DATA'!$A:$F,7,0),"")</f>
        <v/>
      </c>
      <c r="BD402" s="270" t="str">
        <f>_xlfn.IFNA(VLOOKUP(CONCATENATE(BD$4,$C402),'INSER DATA'!$A:$F,7,0),"")</f>
        <v/>
      </c>
      <c r="BE402" s="270" t="str">
        <f>_xlfn.IFNA(VLOOKUP(CONCATENATE(BE$4,$C402),'INSER DATA'!$A:$F,7,0),"")</f>
        <v/>
      </c>
      <c r="BF402" s="270" t="str">
        <f>_xlfn.IFNA(VLOOKUP(CONCATENATE(BF$4,$C402),'INSER DATA'!$A:$F,7,0),"")</f>
        <v/>
      </c>
      <c r="BG402" s="270" t="str">
        <f>_xlfn.IFNA(VLOOKUP(CONCATENATE(BG$4,$C402),'INSER DATA'!$A:$F,7,0),"")</f>
        <v/>
      </c>
      <c r="BH402" s="270" t="str">
        <f>_xlfn.IFNA(VLOOKUP(CONCATENATE(BH$4,$C402),'INSER DATA'!$A:$F,7,0),"")</f>
        <v/>
      </c>
      <c r="BI402" s="270" t="str">
        <f>_xlfn.IFNA(VLOOKUP(CONCATENATE(BI$4,$C402),'INSER DATA'!$A:$F,7,0),"")</f>
        <v/>
      </c>
      <c r="BJ402" s="270" t="str">
        <f>_xlfn.IFNA(VLOOKUP(CONCATENATE(BJ$4,$C402),'INSER DATA'!$A:$F,7,0),"")</f>
        <v/>
      </c>
      <c r="BK402" s="270" t="str">
        <f>_xlfn.IFNA(VLOOKUP(CONCATENATE(BK$4,$C402),'INSER DATA'!$A:$F,7,0),"")</f>
        <v/>
      </c>
      <c r="BL402" s="272"/>
      <c r="BM402" s="30"/>
      <c r="BN402" s="30"/>
      <c r="BO402" s="30"/>
      <c r="BP402" s="30"/>
      <c r="BQ402" s="30"/>
      <c r="BR402" s="30"/>
      <c r="BS402" s="30"/>
      <c r="BT402" s="30"/>
      <c r="BU402" s="30"/>
      <c r="BV402" s="30"/>
      <c r="BW402" s="30"/>
      <c r="BX402" s="30"/>
      <c r="BY402" s="30"/>
      <c r="BZ402" s="30"/>
      <c r="CA402" s="30"/>
      <c r="CB402" s="30"/>
      <c r="CC402" s="30"/>
      <c r="CD402" s="30"/>
      <c r="CE402" s="30"/>
      <c r="CF402" s="30"/>
      <c r="CG402" s="30"/>
      <c r="CH402" s="30"/>
      <c r="CI402" s="30"/>
      <c r="CJ402" s="30"/>
      <c r="CK402" s="30"/>
      <c r="CL402" s="30"/>
      <c r="CM402" s="30"/>
      <c r="CN402" s="30"/>
      <c r="CO402" s="30"/>
      <c r="CP402" s="30"/>
      <c r="CQ402" s="30"/>
      <c r="CR402" s="30"/>
      <c r="CS402" s="30"/>
      <c r="CT402" s="30"/>
      <c r="CU402" s="30"/>
      <c r="CV402" s="30"/>
      <c r="CW402" s="30"/>
      <c r="CX402" s="30"/>
      <c r="CY402" s="30"/>
      <c r="CZ402" s="30"/>
      <c r="DA402" s="30"/>
    </row>
    <row r="403" spans="1:105" ht="19.2" thickTop="1" thickBot="1" x14ac:dyDescent="0.4">
      <c r="A403" s="30"/>
      <c r="B403" s="30"/>
      <c r="C403" s="354" t="s">
        <v>421</v>
      </c>
      <c r="D403" s="357" t="s">
        <v>894</v>
      </c>
      <c r="E403" s="35" t="str">
        <f>_xlfn.XLOOKUP(Tabella4[[#This Row],[NOME]],'ROSE SQUADRE'!$N$3:$N$253,'ROSE SQUADRE'!$O$3:$O$253,"")</f>
        <v>SAN GRIA</v>
      </c>
      <c r="F403" s="36" t="s">
        <v>5</v>
      </c>
      <c r="G403" s="43">
        <v>18</v>
      </c>
      <c r="H403" s="43">
        <v>18</v>
      </c>
      <c r="I403" s="44">
        <f t="shared" si="37"/>
        <v>0</v>
      </c>
      <c r="J403" s="37">
        <f t="shared" si="38"/>
        <v>4</v>
      </c>
      <c r="K403" s="38">
        <f t="shared" si="39"/>
        <v>6.25</v>
      </c>
      <c r="L403" s="38">
        <f t="shared" si="40"/>
        <v>6.75</v>
      </c>
      <c r="M403" s="39">
        <f t="shared" si="41"/>
        <v>27</v>
      </c>
      <c r="N403" s="45">
        <f t="shared" ca="1" si="42"/>
        <v>1</v>
      </c>
      <c r="O403" s="40">
        <f>SUMIF(Tabella1[Nome],Tabella4[[#This Row],[NOME]],Tabella1[Gf])</f>
        <v>0</v>
      </c>
      <c r="P403" s="40">
        <f>-(SUMIF(Tabella1[Nome],Tabella4[[#This Row],[NOME]],Tabella1[Gs]))</f>
        <v>-1</v>
      </c>
      <c r="Q403" s="40">
        <f>SUMIF(Tabella1[Nome],Tabella4[[#This Row],[NOME]],Tabella1[Rp])</f>
        <v>0</v>
      </c>
      <c r="R403" s="40">
        <f>SUMIF(Tabella1[Nome],Tabella4[[#This Row],[NOME]],Tabella1[Rs])</f>
        <v>0</v>
      </c>
      <c r="S403" s="40">
        <f>SUMIF(Tabella1[Nome],Tabella4[[#This Row],[NOME]],Tabella1[Rf])</f>
        <v>0</v>
      </c>
      <c r="T403" s="40">
        <f>SUMIF(Tabella1[Nome],Tabella4[[#This Row],[NOME]],Tabella1[Au])</f>
        <v>0</v>
      </c>
      <c r="U403" s="41">
        <f>SUMIF(Tabella1[Nome],Tabella4[[#This Row],[NOME]],Tabella1[Amm])</f>
        <v>0</v>
      </c>
      <c r="V403" s="42">
        <f>SUMIF(Tabella1[Nome],Tabella4[[#This Row],[NOME]],Tabella1[Esp])</f>
        <v>0</v>
      </c>
      <c r="W403" s="40">
        <f>SUMIF(Tabella1[Nome],Tabella4[[#This Row],[NOME]],Tabella1[Ass])</f>
        <v>0</v>
      </c>
      <c r="X403" s="40">
        <f>SUMIF(Tabella1[Nome],Tabella4[[#This Row],[NOME]],Tabella1[Gdv])</f>
        <v>0</v>
      </c>
      <c r="Y403" s="40">
        <f>SUMIF(Tabella1[Nome],Tabella4[[#This Row],[NOME]],Tabella1[cl sh])</f>
        <v>3</v>
      </c>
      <c r="Z403" s="270">
        <f>_xlfn.IFNA(_xlfn.XLOOKUP(CONCATENATE(Z$4,$C403),Tabella1[CONC X VOTI IN TAB GIOC],Tabella1[Voto],""),"")</f>
        <v>6</v>
      </c>
      <c r="AA403" s="270">
        <f>_xlfn.IFNA(_xlfn.XLOOKUP(CONCATENATE(AA$4,$C403),Tabella1[CONC X VOTI IN TAB GIOC],Tabella1[Voto],""),"")</f>
        <v>6.5</v>
      </c>
      <c r="AB403" s="400">
        <f>_xlfn.IFNA(_xlfn.XLOOKUP(CONCATENATE(AB$4,$C403),Tabella1[CONC X VOTI IN TAB GIOC],Tabella1[Voto]),"")</f>
        <v>6</v>
      </c>
      <c r="AC403" s="270" cm="1">
        <f t="array" ref="AC403">_xlfn.IFNA(_xlfn.XLOOKUP(CONCATENATE(AC$4,$C403),INDEX(Tabella1[],0,MATCH("CONC X VOTI IN TAB GIOC",Tabella1[#Headers],0)),INDEX(Tabella1[],0,MATCH("Voto",Tabella1[#Headers],0))),"")</f>
        <v>6.5</v>
      </c>
      <c r="AD403" s="270" t="str">
        <f>_xlfn.IFNA(_xlfn.XLOOKUP(CONCATENATE(AD$4,$C403),Tabella1[CONC X VOTI IN TAB GIOC],Tabella1[Voto]),"")</f>
        <v/>
      </c>
      <c r="AE403" s="270" t="str">
        <f>_xlfn.IFNA(VLOOKUP(CONCATENATE(AE$4,$C403),'INSER DATA'!$A:$F,6,0),"")</f>
        <v/>
      </c>
      <c r="AF403" s="270" t="str">
        <f>_xlfn.IFNA(VLOOKUP(CONCATENATE(AF$4,$C403),'INSER DATA'!$A:$F,6,0),"")</f>
        <v/>
      </c>
      <c r="AG403" s="270" t="str">
        <f>_xlfn.IFNA(VLOOKUP(CONCATENATE(AG$4,$C403),'INSER DATA'!$A:$F,6,0),"")</f>
        <v/>
      </c>
      <c r="AH403" s="270" t="str">
        <f>_xlfn.IFNA(VLOOKUP(CONCATENATE(AH$4,$C403),'INSER DATA'!$A:$F,7,0),"")</f>
        <v/>
      </c>
      <c r="AI403" s="270" t="str">
        <f>_xlfn.IFNA(VLOOKUP(CONCATENATE(AI$4,$C403),'INSER DATA'!$A:$F,7,0),"")</f>
        <v/>
      </c>
      <c r="AJ403" s="270" t="str">
        <f>_xlfn.IFNA(VLOOKUP(CONCATENATE(AJ$4,$C403),'INSER DATA'!$A:$F,7,0),"")</f>
        <v/>
      </c>
      <c r="AK403" s="270" t="str">
        <f>_xlfn.IFNA(VLOOKUP(CONCATENATE(AK$4,$C403),'INSER DATA'!$A:$F,7,0),"")</f>
        <v/>
      </c>
      <c r="AL403" s="270" t="str">
        <f>_xlfn.IFNA(VLOOKUP(CONCATENATE(AL$4,$C403),'INSER DATA'!$A:$F,7,0),"")</f>
        <v/>
      </c>
      <c r="AM403" s="270" t="str">
        <f>_xlfn.IFNA(VLOOKUP(CONCATENATE(AM$4,$C403),'INSER DATA'!$A:$F,7,0),"")</f>
        <v/>
      </c>
      <c r="AN403" s="270" t="str">
        <f>_xlfn.IFNA(VLOOKUP(CONCATENATE(AN$4,$C403),'INSER DATA'!$A:$F,7,0),"")</f>
        <v/>
      </c>
      <c r="AO403" s="270" t="str">
        <f>_xlfn.IFNA(VLOOKUP(CONCATENATE(AO$4,$C403),'INSER DATA'!$A:$F,7,0),"")</f>
        <v/>
      </c>
      <c r="AP403" s="270" t="str">
        <f>_xlfn.IFNA(VLOOKUP(CONCATENATE(AP$4,$C403),'INSER DATA'!$A:$F,7,0),"")</f>
        <v/>
      </c>
      <c r="AQ403" s="270" t="str">
        <f>_xlfn.IFNA(VLOOKUP(CONCATENATE(AQ$4,$C403),'INSER DATA'!$A:$F,7,0),"")</f>
        <v/>
      </c>
      <c r="AR403" s="270" t="str">
        <f>_xlfn.IFNA(VLOOKUP(CONCATENATE(AR$4,$C403),'INSER DATA'!$A:$F,7,0),"")</f>
        <v/>
      </c>
      <c r="AS403" s="270" t="str">
        <f>_xlfn.IFNA(VLOOKUP(CONCATENATE(AS$4,$C403),'INSER DATA'!$A:$F,7,0),"")</f>
        <v/>
      </c>
      <c r="AT403" s="270" t="str">
        <f>_xlfn.IFNA(VLOOKUP(CONCATENATE(AT$4,$C403),'INSER DATA'!$A:$F,7,0),"")</f>
        <v/>
      </c>
      <c r="AU403" s="270" t="str">
        <f>_xlfn.IFNA(VLOOKUP(CONCATENATE(AU$4,$C403),'INSER DATA'!$A:$F,7,0),"")</f>
        <v/>
      </c>
      <c r="AV403" s="270" t="str">
        <f>_xlfn.IFNA(VLOOKUP(CONCATENATE(AV$4,$C403),'INSER DATA'!$A:$F,7,0),"")</f>
        <v/>
      </c>
      <c r="AW403" s="270" t="str">
        <f>_xlfn.IFNA(VLOOKUP(CONCATENATE(AW$4,$C403),'INSER DATA'!$A:$F,7,0),"")</f>
        <v/>
      </c>
      <c r="AX403" s="270" t="str">
        <f>_xlfn.IFNA(VLOOKUP(CONCATENATE(AX$4,$C403),'INSER DATA'!$A:$F,7,0),"")</f>
        <v/>
      </c>
      <c r="AY403" s="270" t="str">
        <f>_xlfn.IFNA(VLOOKUP(CONCATENATE(AY$4,$C403),'INSER DATA'!$A:$F,7,0),"")</f>
        <v/>
      </c>
      <c r="AZ403" s="270" t="str">
        <f>_xlfn.IFNA(VLOOKUP(CONCATENATE(AZ$4,$C403),'INSER DATA'!$A:$F,7,0),"")</f>
        <v/>
      </c>
      <c r="BA403" s="270" t="str">
        <f>_xlfn.IFNA(VLOOKUP(CONCATENATE(BA$4,$C403),'INSER DATA'!$A:$F,7,0),"")</f>
        <v/>
      </c>
      <c r="BB403" s="270" t="str">
        <f>_xlfn.IFNA(VLOOKUP(CONCATENATE(BB$4,$C403),'INSER DATA'!$A:$F,7,0),"")</f>
        <v/>
      </c>
      <c r="BC403" s="270" t="str">
        <f>_xlfn.IFNA(VLOOKUP(CONCATENATE(BC$4,$C403),'INSER DATA'!$A:$F,7,0),"")</f>
        <v/>
      </c>
      <c r="BD403" s="270" t="str">
        <f>_xlfn.IFNA(VLOOKUP(CONCATENATE(BD$4,$C403),'INSER DATA'!$A:$F,7,0),"")</f>
        <v/>
      </c>
      <c r="BE403" s="270" t="str">
        <f>_xlfn.IFNA(VLOOKUP(CONCATENATE(BE$4,$C403),'INSER DATA'!$A:$F,7,0),"")</f>
        <v/>
      </c>
      <c r="BF403" s="270" t="str">
        <f>_xlfn.IFNA(VLOOKUP(CONCATENATE(BF$4,$C403),'INSER DATA'!$A:$F,7,0),"")</f>
        <v/>
      </c>
      <c r="BG403" s="270" t="str">
        <f>_xlfn.IFNA(VLOOKUP(CONCATENATE(BG$4,$C403),'INSER DATA'!$A:$F,7,0),"")</f>
        <v/>
      </c>
      <c r="BH403" s="270" t="str">
        <f>_xlfn.IFNA(VLOOKUP(CONCATENATE(BH$4,$C403),'INSER DATA'!$A:$F,7,0),"")</f>
        <v/>
      </c>
      <c r="BI403" s="270" t="str">
        <f>_xlfn.IFNA(VLOOKUP(CONCATENATE(BI$4,$C403),'INSER DATA'!$A:$F,7,0),"")</f>
        <v/>
      </c>
      <c r="BJ403" s="270" t="str">
        <f>_xlfn.IFNA(VLOOKUP(CONCATENATE(BJ$4,$C403),'INSER DATA'!$A:$F,7,0),"")</f>
        <v/>
      </c>
      <c r="BK403" s="270" t="str">
        <f>_xlfn.IFNA(VLOOKUP(CONCATENATE(BK$4,$C403),'INSER DATA'!$A:$F,7,0),"")</f>
        <v/>
      </c>
      <c r="BL403" s="272"/>
      <c r="BM403" s="30"/>
      <c r="BN403" s="30"/>
      <c r="BO403" s="30"/>
      <c r="BP403" s="30"/>
      <c r="BQ403" s="30"/>
      <c r="BR403" s="30"/>
      <c r="BS403" s="30"/>
      <c r="BT403" s="30"/>
      <c r="BU403" s="30"/>
      <c r="BV403" s="30"/>
      <c r="BW403" s="30"/>
      <c r="BX403" s="30"/>
      <c r="BY403" s="30"/>
      <c r="BZ403" s="30"/>
      <c r="CA403" s="30"/>
      <c r="CB403" s="30"/>
      <c r="CC403" s="30"/>
      <c r="CD403" s="30"/>
      <c r="CE403" s="30"/>
      <c r="CF403" s="30"/>
      <c r="CG403" s="30"/>
      <c r="CH403" s="30"/>
      <c r="CI403" s="30"/>
      <c r="CJ403" s="30"/>
      <c r="CK403" s="30"/>
      <c r="CL403" s="30"/>
      <c r="CM403" s="30"/>
      <c r="CN403" s="30"/>
      <c r="CO403" s="30"/>
      <c r="CP403" s="30"/>
      <c r="CQ403" s="30"/>
      <c r="CR403" s="30"/>
      <c r="CS403" s="30"/>
      <c r="CT403" s="30"/>
      <c r="CU403" s="30"/>
      <c r="CV403" s="30"/>
      <c r="CW403" s="30"/>
      <c r="CX403" s="30"/>
      <c r="CY403" s="30"/>
      <c r="CZ403" s="30"/>
      <c r="DA403" s="30"/>
    </row>
    <row r="404" spans="1:105" ht="19.2" thickTop="1" thickBot="1" x14ac:dyDescent="0.4">
      <c r="A404" s="30"/>
      <c r="B404" s="30"/>
      <c r="C404" s="354" t="s">
        <v>897</v>
      </c>
      <c r="D404" s="357" t="s">
        <v>894</v>
      </c>
      <c r="E404" s="35" t="str">
        <f>_xlfn.XLOOKUP(Tabella4[[#This Row],[NOME]],'ROSE SQUADRE'!$N$3:$N$253,'ROSE SQUADRE'!$O$3:$O$253,"")</f>
        <v>SESTO ASENSIO</v>
      </c>
      <c r="F404" s="36" t="s">
        <v>161</v>
      </c>
      <c r="G404" s="43">
        <v>8</v>
      </c>
      <c r="H404" s="43">
        <v>8</v>
      </c>
      <c r="I404" s="44">
        <f t="shared" si="37"/>
        <v>0</v>
      </c>
      <c r="J404" s="37">
        <f t="shared" si="38"/>
        <v>1</v>
      </c>
      <c r="K404" s="38">
        <f t="shared" si="39"/>
        <v>6</v>
      </c>
      <c r="L404" s="38">
        <f t="shared" si="40"/>
        <v>6</v>
      </c>
      <c r="M404" s="39">
        <f t="shared" si="41"/>
        <v>6</v>
      </c>
      <c r="N404" s="45">
        <f t="shared" ca="1" si="42"/>
        <v>0</v>
      </c>
      <c r="O404" s="40">
        <f>SUMIF(Tabella1[Nome],Tabella4[[#This Row],[NOME]],Tabella1[Gf])</f>
        <v>0</v>
      </c>
      <c r="P404" s="40">
        <f>-(SUMIF(Tabella1[Nome],Tabella4[[#This Row],[NOME]],Tabella1[Gs]))</f>
        <v>0</v>
      </c>
      <c r="Q404" s="40">
        <f>SUMIF(Tabella1[Nome],Tabella4[[#This Row],[NOME]],Tabella1[Rp])</f>
        <v>0</v>
      </c>
      <c r="R404" s="40">
        <f>SUMIF(Tabella1[Nome],Tabella4[[#This Row],[NOME]],Tabella1[Rs])</f>
        <v>0</v>
      </c>
      <c r="S404" s="40">
        <f>SUMIF(Tabella1[Nome],Tabella4[[#This Row],[NOME]],Tabella1[Rf])</f>
        <v>0</v>
      </c>
      <c r="T404" s="40">
        <f>SUMIF(Tabella1[Nome],Tabella4[[#This Row],[NOME]],Tabella1[Au])</f>
        <v>0</v>
      </c>
      <c r="U404" s="41">
        <f>SUMIF(Tabella1[Nome],Tabella4[[#This Row],[NOME]],Tabella1[Amm])</f>
        <v>0</v>
      </c>
      <c r="V404" s="42">
        <f>SUMIF(Tabella1[Nome],Tabella4[[#This Row],[NOME]],Tabella1[Esp])</f>
        <v>0</v>
      </c>
      <c r="W404" s="40">
        <f>SUMIF(Tabella1[Nome],Tabella4[[#This Row],[NOME]],Tabella1[Ass])</f>
        <v>0</v>
      </c>
      <c r="X404" s="40">
        <f>SUMIF(Tabella1[Nome],Tabella4[[#This Row],[NOME]],Tabella1[Gdv])</f>
        <v>0</v>
      </c>
      <c r="Y404" s="40">
        <f>SUMIF(Tabella1[Nome],Tabella4[[#This Row],[NOME]],Tabella1[cl sh])</f>
        <v>0</v>
      </c>
      <c r="Z404" s="270">
        <f>_xlfn.IFNA(_xlfn.XLOOKUP(CONCATENATE(Z$4,$C404),Tabella1[CONC X VOTI IN TAB GIOC],Tabella1[Voto],""),"")</f>
        <v>6</v>
      </c>
      <c r="AA404" s="270" t="str">
        <f>_xlfn.IFNA(_xlfn.XLOOKUP(CONCATENATE(AA$4,$C404),Tabella1[CONC X VOTI IN TAB GIOC],Tabella1[Voto],""),"")</f>
        <v/>
      </c>
      <c r="AB404" s="270" t="str">
        <f>_xlfn.IFNA(_xlfn.XLOOKUP(CONCATENATE(AB$4,$C404),Tabella1[CONC X VOTI IN TAB GIOC],Tabella1[Voto]),"")</f>
        <v/>
      </c>
      <c r="AC404" s="270" t="str" cm="1">
        <f t="array" ref="AC404">_xlfn.IFNA(_xlfn.XLOOKUP(CONCATENATE(AC$4,$C404),INDEX(Tabella1[],0,MATCH("CONC X VOTI IN TAB GIOC",Tabella1[#Headers],0)),INDEX(Tabella1[],0,MATCH("Voto",Tabella1[#Headers],0))),"")</f>
        <v/>
      </c>
      <c r="AD404" s="270" t="str">
        <f>_xlfn.IFNA(_xlfn.XLOOKUP(CONCATENATE(AD$4,$C404),Tabella1[CONC X VOTI IN TAB GIOC],Tabella1[Voto]),"")</f>
        <v/>
      </c>
      <c r="AE404" s="270" t="str">
        <f>_xlfn.IFNA(VLOOKUP(CONCATENATE(AE$4,$C404),'INSER DATA'!$A:$F,6,0),"")</f>
        <v/>
      </c>
      <c r="AF404" s="270" t="str">
        <f>_xlfn.IFNA(VLOOKUP(CONCATENATE(AF$4,$C404),'INSER DATA'!$A:$F,6,0),"")</f>
        <v/>
      </c>
      <c r="AG404" s="270" t="str">
        <f>_xlfn.IFNA(VLOOKUP(CONCATENATE(AG$4,$C404),'INSER DATA'!$A:$F,6,0),"")</f>
        <v/>
      </c>
      <c r="AH404" s="270" t="str">
        <f>_xlfn.IFNA(VLOOKUP(CONCATENATE(AH$4,$C404),'INSER DATA'!$A:$F,7,0),"")</f>
        <v/>
      </c>
      <c r="AI404" s="270" t="str">
        <f>_xlfn.IFNA(VLOOKUP(CONCATENATE(AI$4,$C404),'INSER DATA'!$A:$F,7,0),"")</f>
        <v/>
      </c>
      <c r="AJ404" s="270" t="str">
        <f>_xlfn.IFNA(VLOOKUP(CONCATENATE(AJ$4,$C404),'INSER DATA'!$A:$F,7,0),"")</f>
        <v/>
      </c>
      <c r="AK404" s="270" t="str">
        <f>_xlfn.IFNA(VLOOKUP(CONCATENATE(AK$4,$C404),'INSER DATA'!$A:$F,7,0),"")</f>
        <v/>
      </c>
      <c r="AL404" s="270" t="str">
        <f>_xlfn.IFNA(VLOOKUP(CONCATENATE(AL$4,$C404),'INSER DATA'!$A:$F,7,0),"")</f>
        <v/>
      </c>
      <c r="AM404" s="270" t="str">
        <f>_xlfn.IFNA(VLOOKUP(CONCATENATE(AM$4,$C404),'INSER DATA'!$A:$F,7,0),"")</f>
        <v/>
      </c>
      <c r="AN404" s="270" t="str">
        <f>_xlfn.IFNA(VLOOKUP(CONCATENATE(AN$4,$C404),'INSER DATA'!$A:$F,7,0),"")</f>
        <v/>
      </c>
      <c r="AO404" s="270" t="str">
        <f>_xlfn.IFNA(VLOOKUP(CONCATENATE(AO$4,$C404),'INSER DATA'!$A:$F,7,0),"")</f>
        <v/>
      </c>
      <c r="AP404" s="270" t="str">
        <f>_xlfn.IFNA(VLOOKUP(CONCATENATE(AP$4,$C404),'INSER DATA'!$A:$F,7,0),"")</f>
        <v/>
      </c>
      <c r="AQ404" s="270" t="str">
        <f>_xlfn.IFNA(VLOOKUP(CONCATENATE(AQ$4,$C404),'INSER DATA'!$A:$F,7,0),"")</f>
        <v/>
      </c>
      <c r="AR404" s="270" t="str">
        <f>_xlfn.IFNA(VLOOKUP(CONCATENATE(AR$4,$C404),'INSER DATA'!$A:$F,7,0),"")</f>
        <v/>
      </c>
      <c r="AS404" s="270" t="str">
        <f>_xlfn.IFNA(VLOOKUP(CONCATENATE(AS$4,$C404),'INSER DATA'!$A:$F,7,0),"")</f>
        <v/>
      </c>
      <c r="AT404" s="270" t="str">
        <f>_xlfn.IFNA(VLOOKUP(CONCATENATE(AT$4,$C404),'INSER DATA'!$A:$F,7,0),"")</f>
        <v/>
      </c>
      <c r="AU404" s="270" t="str">
        <f>_xlfn.IFNA(VLOOKUP(CONCATENATE(AU$4,$C404),'INSER DATA'!$A:$F,7,0),"")</f>
        <v/>
      </c>
      <c r="AV404" s="270" t="str">
        <f>_xlfn.IFNA(VLOOKUP(CONCATENATE(AV$4,$C404),'INSER DATA'!$A:$F,7,0),"")</f>
        <v/>
      </c>
      <c r="AW404" s="270" t="str">
        <f>_xlfn.IFNA(VLOOKUP(CONCATENATE(AW$4,$C404),'INSER DATA'!$A:$F,7,0),"")</f>
        <v/>
      </c>
      <c r="AX404" s="270" t="str">
        <f>_xlfn.IFNA(VLOOKUP(CONCATENATE(AX$4,$C404),'INSER DATA'!$A:$F,7,0),"")</f>
        <v/>
      </c>
      <c r="AY404" s="270" t="str">
        <f>_xlfn.IFNA(VLOOKUP(CONCATENATE(AY$4,$C404),'INSER DATA'!$A:$F,7,0),"")</f>
        <v/>
      </c>
      <c r="AZ404" s="270" t="str">
        <f>_xlfn.IFNA(VLOOKUP(CONCATENATE(AZ$4,$C404),'INSER DATA'!$A:$F,7,0),"")</f>
        <v/>
      </c>
      <c r="BA404" s="270" t="str">
        <f>_xlfn.IFNA(VLOOKUP(CONCATENATE(BA$4,$C404),'INSER DATA'!$A:$F,7,0),"")</f>
        <v/>
      </c>
      <c r="BB404" s="270" t="str">
        <f>_xlfn.IFNA(VLOOKUP(CONCATENATE(BB$4,$C404),'INSER DATA'!$A:$F,7,0),"")</f>
        <v/>
      </c>
      <c r="BC404" s="270" t="str">
        <f>_xlfn.IFNA(VLOOKUP(CONCATENATE(BC$4,$C404),'INSER DATA'!$A:$F,7,0),"")</f>
        <v/>
      </c>
      <c r="BD404" s="270" t="str">
        <f>_xlfn.IFNA(VLOOKUP(CONCATENATE(BD$4,$C404),'INSER DATA'!$A:$F,7,0),"")</f>
        <v/>
      </c>
      <c r="BE404" s="270" t="str">
        <f>_xlfn.IFNA(VLOOKUP(CONCATENATE(BE$4,$C404),'INSER DATA'!$A:$F,7,0),"")</f>
        <v/>
      </c>
      <c r="BF404" s="270" t="str">
        <f>_xlfn.IFNA(VLOOKUP(CONCATENATE(BF$4,$C404),'INSER DATA'!$A:$F,7,0),"")</f>
        <v/>
      </c>
      <c r="BG404" s="270" t="str">
        <f>_xlfn.IFNA(VLOOKUP(CONCATENATE(BG$4,$C404),'INSER DATA'!$A:$F,7,0),"")</f>
        <v/>
      </c>
      <c r="BH404" s="270" t="str">
        <f>_xlfn.IFNA(VLOOKUP(CONCATENATE(BH$4,$C404),'INSER DATA'!$A:$F,7,0),"")</f>
        <v/>
      </c>
      <c r="BI404" s="270" t="str">
        <f>_xlfn.IFNA(VLOOKUP(CONCATENATE(BI$4,$C404),'INSER DATA'!$A:$F,7,0),"")</f>
        <v/>
      </c>
      <c r="BJ404" s="270" t="str">
        <f>_xlfn.IFNA(VLOOKUP(CONCATENATE(BJ$4,$C404),'INSER DATA'!$A:$F,7,0),"")</f>
        <v/>
      </c>
      <c r="BK404" s="270" t="str">
        <f>_xlfn.IFNA(VLOOKUP(CONCATENATE(BK$4,$C404),'INSER DATA'!$A:$F,7,0),"")</f>
        <v/>
      </c>
      <c r="BL404" s="272"/>
      <c r="BM404" s="30"/>
      <c r="BN404" s="30"/>
      <c r="BO404" s="30"/>
      <c r="BP404" s="30"/>
      <c r="BQ404" s="30"/>
      <c r="BR404" s="30"/>
      <c r="BS404" s="30"/>
      <c r="BT404" s="30"/>
      <c r="BU404" s="30"/>
      <c r="BV404" s="30"/>
      <c r="BW404" s="30"/>
      <c r="BX404" s="30"/>
      <c r="BY404" s="30"/>
      <c r="BZ404" s="30"/>
      <c r="CA404" s="30"/>
      <c r="CB404" s="30"/>
      <c r="CC404" s="30"/>
      <c r="CD404" s="30"/>
      <c r="CE404" s="30"/>
      <c r="CF404" s="30"/>
      <c r="CG404" s="30"/>
      <c r="CH404" s="30"/>
      <c r="CI404" s="30"/>
      <c r="CJ404" s="30"/>
      <c r="CK404" s="30"/>
      <c r="CL404" s="30"/>
      <c r="CM404" s="30"/>
      <c r="CN404" s="30"/>
      <c r="CO404" s="30"/>
      <c r="CP404" s="30"/>
      <c r="CQ404" s="30"/>
      <c r="CR404" s="30"/>
      <c r="CS404" s="30"/>
      <c r="CT404" s="30"/>
      <c r="CU404" s="30"/>
      <c r="CV404" s="30"/>
      <c r="CW404" s="30"/>
      <c r="CX404" s="30"/>
      <c r="CY404" s="30"/>
      <c r="CZ404" s="30"/>
      <c r="DA404" s="30"/>
    </row>
    <row r="405" spans="1:105" ht="19.2" thickTop="1" thickBot="1" x14ac:dyDescent="0.4">
      <c r="A405" s="30"/>
      <c r="B405" s="30"/>
      <c r="C405" s="360" t="s">
        <v>898</v>
      </c>
      <c r="D405" s="361" t="s">
        <v>894</v>
      </c>
      <c r="E405" s="35" t="str">
        <f>_xlfn.XLOOKUP(Tabella4[[#This Row],[NOME]],'ROSE SQUADRE'!$N$3:$N$253,'ROSE SQUADRE'!$O$3:$O$253,"")</f>
        <v>TRICCHETRACHT</v>
      </c>
      <c r="F405" s="36" t="s">
        <v>161</v>
      </c>
      <c r="G405" s="43">
        <v>18</v>
      </c>
      <c r="H405" s="43">
        <v>18</v>
      </c>
      <c r="I405" s="44">
        <f t="shared" si="37"/>
        <v>0</v>
      </c>
      <c r="J405" s="37">
        <f t="shared" si="38"/>
        <v>3</v>
      </c>
      <c r="K405" s="178">
        <f t="shared" si="39"/>
        <v>6</v>
      </c>
      <c r="L405" s="178">
        <f t="shared" si="40"/>
        <v>6</v>
      </c>
      <c r="M405" s="179">
        <f t="shared" si="41"/>
        <v>18</v>
      </c>
      <c r="N405" s="45">
        <f t="shared" ca="1" si="42"/>
        <v>1</v>
      </c>
      <c r="O405" s="40">
        <f>SUMIF(Tabella1[Nome],Tabella4[[#This Row],[NOME]],Tabella1[Gf])</f>
        <v>0</v>
      </c>
      <c r="P405" s="40">
        <f>-(SUMIF(Tabella1[Nome],Tabella4[[#This Row],[NOME]],Tabella1[Gs]))</f>
        <v>0</v>
      </c>
      <c r="Q405" s="40">
        <f>SUMIF(Tabella1[Nome],Tabella4[[#This Row],[NOME]],Tabella1[Rp])</f>
        <v>0</v>
      </c>
      <c r="R405" s="40">
        <f>SUMIF(Tabella1[Nome],Tabella4[[#This Row],[NOME]],Tabella1[Rs])</f>
        <v>0</v>
      </c>
      <c r="S405" s="40">
        <f>SUMIF(Tabella1[Nome],Tabella4[[#This Row],[NOME]],Tabella1[Rf])</f>
        <v>0</v>
      </c>
      <c r="T405" s="40">
        <f>SUMIF(Tabella1[Nome],Tabella4[[#This Row],[NOME]],Tabella1[Au])</f>
        <v>0</v>
      </c>
      <c r="U405" s="41">
        <f>SUMIF(Tabella1[Nome],Tabella4[[#This Row],[NOME]],Tabella1[Amm])</f>
        <v>0</v>
      </c>
      <c r="V405" s="42">
        <f>SUMIF(Tabella1[Nome],Tabella4[[#This Row],[NOME]],Tabella1[Esp])</f>
        <v>0</v>
      </c>
      <c r="W405" s="40">
        <f>SUMIF(Tabella1[Nome],Tabella4[[#This Row],[NOME]],Tabella1[Ass])</f>
        <v>0</v>
      </c>
      <c r="X405" s="40">
        <f>SUMIF(Tabella1[Nome],Tabella4[[#This Row],[NOME]],Tabella1[Gdv])</f>
        <v>0</v>
      </c>
      <c r="Y405" s="40">
        <f>SUMIF(Tabella1[Nome],Tabella4[[#This Row],[NOME]],Tabella1[cl sh])</f>
        <v>0</v>
      </c>
      <c r="Z405" s="270" t="str">
        <f>_xlfn.IFNA(_xlfn.XLOOKUP(CONCATENATE(Z$4,$C405),Tabella1[CONC X VOTI IN TAB GIOC],Tabella1[Voto],""),"")</f>
        <v/>
      </c>
      <c r="AA405" s="270">
        <f>_xlfn.IFNA(_xlfn.XLOOKUP(CONCATENATE(AA$4,$C405),Tabella1[CONC X VOTI IN TAB GIOC],Tabella1[Voto],""),"")</f>
        <v>6</v>
      </c>
      <c r="AB405" s="400">
        <f>_xlfn.IFNA(_xlfn.XLOOKUP(CONCATENATE(AB$4,$C405),Tabella1[CONC X VOTI IN TAB GIOC],Tabella1[Voto]),"")</f>
        <v>6</v>
      </c>
      <c r="AC405" s="270" cm="1">
        <f t="array" ref="AC405">_xlfn.IFNA(_xlfn.XLOOKUP(CONCATENATE(AC$4,$C405),INDEX(Tabella1[],0,MATCH("CONC X VOTI IN TAB GIOC",Tabella1[#Headers],0)),INDEX(Tabella1[],0,MATCH("Voto",Tabella1[#Headers],0))),"")</f>
        <v>6</v>
      </c>
      <c r="AD405" s="270" t="str">
        <f>_xlfn.IFNA(_xlfn.XLOOKUP(CONCATENATE(AD$4,$C405),Tabella1[CONC X VOTI IN TAB GIOC],Tabella1[Voto]),"")</f>
        <v/>
      </c>
      <c r="AE405" s="270" t="str">
        <f>_xlfn.IFNA(VLOOKUP(CONCATENATE(AE$4,$C405),'INSER DATA'!$A:$F,6,0),"")</f>
        <v/>
      </c>
      <c r="AF405" s="270" t="str">
        <f>_xlfn.IFNA(VLOOKUP(CONCATENATE(AF$4,$C405),'INSER DATA'!$A:$F,6,0),"")</f>
        <v/>
      </c>
      <c r="AG405" s="270" t="str">
        <f>_xlfn.IFNA(VLOOKUP(CONCATENATE(AG$4,$C405),'INSER DATA'!$A:$F,6,0),"")</f>
        <v/>
      </c>
      <c r="AH405" s="270" t="str">
        <f>_xlfn.IFNA(VLOOKUP(CONCATENATE(AH$4,$C405),'INSER DATA'!$A:$F,7,0),"")</f>
        <v/>
      </c>
      <c r="AI405" s="270" t="str">
        <f>_xlfn.IFNA(VLOOKUP(CONCATENATE(AI$4,$C405),'INSER DATA'!$A:$F,7,0),"")</f>
        <v/>
      </c>
      <c r="AJ405" s="270" t="str">
        <f>_xlfn.IFNA(VLOOKUP(CONCATENATE(AJ$4,$C405),'INSER DATA'!$A:$F,7,0),"")</f>
        <v/>
      </c>
      <c r="AK405" s="270" t="str">
        <f>_xlfn.IFNA(VLOOKUP(CONCATENATE(AK$4,$C405),'INSER DATA'!$A:$F,7,0),"")</f>
        <v/>
      </c>
      <c r="AL405" s="270" t="str">
        <f>_xlfn.IFNA(VLOOKUP(CONCATENATE(AL$4,$C405),'INSER DATA'!$A:$F,7,0),"")</f>
        <v/>
      </c>
      <c r="AM405" s="270" t="str">
        <f>_xlfn.IFNA(VLOOKUP(CONCATENATE(AM$4,$C405),'INSER DATA'!$A:$F,7,0),"")</f>
        <v/>
      </c>
      <c r="AN405" s="270" t="str">
        <f>_xlfn.IFNA(VLOOKUP(CONCATENATE(AN$4,$C405),'INSER DATA'!$A:$F,7,0),"")</f>
        <v/>
      </c>
      <c r="AO405" s="270" t="str">
        <f>_xlfn.IFNA(VLOOKUP(CONCATENATE(AO$4,$C405),'INSER DATA'!$A:$F,7,0),"")</f>
        <v/>
      </c>
      <c r="AP405" s="270" t="str">
        <f>_xlfn.IFNA(VLOOKUP(CONCATENATE(AP$4,$C405),'INSER DATA'!$A:$F,7,0),"")</f>
        <v/>
      </c>
      <c r="AQ405" s="270" t="str">
        <f>_xlfn.IFNA(VLOOKUP(CONCATENATE(AQ$4,$C405),'INSER DATA'!$A:$F,7,0),"")</f>
        <v/>
      </c>
      <c r="AR405" s="270" t="str">
        <f>_xlfn.IFNA(VLOOKUP(CONCATENATE(AR$4,$C405),'INSER DATA'!$A:$F,7,0),"")</f>
        <v/>
      </c>
      <c r="AS405" s="270" t="str">
        <f>_xlfn.IFNA(VLOOKUP(CONCATENATE(AS$4,$C405),'INSER DATA'!$A:$F,7,0),"")</f>
        <v/>
      </c>
      <c r="AT405" s="270" t="str">
        <f>_xlfn.IFNA(VLOOKUP(CONCATENATE(AT$4,$C405),'INSER DATA'!$A:$F,7,0),"")</f>
        <v/>
      </c>
      <c r="AU405" s="270" t="str">
        <f>_xlfn.IFNA(VLOOKUP(CONCATENATE(AU$4,$C405),'INSER DATA'!$A:$F,7,0),"")</f>
        <v/>
      </c>
      <c r="AV405" s="270" t="str">
        <f>_xlfn.IFNA(VLOOKUP(CONCATENATE(AV$4,$C405),'INSER DATA'!$A:$F,7,0),"")</f>
        <v/>
      </c>
      <c r="AW405" s="270" t="str">
        <f>_xlfn.IFNA(VLOOKUP(CONCATENATE(AW$4,$C405),'INSER DATA'!$A:$F,7,0),"")</f>
        <v/>
      </c>
      <c r="AX405" s="270" t="str">
        <f>_xlfn.IFNA(VLOOKUP(CONCATENATE(AX$4,$C405),'INSER DATA'!$A:$F,7,0),"")</f>
        <v/>
      </c>
      <c r="AY405" s="270" t="str">
        <f>_xlfn.IFNA(VLOOKUP(CONCATENATE(AY$4,$C405),'INSER DATA'!$A:$F,7,0),"")</f>
        <v/>
      </c>
      <c r="AZ405" s="270" t="str">
        <f>_xlfn.IFNA(VLOOKUP(CONCATENATE(AZ$4,$C405),'INSER DATA'!$A:$F,7,0),"")</f>
        <v/>
      </c>
      <c r="BA405" s="270" t="str">
        <f>_xlfn.IFNA(VLOOKUP(CONCATENATE(BA$4,$C405),'INSER DATA'!$A:$F,7,0),"")</f>
        <v/>
      </c>
      <c r="BB405" s="270" t="str">
        <f>_xlfn.IFNA(VLOOKUP(CONCATENATE(BB$4,$C405),'INSER DATA'!$A:$F,7,0),"")</f>
        <v/>
      </c>
      <c r="BC405" s="270" t="str">
        <f>_xlfn.IFNA(VLOOKUP(CONCATENATE(BC$4,$C405),'INSER DATA'!$A:$F,7,0),"")</f>
        <v/>
      </c>
      <c r="BD405" s="270" t="str">
        <f>_xlfn.IFNA(VLOOKUP(CONCATENATE(BD$4,$C405),'INSER DATA'!$A:$F,7,0),"")</f>
        <v/>
      </c>
      <c r="BE405" s="270" t="str">
        <f>_xlfn.IFNA(VLOOKUP(CONCATENATE(BE$4,$C405),'INSER DATA'!$A:$F,7,0),"")</f>
        <v/>
      </c>
      <c r="BF405" s="270" t="str">
        <f>_xlfn.IFNA(VLOOKUP(CONCATENATE(BF$4,$C405),'INSER DATA'!$A:$F,7,0),"")</f>
        <v/>
      </c>
      <c r="BG405" s="270" t="str">
        <f>_xlfn.IFNA(VLOOKUP(CONCATENATE(BG$4,$C405),'INSER DATA'!$A:$F,7,0),"")</f>
        <v/>
      </c>
      <c r="BH405" s="270" t="str">
        <f>_xlfn.IFNA(VLOOKUP(CONCATENATE(BH$4,$C405),'INSER DATA'!$A:$F,7,0),"")</f>
        <v/>
      </c>
      <c r="BI405" s="270" t="str">
        <f>_xlfn.IFNA(VLOOKUP(CONCATENATE(BI$4,$C405),'INSER DATA'!$A:$F,7,0),"")</f>
        <v/>
      </c>
      <c r="BJ405" s="270" t="str">
        <f>_xlfn.IFNA(VLOOKUP(CONCATENATE(BJ$4,$C405),'INSER DATA'!$A:$F,7,0),"")</f>
        <v/>
      </c>
      <c r="BK405" s="270" t="str">
        <f>_xlfn.IFNA(VLOOKUP(CONCATENATE(BK$4,$C405),'INSER DATA'!$A:$F,7,0),"")</f>
        <v/>
      </c>
      <c r="BL405" s="272"/>
      <c r="BM405" s="30"/>
      <c r="BN405" s="30"/>
      <c r="BO405" s="30"/>
      <c r="BP405" s="30"/>
      <c r="BQ405" s="30"/>
      <c r="BR405" s="30"/>
      <c r="BS405" s="30"/>
      <c r="BT405" s="30"/>
      <c r="BU405" s="30"/>
      <c r="BV405" s="30"/>
      <c r="BW405" s="30"/>
      <c r="BX405" s="30"/>
      <c r="BY405" s="30"/>
      <c r="BZ405" s="30"/>
      <c r="CA405" s="30"/>
      <c r="CB405" s="30"/>
      <c r="CC405" s="30"/>
      <c r="CD405" s="30"/>
      <c r="CE405" s="30"/>
      <c r="CF405" s="30"/>
      <c r="CG405" s="30"/>
      <c r="CH405" s="30"/>
      <c r="CI405" s="30"/>
      <c r="CJ405" s="30"/>
      <c r="CK405" s="30"/>
      <c r="CL405" s="30"/>
      <c r="CM405" s="30"/>
      <c r="CN405" s="30"/>
      <c r="CO405" s="30"/>
      <c r="CP405" s="30"/>
      <c r="CQ405" s="30"/>
      <c r="CR405" s="30"/>
      <c r="CS405" s="30"/>
      <c r="CT405" s="30"/>
      <c r="CU405" s="30"/>
      <c r="CV405" s="30"/>
      <c r="CW405" s="30"/>
      <c r="CX405" s="30"/>
      <c r="CY405" s="30"/>
      <c r="CZ405" s="30"/>
      <c r="DA405" s="30"/>
    </row>
    <row r="406" spans="1:105" ht="19.2" thickTop="1" thickBot="1" x14ac:dyDescent="0.4">
      <c r="A406" s="30"/>
      <c r="B406" s="30"/>
      <c r="C406" s="354" t="s">
        <v>566</v>
      </c>
      <c r="D406" s="357" t="s">
        <v>894</v>
      </c>
      <c r="E406" s="35" t="str">
        <f>_xlfn.XLOOKUP(Tabella4[[#This Row],[NOME]],'ROSE SQUADRE'!$N$3:$N$253,'ROSE SQUADRE'!$O$3:$O$253,"")</f>
        <v>FC INTERNAZIOANALE</v>
      </c>
      <c r="F406" s="36" t="s">
        <v>161</v>
      </c>
      <c r="G406" s="43">
        <v>13</v>
      </c>
      <c r="H406" s="43">
        <v>13</v>
      </c>
      <c r="I406" s="44">
        <f t="shared" si="37"/>
        <v>0</v>
      </c>
      <c r="J406" s="37">
        <f t="shared" si="38"/>
        <v>2</v>
      </c>
      <c r="K406" s="178">
        <f t="shared" si="39"/>
        <v>5.75</v>
      </c>
      <c r="L406" s="178">
        <f t="shared" si="40"/>
        <v>5.75</v>
      </c>
      <c r="M406" s="179">
        <f t="shared" si="41"/>
        <v>11.5</v>
      </c>
      <c r="N406" s="45">
        <f t="shared" ca="1" si="42"/>
        <v>0</v>
      </c>
      <c r="O406" s="40">
        <f>SUMIF(Tabella1[Nome],Tabella4[[#This Row],[NOME]],Tabella1[Gf])</f>
        <v>0</v>
      </c>
      <c r="P406" s="40">
        <f>-(SUMIF(Tabella1[Nome],Tabella4[[#This Row],[NOME]],Tabella1[Gs]))</f>
        <v>0</v>
      </c>
      <c r="Q406" s="40">
        <f>SUMIF(Tabella1[Nome],Tabella4[[#This Row],[NOME]],Tabella1[Rp])</f>
        <v>0</v>
      </c>
      <c r="R406" s="40">
        <f>SUMIF(Tabella1[Nome],Tabella4[[#This Row],[NOME]],Tabella1[Rs])</f>
        <v>0</v>
      </c>
      <c r="S406" s="40">
        <f>SUMIF(Tabella1[Nome],Tabella4[[#This Row],[NOME]],Tabella1[Rf])</f>
        <v>0</v>
      </c>
      <c r="T406" s="40">
        <f>SUMIF(Tabella1[Nome],Tabella4[[#This Row],[NOME]],Tabella1[Au])</f>
        <v>0</v>
      </c>
      <c r="U406" s="41">
        <f>SUMIF(Tabella1[Nome],Tabella4[[#This Row],[NOME]],Tabella1[Amm])</f>
        <v>0</v>
      </c>
      <c r="V406" s="42">
        <f>SUMIF(Tabella1[Nome],Tabella4[[#This Row],[NOME]],Tabella1[Esp])</f>
        <v>0</v>
      </c>
      <c r="W406" s="40">
        <f>SUMIF(Tabella1[Nome],Tabella4[[#This Row],[NOME]],Tabella1[Ass])</f>
        <v>0</v>
      </c>
      <c r="X406" s="40">
        <f>SUMIF(Tabella1[Nome],Tabella4[[#This Row],[NOME]],Tabella1[Gdv])</f>
        <v>0</v>
      </c>
      <c r="Y406" s="40">
        <f>SUMIF(Tabella1[Nome],Tabella4[[#This Row],[NOME]],Tabella1[cl sh])</f>
        <v>0</v>
      </c>
      <c r="Z406" s="270">
        <f>_xlfn.IFNA(_xlfn.XLOOKUP(CONCATENATE(Z$4,$C406),Tabella1[CONC X VOTI IN TAB GIOC],Tabella1[Voto],""),"")</f>
        <v>6</v>
      </c>
      <c r="AA406" s="270" t="str">
        <f>_xlfn.IFNA(_xlfn.XLOOKUP(CONCATENATE(AA$4,$C406),Tabella1[CONC X VOTI IN TAB GIOC],Tabella1[Voto],""),"")</f>
        <v/>
      </c>
      <c r="AB406" s="270">
        <f>_xlfn.IFNA(_xlfn.XLOOKUP(CONCATENATE(AB$4,$C406),Tabella1[CONC X VOTI IN TAB GIOC],Tabella1[Voto]),"")</f>
        <v>5.5</v>
      </c>
      <c r="AC406" s="270" t="str" cm="1">
        <f t="array" ref="AC406">_xlfn.IFNA(_xlfn.XLOOKUP(CONCATENATE(AC$4,$C406),INDEX(Tabella1[],0,MATCH("CONC X VOTI IN TAB GIOC",Tabella1[#Headers],0)),INDEX(Tabella1[],0,MATCH("Voto",Tabella1[#Headers],0))),"")</f>
        <v/>
      </c>
      <c r="AD406" s="270" t="str">
        <f>_xlfn.IFNA(_xlfn.XLOOKUP(CONCATENATE(AD$4,$C406),Tabella1[CONC X VOTI IN TAB GIOC],Tabella1[Voto]),"")</f>
        <v/>
      </c>
      <c r="AE406" s="270" t="str">
        <f>_xlfn.IFNA(VLOOKUP(CONCATENATE(AE$4,$C406),'INSER DATA'!$A:$F,6,0),"")</f>
        <v/>
      </c>
      <c r="AF406" s="270" t="str">
        <f>_xlfn.IFNA(VLOOKUP(CONCATENATE(AF$4,$C406),'INSER DATA'!$A:$F,6,0),"")</f>
        <v/>
      </c>
      <c r="AG406" s="270" t="str">
        <f>_xlfn.IFNA(VLOOKUP(CONCATENATE(AG$4,$C406),'INSER DATA'!$A:$F,6,0),"")</f>
        <v/>
      </c>
      <c r="AH406" s="270" t="str">
        <f>_xlfn.IFNA(VLOOKUP(CONCATENATE(AH$4,$C406),'INSER DATA'!$A:$F,7,0),"")</f>
        <v/>
      </c>
      <c r="AI406" s="270" t="str">
        <f>_xlfn.IFNA(VLOOKUP(CONCATENATE(AI$4,$C406),'INSER DATA'!$A:$F,7,0),"")</f>
        <v/>
      </c>
      <c r="AJ406" s="270" t="str">
        <f>_xlfn.IFNA(VLOOKUP(CONCATENATE(AJ$4,$C406),'INSER DATA'!$A:$F,7,0),"")</f>
        <v/>
      </c>
      <c r="AK406" s="270" t="str">
        <f>_xlfn.IFNA(VLOOKUP(CONCATENATE(AK$4,$C406),'INSER DATA'!$A:$F,7,0),"")</f>
        <v/>
      </c>
      <c r="AL406" s="270" t="str">
        <f>_xlfn.IFNA(VLOOKUP(CONCATENATE(AL$4,$C406),'INSER DATA'!$A:$F,7,0),"")</f>
        <v/>
      </c>
      <c r="AM406" s="270" t="str">
        <f>_xlfn.IFNA(VLOOKUP(CONCATENATE(AM$4,$C406),'INSER DATA'!$A:$F,7,0),"")</f>
        <v/>
      </c>
      <c r="AN406" s="270" t="str">
        <f>_xlfn.IFNA(VLOOKUP(CONCATENATE(AN$4,$C406),'INSER DATA'!$A:$F,7,0),"")</f>
        <v/>
      </c>
      <c r="AO406" s="270" t="str">
        <f>_xlfn.IFNA(VLOOKUP(CONCATENATE(AO$4,$C406),'INSER DATA'!$A:$F,7,0),"")</f>
        <v/>
      </c>
      <c r="AP406" s="270" t="str">
        <f>_xlfn.IFNA(VLOOKUP(CONCATENATE(AP$4,$C406),'INSER DATA'!$A:$F,7,0),"")</f>
        <v/>
      </c>
      <c r="AQ406" s="270" t="str">
        <f>_xlfn.IFNA(VLOOKUP(CONCATENATE(AQ$4,$C406),'INSER DATA'!$A:$F,7,0),"")</f>
        <v/>
      </c>
      <c r="AR406" s="270" t="str">
        <f>_xlfn.IFNA(VLOOKUP(CONCATENATE(AR$4,$C406),'INSER DATA'!$A:$F,7,0),"")</f>
        <v/>
      </c>
      <c r="AS406" s="270" t="str">
        <f>_xlfn.IFNA(VLOOKUP(CONCATENATE(AS$4,$C406),'INSER DATA'!$A:$F,7,0),"")</f>
        <v/>
      </c>
      <c r="AT406" s="270" t="str">
        <f>_xlfn.IFNA(VLOOKUP(CONCATENATE(AT$4,$C406),'INSER DATA'!$A:$F,7,0),"")</f>
        <v/>
      </c>
      <c r="AU406" s="270" t="str">
        <f>_xlfn.IFNA(VLOOKUP(CONCATENATE(AU$4,$C406),'INSER DATA'!$A:$F,7,0),"")</f>
        <v/>
      </c>
      <c r="AV406" s="270" t="str">
        <f>_xlfn.IFNA(VLOOKUP(CONCATENATE(AV$4,$C406),'INSER DATA'!$A:$F,7,0),"")</f>
        <v/>
      </c>
      <c r="AW406" s="270" t="str">
        <f>_xlfn.IFNA(VLOOKUP(CONCATENATE(AW$4,$C406),'INSER DATA'!$A:$F,7,0),"")</f>
        <v/>
      </c>
      <c r="AX406" s="270" t="str">
        <f>_xlfn.IFNA(VLOOKUP(CONCATENATE(AX$4,$C406),'INSER DATA'!$A:$F,7,0),"")</f>
        <v/>
      </c>
      <c r="AY406" s="270" t="str">
        <f>_xlfn.IFNA(VLOOKUP(CONCATENATE(AY$4,$C406),'INSER DATA'!$A:$F,7,0),"")</f>
        <v/>
      </c>
      <c r="AZ406" s="270" t="str">
        <f>_xlfn.IFNA(VLOOKUP(CONCATENATE(AZ$4,$C406),'INSER DATA'!$A:$F,7,0),"")</f>
        <v/>
      </c>
      <c r="BA406" s="270" t="str">
        <f>_xlfn.IFNA(VLOOKUP(CONCATENATE(BA$4,$C406),'INSER DATA'!$A:$F,7,0),"")</f>
        <v/>
      </c>
      <c r="BB406" s="270" t="str">
        <f>_xlfn.IFNA(VLOOKUP(CONCATENATE(BB$4,$C406),'INSER DATA'!$A:$F,7,0),"")</f>
        <v/>
      </c>
      <c r="BC406" s="270" t="str">
        <f>_xlfn.IFNA(VLOOKUP(CONCATENATE(BC$4,$C406),'INSER DATA'!$A:$F,7,0),"")</f>
        <v/>
      </c>
      <c r="BD406" s="270" t="str">
        <f>_xlfn.IFNA(VLOOKUP(CONCATENATE(BD$4,$C406),'INSER DATA'!$A:$F,7,0),"")</f>
        <v/>
      </c>
      <c r="BE406" s="270" t="str">
        <f>_xlfn.IFNA(VLOOKUP(CONCATENATE(BE$4,$C406),'INSER DATA'!$A:$F,7,0),"")</f>
        <v/>
      </c>
      <c r="BF406" s="270" t="str">
        <f>_xlfn.IFNA(VLOOKUP(CONCATENATE(BF$4,$C406),'INSER DATA'!$A:$F,7,0),"")</f>
        <v/>
      </c>
      <c r="BG406" s="270" t="str">
        <f>_xlfn.IFNA(VLOOKUP(CONCATENATE(BG$4,$C406),'INSER DATA'!$A:$F,7,0),"")</f>
        <v/>
      </c>
      <c r="BH406" s="270" t="str">
        <f>_xlfn.IFNA(VLOOKUP(CONCATENATE(BH$4,$C406),'INSER DATA'!$A:$F,7,0),"")</f>
        <v/>
      </c>
      <c r="BI406" s="270" t="str">
        <f>_xlfn.IFNA(VLOOKUP(CONCATENATE(BI$4,$C406),'INSER DATA'!$A:$F,7,0),"")</f>
        <v/>
      </c>
      <c r="BJ406" s="270" t="str">
        <f>_xlfn.IFNA(VLOOKUP(CONCATENATE(BJ$4,$C406),'INSER DATA'!$A:$F,7,0),"")</f>
        <v/>
      </c>
      <c r="BK406" s="270" t="str">
        <f>_xlfn.IFNA(VLOOKUP(CONCATENATE(BK$4,$C406),'INSER DATA'!$A:$F,7,0),"")</f>
        <v/>
      </c>
      <c r="BL406" s="272"/>
      <c r="BM406" s="30"/>
      <c r="BN406" s="30"/>
      <c r="BO406" s="30"/>
      <c r="BP406" s="30"/>
      <c r="BQ406" s="30"/>
      <c r="BR406" s="30"/>
      <c r="BS406" s="30"/>
      <c r="BT406" s="30"/>
      <c r="BU406" s="30"/>
      <c r="BV406" s="30"/>
      <c r="BW406" s="30"/>
      <c r="BX406" s="30"/>
      <c r="BY406" s="30"/>
      <c r="BZ406" s="30"/>
      <c r="CA406" s="30"/>
      <c r="CB406" s="30"/>
      <c r="CC406" s="30"/>
      <c r="CD406" s="30"/>
      <c r="CE406" s="30"/>
      <c r="CF406" s="30"/>
      <c r="CG406" s="30"/>
      <c r="CH406" s="30"/>
      <c r="CI406" s="30"/>
      <c r="CJ406" s="30"/>
      <c r="CK406" s="30"/>
      <c r="CL406" s="30"/>
      <c r="CM406" s="30"/>
      <c r="CN406" s="30"/>
      <c r="CO406" s="30"/>
      <c r="CP406" s="30"/>
      <c r="CQ406" s="30"/>
      <c r="CR406" s="30"/>
      <c r="CS406" s="30"/>
      <c r="CT406" s="30"/>
      <c r="CU406" s="30"/>
      <c r="CV406" s="30"/>
      <c r="CW406" s="30"/>
      <c r="CX406" s="30"/>
      <c r="CY406" s="30"/>
      <c r="CZ406" s="30"/>
      <c r="DA406" s="30"/>
    </row>
    <row r="407" spans="1:105" s="184" customFormat="1" ht="19.2" thickTop="1" thickBot="1" x14ac:dyDescent="0.4">
      <c r="C407" s="354" t="s">
        <v>509</v>
      </c>
      <c r="D407" s="357" t="s">
        <v>894</v>
      </c>
      <c r="E407" s="35" t="str">
        <f>_xlfn.XLOOKUP(Tabella4[[#This Row],[NOME]],'ROSE SQUADRE'!$N$3:$N$253,'ROSE SQUADRE'!$O$3:$O$253,"")</f>
        <v>SESTO ASENSIO</v>
      </c>
      <c r="F407" s="36" t="s">
        <v>163</v>
      </c>
      <c r="G407" s="43">
        <v>14</v>
      </c>
      <c r="H407" s="43">
        <v>14</v>
      </c>
      <c r="I407" s="44">
        <f t="shared" si="37"/>
        <v>0</v>
      </c>
      <c r="J407" s="37">
        <f t="shared" si="38"/>
        <v>4</v>
      </c>
      <c r="K407" s="178">
        <f t="shared" si="39"/>
        <v>6</v>
      </c>
      <c r="L407" s="178">
        <f t="shared" si="40"/>
        <v>6</v>
      </c>
      <c r="M407" s="179">
        <f t="shared" si="41"/>
        <v>24</v>
      </c>
      <c r="N407" s="45">
        <f t="shared" ca="1" si="42"/>
        <v>0</v>
      </c>
      <c r="O407" s="40">
        <f>SUMIF(Tabella1[Nome],Tabella4[[#This Row],[NOME]],Tabella1[Gf])</f>
        <v>0</v>
      </c>
      <c r="P407" s="40">
        <f>-(SUMIF(Tabella1[Nome],Tabella4[[#This Row],[NOME]],Tabella1[Gs]))</f>
        <v>0</v>
      </c>
      <c r="Q407" s="40">
        <f>SUMIF(Tabella1[Nome],Tabella4[[#This Row],[NOME]],Tabella1[Rp])</f>
        <v>0</v>
      </c>
      <c r="R407" s="40">
        <f>SUMIF(Tabella1[Nome],Tabella4[[#This Row],[NOME]],Tabella1[Rs])</f>
        <v>0</v>
      </c>
      <c r="S407" s="40">
        <f>SUMIF(Tabella1[Nome],Tabella4[[#This Row],[NOME]],Tabella1[Rf])</f>
        <v>0</v>
      </c>
      <c r="T407" s="40">
        <f>SUMIF(Tabella1[Nome],Tabella4[[#This Row],[NOME]],Tabella1[Au])</f>
        <v>0</v>
      </c>
      <c r="U407" s="41">
        <f>SUMIF(Tabella1[Nome],Tabella4[[#This Row],[NOME]],Tabella1[Amm])</f>
        <v>0</v>
      </c>
      <c r="V407" s="42">
        <f>SUMIF(Tabella1[Nome],Tabella4[[#This Row],[NOME]],Tabella1[Esp])</f>
        <v>0</v>
      </c>
      <c r="W407" s="40">
        <f>SUMIF(Tabella1[Nome],Tabella4[[#This Row],[NOME]],Tabella1[Ass])</f>
        <v>0</v>
      </c>
      <c r="X407" s="40">
        <f>SUMIF(Tabella1[Nome],Tabella4[[#This Row],[NOME]],Tabella1[Gdv])</f>
        <v>0</v>
      </c>
      <c r="Y407" s="40">
        <f>SUMIF(Tabella1[Nome],Tabella4[[#This Row],[NOME]],Tabella1[cl sh])</f>
        <v>0</v>
      </c>
      <c r="Z407" s="270">
        <f>_xlfn.IFNA(_xlfn.XLOOKUP(CONCATENATE(Z$4,$C407),Tabella1[CONC X VOTI IN TAB GIOC],Tabella1[Voto],""),"")</f>
        <v>6</v>
      </c>
      <c r="AA407" s="270">
        <f>_xlfn.IFNA(_xlfn.XLOOKUP(CONCATENATE(AA$4,$C407),Tabella1[CONC X VOTI IN TAB GIOC],Tabella1[Voto],""),"")</f>
        <v>6</v>
      </c>
      <c r="AB407" s="270">
        <f>_xlfn.IFNA(_xlfn.XLOOKUP(CONCATENATE(AB$4,$C407),Tabella1[CONC X VOTI IN TAB GIOC],Tabella1[Voto]),"")</f>
        <v>6.5</v>
      </c>
      <c r="AC407" s="270" cm="1">
        <f t="array" ref="AC407">_xlfn.IFNA(_xlfn.XLOOKUP(CONCATENATE(AC$4,$C407),INDEX(Tabella1[],0,MATCH("CONC X VOTI IN TAB GIOC",Tabella1[#Headers],0)),INDEX(Tabella1[],0,MATCH("Voto",Tabella1[#Headers],0))),"")</f>
        <v>5.5</v>
      </c>
      <c r="AD407" s="270" t="str">
        <f>_xlfn.IFNA(_xlfn.XLOOKUP(CONCATENATE(AD$4,$C407),Tabella1[CONC X VOTI IN TAB GIOC],Tabella1[Voto]),"")</f>
        <v/>
      </c>
      <c r="AE407" s="270" t="str">
        <f>_xlfn.IFNA(VLOOKUP(CONCATENATE(AE$4,$C407),'INSER DATA'!$A:$F,6,0),"")</f>
        <v/>
      </c>
      <c r="AF407" s="270" t="str">
        <f>_xlfn.IFNA(VLOOKUP(CONCATENATE(AF$4,$C407),'INSER DATA'!$A:$F,6,0),"")</f>
        <v/>
      </c>
      <c r="AG407" s="270" t="str">
        <f>_xlfn.IFNA(VLOOKUP(CONCATENATE(AG$4,$C407),'INSER DATA'!$A:$F,6,0),"")</f>
        <v/>
      </c>
      <c r="AH407" s="270" t="str">
        <f>_xlfn.IFNA(VLOOKUP(CONCATENATE(AH$4,$C407),'INSER DATA'!$A:$F,7,0),"")</f>
        <v/>
      </c>
      <c r="AI407" s="270" t="str">
        <f>_xlfn.IFNA(VLOOKUP(CONCATENATE(AI$4,$C407),'INSER DATA'!$A:$F,7,0),"")</f>
        <v/>
      </c>
      <c r="AJ407" s="270" t="str">
        <f>_xlfn.IFNA(VLOOKUP(CONCATENATE(AJ$4,$C407),'INSER DATA'!$A:$F,7,0),"")</f>
        <v/>
      </c>
      <c r="AK407" s="270" t="str">
        <f>_xlfn.IFNA(VLOOKUP(CONCATENATE(AK$4,$C407),'INSER DATA'!$A:$F,7,0),"")</f>
        <v/>
      </c>
      <c r="AL407" s="270" t="str">
        <f>_xlfn.IFNA(VLOOKUP(CONCATENATE(AL$4,$C407),'INSER DATA'!$A:$F,7,0),"")</f>
        <v/>
      </c>
      <c r="AM407" s="270" t="str">
        <f>_xlfn.IFNA(VLOOKUP(CONCATENATE(AM$4,$C407),'INSER DATA'!$A:$F,7,0),"")</f>
        <v/>
      </c>
      <c r="AN407" s="270" t="str">
        <f>_xlfn.IFNA(VLOOKUP(CONCATENATE(AN$4,$C407),'INSER DATA'!$A:$F,7,0),"")</f>
        <v/>
      </c>
      <c r="AO407" s="270" t="str">
        <f>_xlfn.IFNA(VLOOKUP(CONCATENATE(AO$4,$C407),'INSER DATA'!$A:$F,7,0),"")</f>
        <v/>
      </c>
      <c r="AP407" s="270" t="str">
        <f>_xlfn.IFNA(VLOOKUP(CONCATENATE(AP$4,$C407),'INSER DATA'!$A:$F,7,0),"")</f>
        <v/>
      </c>
      <c r="AQ407" s="270" t="str">
        <f>_xlfn.IFNA(VLOOKUP(CONCATENATE(AQ$4,$C407),'INSER DATA'!$A:$F,7,0),"")</f>
        <v/>
      </c>
      <c r="AR407" s="270" t="str">
        <f>_xlfn.IFNA(VLOOKUP(CONCATENATE(AR$4,$C407),'INSER DATA'!$A:$F,7,0),"")</f>
        <v/>
      </c>
      <c r="AS407" s="270" t="str">
        <f>_xlfn.IFNA(VLOOKUP(CONCATENATE(AS$4,$C407),'INSER DATA'!$A:$F,7,0),"")</f>
        <v/>
      </c>
      <c r="AT407" s="270" t="str">
        <f>_xlfn.IFNA(VLOOKUP(CONCATENATE(AT$4,$C407),'INSER DATA'!$A:$F,7,0),"")</f>
        <v/>
      </c>
      <c r="AU407" s="270" t="str">
        <f>_xlfn.IFNA(VLOOKUP(CONCATENATE(AU$4,$C407),'INSER DATA'!$A:$F,7,0),"")</f>
        <v/>
      </c>
      <c r="AV407" s="270" t="str">
        <f>_xlfn.IFNA(VLOOKUP(CONCATENATE(AV$4,$C407),'INSER DATA'!$A:$F,7,0),"")</f>
        <v/>
      </c>
      <c r="AW407" s="270" t="str">
        <f>_xlfn.IFNA(VLOOKUP(CONCATENATE(AW$4,$C407),'INSER DATA'!$A:$F,7,0),"")</f>
        <v/>
      </c>
      <c r="AX407" s="270" t="str">
        <f>_xlfn.IFNA(VLOOKUP(CONCATENATE(AX$4,$C407),'INSER DATA'!$A:$F,7,0),"")</f>
        <v/>
      </c>
      <c r="AY407" s="270" t="str">
        <f>_xlfn.IFNA(VLOOKUP(CONCATENATE(AY$4,$C407),'INSER DATA'!$A:$F,7,0),"")</f>
        <v/>
      </c>
      <c r="AZ407" s="270" t="str">
        <f>_xlfn.IFNA(VLOOKUP(CONCATENATE(AZ$4,$C407),'INSER DATA'!$A:$F,7,0),"")</f>
        <v/>
      </c>
      <c r="BA407" s="270" t="str">
        <f>_xlfn.IFNA(VLOOKUP(CONCATENATE(BA$4,$C407),'INSER DATA'!$A:$F,7,0),"")</f>
        <v/>
      </c>
      <c r="BB407" s="270" t="str">
        <f>_xlfn.IFNA(VLOOKUP(CONCATENATE(BB$4,$C407),'INSER DATA'!$A:$F,7,0),"")</f>
        <v/>
      </c>
      <c r="BC407" s="270" t="str">
        <f>_xlfn.IFNA(VLOOKUP(CONCATENATE(BC$4,$C407),'INSER DATA'!$A:$F,7,0),"")</f>
        <v/>
      </c>
      <c r="BD407" s="270" t="str">
        <f>_xlfn.IFNA(VLOOKUP(CONCATENATE(BD$4,$C407),'INSER DATA'!$A:$F,7,0),"")</f>
        <v/>
      </c>
      <c r="BE407" s="270" t="str">
        <f>_xlfn.IFNA(VLOOKUP(CONCATENATE(BE$4,$C407),'INSER DATA'!$A:$F,7,0),"")</f>
        <v/>
      </c>
      <c r="BF407" s="270" t="str">
        <f>_xlfn.IFNA(VLOOKUP(CONCATENATE(BF$4,$C407),'INSER DATA'!$A:$F,7,0),"")</f>
        <v/>
      </c>
      <c r="BG407" s="270" t="str">
        <f>_xlfn.IFNA(VLOOKUP(CONCATENATE(BG$4,$C407),'INSER DATA'!$A:$F,7,0),"")</f>
        <v/>
      </c>
      <c r="BH407" s="270" t="str">
        <f>_xlfn.IFNA(VLOOKUP(CONCATENATE(BH$4,$C407),'INSER DATA'!$A:$F,7,0),"")</f>
        <v/>
      </c>
      <c r="BI407" s="270" t="str">
        <f>_xlfn.IFNA(VLOOKUP(CONCATENATE(BI$4,$C407),'INSER DATA'!$A:$F,7,0),"")</f>
        <v/>
      </c>
      <c r="BJ407" s="270" t="str">
        <f>_xlfn.IFNA(VLOOKUP(CONCATENATE(BJ$4,$C407),'INSER DATA'!$A:$F,7,0),"")</f>
        <v/>
      </c>
      <c r="BK407" s="270" t="str">
        <f>_xlfn.IFNA(VLOOKUP(CONCATENATE(BK$4,$C407),'INSER DATA'!$A:$F,7,0),"")</f>
        <v/>
      </c>
      <c r="BL407" s="272"/>
    </row>
    <row r="408" spans="1:105" s="184" customFormat="1" ht="19.2" thickTop="1" thickBot="1" x14ac:dyDescent="0.4">
      <c r="C408" s="356" t="s">
        <v>893</v>
      </c>
      <c r="D408" s="355" t="s">
        <v>894</v>
      </c>
      <c r="E408" s="35" t="str">
        <f>_xlfn.XLOOKUP(Tabella4[[#This Row],[NOME]],'ROSE SQUADRE'!$N$3:$N$253,'ROSE SQUADRE'!$O$3:$O$253,"")</f>
        <v>SAN GRIA</v>
      </c>
      <c r="F408" s="36" t="s">
        <v>5</v>
      </c>
      <c r="G408" s="43">
        <v>1</v>
      </c>
      <c r="H408" s="43">
        <v>1</v>
      </c>
      <c r="I408" s="44">
        <f t="shared" si="37"/>
        <v>0</v>
      </c>
      <c r="J408" s="37">
        <f t="shared" si="38"/>
        <v>0</v>
      </c>
      <c r="K408" s="178">
        <f t="shared" si="39"/>
        <v>0</v>
      </c>
      <c r="L408" s="178">
        <f t="shared" si="40"/>
        <v>0</v>
      </c>
      <c r="M408" s="179">
        <f t="shared" si="41"/>
        <v>0</v>
      </c>
      <c r="N408" s="45">
        <f t="shared" ca="1" si="42"/>
        <v>0</v>
      </c>
      <c r="O408" s="40">
        <f>SUMIF(Tabella1[Nome],Tabella4[[#This Row],[NOME]],Tabella1[Gf])</f>
        <v>0</v>
      </c>
      <c r="P408" s="40">
        <f>-(SUMIF(Tabella1[Nome],Tabella4[[#This Row],[NOME]],Tabella1[Gs]))</f>
        <v>0</v>
      </c>
      <c r="Q408" s="40">
        <f>SUMIF(Tabella1[Nome],Tabella4[[#This Row],[NOME]],Tabella1[Rp])</f>
        <v>0</v>
      </c>
      <c r="R408" s="40">
        <f>SUMIF(Tabella1[Nome],Tabella4[[#This Row],[NOME]],Tabella1[Rs])</f>
        <v>0</v>
      </c>
      <c r="S408" s="40">
        <f>SUMIF(Tabella1[Nome],Tabella4[[#This Row],[NOME]],Tabella1[Rf])</f>
        <v>0</v>
      </c>
      <c r="T408" s="40">
        <f>SUMIF(Tabella1[Nome],Tabella4[[#This Row],[NOME]],Tabella1[Au])</f>
        <v>0</v>
      </c>
      <c r="U408" s="41">
        <f>SUMIF(Tabella1[Nome],Tabella4[[#This Row],[NOME]],Tabella1[Amm])</f>
        <v>0</v>
      </c>
      <c r="V408" s="42">
        <f>SUMIF(Tabella1[Nome],Tabella4[[#This Row],[NOME]],Tabella1[Esp])</f>
        <v>0</v>
      </c>
      <c r="W408" s="40">
        <f>SUMIF(Tabella1[Nome],Tabella4[[#This Row],[NOME]],Tabella1[Ass])</f>
        <v>0</v>
      </c>
      <c r="X408" s="40">
        <f>SUMIF(Tabella1[Nome],Tabella4[[#This Row],[NOME]],Tabella1[Gdv])</f>
        <v>0</v>
      </c>
      <c r="Y408" s="40">
        <f>SUMIF(Tabella1[Nome],Tabella4[[#This Row],[NOME]],Tabella1[cl sh])</f>
        <v>0</v>
      </c>
      <c r="Z408" s="270" t="str">
        <f>_xlfn.IFNA(_xlfn.XLOOKUP(CONCATENATE(Z$4,$C408),Tabella1[CONC X VOTI IN TAB GIOC],Tabella1[Voto],""),"")</f>
        <v/>
      </c>
      <c r="AA408" s="270" t="str">
        <f>_xlfn.IFNA(_xlfn.XLOOKUP(CONCATENATE(AA$4,$C408),Tabella1[CONC X VOTI IN TAB GIOC],Tabella1[Voto],""),"")</f>
        <v/>
      </c>
      <c r="AB408" s="270" t="str">
        <f>_xlfn.IFNA(_xlfn.XLOOKUP(CONCATENATE(AB$4,$C408),Tabella1[CONC X VOTI IN TAB GIOC],Tabella1[Voto]),"")</f>
        <v/>
      </c>
      <c r="AC408" s="270" t="str" cm="1">
        <f t="array" ref="AC408">_xlfn.IFNA(_xlfn.XLOOKUP(CONCATENATE(AC$4,$C408),INDEX(Tabella1[],0,MATCH("CONC X VOTI IN TAB GIOC",Tabella1[#Headers],0)),INDEX(Tabella1[],0,MATCH("Voto",Tabella1[#Headers],0))),"")</f>
        <v/>
      </c>
      <c r="AD408" s="270" t="str">
        <f>_xlfn.IFNA(_xlfn.XLOOKUP(CONCATENATE(AD$4,$C408),Tabella1[CONC X VOTI IN TAB GIOC],Tabella1[Voto]),"")</f>
        <v/>
      </c>
      <c r="AE408" s="270" t="str">
        <f>_xlfn.IFNA(VLOOKUP(CONCATENATE(AE$4,$C408),'INSER DATA'!$A:$F,6,0),"")</f>
        <v/>
      </c>
      <c r="AF408" s="270" t="str">
        <f>_xlfn.IFNA(VLOOKUP(CONCATENATE(AF$4,$C408),'INSER DATA'!$A:$F,6,0),"")</f>
        <v/>
      </c>
      <c r="AG408" s="270" t="str">
        <f>_xlfn.IFNA(VLOOKUP(CONCATENATE(AG$4,$C408),'INSER DATA'!$A:$F,6,0),"")</f>
        <v/>
      </c>
      <c r="AH408" s="270" t="str">
        <f>_xlfn.IFNA(VLOOKUP(CONCATENATE(AH$4,$C408),'INSER DATA'!$A:$F,7,0),"")</f>
        <v/>
      </c>
      <c r="AI408" s="270" t="str">
        <f>_xlfn.IFNA(VLOOKUP(CONCATENATE(AI$4,$C408),'INSER DATA'!$A:$F,7,0),"")</f>
        <v/>
      </c>
      <c r="AJ408" s="270" t="str">
        <f>_xlfn.IFNA(VLOOKUP(CONCATENATE(AJ$4,$C408),'INSER DATA'!$A:$F,7,0),"")</f>
        <v/>
      </c>
      <c r="AK408" s="270" t="str">
        <f>_xlfn.IFNA(VLOOKUP(CONCATENATE(AK$4,$C408),'INSER DATA'!$A:$F,7,0),"")</f>
        <v/>
      </c>
      <c r="AL408" s="270" t="str">
        <f>_xlfn.IFNA(VLOOKUP(CONCATENATE(AL$4,$C408),'INSER DATA'!$A:$F,7,0),"")</f>
        <v/>
      </c>
      <c r="AM408" s="270" t="str">
        <f>_xlfn.IFNA(VLOOKUP(CONCATENATE(AM$4,$C408),'INSER DATA'!$A:$F,7,0),"")</f>
        <v/>
      </c>
      <c r="AN408" s="270" t="str">
        <f>_xlfn.IFNA(VLOOKUP(CONCATENATE(AN$4,$C408),'INSER DATA'!$A:$F,7,0),"")</f>
        <v/>
      </c>
      <c r="AO408" s="270" t="str">
        <f>_xlfn.IFNA(VLOOKUP(CONCATENATE(AO$4,$C408),'INSER DATA'!$A:$F,7,0),"")</f>
        <v/>
      </c>
      <c r="AP408" s="270" t="str">
        <f>_xlfn.IFNA(VLOOKUP(CONCATENATE(AP$4,$C408),'INSER DATA'!$A:$F,7,0),"")</f>
        <v/>
      </c>
      <c r="AQ408" s="270" t="str">
        <f>_xlfn.IFNA(VLOOKUP(CONCATENATE(AQ$4,$C408),'INSER DATA'!$A:$F,7,0),"")</f>
        <v/>
      </c>
      <c r="AR408" s="270" t="str">
        <f>_xlfn.IFNA(VLOOKUP(CONCATENATE(AR$4,$C408),'INSER DATA'!$A:$F,7,0),"")</f>
        <v/>
      </c>
      <c r="AS408" s="270" t="str">
        <f>_xlfn.IFNA(VLOOKUP(CONCATENATE(AS$4,$C408),'INSER DATA'!$A:$F,7,0),"")</f>
        <v/>
      </c>
      <c r="AT408" s="270" t="str">
        <f>_xlfn.IFNA(VLOOKUP(CONCATENATE(AT$4,$C408),'INSER DATA'!$A:$F,7,0),"")</f>
        <v/>
      </c>
      <c r="AU408" s="270" t="str">
        <f>_xlfn.IFNA(VLOOKUP(CONCATENATE(AU$4,$C408),'INSER DATA'!$A:$F,7,0),"")</f>
        <v/>
      </c>
      <c r="AV408" s="270" t="str">
        <f>_xlfn.IFNA(VLOOKUP(CONCATENATE(AV$4,$C408),'INSER DATA'!$A:$F,7,0),"")</f>
        <v/>
      </c>
      <c r="AW408" s="270" t="str">
        <f>_xlfn.IFNA(VLOOKUP(CONCATENATE(AW$4,$C408),'INSER DATA'!$A:$F,7,0),"")</f>
        <v/>
      </c>
      <c r="AX408" s="270" t="str">
        <f>_xlfn.IFNA(VLOOKUP(CONCATENATE(AX$4,$C408),'INSER DATA'!$A:$F,7,0),"")</f>
        <v/>
      </c>
      <c r="AY408" s="270" t="str">
        <f>_xlfn.IFNA(VLOOKUP(CONCATENATE(AY$4,$C408),'INSER DATA'!$A:$F,7,0),"")</f>
        <v/>
      </c>
      <c r="AZ408" s="270" t="str">
        <f>_xlfn.IFNA(VLOOKUP(CONCATENATE(AZ$4,$C408),'INSER DATA'!$A:$F,7,0),"")</f>
        <v/>
      </c>
      <c r="BA408" s="270" t="str">
        <f>_xlfn.IFNA(VLOOKUP(CONCATENATE(BA$4,$C408),'INSER DATA'!$A:$F,7,0),"")</f>
        <v/>
      </c>
      <c r="BB408" s="270" t="str">
        <f>_xlfn.IFNA(VLOOKUP(CONCATENATE(BB$4,$C408),'INSER DATA'!$A:$F,7,0),"")</f>
        <v/>
      </c>
      <c r="BC408" s="270" t="str">
        <f>_xlfn.IFNA(VLOOKUP(CONCATENATE(BC$4,$C408),'INSER DATA'!$A:$F,7,0),"")</f>
        <v/>
      </c>
      <c r="BD408" s="270" t="str">
        <f>_xlfn.IFNA(VLOOKUP(CONCATENATE(BD$4,$C408),'INSER DATA'!$A:$F,7,0),"")</f>
        <v/>
      </c>
      <c r="BE408" s="270" t="str">
        <f>_xlfn.IFNA(VLOOKUP(CONCATENATE(BE$4,$C408),'INSER DATA'!$A:$F,7,0),"")</f>
        <v/>
      </c>
      <c r="BF408" s="270" t="str">
        <f>_xlfn.IFNA(VLOOKUP(CONCATENATE(BF$4,$C408),'INSER DATA'!$A:$F,7,0),"")</f>
        <v/>
      </c>
      <c r="BG408" s="270" t="str">
        <f>_xlfn.IFNA(VLOOKUP(CONCATENATE(BG$4,$C408),'INSER DATA'!$A:$F,7,0),"")</f>
        <v/>
      </c>
      <c r="BH408" s="270" t="str">
        <f>_xlfn.IFNA(VLOOKUP(CONCATENATE(BH$4,$C408),'INSER DATA'!$A:$F,7,0),"")</f>
        <v/>
      </c>
      <c r="BI408" s="270" t="str">
        <f>_xlfn.IFNA(VLOOKUP(CONCATENATE(BI$4,$C408),'INSER DATA'!$A:$F,7,0),"")</f>
        <v/>
      </c>
      <c r="BJ408" s="270" t="str">
        <f>_xlfn.IFNA(VLOOKUP(CONCATENATE(BJ$4,$C408),'INSER DATA'!$A:$F,7,0),"")</f>
        <v/>
      </c>
      <c r="BK408" s="270" t="str">
        <f>_xlfn.IFNA(VLOOKUP(CONCATENATE(BK$4,$C408),'INSER DATA'!$A:$F,7,0),"")</f>
        <v/>
      </c>
      <c r="BL408" s="272"/>
    </row>
    <row r="409" spans="1:105" s="184" customFormat="1" ht="19.2" thickTop="1" thickBot="1" x14ac:dyDescent="0.4">
      <c r="C409" s="354" t="s">
        <v>210</v>
      </c>
      <c r="D409" s="357" t="s">
        <v>894</v>
      </c>
      <c r="E409" s="35" t="str">
        <f>_xlfn.XLOOKUP(Tabella4[[#This Row],[NOME]],'ROSE SQUADRE'!$N$3:$N$253,'ROSE SQUADRE'!$O$3:$O$253,"")</f>
        <v>SAN GRIA</v>
      </c>
      <c r="F409" s="36" t="s">
        <v>5</v>
      </c>
      <c r="G409" s="43">
        <v>1</v>
      </c>
      <c r="H409" s="43">
        <v>1</v>
      </c>
      <c r="I409" s="44">
        <f t="shared" si="37"/>
        <v>0</v>
      </c>
      <c r="J409" s="37">
        <f t="shared" si="38"/>
        <v>0</v>
      </c>
      <c r="K409" s="178">
        <f t="shared" si="39"/>
        <v>0</v>
      </c>
      <c r="L409" s="178">
        <f t="shared" si="40"/>
        <v>0</v>
      </c>
      <c r="M409" s="179">
        <f t="shared" si="41"/>
        <v>0</v>
      </c>
      <c r="N409" s="45">
        <f t="shared" ca="1" si="42"/>
        <v>0</v>
      </c>
      <c r="O409" s="40">
        <f>SUMIF(Tabella1[Nome],Tabella4[[#This Row],[NOME]],Tabella1[Gf])</f>
        <v>0</v>
      </c>
      <c r="P409" s="40">
        <f>-(SUMIF(Tabella1[Nome],Tabella4[[#This Row],[NOME]],Tabella1[Gs]))</f>
        <v>0</v>
      </c>
      <c r="Q409" s="40">
        <f>SUMIF(Tabella1[Nome],Tabella4[[#This Row],[NOME]],Tabella1[Rp])</f>
        <v>0</v>
      </c>
      <c r="R409" s="40">
        <f>SUMIF(Tabella1[Nome],Tabella4[[#This Row],[NOME]],Tabella1[Rs])</f>
        <v>0</v>
      </c>
      <c r="S409" s="40">
        <f>SUMIF(Tabella1[Nome],Tabella4[[#This Row],[NOME]],Tabella1[Rf])</f>
        <v>0</v>
      </c>
      <c r="T409" s="40">
        <f>SUMIF(Tabella1[Nome],Tabella4[[#This Row],[NOME]],Tabella1[Au])</f>
        <v>0</v>
      </c>
      <c r="U409" s="41">
        <f>SUMIF(Tabella1[Nome],Tabella4[[#This Row],[NOME]],Tabella1[Amm])</f>
        <v>0</v>
      </c>
      <c r="V409" s="42">
        <f>SUMIF(Tabella1[Nome],Tabella4[[#This Row],[NOME]],Tabella1[Esp])</f>
        <v>0</v>
      </c>
      <c r="W409" s="40">
        <f>SUMIF(Tabella1[Nome],Tabella4[[#This Row],[NOME]],Tabella1[Ass])</f>
        <v>0</v>
      </c>
      <c r="X409" s="40">
        <f>SUMIF(Tabella1[Nome],Tabella4[[#This Row],[NOME]],Tabella1[Gdv])</f>
        <v>0</v>
      </c>
      <c r="Y409" s="40">
        <f>SUMIF(Tabella1[Nome],Tabella4[[#This Row],[NOME]],Tabella1[cl sh])</f>
        <v>0</v>
      </c>
      <c r="Z409" s="270" t="str">
        <f>_xlfn.IFNA(_xlfn.XLOOKUP(CONCATENATE(Z$4,$C409),Tabella1[CONC X VOTI IN TAB GIOC],Tabella1[Voto],""),"")</f>
        <v/>
      </c>
      <c r="AA409" s="270" t="str">
        <f>_xlfn.IFNA(_xlfn.XLOOKUP(CONCATENATE(AA$4,$C409),Tabella1[CONC X VOTI IN TAB GIOC],Tabella1[Voto],""),"")</f>
        <v/>
      </c>
      <c r="AB409" s="270" t="str">
        <f>_xlfn.IFNA(_xlfn.XLOOKUP(CONCATENATE(AB$4,$C409),Tabella1[CONC X VOTI IN TAB GIOC],Tabella1[Voto]),"")</f>
        <v/>
      </c>
      <c r="AC409" s="270" t="str" cm="1">
        <f t="array" ref="AC409">_xlfn.IFNA(_xlfn.XLOOKUP(CONCATENATE(AC$4,$C409),INDEX(Tabella1[],0,MATCH("CONC X VOTI IN TAB GIOC",Tabella1[#Headers],0)),INDEX(Tabella1[],0,MATCH("Voto",Tabella1[#Headers],0))),"")</f>
        <v/>
      </c>
      <c r="AD409" s="270" t="str">
        <f>_xlfn.IFNA(_xlfn.XLOOKUP(CONCATENATE(AD$4,$C409),Tabella1[CONC X VOTI IN TAB GIOC],Tabella1[Voto]),"")</f>
        <v/>
      </c>
      <c r="AE409" s="270" t="str">
        <f>_xlfn.IFNA(VLOOKUP(CONCATENATE(AE$4,$C409),'INSER DATA'!$A:$F,6,0),"")</f>
        <v/>
      </c>
      <c r="AF409" s="270" t="str">
        <f>_xlfn.IFNA(VLOOKUP(CONCATENATE(AF$4,$C409),'INSER DATA'!$A:$F,6,0),"")</f>
        <v/>
      </c>
      <c r="AG409" s="270" t="str">
        <f>_xlfn.IFNA(VLOOKUP(CONCATENATE(AG$4,$C409),'INSER DATA'!$A:$F,6,0),"")</f>
        <v/>
      </c>
      <c r="AH409" s="270" t="str">
        <f>_xlfn.IFNA(VLOOKUP(CONCATENATE(AH$4,$C409),'INSER DATA'!$A:$F,7,0),"")</f>
        <v/>
      </c>
      <c r="AI409" s="270" t="str">
        <f>_xlfn.IFNA(VLOOKUP(CONCATENATE(AI$4,$C409),'INSER DATA'!$A:$F,7,0),"")</f>
        <v/>
      </c>
      <c r="AJ409" s="270" t="str">
        <f>_xlfn.IFNA(VLOOKUP(CONCATENATE(AJ$4,$C409),'INSER DATA'!$A:$F,7,0),"")</f>
        <v/>
      </c>
      <c r="AK409" s="270" t="str">
        <f>_xlfn.IFNA(VLOOKUP(CONCATENATE(AK$4,$C409),'INSER DATA'!$A:$F,7,0),"")</f>
        <v/>
      </c>
      <c r="AL409" s="270" t="str">
        <f>_xlfn.IFNA(VLOOKUP(CONCATENATE(AL$4,$C409),'INSER DATA'!$A:$F,7,0),"")</f>
        <v/>
      </c>
      <c r="AM409" s="270" t="str">
        <f>_xlfn.IFNA(VLOOKUP(CONCATENATE(AM$4,$C409),'INSER DATA'!$A:$F,7,0),"")</f>
        <v/>
      </c>
      <c r="AN409" s="270" t="str">
        <f>_xlfn.IFNA(VLOOKUP(CONCATENATE(AN$4,$C409),'INSER DATA'!$A:$F,7,0),"")</f>
        <v/>
      </c>
      <c r="AO409" s="270" t="str">
        <f>_xlfn.IFNA(VLOOKUP(CONCATENATE(AO$4,$C409),'INSER DATA'!$A:$F,7,0),"")</f>
        <v/>
      </c>
      <c r="AP409" s="270" t="str">
        <f>_xlfn.IFNA(VLOOKUP(CONCATENATE(AP$4,$C409),'INSER DATA'!$A:$F,7,0),"")</f>
        <v/>
      </c>
      <c r="AQ409" s="270" t="str">
        <f>_xlfn.IFNA(VLOOKUP(CONCATENATE(AQ$4,$C409),'INSER DATA'!$A:$F,7,0),"")</f>
        <v/>
      </c>
      <c r="AR409" s="270" t="str">
        <f>_xlfn.IFNA(VLOOKUP(CONCATENATE(AR$4,$C409),'INSER DATA'!$A:$F,7,0),"")</f>
        <v/>
      </c>
      <c r="AS409" s="270" t="str">
        <f>_xlfn.IFNA(VLOOKUP(CONCATENATE(AS$4,$C409),'INSER DATA'!$A:$F,7,0),"")</f>
        <v/>
      </c>
      <c r="AT409" s="270" t="str">
        <f>_xlfn.IFNA(VLOOKUP(CONCATENATE(AT$4,$C409),'INSER DATA'!$A:$F,7,0),"")</f>
        <v/>
      </c>
      <c r="AU409" s="270" t="str">
        <f>_xlfn.IFNA(VLOOKUP(CONCATENATE(AU$4,$C409),'INSER DATA'!$A:$F,7,0),"")</f>
        <v/>
      </c>
      <c r="AV409" s="270" t="str">
        <f>_xlfn.IFNA(VLOOKUP(CONCATENATE(AV$4,$C409),'INSER DATA'!$A:$F,7,0),"")</f>
        <v/>
      </c>
      <c r="AW409" s="270" t="str">
        <f>_xlfn.IFNA(VLOOKUP(CONCATENATE(AW$4,$C409),'INSER DATA'!$A:$F,7,0),"")</f>
        <v/>
      </c>
      <c r="AX409" s="270" t="str">
        <f>_xlfn.IFNA(VLOOKUP(CONCATENATE(AX$4,$C409),'INSER DATA'!$A:$F,7,0),"")</f>
        <v/>
      </c>
      <c r="AY409" s="270" t="str">
        <f>_xlfn.IFNA(VLOOKUP(CONCATENATE(AY$4,$C409),'INSER DATA'!$A:$F,7,0),"")</f>
        <v/>
      </c>
      <c r="AZ409" s="270" t="str">
        <f>_xlfn.IFNA(VLOOKUP(CONCATENATE(AZ$4,$C409),'INSER DATA'!$A:$F,7,0),"")</f>
        <v/>
      </c>
      <c r="BA409" s="270" t="str">
        <f>_xlfn.IFNA(VLOOKUP(CONCATENATE(BA$4,$C409),'INSER DATA'!$A:$F,7,0),"")</f>
        <v/>
      </c>
      <c r="BB409" s="270" t="str">
        <f>_xlfn.IFNA(VLOOKUP(CONCATENATE(BB$4,$C409),'INSER DATA'!$A:$F,7,0),"")</f>
        <v/>
      </c>
      <c r="BC409" s="270" t="str">
        <f>_xlfn.IFNA(VLOOKUP(CONCATENATE(BC$4,$C409),'INSER DATA'!$A:$F,7,0),"")</f>
        <v/>
      </c>
      <c r="BD409" s="270" t="str">
        <f>_xlfn.IFNA(VLOOKUP(CONCATENATE(BD$4,$C409),'INSER DATA'!$A:$F,7,0),"")</f>
        <v/>
      </c>
      <c r="BE409" s="270" t="str">
        <f>_xlfn.IFNA(VLOOKUP(CONCATENATE(BE$4,$C409),'INSER DATA'!$A:$F,7,0),"")</f>
        <v/>
      </c>
      <c r="BF409" s="270" t="str">
        <f>_xlfn.IFNA(VLOOKUP(CONCATENATE(BF$4,$C409),'INSER DATA'!$A:$F,7,0),"")</f>
        <v/>
      </c>
      <c r="BG409" s="270" t="str">
        <f>_xlfn.IFNA(VLOOKUP(CONCATENATE(BG$4,$C409),'INSER DATA'!$A:$F,7,0),"")</f>
        <v/>
      </c>
      <c r="BH409" s="270" t="str">
        <f>_xlfn.IFNA(VLOOKUP(CONCATENATE(BH$4,$C409),'INSER DATA'!$A:$F,7,0),"")</f>
        <v/>
      </c>
      <c r="BI409" s="270" t="str">
        <f>_xlfn.IFNA(VLOOKUP(CONCATENATE(BI$4,$C409),'INSER DATA'!$A:$F,7,0),"")</f>
        <v/>
      </c>
      <c r="BJ409" s="270" t="str">
        <f>_xlfn.IFNA(VLOOKUP(CONCATENATE(BJ$4,$C409),'INSER DATA'!$A:$F,7,0),"")</f>
        <v/>
      </c>
      <c r="BK409" s="270" t="str">
        <f>_xlfn.IFNA(VLOOKUP(CONCATENATE(BK$4,$C409),'INSER DATA'!$A:$F,7,0),"")</f>
        <v/>
      </c>
      <c r="BL409" s="272"/>
    </row>
    <row r="410" spans="1:105" ht="19.2" thickTop="1" thickBot="1" x14ac:dyDescent="0.4">
      <c r="A410" s="30"/>
      <c r="B410" s="30"/>
      <c r="C410" s="185" t="s">
        <v>899</v>
      </c>
      <c r="D410" s="187" t="s">
        <v>894</v>
      </c>
      <c r="E410" s="35" t="str">
        <f>_xlfn.XLOOKUP(Tabella4[[#This Row],[NOME]],'ROSE SQUADRE'!$N$3:$N$253,'ROSE SQUADRE'!$O$3:$O$253,"")</f>
        <v/>
      </c>
      <c r="F410" s="36" t="s">
        <v>161</v>
      </c>
      <c r="G410" s="43">
        <v>5</v>
      </c>
      <c r="H410" s="43">
        <v>5</v>
      </c>
      <c r="I410" s="44">
        <f t="shared" si="37"/>
        <v>0</v>
      </c>
      <c r="J410" s="37">
        <f t="shared" si="38"/>
        <v>0</v>
      </c>
      <c r="K410" s="178">
        <f t="shared" si="39"/>
        <v>0</v>
      </c>
      <c r="L410" s="178">
        <f t="shared" si="40"/>
        <v>0</v>
      </c>
      <c r="M410" s="179">
        <f t="shared" si="41"/>
        <v>0</v>
      </c>
      <c r="N410" s="45">
        <f t="shared" ca="1" si="42"/>
        <v>0</v>
      </c>
      <c r="O410" s="40">
        <f>SUMIF(Tabella1[Nome],Tabella4[[#This Row],[NOME]],Tabella1[Gf])</f>
        <v>0</v>
      </c>
      <c r="P410" s="40">
        <f>-(SUMIF(Tabella1[Nome],Tabella4[[#This Row],[NOME]],Tabella1[Gs]))</f>
        <v>0</v>
      </c>
      <c r="Q410" s="40">
        <f>SUMIF(Tabella1[Nome],Tabella4[[#This Row],[NOME]],Tabella1[Rp])</f>
        <v>0</v>
      </c>
      <c r="R410" s="40">
        <f>SUMIF(Tabella1[Nome],Tabella4[[#This Row],[NOME]],Tabella1[Rs])</f>
        <v>0</v>
      </c>
      <c r="S410" s="40">
        <f>SUMIF(Tabella1[Nome],Tabella4[[#This Row],[NOME]],Tabella1[Rf])</f>
        <v>0</v>
      </c>
      <c r="T410" s="40">
        <f>SUMIF(Tabella1[Nome],Tabella4[[#This Row],[NOME]],Tabella1[Au])</f>
        <v>0</v>
      </c>
      <c r="U410" s="41">
        <f>SUMIF(Tabella1[Nome],Tabella4[[#This Row],[NOME]],Tabella1[Amm])</f>
        <v>0</v>
      </c>
      <c r="V410" s="42">
        <f>SUMIF(Tabella1[Nome],Tabella4[[#This Row],[NOME]],Tabella1[Esp])</f>
        <v>0</v>
      </c>
      <c r="W410" s="40">
        <f>SUMIF(Tabella1[Nome],Tabella4[[#This Row],[NOME]],Tabella1[Ass])</f>
        <v>0</v>
      </c>
      <c r="X410" s="40">
        <f>SUMIF(Tabella1[Nome],Tabella4[[#This Row],[NOME]],Tabella1[Gdv])</f>
        <v>0</v>
      </c>
      <c r="Y410" s="40">
        <f>SUMIF(Tabella1[Nome],Tabella4[[#This Row],[NOME]],Tabella1[cl sh])</f>
        <v>0</v>
      </c>
      <c r="Z410" s="270" t="str">
        <f>_xlfn.IFNA(_xlfn.XLOOKUP(CONCATENATE(Z$4,$C410),Tabella1[CONC X VOTI IN TAB GIOC],Tabella1[Voto],""),"")</f>
        <v/>
      </c>
      <c r="AA410" s="270" t="str">
        <f>_xlfn.IFNA(_xlfn.XLOOKUP(CONCATENATE(AA$4,$C410),Tabella1[CONC X VOTI IN TAB GIOC],Tabella1[Voto],""),"")</f>
        <v/>
      </c>
      <c r="AB410" s="270" t="str">
        <f>_xlfn.IFNA(_xlfn.XLOOKUP(CONCATENATE(AB$4,$C410),Tabella1[CONC X VOTI IN TAB GIOC],Tabella1[Voto]),"")</f>
        <v/>
      </c>
      <c r="AC410" s="270" t="str" cm="1">
        <f t="array" ref="AC410">_xlfn.IFNA(_xlfn.XLOOKUP(CONCATENATE(AC$4,$C410),INDEX(Tabella1[],0,MATCH("CONC X VOTI IN TAB GIOC",Tabella1[#Headers],0)),INDEX(Tabella1[],0,MATCH("Voto",Tabella1[#Headers],0))),"")</f>
        <v/>
      </c>
      <c r="AD410" s="270" t="str">
        <f>_xlfn.IFNA(_xlfn.XLOOKUP(CONCATENATE(AD$4,$C410),Tabella1[CONC X VOTI IN TAB GIOC],Tabella1[Voto]),"")</f>
        <v/>
      </c>
      <c r="AE410" s="270" t="str">
        <f>_xlfn.IFNA(VLOOKUP(CONCATENATE(AE$4,$C410),'INSER DATA'!$A:$F,6,0),"")</f>
        <v/>
      </c>
      <c r="AF410" s="270" t="str">
        <f>_xlfn.IFNA(VLOOKUP(CONCATENATE(AF$4,$C410),'INSER DATA'!$A:$F,6,0),"")</f>
        <v/>
      </c>
      <c r="AG410" s="270" t="str">
        <f>_xlfn.IFNA(VLOOKUP(CONCATENATE(AG$4,$C410),'INSER DATA'!$A:$F,6,0),"")</f>
        <v/>
      </c>
      <c r="AH410" s="270" t="str">
        <f>_xlfn.IFNA(VLOOKUP(CONCATENATE(AH$4,$C410),'INSER DATA'!$A:$F,7,0),"")</f>
        <v/>
      </c>
      <c r="AI410" s="270" t="str">
        <f>_xlfn.IFNA(VLOOKUP(CONCATENATE(AI$4,$C410),'INSER DATA'!$A:$F,7,0),"")</f>
        <v/>
      </c>
      <c r="AJ410" s="270" t="str">
        <f>_xlfn.IFNA(VLOOKUP(CONCATENATE(AJ$4,$C410),'INSER DATA'!$A:$F,7,0),"")</f>
        <v/>
      </c>
      <c r="AK410" s="270" t="str">
        <f>_xlfn.IFNA(VLOOKUP(CONCATENATE(AK$4,$C410),'INSER DATA'!$A:$F,7,0),"")</f>
        <v/>
      </c>
      <c r="AL410" s="270" t="str">
        <f>_xlfn.IFNA(VLOOKUP(CONCATENATE(AL$4,$C410),'INSER DATA'!$A:$F,7,0),"")</f>
        <v/>
      </c>
      <c r="AM410" s="270" t="str">
        <f>_xlfn.IFNA(VLOOKUP(CONCATENATE(AM$4,$C410),'INSER DATA'!$A:$F,7,0),"")</f>
        <v/>
      </c>
      <c r="AN410" s="270" t="str">
        <f>_xlfn.IFNA(VLOOKUP(CONCATENATE(AN$4,$C410),'INSER DATA'!$A:$F,7,0),"")</f>
        <v/>
      </c>
      <c r="AO410" s="270" t="str">
        <f>_xlfn.IFNA(VLOOKUP(CONCATENATE(AO$4,$C410),'INSER DATA'!$A:$F,7,0),"")</f>
        <v/>
      </c>
      <c r="AP410" s="270" t="str">
        <f>_xlfn.IFNA(VLOOKUP(CONCATENATE(AP$4,$C410),'INSER DATA'!$A:$F,7,0),"")</f>
        <v/>
      </c>
      <c r="AQ410" s="270" t="str">
        <f>_xlfn.IFNA(VLOOKUP(CONCATENATE(AQ$4,$C410),'INSER DATA'!$A:$F,7,0),"")</f>
        <v/>
      </c>
      <c r="AR410" s="270" t="str">
        <f>_xlfn.IFNA(VLOOKUP(CONCATENATE(AR$4,$C410),'INSER DATA'!$A:$F,7,0),"")</f>
        <v/>
      </c>
      <c r="AS410" s="270" t="str">
        <f>_xlfn.IFNA(VLOOKUP(CONCATENATE(AS$4,$C410),'INSER DATA'!$A:$F,7,0),"")</f>
        <v/>
      </c>
      <c r="AT410" s="270" t="str">
        <f>_xlfn.IFNA(VLOOKUP(CONCATENATE(AT$4,$C410),'INSER DATA'!$A:$F,7,0),"")</f>
        <v/>
      </c>
      <c r="AU410" s="270" t="str">
        <f>_xlfn.IFNA(VLOOKUP(CONCATENATE(AU$4,$C410),'INSER DATA'!$A:$F,7,0),"")</f>
        <v/>
      </c>
      <c r="AV410" s="270" t="str">
        <f>_xlfn.IFNA(VLOOKUP(CONCATENATE(AV$4,$C410),'INSER DATA'!$A:$F,7,0),"")</f>
        <v/>
      </c>
      <c r="AW410" s="270" t="str">
        <f>_xlfn.IFNA(VLOOKUP(CONCATENATE(AW$4,$C410),'INSER DATA'!$A:$F,7,0),"")</f>
        <v/>
      </c>
      <c r="AX410" s="270" t="str">
        <f>_xlfn.IFNA(VLOOKUP(CONCATENATE(AX$4,$C410),'INSER DATA'!$A:$F,7,0),"")</f>
        <v/>
      </c>
      <c r="AY410" s="270" t="str">
        <f>_xlfn.IFNA(VLOOKUP(CONCATENATE(AY$4,$C410),'INSER DATA'!$A:$F,7,0),"")</f>
        <v/>
      </c>
      <c r="AZ410" s="270" t="str">
        <f>_xlfn.IFNA(VLOOKUP(CONCATENATE(AZ$4,$C410),'INSER DATA'!$A:$F,7,0),"")</f>
        <v/>
      </c>
      <c r="BA410" s="270" t="str">
        <f>_xlfn.IFNA(VLOOKUP(CONCATENATE(BA$4,$C410),'INSER DATA'!$A:$F,7,0),"")</f>
        <v/>
      </c>
      <c r="BB410" s="270" t="str">
        <f>_xlfn.IFNA(VLOOKUP(CONCATENATE(BB$4,$C410),'INSER DATA'!$A:$F,7,0),"")</f>
        <v/>
      </c>
      <c r="BC410" s="270" t="str">
        <f>_xlfn.IFNA(VLOOKUP(CONCATENATE(BC$4,$C410),'INSER DATA'!$A:$F,7,0),"")</f>
        <v/>
      </c>
      <c r="BD410" s="270" t="str">
        <f>_xlfn.IFNA(VLOOKUP(CONCATENATE(BD$4,$C410),'INSER DATA'!$A:$F,7,0),"")</f>
        <v/>
      </c>
      <c r="BE410" s="270" t="str">
        <f>_xlfn.IFNA(VLOOKUP(CONCATENATE(BE$4,$C410),'INSER DATA'!$A:$F,7,0),"")</f>
        <v/>
      </c>
      <c r="BF410" s="270" t="str">
        <f>_xlfn.IFNA(VLOOKUP(CONCATENATE(BF$4,$C410),'INSER DATA'!$A:$F,7,0),"")</f>
        <v/>
      </c>
      <c r="BG410" s="270" t="str">
        <f>_xlfn.IFNA(VLOOKUP(CONCATENATE(BG$4,$C410),'INSER DATA'!$A:$F,7,0),"")</f>
        <v/>
      </c>
      <c r="BH410" s="270" t="str">
        <f>_xlfn.IFNA(VLOOKUP(CONCATENATE(BH$4,$C410),'INSER DATA'!$A:$F,7,0),"")</f>
        <v/>
      </c>
      <c r="BI410" s="270" t="str">
        <f>_xlfn.IFNA(VLOOKUP(CONCATENATE(BI$4,$C410),'INSER DATA'!$A:$F,7,0),"")</f>
        <v/>
      </c>
      <c r="BJ410" s="270" t="str">
        <f>_xlfn.IFNA(VLOOKUP(CONCATENATE(BJ$4,$C410),'INSER DATA'!$A:$F,7,0),"")</f>
        <v/>
      </c>
      <c r="BK410" s="270" t="str">
        <f>_xlfn.IFNA(VLOOKUP(CONCATENATE(BK$4,$C410),'INSER DATA'!$A:$F,7,0),"")</f>
        <v/>
      </c>
      <c r="BL410" s="272"/>
      <c r="BM410" s="30"/>
      <c r="BN410" s="30"/>
      <c r="BO410" s="30"/>
      <c r="BP410" s="30"/>
      <c r="BQ410" s="30"/>
      <c r="BR410" s="30"/>
      <c r="BS410" s="30"/>
      <c r="BT410" s="30"/>
      <c r="BU410" s="30"/>
      <c r="BV410" s="30"/>
      <c r="BW410" s="30"/>
      <c r="BX410" s="30"/>
      <c r="BY410" s="30"/>
      <c r="BZ410" s="30"/>
      <c r="CA410" s="30"/>
      <c r="CB410" s="30"/>
      <c r="CC410" s="30"/>
      <c r="CD410" s="30"/>
      <c r="CE410" s="30"/>
      <c r="CF410" s="30"/>
      <c r="CG410" s="30"/>
      <c r="CH410" s="30"/>
      <c r="CI410" s="30"/>
      <c r="CJ410" s="30"/>
      <c r="CK410" s="30"/>
      <c r="CL410" s="30"/>
      <c r="CM410" s="30"/>
      <c r="CN410" s="30"/>
      <c r="CO410" s="30"/>
      <c r="CP410" s="30"/>
      <c r="CQ410" s="30"/>
      <c r="CR410" s="30"/>
      <c r="CS410" s="30"/>
      <c r="CT410" s="30"/>
      <c r="CU410" s="30"/>
      <c r="CV410" s="30"/>
      <c r="CW410" s="30"/>
      <c r="CX410" s="30"/>
      <c r="CY410" s="30"/>
      <c r="CZ410" s="30"/>
      <c r="DA410" s="30"/>
    </row>
    <row r="411" spans="1:105" ht="19.2" thickTop="1" thickBot="1" x14ac:dyDescent="0.4">
      <c r="A411" s="30"/>
      <c r="B411" s="30"/>
      <c r="C411" s="185" t="s">
        <v>901</v>
      </c>
      <c r="D411" s="46" t="s">
        <v>894</v>
      </c>
      <c r="E411" s="35" t="str">
        <f>_xlfn.XLOOKUP(Tabella4[[#This Row],[NOME]],'ROSE SQUADRE'!$N$3:$N$253,'ROSE SQUADRE'!$O$3:$O$253,"")</f>
        <v/>
      </c>
      <c r="F411" s="36" t="s">
        <v>161</v>
      </c>
      <c r="G411" s="43">
        <v>1</v>
      </c>
      <c r="H411" s="43">
        <v>1</v>
      </c>
      <c r="I411" s="44">
        <f t="shared" si="37"/>
        <v>0</v>
      </c>
      <c r="J411" s="37">
        <f t="shared" si="38"/>
        <v>0</v>
      </c>
      <c r="K411" s="178">
        <f t="shared" si="39"/>
        <v>0</v>
      </c>
      <c r="L411" s="178">
        <f t="shared" si="40"/>
        <v>0</v>
      </c>
      <c r="M411" s="179">
        <f t="shared" si="41"/>
        <v>0</v>
      </c>
      <c r="N411" s="45">
        <f t="shared" ca="1" si="42"/>
        <v>0</v>
      </c>
      <c r="O411" s="40">
        <f>SUMIF(Tabella1[Nome],Tabella4[[#This Row],[NOME]],Tabella1[Gf])</f>
        <v>0</v>
      </c>
      <c r="P411" s="40">
        <f>-(SUMIF(Tabella1[Nome],Tabella4[[#This Row],[NOME]],Tabella1[Gs]))</f>
        <v>0</v>
      </c>
      <c r="Q411" s="40">
        <f>SUMIF(Tabella1[Nome],Tabella4[[#This Row],[NOME]],Tabella1[Rp])</f>
        <v>0</v>
      </c>
      <c r="R411" s="40">
        <f>SUMIF(Tabella1[Nome],Tabella4[[#This Row],[NOME]],Tabella1[Rs])</f>
        <v>0</v>
      </c>
      <c r="S411" s="40">
        <f>SUMIF(Tabella1[Nome],Tabella4[[#This Row],[NOME]],Tabella1[Rf])</f>
        <v>0</v>
      </c>
      <c r="T411" s="40">
        <f>SUMIF(Tabella1[Nome],Tabella4[[#This Row],[NOME]],Tabella1[Au])</f>
        <v>0</v>
      </c>
      <c r="U411" s="41">
        <f>SUMIF(Tabella1[Nome],Tabella4[[#This Row],[NOME]],Tabella1[Amm])</f>
        <v>0</v>
      </c>
      <c r="V411" s="42">
        <f>SUMIF(Tabella1[Nome],Tabella4[[#This Row],[NOME]],Tabella1[Esp])</f>
        <v>0</v>
      </c>
      <c r="W411" s="40">
        <f>SUMIF(Tabella1[Nome],Tabella4[[#This Row],[NOME]],Tabella1[Ass])</f>
        <v>0</v>
      </c>
      <c r="X411" s="40">
        <f>SUMIF(Tabella1[Nome],Tabella4[[#This Row],[NOME]],Tabella1[Gdv])</f>
        <v>0</v>
      </c>
      <c r="Y411" s="40">
        <f>SUMIF(Tabella1[Nome],Tabella4[[#This Row],[NOME]],Tabella1[cl sh])</f>
        <v>0</v>
      </c>
      <c r="Z411" s="270" t="str">
        <f>_xlfn.IFNA(_xlfn.XLOOKUP(CONCATENATE(Z$4,$C411),Tabella1[CONC X VOTI IN TAB GIOC],Tabella1[Voto],""),"")</f>
        <v/>
      </c>
      <c r="AA411" s="270" t="str">
        <f>_xlfn.IFNA(_xlfn.XLOOKUP(CONCATENATE(AA$4,$C411),Tabella1[CONC X VOTI IN TAB GIOC],Tabella1[Voto],""),"")</f>
        <v/>
      </c>
      <c r="AB411" s="270" t="str">
        <f>_xlfn.IFNA(_xlfn.XLOOKUP(CONCATENATE(AB$4,$C411),Tabella1[CONC X VOTI IN TAB GIOC],Tabella1[Voto]),"")</f>
        <v/>
      </c>
      <c r="AC411" s="270" t="str" cm="1">
        <f t="array" ref="AC411">_xlfn.IFNA(_xlfn.XLOOKUP(CONCATENATE(AC$4,$C411),INDEX(Tabella1[],0,MATCH("CONC X VOTI IN TAB GIOC",Tabella1[#Headers],0)),INDEX(Tabella1[],0,MATCH("Voto",Tabella1[#Headers],0))),"")</f>
        <v/>
      </c>
      <c r="AD411" s="270" t="str">
        <f>_xlfn.IFNA(_xlfn.XLOOKUP(CONCATENATE(AD$4,$C411),Tabella1[CONC X VOTI IN TAB GIOC],Tabella1[Voto]),"")</f>
        <v/>
      </c>
      <c r="AE411" s="270" t="str">
        <f>_xlfn.IFNA(VLOOKUP(CONCATENATE(AE$4,$C411),'INSER DATA'!$A:$F,6,0),"")</f>
        <v/>
      </c>
      <c r="AF411" s="270" t="str">
        <f>_xlfn.IFNA(VLOOKUP(CONCATENATE(AF$4,$C411),'INSER DATA'!$A:$F,6,0),"")</f>
        <v/>
      </c>
      <c r="AG411" s="270" t="str">
        <f>_xlfn.IFNA(VLOOKUP(CONCATENATE(AG$4,$C411),'INSER DATA'!$A:$F,6,0),"")</f>
        <v/>
      </c>
      <c r="AH411" s="270" t="str">
        <f>_xlfn.IFNA(VLOOKUP(CONCATENATE(AH$4,$C411),'INSER DATA'!$A:$F,7,0),"")</f>
        <v/>
      </c>
      <c r="AI411" s="270" t="str">
        <f>_xlfn.IFNA(VLOOKUP(CONCATENATE(AI$4,$C411),'INSER DATA'!$A:$F,7,0),"")</f>
        <v/>
      </c>
      <c r="AJ411" s="270" t="str">
        <f>_xlfn.IFNA(VLOOKUP(CONCATENATE(AJ$4,$C411),'INSER DATA'!$A:$F,7,0),"")</f>
        <v/>
      </c>
      <c r="AK411" s="270" t="str">
        <f>_xlfn.IFNA(VLOOKUP(CONCATENATE(AK$4,$C411),'INSER DATA'!$A:$F,7,0),"")</f>
        <v/>
      </c>
      <c r="AL411" s="270" t="str">
        <f>_xlfn.IFNA(VLOOKUP(CONCATENATE(AL$4,$C411),'INSER DATA'!$A:$F,7,0),"")</f>
        <v/>
      </c>
      <c r="AM411" s="270" t="str">
        <f>_xlfn.IFNA(VLOOKUP(CONCATENATE(AM$4,$C411),'INSER DATA'!$A:$F,7,0),"")</f>
        <v/>
      </c>
      <c r="AN411" s="270" t="str">
        <f>_xlfn.IFNA(VLOOKUP(CONCATENATE(AN$4,$C411),'INSER DATA'!$A:$F,7,0),"")</f>
        <v/>
      </c>
      <c r="AO411" s="270" t="str">
        <f>_xlfn.IFNA(VLOOKUP(CONCATENATE(AO$4,$C411),'INSER DATA'!$A:$F,7,0),"")</f>
        <v/>
      </c>
      <c r="AP411" s="270" t="str">
        <f>_xlfn.IFNA(VLOOKUP(CONCATENATE(AP$4,$C411),'INSER DATA'!$A:$F,7,0),"")</f>
        <v/>
      </c>
      <c r="AQ411" s="270" t="str">
        <f>_xlfn.IFNA(VLOOKUP(CONCATENATE(AQ$4,$C411),'INSER DATA'!$A:$F,7,0),"")</f>
        <v/>
      </c>
      <c r="AR411" s="270" t="str">
        <f>_xlfn.IFNA(VLOOKUP(CONCATENATE(AR$4,$C411),'INSER DATA'!$A:$F,7,0),"")</f>
        <v/>
      </c>
      <c r="AS411" s="270" t="str">
        <f>_xlfn.IFNA(VLOOKUP(CONCATENATE(AS$4,$C411),'INSER DATA'!$A:$F,7,0),"")</f>
        <v/>
      </c>
      <c r="AT411" s="270" t="str">
        <f>_xlfn.IFNA(VLOOKUP(CONCATENATE(AT$4,$C411),'INSER DATA'!$A:$F,7,0),"")</f>
        <v/>
      </c>
      <c r="AU411" s="270" t="str">
        <f>_xlfn.IFNA(VLOOKUP(CONCATENATE(AU$4,$C411),'INSER DATA'!$A:$F,7,0),"")</f>
        <v/>
      </c>
      <c r="AV411" s="270" t="str">
        <f>_xlfn.IFNA(VLOOKUP(CONCATENATE(AV$4,$C411),'INSER DATA'!$A:$F,7,0),"")</f>
        <v/>
      </c>
      <c r="AW411" s="270" t="str">
        <f>_xlfn.IFNA(VLOOKUP(CONCATENATE(AW$4,$C411),'INSER DATA'!$A:$F,7,0),"")</f>
        <v/>
      </c>
      <c r="AX411" s="270" t="str">
        <f>_xlfn.IFNA(VLOOKUP(CONCATENATE(AX$4,$C411),'INSER DATA'!$A:$F,7,0),"")</f>
        <v/>
      </c>
      <c r="AY411" s="270" t="str">
        <f>_xlfn.IFNA(VLOOKUP(CONCATENATE(AY$4,$C411),'INSER DATA'!$A:$F,7,0),"")</f>
        <v/>
      </c>
      <c r="AZ411" s="270" t="str">
        <f>_xlfn.IFNA(VLOOKUP(CONCATENATE(AZ$4,$C411),'INSER DATA'!$A:$F,7,0),"")</f>
        <v/>
      </c>
      <c r="BA411" s="270" t="str">
        <f>_xlfn.IFNA(VLOOKUP(CONCATENATE(BA$4,$C411),'INSER DATA'!$A:$F,7,0),"")</f>
        <v/>
      </c>
      <c r="BB411" s="270" t="str">
        <f>_xlfn.IFNA(VLOOKUP(CONCATENATE(BB$4,$C411),'INSER DATA'!$A:$F,7,0),"")</f>
        <v/>
      </c>
      <c r="BC411" s="270" t="str">
        <f>_xlfn.IFNA(VLOOKUP(CONCATENATE(BC$4,$C411),'INSER DATA'!$A:$F,7,0),"")</f>
        <v/>
      </c>
      <c r="BD411" s="270" t="str">
        <f>_xlfn.IFNA(VLOOKUP(CONCATENATE(BD$4,$C411),'INSER DATA'!$A:$F,7,0),"")</f>
        <v/>
      </c>
      <c r="BE411" s="270" t="str">
        <f>_xlfn.IFNA(VLOOKUP(CONCATENATE(BE$4,$C411),'INSER DATA'!$A:$F,7,0),"")</f>
        <v/>
      </c>
      <c r="BF411" s="270" t="str">
        <f>_xlfn.IFNA(VLOOKUP(CONCATENATE(BF$4,$C411),'INSER DATA'!$A:$F,7,0),"")</f>
        <v/>
      </c>
      <c r="BG411" s="270" t="str">
        <f>_xlfn.IFNA(VLOOKUP(CONCATENATE(BG$4,$C411),'INSER DATA'!$A:$F,7,0),"")</f>
        <v/>
      </c>
      <c r="BH411" s="270" t="str">
        <f>_xlfn.IFNA(VLOOKUP(CONCATENATE(BH$4,$C411),'INSER DATA'!$A:$F,7,0),"")</f>
        <v/>
      </c>
      <c r="BI411" s="270" t="str">
        <f>_xlfn.IFNA(VLOOKUP(CONCATENATE(BI$4,$C411),'INSER DATA'!$A:$F,7,0),"")</f>
        <v/>
      </c>
      <c r="BJ411" s="270" t="str">
        <f>_xlfn.IFNA(VLOOKUP(CONCATENATE(BJ$4,$C411),'INSER DATA'!$A:$F,7,0),"")</f>
        <v/>
      </c>
      <c r="BK411" s="270" t="str">
        <f>_xlfn.IFNA(VLOOKUP(CONCATENATE(BK$4,$C411),'INSER DATA'!$A:$F,7,0),"")</f>
        <v/>
      </c>
      <c r="BL411" s="272"/>
      <c r="BM411" s="30"/>
      <c r="BN411" s="30"/>
      <c r="BO411" s="30"/>
      <c r="BP411" s="30"/>
      <c r="BQ411" s="30"/>
      <c r="BR411" s="30"/>
      <c r="BS411" s="30"/>
      <c r="BT411" s="30"/>
      <c r="BU411" s="30"/>
      <c r="BV411" s="30"/>
      <c r="BW411" s="30"/>
      <c r="BX411" s="30"/>
      <c r="BY411" s="30"/>
      <c r="BZ411" s="30"/>
      <c r="CA411" s="30"/>
      <c r="CB411" s="30"/>
      <c r="CC411" s="30"/>
      <c r="CD411" s="30"/>
      <c r="CE411" s="30"/>
      <c r="CF411" s="30"/>
      <c r="CG411" s="30"/>
      <c r="CH411" s="30"/>
      <c r="CI411" s="30"/>
      <c r="CJ411" s="30"/>
      <c r="CK411" s="30"/>
      <c r="CL411" s="30"/>
      <c r="CM411" s="30"/>
      <c r="CN411" s="30"/>
      <c r="CO411" s="30"/>
      <c r="CP411" s="30"/>
      <c r="CQ411" s="30"/>
      <c r="CR411" s="30"/>
      <c r="CS411" s="30"/>
      <c r="CT411" s="30"/>
      <c r="CU411" s="30"/>
      <c r="CV411" s="30"/>
      <c r="CW411" s="30"/>
      <c r="CX411" s="30"/>
      <c r="CY411" s="30"/>
      <c r="CZ411" s="30"/>
      <c r="DA411" s="30"/>
    </row>
    <row r="412" spans="1:105" ht="19.2" thickTop="1" thickBot="1" x14ac:dyDescent="0.4">
      <c r="A412" s="30"/>
      <c r="B412" s="30"/>
      <c r="C412" s="185" t="s">
        <v>902</v>
      </c>
      <c r="D412" s="46" t="s">
        <v>894</v>
      </c>
      <c r="E412" s="35" t="str">
        <f>_xlfn.XLOOKUP(Tabella4[[#This Row],[NOME]],'ROSE SQUADRE'!$N$3:$N$253,'ROSE SQUADRE'!$O$3:$O$253,"")</f>
        <v/>
      </c>
      <c r="F412" s="36" t="s">
        <v>162</v>
      </c>
      <c r="G412" s="43">
        <v>4</v>
      </c>
      <c r="H412" s="43">
        <v>4</v>
      </c>
      <c r="I412" s="44">
        <f t="shared" si="37"/>
        <v>0</v>
      </c>
      <c r="J412" s="37">
        <f t="shared" si="38"/>
        <v>0</v>
      </c>
      <c r="K412" s="178">
        <f t="shared" si="39"/>
        <v>0</v>
      </c>
      <c r="L412" s="178">
        <f t="shared" si="40"/>
        <v>0</v>
      </c>
      <c r="M412" s="179">
        <f t="shared" si="41"/>
        <v>0</v>
      </c>
      <c r="N412" s="45">
        <f t="shared" ca="1" si="42"/>
        <v>0</v>
      </c>
      <c r="O412" s="40">
        <f>SUMIF(Tabella1[Nome],Tabella4[[#This Row],[NOME]],Tabella1[Gf])</f>
        <v>0</v>
      </c>
      <c r="P412" s="40">
        <f>-(SUMIF(Tabella1[Nome],Tabella4[[#This Row],[NOME]],Tabella1[Gs]))</f>
        <v>0</v>
      </c>
      <c r="Q412" s="40">
        <f>SUMIF(Tabella1[Nome],Tabella4[[#This Row],[NOME]],Tabella1[Rp])</f>
        <v>0</v>
      </c>
      <c r="R412" s="40">
        <f>SUMIF(Tabella1[Nome],Tabella4[[#This Row],[NOME]],Tabella1[Rs])</f>
        <v>0</v>
      </c>
      <c r="S412" s="40">
        <f>SUMIF(Tabella1[Nome],Tabella4[[#This Row],[NOME]],Tabella1[Rf])</f>
        <v>0</v>
      </c>
      <c r="T412" s="40">
        <f>SUMIF(Tabella1[Nome],Tabella4[[#This Row],[NOME]],Tabella1[Au])</f>
        <v>0</v>
      </c>
      <c r="U412" s="41">
        <f>SUMIF(Tabella1[Nome],Tabella4[[#This Row],[NOME]],Tabella1[Amm])</f>
        <v>0</v>
      </c>
      <c r="V412" s="42">
        <f>SUMIF(Tabella1[Nome],Tabella4[[#This Row],[NOME]],Tabella1[Esp])</f>
        <v>0</v>
      </c>
      <c r="W412" s="40">
        <f>SUMIF(Tabella1[Nome],Tabella4[[#This Row],[NOME]],Tabella1[Ass])</f>
        <v>0</v>
      </c>
      <c r="X412" s="40">
        <f>SUMIF(Tabella1[Nome],Tabella4[[#This Row],[NOME]],Tabella1[Gdv])</f>
        <v>0</v>
      </c>
      <c r="Y412" s="40">
        <f>SUMIF(Tabella1[Nome],Tabella4[[#This Row],[NOME]],Tabella1[cl sh])</f>
        <v>0</v>
      </c>
      <c r="Z412" s="270" t="str">
        <f>_xlfn.IFNA(_xlfn.XLOOKUP(CONCATENATE(Z$4,$C412),Tabella1[CONC X VOTI IN TAB GIOC],Tabella1[Voto],""),"")</f>
        <v/>
      </c>
      <c r="AA412" s="270" t="str">
        <f>_xlfn.IFNA(_xlfn.XLOOKUP(CONCATENATE(AA$4,$C412),Tabella1[CONC X VOTI IN TAB GIOC],Tabella1[Voto],""),"")</f>
        <v/>
      </c>
      <c r="AB412" s="270" t="str">
        <f>_xlfn.IFNA(_xlfn.XLOOKUP(CONCATENATE(AB$4,$C412),Tabella1[CONC X VOTI IN TAB GIOC],Tabella1[Voto]),"")</f>
        <v/>
      </c>
      <c r="AC412" s="270" t="str" cm="1">
        <f t="array" ref="AC412">_xlfn.IFNA(_xlfn.XLOOKUP(CONCATENATE(AC$4,$C412),INDEX(Tabella1[],0,MATCH("CONC X VOTI IN TAB GIOC",Tabella1[#Headers],0)),INDEX(Tabella1[],0,MATCH("Voto",Tabella1[#Headers],0))),"")</f>
        <v/>
      </c>
      <c r="AD412" s="270" t="str">
        <f>_xlfn.IFNA(_xlfn.XLOOKUP(CONCATENATE(AD$4,$C412),Tabella1[CONC X VOTI IN TAB GIOC],Tabella1[Voto]),"")</f>
        <v/>
      </c>
      <c r="AE412" s="270" t="str">
        <f>_xlfn.IFNA(VLOOKUP(CONCATENATE(AE$4,$C412),'INSER DATA'!$A:$F,6,0),"")</f>
        <v/>
      </c>
      <c r="AF412" s="270" t="str">
        <f>_xlfn.IFNA(VLOOKUP(CONCATENATE(AF$4,$C412),'INSER DATA'!$A:$F,6,0),"")</f>
        <v/>
      </c>
      <c r="AG412" s="270" t="str">
        <f>_xlfn.IFNA(VLOOKUP(CONCATENATE(AG$4,$C412),'INSER DATA'!$A:$F,6,0),"")</f>
        <v/>
      </c>
      <c r="AH412" s="270" t="str">
        <f>_xlfn.IFNA(VLOOKUP(CONCATENATE(AH$4,$C412),'INSER DATA'!$A:$F,7,0),"")</f>
        <v/>
      </c>
      <c r="AI412" s="270" t="str">
        <f>_xlfn.IFNA(VLOOKUP(CONCATENATE(AI$4,$C412),'INSER DATA'!$A:$F,7,0),"")</f>
        <v/>
      </c>
      <c r="AJ412" s="270" t="str">
        <f>_xlfn.IFNA(VLOOKUP(CONCATENATE(AJ$4,$C412),'INSER DATA'!$A:$F,7,0),"")</f>
        <v/>
      </c>
      <c r="AK412" s="270" t="str">
        <f>_xlfn.IFNA(VLOOKUP(CONCATENATE(AK$4,$C412),'INSER DATA'!$A:$F,7,0),"")</f>
        <v/>
      </c>
      <c r="AL412" s="270" t="str">
        <f>_xlfn.IFNA(VLOOKUP(CONCATENATE(AL$4,$C412),'INSER DATA'!$A:$F,7,0),"")</f>
        <v/>
      </c>
      <c r="AM412" s="270" t="str">
        <f>_xlfn.IFNA(VLOOKUP(CONCATENATE(AM$4,$C412),'INSER DATA'!$A:$F,7,0),"")</f>
        <v/>
      </c>
      <c r="AN412" s="270" t="str">
        <f>_xlfn.IFNA(VLOOKUP(CONCATENATE(AN$4,$C412),'INSER DATA'!$A:$F,7,0),"")</f>
        <v/>
      </c>
      <c r="AO412" s="270" t="str">
        <f>_xlfn.IFNA(VLOOKUP(CONCATENATE(AO$4,$C412),'INSER DATA'!$A:$F,7,0),"")</f>
        <v/>
      </c>
      <c r="AP412" s="270" t="str">
        <f>_xlfn.IFNA(VLOOKUP(CONCATENATE(AP$4,$C412),'INSER DATA'!$A:$F,7,0),"")</f>
        <v/>
      </c>
      <c r="AQ412" s="270" t="str">
        <f>_xlfn.IFNA(VLOOKUP(CONCATENATE(AQ$4,$C412),'INSER DATA'!$A:$F,7,0),"")</f>
        <v/>
      </c>
      <c r="AR412" s="270" t="str">
        <f>_xlfn.IFNA(VLOOKUP(CONCATENATE(AR$4,$C412),'INSER DATA'!$A:$F,7,0),"")</f>
        <v/>
      </c>
      <c r="AS412" s="270" t="str">
        <f>_xlfn.IFNA(VLOOKUP(CONCATENATE(AS$4,$C412),'INSER DATA'!$A:$F,7,0),"")</f>
        <v/>
      </c>
      <c r="AT412" s="270" t="str">
        <f>_xlfn.IFNA(VLOOKUP(CONCATENATE(AT$4,$C412),'INSER DATA'!$A:$F,7,0),"")</f>
        <v/>
      </c>
      <c r="AU412" s="270" t="str">
        <f>_xlfn.IFNA(VLOOKUP(CONCATENATE(AU$4,$C412),'INSER DATA'!$A:$F,7,0),"")</f>
        <v/>
      </c>
      <c r="AV412" s="270" t="str">
        <f>_xlfn.IFNA(VLOOKUP(CONCATENATE(AV$4,$C412),'INSER DATA'!$A:$F,7,0),"")</f>
        <v/>
      </c>
      <c r="AW412" s="270" t="str">
        <f>_xlfn.IFNA(VLOOKUP(CONCATENATE(AW$4,$C412),'INSER DATA'!$A:$F,7,0),"")</f>
        <v/>
      </c>
      <c r="AX412" s="270" t="str">
        <f>_xlfn.IFNA(VLOOKUP(CONCATENATE(AX$4,$C412),'INSER DATA'!$A:$F,7,0),"")</f>
        <v/>
      </c>
      <c r="AY412" s="270" t="str">
        <f>_xlfn.IFNA(VLOOKUP(CONCATENATE(AY$4,$C412),'INSER DATA'!$A:$F,7,0),"")</f>
        <v/>
      </c>
      <c r="AZ412" s="270" t="str">
        <f>_xlfn.IFNA(VLOOKUP(CONCATENATE(AZ$4,$C412),'INSER DATA'!$A:$F,7,0),"")</f>
        <v/>
      </c>
      <c r="BA412" s="270" t="str">
        <f>_xlfn.IFNA(VLOOKUP(CONCATENATE(BA$4,$C412),'INSER DATA'!$A:$F,7,0),"")</f>
        <v/>
      </c>
      <c r="BB412" s="270" t="str">
        <f>_xlfn.IFNA(VLOOKUP(CONCATENATE(BB$4,$C412),'INSER DATA'!$A:$F,7,0),"")</f>
        <v/>
      </c>
      <c r="BC412" s="270" t="str">
        <f>_xlfn.IFNA(VLOOKUP(CONCATENATE(BC$4,$C412),'INSER DATA'!$A:$F,7,0),"")</f>
        <v/>
      </c>
      <c r="BD412" s="270" t="str">
        <f>_xlfn.IFNA(VLOOKUP(CONCATENATE(BD$4,$C412),'INSER DATA'!$A:$F,7,0),"")</f>
        <v/>
      </c>
      <c r="BE412" s="270" t="str">
        <f>_xlfn.IFNA(VLOOKUP(CONCATENATE(BE$4,$C412),'INSER DATA'!$A:$F,7,0),"")</f>
        <v/>
      </c>
      <c r="BF412" s="270" t="str">
        <f>_xlfn.IFNA(VLOOKUP(CONCATENATE(BF$4,$C412),'INSER DATA'!$A:$F,7,0),"")</f>
        <v/>
      </c>
      <c r="BG412" s="270" t="str">
        <f>_xlfn.IFNA(VLOOKUP(CONCATENATE(BG$4,$C412),'INSER DATA'!$A:$F,7,0),"")</f>
        <v/>
      </c>
      <c r="BH412" s="270" t="str">
        <f>_xlfn.IFNA(VLOOKUP(CONCATENATE(BH$4,$C412),'INSER DATA'!$A:$F,7,0),"")</f>
        <v/>
      </c>
      <c r="BI412" s="270" t="str">
        <f>_xlfn.IFNA(VLOOKUP(CONCATENATE(BI$4,$C412),'INSER DATA'!$A:$F,7,0),"")</f>
        <v/>
      </c>
      <c r="BJ412" s="270" t="str">
        <f>_xlfn.IFNA(VLOOKUP(CONCATENATE(BJ$4,$C412),'INSER DATA'!$A:$F,7,0),"")</f>
        <v/>
      </c>
      <c r="BK412" s="270" t="str">
        <f>_xlfn.IFNA(VLOOKUP(CONCATENATE(BK$4,$C412),'INSER DATA'!$A:$F,7,0),"")</f>
        <v/>
      </c>
      <c r="BL412" s="272"/>
      <c r="BM412" s="30"/>
      <c r="BN412" s="30"/>
      <c r="BO412" s="30"/>
      <c r="BP412" s="30"/>
      <c r="BQ412" s="30"/>
      <c r="BR412" s="30"/>
      <c r="BS412" s="30"/>
      <c r="BT412" s="30"/>
      <c r="BU412" s="30"/>
      <c r="BV412" s="30"/>
      <c r="BW412" s="30"/>
      <c r="BX412" s="30"/>
      <c r="BY412" s="30"/>
      <c r="BZ412" s="30"/>
      <c r="CA412" s="30"/>
      <c r="CB412" s="30"/>
      <c r="CC412" s="30"/>
      <c r="CD412" s="30"/>
      <c r="CE412" s="30"/>
      <c r="CF412" s="30"/>
      <c r="CG412" s="30"/>
      <c r="CH412" s="30"/>
      <c r="CI412" s="30"/>
      <c r="CJ412" s="30"/>
      <c r="CK412" s="30"/>
      <c r="CL412" s="30"/>
      <c r="CM412" s="30"/>
      <c r="CN412" s="30"/>
      <c r="CO412" s="30"/>
      <c r="CP412" s="30"/>
      <c r="CQ412" s="30"/>
      <c r="CR412" s="30"/>
      <c r="CS412" s="30"/>
      <c r="CT412" s="30"/>
      <c r="CU412" s="30"/>
      <c r="CV412" s="30"/>
      <c r="CW412" s="30"/>
      <c r="CX412" s="30"/>
      <c r="CY412" s="30"/>
      <c r="CZ412" s="30"/>
      <c r="DA412" s="30"/>
    </row>
    <row r="413" spans="1:105" ht="19.2" thickTop="1" thickBot="1" x14ac:dyDescent="0.4">
      <c r="A413" s="30"/>
      <c r="B413" s="30"/>
      <c r="C413" s="354" t="s">
        <v>255</v>
      </c>
      <c r="D413" s="357" t="s">
        <v>894</v>
      </c>
      <c r="E413" s="35" t="str">
        <f>_xlfn.XLOOKUP(Tabella4[[#This Row],[NOME]],'ROSE SQUADRE'!$N$3:$N$253,'ROSE SQUADRE'!$O$3:$O$253,"")</f>
        <v>SESTO ASENSIO</v>
      </c>
      <c r="F413" s="36" t="s">
        <v>162</v>
      </c>
      <c r="G413" s="43">
        <v>10</v>
      </c>
      <c r="H413" s="43">
        <v>10</v>
      </c>
      <c r="I413" s="44">
        <f t="shared" si="37"/>
        <v>0</v>
      </c>
      <c r="J413" s="37">
        <f t="shared" si="38"/>
        <v>0</v>
      </c>
      <c r="K413" s="178">
        <f t="shared" si="39"/>
        <v>0</v>
      </c>
      <c r="L413" s="178">
        <f t="shared" si="40"/>
        <v>0</v>
      </c>
      <c r="M413" s="179">
        <f t="shared" si="41"/>
        <v>0</v>
      </c>
      <c r="N413" s="45">
        <f t="shared" ca="1" si="42"/>
        <v>0</v>
      </c>
      <c r="O413" s="40">
        <f>SUMIF(Tabella1[Nome],Tabella4[[#This Row],[NOME]],Tabella1[Gf])</f>
        <v>0</v>
      </c>
      <c r="P413" s="40">
        <f>-(SUMIF(Tabella1[Nome],Tabella4[[#This Row],[NOME]],Tabella1[Gs]))</f>
        <v>0</v>
      </c>
      <c r="Q413" s="40">
        <f>SUMIF(Tabella1[Nome],Tabella4[[#This Row],[NOME]],Tabella1[Rp])</f>
        <v>0</v>
      </c>
      <c r="R413" s="40">
        <f>SUMIF(Tabella1[Nome],Tabella4[[#This Row],[NOME]],Tabella1[Rs])</f>
        <v>0</v>
      </c>
      <c r="S413" s="40">
        <f>SUMIF(Tabella1[Nome],Tabella4[[#This Row],[NOME]],Tabella1[Rf])</f>
        <v>0</v>
      </c>
      <c r="T413" s="40">
        <f>SUMIF(Tabella1[Nome],Tabella4[[#This Row],[NOME]],Tabella1[Au])</f>
        <v>0</v>
      </c>
      <c r="U413" s="41">
        <f>SUMIF(Tabella1[Nome],Tabella4[[#This Row],[NOME]],Tabella1[Amm])</f>
        <v>0</v>
      </c>
      <c r="V413" s="42">
        <f>SUMIF(Tabella1[Nome],Tabella4[[#This Row],[NOME]],Tabella1[Esp])</f>
        <v>0</v>
      </c>
      <c r="W413" s="40">
        <f>SUMIF(Tabella1[Nome],Tabella4[[#This Row],[NOME]],Tabella1[Ass])</f>
        <v>0</v>
      </c>
      <c r="X413" s="40">
        <f>SUMIF(Tabella1[Nome],Tabella4[[#This Row],[NOME]],Tabella1[Gdv])</f>
        <v>0</v>
      </c>
      <c r="Y413" s="40">
        <f>SUMIF(Tabella1[Nome],Tabella4[[#This Row],[NOME]],Tabella1[cl sh])</f>
        <v>0</v>
      </c>
      <c r="Z413" s="270" t="str">
        <f>_xlfn.IFNA(_xlfn.XLOOKUP(CONCATENATE(Z$4,$C413),Tabella1[CONC X VOTI IN TAB GIOC],Tabella1[Voto],""),"")</f>
        <v/>
      </c>
      <c r="AA413" s="270" t="str">
        <f>_xlfn.IFNA(_xlfn.XLOOKUP(CONCATENATE(AA$4,$C413),Tabella1[CONC X VOTI IN TAB GIOC],Tabella1[Voto],""),"")</f>
        <v/>
      </c>
      <c r="AB413" s="270" t="str">
        <f>_xlfn.IFNA(_xlfn.XLOOKUP(CONCATENATE(AB$4,$C413),Tabella1[CONC X VOTI IN TAB GIOC],Tabella1[Voto]),"")</f>
        <v/>
      </c>
      <c r="AC413" s="270" t="str" cm="1">
        <f t="array" ref="AC413">_xlfn.IFNA(_xlfn.XLOOKUP(CONCATENATE(AC$4,$C413),INDEX(Tabella1[],0,MATCH("CONC X VOTI IN TAB GIOC",Tabella1[#Headers],0)),INDEX(Tabella1[],0,MATCH("Voto",Tabella1[#Headers],0))),"")</f>
        <v/>
      </c>
      <c r="AD413" s="270" t="str">
        <f>_xlfn.IFNA(_xlfn.XLOOKUP(CONCATENATE(AD$4,$C413),Tabella1[CONC X VOTI IN TAB GIOC],Tabella1[Voto]),"")</f>
        <v/>
      </c>
      <c r="AE413" s="270" t="str">
        <f>_xlfn.IFNA(VLOOKUP(CONCATENATE(AE$4,$C413),'INSER DATA'!$A:$F,6,0),"")</f>
        <v/>
      </c>
      <c r="AF413" s="270" t="str">
        <f>_xlfn.IFNA(VLOOKUP(CONCATENATE(AF$4,$C413),'INSER DATA'!$A:$F,6,0),"")</f>
        <v/>
      </c>
      <c r="AG413" s="270" t="str">
        <f>_xlfn.IFNA(VLOOKUP(CONCATENATE(AG$4,$C413),'INSER DATA'!$A:$F,6,0),"")</f>
        <v/>
      </c>
      <c r="AH413" s="270" t="str">
        <f>_xlfn.IFNA(VLOOKUP(CONCATENATE(AH$4,$C413),'INSER DATA'!$A:$F,7,0),"")</f>
        <v/>
      </c>
      <c r="AI413" s="270" t="str">
        <f>_xlfn.IFNA(VLOOKUP(CONCATENATE(AI$4,$C413),'INSER DATA'!$A:$F,7,0),"")</f>
        <v/>
      </c>
      <c r="AJ413" s="270" t="str">
        <f>_xlfn.IFNA(VLOOKUP(CONCATENATE(AJ$4,$C413),'INSER DATA'!$A:$F,7,0),"")</f>
        <v/>
      </c>
      <c r="AK413" s="270" t="str">
        <f>_xlfn.IFNA(VLOOKUP(CONCATENATE(AK$4,$C413),'INSER DATA'!$A:$F,7,0),"")</f>
        <v/>
      </c>
      <c r="AL413" s="270" t="str">
        <f>_xlfn.IFNA(VLOOKUP(CONCATENATE(AL$4,$C413),'INSER DATA'!$A:$F,7,0),"")</f>
        <v/>
      </c>
      <c r="AM413" s="270" t="str">
        <f>_xlfn.IFNA(VLOOKUP(CONCATENATE(AM$4,$C413),'INSER DATA'!$A:$F,7,0),"")</f>
        <v/>
      </c>
      <c r="AN413" s="270" t="str">
        <f>_xlfn.IFNA(VLOOKUP(CONCATENATE(AN$4,$C413),'INSER DATA'!$A:$F,7,0),"")</f>
        <v/>
      </c>
      <c r="AO413" s="270" t="str">
        <f>_xlfn.IFNA(VLOOKUP(CONCATENATE(AO$4,$C413),'INSER DATA'!$A:$F,7,0),"")</f>
        <v/>
      </c>
      <c r="AP413" s="270" t="str">
        <f>_xlfn.IFNA(VLOOKUP(CONCATENATE(AP$4,$C413),'INSER DATA'!$A:$F,7,0),"")</f>
        <v/>
      </c>
      <c r="AQ413" s="270" t="str">
        <f>_xlfn.IFNA(VLOOKUP(CONCATENATE(AQ$4,$C413),'INSER DATA'!$A:$F,7,0),"")</f>
        <v/>
      </c>
      <c r="AR413" s="270" t="str">
        <f>_xlfn.IFNA(VLOOKUP(CONCATENATE(AR$4,$C413),'INSER DATA'!$A:$F,7,0),"")</f>
        <v/>
      </c>
      <c r="AS413" s="270" t="str">
        <f>_xlfn.IFNA(VLOOKUP(CONCATENATE(AS$4,$C413),'INSER DATA'!$A:$F,7,0),"")</f>
        <v/>
      </c>
      <c r="AT413" s="270" t="str">
        <f>_xlfn.IFNA(VLOOKUP(CONCATENATE(AT$4,$C413),'INSER DATA'!$A:$F,7,0),"")</f>
        <v/>
      </c>
      <c r="AU413" s="270" t="str">
        <f>_xlfn.IFNA(VLOOKUP(CONCATENATE(AU$4,$C413),'INSER DATA'!$A:$F,7,0),"")</f>
        <v/>
      </c>
      <c r="AV413" s="270" t="str">
        <f>_xlfn.IFNA(VLOOKUP(CONCATENATE(AV$4,$C413),'INSER DATA'!$A:$F,7,0),"")</f>
        <v/>
      </c>
      <c r="AW413" s="270" t="str">
        <f>_xlfn.IFNA(VLOOKUP(CONCATENATE(AW$4,$C413),'INSER DATA'!$A:$F,7,0),"")</f>
        <v/>
      </c>
      <c r="AX413" s="270" t="str">
        <f>_xlfn.IFNA(VLOOKUP(CONCATENATE(AX$4,$C413),'INSER DATA'!$A:$F,7,0),"")</f>
        <v/>
      </c>
      <c r="AY413" s="270" t="str">
        <f>_xlfn.IFNA(VLOOKUP(CONCATENATE(AY$4,$C413),'INSER DATA'!$A:$F,7,0),"")</f>
        <v/>
      </c>
      <c r="AZ413" s="270" t="str">
        <f>_xlfn.IFNA(VLOOKUP(CONCATENATE(AZ$4,$C413),'INSER DATA'!$A:$F,7,0),"")</f>
        <v/>
      </c>
      <c r="BA413" s="270" t="str">
        <f>_xlfn.IFNA(VLOOKUP(CONCATENATE(BA$4,$C413),'INSER DATA'!$A:$F,7,0),"")</f>
        <v/>
      </c>
      <c r="BB413" s="270" t="str">
        <f>_xlfn.IFNA(VLOOKUP(CONCATENATE(BB$4,$C413),'INSER DATA'!$A:$F,7,0),"")</f>
        <v/>
      </c>
      <c r="BC413" s="270" t="str">
        <f>_xlfn.IFNA(VLOOKUP(CONCATENATE(BC$4,$C413),'INSER DATA'!$A:$F,7,0),"")</f>
        <v/>
      </c>
      <c r="BD413" s="270" t="str">
        <f>_xlfn.IFNA(VLOOKUP(CONCATENATE(BD$4,$C413),'INSER DATA'!$A:$F,7,0),"")</f>
        <v/>
      </c>
      <c r="BE413" s="270" t="str">
        <f>_xlfn.IFNA(VLOOKUP(CONCATENATE(BE$4,$C413),'INSER DATA'!$A:$F,7,0),"")</f>
        <v/>
      </c>
      <c r="BF413" s="270" t="str">
        <f>_xlfn.IFNA(VLOOKUP(CONCATENATE(BF$4,$C413),'INSER DATA'!$A:$F,7,0),"")</f>
        <v/>
      </c>
      <c r="BG413" s="270" t="str">
        <f>_xlfn.IFNA(VLOOKUP(CONCATENATE(BG$4,$C413),'INSER DATA'!$A:$F,7,0),"")</f>
        <v/>
      </c>
      <c r="BH413" s="270" t="str">
        <f>_xlfn.IFNA(VLOOKUP(CONCATENATE(BH$4,$C413),'INSER DATA'!$A:$F,7,0),"")</f>
        <v/>
      </c>
      <c r="BI413" s="270" t="str">
        <f>_xlfn.IFNA(VLOOKUP(CONCATENATE(BI$4,$C413),'INSER DATA'!$A:$F,7,0),"")</f>
        <v/>
      </c>
      <c r="BJ413" s="270" t="str">
        <f>_xlfn.IFNA(VLOOKUP(CONCATENATE(BJ$4,$C413),'INSER DATA'!$A:$F,7,0),"")</f>
        <v/>
      </c>
      <c r="BK413" s="270" t="str">
        <f>_xlfn.IFNA(VLOOKUP(CONCATENATE(BK$4,$C413),'INSER DATA'!$A:$F,7,0),"")</f>
        <v/>
      </c>
      <c r="BL413" s="272"/>
      <c r="BM413" s="30"/>
      <c r="BN413" s="30"/>
      <c r="BO413" s="30"/>
      <c r="BP413" s="30"/>
      <c r="BQ413" s="30"/>
      <c r="BR413" s="30"/>
      <c r="BS413" s="30"/>
      <c r="BT413" s="30"/>
      <c r="BU413" s="30"/>
      <c r="BV413" s="30"/>
      <c r="BW413" s="30"/>
      <c r="BX413" s="30"/>
      <c r="BY413" s="30"/>
      <c r="BZ413" s="30"/>
      <c r="CA413" s="30"/>
      <c r="CB413" s="30"/>
      <c r="CC413" s="30"/>
      <c r="CD413" s="30"/>
      <c r="CE413" s="30"/>
      <c r="CF413" s="30"/>
      <c r="CG413" s="30"/>
      <c r="CH413" s="30"/>
      <c r="CI413" s="30"/>
      <c r="CJ413" s="30"/>
      <c r="CK413" s="30"/>
      <c r="CL413" s="30"/>
      <c r="CM413" s="30"/>
      <c r="CN413" s="30"/>
      <c r="CO413" s="30"/>
      <c r="CP413" s="30"/>
      <c r="CQ413" s="30"/>
      <c r="CR413" s="30"/>
      <c r="CS413" s="30"/>
      <c r="CT413" s="30"/>
      <c r="CU413" s="30"/>
      <c r="CV413" s="30"/>
      <c r="CW413" s="30"/>
      <c r="CX413" s="30"/>
      <c r="CY413" s="30"/>
      <c r="CZ413" s="30"/>
      <c r="DA413" s="30"/>
    </row>
    <row r="414" spans="1:105" ht="19.2" thickTop="1" thickBot="1" x14ac:dyDescent="0.4">
      <c r="A414" s="30"/>
      <c r="B414" s="30"/>
      <c r="C414" s="185" t="s">
        <v>908</v>
      </c>
      <c r="D414" s="46" t="s">
        <v>894</v>
      </c>
      <c r="E414" s="35" t="str">
        <f>_xlfn.XLOOKUP(Tabella4[[#This Row],[NOME]],'ROSE SQUADRE'!$N$3:$N$253,'ROSE SQUADRE'!$O$3:$O$253,"")</f>
        <v/>
      </c>
      <c r="F414" s="36" t="s">
        <v>163</v>
      </c>
      <c r="G414" s="43">
        <v>1</v>
      </c>
      <c r="H414" s="43">
        <v>1</v>
      </c>
      <c r="I414" s="44">
        <f t="shared" si="37"/>
        <v>0</v>
      </c>
      <c r="J414" s="37">
        <f t="shared" si="38"/>
        <v>0</v>
      </c>
      <c r="K414" s="178">
        <f t="shared" si="39"/>
        <v>0</v>
      </c>
      <c r="L414" s="178">
        <f t="shared" si="40"/>
        <v>0</v>
      </c>
      <c r="M414" s="179">
        <f t="shared" si="41"/>
        <v>0</v>
      </c>
      <c r="N414" s="45">
        <f t="shared" ca="1" si="42"/>
        <v>0</v>
      </c>
      <c r="O414" s="40">
        <f>SUMIF(Tabella1[Nome],Tabella4[[#This Row],[NOME]],Tabella1[Gf])</f>
        <v>0</v>
      </c>
      <c r="P414" s="40">
        <f>-(SUMIF(Tabella1[Nome],Tabella4[[#This Row],[NOME]],Tabella1[Gs]))</f>
        <v>0</v>
      </c>
      <c r="Q414" s="40">
        <f>SUMIF(Tabella1[Nome],Tabella4[[#This Row],[NOME]],Tabella1[Rp])</f>
        <v>0</v>
      </c>
      <c r="R414" s="40">
        <f>SUMIF(Tabella1[Nome],Tabella4[[#This Row],[NOME]],Tabella1[Rs])</f>
        <v>0</v>
      </c>
      <c r="S414" s="40">
        <f>SUMIF(Tabella1[Nome],Tabella4[[#This Row],[NOME]],Tabella1[Rf])</f>
        <v>0</v>
      </c>
      <c r="T414" s="40">
        <f>SUMIF(Tabella1[Nome],Tabella4[[#This Row],[NOME]],Tabella1[Au])</f>
        <v>0</v>
      </c>
      <c r="U414" s="41">
        <f>SUMIF(Tabella1[Nome],Tabella4[[#This Row],[NOME]],Tabella1[Amm])</f>
        <v>0</v>
      </c>
      <c r="V414" s="42">
        <f>SUMIF(Tabella1[Nome],Tabella4[[#This Row],[NOME]],Tabella1[Esp])</f>
        <v>0</v>
      </c>
      <c r="W414" s="40">
        <f>SUMIF(Tabella1[Nome],Tabella4[[#This Row],[NOME]],Tabella1[Ass])</f>
        <v>0</v>
      </c>
      <c r="X414" s="40">
        <f>SUMIF(Tabella1[Nome],Tabella4[[#This Row],[NOME]],Tabella1[Gdv])</f>
        <v>0</v>
      </c>
      <c r="Y414" s="40">
        <f>SUMIF(Tabella1[Nome],Tabella4[[#This Row],[NOME]],Tabella1[cl sh])</f>
        <v>0</v>
      </c>
      <c r="Z414" s="270" t="str">
        <f>_xlfn.IFNA(_xlfn.XLOOKUP(CONCATENATE(Z$4,$C414),Tabella1[CONC X VOTI IN TAB GIOC],Tabella1[Voto],""),"")</f>
        <v/>
      </c>
      <c r="AA414" s="270" t="str">
        <f>_xlfn.IFNA(_xlfn.XLOOKUP(CONCATENATE(AA$4,$C414),Tabella1[CONC X VOTI IN TAB GIOC],Tabella1[Voto],""),"")</f>
        <v/>
      </c>
      <c r="AB414" s="270" t="str">
        <f>_xlfn.IFNA(_xlfn.XLOOKUP(CONCATENATE(AB$4,$C414),Tabella1[CONC X VOTI IN TAB GIOC],Tabella1[Voto]),"")</f>
        <v/>
      </c>
      <c r="AC414" s="270" t="str" cm="1">
        <f t="array" ref="AC414">_xlfn.IFNA(_xlfn.XLOOKUP(CONCATENATE(AC$4,$C414),INDEX(Tabella1[],0,MATCH("CONC X VOTI IN TAB GIOC",Tabella1[#Headers],0)),INDEX(Tabella1[],0,MATCH("Voto",Tabella1[#Headers],0))),"")</f>
        <v/>
      </c>
      <c r="AD414" s="270" t="str">
        <f>_xlfn.IFNA(_xlfn.XLOOKUP(CONCATENATE(AD$4,$C414),Tabella1[CONC X VOTI IN TAB GIOC],Tabella1[Voto]),"")</f>
        <v/>
      </c>
      <c r="AE414" s="270" t="str">
        <f>_xlfn.IFNA(VLOOKUP(CONCATENATE(AE$4,$C414),'INSER DATA'!$A:$F,6,0),"")</f>
        <v/>
      </c>
      <c r="AF414" s="270" t="str">
        <f>_xlfn.IFNA(VLOOKUP(CONCATENATE(AF$4,$C414),'INSER DATA'!$A:$F,6,0),"")</f>
        <v/>
      </c>
      <c r="AG414" s="270" t="str">
        <f>_xlfn.IFNA(VLOOKUP(CONCATENATE(AG$4,$C414),'INSER DATA'!$A:$F,6,0),"")</f>
        <v/>
      </c>
      <c r="AH414" s="270" t="str">
        <f>_xlfn.IFNA(VLOOKUP(CONCATENATE(AH$4,$C414),'INSER DATA'!$A:$F,7,0),"")</f>
        <v/>
      </c>
      <c r="AI414" s="270" t="str">
        <f>_xlfn.IFNA(VLOOKUP(CONCATENATE(AI$4,$C414),'INSER DATA'!$A:$F,7,0),"")</f>
        <v/>
      </c>
      <c r="AJ414" s="270" t="str">
        <f>_xlfn.IFNA(VLOOKUP(CONCATENATE(AJ$4,$C414),'INSER DATA'!$A:$F,7,0),"")</f>
        <v/>
      </c>
      <c r="AK414" s="270" t="str">
        <f>_xlfn.IFNA(VLOOKUP(CONCATENATE(AK$4,$C414),'INSER DATA'!$A:$F,7,0),"")</f>
        <v/>
      </c>
      <c r="AL414" s="270" t="str">
        <f>_xlfn.IFNA(VLOOKUP(CONCATENATE(AL$4,$C414),'INSER DATA'!$A:$F,7,0),"")</f>
        <v/>
      </c>
      <c r="AM414" s="270" t="str">
        <f>_xlfn.IFNA(VLOOKUP(CONCATENATE(AM$4,$C414),'INSER DATA'!$A:$F,7,0),"")</f>
        <v/>
      </c>
      <c r="AN414" s="270" t="str">
        <f>_xlfn.IFNA(VLOOKUP(CONCATENATE(AN$4,$C414),'INSER DATA'!$A:$F,7,0),"")</f>
        <v/>
      </c>
      <c r="AO414" s="270" t="str">
        <f>_xlfn.IFNA(VLOOKUP(CONCATENATE(AO$4,$C414),'INSER DATA'!$A:$F,7,0),"")</f>
        <v/>
      </c>
      <c r="AP414" s="270" t="str">
        <f>_xlfn.IFNA(VLOOKUP(CONCATENATE(AP$4,$C414),'INSER DATA'!$A:$F,7,0),"")</f>
        <v/>
      </c>
      <c r="AQ414" s="270" t="str">
        <f>_xlfn.IFNA(VLOOKUP(CONCATENATE(AQ$4,$C414),'INSER DATA'!$A:$F,7,0),"")</f>
        <v/>
      </c>
      <c r="AR414" s="270" t="str">
        <f>_xlfn.IFNA(VLOOKUP(CONCATENATE(AR$4,$C414),'INSER DATA'!$A:$F,7,0),"")</f>
        <v/>
      </c>
      <c r="AS414" s="270" t="str">
        <f>_xlfn.IFNA(VLOOKUP(CONCATENATE(AS$4,$C414),'INSER DATA'!$A:$F,7,0),"")</f>
        <v/>
      </c>
      <c r="AT414" s="270" t="str">
        <f>_xlfn.IFNA(VLOOKUP(CONCATENATE(AT$4,$C414),'INSER DATA'!$A:$F,7,0),"")</f>
        <v/>
      </c>
      <c r="AU414" s="270" t="str">
        <f>_xlfn.IFNA(VLOOKUP(CONCATENATE(AU$4,$C414),'INSER DATA'!$A:$F,7,0),"")</f>
        <v/>
      </c>
      <c r="AV414" s="270" t="str">
        <f>_xlfn.IFNA(VLOOKUP(CONCATENATE(AV$4,$C414),'INSER DATA'!$A:$F,7,0),"")</f>
        <v/>
      </c>
      <c r="AW414" s="270" t="str">
        <f>_xlfn.IFNA(VLOOKUP(CONCATENATE(AW$4,$C414),'INSER DATA'!$A:$F,7,0),"")</f>
        <v/>
      </c>
      <c r="AX414" s="270" t="str">
        <f>_xlfn.IFNA(VLOOKUP(CONCATENATE(AX$4,$C414),'INSER DATA'!$A:$F,7,0),"")</f>
        <v/>
      </c>
      <c r="AY414" s="270" t="str">
        <f>_xlfn.IFNA(VLOOKUP(CONCATENATE(AY$4,$C414),'INSER DATA'!$A:$F,7,0),"")</f>
        <v/>
      </c>
      <c r="AZ414" s="270" t="str">
        <f>_xlfn.IFNA(VLOOKUP(CONCATENATE(AZ$4,$C414),'INSER DATA'!$A:$F,7,0),"")</f>
        <v/>
      </c>
      <c r="BA414" s="270" t="str">
        <f>_xlfn.IFNA(VLOOKUP(CONCATENATE(BA$4,$C414),'INSER DATA'!$A:$F,7,0),"")</f>
        <v/>
      </c>
      <c r="BB414" s="270" t="str">
        <f>_xlfn.IFNA(VLOOKUP(CONCATENATE(BB$4,$C414),'INSER DATA'!$A:$F,7,0),"")</f>
        <v/>
      </c>
      <c r="BC414" s="270" t="str">
        <f>_xlfn.IFNA(VLOOKUP(CONCATENATE(BC$4,$C414),'INSER DATA'!$A:$F,7,0),"")</f>
        <v/>
      </c>
      <c r="BD414" s="270" t="str">
        <f>_xlfn.IFNA(VLOOKUP(CONCATENATE(BD$4,$C414),'INSER DATA'!$A:$F,7,0),"")</f>
        <v/>
      </c>
      <c r="BE414" s="270" t="str">
        <f>_xlfn.IFNA(VLOOKUP(CONCATENATE(BE$4,$C414),'INSER DATA'!$A:$F,7,0),"")</f>
        <v/>
      </c>
      <c r="BF414" s="270" t="str">
        <f>_xlfn.IFNA(VLOOKUP(CONCATENATE(BF$4,$C414),'INSER DATA'!$A:$F,7,0),"")</f>
        <v/>
      </c>
      <c r="BG414" s="270" t="str">
        <f>_xlfn.IFNA(VLOOKUP(CONCATENATE(BG$4,$C414),'INSER DATA'!$A:$F,7,0),"")</f>
        <v/>
      </c>
      <c r="BH414" s="270" t="str">
        <f>_xlfn.IFNA(VLOOKUP(CONCATENATE(BH$4,$C414),'INSER DATA'!$A:$F,7,0),"")</f>
        <v/>
      </c>
      <c r="BI414" s="270" t="str">
        <f>_xlfn.IFNA(VLOOKUP(CONCATENATE(BI$4,$C414),'INSER DATA'!$A:$F,7,0),"")</f>
        <v/>
      </c>
      <c r="BJ414" s="270" t="str">
        <f>_xlfn.IFNA(VLOOKUP(CONCATENATE(BJ$4,$C414),'INSER DATA'!$A:$F,7,0),"")</f>
        <v/>
      </c>
      <c r="BK414" s="270" t="str">
        <f>_xlfn.IFNA(VLOOKUP(CONCATENATE(BK$4,$C414),'INSER DATA'!$A:$F,7,0),"")</f>
        <v/>
      </c>
      <c r="BL414" s="272"/>
      <c r="BM414" s="30"/>
      <c r="BN414" s="30"/>
      <c r="BO414" s="30"/>
      <c r="BP414" s="30"/>
      <c r="BQ414" s="30"/>
      <c r="BR414" s="30"/>
      <c r="BS414" s="30"/>
      <c r="BT414" s="30"/>
      <c r="BU414" s="30"/>
      <c r="BV414" s="30"/>
      <c r="BW414" s="30"/>
      <c r="BX414" s="30"/>
      <c r="BY414" s="30"/>
      <c r="BZ414" s="30"/>
      <c r="CA414" s="30"/>
      <c r="CB414" s="30"/>
      <c r="CC414" s="30"/>
      <c r="CD414" s="30"/>
      <c r="CE414" s="30"/>
      <c r="CF414" s="30"/>
      <c r="CG414" s="30"/>
      <c r="CH414" s="30"/>
      <c r="CI414" s="30"/>
      <c r="CJ414" s="30"/>
      <c r="CK414" s="30"/>
      <c r="CL414" s="30"/>
      <c r="CM414" s="30"/>
      <c r="CN414" s="30"/>
      <c r="CO414" s="30"/>
      <c r="CP414" s="30"/>
      <c r="CQ414" s="30"/>
      <c r="CR414" s="30"/>
      <c r="CS414" s="30"/>
      <c r="CT414" s="30"/>
      <c r="CU414" s="30"/>
      <c r="CV414" s="30"/>
      <c r="CW414" s="30"/>
      <c r="CX414" s="30"/>
      <c r="CY414" s="30"/>
      <c r="CZ414" s="30"/>
      <c r="DA414" s="30"/>
    </row>
    <row r="415" spans="1:105" ht="19.2" thickTop="1" thickBot="1" x14ac:dyDescent="0.4">
      <c r="A415" s="30"/>
      <c r="B415" s="30"/>
      <c r="C415" s="360" t="s">
        <v>918</v>
      </c>
      <c r="D415" s="361" t="s">
        <v>910</v>
      </c>
      <c r="E415" s="35" t="str">
        <f>_xlfn.XLOOKUP(Tabella4[[#This Row],[NOME]],'ROSE SQUADRE'!$N$3:$N$253,'ROSE SQUADRE'!$O$3:$O$253,"")</f>
        <v>TRICCHETRACHT</v>
      </c>
      <c r="F415" s="36" t="s">
        <v>161</v>
      </c>
      <c r="G415" s="43">
        <v>1</v>
      </c>
      <c r="H415" s="43">
        <v>3</v>
      </c>
      <c r="I415" s="44">
        <f t="shared" si="37"/>
        <v>2</v>
      </c>
      <c r="J415" s="37">
        <f t="shared" si="38"/>
        <v>1</v>
      </c>
      <c r="K415" s="178">
        <f t="shared" si="39"/>
        <v>7</v>
      </c>
      <c r="L415" s="178">
        <f t="shared" si="40"/>
        <v>10</v>
      </c>
      <c r="M415" s="179">
        <f t="shared" si="41"/>
        <v>10</v>
      </c>
      <c r="N415" s="45">
        <f ca="1">ContaCellePerColore(Z415:BK415,$C$3)</f>
        <v>0</v>
      </c>
      <c r="O415" s="40">
        <f>SUMIF(Tabella1[Nome],Tabella4[[#This Row],[NOME]],Tabella1[Gf])</f>
        <v>1</v>
      </c>
      <c r="P415" s="40">
        <f>-(SUMIF(Tabella1[Nome],Tabella4[[#This Row],[NOME]],Tabella1[Gs]))</f>
        <v>0</v>
      </c>
      <c r="Q415" s="40">
        <f>SUMIF(Tabella1[Nome],Tabella4[[#This Row],[NOME]],Tabella1[Rp])</f>
        <v>0</v>
      </c>
      <c r="R415" s="40">
        <f>SUMIF(Tabella1[Nome],Tabella4[[#This Row],[NOME]],Tabella1[Rs])</f>
        <v>0</v>
      </c>
      <c r="S415" s="40">
        <f>SUMIF(Tabella1[Nome],Tabella4[[#This Row],[NOME]],Tabella1[Rf])</f>
        <v>0</v>
      </c>
      <c r="T415" s="40">
        <f>SUMIF(Tabella1[Nome],Tabella4[[#This Row],[NOME]],Tabella1[Au])</f>
        <v>0</v>
      </c>
      <c r="U415" s="41">
        <f>SUMIF(Tabella1[Nome],Tabella4[[#This Row],[NOME]],Tabella1[Amm])</f>
        <v>0</v>
      </c>
      <c r="V415" s="42">
        <f>SUMIF(Tabella1[Nome],Tabella4[[#This Row],[NOME]],Tabella1[Esp])</f>
        <v>0</v>
      </c>
      <c r="W415" s="40">
        <f>SUMIF(Tabella1[Nome],Tabella4[[#This Row],[NOME]],Tabella1[Ass])</f>
        <v>0</v>
      </c>
      <c r="X415" s="40">
        <f>SUMIF(Tabella1[Nome],Tabella4[[#This Row],[NOME]],Tabella1[Gdv])</f>
        <v>0</v>
      </c>
      <c r="Y415" s="40">
        <f>SUMIF(Tabella1[Nome],Tabella4[[#This Row],[NOME]],Tabella1[cl sh])</f>
        <v>0</v>
      </c>
      <c r="Z415" s="270">
        <f>_xlfn.IFNA(_xlfn.XLOOKUP(CONCATENATE(Z$4,$C415),Tabella1[CONC X VOTI IN TAB GIOC],Tabella1[Voto],""),"")</f>
        <v>7</v>
      </c>
      <c r="AA415" s="270" t="str">
        <f>_xlfn.IFNA(_xlfn.XLOOKUP(CONCATENATE(AA$4,$C415),Tabella1[CONC X VOTI IN TAB GIOC],Tabella1[Voto],""),"")</f>
        <v/>
      </c>
      <c r="AB415" s="270" t="str">
        <f>_xlfn.IFNA(_xlfn.XLOOKUP(CONCATENATE(AB$4,$C415),Tabella1[CONC X VOTI IN TAB GIOC],Tabella1[Voto]),"")</f>
        <v/>
      </c>
      <c r="AC415" s="270" t="str" cm="1">
        <f t="array" ref="AC415">_xlfn.IFNA(_xlfn.XLOOKUP(CONCATENATE(AC$4,$C415),INDEX(Tabella1[],0,MATCH("CONC X VOTI IN TAB GIOC",Tabella1[#Headers],0)),INDEX(Tabella1[],0,MATCH("Voto",Tabella1[#Headers],0))),"")</f>
        <v/>
      </c>
      <c r="AD415" s="270" t="str">
        <f>_xlfn.IFNA(_xlfn.XLOOKUP(CONCATENATE(AD$4,$C415),Tabella1[CONC X VOTI IN TAB GIOC],Tabella1[Voto]),"")</f>
        <v/>
      </c>
      <c r="AE415" s="270" t="str">
        <f>_xlfn.IFNA(VLOOKUP(CONCATENATE(AE$4,$C415),'INSER DATA'!$A:$F,6,0),"")</f>
        <v/>
      </c>
      <c r="AF415" s="270" t="str">
        <f>_xlfn.IFNA(VLOOKUP(CONCATENATE(AF$4,$C415),'INSER DATA'!$A:$F,6,0),"")</f>
        <v/>
      </c>
      <c r="AG415" s="270" t="str">
        <f>_xlfn.IFNA(VLOOKUP(CONCATENATE(AG$4,$C415),'INSER DATA'!$A:$F,6,0),"")</f>
        <v/>
      </c>
      <c r="AH415" s="270" t="str">
        <f>_xlfn.IFNA(VLOOKUP(CONCATENATE(AH$4,$C415),'INSER DATA'!$A:$F,7,0),"")</f>
        <v/>
      </c>
      <c r="AI415" s="270" t="str">
        <f>_xlfn.IFNA(VLOOKUP(CONCATENATE(AI$4,$C415),'INSER DATA'!$A:$F,7,0),"")</f>
        <v/>
      </c>
      <c r="AJ415" s="270" t="str">
        <f>_xlfn.IFNA(VLOOKUP(CONCATENATE(AJ$4,$C415),'INSER DATA'!$A:$F,7,0),"")</f>
        <v/>
      </c>
      <c r="AK415" s="270" t="str">
        <f>_xlfn.IFNA(VLOOKUP(CONCATENATE(AK$4,$C415),'INSER DATA'!$A:$F,7,0),"")</f>
        <v/>
      </c>
      <c r="AL415" s="270" t="str">
        <f>_xlfn.IFNA(VLOOKUP(CONCATENATE(AL$4,$C415),'INSER DATA'!$A:$F,7,0),"")</f>
        <v/>
      </c>
      <c r="AM415" s="270" t="str">
        <f>_xlfn.IFNA(VLOOKUP(CONCATENATE(AM$4,$C415),'INSER DATA'!$A:$F,7,0),"")</f>
        <v/>
      </c>
      <c r="AN415" s="270" t="str">
        <f>_xlfn.IFNA(VLOOKUP(CONCATENATE(AN$4,$C415),'INSER DATA'!$A:$F,7,0),"")</f>
        <v/>
      </c>
      <c r="AO415" s="270" t="str">
        <f>_xlfn.IFNA(VLOOKUP(CONCATENATE(AO$4,$C415),'INSER DATA'!$A:$F,7,0),"")</f>
        <v/>
      </c>
      <c r="AP415" s="270" t="str">
        <f>_xlfn.IFNA(VLOOKUP(CONCATENATE(AP$4,$C415),'INSER DATA'!$A:$F,7,0),"")</f>
        <v/>
      </c>
      <c r="AQ415" s="270" t="str">
        <f>_xlfn.IFNA(VLOOKUP(CONCATENATE(AQ$4,$C415),'INSER DATA'!$A:$F,7,0),"")</f>
        <v/>
      </c>
      <c r="AR415" s="270" t="str">
        <f>_xlfn.IFNA(VLOOKUP(CONCATENATE(AR$4,$C415),'INSER DATA'!$A:$F,7,0),"")</f>
        <v/>
      </c>
      <c r="AS415" s="270" t="str">
        <f>_xlfn.IFNA(VLOOKUP(CONCATENATE(AS$4,$C415),'INSER DATA'!$A:$F,7,0),"")</f>
        <v/>
      </c>
      <c r="AT415" s="270" t="str">
        <f>_xlfn.IFNA(VLOOKUP(CONCATENATE(AT$4,$C415),'INSER DATA'!$A:$F,7,0),"")</f>
        <v/>
      </c>
      <c r="AU415" s="270" t="str">
        <f>_xlfn.IFNA(VLOOKUP(CONCATENATE(AU$4,$C415),'INSER DATA'!$A:$F,7,0),"")</f>
        <v/>
      </c>
      <c r="AV415" s="270" t="str">
        <f>_xlfn.IFNA(VLOOKUP(CONCATENATE(AV$4,$C415),'INSER DATA'!$A:$F,7,0),"")</f>
        <v/>
      </c>
      <c r="AW415" s="270" t="str">
        <f>_xlfn.IFNA(VLOOKUP(CONCATENATE(AW$4,$C415),'INSER DATA'!$A:$F,7,0),"")</f>
        <v/>
      </c>
      <c r="AX415" s="270" t="str">
        <f>_xlfn.IFNA(VLOOKUP(CONCATENATE(AX$4,$C415),'INSER DATA'!$A:$F,7,0),"")</f>
        <v/>
      </c>
      <c r="AY415" s="270" t="str">
        <f>_xlfn.IFNA(VLOOKUP(CONCATENATE(AY$4,$C415),'INSER DATA'!$A:$F,7,0),"")</f>
        <v/>
      </c>
      <c r="AZ415" s="270" t="str">
        <f>_xlfn.IFNA(VLOOKUP(CONCATENATE(AZ$4,$C415),'INSER DATA'!$A:$F,7,0),"")</f>
        <v/>
      </c>
      <c r="BA415" s="270" t="str">
        <f>_xlfn.IFNA(VLOOKUP(CONCATENATE(BA$4,$C415),'INSER DATA'!$A:$F,7,0),"")</f>
        <v/>
      </c>
      <c r="BB415" s="270" t="str">
        <f>_xlfn.IFNA(VLOOKUP(CONCATENATE(BB$4,$C415),'INSER DATA'!$A:$F,7,0),"")</f>
        <v/>
      </c>
      <c r="BC415" s="270" t="str">
        <f>_xlfn.IFNA(VLOOKUP(CONCATENATE(BC$4,$C415),'INSER DATA'!$A:$F,7,0),"")</f>
        <v/>
      </c>
      <c r="BD415" s="270" t="str">
        <f>_xlfn.IFNA(VLOOKUP(CONCATENATE(BD$4,$C415),'INSER DATA'!$A:$F,7,0),"")</f>
        <v/>
      </c>
      <c r="BE415" s="270" t="str">
        <f>_xlfn.IFNA(VLOOKUP(CONCATENATE(BE$4,$C415),'INSER DATA'!$A:$F,7,0),"")</f>
        <v/>
      </c>
      <c r="BF415" s="270" t="str">
        <f>_xlfn.IFNA(VLOOKUP(CONCATENATE(BF$4,$C415),'INSER DATA'!$A:$F,7,0),"")</f>
        <v/>
      </c>
      <c r="BG415" s="270" t="str">
        <f>_xlfn.IFNA(VLOOKUP(CONCATENATE(BG$4,$C415),'INSER DATA'!$A:$F,7,0),"")</f>
        <v/>
      </c>
      <c r="BH415" s="270" t="str">
        <f>_xlfn.IFNA(VLOOKUP(CONCATENATE(BH$4,$C415),'INSER DATA'!$A:$F,7,0),"")</f>
        <v/>
      </c>
      <c r="BI415" s="270" t="str">
        <f>_xlfn.IFNA(VLOOKUP(CONCATENATE(BI$4,$C415),'INSER DATA'!$A:$F,7,0),"")</f>
        <v/>
      </c>
      <c r="BJ415" s="270" t="str">
        <f>_xlfn.IFNA(VLOOKUP(CONCATENATE(BJ$4,$C415),'INSER DATA'!$A:$F,7,0),"")</f>
        <v/>
      </c>
      <c r="BK415" s="270" t="str">
        <f>_xlfn.IFNA(VLOOKUP(CONCATENATE(BK$4,$C415),'INSER DATA'!$A:$F,7,0),"")</f>
        <v/>
      </c>
      <c r="BL415" s="272"/>
      <c r="BM415" s="30"/>
      <c r="BN415" s="30"/>
      <c r="BO415" s="30"/>
      <c r="BP415" s="30"/>
      <c r="BQ415" s="30"/>
      <c r="BR415" s="30"/>
      <c r="BS415" s="30"/>
      <c r="BT415" s="30"/>
      <c r="BU415" s="30"/>
      <c r="BV415" s="30"/>
      <c r="BW415" s="30"/>
      <c r="BX415" s="30"/>
      <c r="BY415" s="30"/>
      <c r="BZ415" s="30"/>
      <c r="CA415" s="30"/>
      <c r="CB415" s="30"/>
      <c r="CC415" s="30"/>
      <c r="CD415" s="30"/>
      <c r="CE415" s="30"/>
      <c r="CF415" s="30"/>
      <c r="CG415" s="30"/>
      <c r="CH415" s="30"/>
      <c r="CI415" s="30"/>
      <c r="CJ415" s="30"/>
      <c r="CK415" s="30"/>
      <c r="CL415" s="30"/>
      <c r="CM415" s="30"/>
      <c r="CN415" s="30"/>
      <c r="CO415" s="30"/>
      <c r="CP415" s="30"/>
      <c r="CQ415" s="30"/>
      <c r="CR415" s="30"/>
      <c r="CS415" s="30"/>
      <c r="CT415" s="30"/>
      <c r="CU415" s="30"/>
      <c r="CV415" s="30"/>
      <c r="CW415" s="30"/>
      <c r="CX415" s="30"/>
      <c r="CY415" s="30"/>
      <c r="CZ415" s="30"/>
      <c r="DA415" s="30"/>
    </row>
    <row r="416" spans="1:105" ht="19.2" thickTop="1" thickBot="1" x14ac:dyDescent="0.4">
      <c r="A416" s="30"/>
      <c r="B416" s="30"/>
      <c r="C416" s="356" t="s">
        <v>930</v>
      </c>
      <c r="D416" s="355" t="s">
        <v>910</v>
      </c>
      <c r="E416" s="35" t="str">
        <f>_xlfn.XLOOKUP(Tabella4[[#This Row],[NOME]],'ROSE SQUADRE'!$N$3:$N$253,'ROSE SQUADRE'!$O$3:$O$253,"")</f>
        <v>PARTIZAN DEGRADO</v>
      </c>
      <c r="F416" s="36" t="s">
        <v>163</v>
      </c>
      <c r="G416" s="43">
        <v>18</v>
      </c>
      <c r="H416" s="43">
        <v>18</v>
      </c>
      <c r="I416" s="44">
        <f t="shared" si="37"/>
        <v>0</v>
      </c>
      <c r="J416" s="37">
        <f t="shared" si="38"/>
        <v>3</v>
      </c>
      <c r="K416" s="178">
        <f t="shared" si="39"/>
        <v>6.333333333333333</v>
      </c>
      <c r="L416" s="178">
        <f t="shared" si="40"/>
        <v>7.666666666666667</v>
      </c>
      <c r="M416" s="179">
        <f t="shared" si="41"/>
        <v>23</v>
      </c>
      <c r="N416" s="45">
        <f t="shared" ca="1" si="42"/>
        <v>0</v>
      </c>
      <c r="O416" s="40">
        <f>SUMIF(Tabella1[Nome],Tabella4[[#This Row],[NOME]],Tabella1[Gf])</f>
        <v>1</v>
      </c>
      <c r="P416" s="40">
        <f>-(SUMIF(Tabella1[Nome],Tabella4[[#This Row],[NOME]],Tabella1[Gs]))</f>
        <v>0</v>
      </c>
      <c r="Q416" s="40">
        <f>SUMIF(Tabella1[Nome],Tabella4[[#This Row],[NOME]],Tabella1[Rp])</f>
        <v>0</v>
      </c>
      <c r="R416" s="40">
        <f>SUMIF(Tabella1[Nome],Tabella4[[#This Row],[NOME]],Tabella1[Rs])</f>
        <v>0</v>
      </c>
      <c r="S416" s="40">
        <f>SUMIF(Tabella1[Nome],Tabella4[[#This Row],[NOME]],Tabella1[Rf])</f>
        <v>0</v>
      </c>
      <c r="T416" s="40">
        <f>SUMIF(Tabella1[Nome],Tabella4[[#This Row],[NOME]],Tabella1[Au])</f>
        <v>0</v>
      </c>
      <c r="U416" s="41">
        <f>SUMIF(Tabella1[Nome],Tabella4[[#This Row],[NOME]],Tabella1[Amm])</f>
        <v>0</v>
      </c>
      <c r="V416" s="42">
        <f>SUMIF(Tabella1[Nome],Tabella4[[#This Row],[NOME]],Tabella1[Esp])</f>
        <v>0</v>
      </c>
      <c r="W416" s="40">
        <f>SUMIF(Tabella1[Nome],Tabella4[[#This Row],[NOME]],Tabella1[Ass])</f>
        <v>0</v>
      </c>
      <c r="X416" s="40">
        <f>SUMIF(Tabella1[Nome],Tabella4[[#This Row],[NOME]],Tabella1[Gdv])</f>
        <v>1</v>
      </c>
      <c r="Y416" s="40">
        <f>SUMIF(Tabella1[Nome],Tabella4[[#This Row],[NOME]],Tabella1[cl sh])</f>
        <v>0</v>
      </c>
      <c r="Z416" s="270" t="str">
        <f>_xlfn.IFNA(_xlfn.XLOOKUP(CONCATENATE(Z$4,$C416),Tabella1[CONC X VOTI IN TAB GIOC],Tabella1[Voto],""),"")</f>
        <v/>
      </c>
      <c r="AA416" s="270">
        <f>_xlfn.IFNA(_xlfn.XLOOKUP(CONCATENATE(AA$4,$C416),Tabella1[CONC X VOTI IN TAB GIOC],Tabella1[Voto],""),"")</f>
        <v>7</v>
      </c>
      <c r="AB416" s="270">
        <f>_xlfn.IFNA(_xlfn.XLOOKUP(CONCATENATE(AB$4,$C416),Tabella1[CONC X VOTI IN TAB GIOC],Tabella1[Voto]),"")</f>
        <v>6.5</v>
      </c>
      <c r="AC416" s="270" cm="1">
        <f t="array" ref="AC416">_xlfn.IFNA(_xlfn.XLOOKUP(CONCATENATE(AC$4,$C416),INDEX(Tabella1[],0,MATCH("CONC X VOTI IN TAB GIOC",Tabella1[#Headers],0)),INDEX(Tabella1[],0,MATCH("Voto",Tabella1[#Headers],0))),"")</f>
        <v>5.5</v>
      </c>
      <c r="AD416" s="270" t="str">
        <f>_xlfn.IFNA(_xlfn.XLOOKUP(CONCATENATE(AD$4,$C416),Tabella1[CONC X VOTI IN TAB GIOC],Tabella1[Voto]),"")</f>
        <v/>
      </c>
      <c r="AE416" s="270" t="str">
        <f>_xlfn.IFNA(VLOOKUP(CONCATENATE(AE$4,$C416),'INSER DATA'!$A:$F,6,0),"")</f>
        <v/>
      </c>
      <c r="AF416" s="270" t="str">
        <f>_xlfn.IFNA(VLOOKUP(CONCATENATE(AF$4,$C416),'INSER DATA'!$A:$F,6,0),"")</f>
        <v/>
      </c>
      <c r="AG416" s="270" t="str">
        <f>_xlfn.IFNA(VLOOKUP(CONCATENATE(AG$4,$C416),'INSER DATA'!$A:$F,6,0),"")</f>
        <v/>
      </c>
      <c r="AH416" s="270" t="str">
        <f>_xlfn.IFNA(VLOOKUP(CONCATENATE(AH$4,$C416),'INSER DATA'!$A:$F,7,0),"")</f>
        <v/>
      </c>
      <c r="AI416" s="270" t="str">
        <f>_xlfn.IFNA(VLOOKUP(CONCATENATE(AI$4,$C416),'INSER DATA'!$A:$F,7,0),"")</f>
        <v/>
      </c>
      <c r="AJ416" s="270" t="str">
        <f>_xlfn.IFNA(VLOOKUP(CONCATENATE(AJ$4,$C416),'INSER DATA'!$A:$F,7,0),"")</f>
        <v/>
      </c>
      <c r="AK416" s="270" t="str">
        <f>_xlfn.IFNA(VLOOKUP(CONCATENATE(AK$4,$C416),'INSER DATA'!$A:$F,7,0),"")</f>
        <v/>
      </c>
      <c r="AL416" s="270" t="str">
        <f>_xlfn.IFNA(VLOOKUP(CONCATENATE(AL$4,$C416),'INSER DATA'!$A:$F,7,0),"")</f>
        <v/>
      </c>
      <c r="AM416" s="270" t="str">
        <f>_xlfn.IFNA(VLOOKUP(CONCATENATE(AM$4,$C416),'INSER DATA'!$A:$F,7,0),"")</f>
        <v/>
      </c>
      <c r="AN416" s="270" t="str">
        <f>_xlfn.IFNA(VLOOKUP(CONCATENATE(AN$4,$C416),'INSER DATA'!$A:$F,7,0),"")</f>
        <v/>
      </c>
      <c r="AO416" s="270" t="str">
        <f>_xlfn.IFNA(VLOOKUP(CONCATENATE(AO$4,$C416),'INSER DATA'!$A:$F,7,0),"")</f>
        <v/>
      </c>
      <c r="AP416" s="270" t="str">
        <f>_xlfn.IFNA(VLOOKUP(CONCATENATE(AP$4,$C416),'INSER DATA'!$A:$F,7,0),"")</f>
        <v/>
      </c>
      <c r="AQ416" s="270" t="str">
        <f>_xlfn.IFNA(VLOOKUP(CONCATENATE(AQ$4,$C416),'INSER DATA'!$A:$F,7,0),"")</f>
        <v/>
      </c>
      <c r="AR416" s="270" t="str">
        <f>_xlfn.IFNA(VLOOKUP(CONCATENATE(AR$4,$C416),'INSER DATA'!$A:$F,7,0),"")</f>
        <v/>
      </c>
      <c r="AS416" s="270" t="str">
        <f>_xlfn.IFNA(VLOOKUP(CONCATENATE(AS$4,$C416),'INSER DATA'!$A:$F,7,0),"")</f>
        <v/>
      </c>
      <c r="AT416" s="270" t="str">
        <f>_xlfn.IFNA(VLOOKUP(CONCATENATE(AT$4,$C416),'INSER DATA'!$A:$F,7,0),"")</f>
        <v/>
      </c>
      <c r="AU416" s="270" t="str">
        <f>_xlfn.IFNA(VLOOKUP(CONCATENATE(AU$4,$C416),'INSER DATA'!$A:$F,7,0),"")</f>
        <v/>
      </c>
      <c r="AV416" s="270" t="str">
        <f>_xlfn.IFNA(VLOOKUP(CONCATENATE(AV$4,$C416),'INSER DATA'!$A:$F,7,0),"")</f>
        <v/>
      </c>
      <c r="AW416" s="270" t="str">
        <f>_xlfn.IFNA(VLOOKUP(CONCATENATE(AW$4,$C416),'INSER DATA'!$A:$F,7,0),"")</f>
        <v/>
      </c>
      <c r="AX416" s="270" t="str">
        <f>_xlfn.IFNA(VLOOKUP(CONCATENATE(AX$4,$C416),'INSER DATA'!$A:$F,7,0),"")</f>
        <v/>
      </c>
      <c r="AY416" s="270" t="str">
        <f>_xlfn.IFNA(VLOOKUP(CONCATENATE(AY$4,$C416),'INSER DATA'!$A:$F,7,0),"")</f>
        <v/>
      </c>
      <c r="AZ416" s="270" t="str">
        <f>_xlfn.IFNA(VLOOKUP(CONCATENATE(AZ$4,$C416),'INSER DATA'!$A:$F,7,0),"")</f>
        <v/>
      </c>
      <c r="BA416" s="270" t="str">
        <f>_xlfn.IFNA(VLOOKUP(CONCATENATE(BA$4,$C416),'INSER DATA'!$A:$F,7,0),"")</f>
        <v/>
      </c>
      <c r="BB416" s="270" t="str">
        <f>_xlfn.IFNA(VLOOKUP(CONCATENATE(BB$4,$C416),'INSER DATA'!$A:$F,7,0),"")</f>
        <v/>
      </c>
      <c r="BC416" s="270" t="str">
        <f>_xlfn.IFNA(VLOOKUP(CONCATENATE(BC$4,$C416),'INSER DATA'!$A:$F,7,0),"")</f>
        <v/>
      </c>
      <c r="BD416" s="270" t="str">
        <f>_xlfn.IFNA(VLOOKUP(CONCATENATE(BD$4,$C416),'INSER DATA'!$A:$F,7,0),"")</f>
        <v/>
      </c>
      <c r="BE416" s="270" t="str">
        <f>_xlfn.IFNA(VLOOKUP(CONCATENATE(BE$4,$C416),'INSER DATA'!$A:$F,7,0),"")</f>
        <v/>
      </c>
      <c r="BF416" s="270" t="str">
        <f>_xlfn.IFNA(VLOOKUP(CONCATENATE(BF$4,$C416),'INSER DATA'!$A:$F,7,0),"")</f>
        <v/>
      </c>
      <c r="BG416" s="270" t="str">
        <f>_xlfn.IFNA(VLOOKUP(CONCATENATE(BG$4,$C416),'INSER DATA'!$A:$F,7,0),"")</f>
        <v/>
      </c>
      <c r="BH416" s="270" t="str">
        <f>_xlfn.IFNA(VLOOKUP(CONCATENATE(BH$4,$C416),'INSER DATA'!$A:$F,7,0),"")</f>
        <v/>
      </c>
      <c r="BI416" s="270" t="str">
        <f>_xlfn.IFNA(VLOOKUP(CONCATENATE(BI$4,$C416),'INSER DATA'!$A:$F,7,0),"")</f>
        <v/>
      </c>
      <c r="BJ416" s="270" t="str">
        <f>_xlfn.IFNA(VLOOKUP(CONCATENATE(BJ$4,$C416),'INSER DATA'!$A:$F,7,0),"")</f>
        <v/>
      </c>
      <c r="BK416" s="270" t="str">
        <f>_xlfn.IFNA(VLOOKUP(CONCATENATE(BK$4,$C416),'INSER DATA'!$A:$F,7,0),"")</f>
        <v/>
      </c>
      <c r="BL416" s="272"/>
      <c r="BM416" s="30"/>
      <c r="BN416" s="30"/>
      <c r="BO416" s="30"/>
      <c r="BP416" s="30"/>
      <c r="BQ416" s="30"/>
      <c r="BR416" s="30"/>
      <c r="BS416" s="30"/>
      <c r="BT416" s="30"/>
      <c r="BU416" s="30"/>
      <c r="BV416" s="30"/>
      <c r="BW416" s="30"/>
      <c r="BX416" s="30"/>
      <c r="BY416" s="30"/>
      <c r="BZ416" s="30"/>
      <c r="CA416" s="30"/>
      <c r="CB416" s="30"/>
      <c r="CC416" s="30"/>
      <c r="CD416" s="30"/>
      <c r="CE416" s="30"/>
      <c r="CF416" s="30"/>
      <c r="CG416" s="30"/>
      <c r="CH416" s="30"/>
      <c r="CI416" s="30"/>
      <c r="CJ416" s="30"/>
      <c r="CK416" s="30"/>
      <c r="CL416" s="30"/>
      <c r="CM416" s="30"/>
      <c r="CN416" s="30"/>
      <c r="CO416" s="30"/>
      <c r="CP416" s="30"/>
      <c r="CQ416" s="30"/>
      <c r="CR416" s="30"/>
      <c r="CS416" s="30"/>
      <c r="CT416" s="30"/>
      <c r="CU416" s="30"/>
      <c r="CV416" s="30"/>
      <c r="CW416" s="30"/>
      <c r="CX416" s="30"/>
      <c r="CY416" s="30"/>
      <c r="CZ416" s="30"/>
      <c r="DA416" s="30"/>
    </row>
    <row r="417" spans="1:105" ht="19.2" thickTop="1" thickBot="1" x14ac:dyDescent="0.4">
      <c r="A417" s="30"/>
      <c r="B417" s="30"/>
      <c r="C417" s="358" t="s">
        <v>929</v>
      </c>
      <c r="D417" s="359" t="s">
        <v>910</v>
      </c>
      <c r="E417" s="35" t="str">
        <f>_xlfn.XLOOKUP(Tabella4[[#This Row],[NOME]],'ROSE SQUADRE'!$N$3:$N$253,'ROSE SQUADRE'!$O$3:$O$253,"")</f>
        <v>TRICCHETRACHT</v>
      </c>
      <c r="F417" s="36" t="s">
        <v>162</v>
      </c>
      <c r="G417" s="43">
        <v>7</v>
      </c>
      <c r="H417" s="43">
        <v>8</v>
      </c>
      <c r="I417" s="44">
        <f t="shared" si="37"/>
        <v>1</v>
      </c>
      <c r="J417" s="37">
        <f t="shared" si="38"/>
        <v>3</v>
      </c>
      <c r="K417" s="178">
        <f t="shared" si="39"/>
        <v>6.666666666666667</v>
      </c>
      <c r="L417" s="178">
        <f t="shared" si="40"/>
        <v>7.5</v>
      </c>
      <c r="M417" s="179">
        <f t="shared" si="41"/>
        <v>22.5</v>
      </c>
      <c r="N417" s="45">
        <f t="shared" ca="1" si="42"/>
        <v>0</v>
      </c>
      <c r="O417" s="40">
        <f>SUMIF(Tabella1[Nome],Tabella4[[#This Row],[NOME]],Tabella1[Gf])</f>
        <v>1</v>
      </c>
      <c r="P417" s="40">
        <f>-(SUMIF(Tabella1[Nome],Tabella4[[#This Row],[NOME]],Tabella1[Gs]))</f>
        <v>0</v>
      </c>
      <c r="Q417" s="40">
        <f>SUMIF(Tabella1[Nome],Tabella4[[#This Row],[NOME]],Tabella1[Rp])</f>
        <v>0</v>
      </c>
      <c r="R417" s="40">
        <f>SUMIF(Tabella1[Nome],Tabella4[[#This Row],[NOME]],Tabella1[Rs])</f>
        <v>0</v>
      </c>
      <c r="S417" s="40">
        <f>SUMIF(Tabella1[Nome],Tabella4[[#This Row],[NOME]],Tabella1[Rf])</f>
        <v>0</v>
      </c>
      <c r="T417" s="40">
        <f>SUMIF(Tabella1[Nome],Tabella4[[#This Row],[NOME]],Tabella1[Au])</f>
        <v>0</v>
      </c>
      <c r="U417" s="41">
        <f>SUMIF(Tabella1[Nome],Tabella4[[#This Row],[NOME]],Tabella1[Amm])</f>
        <v>1</v>
      </c>
      <c r="V417" s="42">
        <f>SUMIF(Tabella1[Nome],Tabella4[[#This Row],[NOME]],Tabella1[Esp])</f>
        <v>0</v>
      </c>
      <c r="W417" s="40">
        <f>SUMIF(Tabella1[Nome],Tabella4[[#This Row],[NOME]],Tabella1[Ass])</f>
        <v>0</v>
      </c>
      <c r="X417" s="40">
        <f>SUMIF(Tabella1[Nome],Tabella4[[#This Row],[NOME]],Tabella1[Gdv])</f>
        <v>0</v>
      </c>
      <c r="Y417" s="40">
        <f>SUMIF(Tabella1[Nome],Tabella4[[#This Row],[NOME]],Tabella1[cl sh])</f>
        <v>0</v>
      </c>
      <c r="Z417" s="270">
        <f>_xlfn.IFNA(_xlfn.XLOOKUP(CONCATENATE(Z$4,$C417),Tabella1[CONC X VOTI IN TAB GIOC],Tabella1[Voto],""),"")</f>
        <v>6.5</v>
      </c>
      <c r="AA417" s="270">
        <f>_xlfn.IFNA(_xlfn.XLOOKUP(CONCATENATE(AA$4,$C417),Tabella1[CONC X VOTI IN TAB GIOC],Tabella1[Voto],""),"")</f>
        <v>7</v>
      </c>
      <c r="AB417" s="270">
        <f>_xlfn.IFNA(_xlfn.XLOOKUP(CONCATENATE(AB$4,$C417),Tabella1[CONC X VOTI IN TAB GIOC],Tabella1[Voto]),"")</f>
        <v>6.5</v>
      </c>
      <c r="AC417" s="270" t="str" cm="1">
        <f t="array" ref="AC417">_xlfn.IFNA(_xlfn.XLOOKUP(CONCATENATE(AC$4,$C417),INDEX(Tabella1[],0,MATCH("CONC X VOTI IN TAB GIOC",Tabella1[#Headers],0)),INDEX(Tabella1[],0,MATCH("Voto",Tabella1[#Headers],0))),"")</f>
        <v/>
      </c>
      <c r="AD417" s="270" t="str">
        <f>_xlfn.IFNA(_xlfn.XLOOKUP(CONCATENATE(AD$4,$C417),Tabella1[CONC X VOTI IN TAB GIOC],Tabella1[Voto]),"")</f>
        <v/>
      </c>
      <c r="AE417" s="270" t="str">
        <f>_xlfn.IFNA(VLOOKUP(CONCATENATE(AE$4,$C417),'INSER DATA'!$A:$F,6,0),"")</f>
        <v/>
      </c>
      <c r="AF417" s="270" t="str">
        <f>_xlfn.IFNA(VLOOKUP(CONCATENATE(AF$4,$C417),'INSER DATA'!$A:$F,6,0),"")</f>
        <v/>
      </c>
      <c r="AG417" s="270" t="str">
        <f>_xlfn.IFNA(VLOOKUP(CONCATENATE(AG$4,$C417),'INSER DATA'!$A:$F,6,0),"")</f>
        <v/>
      </c>
      <c r="AH417" s="270" t="str">
        <f>_xlfn.IFNA(VLOOKUP(CONCATENATE(AH$4,$C417),'INSER DATA'!$A:$F,7,0),"")</f>
        <v/>
      </c>
      <c r="AI417" s="270" t="str">
        <f>_xlfn.IFNA(VLOOKUP(CONCATENATE(AI$4,$C417),'INSER DATA'!$A:$F,7,0),"")</f>
        <v/>
      </c>
      <c r="AJ417" s="270" t="str">
        <f>_xlfn.IFNA(VLOOKUP(CONCATENATE(AJ$4,$C417),'INSER DATA'!$A:$F,7,0),"")</f>
        <v/>
      </c>
      <c r="AK417" s="270" t="str">
        <f>_xlfn.IFNA(VLOOKUP(CONCATENATE(AK$4,$C417),'INSER DATA'!$A:$F,7,0),"")</f>
        <v/>
      </c>
      <c r="AL417" s="270" t="str">
        <f>_xlfn.IFNA(VLOOKUP(CONCATENATE(AL$4,$C417),'INSER DATA'!$A:$F,7,0),"")</f>
        <v/>
      </c>
      <c r="AM417" s="270" t="str">
        <f>_xlfn.IFNA(VLOOKUP(CONCATENATE(AM$4,$C417),'INSER DATA'!$A:$F,7,0),"")</f>
        <v/>
      </c>
      <c r="AN417" s="270" t="str">
        <f>_xlfn.IFNA(VLOOKUP(CONCATENATE(AN$4,$C417),'INSER DATA'!$A:$F,7,0),"")</f>
        <v/>
      </c>
      <c r="AO417" s="270" t="str">
        <f>_xlfn.IFNA(VLOOKUP(CONCATENATE(AO$4,$C417),'INSER DATA'!$A:$F,7,0),"")</f>
        <v/>
      </c>
      <c r="AP417" s="270" t="str">
        <f>_xlfn.IFNA(VLOOKUP(CONCATENATE(AP$4,$C417),'INSER DATA'!$A:$F,7,0),"")</f>
        <v/>
      </c>
      <c r="AQ417" s="270" t="str">
        <f>_xlfn.IFNA(VLOOKUP(CONCATENATE(AQ$4,$C417),'INSER DATA'!$A:$F,7,0),"")</f>
        <v/>
      </c>
      <c r="AR417" s="270" t="str">
        <f>_xlfn.IFNA(VLOOKUP(CONCATENATE(AR$4,$C417),'INSER DATA'!$A:$F,7,0),"")</f>
        <v/>
      </c>
      <c r="AS417" s="270" t="str">
        <f>_xlfn.IFNA(VLOOKUP(CONCATENATE(AS$4,$C417),'INSER DATA'!$A:$F,7,0),"")</f>
        <v/>
      </c>
      <c r="AT417" s="270" t="str">
        <f>_xlfn.IFNA(VLOOKUP(CONCATENATE(AT$4,$C417),'INSER DATA'!$A:$F,7,0),"")</f>
        <v/>
      </c>
      <c r="AU417" s="270" t="str">
        <f>_xlfn.IFNA(VLOOKUP(CONCATENATE(AU$4,$C417),'INSER DATA'!$A:$F,7,0),"")</f>
        <v/>
      </c>
      <c r="AV417" s="270" t="str">
        <f>_xlfn.IFNA(VLOOKUP(CONCATENATE(AV$4,$C417),'INSER DATA'!$A:$F,7,0),"")</f>
        <v/>
      </c>
      <c r="AW417" s="270" t="str">
        <f>_xlfn.IFNA(VLOOKUP(CONCATENATE(AW$4,$C417),'INSER DATA'!$A:$F,7,0),"")</f>
        <v/>
      </c>
      <c r="AX417" s="270" t="str">
        <f>_xlfn.IFNA(VLOOKUP(CONCATENATE(AX$4,$C417),'INSER DATA'!$A:$F,7,0),"")</f>
        <v/>
      </c>
      <c r="AY417" s="270" t="str">
        <f>_xlfn.IFNA(VLOOKUP(CONCATENATE(AY$4,$C417),'INSER DATA'!$A:$F,7,0),"")</f>
        <v/>
      </c>
      <c r="AZ417" s="270" t="str">
        <f>_xlfn.IFNA(VLOOKUP(CONCATENATE(AZ$4,$C417),'INSER DATA'!$A:$F,7,0),"")</f>
        <v/>
      </c>
      <c r="BA417" s="270" t="str">
        <f>_xlfn.IFNA(VLOOKUP(CONCATENATE(BA$4,$C417),'INSER DATA'!$A:$F,7,0),"")</f>
        <v/>
      </c>
      <c r="BB417" s="270" t="str">
        <f>_xlfn.IFNA(VLOOKUP(CONCATENATE(BB$4,$C417),'INSER DATA'!$A:$F,7,0),"")</f>
        <v/>
      </c>
      <c r="BC417" s="270" t="str">
        <f>_xlfn.IFNA(VLOOKUP(CONCATENATE(BC$4,$C417),'INSER DATA'!$A:$F,7,0),"")</f>
        <v/>
      </c>
      <c r="BD417" s="270" t="str">
        <f>_xlfn.IFNA(VLOOKUP(CONCATENATE(BD$4,$C417),'INSER DATA'!$A:$F,7,0),"")</f>
        <v/>
      </c>
      <c r="BE417" s="270" t="str">
        <f>_xlfn.IFNA(VLOOKUP(CONCATENATE(BE$4,$C417),'INSER DATA'!$A:$F,7,0),"")</f>
        <v/>
      </c>
      <c r="BF417" s="270" t="str">
        <f>_xlfn.IFNA(VLOOKUP(CONCATENATE(BF$4,$C417),'INSER DATA'!$A:$F,7,0),"")</f>
        <v/>
      </c>
      <c r="BG417" s="270" t="str">
        <f>_xlfn.IFNA(VLOOKUP(CONCATENATE(BG$4,$C417),'INSER DATA'!$A:$F,7,0),"")</f>
        <v/>
      </c>
      <c r="BH417" s="270" t="str">
        <f>_xlfn.IFNA(VLOOKUP(CONCATENATE(BH$4,$C417),'INSER DATA'!$A:$F,7,0),"")</f>
        <v/>
      </c>
      <c r="BI417" s="270" t="str">
        <f>_xlfn.IFNA(VLOOKUP(CONCATENATE(BI$4,$C417),'INSER DATA'!$A:$F,7,0),"")</f>
        <v/>
      </c>
      <c r="BJ417" s="270" t="str">
        <f>_xlfn.IFNA(VLOOKUP(CONCATENATE(BJ$4,$C417),'INSER DATA'!$A:$F,7,0),"")</f>
        <v/>
      </c>
      <c r="BK417" s="270" t="str">
        <f>_xlfn.IFNA(VLOOKUP(CONCATENATE(BK$4,$C417),'INSER DATA'!$A:$F,7,0),"")</f>
        <v/>
      </c>
      <c r="BL417" s="272"/>
      <c r="BM417" s="30"/>
      <c r="BN417" s="30"/>
      <c r="BO417" s="30"/>
      <c r="BP417" s="30"/>
      <c r="BQ417" s="30"/>
      <c r="BR417" s="30"/>
      <c r="BS417" s="30"/>
      <c r="BT417" s="30"/>
      <c r="BU417" s="30"/>
      <c r="BV417" s="30"/>
      <c r="BW417" s="30"/>
      <c r="BX417" s="30"/>
      <c r="BY417" s="30"/>
      <c r="BZ417" s="30"/>
      <c r="CA417" s="30"/>
      <c r="CB417" s="30"/>
      <c r="CC417" s="30"/>
      <c r="CD417" s="30"/>
      <c r="CE417" s="30"/>
      <c r="CF417" s="30"/>
      <c r="CG417" s="30"/>
      <c r="CH417" s="30"/>
      <c r="CI417" s="30"/>
      <c r="CJ417" s="30"/>
      <c r="CK417" s="30"/>
      <c r="CL417" s="30"/>
      <c r="CM417" s="30"/>
      <c r="CN417" s="30"/>
      <c r="CO417" s="30"/>
      <c r="CP417" s="30"/>
      <c r="CQ417" s="30"/>
      <c r="CR417" s="30"/>
      <c r="CS417" s="30"/>
      <c r="CT417" s="30"/>
      <c r="CU417" s="30"/>
      <c r="CV417" s="30"/>
      <c r="CW417" s="30"/>
      <c r="CX417" s="30"/>
      <c r="CY417" s="30"/>
      <c r="CZ417" s="30"/>
      <c r="DA417" s="30"/>
    </row>
    <row r="418" spans="1:105" ht="19.2" thickTop="1" thickBot="1" x14ac:dyDescent="0.4">
      <c r="A418" s="30"/>
      <c r="B418" s="30"/>
      <c r="C418" s="354" t="s">
        <v>909</v>
      </c>
      <c r="D418" s="357" t="s">
        <v>910</v>
      </c>
      <c r="E418" s="35" t="str">
        <f>_xlfn.XLOOKUP(Tabella4[[#This Row],[NOME]],'ROSE SQUADRE'!$N$3:$N$253,'ROSE SQUADRE'!$O$3:$O$253,"")</f>
        <v>AC ASPARAGHESE</v>
      </c>
      <c r="F418" s="36" t="s">
        <v>5</v>
      </c>
      <c r="G418" s="43">
        <v>7</v>
      </c>
      <c r="H418" s="43">
        <v>7</v>
      </c>
      <c r="I418" s="44">
        <f t="shared" si="37"/>
        <v>0</v>
      </c>
      <c r="J418" s="37">
        <f t="shared" si="38"/>
        <v>4</v>
      </c>
      <c r="K418" s="178">
        <f t="shared" si="39"/>
        <v>5.875</v>
      </c>
      <c r="L418" s="178">
        <f t="shared" si="40"/>
        <v>4.125</v>
      </c>
      <c r="M418" s="179">
        <f t="shared" si="41"/>
        <v>16.5</v>
      </c>
      <c r="N418" s="45">
        <f t="shared" ca="1" si="42"/>
        <v>0</v>
      </c>
      <c r="O418" s="40">
        <f>SUMIF(Tabella1[Nome],Tabella4[[#This Row],[NOME]],Tabella1[Gf])</f>
        <v>0</v>
      </c>
      <c r="P418" s="40">
        <f>-(SUMIF(Tabella1[Nome],Tabella4[[#This Row],[NOME]],Tabella1[Gs]))</f>
        <v>-7</v>
      </c>
      <c r="Q418" s="40">
        <f>SUMIF(Tabella1[Nome],Tabella4[[#This Row],[NOME]],Tabella1[Rp])</f>
        <v>0</v>
      </c>
      <c r="R418" s="40">
        <f>SUMIF(Tabella1[Nome],Tabella4[[#This Row],[NOME]],Tabella1[Rs])</f>
        <v>0</v>
      </c>
      <c r="S418" s="40">
        <f>SUMIF(Tabella1[Nome],Tabella4[[#This Row],[NOME]],Tabella1[Rf])</f>
        <v>0</v>
      </c>
      <c r="T418" s="40">
        <f>SUMIF(Tabella1[Nome],Tabella4[[#This Row],[NOME]],Tabella1[Au])</f>
        <v>0</v>
      </c>
      <c r="U418" s="41">
        <f>SUMIF(Tabella1[Nome],Tabella4[[#This Row],[NOME]],Tabella1[Amm])</f>
        <v>0</v>
      </c>
      <c r="V418" s="42">
        <f>SUMIF(Tabella1[Nome],Tabella4[[#This Row],[NOME]],Tabella1[Esp])</f>
        <v>0</v>
      </c>
      <c r="W418" s="40">
        <f>SUMIF(Tabella1[Nome],Tabella4[[#This Row],[NOME]],Tabella1[Ass])</f>
        <v>0</v>
      </c>
      <c r="X418" s="40">
        <f>SUMIF(Tabella1[Nome],Tabella4[[#This Row],[NOME]],Tabella1[Gdv])</f>
        <v>0</v>
      </c>
      <c r="Y418" s="40">
        <f>SUMIF(Tabella1[Nome],Tabella4[[#This Row],[NOME]],Tabella1[cl sh])</f>
        <v>0</v>
      </c>
      <c r="Z418" s="270">
        <f>_xlfn.IFNA(_xlfn.XLOOKUP(CONCATENATE(Z$4,$C418),Tabella1[CONC X VOTI IN TAB GIOC],Tabella1[Voto],""),"")</f>
        <v>6</v>
      </c>
      <c r="AA418" s="270">
        <f>_xlfn.IFNA(_xlfn.XLOOKUP(CONCATENATE(AA$4,$C418),Tabella1[CONC X VOTI IN TAB GIOC],Tabella1[Voto],""),"")</f>
        <v>6.5</v>
      </c>
      <c r="AB418" s="270">
        <f>_xlfn.IFNA(_xlfn.XLOOKUP(CONCATENATE(AB$4,$C418),Tabella1[CONC X VOTI IN TAB GIOC],Tabella1[Voto]),"")</f>
        <v>5.5</v>
      </c>
      <c r="AC418" s="270" cm="1">
        <f t="array" ref="AC418">_xlfn.IFNA(_xlfn.XLOOKUP(CONCATENATE(AC$4,$C418),INDEX(Tabella1[],0,MATCH("CONC X VOTI IN TAB GIOC",Tabella1[#Headers],0)),INDEX(Tabella1[],0,MATCH("Voto",Tabella1[#Headers],0))),"")</f>
        <v>5.5</v>
      </c>
      <c r="AD418" s="270" t="str">
        <f>_xlfn.IFNA(_xlfn.XLOOKUP(CONCATENATE(AD$4,$C418),Tabella1[CONC X VOTI IN TAB GIOC],Tabella1[Voto]),"")</f>
        <v/>
      </c>
      <c r="AE418" s="270" t="str">
        <f>_xlfn.IFNA(VLOOKUP(CONCATENATE(AE$4,$C418),'INSER DATA'!$A:$F,6,0),"")</f>
        <v/>
      </c>
      <c r="AF418" s="270" t="str">
        <f>_xlfn.IFNA(VLOOKUP(CONCATENATE(AF$4,$C418),'INSER DATA'!$A:$F,6,0),"")</f>
        <v/>
      </c>
      <c r="AG418" s="270" t="str">
        <f>_xlfn.IFNA(VLOOKUP(CONCATENATE(AG$4,$C418),'INSER DATA'!$A:$F,6,0),"")</f>
        <v/>
      </c>
      <c r="AH418" s="270" t="str">
        <f>_xlfn.IFNA(VLOOKUP(CONCATENATE(AH$4,$C418),'INSER DATA'!$A:$F,7,0),"")</f>
        <v/>
      </c>
      <c r="AI418" s="270" t="str">
        <f>_xlfn.IFNA(VLOOKUP(CONCATENATE(AI$4,$C418),'INSER DATA'!$A:$F,7,0),"")</f>
        <v/>
      </c>
      <c r="AJ418" s="270" t="str">
        <f>_xlfn.IFNA(VLOOKUP(CONCATENATE(AJ$4,$C418),'INSER DATA'!$A:$F,7,0),"")</f>
        <v/>
      </c>
      <c r="AK418" s="270" t="str">
        <f>_xlfn.IFNA(VLOOKUP(CONCATENATE(AK$4,$C418),'INSER DATA'!$A:$F,7,0),"")</f>
        <v/>
      </c>
      <c r="AL418" s="270" t="str">
        <f>_xlfn.IFNA(VLOOKUP(CONCATENATE(AL$4,$C418),'INSER DATA'!$A:$F,7,0),"")</f>
        <v/>
      </c>
      <c r="AM418" s="270" t="str">
        <f>_xlfn.IFNA(VLOOKUP(CONCATENATE(AM$4,$C418),'INSER DATA'!$A:$F,7,0),"")</f>
        <v/>
      </c>
      <c r="AN418" s="270" t="str">
        <f>_xlfn.IFNA(VLOOKUP(CONCATENATE(AN$4,$C418),'INSER DATA'!$A:$F,7,0),"")</f>
        <v/>
      </c>
      <c r="AO418" s="270" t="str">
        <f>_xlfn.IFNA(VLOOKUP(CONCATENATE(AO$4,$C418),'INSER DATA'!$A:$F,7,0),"")</f>
        <v/>
      </c>
      <c r="AP418" s="270" t="str">
        <f>_xlfn.IFNA(VLOOKUP(CONCATENATE(AP$4,$C418),'INSER DATA'!$A:$F,7,0),"")</f>
        <v/>
      </c>
      <c r="AQ418" s="270" t="str">
        <f>_xlfn.IFNA(VLOOKUP(CONCATENATE(AQ$4,$C418),'INSER DATA'!$A:$F,7,0),"")</f>
        <v/>
      </c>
      <c r="AR418" s="270" t="str">
        <f>_xlfn.IFNA(VLOOKUP(CONCATENATE(AR$4,$C418),'INSER DATA'!$A:$F,7,0),"")</f>
        <v/>
      </c>
      <c r="AS418" s="270" t="str">
        <f>_xlfn.IFNA(VLOOKUP(CONCATENATE(AS$4,$C418),'INSER DATA'!$A:$F,7,0),"")</f>
        <v/>
      </c>
      <c r="AT418" s="270" t="str">
        <f>_xlfn.IFNA(VLOOKUP(CONCATENATE(AT$4,$C418),'INSER DATA'!$A:$F,7,0),"")</f>
        <v/>
      </c>
      <c r="AU418" s="270" t="str">
        <f>_xlfn.IFNA(VLOOKUP(CONCATENATE(AU$4,$C418),'INSER DATA'!$A:$F,7,0),"")</f>
        <v/>
      </c>
      <c r="AV418" s="270" t="str">
        <f>_xlfn.IFNA(VLOOKUP(CONCATENATE(AV$4,$C418),'INSER DATA'!$A:$F,7,0),"")</f>
        <v/>
      </c>
      <c r="AW418" s="270" t="str">
        <f>_xlfn.IFNA(VLOOKUP(CONCATENATE(AW$4,$C418),'INSER DATA'!$A:$F,7,0),"")</f>
        <v/>
      </c>
      <c r="AX418" s="270" t="str">
        <f>_xlfn.IFNA(VLOOKUP(CONCATENATE(AX$4,$C418),'INSER DATA'!$A:$F,7,0),"")</f>
        <v/>
      </c>
      <c r="AY418" s="270" t="str">
        <f>_xlfn.IFNA(VLOOKUP(CONCATENATE(AY$4,$C418),'INSER DATA'!$A:$F,7,0),"")</f>
        <v/>
      </c>
      <c r="AZ418" s="270" t="str">
        <f>_xlfn.IFNA(VLOOKUP(CONCATENATE(AZ$4,$C418),'INSER DATA'!$A:$F,7,0),"")</f>
        <v/>
      </c>
      <c r="BA418" s="270" t="str">
        <f>_xlfn.IFNA(VLOOKUP(CONCATENATE(BA$4,$C418),'INSER DATA'!$A:$F,7,0),"")</f>
        <v/>
      </c>
      <c r="BB418" s="270" t="str">
        <f>_xlfn.IFNA(VLOOKUP(CONCATENATE(BB$4,$C418),'INSER DATA'!$A:$F,7,0),"")</f>
        <v/>
      </c>
      <c r="BC418" s="270" t="str">
        <f>_xlfn.IFNA(VLOOKUP(CONCATENATE(BC$4,$C418),'INSER DATA'!$A:$F,7,0),"")</f>
        <v/>
      </c>
      <c r="BD418" s="270" t="str">
        <f>_xlfn.IFNA(VLOOKUP(CONCATENATE(BD$4,$C418),'INSER DATA'!$A:$F,7,0),"")</f>
        <v/>
      </c>
      <c r="BE418" s="270" t="str">
        <f>_xlfn.IFNA(VLOOKUP(CONCATENATE(BE$4,$C418),'INSER DATA'!$A:$F,7,0),"")</f>
        <v/>
      </c>
      <c r="BF418" s="270" t="str">
        <f>_xlfn.IFNA(VLOOKUP(CONCATENATE(BF$4,$C418),'INSER DATA'!$A:$F,7,0),"")</f>
        <v/>
      </c>
      <c r="BG418" s="270" t="str">
        <f>_xlfn.IFNA(VLOOKUP(CONCATENATE(BG$4,$C418),'INSER DATA'!$A:$F,7,0),"")</f>
        <v/>
      </c>
      <c r="BH418" s="270" t="str">
        <f>_xlfn.IFNA(VLOOKUP(CONCATENATE(BH$4,$C418),'INSER DATA'!$A:$F,7,0),"")</f>
        <v/>
      </c>
      <c r="BI418" s="270" t="str">
        <f>_xlfn.IFNA(VLOOKUP(CONCATENATE(BI$4,$C418),'INSER DATA'!$A:$F,7,0),"")</f>
        <v/>
      </c>
      <c r="BJ418" s="270" t="str">
        <f>_xlfn.IFNA(VLOOKUP(CONCATENATE(BJ$4,$C418),'INSER DATA'!$A:$F,7,0),"")</f>
        <v/>
      </c>
      <c r="BK418" s="270" t="str">
        <f>_xlfn.IFNA(VLOOKUP(CONCATENATE(BK$4,$C418),'INSER DATA'!$A:$F,7,0),"")</f>
        <v/>
      </c>
      <c r="BL418" s="272"/>
      <c r="BM418" s="30"/>
      <c r="BN418" s="30"/>
      <c r="BO418" s="30"/>
      <c r="BP418" s="30"/>
      <c r="BQ418" s="30"/>
      <c r="BR418" s="30"/>
      <c r="BS418" s="30"/>
      <c r="BT418" s="30"/>
      <c r="BU418" s="30"/>
      <c r="BV418" s="30"/>
      <c r="BW418" s="30"/>
      <c r="BX418" s="30"/>
      <c r="BY418" s="30"/>
      <c r="BZ418" s="30"/>
      <c r="CA418" s="30"/>
      <c r="CB418" s="30"/>
      <c r="CC418" s="30"/>
      <c r="CD418" s="30"/>
      <c r="CE418" s="30"/>
      <c r="CF418" s="30"/>
      <c r="CG418" s="30"/>
      <c r="CH418" s="30"/>
      <c r="CI418" s="30"/>
      <c r="CJ418" s="30"/>
      <c r="CK418" s="30"/>
      <c r="CL418" s="30"/>
      <c r="CM418" s="30"/>
      <c r="CN418" s="30"/>
      <c r="CO418" s="30"/>
      <c r="CP418" s="30"/>
      <c r="CQ418" s="30"/>
      <c r="CR418" s="30"/>
      <c r="CS418" s="30"/>
      <c r="CT418" s="30"/>
      <c r="CU418" s="30"/>
      <c r="CV418" s="30"/>
      <c r="CW418" s="30"/>
      <c r="CX418" s="30"/>
      <c r="CY418" s="30"/>
      <c r="CZ418" s="30"/>
      <c r="DA418" s="30"/>
    </row>
    <row r="419" spans="1:105" ht="19.2" thickTop="1" thickBot="1" x14ac:dyDescent="0.4">
      <c r="A419" s="30"/>
      <c r="B419" s="30"/>
      <c r="C419" s="185" t="s">
        <v>927</v>
      </c>
      <c r="D419" s="46" t="s">
        <v>910</v>
      </c>
      <c r="E419" s="35" t="str">
        <f>_xlfn.XLOOKUP(Tabella4[[#This Row],[NOME]],'ROSE SQUADRE'!$N$3:$N$253,'ROSE SQUADRE'!$O$3:$O$253,"")</f>
        <v/>
      </c>
      <c r="F419" s="36" t="s">
        <v>162</v>
      </c>
      <c r="G419" s="43">
        <v>5</v>
      </c>
      <c r="H419" s="43">
        <v>6</v>
      </c>
      <c r="I419" s="44">
        <f t="shared" si="37"/>
        <v>1</v>
      </c>
      <c r="J419" s="37">
        <f t="shared" si="38"/>
        <v>4</v>
      </c>
      <c r="K419" s="178">
        <f t="shared" si="39"/>
        <v>6.625</v>
      </c>
      <c r="L419" s="178">
        <f t="shared" si="40"/>
        <v>6.75</v>
      </c>
      <c r="M419" s="179">
        <f t="shared" si="41"/>
        <v>27</v>
      </c>
      <c r="N419" s="45">
        <f t="shared" ca="1" si="42"/>
        <v>0</v>
      </c>
      <c r="O419" s="40">
        <f>SUMIF(Tabella1[Nome],Tabella4[[#This Row],[NOME]],Tabella1[Gf])</f>
        <v>0</v>
      </c>
      <c r="P419" s="40">
        <f>-(SUMIF(Tabella1[Nome],Tabella4[[#This Row],[NOME]],Tabella1[Gs]))</f>
        <v>0</v>
      </c>
      <c r="Q419" s="40">
        <f>SUMIF(Tabella1[Nome],Tabella4[[#This Row],[NOME]],Tabella1[Rp])</f>
        <v>0</v>
      </c>
      <c r="R419" s="40">
        <f>SUMIF(Tabella1[Nome],Tabella4[[#This Row],[NOME]],Tabella1[Rs])</f>
        <v>0</v>
      </c>
      <c r="S419" s="40">
        <f>SUMIF(Tabella1[Nome],Tabella4[[#This Row],[NOME]],Tabella1[Rf])</f>
        <v>0</v>
      </c>
      <c r="T419" s="40">
        <f>SUMIF(Tabella1[Nome],Tabella4[[#This Row],[NOME]],Tabella1[Au])</f>
        <v>0</v>
      </c>
      <c r="U419" s="41">
        <f>SUMIF(Tabella1[Nome],Tabella4[[#This Row],[NOME]],Tabella1[Amm])</f>
        <v>1</v>
      </c>
      <c r="V419" s="42">
        <f>SUMIF(Tabella1[Nome],Tabella4[[#This Row],[NOME]],Tabella1[Esp])</f>
        <v>0</v>
      </c>
      <c r="W419" s="40">
        <f>SUMIF(Tabella1[Nome],Tabella4[[#This Row],[NOME]],Tabella1[Ass])</f>
        <v>1</v>
      </c>
      <c r="X419" s="40">
        <f>SUMIF(Tabella1[Nome],Tabella4[[#This Row],[NOME]],Tabella1[Gdv])</f>
        <v>0</v>
      </c>
      <c r="Y419" s="40">
        <f>SUMIF(Tabella1[Nome],Tabella4[[#This Row],[NOME]],Tabella1[cl sh])</f>
        <v>0</v>
      </c>
      <c r="Z419" s="270">
        <f>_xlfn.IFNA(_xlfn.XLOOKUP(CONCATENATE(Z$4,$C419),Tabella1[CONC X VOTI IN TAB GIOC],Tabella1[Voto],""),"")</f>
        <v>6.5</v>
      </c>
      <c r="AA419" s="270">
        <f>_xlfn.IFNA(_xlfn.XLOOKUP(CONCATENATE(AA$4,$C419),Tabella1[CONC X VOTI IN TAB GIOC],Tabella1[Voto],""),"")</f>
        <v>6</v>
      </c>
      <c r="AB419" s="270">
        <f>_xlfn.IFNA(_xlfn.XLOOKUP(CONCATENATE(AB$4,$C419),Tabella1[CONC X VOTI IN TAB GIOC],Tabella1[Voto]),"")</f>
        <v>6.5</v>
      </c>
      <c r="AC419" s="270" cm="1">
        <f t="array" ref="AC419">_xlfn.IFNA(_xlfn.XLOOKUP(CONCATENATE(AC$4,$C419),INDEX(Tabella1[],0,MATCH("CONC X VOTI IN TAB GIOC",Tabella1[#Headers],0)),INDEX(Tabella1[],0,MATCH("Voto",Tabella1[#Headers],0))),"")</f>
        <v>7.5</v>
      </c>
      <c r="AD419" s="270" t="str">
        <f>_xlfn.IFNA(_xlfn.XLOOKUP(CONCATENATE(AD$4,$C419),Tabella1[CONC X VOTI IN TAB GIOC],Tabella1[Voto]),"")</f>
        <v/>
      </c>
      <c r="AE419" s="270" t="str">
        <f>_xlfn.IFNA(VLOOKUP(CONCATENATE(AE$4,$C419),'INSER DATA'!$A:$F,6,0),"")</f>
        <v/>
      </c>
      <c r="AF419" s="270" t="str">
        <f>_xlfn.IFNA(VLOOKUP(CONCATENATE(AF$4,$C419),'INSER DATA'!$A:$F,6,0),"")</f>
        <v/>
      </c>
      <c r="AG419" s="270" t="str">
        <f>_xlfn.IFNA(VLOOKUP(CONCATENATE(AG$4,$C419),'INSER DATA'!$A:$F,6,0),"")</f>
        <v/>
      </c>
      <c r="AH419" s="270" t="str">
        <f>_xlfn.IFNA(VLOOKUP(CONCATENATE(AH$4,$C419),'INSER DATA'!$A:$F,7,0),"")</f>
        <v/>
      </c>
      <c r="AI419" s="270" t="str">
        <f>_xlfn.IFNA(VLOOKUP(CONCATENATE(AI$4,$C419),'INSER DATA'!$A:$F,7,0),"")</f>
        <v/>
      </c>
      <c r="AJ419" s="270" t="str">
        <f>_xlfn.IFNA(VLOOKUP(CONCATENATE(AJ$4,$C419),'INSER DATA'!$A:$F,7,0),"")</f>
        <v/>
      </c>
      <c r="AK419" s="270" t="str">
        <f>_xlfn.IFNA(VLOOKUP(CONCATENATE(AK$4,$C419),'INSER DATA'!$A:$F,7,0),"")</f>
        <v/>
      </c>
      <c r="AL419" s="270" t="str">
        <f>_xlfn.IFNA(VLOOKUP(CONCATENATE(AL$4,$C419),'INSER DATA'!$A:$F,7,0),"")</f>
        <v/>
      </c>
      <c r="AM419" s="270" t="str">
        <f>_xlfn.IFNA(VLOOKUP(CONCATENATE(AM$4,$C419),'INSER DATA'!$A:$F,7,0),"")</f>
        <v/>
      </c>
      <c r="AN419" s="270" t="str">
        <f>_xlfn.IFNA(VLOOKUP(CONCATENATE(AN$4,$C419),'INSER DATA'!$A:$F,7,0),"")</f>
        <v/>
      </c>
      <c r="AO419" s="270" t="str">
        <f>_xlfn.IFNA(VLOOKUP(CONCATENATE(AO$4,$C419),'INSER DATA'!$A:$F,7,0),"")</f>
        <v/>
      </c>
      <c r="AP419" s="270" t="str">
        <f>_xlfn.IFNA(VLOOKUP(CONCATENATE(AP$4,$C419),'INSER DATA'!$A:$F,7,0),"")</f>
        <v/>
      </c>
      <c r="AQ419" s="270" t="str">
        <f>_xlfn.IFNA(VLOOKUP(CONCATENATE(AQ$4,$C419),'INSER DATA'!$A:$F,7,0),"")</f>
        <v/>
      </c>
      <c r="AR419" s="270" t="str">
        <f>_xlfn.IFNA(VLOOKUP(CONCATENATE(AR$4,$C419),'INSER DATA'!$A:$F,7,0),"")</f>
        <v/>
      </c>
      <c r="AS419" s="270" t="str">
        <f>_xlfn.IFNA(VLOOKUP(CONCATENATE(AS$4,$C419),'INSER DATA'!$A:$F,7,0),"")</f>
        <v/>
      </c>
      <c r="AT419" s="270" t="str">
        <f>_xlfn.IFNA(VLOOKUP(CONCATENATE(AT$4,$C419),'INSER DATA'!$A:$F,7,0),"")</f>
        <v/>
      </c>
      <c r="AU419" s="270" t="str">
        <f>_xlfn.IFNA(VLOOKUP(CONCATENATE(AU$4,$C419),'INSER DATA'!$A:$F,7,0),"")</f>
        <v/>
      </c>
      <c r="AV419" s="270" t="str">
        <f>_xlfn.IFNA(VLOOKUP(CONCATENATE(AV$4,$C419),'INSER DATA'!$A:$F,7,0),"")</f>
        <v/>
      </c>
      <c r="AW419" s="270" t="str">
        <f>_xlfn.IFNA(VLOOKUP(CONCATENATE(AW$4,$C419),'INSER DATA'!$A:$F,7,0),"")</f>
        <v/>
      </c>
      <c r="AX419" s="270" t="str">
        <f>_xlfn.IFNA(VLOOKUP(CONCATENATE(AX$4,$C419),'INSER DATA'!$A:$F,7,0),"")</f>
        <v/>
      </c>
      <c r="AY419" s="270" t="str">
        <f>_xlfn.IFNA(VLOOKUP(CONCATENATE(AY$4,$C419),'INSER DATA'!$A:$F,7,0),"")</f>
        <v/>
      </c>
      <c r="AZ419" s="270" t="str">
        <f>_xlfn.IFNA(VLOOKUP(CONCATENATE(AZ$4,$C419),'INSER DATA'!$A:$F,7,0),"")</f>
        <v/>
      </c>
      <c r="BA419" s="270" t="str">
        <f>_xlfn.IFNA(VLOOKUP(CONCATENATE(BA$4,$C419),'INSER DATA'!$A:$F,7,0),"")</f>
        <v/>
      </c>
      <c r="BB419" s="270" t="str">
        <f>_xlfn.IFNA(VLOOKUP(CONCATENATE(BB$4,$C419),'INSER DATA'!$A:$F,7,0),"")</f>
        <v/>
      </c>
      <c r="BC419" s="270" t="str">
        <f>_xlfn.IFNA(VLOOKUP(CONCATENATE(BC$4,$C419),'INSER DATA'!$A:$F,7,0),"")</f>
        <v/>
      </c>
      <c r="BD419" s="270" t="str">
        <f>_xlfn.IFNA(VLOOKUP(CONCATENATE(BD$4,$C419),'INSER DATA'!$A:$F,7,0),"")</f>
        <v/>
      </c>
      <c r="BE419" s="270" t="str">
        <f>_xlfn.IFNA(VLOOKUP(CONCATENATE(BE$4,$C419),'INSER DATA'!$A:$F,7,0),"")</f>
        <v/>
      </c>
      <c r="BF419" s="270" t="str">
        <f>_xlfn.IFNA(VLOOKUP(CONCATENATE(BF$4,$C419),'INSER DATA'!$A:$F,7,0),"")</f>
        <v/>
      </c>
      <c r="BG419" s="270" t="str">
        <f>_xlfn.IFNA(VLOOKUP(CONCATENATE(BG$4,$C419),'INSER DATA'!$A:$F,7,0),"")</f>
        <v/>
      </c>
      <c r="BH419" s="270" t="str">
        <f>_xlfn.IFNA(VLOOKUP(CONCATENATE(BH$4,$C419),'INSER DATA'!$A:$F,7,0),"")</f>
        <v/>
      </c>
      <c r="BI419" s="270" t="str">
        <f>_xlfn.IFNA(VLOOKUP(CONCATENATE(BI$4,$C419),'INSER DATA'!$A:$F,7,0),"")</f>
        <v/>
      </c>
      <c r="BJ419" s="270" t="str">
        <f>_xlfn.IFNA(VLOOKUP(CONCATENATE(BJ$4,$C419),'INSER DATA'!$A:$F,7,0),"")</f>
        <v/>
      </c>
      <c r="BK419" s="270" t="str">
        <f>_xlfn.IFNA(VLOOKUP(CONCATENATE(BK$4,$C419),'INSER DATA'!$A:$F,7,0),"")</f>
        <v/>
      </c>
      <c r="BL419" s="272"/>
      <c r="BM419" s="30"/>
      <c r="BN419" s="30"/>
      <c r="BO419" s="30"/>
      <c r="BP419" s="30"/>
      <c r="BQ419" s="30"/>
      <c r="BR419" s="30"/>
      <c r="BS419" s="30"/>
      <c r="BT419" s="30"/>
      <c r="BU419" s="30"/>
      <c r="BV419" s="30"/>
      <c r="BW419" s="30"/>
      <c r="BX419" s="30"/>
      <c r="BY419" s="30"/>
      <c r="BZ419" s="30"/>
      <c r="CA419" s="30"/>
      <c r="CB419" s="30"/>
      <c r="CC419" s="30"/>
      <c r="CD419" s="30"/>
      <c r="CE419" s="30"/>
      <c r="CF419" s="30"/>
      <c r="CG419" s="30"/>
      <c r="CH419" s="30"/>
      <c r="CI419" s="30"/>
      <c r="CJ419" s="30"/>
      <c r="CK419" s="30"/>
      <c r="CL419" s="30"/>
      <c r="CM419" s="30"/>
      <c r="CN419" s="30"/>
      <c r="CO419" s="30"/>
      <c r="CP419" s="30"/>
      <c r="CQ419" s="30"/>
      <c r="CR419" s="30"/>
      <c r="CS419" s="30"/>
      <c r="CT419" s="30"/>
      <c r="CU419" s="30"/>
      <c r="CV419" s="30"/>
      <c r="CW419" s="30"/>
      <c r="CX419" s="30"/>
      <c r="CY419" s="30"/>
      <c r="CZ419" s="30"/>
      <c r="DA419" s="30"/>
    </row>
    <row r="420" spans="1:105" ht="19.2" thickTop="1" thickBot="1" x14ac:dyDescent="0.4">
      <c r="A420" s="30"/>
      <c r="B420" s="30"/>
      <c r="C420" s="356" t="s">
        <v>932</v>
      </c>
      <c r="D420" s="355" t="s">
        <v>910</v>
      </c>
      <c r="E420" s="35" t="str">
        <f>_xlfn.XLOOKUP(Tabella4[[#This Row],[NOME]],'ROSE SQUADRE'!$N$3:$N$253,'ROSE SQUADRE'!$O$3:$O$253,"")</f>
        <v>SESTO ASENSIO</v>
      </c>
      <c r="F420" s="36" t="s">
        <v>163</v>
      </c>
      <c r="G420" s="43">
        <v>15</v>
      </c>
      <c r="H420" s="43">
        <v>15</v>
      </c>
      <c r="I420" s="44">
        <f t="shared" si="37"/>
        <v>0</v>
      </c>
      <c r="J420" s="37">
        <f t="shared" si="38"/>
        <v>4</v>
      </c>
      <c r="K420" s="178">
        <f t="shared" si="39"/>
        <v>6.375</v>
      </c>
      <c r="L420" s="178">
        <f t="shared" si="40"/>
        <v>6.5</v>
      </c>
      <c r="M420" s="179">
        <f t="shared" si="41"/>
        <v>26</v>
      </c>
      <c r="N420" s="45">
        <f t="shared" ca="1" si="42"/>
        <v>0</v>
      </c>
      <c r="O420" s="40">
        <f>SUMIF(Tabella1[Nome],Tabella4[[#This Row],[NOME]],Tabella1[Gf])</f>
        <v>0</v>
      </c>
      <c r="P420" s="40">
        <f>-(SUMIF(Tabella1[Nome],Tabella4[[#This Row],[NOME]],Tabella1[Gs]))</f>
        <v>0</v>
      </c>
      <c r="Q420" s="40">
        <f>SUMIF(Tabella1[Nome],Tabella4[[#This Row],[NOME]],Tabella1[Rp])</f>
        <v>0</v>
      </c>
      <c r="R420" s="40">
        <f>SUMIF(Tabella1[Nome],Tabella4[[#This Row],[NOME]],Tabella1[Rs])</f>
        <v>0</v>
      </c>
      <c r="S420" s="40">
        <f>SUMIF(Tabella1[Nome],Tabella4[[#This Row],[NOME]],Tabella1[Rf])</f>
        <v>0</v>
      </c>
      <c r="T420" s="40">
        <f>SUMIF(Tabella1[Nome],Tabella4[[#This Row],[NOME]],Tabella1[Au])</f>
        <v>0</v>
      </c>
      <c r="U420" s="41">
        <f>SUMIF(Tabella1[Nome],Tabella4[[#This Row],[NOME]],Tabella1[Amm])</f>
        <v>1</v>
      </c>
      <c r="V420" s="42">
        <f>SUMIF(Tabella1[Nome],Tabella4[[#This Row],[NOME]],Tabella1[Esp])</f>
        <v>0</v>
      </c>
      <c r="W420" s="40">
        <f>SUMIF(Tabella1[Nome],Tabella4[[#This Row],[NOME]],Tabella1[Ass])</f>
        <v>1</v>
      </c>
      <c r="X420" s="40">
        <f>SUMIF(Tabella1[Nome],Tabella4[[#This Row],[NOME]],Tabella1[Gdv])</f>
        <v>0</v>
      </c>
      <c r="Y420" s="40">
        <f>SUMIF(Tabella1[Nome],Tabella4[[#This Row],[NOME]],Tabella1[cl sh])</f>
        <v>0</v>
      </c>
      <c r="Z420" s="270">
        <f>_xlfn.IFNA(_xlfn.XLOOKUP(CONCATENATE(Z$4,$C420),Tabella1[CONC X VOTI IN TAB GIOC],Tabella1[Voto],""),"")</f>
        <v>6</v>
      </c>
      <c r="AA420" s="270">
        <f>_xlfn.IFNA(_xlfn.XLOOKUP(CONCATENATE(AA$4,$C420),Tabella1[CONC X VOTI IN TAB GIOC],Tabella1[Voto],""),"")</f>
        <v>6.5</v>
      </c>
      <c r="AB420" s="270">
        <f>_xlfn.IFNA(_xlfn.XLOOKUP(CONCATENATE(AB$4,$C420),Tabella1[CONC X VOTI IN TAB GIOC],Tabella1[Voto]),"")</f>
        <v>6.5</v>
      </c>
      <c r="AC420" s="270" cm="1">
        <f t="array" ref="AC420">_xlfn.IFNA(_xlfn.XLOOKUP(CONCATENATE(AC$4,$C420),INDEX(Tabella1[],0,MATCH("CONC X VOTI IN TAB GIOC",Tabella1[#Headers],0)),INDEX(Tabella1[],0,MATCH("Voto",Tabella1[#Headers],0))),"")</f>
        <v>6.5</v>
      </c>
      <c r="AD420" s="270" t="str">
        <f>_xlfn.IFNA(_xlfn.XLOOKUP(CONCATENATE(AD$4,$C420),Tabella1[CONC X VOTI IN TAB GIOC],Tabella1[Voto]),"")</f>
        <v/>
      </c>
      <c r="AE420" s="270" t="str">
        <f>_xlfn.IFNA(VLOOKUP(CONCATENATE(AE$4,$C420),'INSER DATA'!$A:$F,6,0),"")</f>
        <v/>
      </c>
      <c r="AF420" s="270" t="str">
        <f>_xlfn.IFNA(VLOOKUP(CONCATENATE(AF$4,$C420),'INSER DATA'!$A:$F,6,0),"")</f>
        <v/>
      </c>
      <c r="AG420" s="270" t="str">
        <f>_xlfn.IFNA(VLOOKUP(CONCATENATE(AG$4,$C420),'INSER DATA'!$A:$F,6,0),"")</f>
        <v/>
      </c>
      <c r="AH420" s="270" t="str">
        <f>_xlfn.IFNA(VLOOKUP(CONCATENATE(AH$4,$C420),'INSER DATA'!$A:$F,7,0),"")</f>
        <v/>
      </c>
      <c r="AI420" s="270" t="str">
        <f>_xlfn.IFNA(VLOOKUP(CONCATENATE(AI$4,$C420),'INSER DATA'!$A:$F,7,0),"")</f>
        <v/>
      </c>
      <c r="AJ420" s="270" t="str">
        <f>_xlfn.IFNA(VLOOKUP(CONCATENATE(AJ$4,$C420),'INSER DATA'!$A:$F,7,0),"")</f>
        <v/>
      </c>
      <c r="AK420" s="270" t="str">
        <f>_xlfn.IFNA(VLOOKUP(CONCATENATE(AK$4,$C420),'INSER DATA'!$A:$F,7,0),"")</f>
        <v/>
      </c>
      <c r="AL420" s="270" t="str">
        <f>_xlfn.IFNA(VLOOKUP(CONCATENATE(AL$4,$C420),'INSER DATA'!$A:$F,7,0),"")</f>
        <v/>
      </c>
      <c r="AM420" s="270" t="str">
        <f>_xlfn.IFNA(VLOOKUP(CONCATENATE(AM$4,$C420),'INSER DATA'!$A:$F,7,0),"")</f>
        <v/>
      </c>
      <c r="AN420" s="270" t="str">
        <f>_xlfn.IFNA(VLOOKUP(CONCATENATE(AN$4,$C420),'INSER DATA'!$A:$F,7,0),"")</f>
        <v/>
      </c>
      <c r="AO420" s="270" t="str">
        <f>_xlfn.IFNA(VLOOKUP(CONCATENATE(AO$4,$C420),'INSER DATA'!$A:$F,7,0),"")</f>
        <v/>
      </c>
      <c r="AP420" s="270" t="str">
        <f>_xlfn.IFNA(VLOOKUP(CONCATENATE(AP$4,$C420),'INSER DATA'!$A:$F,7,0),"")</f>
        <v/>
      </c>
      <c r="AQ420" s="270" t="str">
        <f>_xlfn.IFNA(VLOOKUP(CONCATENATE(AQ$4,$C420),'INSER DATA'!$A:$F,7,0),"")</f>
        <v/>
      </c>
      <c r="AR420" s="270" t="str">
        <f>_xlfn.IFNA(VLOOKUP(CONCATENATE(AR$4,$C420),'INSER DATA'!$A:$F,7,0),"")</f>
        <v/>
      </c>
      <c r="AS420" s="270" t="str">
        <f>_xlfn.IFNA(VLOOKUP(CONCATENATE(AS$4,$C420),'INSER DATA'!$A:$F,7,0),"")</f>
        <v/>
      </c>
      <c r="AT420" s="270" t="str">
        <f>_xlfn.IFNA(VLOOKUP(CONCATENATE(AT$4,$C420),'INSER DATA'!$A:$F,7,0),"")</f>
        <v/>
      </c>
      <c r="AU420" s="270" t="str">
        <f>_xlfn.IFNA(VLOOKUP(CONCATENATE(AU$4,$C420),'INSER DATA'!$A:$F,7,0),"")</f>
        <v/>
      </c>
      <c r="AV420" s="270" t="str">
        <f>_xlfn.IFNA(VLOOKUP(CONCATENATE(AV$4,$C420),'INSER DATA'!$A:$F,7,0),"")</f>
        <v/>
      </c>
      <c r="AW420" s="270" t="str">
        <f>_xlfn.IFNA(VLOOKUP(CONCATENATE(AW$4,$C420),'INSER DATA'!$A:$F,7,0),"")</f>
        <v/>
      </c>
      <c r="AX420" s="270" t="str">
        <f>_xlfn.IFNA(VLOOKUP(CONCATENATE(AX$4,$C420),'INSER DATA'!$A:$F,7,0),"")</f>
        <v/>
      </c>
      <c r="AY420" s="270" t="str">
        <f>_xlfn.IFNA(VLOOKUP(CONCATENATE(AY$4,$C420),'INSER DATA'!$A:$F,7,0),"")</f>
        <v/>
      </c>
      <c r="AZ420" s="270" t="str">
        <f>_xlfn.IFNA(VLOOKUP(CONCATENATE(AZ$4,$C420),'INSER DATA'!$A:$F,7,0),"")</f>
        <v/>
      </c>
      <c r="BA420" s="270" t="str">
        <f>_xlfn.IFNA(VLOOKUP(CONCATENATE(BA$4,$C420),'INSER DATA'!$A:$F,7,0),"")</f>
        <v/>
      </c>
      <c r="BB420" s="270" t="str">
        <f>_xlfn.IFNA(VLOOKUP(CONCATENATE(BB$4,$C420),'INSER DATA'!$A:$F,7,0),"")</f>
        <v/>
      </c>
      <c r="BC420" s="270" t="str">
        <f>_xlfn.IFNA(VLOOKUP(CONCATENATE(BC$4,$C420),'INSER DATA'!$A:$F,7,0),"")</f>
        <v/>
      </c>
      <c r="BD420" s="270" t="str">
        <f>_xlfn.IFNA(VLOOKUP(CONCATENATE(BD$4,$C420),'INSER DATA'!$A:$F,7,0),"")</f>
        <v/>
      </c>
      <c r="BE420" s="270" t="str">
        <f>_xlfn.IFNA(VLOOKUP(CONCATENATE(BE$4,$C420),'INSER DATA'!$A:$F,7,0),"")</f>
        <v/>
      </c>
      <c r="BF420" s="270" t="str">
        <f>_xlfn.IFNA(VLOOKUP(CONCATENATE(BF$4,$C420),'INSER DATA'!$A:$F,7,0),"")</f>
        <v/>
      </c>
      <c r="BG420" s="270" t="str">
        <f>_xlfn.IFNA(VLOOKUP(CONCATENATE(BG$4,$C420),'INSER DATA'!$A:$F,7,0),"")</f>
        <v/>
      </c>
      <c r="BH420" s="270" t="str">
        <f>_xlfn.IFNA(VLOOKUP(CONCATENATE(BH$4,$C420),'INSER DATA'!$A:$F,7,0),"")</f>
        <v/>
      </c>
      <c r="BI420" s="270" t="str">
        <f>_xlfn.IFNA(VLOOKUP(CONCATENATE(BI$4,$C420),'INSER DATA'!$A:$F,7,0),"")</f>
        <v/>
      </c>
      <c r="BJ420" s="270" t="str">
        <f>_xlfn.IFNA(VLOOKUP(CONCATENATE(BJ$4,$C420),'INSER DATA'!$A:$F,7,0),"")</f>
        <v/>
      </c>
      <c r="BK420" s="270" t="str">
        <f>_xlfn.IFNA(VLOOKUP(CONCATENATE(BK$4,$C420),'INSER DATA'!$A:$F,7,0),"")</f>
        <v/>
      </c>
      <c r="BL420" s="272"/>
      <c r="BM420" s="30"/>
      <c r="BN420" s="30"/>
      <c r="BO420" s="30"/>
      <c r="BP420" s="30"/>
      <c r="BQ420" s="30"/>
      <c r="BR420" s="30"/>
      <c r="BS420" s="30"/>
      <c r="BT420" s="30"/>
      <c r="BU420" s="30"/>
      <c r="BV420" s="30"/>
      <c r="BW420" s="30"/>
      <c r="BX420" s="30"/>
      <c r="BY420" s="30"/>
      <c r="BZ420" s="30"/>
      <c r="CA420" s="30"/>
      <c r="CB420" s="30"/>
      <c r="CC420" s="30"/>
      <c r="CD420" s="30"/>
      <c r="CE420" s="30"/>
      <c r="CF420" s="30"/>
      <c r="CG420" s="30"/>
      <c r="CH420" s="30"/>
      <c r="CI420" s="30"/>
      <c r="CJ420" s="30"/>
      <c r="CK420" s="30"/>
      <c r="CL420" s="30"/>
      <c r="CM420" s="30"/>
      <c r="CN420" s="30"/>
      <c r="CO420" s="30"/>
      <c r="CP420" s="30"/>
      <c r="CQ420" s="30"/>
      <c r="CR420" s="30"/>
      <c r="CS420" s="30"/>
      <c r="CT420" s="30"/>
      <c r="CU420" s="30"/>
      <c r="CV420" s="30"/>
      <c r="CW420" s="30"/>
      <c r="CX420" s="30"/>
      <c r="CY420" s="30"/>
      <c r="CZ420" s="30"/>
      <c r="DA420" s="30"/>
    </row>
    <row r="421" spans="1:105" ht="19.2" thickTop="1" thickBot="1" x14ac:dyDescent="0.4">
      <c r="A421" s="30"/>
      <c r="B421" s="30"/>
      <c r="C421" s="185" t="s">
        <v>915</v>
      </c>
      <c r="D421" s="46" t="s">
        <v>910</v>
      </c>
      <c r="E421" s="35" t="str">
        <f>_xlfn.XLOOKUP(Tabella4[[#This Row],[NOME]],'ROSE SQUADRE'!$N$3:$N$253,'ROSE SQUADRE'!$O$3:$O$253,"")</f>
        <v/>
      </c>
      <c r="F421" s="36" t="s">
        <v>161</v>
      </c>
      <c r="G421" s="43">
        <v>4</v>
      </c>
      <c r="H421" s="43">
        <v>4</v>
      </c>
      <c r="I421" s="44">
        <f t="shared" si="37"/>
        <v>0</v>
      </c>
      <c r="J421" s="37">
        <f t="shared" si="38"/>
        <v>4</v>
      </c>
      <c r="K421" s="178">
        <f t="shared" si="39"/>
        <v>6.25</v>
      </c>
      <c r="L421" s="178">
        <f t="shared" si="40"/>
        <v>7</v>
      </c>
      <c r="M421" s="179">
        <f t="shared" si="41"/>
        <v>28</v>
      </c>
      <c r="N421" s="45">
        <f t="shared" ca="1" si="42"/>
        <v>0</v>
      </c>
      <c r="O421" s="40">
        <f>SUMIF(Tabella1[Nome],Tabella4[[#This Row],[NOME]],Tabella1[Gf])</f>
        <v>1</v>
      </c>
      <c r="P421" s="40">
        <f>-(SUMIF(Tabella1[Nome],Tabella4[[#This Row],[NOME]],Tabella1[Gs]))</f>
        <v>0</v>
      </c>
      <c r="Q421" s="40">
        <f>SUMIF(Tabella1[Nome],Tabella4[[#This Row],[NOME]],Tabella1[Rp])</f>
        <v>0</v>
      </c>
      <c r="R421" s="40">
        <f>SUMIF(Tabella1[Nome],Tabella4[[#This Row],[NOME]],Tabella1[Rs])</f>
        <v>0</v>
      </c>
      <c r="S421" s="40">
        <f>SUMIF(Tabella1[Nome],Tabella4[[#This Row],[NOME]],Tabella1[Rf])</f>
        <v>0</v>
      </c>
      <c r="T421" s="40">
        <f>SUMIF(Tabella1[Nome],Tabella4[[#This Row],[NOME]],Tabella1[Au])</f>
        <v>0</v>
      </c>
      <c r="U421" s="41">
        <f>SUMIF(Tabella1[Nome],Tabella4[[#This Row],[NOME]],Tabella1[Amm])</f>
        <v>0</v>
      </c>
      <c r="V421" s="42">
        <f>SUMIF(Tabella1[Nome],Tabella4[[#This Row],[NOME]],Tabella1[Esp])</f>
        <v>0</v>
      </c>
      <c r="W421" s="40">
        <f>SUMIF(Tabella1[Nome],Tabella4[[#This Row],[NOME]],Tabella1[Ass])</f>
        <v>0</v>
      </c>
      <c r="X421" s="40">
        <f>SUMIF(Tabella1[Nome],Tabella4[[#This Row],[NOME]],Tabella1[Gdv])</f>
        <v>0</v>
      </c>
      <c r="Y421" s="40">
        <f>SUMIF(Tabella1[Nome],Tabella4[[#This Row],[NOME]],Tabella1[cl sh])</f>
        <v>0</v>
      </c>
      <c r="Z421" s="270">
        <f>_xlfn.IFNA(_xlfn.XLOOKUP(CONCATENATE(Z$4,$C421),Tabella1[CONC X VOTI IN TAB GIOC],Tabella1[Voto],""),"")</f>
        <v>6</v>
      </c>
      <c r="AA421" s="270">
        <f>_xlfn.IFNA(_xlfn.XLOOKUP(CONCATENATE(AA$4,$C421),Tabella1[CONC X VOTI IN TAB GIOC],Tabella1[Voto],""),"")</f>
        <v>6</v>
      </c>
      <c r="AB421" s="270">
        <f>_xlfn.IFNA(_xlfn.XLOOKUP(CONCATENATE(AB$4,$C421),Tabella1[CONC X VOTI IN TAB GIOC],Tabella1[Voto]),"")</f>
        <v>6.5</v>
      </c>
      <c r="AC421" s="270" cm="1">
        <f t="array" ref="AC421">_xlfn.IFNA(_xlfn.XLOOKUP(CONCATENATE(AC$4,$C421),INDEX(Tabella1[],0,MATCH("CONC X VOTI IN TAB GIOC",Tabella1[#Headers],0)),INDEX(Tabella1[],0,MATCH("Voto",Tabella1[#Headers],0))),"")</f>
        <v>6.5</v>
      </c>
      <c r="AD421" s="270" t="str">
        <f>_xlfn.IFNA(_xlfn.XLOOKUP(CONCATENATE(AD$4,$C421),Tabella1[CONC X VOTI IN TAB GIOC],Tabella1[Voto]),"")</f>
        <v/>
      </c>
      <c r="AE421" s="270" t="str">
        <f>_xlfn.IFNA(VLOOKUP(CONCATENATE(AE$4,$C421),'INSER DATA'!$A:$F,6,0),"")</f>
        <v/>
      </c>
      <c r="AF421" s="270" t="str">
        <f>_xlfn.IFNA(VLOOKUP(CONCATENATE(AF$4,$C421),'INSER DATA'!$A:$F,6,0),"")</f>
        <v/>
      </c>
      <c r="AG421" s="270" t="str">
        <f>_xlfn.IFNA(VLOOKUP(CONCATENATE(AG$4,$C421),'INSER DATA'!$A:$F,6,0),"")</f>
        <v/>
      </c>
      <c r="AH421" s="270" t="str">
        <f>_xlfn.IFNA(VLOOKUP(CONCATENATE(AH$4,$C421),'INSER DATA'!$A:$F,7,0),"")</f>
        <v/>
      </c>
      <c r="AI421" s="270" t="str">
        <f>_xlfn.IFNA(VLOOKUP(CONCATENATE(AI$4,$C421),'INSER DATA'!$A:$F,7,0),"")</f>
        <v/>
      </c>
      <c r="AJ421" s="270" t="str">
        <f>_xlfn.IFNA(VLOOKUP(CONCATENATE(AJ$4,$C421),'INSER DATA'!$A:$F,7,0),"")</f>
        <v/>
      </c>
      <c r="AK421" s="270" t="str">
        <f>_xlfn.IFNA(VLOOKUP(CONCATENATE(AK$4,$C421),'INSER DATA'!$A:$F,7,0),"")</f>
        <v/>
      </c>
      <c r="AL421" s="270" t="str">
        <f>_xlfn.IFNA(VLOOKUP(CONCATENATE(AL$4,$C421),'INSER DATA'!$A:$F,7,0),"")</f>
        <v/>
      </c>
      <c r="AM421" s="270" t="str">
        <f>_xlfn.IFNA(VLOOKUP(CONCATENATE(AM$4,$C421),'INSER DATA'!$A:$F,7,0),"")</f>
        <v/>
      </c>
      <c r="AN421" s="270" t="str">
        <f>_xlfn.IFNA(VLOOKUP(CONCATENATE(AN$4,$C421),'INSER DATA'!$A:$F,7,0),"")</f>
        <v/>
      </c>
      <c r="AO421" s="270" t="str">
        <f>_xlfn.IFNA(VLOOKUP(CONCATENATE(AO$4,$C421),'INSER DATA'!$A:$F,7,0),"")</f>
        <v/>
      </c>
      <c r="AP421" s="270" t="str">
        <f>_xlfn.IFNA(VLOOKUP(CONCATENATE(AP$4,$C421),'INSER DATA'!$A:$F,7,0),"")</f>
        <v/>
      </c>
      <c r="AQ421" s="270" t="str">
        <f>_xlfn.IFNA(VLOOKUP(CONCATENATE(AQ$4,$C421),'INSER DATA'!$A:$F,7,0),"")</f>
        <v/>
      </c>
      <c r="AR421" s="270" t="str">
        <f>_xlfn.IFNA(VLOOKUP(CONCATENATE(AR$4,$C421),'INSER DATA'!$A:$F,7,0),"")</f>
        <v/>
      </c>
      <c r="AS421" s="270" t="str">
        <f>_xlfn.IFNA(VLOOKUP(CONCATENATE(AS$4,$C421),'INSER DATA'!$A:$F,7,0),"")</f>
        <v/>
      </c>
      <c r="AT421" s="270" t="str">
        <f>_xlfn.IFNA(VLOOKUP(CONCATENATE(AT$4,$C421),'INSER DATA'!$A:$F,7,0),"")</f>
        <v/>
      </c>
      <c r="AU421" s="270" t="str">
        <f>_xlfn.IFNA(VLOOKUP(CONCATENATE(AU$4,$C421),'INSER DATA'!$A:$F,7,0),"")</f>
        <v/>
      </c>
      <c r="AV421" s="270" t="str">
        <f>_xlfn.IFNA(VLOOKUP(CONCATENATE(AV$4,$C421),'INSER DATA'!$A:$F,7,0),"")</f>
        <v/>
      </c>
      <c r="AW421" s="270" t="str">
        <f>_xlfn.IFNA(VLOOKUP(CONCATENATE(AW$4,$C421),'INSER DATA'!$A:$F,7,0),"")</f>
        <v/>
      </c>
      <c r="AX421" s="270" t="str">
        <f>_xlfn.IFNA(VLOOKUP(CONCATENATE(AX$4,$C421),'INSER DATA'!$A:$F,7,0),"")</f>
        <v/>
      </c>
      <c r="AY421" s="270" t="str">
        <f>_xlfn.IFNA(VLOOKUP(CONCATENATE(AY$4,$C421),'INSER DATA'!$A:$F,7,0),"")</f>
        <v/>
      </c>
      <c r="AZ421" s="270" t="str">
        <f>_xlfn.IFNA(VLOOKUP(CONCATENATE(AZ$4,$C421),'INSER DATA'!$A:$F,7,0),"")</f>
        <v/>
      </c>
      <c r="BA421" s="270" t="str">
        <f>_xlfn.IFNA(VLOOKUP(CONCATENATE(BA$4,$C421),'INSER DATA'!$A:$F,7,0),"")</f>
        <v/>
      </c>
      <c r="BB421" s="270" t="str">
        <f>_xlfn.IFNA(VLOOKUP(CONCATENATE(BB$4,$C421),'INSER DATA'!$A:$F,7,0),"")</f>
        <v/>
      </c>
      <c r="BC421" s="270" t="str">
        <f>_xlfn.IFNA(VLOOKUP(CONCATENATE(BC$4,$C421),'INSER DATA'!$A:$F,7,0),"")</f>
        <v/>
      </c>
      <c r="BD421" s="270" t="str">
        <f>_xlfn.IFNA(VLOOKUP(CONCATENATE(BD$4,$C421),'INSER DATA'!$A:$F,7,0),"")</f>
        <v/>
      </c>
      <c r="BE421" s="270" t="str">
        <f>_xlfn.IFNA(VLOOKUP(CONCATENATE(BE$4,$C421),'INSER DATA'!$A:$F,7,0),"")</f>
        <v/>
      </c>
      <c r="BF421" s="270" t="str">
        <f>_xlfn.IFNA(VLOOKUP(CONCATENATE(BF$4,$C421),'INSER DATA'!$A:$F,7,0),"")</f>
        <v/>
      </c>
      <c r="BG421" s="270" t="str">
        <f>_xlfn.IFNA(VLOOKUP(CONCATENATE(BG$4,$C421),'INSER DATA'!$A:$F,7,0),"")</f>
        <v/>
      </c>
      <c r="BH421" s="270" t="str">
        <f>_xlfn.IFNA(VLOOKUP(CONCATENATE(BH$4,$C421),'INSER DATA'!$A:$F,7,0),"")</f>
        <v/>
      </c>
      <c r="BI421" s="270" t="str">
        <f>_xlfn.IFNA(VLOOKUP(CONCATENATE(BI$4,$C421),'INSER DATA'!$A:$F,7,0),"")</f>
        <v/>
      </c>
      <c r="BJ421" s="270" t="str">
        <f>_xlfn.IFNA(VLOOKUP(CONCATENATE(BJ$4,$C421),'INSER DATA'!$A:$F,7,0),"")</f>
        <v/>
      </c>
      <c r="BK421" s="270" t="str">
        <f>_xlfn.IFNA(VLOOKUP(CONCATENATE(BK$4,$C421),'INSER DATA'!$A:$F,7,0),"")</f>
        <v/>
      </c>
      <c r="BL421" s="272"/>
      <c r="BM421" s="30"/>
      <c r="BN421" s="30"/>
      <c r="BO421" s="30"/>
      <c r="BP421" s="30"/>
      <c r="BQ421" s="30"/>
      <c r="BR421" s="30"/>
      <c r="BS421" s="30"/>
      <c r="BT421" s="30"/>
      <c r="BU421" s="30"/>
      <c r="BV421" s="30"/>
      <c r="BW421" s="30"/>
      <c r="BX421" s="30"/>
      <c r="BY421" s="30"/>
      <c r="BZ421" s="30"/>
      <c r="CA421" s="30"/>
      <c r="CB421" s="30"/>
      <c r="CC421" s="30"/>
      <c r="CD421" s="30"/>
      <c r="CE421" s="30"/>
      <c r="CF421" s="30"/>
      <c r="CG421" s="30"/>
      <c r="CH421" s="30"/>
      <c r="CI421" s="30"/>
      <c r="CJ421" s="30"/>
      <c r="CK421" s="30"/>
      <c r="CL421" s="30"/>
      <c r="CM421" s="30"/>
      <c r="CN421" s="30"/>
      <c r="CO421" s="30"/>
      <c r="CP421" s="30"/>
      <c r="CQ421" s="30"/>
      <c r="CR421" s="30"/>
      <c r="CS421" s="30"/>
      <c r="CT421" s="30"/>
      <c r="CU421" s="30"/>
      <c r="CV421" s="30"/>
      <c r="CW421" s="30"/>
      <c r="CX421" s="30"/>
      <c r="CY421" s="30"/>
      <c r="CZ421" s="30"/>
      <c r="DA421" s="30"/>
    </row>
    <row r="422" spans="1:105" ht="19.2" thickTop="1" thickBot="1" x14ac:dyDescent="0.4">
      <c r="A422" s="30"/>
      <c r="B422" s="30"/>
      <c r="C422" s="188" t="s">
        <v>622</v>
      </c>
      <c r="D422" s="187" t="s">
        <v>910</v>
      </c>
      <c r="E422" s="35" t="str">
        <f>_xlfn.XLOOKUP(Tabella4[[#This Row],[NOME]],'ROSE SQUADRE'!$N$3:$N$253,'ROSE SQUADRE'!$O$3:$O$253,"")</f>
        <v/>
      </c>
      <c r="F422" s="36" t="s">
        <v>161</v>
      </c>
      <c r="G422" s="43">
        <v>7</v>
      </c>
      <c r="H422" s="43">
        <v>7</v>
      </c>
      <c r="I422" s="44">
        <f t="shared" si="37"/>
        <v>0</v>
      </c>
      <c r="J422" s="37">
        <f t="shared" si="38"/>
        <v>3</v>
      </c>
      <c r="K422" s="38">
        <f t="shared" si="39"/>
        <v>6.166666666666667</v>
      </c>
      <c r="L422" s="38">
        <f t="shared" si="40"/>
        <v>6</v>
      </c>
      <c r="M422" s="39">
        <f t="shared" si="41"/>
        <v>18</v>
      </c>
      <c r="N422" s="45">
        <f t="shared" ca="1" si="42"/>
        <v>0</v>
      </c>
      <c r="O422" s="40">
        <f>SUMIF(Tabella1[Nome],Tabella4[[#This Row],[NOME]],Tabella1[Gf])</f>
        <v>0</v>
      </c>
      <c r="P422" s="40">
        <f>-(SUMIF(Tabella1[Nome],Tabella4[[#This Row],[NOME]],Tabella1[Gs]))</f>
        <v>0</v>
      </c>
      <c r="Q422" s="40">
        <f>SUMIF(Tabella1[Nome],Tabella4[[#This Row],[NOME]],Tabella1[Rp])</f>
        <v>0</v>
      </c>
      <c r="R422" s="40">
        <f>SUMIF(Tabella1[Nome],Tabella4[[#This Row],[NOME]],Tabella1[Rs])</f>
        <v>0</v>
      </c>
      <c r="S422" s="40">
        <f>SUMIF(Tabella1[Nome],Tabella4[[#This Row],[NOME]],Tabella1[Rf])</f>
        <v>0</v>
      </c>
      <c r="T422" s="40">
        <f>SUMIF(Tabella1[Nome],Tabella4[[#This Row],[NOME]],Tabella1[Au])</f>
        <v>0</v>
      </c>
      <c r="U422" s="41">
        <f>SUMIF(Tabella1[Nome],Tabella4[[#This Row],[NOME]],Tabella1[Amm])</f>
        <v>1</v>
      </c>
      <c r="V422" s="42">
        <f>SUMIF(Tabella1[Nome],Tabella4[[#This Row],[NOME]],Tabella1[Esp])</f>
        <v>0</v>
      </c>
      <c r="W422" s="40">
        <f>SUMIF(Tabella1[Nome],Tabella4[[#This Row],[NOME]],Tabella1[Ass])</f>
        <v>0</v>
      </c>
      <c r="X422" s="40">
        <f>SUMIF(Tabella1[Nome],Tabella4[[#This Row],[NOME]],Tabella1[Gdv])</f>
        <v>0</v>
      </c>
      <c r="Y422" s="40">
        <f>SUMIF(Tabella1[Nome],Tabella4[[#This Row],[NOME]],Tabella1[cl sh])</f>
        <v>0</v>
      </c>
      <c r="Z422" s="270" t="str">
        <f>_xlfn.IFNA(_xlfn.XLOOKUP(CONCATENATE(Z$4,$C422),Tabella1[CONC X VOTI IN TAB GIOC],Tabella1[Voto],""),"")</f>
        <v/>
      </c>
      <c r="AA422" s="270">
        <f>_xlfn.IFNA(_xlfn.XLOOKUP(CONCATENATE(AA$4,$C422),Tabella1[CONC X VOTI IN TAB GIOC],Tabella1[Voto],""),"")</f>
        <v>6</v>
      </c>
      <c r="AB422" s="270">
        <f>_xlfn.IFNA(_xlfn.XLOOKUP(CONCATENATE(AB$4,$C422),Tabella1[CONC X VOTI IN TAB GIOC],Tabella1[Voto]),"")</f>
        <v>6</v>
      </c>
      <c r="AC422" s="270" cm="1">
        <f t="array" ref="AC422">_xlfn.IFNA(_xlfn.XLOOKUP(CONCATENATE(AC$4,$C422),INDEX(Tabella1[],0,MATCH("CONC X VOTI IN TAB GIOC",Tabella1[#Headers],0)),INDEX(Tabella1[],0,MATCH("Voto",Tabella1[#Headers],0))),"")</f>
        <v>6.5</v>
      </c>
      <c r="AD422" s="270" t="str">
        <f>_xlfn.IFNA(_xlfn.XLOOKUP(CONCATENATE(AD$4,$C422),Tabella1[CONC X VOTI IN TAB GIOC],Tabella1[Voto]),"")</f>
        <v/>
      </c>
      <c r="AE422" s="270" t="str">
        <f>_xlfn.IFNA(VLOOKUP(CONCATENATE(AE$4,$C422),'INSER DATA'!$A:$F,6,0),"")</f>
        <v/>
      </c>
      <c r="AF422" s="270" t="str">
        <f>_xlfn.IFNA(VLOOKUP(CONCATENATE(AF$4,$C422),'INSER DATA'!$A:$F,6,0),"")</f>
        <v/>
      </c>
      <c r="AG422" s="270" t="str">
        <f>_xlfn.IFNA(VLOOKUP(CONCATENATE(AG$4,$C422),'INSER DATA'!$A:$F,6,0),"")</f>
        <v/>
      </c>
      <c r="AH422" s="270" t="str">
        <f>_xlfn.IFNA(VLOOKUP(CONCATENATE(AH$4,$C422),'INSER DATA'!$A:$F,7,0),"")</f>
        <v/>
      </c>
      <c r="AI422" s="270" t="str">
        <f>_xlfn.IFNA(VLOOKUP(CONCATENATE(AI$4,$C422),'INSER DATA'!$A:$F,7,0),"")</f>
        <v/>
      </c>
      <c r="AJ422" s="270" t="str">
        <f>_xlfn.IFNA(VLOOKUP(CONCATENATE(AJ$4,$C422),'INSER DATA'!$A:$F,7,0),"")</f>
        <v/>
      </c>
      <c r="AK422" s="270" t="str">
        <f>_xlfn.IFNA(VLOOKUP(CONCATENATE(AK$4,$C422),'INSER DATA'!$A:$F,7,0),"")</f>
        <v/>
      </c>
      <c r="AL422" s="270" t="str">
        <f>_xlfn.IFNA(VLOOKUP(CONCATENATE(AL$4,$C422),'INSER DATA'!$A:$F,7,0),"")</f>
        <v/>
      </c>
      <c r="AM422" s="270" t="str">
        <f>_xlfn.IFNA(VLOOKUP(CONCATENATE(AM$4,$C422),'INSER DATA'!$A:$F,7,0),"")</f>
        <v/>
      </c>
      <c r="AN422" s="270" t="str">
        <f>_xlfn.IFNA(VLOOKUP(CONCATENATE(AN$4,$C422),'INSER DATA'!$A:$F,7,0),"")</f>
        <v/>
      </c>
      <c r="AO422" s="270" t="str">
        <f>_xlfn.IFNA(VLOOKUP(CONCATENATE(AO$4,$C422),'INSER DATA'!$A:$F,7,0),"")</f>
        <v/>
      </c>
      <c r="AP422" s="270" t="str">
        <f>_xlfn.IFNA(VLOOKUP(CONCATENATE(AP$4,$C422),'INSER DATA'!$A:$F,7,0),"")</f>
        <v/>
      </c>
      <c r="AQ422" s="270" t="str">
        <f>_xlfn.IFNA(VLOOKUP(CONCATENATE(AQ$4,$C422),'INSER DATA'!$A:$F,7,0),"")</f>
        <v/>
      </c>
      <c r="AR422" s="270" t="str">
        <f>_xlfn.IFNA(VLOOKUP(CONCATENATE(AR$4,$C422),'INSER DATA'!$A:$F,7,0),"")</f>
        <v/>
      </c>
      <c r="AS422" s="270" t="str">
        <f>_xlfn.IFNA(VLOOKUP(CONCATENATE(AS$4,$C422),'INSER DATA'!$A:$F,7,0),"")</f>
        <v/>
      </c>
      <c r="AT422" s="270" t="str">
        <f>_xlfn.IFNA(VLOOKUP(CONCATENATE(AT$4,$C422),'INSER DATA'!$A:$F,7,0),"")</f>
        <v/>
      </c>
      <c r="AU422" s="270" t="str">
        <f>_xlfn.IFNA(VLOOKUP(CONCATENATE(AU$4,$C422),'INSER DATA'!$A:$F,7,0),"")</f>
        <v/>
      </c>
      <c r="AV422" s="270" t="str">
        <f>_xlfn.IFNA(VLOOKUP(CONCATENATE(AV$4,$C422),'INSER DATA'!$A:$F,7,0),"")</f>
        <v/>
      </c>
      <c r="AW422" s="270" t="str">
        <f>_xlfn.IFNA(VLOOKUP(CONCATENATE(AW$4,$C422),'INSER DATA'!$A:$F,7,0),"")</f>
        <v/>
      </c>
      <c r="AX422" s="270" t="str">
        <f>_xlfn.IFNA(VLOOKUP(CONCATENATE(AX$4,$C422),'INSER DATA'!$A:$F,7,0),"")</f>
        <v/>
      </c>
      <c r="AY422" s="270" t="str">
        <f>_xlfn.IFNA(VLOOKUP(CONCATENATE(AY$4,$C422),'INSER DATA'!$A:$F,7,0),"")</f>
        <v/>
      </c>
      <c r="AZ422" s="270" t="str">
        <f>_xlfn.IFNA(VLOOKUP(CONCATENATE(AZ$4,$C422),'INSER DATA'!$A:$F,7,0),"")</f>
        <v/>
      </c>
      <c r="BA422" s="270" t="str">
        <f>_xlfn.IFNA(VLOOKUP(CONCATENATE(BA$4,$C422),'INSER DATA'!$A:$F,7,0),"")</f>
        <v/>
      </c>
      <c r="BB422" s="270" t="str">
        <f>_xlfn.IFNA(VLOOKUP(CONCATENATE(BB$4,$C422),'INSER DATA'!$A:$F,7,0),"")</f>
        <v/>
      </c>
      <c r="BC422" s="270" t="str">
        <f>_xlfn.IFNA(VLOOKUP(CONCATENATE(BC$4,$C422),'INSER DATA'!$A:$F,7,0),"")</f>
        <v/>
      </c>
      <c r="BD422" s="270" t="str">
        <f>_xlfn.IFNA(VLOOKUP(CONCATENATE(BD$4,$C422),'INSER DATA'!$A:$F,7,0),"")</f>
        <v/>
      </c>
      <c r="BE422" s="270" t="str">
        <f>_xlfn.IFNA(VLOOKUP(CONCATENATE(BE$4,$C422),'INSER DATA'!$A:$F,7,0),"")</f>
        <v/>
      </c>
      <c r="BF422" s="270" t="str">
        <f>_xlfn.IFNA(VLOOKUP(CONCATENATE(BF$4,$C422),'INSER DATA'!$A:$F,7,0),"")</f>
        <v/>
      </c>
      <c r="BG422" s="270" t="str">
        <f>_xlfn.IFNA(VLOOKUP(CONCATENATE(BG$4,$C422),'INSER DATA'!$A:$F,7,0),"")</f>
        <v/>
      </c>
      <c r="BH422" s="270" t="str">
        <f>_xlfn.IFNA(VLOOKUP(CONCATENATE(BH$4,$C422),'INSER DATA'!$A:$F,7,0),"")</f>
        <v/>
      </c>
      <c r="BI422" s="270" t="str">
        <f>_xlfn.IFNA(VLOOKUP(CONCATENATE(BI$4,$C422),'INSER DATA'!$A:$F,7,0),"")</f>
        <v/>
      </c>
      <c r="BJ422" s="270" t="str">
        <f>_xlfn.IFNA(VLOOKUP(CONCATENATE(BJ$4,$C422),'INSER DATA'!$A:$F,7,0),"")</f>
        <v/>
      </c>
      <c r="BK422" s="270" t="str">
        <f>_xlfn.IFNA(VLOOKUP(CONCATENATE(BK$4,$C422),'INSER DATA'!$A:$F,7,0),"")</f>
        <v/>
      </c>
      <c r="BL422" s="272"/>
      <c r="BM422" s="30"/>
      <c r="BN422" s="30"/>
      <c r="BO422" s="30"/>
      <c r="BP422" s="30"/>
      <c r="BQ422" s="30"/>
      <c r="BR422" s="30"/>
      <c r="BS422" s="30"/>
      <c r="BT422" s="30"/>
      <c r="BU422" s="30"/>
      <c r="BV422" s="30"/>
      <c r="BW422" s="30"/>
      <c r="BX422" s="30"/>
      <c r="BY422" s="30"/>
      <c r="BZ422" s="30"/>
      <c r="CA422" s="30"/>
      <c r="CB422" s="30"/>
      <c r="CC422" s="30"/>
      <c r="CD422" s="30"/>
      <c r="CE422" s="30"/>
      <c r="CF422" s="30"/>
      <c r="CG422" s="30"/>
      <c r="CH422" s="30"/>
      <c r="CI422" s="30"/>
      <c r="CJ422" s="30"/>
      <c r="CK422" s="30"/>
      <c r="CL422" s="30"/>
      <c r="CM422" s="30"/>
      <c r="CN422" s="30"/>
      <c r="CO422" s="30"/>
      <c r="CP422" s="30"/>
      <c r="CQ422" s="30"/>
      <c r="CR422" s="30"/>
      <c r="CS422" s="30"/>
      <c r="CT422" s="30"/>
      <c r="CU422" s="30"/>
      <c r="CV422" s="30"/>
      <c r="CW422" s="30"/>
      <c r="CX422" s="30"/>
      <c r="CY422" s="30"/>
      <c r="CZ422" s="30"/>
      <c r="DA422" s="30"/>
    </row>
    <row r="423" spans="1:105" ht="19.2" thickTop="1" thickBot="1" x14ac:dyDescent="0.4">
      <c r="A423" s="30"/>
      <c r="B423" s="30"/>
      <c r="C423" s="356" t="s">
        <v>917</v>
      </c>
      <c r="D423" s="355" t="s">
        <v>910</v>
      </c>
      <c r="E423" s="35" t="str">
        <f>_xlfn.XLOOKUP(Tabella4[[#This Row],[NOME]],'ROSE SQUADRE'!$N$3:$N$253,'ROSE SQUADRE'!$O$3:$O$253,"")</f>
        <v>ATL. IMPROVVISATO</v>
      </c>
      <c r="F423" s="36" t="s">
        <v>161</v>
      </c>
      <c r="G423" s="43">
        <v>6</v>
      </c>
      <c r="H423" s="43">
        <v>6</v>
      </c>
      <c r="I423" s="44">
        <f t="shared" si="37"/>
        <v>0</v>
      </c>
      <c r="J423" s="37">
        <f t="shared" si="38"/>
        <v>2</v>
      </c>
      <c r="K423" s="38">
        <f t="shared" si="39"/>
        <v>6</v>
      </c>
      <c r="L423" s="38">
        <f t="shared" si="40"/>
        <v>6</v>
      </c>
      <c r="M423" s="39">
        <f t="shared" si="41"/>
        <v>12</v>
      </c>
      <c r="N423" s="45">
        <f t="shared" ca="1" si="42"/>
        <v>0</v>
      </c>
      <c r="O423" s="40">
        <f>SUMIF(Tabella1[Nome],Tabella4[[#This Row],[NOME]],Tabella1[Gf])</f>
        <v>0</v>
      </c>
      <c r="P423" s="40">
        <f>-(SUMIF(Tabella1[Nome],Tabella4[[#This Row],[NOME]],Tabella1[Gs]))</f>
        <v>0</v>
      </c>
      <c r="Q423" s="40">
        <f>SUMIF(Tabella1[Nome],Tabella4[[#This Row],[NOME]],Tabella1[Rp])</f>
        <v>0</v>
      </c>
      <c r="R423" s="40">
        <f>SUMIF(Tabella1[Nome],Tabella4[[#This Row],[NOME]],Tabella1[Rs])</f>
        <v>0</v>
      </c>
      <c r="S423" s="40">
        <f>SUMIF(Tabella1[Nome],Tabella4[[#This Row],[NOME]],Tabella1[Rf])</f>
        <v>0</v>
      </c>
      <c r="T423" s="40">
        <f>SUMIF(Tabella1[Nome],Tabella4[[#This Row],[NOME]],Tabella1[Au])</f>
        <v>0</v>
      </c>
      <c r="U423" s="41">
        <f>SUMIF(Tabella1[Nome],Tabella4[[#This Row],[NOME]],Tabella1[Amm])</f>
        <v>0</v>
      </c>
      <c r="V423" s="42">
        <f>SUMIF(Tabella1[Nome],Tabella4[[#This Row],[NOME]],Tabella1[Esp])</f>
        <v>0</v>
      </c>
      <c r="W423" s="40">
        <f>SUMIF(Tabella1[Nome],Tabella4[[#This Row],[NOME]],Tabella1[Ass])</f>
        <v>0</v>
      </c>
      <c r="X423" s="40">
        <f>SUMIF(Tabella1[Nome],Tabella4[[#This Row],[NOME]],Tabella1[Gdv])</f>
        <v>0</v>
      </c>
      <c r="Y423" s="40">
        <f>SUMIF(Tabella1[Nome],Tabella4[[#This Row],[NOME]],Tabella1[cl sh])</f>
        <v>0</v>
      </c>
      <c r="Z423" s="270" t="str">
        <f>_xlfn.IFNA(_xlfn.XLOOKUP(CONCATENATE(Z$4,$C423),Tabella1[CONC X VOTI IN TAB GIOC],Tabella1[Voto],""),"")</f>
        <v/>
      </c>
      <c r="AA423" s="270">
        <f>_xlfn.IFNA(_xlfn.XLOOKUP(CONCATENATE(AA$4,$C423),Tabella1[CONC X VOTI IN TAB GIOC],Tabella1[Voto],""),"")</f>
        <v>6</v>
      </c>
      <c r="AB423" s="270">
        <f>_xlfn.IFNA(_xlfn.XLOOKUP(CONCATENATE(AB$4,$C423),Tabella1[CONC X VOTI IN TAB GIOC],Tabella1[Voto]),"")</f>
        <v>6</v>
      </c>
      <c r="AC423" s="270" t="str" cm="1">
        <f t="array" ref="AC423">_xlfn.IFNA(_xlfn.XLOOKUP(CONCATENATE(AC$4,$C423),INDEX(Tabella1[],0,MATCH("CONC X VOTI IN TAB GIOC",Tabella1[#Headers],0)),INDEX(Tabella1[],0,MATCH("Voto",Tabella1[#Headers],0))),"")</f>
        <v/>
      </c>
      <c r="AD423" s="270" t="str">
        <f>_xlfn.IFNA(_xlfn.XLOOKUP(CONCATENATE(AD$4,$C423),Tabella1[CONC X VOTI IN TAB GIOC],Tabella1[Voto]),"")</f>
        <v/>
      </c>
      <c r="AE423" s="270" t="str">
        <f>_xlfn.IFNA(VLOOKUP(CONCATENATE(AE$4,$C423),'INSER DATA'!$A:$F,6,0),"")</f>
        <v/>
      </c>
      <c r="AF423" s="270" t="str">
        <f>_xlfn.IFNA(VLOOKUP(CONCATENATE(AF$4,$C423),'INSER DATA'!$A:$F,6,0),"")</f>
        <v/>
      </c>
      <c r="AG423" s="270" t="str">
        <f>_xlfn.IFNA(VLOOKUP(CONCATENATE(AG$4,$C423),'INSER DATA'!$A:$F,6,0),"")</f>
        <v/>
      </c>
      <c r="AH423" s="270" t="str">
        <f>_xlfn.IFNA(VLOOKUP(CONCATENATE(AH$4,$C423),'INSER DATA'!$A:$F,7,0),"")</f>
        <v/>
      </c>
      <c r="AI423" s="270" t="str">
        <f>_xlfn.IFNA(VLOOKUP(CONCATENATE(AI$4,$C423),'INSER DATA'!$A:$F,7,0),"")</f>
        <v/>
      </c>
      <c r="AJ423" s="270" t="str">
        <f>_xlfn.IFNA(VLOOKUP(CONCATENATE(AJ$4,$C423),'INSER DATA'!$A:$F,7,0),"")</f>
        <v/>
      </c>
      <c r="AK423" s="270" t="str">
        <f>_xlfn.IFNA(VLOOKUP(CONCATENATE(AK$4,$C423),'INSER DATA'!$A:$F,7,0),"")</f>
        <v/>
      </c>
      <c r="AL423" s="270" t="str">
        <f>_xlfn.IFNA(VLOOKUP(CONCATENATE(AL$4,$C423),'INSER DATA'!$A:$F,7,0),"")</f>
        <v/>
      </c>
      <c r="AM423" s="270" t="str">
        <f>_xlfn.IFNA(VLOOKUP(CONCATENATE(AM$4,$C423),'INSER DATA'!$A:$F,7,0),"")</f>
        <v/>
      </c>
      <c r="AN423" s="270" t="str">
        <f>_xlfn.IFNA(VLOOKUP(CONCATENATE(AN$4,$C423),'INSER DATA'!$A:$F,7,0),"")</f>
        <v/>
      </c>
      <c r="AO423" s="270" t="str">
        <f>_xlfn.IFNA(VLOOKUP(CONCATENATE(AO$4,$C423),'INSER DATA'!$A:$F,7,0),"")</f>
        <v/>
      </c>
      <c r="AP423" s="270" t="str">
        <f>_xlfn.IFNA(VLOOKUP(CONCATENATE(AP$4,$C423),'INSER DATA'!$A:$F,7,0),"")</f>
        <v/>
      </c>
      <c r="AQ423" s="270" t="str">
        <f>_xlfn.IFNA(VLOOKUP(CONCATENATE(AQ$4,$C423),'INSER DATA'!$A:$F,7,0),"")</f>
        <v/>
      </c>
      <c r="AR423" s="270" t="str">
        <f>_xlfn.IFNA(VLOOKUP(CONCATENATE(AR$4,$C423),'INSER DATA'!$A:$F,7,0),"")</f>
        <v/>
      </c>
      <c r="AS423" s="270" t="str">
        <f>_xlfn.IFNA(VLOOKUP(CONCATENATE(AS$4,$C423),'INSER DATA'!$A:$F,7,0),"")</f>
        <v/>
      </c>
      <c r="AT423" s="270" t="str">
        <f>_xlfn.IFNA(VLOOKUP(CONCATENATE(AT$4,$C423),'INSER DATA'!$A:$F,7,0),"")</f>
        <v/>
      </c>
      <c r="AU423" s="270" t="str">
        <f>_xlfn.IFNA(VLOOKUP(CONCATENATE(AU$4,$C423),'INSER DATA'!$A:$F,7,0),"")</f>
        <v/>
      </c>
      <c r="AV423" s="270" t="str">
        <f>_xlfn.IFNA(VLOOKUP(CONCATENATE(AV$4,$C423),'INSER DATA'!$A:$F,7,0),"")</f>
        <v/>
      </c>
      <c r="AW423" s="270" t="str">
        <f>_xlfn.IFNA(VLOOKUP(CONCATENATE(AW$4,$C423),'INSER DATA'!$A:$F,7,0),"")</f>
        <v/>
      </c>
      <c r="AX423" s="270" t="str">
        <f>_xlfn.IFNA(VLOOKUP(CONCATENATE(AX$4,$C423),'INSER DATA'!$A:$F,7,0),"")</f>
        <v/>
      </c>
      <c r="AY423" s="270" t="str">
        <f>_xlfn.IFNA(VLOOKUP(CONCATENATE(AY$4,$C423),'INSER DATA'!$A:$F,7,0),"")</f>
        <v/>
      </c>
      <c r="AZ423" s="270" t="str">
        <f>_xlfn.IFNA(VLOOKUP(CONCATENATE(AZ$4,$C423),'INSER DATA'!$A:$F,7,0),"")</f>
        <v/>
      </c>
      <c r="BA423" s="270" t="str">
        <f>_xlfn.IFNA(VLOOKUP(CONCATENATE(BA$4,$C423),'INSER DATA'!$A:$F,7,0),"")</f>
        <v/>
      </c>
      <c r="BB423" s="270" t="str">
        <f>_xlfn.IFNA(VLOOKUP(CONCATENATE(BB$4,$C423),'INSER DATA'!$A:$F,7,0),"")</f>
        <v/>
      </c>
      <c r="BC423" s="270" t="str">
        <f>_xlfn.IFNA(VLOOKUP(CONCATENATE(BC$4,$C423),'INSER DATA'!$A:$F,7,0),"")</f>
        <v/>
      </c>
      <c r="BD423" s="270" t="str">
        <f>_xlfn.IFNA(VLOOKUP(CONCATENATE(BD$4,$C423),'INSER DATA'!$A:$F,7,0),"")</f>
        <v/>
      </c>
      <c r="BE423" s="270" t="str">
        <f>_xlfn.IFNA(VLOOKUP(CONCATENATE(BE$4,$C423),'INSER DATA'!$A:$F,7,0),"")</f>
        <v/>
      </c>
      <c r="BF423" s="270" t="str">
        <f>_xlfn.IFNA(VLOOKUP(CONCATENATE(BF$4,$C423),'INSER DATA'!$A:$F,7,0),"")</f>
        <v/>
      </c>
      <c r="BG423" s="270" t="str">
        <f>_xlfn.IFNA(VLOOKUP(CONCATENATE(BG$4,$C423),'INSER DATA'!$A:$F,7,0),"")</f>
        <v/>
      </c>
      <c r="BH423" s="270" t="str">
        <f>_xlfn.IFNA(VLOOKUP(CONCATENATE(BH$4,$C423),'INSER DATA'!$A:$F,7,0),"")</f>
        <v/>
      </c>
      <c r="BI423" s="270" t="str">
        <f>_xlfn.IFNA(VLOOKUP(CONCATENATE(BI$4,$C423),'INSER DATA'!$A:$F,7,0),"")</f>
        <v/>
      </c>
      <c r="BJ423" s="270" t="str">
        <f>_xlfn.IFNA(VLOOKUP(CONCATENATE(BJ$4,$C423),'INSER DATA'!$A:$F,7,0),"")</f>
        <v/>
      </c>
      <c r="BK423" s="270" t="str">
        <f>_xlfn.IFNA(VLOOKUP(CONCATENATE(BK$4,$C423),'INSER DATA'!$A:$F,7,0),"")</f>
        <v/>
      </c>
      <c r="BL423" s="272"/>
      <c r="BM423" s="30"/>
      <c r="BN423" s="30"/>
      <c r="BO423" s="30"/>
      <c r="BP423" s="30"/>
      <c r="BQ423" s="30"/>
      <c r="BR423" s="30"/>
      <c r="BS423" s="30"/>
      <c r="BT423" s="30"/>
      <c r="BU423" s="30"/>
      <c r="BV423" s="30"/>
      <c r="BW423" s="30"/>
      <c r="BX423" s="30"/>
      <c r="BY423" s="30"/>
      <c r="BZ423" s="30"/>
      <c r="CA423" s="30"/>
      <c r="CB423" s="30"/>
      <c r="CC423" s="30"/>
      <c r="CD423" s="30"/>
      <c r="CE423" s="30"/>
      <c r="CF423" s="30"/>
      <c r="CG423" s="30"/>
      <c r="CH423" s="30"/>
      <c r="CI423" s="30"/>
      <c r="CJ423" s="30"/>
      <c r="CK423" s="30"/>
      <c r="CL423" s="30"/>
      <c r="CM423" s="30"/>
      <c r="CN423" s="30"/>
      <c r="CO423" s="30"/>
      <c r="CP423" s="30"/>
      <c r="CQ423" s="30"/>
      <c r="CR423" s="30"/>
      <c r="CS423" s="30"/>
      <c r="CT423" s="30"/>
      <c r="CU423" s="30"/>
      <c r="CV423" s="30"/>
      <c r="CW423" s="30"/>
      <c r="CX423" s="30"/>
      <c r="CY423" s="30"/>
      <c r="CZ423" s="30"/>
      <c r="DA423" s="30"/>
    </row>
    <row r="424" spans="1:105" ht="19.2" thickTop="1" thickBot="1" x14ac:dyDescent="0.4">
      <c r="A424" s="30"/>
      <c r="B424" s="30"/>
      <c r="C424" s="185" t="s">
        <v>920</v>
      </c>
      <c r="D424" s="46" t="s">
        <v>910</v>
      </c>
      <c r="E424" s="35" t="str">
        <f>_xlfn.XLOOKUP(Tabella4[[#This Row],[NOME]],'ROSE SQUADRE'!$N$3:$N$253,'ROSE SQUADRE'!$O$3:$O$253,"")</f>
        <v/>
      </c>
      <c r="F424" s="36" t="s">
        <v>162</v>
      </c>
      <c r="G424" s="43">
        <v>5</v>
      </c>
      <c r="H424" s="43">
        <v>5</v>
      </c>
      <c r="I424" s="44">
        <f t="shared" si="37"/>
        <v>0</v>
      </c>
      <c r="J424" s="37">
        <f t="shared" si="38"/>
        <v>4</v>
      </c>
      <c r="K424" s="38">
        <f t="shared" si="39"/>
        <v>6.5</v>
      </c>
      <c r="L424" s="38">
        <f t="shared" si="40"/>
        <v>8.5</v>
      </c>
      <c r="M424" s="39">
        <f t="shared" si="41"/>
        <v>34</v>
      </c>
      <c r="N424" s="45">
        <f t="shared" ca="1" si="42"/>
        <v>0</v>
      </c>
      <c r="O424" s="40">
        <f>SUMIF(Tabella1[Nome],Tabella4[[#This Row],[NOME]],Tabella1[Gf])</f>
        <v>2</v>
      </c>
      <c r="P424" s="40">
        <f>-(SUMIF(Tabella1[Nome],Tabella4[[#This Row],[NOME]],Tabella1[Gs]))</f>
        <v>0</v>
      </c>
      <c r="Q424" s="40">
        <f>SUMIF(Tabella1[Nome],Tabella4[[#This Row],[NOME]],Tabella1[Rp])</f>
        <v>0</v>
      </c>
      <c r="R424" s="40">
        <f>SUMIF(Tabella1[Nome],Tabella4[[#This Row],[NOME]],Tabella1[Rs])</f>
        <v>0</v>
      </c>
      <c r="S424" s="40">
        <f>SUMIF(Tabella1[Nome],Tabella4[[#This Row],[NOME]],Tabella1[Rf])</f>
        <v>0</v>
      </c>
      <c r="T424" s="40">
        <f>SUMIF(Tabella1[Nome],Tabella4[[#This Row],[NOME]],Tabella1[Au])</f>
        <v>0</v>
      </c>
      <c r="U424" s="41">
        <f>SUMIF(Tabella1[Nome],Tabella4[[#This Row],[NOME]],Tabella1[Amm])</f>
        <v>0</v>
      </c>
      <c r="V424" s="42">
        <f>SUMIF(Tabella1[Nome],Tabella4[[#This Row],[NOME]],Tabella1[Esp])</f>
        <v>0</v>
      </c>
      <c r="W424" s="40">
        <f>SUMIF(Tabella1[Nome],Tabella4[[#This Row],[NOME]],Tabella1[Ass])</f>
        <v>1</v>
      </c>
      <c r="X424" s="40">
        <f>SUMIF(Tabella1[Nome],Tabella4[[#This Row],[NOME]],Tabella1[Gdv])</f>
        <v>1</v>
      </c>
      <c r="Y424" s="40">
        <f>SUMIF(Tabella1[Nome],Tabella4[[#This Row],[NOME]],Tabella1[cl sh])</f>
        <v>0</v>
      </c>
      <c r="Z424" s="270">
        <f>_xlfn.IFNA(_xlfn.XLOOKUP(CONCATENATE(Z$4,$C424),Tabella1[CONC X VOTI IN TAB GIOC],Tabella1[Voto],""),"")</f>
        <v>5.5</v>
      </c>
      <c r="AA424" s="270">
        <f>_xlfn.IFNA(_xlfn.XLOOKUP(CONCATENATE(AA$4,$C424),Tabella1[CONC X VOTI IN TAB GIOC],Tabella1[Voto],""),"")</f>
        <v>6.5</v>
      </c>
      <c r="AB424" s="270">
        <f>_xlfn.IFNA(_xlfn.XLOOKUP(CONCATENATE(AB$4,$C424),Tabella1[CONC X VOTI IN TAB GIOC],Tabella1[Voto]),"")</f>
        <v>7</v>
      </c>
      <c r="AC424" s="270" cm="1">
        <f t="array" ref="AC424">_xlfn.IFNA(_xlfn.XLOOKUP(CONCATENATE(AC$4,$C424),INDEX(Tabella1[],0,MATCH("CONC X VOTI IN TAB GIOC",Tabella1[#Headers],0)),INDEX(Tabella1[],0,MATCH("Voto",Tabella1[#Headers],0))),"")</f>
        <v>7</v>
      </c>
      <c r="AD424" s="270" t="str">
        <f>_xlfn.IFNA(_xlfn.XLOOKUP(CONCATENATE(AD$4,$C424),Tabella1[CONC X VOTI IN TAB GIOC],Tabella1[Voto]),"")</f>
        <v/>
      </c>
      <c r="AE424" s="270" t="str">
        <f>_xlfn.IFNA(VLOOKUP(CONCATENATE(AE$4,$C424),'INSER DATA'!$A:$F,6,0),"")</f>
        <v/>
      </c>
      <c r="AF424" s="270" t="str">
        <f>_xlfn.IFNA(VLOOKUP(CONCATENATE(AF$4,$C424),'INSER DATA'!$A:$F,6,0),"")</f>
        <v/>
      </c>
      <c r="AG424" s="270" t="str">
        <f>_xlfn.IFNA(VLOOKUP(CONCATENATE(AG$4,$C424),'INSER DATA'!$A:$F,6,0),"")</f>
        <v/>
      </c>
      <c r="AH424" s="270" t="str">
        <f>_xlfn.IFNA(VLOOKUP(CONCATENATE(AH$4,$C424),'INSER DATA'!$A:$F,7,0),"")</f>
        <v/>
      </c>
      <c r="AI424" s="270" t="str">
        <f>_xlfn.IFNA(VLOOKUP(CONCATENATE(AI$4,$C424),'INSER DATA'!$A:$F,7,0),"")</f>
        <v/>
      </c>
      <c r="AJ424" s="270" t="str">
        <f>_xlfn.IFNA(VLOOKUP(CONCATENATE(AJ$4,$C424),'INSER DATA'!$A:$F,7,0),"")</f>
        <v/>
      </c>
      <c r="AK424" s="270" t="str">
        <f>_xlfn.IFNA(VLOOKUP(CONCATENATE(AK$4,$C424),'INSER DATA'!$A:$F,7,0),"")</f>
        <v/>
      </c>
      <c r="AL424" s="270" t="str">
        <f>_xlfn.IFNA(VLOOKUP(CONCATENATE(AL$4,$C424),'INSER DATA'!$A:$F,7,0),"")</f>
        <v/>
      </c>
      <c r="AM424" s="270" t="str">
        <f>_xlfn.IFNA(VLOOKUP(CONCATENATE(AM$4,$C424),'INSER DATA'!$A:$F,7,0),"")</f>
        <v/>
      </c>
      <c r="AN424" s="270" t="str">
        <f>_xlfn.IFNA(VLOOKUP(CONCATENATE(AN$4,$C424),'INSER DATA'!$A:$F,7,0),"")</f>
        <v/>
      </c>
      <c r="AO424" s="270" t="str">
        <f>_xlfn.IFNA(VLOOKUP(CONCATENATE(AO$4,$C424),'INSER DATA'!$A:$F,7,0),"")</f>
        <v/>
      </c>
      <c r="AP424" s="270" t="str">
        <f>_xlfn.IFNA(VLOOKUP(CONCATENATE(AP$4,$C424),'INSER DATA'!$A:$F,7,0),"")</f>
        <v/>
      </c>
      <c r="AQ424" s="270" t="str">
        <f>_xlfn.IFNA(VLOOKUP(CONCATENATE(AQ$4,$C424),'INSER DATA'!$A:$F,7,0),"")</f>
        <v/>
      </c>
      <c r="AR424" s="270" t="str">
        <f>_xlfn.IFNA(VLOOKUP(CONCATENATE(AR$4,$C424),'INSER DATA'!$A:$F,7,0),"")</f>
        <v/>
      </c>
      <c r="AS424" s="270" t="str">
        <f>_xlfn.IFNA(VLOOKUP(CONCATENATE(AS$4,$C424),'INSER DATA'!$A:$F,7,0),"")</f>
        <v/>
      </c>
      <c r="AT424" s="270" t="str">
        <f>_xlfn.IFNA(VLOOKUP(CONCATENATE(AT$4,$C424),'INSER DATA'!$A:$F,7,0),"")</f>
        <v/>
      </c>
      <c r="AU424" s="270" t="str">
        <f>_xlfn.IFNA(VLOOKUP(CONCATENATE(AU$4,$C424),'INSER DATA'!$A:$F,7,0),"")</f>
        <v/>
      </c>
      <c r="AV424" s="270" t="str">
        <f>_xlfn.IFNA(VLOOKUP(CONCATENATE(AV$4,$C424),'INSER DATA'!$A:$F,7,0),"")</f>
        <v/>
      </c>
      <c r="AW424" s="270" t="str">
        <f>_xlfn.IFNA(VLOOKUP(CONCATENATE(AW$4,$C424),'INSER DATA'!$A:$F,7,0),"")</f>
        <v/>
      </c>
      <c r="AX424" s="270" t="str">
        <f>_xlfn.IFNA(VLOOKUP(CONCATENATE(AX$4,$C424),'INSER DATA'!$A:$F,7,0),"")</f>
        <v/>
      </c>
      <c r="AY424" s="270" t="str">
        <f>_xlfn.IFNA(VLOOKUP(CONCATENATE(AY$4,$C424),'INSER DATA'!$A:$F,7,0),"")</f>
        <v/>
      </c>
      <c r="AZ424" s="270" t="str">
        <f>_xlfn.IFNA(VLOOKUP(CONCATENATE(AZ$4,$C424),'INSER DATA'!$A:$F,7,0),"")</f>
        <v/>
      </c>
      <c r="BA424" s="270" t="str">
        <f>_xlfn.IFNA(VLOOKUP(CONCATENATE(BA$4,$C424),'INSER DATA'!$A:$F,7,0),"")</f>
        <v/>
      </c>
      <c r="BB424" s="270" t="str">
        <f>_xlfn.IFNA(VLOOKUP(CONCATENATE(BB$4,$C424),'INSER DATA'!$A:$F,7,0),"")</f>
        <v/>
      </c>
      <c r="BC424" s="270" t="str">
        <f>_xlfn.IFNA(VLOOKUP(CONCATENATE(BC$4,$C424),'INSER DATA'!$A:$F,7,0),"")</f>
        <v/>
      </c>
      <c r="BD424" s="270" t="str">
        <f>_xlfn.IFNA(VLOOKUP(CONCATENATE(BD$4,$C424),'INSER DATA'!$A:$F,7,0),"")</f>
        <v/>
      </c>
      <c r="BE424" s="270" t="str">
        <f>_xlfn.IFNA(VLOOKUP(CONCATENATE(BE$4,$C424),'INSER DATA'!$A:$F,7,0),"")</f>
        <v/>
      </c>
      <c r="BF424" s="270" t="str">
        <f>_xlfn.IFNA(VLOOKUP(CONCATENATE(BF$4,$C424),'INSER DATA'!$A:$F,7,0),"")</f>
        <v/>
      </c>
      <c r="BG424" s="270" t="str">
        <f>_xlfn.IFNA(VLOOKUP(CONCATENATE(BG$4,$C424),'INSER DATA'!$A:$F,7,0),"")</f>
        <v/>
      </c>
      <c r="BH424" s="270" t="str">
        <f>_xlfn.IFNA(VLOOKUP(CONCATENATE(BH$4,$C424),'INSER DATA'!$A:$F,7,0),"")</f>
        <v/>
      </c>
      <c r="BI424" s="270" t="str">
        <f>_xlfn.IFNA(VLOOKUP(CONCATENATE(BI$4,$C424),'INSER DATA'!$A:$F,7,0),"")</f>
        <v/>
      </c>
      <c r="BJ424" s="270" t="str">
        <f>_xlfn.IFNA(VLOOKUP(CONCATENATE(BJ$4,$C424),'INSER DATA'!$A:$F,7,0),"")</f>
        <v/>
      </c>
      <c r="BK424" s="270" t="str">
        <f>_xlfn.IFNA(VLOOKUP(CONCATENATE(BK$4,$C424),'INSER DATA'!$A:$F,7,0),"")</f>
        <v/>
      </c>
      <c r="BL424" s="272"/>
      <c r="BM424" s="30"/>
      <c r="BN424" s="30"/>
      <c r="BO424" s="30"/>
      <c r="BP424" s="30"/>
      <c r="BQ424" s="30"/>
      <c r="BR424" s="30"/>
      <c r="BS424" s="30"/>
      <c r="BT424" s="30"/>
      <c r="BU424" s="30"/>
      <c r="BV424" s="30"/>
      <c r="BW424" s="30"/>
      <c r="BX424" s="30"/>
      <c r="BY424" s="30"/>
      <c r="BZ424" s="30"/>
      <c r="CA424" s="30"/>
      <c r="CB424" s="30"/>
      <c r="CC424" s="30"/>
      <c r="CD424" s="30"/>
      <c r="CE424" s="30"/>
      <c r="CF424" s="30"/>
      <c r="CG424" s="30"/>
      <c r="CH424" s="30"/>
      <c r="CI424" s="30"/>
      <c r="CJ424" s="30"/>
      <c r="CK424" s="30"/>
      <c r="CL424" s="30"/>
      <c r="CM424" s="30"/>
      <c r="CN424" s="30"/>
      <c r="CO424" s="30"/>
      <c r="CP424" s="30"/>
      <c r="CQ424" s="30"/>
      <c r="CR424" s="30"/>
      <c r="CS424" s="30"/>
      <c r="CT424" s="30"/>
      <c r="CU424" s="30"/>
      <c r="CV424" s="30"/>
      <c r="CW424" s="30"/>
      <c r="CX424" s="30"/>
      <c r="CY424" s="30"/>
      <c r="CZ424" s="30"/>
      <c r="DA424" s="30"/>
    </row>
    <row r="425" spans="1:105" ht="19.2" thickTop="1" thickBot="1" x14ac:dyDescent="0.4">
      <c r="A425" s="30"/>
      <c r="B425" s="30"/>
      <c r="C425" s="185" t="s">
        <v>921</v>
      </c>
      <c r="D425" s="46" t="s">
        <v>910</v>
      </c>
      <c r="E425" s="35" t="str">
        <f>_xlfn.XLOOKUP(Tabella4[[#This Row],[NOME]],'ROSE SQUADRE'!$N$3:$N$253,'ROSE SQUADRE'!$O$3:$O$253,"")</f>
        <v/>
      </c>
      <c r="F425" s="36" t="s">
        <v>162</v>
      </c>
      <c r="G425" s="43">
        <v>5</v>
      </c>
      <c r="H425" s="43">
        <v>5</v>
      </c>
      <c r="I425" s="44">
        <f t="shared" si="37"/>
        <v>0</v>
      </c>
      <c r="J425" s="37">
        <f t="shared" si="38"/>
        <v>3</v>
      </c>
      <c r="K425" s="178">
        <f t="shared" si="39"/>
        <v>6.166666666666667</v>
      </c>
      <c r="L425" s="178">
        <f t="shared" si="40"/>
        <v>6.5</v>
      </c>
      <c r="M425" s="179">
        <f t="shared" si="41"/>
        <v>19.5</v>
      </c>
      <c r="N425" s="45">
        <f t="shared" ca="1" si="42"/>
        <v>0</v>
      </c>
      <c r="O425" s="40">
        <f>SUMIF(Tabella1[Nome],Tabella4[[#This Row],[NOME]],Tabella1[Gf])</f>
        <v>0</v>
      </c>
      <c r="P425" s="40">
        <f>-(SUMIF(Tabella1[Nome],Tabella4[[#This Row],[NOME]],Tabella1[Gs]))</f>
        <v>0</v>
      </c>
      <c r="Q425" s="40">
        <f>SUMIF(Tabella1[Nome],Tabella4[[#This Row],[NOME]],Tabella1[Rp])</f>
        <v>0</v>
      </c>
      <c r="R425" s="40">
        <f>SUMIF(Tabella1[Nome],Tabella4[[#This Row],[NOME]],Tabella1[Rs])</f>
        <v>0</v>
      </c>
      <c r="S425" s="40">
        <f>SUMIF(Tabella1[Nome],Tabella4[[#This Row],[NOME]],Tabella1[Rf])</f>
        <v>0</v>
      </c>
      <c r="T425" s="40">
        <f>SUMIF(Tabella1[Nome],Tabella4[[#This Row],[NOME]],Tabella1[Au])</f>
        <v>0</v>
      </c>
      <c r="U425" s="41">
        <f>SUMIF(Tabella1[Nome],Tabella4[[#This Row],[NOME]],Tabella1[Amm])</f>
        <v>0</v>
      </c>
      <c r="V425" s="42">
        <f>SUMIF(Tabella1[Nome],Tabella4[[#This Row],[NOME]],Tabella1[Esp])</f>
        <v>0</v>
      </c>
      <c r="W425" s="40">
        <f>SUMIF(Tabella1[Nome],Tabella4[[#This Row],[NOME]],Tabella1[Ass])</f>
        <v>1</v>
      </c>
      <c r="X425" s="40">
        <f>SUMIF(Tabella1[Nome],Tabella4[[#This Row],[NOME]],Tabella1[Gdv])</f>
        <v>0</v>
      </c>
      <c r="Y425" s="40">
        <f>SUMIF(Tabella1[Nome],Tabella4[[#This Row],[NOME]],Tabella1[cl sh])</f>
        <v>0</v>
      </c>
      <c r="Z425" s="270">
        <f>_xlfn.IFNA(_xlfn.XLOOKUP(CONCATENATE(Z$4,$C425),Tabella1[CONC X VOTI IN TAB GIOC],Tabella1[Voto],""),"")</f>
        <v>6</v>
      </c>
      <c r="AA425" s="270">
        <f>_xlfn.IFNA(_xlfn.XLOOKUP(CONCATENATE(AA$4,$C425),Tabella1[CONC X VOTI IN TAB GIOC],Tabella1[Voto],""),"")</f>
        <v>6</v>
      </c>
      <c r="AB425" s="270" t="str">
        <f>_xlfn.IFNA(_xlfn.XLOOKUP(CONCATENATE(AB$4,$C425),Tabella1[CONC X VOTI IN TAB GIOC],Tabella1[Voto]),"")</f>
        <v/>
      </c>
      <c r="AC425" s="270" cm="1">
        <f t="array" ref="AC425">_xlfn.IFNA(_xlfn.XLOOKUP(CONCATENATE(AC$4,$C425),INDEX(Tabella1[],0,MATCH("CONC X VOTI IN TAB GIOC",Tabella1[#Headers],0)),INDEX(Tabella1[],0,MATCH("Voto",Tabella1[#Headers],0))),"")</f>
        <v>6.5</v>
      </c>
      <c r="AD425" s="270" t="str">
        <f>_xlfn.IFNA(_xlfn.XLOOKUP(CONCATENATE(AD$4,$C425),Tabella1[CONC X VOTI IN TAB GIOC],Tabella1[Voto]),"")</f>
        <v/>
      </c>
      <c r="AE425" s="270" t="str">
        <f>_xlfn.IFNA(VLOOKUP(CONCATENATE(AE$4,$C425),'INSER DATA'!$A:$F,6,0),"")</f>
        <v/>
      </c>
      <c r="AF425" s="270" t="str">
        <f>_xlfn.IFNA(VLOOKUP(CONCATENATE(AF$4,$C425),'INSER DATA'!$A:$F,6,0),"")</f>
        <v/>
      </c>
      <c r="AG425" s="270" t="str">
        <f>_xlfn.IFNA(VLOOKUP(CONCATENATE(AG$4,$C425),'INSER DATA'!$A:$F,6,0),"")</f>
        <v/>
      </c>
      <c r="AH425" s="270" t="str">
        <f>_xlfn.IFNA(VLOOKUP(CONCATENATE(AH$4,$C425),'INSER DATA'!$A:$F,7,0),"")</f>
        <v/>
      </c>
      <c r="AI425" s="270" t="str">
        <f>_xlfn.IFNA(VLOOKUP(CONCATENATE(AI$4,$C425),'INSER DATA'!$A:$F,7,0),"")</f>
        <v/>
      </c>
      <c r="AJ425" s="270" t="str">
        <f>_xlfn.IFNA(VLOOKUP(CONCATENATE(AJ$4,$C425),'INSER DATA'!$A:$F,7,0),"")</f>
        <v/>
      </c>
      <c r="AK425" s="270" t="str">
        <f>_xlfn.IFNA(VLOOKUP(CONCATENATE(AK$4,$C425),'INSER DATA'!$A:$F,7,0),"")</f>
        <v/>
      </c>
      <c r="AL425" s="270" t="str">
        <f>_xlfn.IFNA(VLOOKUP(CONCATENATE(AL$4,$C425),'INSER DATA'!$A:$F,7,0),"")</f>
        <v/>
      </c>
      <c r="AM425" s="270" t="str">
        <f>_xlfn.IFNA(VLOOKUP(CONCATENATE(AM$4,$C425),'INSER DATA'!$A:$F,7,0),"")</f>
        <v/>
      </c>
      <c r="AN425" s="270" t="str">
        <f>_xlfn.IFNA(VLOOKUP(CONCATENATE(AN$4,$C425),'INSER DATA'!$A:$F,7,0),"")</f>
        <v/>
      </c>
      <c r="AO425" s="270" t="str">
        <f>_xlfn.IFNA(VLOOKUP(CONCATENATE(AO$4,$C425),'INSER DATA'!$A:$F,7,0),"")</f>
        <v/>
      </c>
      <c r="AP425" s="270" t="str">
        <f>_xlfn.IFNA(VLOOKUP(CONCATENATE(AP$4,$C425),'INSER DATA'!$A:$F,7,0),"")</f>
        <v/>
      </c>
      <c r="AQ425" s="270" t="str">
        <f>_xlfn.IFNA(VLOOKUP(CONCATENATE(AQ$4,$C425),'INSER DATA'!$A:$F,7,0),"")</f>
        <v/>
      </c>
      <c r="AR425" s="270" t="str">
        <f>_xlfn.IFNA(VLOOKUP(CONCATENATE(AR$4,$C425),'INSER DATA'!$A:$F,7,0),"")</f>
        <v/>
      </c>
      <c r="AS425" s="270" t="str">
        <f>_xlfn.IFNA(VLOOKUP(CONCATENATE(AS$4,$C425),'INSER DATA'!$A:$F,7,0),"")</f>
        <v/>
      </c>
      <c r="AT425" s="270" t="str">
        <f>_xlfn.IFNA(VLOOKUP(CONCATENATE(AT$4,$C425),'INSER DATA'!$A:$F,7,0),"")</f>
        <v/>
      </c>
      <c r="AU425" s="270" t="str">
        <f>_xlfn.IFNA(VLOOKUP(CONCATENATE(AU$4,$C425),'INSER DATA'!$A:$F,7,0),"")</f>
        <v/>
      </c>
      <c r="AV425" s="270" t="str">
        <f>_xlfn.IFNA(VLOOKUP(CONCATENATE(AV$4,$C425),'INSER DATA'!$A:$F,7,0),"")</f>
        <v/>
      </c>
      <c r="AW425" s="270" t="str">
        <f>_xlfn.IFNA(VLOOKUP(CONCATENATE(AW$4,$C425),'INSER DATA'!$A:$F,7,0),"")</f>
        <v/>
      </c>
      <c r="AX425" s="270" t="str">
        <f>_xlfn.IFNA(VLOOKUP(CONCATENATE(AX$4,$C425),'INSER DATA'!$A:$F,7,0),"")</f>
        <v/>
      </c>
      <c r="AY425" s="270" t="str">
        <f>_xlfn.IFNA(VLOOKUP(CONCATENATE(AY$4,$C425),'INSER DATA'!$A:$F,7,0),"")</f>
        <v/>
      </c>
      <c r="AZ425" s="270" t="str">
        <f>_xlfn.IFNA(VLOOKUP(CONCATENATE(AZ$4,$C425),'INSER DATA'!$A:$F,7,0),"")</f>
        <v/>
      </c>
      <c r="BA425" s="270" t="str">
        <f>_xlfn.IFNA(VLOOKUP(CONCATENATE(BA$4,$C425),'INSER DATA'!$A:$F,7,0),"")</f>
        <v/>
      </c>
      <c r="BB425" s="270" t="str">
        <f>_xlfn.IFNA(VLOOKUP(CONCATENATE(BB$4,$C425),'INSER DATA'!$A:$F,7,0),"")</f>
        <v/>
      </c>
      <c r="BC425" s="270" t="str">
        <f>_xlfn.IFNA(VLOOKUP(CONCATENATE(BC$4,$C425),'INSER DATA'!$A:$F,7,0),"")</f>
        <v/>
      </c>
      <c r="BD425" s="270" t="str">
        <f>_xlfn.IFNA(VLOOKUP(CONCATENATE(BD$4,$C425),'INSER DATA'!$A:$F,7,0),"")</f>
        <v/>
      </c>
      <c r="BE425" s="270" t="str">
        <f>_xlfn.IFNA(VLOOKUP(CONCATENATE(BE$4,$C425),'INSER DATA'!$A:$F,7,0),"")</f>
        <v/>
      </c>
      <c r="BF425" s="270" t="str">
        <f>_xlfn.IFNA(VLOOKUP(CONCATENATE(BF$4,$C425),'INSER DATA'!$A:$F,7,0),"")</f>
        <v/>
      </c>
      <c r="BG425" s="270" t="str">
        <f>_xlfn.IFNA(VLOOKUP(CONCATENATE(BG$4,$C425),'INSER DATA'!$A:$F,7,0),"")</f>
        <v/>
      </c>
      <c r="BH425" s="270" t="str">
        <f>_xlfn.IFNA(VLOOKUP(CONCATENATE(BH$4,$C425),'INSER DATA'!$A:$F,7,0),"")</f>
        <v/>
      </c>
      <c r="BI425" s="270" t="str">
        <f>_xlfn.IFNA(VLOOKUP(CONCATENATE(BI$4,$C425),'INSER DATA'!$A:$F,7,0),"")</f>
        <v/>
      </c>
      <c r="BJ425" s="270" t="str">
        <f>_xlfn.IFNA(VLOOKUP(CONCATENATE(BJ$4,$C425),'INSER DATA'!$A:$F,7,0),"")</f>
        <v/>
      </c>
      <c r="BK425" s="270" t="str">
        <f>_xlfn.IFNA(VLOOKUP(CONCATENATE(BK$4,$C425),'INSER DATA'!$A:$F,7,0),"")</f>
        <v/>
      </c>
      <c r="BL425" s="272"/>
      <c r="BM425" s="30"/>
      <c r="BN425" s="30"/>
      <c r="BO425" s="30"/>
      <c r="BP425" s="30"/>
      <c r="BQ425" s="30"/>
      <c r="BR425" s="30"/>
      <c r="BS425" s="30"/>
      <c r="BT425" s="30"/>
      <c r="BU425" s="30"/>
      <c r="BV425" s="30"/>
      <c r="BW425" s="30"/>
      <c r="BX425" s="30"/>
      <c r="BY425" s="30"/>
      <c r="BZ425" s="30"/>
      <c r="CA425" s="30"/>
      <c r="CB425" s="30"/>
      <c r="CC425" s="30"/>
      <c r="CD425" s="30"/>
      <c r="CE425" s="30"/>
      <c r="CF425" s="30"/>
      <c r="CG425" s="30"/>
      <c r="CH425" s="30"/>
      <c r="CI425" s="30"/>
      <c r="CJ425" s="30"/>
      <c r="CK425" s="30"/>
      <c r="CL425" s="30"/>
      <c r="CM425" s="30"/>
      <c r="CN425" s="30"/>
      <c r="CO425" s="30"/>
      <c r="CP425" s="30"/>
      <c r="CQ425" s="30"/>
      <c r="CR425" s="30"/>
      <c r="CS425" s="30"/>
      <c r="CT425" s="30"/>
      <c r="CU425" s="30"/>
      <c r="CV425" s="30"/>
      <c r="CW425" s="30"/>
      <c r="CX425" s="30"/>
      <c r="CY425" s="30"/>
      <c r="CZ425" s="30"/>
      <c r="DA425" s="30"/>
    </row>
    <row r="426" spans="1:105" ht="19.2" thickTop="1" thickBot="1" x14ac:dyDescent="0.4">
      <c r="A426" s="30"/>
      <c r="B426" s="30"/>
      <c r="C426" s="356" t="s">
        <v>928</v>
      </c>
      <c r="D426" s="355" t="s">
        <v>910</v>
      </c>
      <c r="E426" s="35" t="str">
        <f>_xlfn.XLOOKUP(Tabella4[[#This Row],[NOME]],'ROSE SQUADRE'!$N$3:$N$253,'ROSE SQUADRE'!$O$3:$O$253,"")</f>
        <v>FC INTERNAZIOANALE</v>
      </c>
      <c r="F426" s="36" t="s">
        <v>162</v>
      </c>
      <c r="G426" s="43">
        <v>10</v>
      </c>
      <c r="H426" s="43">
        <v>10</v>
      </c>
      <c r="I426" s="44">
        <f t="shared" si="37"/>
        <v>0</v>
      </c>
      <c r="J426" s="37">
        <f t="shared" si="38"/>
        <v>4</v>
      </c>
      <c r="K426" s="178">
        <f t="shared" si="39"/>
        <v>5.875</v>
      </c>
      <c r="L426" s="178">
        <f t="shared" si="40"/>
        <v>5.875</v>
      </c>
      <c r="M426" s="179">
        <f t="shared" si="41"/>
        <v>23.5</v>
      </c>
      <c r="N426" s="45">
        <f t="shared" ca="1" si="42"/>
        <v>0</v>
      </c>
      <c r="O426" s="40">
        <f>SUMIF(Tabella1[Nome],Tabella4[[#This Row],[NOME]],Tabella1[Gf])</f>
        <v>0</v>
      </c>
      <c r="P426" s="40">
        <f>-(SUMIF(Tabella1[Nome],Tabella4[[#This Row],[NOME]],Tabella1[Gs]))</f>
        <v>0</v>
      </c>
      <c r="Q426" s="40">
        <f>SUMIF(Tabella1[Nome],Tabella4[[#This Row],[NOME]],Tabella1[Rp])</f>
        <v>0</v>
      </c>
      <c r="R426" s="40">
        <f>SUMIF(Tabella1[Nome],Tabella4[[#This Row],[NOME]],Tabella1[Rs])</f>
        <v>0</v>
      </c>
      <c r="S426" s="40">
        <f>SUMIF(Tabella1[Nome],Tabella4[[#This Row],[NOME]],Tabella1[Rf])</f>
        <v>0</v>
      </c>
      <c r="T426" s="40">
        <f>SUMIF(Tabella1[Nome],Tabella4[[#This Row],[NOME]],Tabella1[Au])</f>
        <v>0</v>
      </c>
      <c r="U426" s="41">
        <f>SUMIF(Tabella1[Nome],Tabella4[[#This Row],[NOME]],Tabella1[Amm])</f>
        <v>0</v>
      </c>
      <c r="V426" s="42">
        <f>SUMIF(Tabella1[Nome],Tabella4[[#This Row],[NOME]],Tabella1[Esp])</f>
        <v>0</v>
      </c>
      <c r="W426" s="40">
        <f>SUMIF(Tabella1[Nome],Tabella4[[#This Row],[NOME]],Tabella1[Ass])</f>
        <v>0</v>
      </c>
      <c r="X426" s="40">
        <f>SUMIF(Tabella1[Nome],Tabella4[[#This Row],[NOME]],Tabella1[Gdv])</f>
        <v>0</v>
      </c>
      <c r="Y426" s="40">
        <f>SUMIF(Tabella1[Nome],Tabella4[[#This Row],[NOME]],Tabella1[cl sh])</f>
        <v>0</v>
      </c>
      <c r="Z426" s="270">
        <f>_xlfn.IFNA(_xlfn.XLOOKUP(CONCATENATE(Z$4,$C426),Tabella1[CONC X VOTI IN TAB GIOC],Tabella1[Voto],""),"")</f>
        <v>6</v>
      </c>
      <c r="AA426" s="270">
        <f>_xlfn.IFNA(_xlfn.XLOOKUP(CONCATENATE(AA$4,$C426),Tabella1[CONC X VOTI IN TAB GIOC],Tabella1[Voto],""),"")</f>
        <v>6</v>
      </c>
      <c r="AB426" s="270">
        <f>_xlfn.IFNA(_xlfn.XLOOKUP(CONCATENATE(AB$4,$C426),Tabella1[CONC X VOTI IN TAB GIOC],Tabella1[Voto]),"")</f>
        <v>6</v>
      </c>
      <c r="AC426" s="270" cm="1">
        <f t="array" ref="AC426">_xlfn.IFNA(_xlfn.XLOOKUP(CONCATENATE(AC$4,$C426),INDEX(Tabella1[],0,MATCH("CONC X VOTI IN TAB GIOC",Tabella1[#Headers],0)),INDEX(Tabella1[],0,MATCH("Voto",Tabella1[#Headers],0))),"")</f>
        <v>5.5</v>
      </c>
      <c r="AD426" s="270" t="str">
        <f>_xlfn.IFNA(_xlfn.XLOOKUP(CONCATENATE(AD$4,$C426),Tabella1[CONC X VOTI IN TAB GIOC],Tabella1[Voto]),"")</f>
        <v/>
      </c>
      <c r="AE426" s="270" t="str">
        <f>_xlfn.IFNA(VLOOKUP(CONCATENATE(AE$4,$C426),'INSER DATA'!$A:$F,6,0),"")</f>
        <v/>
      </c>
      <c r="AF426" s="270" t="str">
        <f>_xlfn.IFNA(VLOOKUP(CONCATENATE(AF$4,$C426),'INSER DATA'!$A:$F,6,0),"")</f>
        <v/>
      </c>
      <c r="AG426" s="270" t="str">
        <f>_xlfn.IFNA(VLOOKUP(CONCATENATE(AG$4,$C426),'INSER DATA'!$A:$F,6,0),"")</f>
        <v/>
      </c>
      <c r="AH426" s="270" t="str">
        <f>_xlfn.IFNA(VLOOKUP(CONCATENATE(AH$4,$C426),'INSER DATA'!$A:$F,7,0),"")</f>
        <v/>
      </c>
      <c r="AI426" s="270" t="str">
        <f>_xlfn.IFNA(VLOOKUP(CONCATENATE(AI$4,$C426),'INSER DATA'!$A:$F,7,0),"")</f>
        <v/>
      </c>
      <c r="AJ426" s="270" t="str">
        <f>_xlfn.IFNA(VLOOKUP(CONCATENATE(AJ$4,$C426),'INSER DATA'!$A:$F,7,0),"")</f>
        <v/>
      </c>
      <c r="AK426" s="270" t="str">
        <f>_xlfn.IFNA(VLOOKUP(CONCATENATE(AK$4,$C426),'INSER DATA'!$A:$F,7,0),"")</f>
        <v/>
      </c>
      <c r="AL426" s="270" t="str">
        <f>_xlfn.IFNA(VLOOKUP(CONCATENATE(AL$4,$C426),'INSER DATA'!$A:$F,7,0),"")</f>
        <v/>
      </c>
      <c r="AM426" s="270" t="str">
        <f>_xlfn.IFNA(VLOOKUP(CONCATENATE(AM$4,$C426),'INSER DATA'!$A:$F,7,0),"")</f>
        <v/>
      </c>
      <c r="AN426" s="270" t="str">
        <f>_xlfn.IFNA(VLOOKUP(CONCATENATE(AN$4,$C426),'INSER DATA'!$A:$F,7,0),"")</f>
        <v/>
      </c>
      <c r="AO426" s="270" t="str">
        <f>_xlfn.IFNA(VLOOKUP(CONCATENATE(AO$4,$C426),'INSER DATA'!$A:$F,7,0),"")</f>
        <v/>
      </c>
      <c r="AP426" s="270" t="str">
        <f>_xlfn.IFNA(VLOOKUP(CONCATENATE(AP$4,$C426),'INSER DATA'!$A:$F,7,0),"")</f>
        <v/>
      </c>
      <c r="AQ426" s="270" t="str">
        <f>_xlfn.IFNA(VLOOKUP(CONCATENATE(AQ$4,$C426),'INSER DATA'!$A:$F,7,0),"")</f>
        <v/>
      </c>
      <c r="AR426" s="270" t="str">
        <f>_xlfn.IFNA(VLOOKUP(CONCATENATE(AR$4,$C426),'INSER DATA'!$A:$F,7,0),"")</f>
        <v/>
      </c>
      <c r="AS426" s="270" t="str">
        <f>_xlfn.IFNA(VLOOKUP(CONCATENATE(AS$4,$C426),'INSER DATA'!$A:$F,7,0),"")</f>
        <v/>
      </c>
      <c r="AT426" s="270" t="str">
        <f>_xlfn.IFNA(VLOOKUP(CONCATENATE(AT$4,$C426),'INSER DATA'!$A:$F,7,0),"")</f>
        <v/>
      </c>
      <c r="AU426" s="270" t="str">
        <f>_xlfn.IFNA(VLOOKUP(CONCATENATE(AU$4,$C426),'INSER DATA'!$A:$F,7,0),"")</f>
        <v/>
      </c>
      <c r="AV426" s="270" t="str">
        <f>_xlfn.IFNA(VLOOKUP(CONCATENATE(AV$4,$C426),'INSER DATA'!$A:$F,7,0),"")</f>
        <v/>
      </c>
      <c r="AW426" s="270" t="str">
        <f>_xlfn.IFNA(VLOOKUP(CONCATENATE(AW$4,$C426),'INSER DATA'!$A:$F,7,0),"")</f>
        <v/>
      </c>
      <c r="AX426" s="270" t="str">
        <f>_xlfn.IFNA(VLOOKUP(CONCATENATE(AX$4,$C426),'INSER DATA'!$A:$F,7,0),"")</f>
        <v/>
      </c>
      <c r="AY426" s="270" t="str">
        <f>_xlfn.IFNA(VLOOKUP(CONCATENATE(AY$4,$C426),'INSER DATA'!$A:$F,7,0),"")</f>
        <v/>
      </c>
      <c r="AZ426" s="270" t="str">
        <f>_xlfn.IFNA(VLOOKUP(CONCATENATE(AZ$4,$C426),'INSER DATA'!$A:$F,7,0),"")</f>
        <v/>
      </c>
      <c r="BA426" s="270" t="str">
        <f>_xlfn.IFNA(VLOOKUP(CONCATENATE(BA$4,$C426),'INSER DATA'!$A:$F,7,0),"")</f>
        <v/>
      </c>
      <c r="BB426" s="270" t="str">
        <f>_xlfn.IFNA(VLOOKUP(CONCATENATE(BB$4,$C426),'INSER DATA'!$A:$F,7,0),"")</f>
        <v/>
      </c>
      <c r="BC426" s="270" t="str">
        <f>_xlfn.IFNA(VLOOKUP(CONCATENATE(BC$4,$C426),'INSER DATA'!$A:$F,7,0),"")</f>
        <v/>
      </c>
      <c r="BD426" s="270" t="str">
        <f>_xlfn.IFNA(VLOOKUP(CONCATENATE(BD$4,$C426),'INSER DATA'!$A:$F,7,0),"")</f>
        <v/>
      </c>
      <c r="BE426" s="270" t="str">
        <f>_xlfn.IFNA(VLOOKUP(CONCATENATE(BE$4,$C426),'INSER DATA'!$A:$F,7,0),"")</f>
        <v/>
      </c>
      <c r="BF426" s="270" t="str">
        <f>_xlfn.IFNA(VLOOKUP(CONCATENATE(BF$4,$C426),'INSER DATA'!$A:$F,7,0),"")</f>
        <v/>
      </c>
      <c r="BG426" s="270" t="str">
        <f>_xlfn.IFNA(VLOOKUP(CONCATENATE(BG$4,$C426),'INSER DATA'!$A:$F,7,0),"")</f>
        <v/>
      </c>
      <c r="BH426" s="270" t="str">
        <f>_xlfn.IFNA(VLOOKUP(CONCATENATE(BH$4,$C426),'INSER DATA'!$A:$F,7,0),"")</f>
        <v/>
      </c>
      <c r="BI426" s="270" t="str">
        <f>_xlfn.IFNA(VLOOKUP(CONCATENATE(BI$4,$C426),'INSER DATA'!$A:$F,7,0),"")</f>
        <v/>
      </c>
      <c r="BJ426" s="270" t="str">
        <f>_xlfn.IFNA(VLOOKUP(CONCATENATE(BJ$4,$C426),'INSER DATA'!$A:$F,7,0),"")</f>
        <v/>
      </c>
      <c r="BK426" s="270" t="str">
        <f>_xlfn.IFNA(VLOOKUP(CONCATENATE(BK$4,$C426),'INSER DATA'!$A:$F,7,0),"")</f>
        <v/>
      </c>
      <c r="BL426" s="272"/>
      <c r="BM426" s="30"/>
      <c r="BN426" s="30"/>
      <c r="BO426" s="30"/>
      <c r="BP426" s="30"/>
      <c r="BQ426" s="30"/>
      <c r="BR426" s="30"/>
      <c r="BS426" s="30"/>
      <c r="BT426" s="30"/>
      <c r="BU426" s="30"/>
      <c r="BV426" s="30"/>
      <c r="BW426" s="30"/>
      <c r="BX426" s="30"/>
      <c r="BY426" s="30"/>
      <c r="BZ426" s="30"/>
      <c r="CA426" s="30"/>
      <c r="CB426" s="30"/>
      <c r="CC426" s="30"/>
      <c r="CD426" s="30"/>
      <c r="CE426" s="30"/>
      <c r="CF426" s="30"/>
      <c r="CG426" s="30"/>
      <c r="CH426" s="30"/>
      <c r="CI426" s="30"/>
      <c r="CJ426" s="30"/>
      <c r="CK426" s="30"/>
      <c r="CL426" s="30"/>
      <c r="CM426" s="30"/>
      <c r="CN426" s="30"/>
      <c r="CO426" s="30"/>
      <c r="CP426" s="30"/>
      <c r="CQ426" s="30"/>
      <c r="CR426" s="30"/>
      <c r="CS426" s="30"/>
      <c r="CT426" s="30"/>
      <c r="CU426" s="30"/>
      <c r="CV426" s="30"/>
      <c r="CW426" s="30"/>
      <c r="CX426" s="30"/>
      <c r="CY426" s="30"/>
      <c r="CZ426" s="30"/>
      <c r="DA426" s="30"/>
    </row>
    <row r="427" spans="1:105" s="184" customFormat="1" ht="19.2" thickTop="1" thickBot="1" x14ac:dyDescent="0.4">
      <c r="C427" s="356" t="s">
        <v>996</v>
      </c>
      <c r="D427" s="355" t="s">
        <v>910</v>
      </c>
      <c r="E427" s="35" t="str">
        <f>_xlfn.XLOOKUP(Tabella4[[#This Row],[NOME]],'ROSE SQUADRE'!$N$3:$N$253,'ROSE SQUADRE'!$O$3:$O$253,"")</f>
        <v>SAN GRIA</v>
      </c>
      <c r="F427" s="36" t="s">
        <v>161</v>
      </c>
      <c r="G427" s="43">
        <v>5</v>
      </c>
      <c r="H427" s="43">
        <v>5</v>
      </c>
      <c r="I427" s="44">
        <f t="shared" si="37"/>
        <v>0</v>
      </c>
      <c r="J427" s="37">
        <f t="shared" si="38"/>
        <v>4</v>
      </c>
      <c r="K427" s="38">
        <f t="shared" si="39"/>
        <v>6.25</v>
      </c>
      <c r="L427" s="38">
        <f t="shared" si="40"/>
        <v>6.375</v>
      </c>
      <c r="M427" s="39">
        <f t="shared" si="41"/>
        <v>25.5</v>
      </c>
      <c r="N427" s="45">
        <f t="shared" ca="1" si="42"/>
        <v>0</v>
      </c>
      <c r="O427" s="40">
        <f>SUMIF(Tabella1[Nome],Tabella4[[#This Row],[NOME]],Tabella1[Gf])</f>
        <v>0</v>
      </c>
      <c r="P427" s="40">
        <f>-(SUMIF(Tabella1[Nome],Tabella4[[#This Row],[NOME]],Tabella1[Gs]))</f>
        <v>0</v>
      </c>
      <c r="Q427" s="40">
        <f>SUMIF(Tabella1[Nome],Tabella4[[#This Row],[NOME]],Tabella1[Rp])</f>
        <v>0</v>
      </c>
      <c r="R427" s="40">
        <f>SUMIF(Tabella1[Nome],Tabella4[[#This Row],[NOME]],Tabella1[Rs])</f>
        <v>0</v>
      </c>
      <c r="S427" s="40">
        <f>SUMIF(Tabella1[Nome],Tabella4[[#This Row],[NOME]],Tabella1[Rf])</f>
        <v>0</v>
      </c>
      <c r="T427" s="40">
        <f>SUMIF(Tabella1[Nome],Tabella4[[#This Row],[NOME]],Tabella1[Au])</f>
        <v>0</v>
      </c>
      <c r="U427" s="41">
        <f>SUMIF(Tabella1[Nome],Tabella4[[#This Row],[NOME]],Tabella1[Amm])</f>
        <v>1</v>
      </c>
      <c r="V427" s="42">
        <f>SUMIF(Tabella1[Nome],Tabella4[[#This Row],[NOME]],Tabella1[Esp])</f>
        <v>0</v>
      </c>
      <c r="W427" s="40">
        <f>SUMIF(Tabella1[Nome],Tabella4[[#This Row],[NOME]],Tabella1[Ass])</f>
        <v>1</v>
      </c>
      <c r="X427" s="40">
        <f>SUMIF(Tabella1[Nome],Tabella4[[#This Row],[NOME]],Tabella1[Gdv])</f>
        <v>0</v>
      </c>
      <c r="Y427" s="40">
        <f>SUMIF(Tabella1[Nome],Tabella4[[#This Row],[NOME]],Tabella1[cl sh])</f>
        <v>0</v>
      </c>
      <c r="Z427" s="270">
        <f>_xlfn.IFNA(_xlfn.XLOOKUP(CONCATENATE(Z$4,$C427),Tabella1[CONC X VOTI IN TAB GIOC],Tabella1[Voto],""),"")</f>
        <v>5.5</v>
      </c>
      <c r="AA427" s="270">
        <f>_xlfn.IFNA(_xlfn.XLOOKUP(CONCATENATE(AA$4,$C427),Tabella1[CONC X VOTI IN TAB GIOC],Tabella1[Voto],""),"")</f>
        <v>6.5</v>
      </c>
      <c r="AB427" s="270">
        <f>_xlfn.IFNA(_xlfn.XLOOKUP(CONCATENATE(AB$4,$C427),Tabella1[CONC X VOTI IN TAB GIOC],Tabella1[Voto]),"")</f>
        <v>6.5</v>
      </c>
      <c r="AC427" s="270" cm="1">
        <f t="array" ref="AC427">_xlfn.IFNA(_xlfn.XLOOKUP(CONCATENATE(AC$4,$C427),INDEX(Tabella1[],0,MATCH("CONC X VOTI IN TAB GIOC",Tabella1[#Headers],0)),INDEX(Tabella1[],0,MATCH("Voto",Tabella1[#Headers],0))),"")</f>
        <v>6.5</v>
      </c>
      <c r="AD427" s="270" t="str">
        <f>_xlfn.IFNA(_xlfn.XLOOKUP(CONCATENATE(AD$4,$C427),Tabella1[CONC X VOTI IN TAB GIOC],Tabella1[Voto]),"")</f>
        <v/>
      </c>
      <c r="AE427" s="270" t="str">
        <f>_xlfn.IFNA(VLOOKUP(CONCATENATE(AE$4,$C427),'INSER DATA'!$A:$F,6,0),"")</f>
        <v/>
      </c>
      <c r="AF427" s="270" t="str">
        <f>_xlfn.IFNA(VLOOKUP(CONCATENATE(AF$4,$C427),'INSER DATA'!$A:$F,6,0),"")</f>
        <v/>
      </c>
      <c r="AG427" s="270" t="str">
        <f>_xlfn.IFNA(VLOOKUP(CONCATENATE(AG$4,$C427),'INSER DATA'!$A:$F,6,0),"")</f>
        <v/>
      </c>
      <c r="AH427" s="270" t="str">
        <f>_xlfn.IFNA(VLOOKUP(CONCATENATE(AH$4,$C427),'INSER DATA'!$A:$F,7,0),"")</f>
        <v/>
      </c>
      <c r="AI427" s="270" t="str">
        <f>_xlfn.IFNA(VLOOKUP(CONCATENATE(AI$4,$C427),'INSER DATA'!$A:$F,7,0),"")</f>
        <v/>
      </c>
      <c r="AJ427" s="270" t="str">
        <f>_xlfn.IFNA(VLOOKUP(CONCATENATE(AJ$4,$C427),'INSER DATA'!$A:$F,7,0),"")</f>
        <v/>
      </c>
      <c r="AK427" s="270" t="str">
        <f>_xlfn.IFNA(VLOOKUP(CONCATENATE(AK$4,$C427),'INSER DATA'!$A:$F,7,0),"")</f>
        <v/>
      </c>
      <c r="AL427" s="270" t="str">
        <f>_xlfn.IFNA(VLOOKUP(CONCATENATE(AL$4,$C427),'INSER DATA'!$A:$F,7,0),"")</f>
        <v/>
      </c>
      <c r="AM427" s="270" t="str">
        <f>_xlfn.IFNA(VLOOKUP(CONCATENATE(AM$4,$C427),'INSER DATA'!$A:$F,7,0),"")</f>
        <v/>
      </c>
      <c r="AN427" s="270" t="str">
        <f>_xlfn.IFNA(VLOOKUP(CONCATENATE(AN$4,$C427),'INSER DATA'!$A:$F,7,0),"")</f>
        <v/>
      </c>
      <c r="AO427" s="270" t="str">
        <f>_xlfn.IFNA(VLOOKUP(CONCATENATE(AO$4,$C427),'INSER DATA'!$A:$F,7,0),"")</f>
        <v/>
      </c>
      <c r="AP427" s="270" t="str">
        <f>_xlfn.IFNA(VLOOKUP(CONCATENATE(AP$4,$C427),'INSER DATA'!$A:$F,7,0),"")</f>
        <v/>
      </c>
      <c r="AQ427" s="270" t="str">
        <f>_xlfn.IFNA(VLOOKUP(CONCATENATE(AQ$4,$C427),'INSER DATA'!$A:$F,7,0),"")</f>
        <v/>
      </c>
      <c r="AR427" s="270" t="str">
        <f>_xlfn.IFNA(VLOOKUP(CONCATENATE(AR$4,$C427),'INSER DATA'!$A:$F,7,0),"")</f>
        <v/>
      </c>
      <c r="AS427" s="270" t="str">
        <f>_xlfn.IFNA(VLOOKUP(CONCATENATE(AS$4,$C427),'INSER DATA'!$A:$F,7,0),"")</f>
        <v/>
      </c>
      <c r="AT427" s="270" t="str">
        <f>_xlfn.IFNA(VLOOKUP(CONCATENATE(AT$4,$C427),'INSER DATA'!$A:$F,7,0),"")</f>
        <v/>
      </c>
      <c r="AU427" s="270" t="str">
        <f>_xlfn.IFNA(VLOOKUP(CONCATENATE(AU$4,$C427),'INSER DATA'!$A:$F,7,0),"")</f>
        <v/>
      </c>
      <c r="AV427" s="270" t="str">
        <f>_xlfn.IFNA(VLOOKUP(CONCATENATE(AV$4,$C427),'INSER DATA'!$A:$F,7,0),"")</f>
        <v/>
      </c>
      <c r="AW427" s="270" t="str">
        <f>_xlfn.IFNA(VLOOKUP(CONCATENATE(AW$4,$C427),'INSER DATA'!$A:$F,7,0),"")</f>
        <v/>
      </c>
      <c r="AX427" s="270" t="str">
        <f>_xlfn.IFNA(VLOOKUP(CONCATENATE(AX$4,$C427),'INSER DATA'!$A:$F,7,0),"")</f>
        <v/>
      </c>
      <c r="AY427" s="270" t="str">
        <f>_xlfn.IFNA(VLOOKUP(CONCATENATE(AY$4,$C427),'INSER DATA'!$A:$F,7,0),"")</f>
        <v/>
      </c>
      <c r="AZ427" s="270" t="str">
        <f>_xlfn.IFNA(VLOOKUP(CONCATENATE(AZ$4,$C427),'INSER DATA'!$A:$F,7,0),"")</f>
        <v/>
      </c>
      <c r="BA427" s="270" t="str">
        <f>_xlfn.IFNA(VLOOKUP(CONCATENATE(BA$4,$C427),'INSER DATA'!$A:$F,7,0),"")</f>
        <v/>
      </c>
      <c r="BB427" s="270" t="str">
        <f>_xlfn.IFNA(VLOOKUP(CONCATENATE(BB$4,$C427),'INSER DATA'!$A:$F,7,0),"")</f>
        <v/>
      </c>
      <c r="BC427" s="270" t="str">
        <f>_xlfn.IFNA(VLOOKUP(CONCATENATE(BC$4,$C427),'INSER DATA'!$A:$F,7,0),"")</f>
        <v/>
      </c>
      <c r="BD427" s="270" t="str">
        <f>_xlfn.IFNA(VLOOKUP(CONCATENATE(BD$4,$C427),'INSER DATA'!$A:$F,7,0),"")</f>
        <v/>
      </c>
      <c r="BE427" s="270" t="str">
        <f>_xlfn.IFNA(VLOOKUP(CONCATENATE(BE$4,$C427),'INSER DATA'!$A:$F,7,0),"")</f>
        <v/>
      </c>
      <c r="BF427" s="270" t="str">
        <f>_xlfn.IFNA(VLOOKUP(CONCATENATE(BF$4,$C427),'INSER DATA'!$A:$F,7,0),"")</f>
        <v/>
      </c>
      <c r="BG427" s="270" t="str">
        <f>_xlfn.IFNA(VLOOKUP(CONCATENATE(BG$4,$C427),'INSER DATA'!$A:$F,7,0),"")</f>
        <v/>
      </c>
      <c r="BH427" s="270" t="str">
        <f>_xlfn.IFNA(VLOOKUP(CONCATENATE(BH$4,$C427),'INSER DATA'!$A:$F,7,0),"")</f>
        <v/>
      </c>
      <c r="BI427" s="270" t="str">
        <f>_xlfn.IFNA(VLOOKUP(CONCATENATE(BI$4,$C427),'INSER DATA'!$A:$F,7,0),"")</f>
        <v/>
      </c>
      <c r="BJ427" s="270" t="str">
        <f>_xlfn.IFNA(VLOOKUP(CONCATENATE(BJ$4,$C427),'INSER DATA'!$A:$F,7,0),"")</f>
        <v/>
      </c>
      <c r="BK427" s="270" t="str">
        <f>_xlfn.IFNA(VLOOKUP(CONCATENATE(BK$4,$C427),'INSER DATA'!$A:$F,7,0),"")</f>
        <v/>
      </c>
      <c r="BL427" s="272"/>
    </row>
    <row r="428" spans="1:105" ht="19.2" thickTop="1" thickBot="1" x14ac:dyDescent="0.4">
      <c r="A428" s="30"/>
      <c r="B428" s="30"/>
      <c r="C428" s="188" t="s">
        <v>923</v>
      </c>
      <c r="D428" s="187" t="s">
        <v>910</v>
      </c>
      <c r="E428" s="35" t="str">
        <f>_xlfn.XLOOKUP(Tabella4[[#This Row],[NOME]],'ROSE SQUADRE'!$N$3:$N$253,'ROSE SQUADRE'!$O$3:$O$253,"")</f>
        <v/>
      </c>
      <c r="F428" s="36" t="s">
        <v>162</v>
      </c>
      <c r="G428" s="43">
        <v>3</v>
      </c>
      <c r="H428" s="43">
        <v>4</v>
      </c>
      <c r="I428" s="44">
        <f t="shared" si="37"/>
        <v>1</v>
      </c>
      <c r="J428" s="37">
        <f t="shared" si="38"/>
        <v>3</v>
      </c>
      <c r="K428" s="178">
        <f t="shared" si="39"/>
        <v>5.833333333333333</v>
      </c>
      <c r="L428" s="178">
        <f t="shared" si="40"/>
        <v>5.833333333333333</v>
      </c>
      <c r="M428" s="179">
        <f t="shared" si="41"/>
        <v>17.5</v>
      </c>
      <c r="N428" s="45">
        <f t="shared" ca="1" si="42"/>
        <v>0</v>
      </c>
      <c r="O428" s="40">
        <f>SUMIF(Tabella1[Nome],Tabella4[[#This Row],[NOME]],Tabella1[Gf])</f>
        <v>0</v>
      </c>
      <c r="P428" s="40">
        <f>-(SUMIF(Tabella1[Nome],Tabella4[[#This Row],[NOME]],Tabella1[Gs]))</f>
        <v>0</v>
      </c>
      <c r="Q428" s="40">
        <f>SUMIF(Tabella1[Nome],Tabella4[[#This Row],[NOME]],Tabella1[Rp])</f>
        <v>0</v>
      </c>
      <c r="R428" s="40">
        <f>SUMIF(Tabella1[Nome],Tabella4[[#This Row],[NOME]],Tabella1[Rs])</f>
        <v>0</v>
      </c>
      <c r="S428" s="40">
        <f>SUMIF(Tabella1[Nome],Tabella4[[#This Row],[NOME]],Tabella1[Rf])</f>
        <v>0</v>
      </c>
      <c r="T428" s="40">
        <f>SUMIF(Tabella1[Nome],Tabella4[[#This Row],[NOME]],Tabella1[Au])</f>
        <v>0</v>
      </c>
      <c r="U428" s="41">
        <f>SUMIF(Tabella1[Nome],Tabella4[[#This Row],[NOME]],Tabella1[Amm])</f>
        <v>0</v>
      </c>
      <c r="V428" s="42">
        <f>SUMIF(Tabella1[Nome],Tabella4[[#This Row],[NOME]],Tabella1[Esp])</f>
        <v>0</v>
      </c>
      <c r="W428" s="40">
        <f>SUMIF(Tabella1[Nome],Tabella4[[#This Row],[NOME]],Tabella1[Ass])</f>
        <v>0</v>
      </c>
      <c r="X428" s="40">
        <f>SUMIF(Tabella1[Nome],Tabella4[[#This Row],[NOME]],Tabella1[Gdv])</f>
        <v>0</v>
      </c>
      <c r="Y428" s="40">
        <f>SUMIF(Tabella1[Nome],Tabella4[[#This Row],[NOME]],Tabella1[cl sh])</f>
        <v>0</v>
      </c>
      <c r="Z428" s="270">
        <f>_xlfn.IFNA(_xlfn.XLOOKUP(CONCATENATE(Z$4,$C428),Tabella1[CONC X VOTI IN TAB GIOC],Tabella1[Voto],""),"")</f>
        <v>6</v>
      </c>
      <c r="AA428" s="270">
        <f>_xlfn.IFNA(_xlfn.XLOOKUP(CONCATENATE(AA$4,$C428),Tabella1[CONC X VOTI IN TAB GIOC],Tabella1[Voto],""),"")</f>
        <v>5.5</v>
      </c>
      <c r="AB428" s="270" t="str">
        <f>_xlfn.IFNA(_xlfn.XLOOKUP(CONCATENATE(AB$4,$C428),Tabella1[CONC X VOTI IN TAB GIOC],Tabella1[Voto]),"")</f>
        <v/>
      </c>
      <c r="AC428" s="270" cm="1">
        <f t="array" ref="AC428">_xlfn.IFNA(_xlfn.XLOOKUP(CONCATENATE(AC$4,$C428),INDEX(Tabella1[],0,MATCH("CONC X VOTI IN TAB GIOC",Tabella1[#Headers],0)),INDEX(Tabella1[],0,MATCH("Voto",Tabella1[#Headers],0))),"")</f>
        <v>6</v>
      </c>
      <c r="AD428" s="270" t="str">
        <f>_xlfn.IFNA(_xlfn.XLOOKUP(CONCATENATE(AD$4,$C428),Tabella1[CONC X VOTI IN TAB GIOC],Tabella1[Voto]),"")</f>
        <v/>
      </c>
      <c r="AE428" s="270" t="str">
        <f>_xlfn.IFNA(VLOOKUP(CONCATENATE(AE$4,$C428),'INSER DATA'!$A:$F,6,0),"")</f>
        <v/>
      </c>
      <c r="AF428" s="270" t="str">
        <f>_xlfn.IFNA(VLOOKUP(CONCATENATE(AF$4,$C428),'INSER DATA'!$A:$F,6,0),"")</f>
        <v/>
      </c>
      <c r="AG428" s="270" t="str">
        <f>_xlfn.IFNA(VLOOKUP(CONCATENATE(AG$4,$C428),'INSER DATA'!$A:$F,6,0),"")</f>
        <v/>
      </c>
      <c r="AH428" s="270" t="str">
        <f>_xlfn.IFNA(VLOOKUP(CONCATENATE(AH$4,$C428),'INSER DATA'!$A:$F,7,0),"")</f>
        <v/>
      </c>
      <c r="AI428" s="270" t="str">
        <f>_xlfn.IFNA(VLOOKUP(CONCATENATE(AI$4,$C428),'INSER DATA'!$A:$F,7,0),"")</f>
        <v/>
      </c>
      <c r="AJ428" s="270" t="str">
        <f>_xlfn.IFNA(VLOOKUP(CONCATENATE(AJ$4,$C428),'INSER DATA'!$A:$F,7,0),"")</f>
        <v/>
      </c>
      <c r="AK428" s="270" t="str">
        <f>_xlfn.IFNA(VLOOKUP(CONCATENATE(AK$4,$C428),'INSER DATA'!$A:$F,7,0),"")</f>
        <v/>
      </c>
      <c r="AL428" s="270" t="str">
        <f>_xlfn.IFNA(VLOOKUP(CONCATENATE(AL$4,$C428),'INSER DATA'!$A:$F,7,0),"")</f>
        <v/>
      </c>
      <c r="AM428" s="270" t="str">
        <f>_xlfn.IFNA(VLOOKUP(CONCATENATE(AM$4,$C428),'INSER DATA'!$A:$F,7,0),"")</f>
        <v/>
      </c>
      <c r="AN428" s="270" t="str">
        <f>_xlfn.IFNA(VLOOKUP(CONCATENATE(AN$4,$C428),'INSER DATA'!$A:$F,7,0),"")</f>
        <v/>
      </c>
      <c r="AO428" s="270" t="str">
        <f>_xlfn.IFNA(VLOOKUP(CONCATENATE(AO$4,$C428),'INSER DATA'!$A:$F,7,0),"")</f>
        <v/>
      </c>
      <c r="AP428" s="270" t="str">
        <f>_xlfn.IFNA(VLOOKUP(CONCATENATE(AP$4,$C428),'INSER DATA'!$A:$F,7,0),"")</f>
        <v/>
      </c>
      <c r="AQ428" s="270" t="str">
        <f>_xlfn.IFNA(VLOOKUP(CONCATENATE(AQ$4,$C428),'INSER DATA'!$A:$F,7,0),"")</f>
        <v/>
      </c>
      <c r="AR428" s="270" t="str">
        <f>_xlfn.IFNA(VLOOKUP(CONCATENATE(AR$4,$C428),'INSER DATA'!$A:$F,7,0),"")</f>
        <v/>
      </c>
      <c r="AS428" s="270" t="str">
        <f>_xlfn.IFNA(VLOOKUP(CONCATENATE(AS$4,$C428),'INSER DATA'!$A:$F,7,0),"")</f>
        <v/>
      </c>
      <c r="AT428" s="270" t="str">
        <f>_xlfn.IFNA(VLOOKUP(CONCATENATE(AT$4,$C428),'INSER DATA'!$A:$F,7,0),"")</f>
        <v/>
      </c>
      <c r="AU428" s="270" t="str">
        <f>_xlfn.IFNA(VLOOKUP(CONCATENATE(AU$4,$C428),'INSER DATA'!$A:$F,7,0),"")</f>
        <v/>
      </c>
      <c r="AV428" s="270" t="str">
        <f>_xlfn.IFNA(VLOOKUP(CONCATENATE(AV$4,$C428),'INSER DATA'!$A:$F,7,0),"")</f>
        <v/>
      </c>
      <c r="AW428" s="270" t="str">
        <f>_xlfn.IFNA(VLOOKUP(CONCATENATE(AW$4,$C428),'INSER DATA'!$A:$F,7,0),"")</f>
        <v/>
      </c>
      <c r="AX428" s="270" t="str">
        <f>_xlfn.IFNA(VLOOKUP(CONCATENATE(AX$4,$C428),'INSER DATA'!$A:$F,7,0),"")</f>
        <v/>
      </c>
      <c r="AY428" s="270" t="str">
        <f>_xlfn.IFNA(VLOOKUP(CONCATENATE(AY$4,$C428),'INSER DATA'!$A:$F,7,0),"")</f>
        <v/>
      </c>
      <c r="AZ428" s="270" t="str">
        <f>_xlfn.IFNA(VLOOKUP(CONCATENATE(AZ$4,$C428),'INSER DATA'!$A:$F,7,0),"")</f>
        <v/>
      </c>
      <c r="BA428" s="270" t="str">
        <f>_xlfn.IFNA(VLOOKUP(CONCATENATE(BA$4,$C428),'INSER DATA'!$A:$F,7,0),"")</f>
        <v/>
      </c>
      <c r="BB428" s="270" t="str">
        <f>_xlfn.IFNA(VLOOKUP(CONCATENATE(BB$4,$C428),'INSER DATA'!$A:$F,7,0),"")</f>
        <v/>
      </c>
      <c r="BC428" s="270" t="str">
        <f>_xlfn.IFNA(VLOOKUP(CONCATENATE(BC$4,$C428),'INSER DATA'!$A:$F,7,0),"")</f>
        <v/>
      </c>
      <c r="BD428" s="270" t="str">
        <f>_xlfn.IFNA(VLOOKUP(CONCATENATE(BD$4,$C428),'INSER DATA'!$A:$F,7,0),"")</f>
        <v/>
      </c>
      <c r="BE428" s="270" t="str">
        <f>_xlfn.IFNA(VLOOKUP(CONCATENATE(BE$4,$C428),'INSER DATA'!$A:$F,7,0),"")</f>
        <v/>
      </c>
      <c r="BF428" s="270" t="str">
        <f>_xlfn.IFNA(VLOOKUP(CONCATENATE(BF$4,$C428),'INSER DATA'!$A:$F,7,0),"")</f>
        <v/>
      </c>
      <c r="BG428" s="270" t="str">
        <f>_xlfn.IFNA(VLOOKUP(CONCATENATE(BG$4,$C428),'INSER DATA'!$A:$F,7,0),"")</f>
        <v/>
      </c>
      <c r="BH428" s="270" t="str">
        <f>_xlfn.IFNA(VLOOKUP(CONCATENATE(BH$4,$C428),'INSER DATA'!$A:$F,7,0),"")</f>
        <v/>
      </c>
      <c r="BI428" s="270" t="str">
        <f>_xlfn.IFNA(VLOOKUP(CONCATENATE(BI$4,$C428),'INSER DATA'!$A:$F,7,0),"")</f>
        <v/>
      </c>
      <c r="BJ428" s="270" t="str">
        <f>_xlfn.IFNA(VLOOKUP(CONCATENATE(BJ$4,$C428),'INSER DATA'!$A:$F,7,0),"")</f>
        <v/>
      </c>
      <c r="BK428" s="270" t="str">
        <f>_xlfn.IFNA(VLOOKUP(CONCATENATE(BK$4,$C428),'INSER DATA'!$A:$F,7,0),"")</f>
        <v/>
      </c>
      <c r="BL428" s="272"/>
      <c r="BM428" s="30"/>
      <c r="BN428" s="30"/>
      <c r="BO428" s="30"/>
      <c r="BP428" s="30"/>
      <c r="BQ428" s="30"/>
      <c r="BR428" s="30"/>
      <c r="BS428" s="30"/>
      <c r="BT428" s="30"/>
      <c r="BU428" s="30"/>
      <c r="BV428" s="30"/>
      <c r="BW428" s="30"/>
      <c r="BX428" s="30"/>
      <c r="BY428" s="30"/>
      <c r="BZ428" s="30"/>
      <c r="CA428" s="30"/>
      <c r="CB428" s="30"/>
      <c r="CC428" s="30"/>
      <c r="CD428" s="30"/>
      <c r="CE428" s="30"/>
      <c r="CF428" s="30"/>
      <c r="CG428" s="30"/>
      <c r="CH428" s="30"/>
      <c r="CI428" s="30"/>
      <c r="CJ428" s="30"/>
      <c r="CK428" s="30"/>
      <c r="CL428" s="30"/>
      <c r="CM428" s="30"/>
      <c r="CN428" s="30"/>
      <c r="CO428" s="30"/>
      <c r="CP428" s="30"/>
      <c r="CQ428" s="30"/>
      <c r="CR428" s="30"/>
      <c r="CS428" s="30"/>
      <c r="CT428" s="30"/>
      <c r="CU428" s="30"/>
      <c r="CV428" s="30"/>
      <c r="CW428" s="30"/>
      <c r="CX428" s="30"/>
      <c r="CY428" s="30"/>
      <c r="CZ428" s="30"/>
      <c r="DA428" s="30"/>
    </row>
    <row r="429" spans="1:105" ht="19.2" thickTop="1" thickBot="1" x14ac:dyDescent="0.4">
      <c r="A429" s="30"/>
      <c r="B429" s="30"/>
      <c r="C429" s="188" t="s">
        <v>997</v>
      </c>
      <c r="D429" s="187" t="s">
        <v>910</v>
      </c>
      <c r="E429" s="35" t="str">
        <f>_xlfn.XLOOKUP(Tabella4[[#This Row],[NOME]],'ROSE SQUADRE'!$N$3:$N$253,'ROSE SQUADRE'!$O$3:$O$253,"")</f>
        <v/>
      </c>
      <c r="F429" s="36" t="s">
        <v>161</v>
      </c>
      <c r="G429" s="43">
        <v>1</v>
      </c>
      <c r="H429" s="43">
        <v>2</v>
      </c>
      <c r="I429" s="44">
        <f t="shared" si="37"/>
        <v>1</v>
      </c>
      <c r="J429" s="37">
        <f t="shared" si="38"/>
        <v>4</v>
      </c>
      <c r="K429" s="178">
        <f t="shared" si="39"/>
        <v>6</v>
      </c>
      <c r="L429" s="178">
        <f t="shared" si="40"/>
        <v>6.25</v>
      </c>
      <c r="M429" s="179">
        <f t="shared" si="41"/>
        <v>25</v>
      </c>
      <c r="N429" s="45">
        <f t="shared" ca="1" si="42"/>
        <v>0</v>
      </c>
      <c r="O429" s="40">
        <f>SUMIF(Tabella1[Nome],Tabella4[[#This Row],[NOME]],Tabella1[Gf])</f>
        <v>0</v>
      </c>
      <c r="P429" s="40">
        <f>-(SUMIF(Tabella1[Nome],Tabella4[[#This Row],[NOME]],Tabella1[Gs]))</f>
        <v>0</v>
      </c>
      <c r="Q429" s="40">
        <f>SUMIF(Tabella1[Nome],Tabella4[[#This Row],[NOME]],Tabella1[Rp])</f>
        <v>0</v>
      </c>
      <c r="R429" s="40">
        <f>SUMIF(Tabella1[Nome],Tabella4[[#This Row],[NOME]],Tabella1[Rs])</f>
        <v>0</v>
      </c>
      <c r="S429" s="40">
        <f>SUMIF(Tabella1[Nome],Tabella4[[#This Row],[NOME]],Tabella1[Rf])</f>
        <v>0</v>
      </c>
      <c r="T429" s="40">
        <f>SUMIF(Tabella1[Nome],Tabella4[[#This Row],[NOME]],Tabella1[Au])</f>
        <v>0</v>
      </c>
      <c r="U429" s="41">
        <f>SUMIF(Tabella1[Nome],Tabella4[[#This Row],[NOME]],Tabella1[Amm])</f>
        <v>0</v>
      </c>
      <c r="V429" s="42">
        <f>SUMIF(Tabella1[Nome],Tabella4[[#This Row],[NOME]],Tabella1[Esp])</f>
        <v>0</v>
      </c>
      <c r="W429" s="40">
        <f>SUMIF(Tabella1[Nome],Tabella4[[#This Row],[NOME]],Tabella1[Ass])</f>
        <v>1</v>
      </c>
      <c r="X429" s="40">
        <f>SUMIF(Tabella1[Nome],Tabella4[[#This Row],[NOME]],Tabella1[Gdv])</f>
        <v>0</v>
      </c>
      <c r="Y429" s="40">
        <f>SUMIF(Tabella1[Nome],Tabella4[[#This Row],[NOME]],Tabella1[cl sh])</f>
        <v>0</v>
      </c>
      <c r="Z429" s="270">
        <f>_xlfn.IFNA(_xlfn.XLOOKUP(CONCATENATE(Z$4,$C429),Tabella1[CONC X VOTI IN TAB GIOC],Tabella1[Voto],""),"")</f>
        <v>5.5</v>
      </c>
      <c r="AA429" s="270">
        <f>_xlfn.IFNA(_xlfn.XLOOKUP(CONCATENATE(AA$4,$C429),Tabella1[CONC X VOTI IN TAB GIOC],Tabella1[Voto],""),"")</f>
        <v>6</v>
      </c>
      <c r="AB429" s="270">
        <f>_xlfn.IFNA(_xlfn.XLOOKUP(CONCATENATE(AB$4,$C429),Tabella1[CONC X VOTI IN TAB GIOC],Tabella1[Voto]),"")</f>
        <v>6.5</v>
      </c>
      <c r="AC429" s="270" cm="1">
        <f t="array" ref="AC429">_xlfn.IFNA(_xlfn.XLOOKUP(CONCATENATE(AC$4,$C429),INDEX(Tabella1[],0,MATCH("CONC X VOTI IN TAB GIOC",Tabella1[#Headers],0)),INDEX(Tabella1[],0,MATCH("Voto",Tabella1[#Headers],0))),"")</f>
        <v>6</v>
      </c>
      <c r="AD429" s="270" t="str">
        <f>_xlfn.IFNA(_xlfn.XLOOKUP(CONCATENATE(AD$4,$C429),Tabella1[CONC X VOTI IN TAB GIOC],Tabella1[Voto]),"")</f>
        <v/>
      </c>
      <c r="AE429" s="270" t="str">
        <f>_xlfn.IFNA(VLOOKUP(CONCATENATE(AE$4,$C429),'INSER DATA'!$A:$F,6,0),"")</f>
        <v/>
      </c>
      <c r="AF429" s="270" t="str">
        <f>_xlfn.IFNA(VLOOKUP(CONCATENATE(AF$4,$C429),'INSER DATA'!$A:$F,6,0),"")</f>
        <v/>
      </c>
      <c r="AG429" s="270" t="str">
        <f>_xlfn.IFNA(VLOOKUP(CONCATENATE(AG$4,$C429),'INSER DATA'!$A:$F,6,0),"")</f>
        <v/>
      </c>
      <c r="AH429" s="270" t="str">
        <f>_xlfn.IFNA(VLOOKUP(CONCATENATE(AH$4,$C429),'INSER DATA'!$A:$F,7,0),"")</f>
        <v/>
      </c>
      <c r="AI429" s="270" t="str">
        <f>_xlfn.IFNA(VLOOKUP(CONCATENATE(AI$4,$C429),'INSER DATA'!$A:$F,7,0),"")</f>
        <v/>
      </c>
      <c r="AJ429" s="270" t="str">
        <f>_xlfn.IFNA(VLOOKUP(CONCATENATE(AJ$4,$C429),'INSER DATA'!$A:$F,7,0),"")</f>
        <v/>
      </c>
      <c r="AK429" s="270" t="str">
        <f>_xlfn.IFNA(VLOOKUP(CONCATENATE(AK$4,$C429),'INSER DATA'!$A:$F,7,0),"")</f>
        <v/>
      </c>
      <c r="AL429" s="270" t="str">
        <f>_xlfn.IFNA(VLOOKUP(CONCATENATE(AL$4,$C429),'INSER DATA'!$A:$F,7,0),"")</f>
        <v/>
      </c>
      <c r="AM429" s="270" t="str">
        <f>_xlfn.IFNA(VLOOKUP(CONCATENATE(AM$4,$C429),'INSER DATA'!$A:$F,7,0),"")</f>
        <v/>
      </c>
      <c r="AN429" s="270" t="str">
        <f>_xlfn.IFNA(VLOOKUP(CONCATENATE(AN$4,$C429),'INSER DATA'!$A:$F,7,0),"")</f>
        <v/>
      </c>
      <c r="AO429" s="270" t="str">
        <f>_xlfn.IFNA(VLOOKUP(CONCATENATE(AO$4,$C429),'INSER DATA'!$A:$F,7,0),"")</f>
        <v/>
      </c>
      <c r="AP429" s="270" t="str">
        <f>_xlfn.IFNA(VLOOKUP(CONCATENATE(AP$4,$C429),'INSER DATA'!$A:$F,7,0),"")</f>
        <v/>
      </c>
      <c r="AQ429" s="270" t="str">
        <f>_xlfn.IFNA(VLOOKUP(CONCATENATE(AQ$4,$C429),'INSER DATA'!$A:$F,7,0),"")</f>
        <v/>
      </c>
      <c r="AR429" s="270" t="str">
        <f>_xlfn.IFNA(VLOOKUP(CONCATENATE(AR$4,$C429),'INSER DATA'!$A:$F,7,0),"")</f>
        <v/>
      </c>
      <c r="AS429" s="270" t="str">
        <f>_xlfn.IFNA(VLOOKUP(CONCATENATE(AS$4,$C429),'INSER DATA'!$A:$F,7,0),"")</f>
        <v/>
      </c>
      <c r="AT429" s="270" t="str">
        <f>_xlfn.IFNA(VLOOKUP(CONCATENATE(AT$4,$C429),'INSER DATA'!$A:$F,7,0),"")</f>
        <v/>
      </c>
      <c r="AU429" s="270" t="str">
        <f>_xlfn.IFNA(VLOOKUP(CONCATENATE(AU$4,$C429),'INSER DATA'!$A:$F,7,0),"")</f>
        <v/>
      </c>
      <c r="AV429" s="270" t="str">
        <f>_xlfn.IFNA(VLOOKUP(CONCATENATE(AV$4,$C429),'INSER DATA'!$A:$F,7,0),"")</f>
        <v/>
      </c>
      <c r="AW429" s="270" t="str">
        <f>_xlfn.IFNA(VLOOKUP(CONCATENATE(AW$4,$C429),'INSER DATA'!$A:$F,7,0),"")</f>
        <v/>
      </c>
      <c r="AX429" s="270" t="str">
        <f>_xlfn.IFNA(VLOOKUP(CONCATENATE(AX$4,$C429),'INSER DATA'!$A:$F,7,0),"")</f>
        <v/>
      </c>
      <c r="AY429" s="270" t="str">
        <f>_xlfn.IFNA(VLOOKUP(CONCATENATE(AY$4,$C429),'INSER DATA'!$A:$F,7,0),"")</f>
        <v/>
      </c>
      <c r="AZ429" s="270" t="str">
        <f>_xlfn.IFNA(VLOOKUP(CONCATENATE(AZ$4,$C429),'INSER DATA'!$A:$F,7,0),"")</f>
        <v/>
      </c>
      <c r="BA429" s="270" t="str">
        <f>_xlfn.IFNA(VLOOKUP(CONCATENATE(BA$4,$C429),'INSER DATA'!$A:$F,7,0),"")</f>
        <v/>
      </c>
      <c r="BB429" s="270" t="str">
        <f>_xlfn.IFNA(VLOOKUP(CONCATENATE(BB$4,$C429),'INSER DATA'!$A:$F,7,0),"")</f>
        <v/>
      </c>
      <c r="BC429" s="270" t="str">
        <f>_xlfn.IFNA(VLOOKUP(CONCATENATE(BC$4,$C429),'INSER DATA'!$A:$F,7,0),"")</f>
        <v/>
      </c>
      <c r="BD429" s="270" t="str">
        <f>_xlfn.IFNA(VLOOKUP(CONCATENATE(BD$4,$C429),'INSER DATA'!$A:$F,7,0),"")</f>
        <v/>
      </c>
      <c r="BE429" s="270" t="str">
        <f>_xlfn.IFNA(VLOOKUP(CONCATENATE(BE$4,$C429),'INSER DATA'!$A:$F,7,0),"")</f>
        <v/>
      </c>
      <c r="BF429" s="270" t="str">
        <f>_xlfn.IFNA(VLOOKUP(CONCATENATE(BF$4,$C429),'INSER DATA'!$A:$F,7,0),"")</f>
        <v/>
      </c>
      <c r="BG429" s="270" t="str">
        <f>_xlfn.IFNA(VLOOKUP(CONCATENATE(BG$4,$C429),'INSER DATA'!$A:$F,7,0),"")</f>
        <v/>
      </c>
      <c r="BH429" s="270" t="str">
        <f>_xlfn.IFNA(VLOOKUP(CONCATENATE(BH$4,$C429),'INSER DATA'!$A:$F,7,0),"")</f>
        <v/>
      </c>
      <c r="BI429" s="270" t="str">
        <f>_xlfn.IFNA(VLOOKUP(CONCATENATE(BI$4,$C429),'INSER DATA'!$A:$F,7,0),"")</f>
        <v/>
      </c>
      <c r="BJ429" s="270" t="str">
        <f>_xlfn.IFNA(VLOOKUP(CONCATENATE(BJ$4,$C429),'INSER DATA'!$A:$F,7,0),"")</f>
        <v/>
      </c>
      <c r="BK429" s="270" t="str">
        <f>_xlfn.IFNA(VLOOKUP(CONCATENATE(BK$4,$C429),'INSER DATA'!$A:$F,7,0),"")</f>
        <v/>
      </c>
      <c r="BL429" s="272"/>
      <c r="BM429" s="30"/>
      <c r="BN429" s="30"/>
      <c r="BO429" s="30"/>
      <c r="BP429" s="30"/>
      <c r="BQ429" s="30"/>
      <c r="BR429" s="30"/>
      <c r="BS429" s="30"/>
      <c r="BT429" s="30"/>
      <c r="BU429" s="30"/>
      <c r="BV429" s="30"/>
      <c r="BW429" s="30"/>
      <c r="BX429" s="30"/>
      <c r="BY429" s="30"/>
      <c r="BZ429" s="30"/>
      <c r="CA429" s="30"/>
      <c r="CB429" s="30"/>
      <c r="CC429" s="30"/>
      <c r="CD429" s="30"/>
      <c r="CE429" s="30"/>
      <c r="CF429" s="30"/>
      <c r="CG429" s="30"/>
      <c r="CH429" s="30"/>
      <c r="CI429" s="30"/>
      <c r="CJ429" s="30"/>
      <c r="CK429" s="30"/>
      <c r="CL429" s="30"/>
      <c r="CM429" s="30"/>
      <c r="CN429" s="30"/>
      <c r="CO429" s="30"/>
      <c r="CP429" s="30"/>
      <c r="CQ429" s="30"/>
      <c r="CR429" s="30"/>
      <c r="CS429" s="30"/>
      <c r="CT429" s="30"/>
      <c r="CU429" s="30"/>
      <c r="CV429" s="30"/>
      <c r="CW429" s="30"/>
      <c r="CX429" s="30"/>
      <c r="CY429" s="30"/>
      <c r="CZ429" s="30"/>
      <c r="DA429" s="30"/>
    </row>
    <row r="430" spans="1:105" ht="19.2" thickTop="1" thickBot="1" x14ac:dyDescent="0.4">
      <c r="A430" s="30"/>
      <c r="B430" s="30"/>
      <c r="C430" s="354" t="s">
        <v>931</v>
      </c>
      <c r="D430" s="357" t="s">
        <v>910</v>
      </c>
      <c r="E430" s="35" t="str">
        <f>_xlfn.XLOOKUP(Tabella4[[#This Row],[NOME]],'ROSE SQUADRE'!$N$3:$N$253,'ROSE SQUADRE'!$O$3:$O$253,"")</f>
        <v>FC INTERNAZIOANALE</v>
      </c>
      <c r="F430" s="36" t="s">
        <v>163</v>
      </c>
      <c r="G430" s="43">
        <v>10</v>
      </c>
      <c r="H430" s="43">
        <v>10</v>
      </c>
      <c r="I430" s="44">
        <f t="shared" si="37"/>
        <v>0</v>
      </c>
      <c r="J430" s="37">
        <f t="shared" si="38"/>
        <v>4</v>
      </c>
      <c r="K430" s="178">
        <f t="shared" si="39"/>
        <v>6.25</v>
      </c>
      <c r="L430" s="178">
        <f t="shared" si="40"/>
        <v>7</v>
      </c>
      <c r="M430" s="179">
        <f t="shared" si="41"/>
        <v>28</v>
      </c>
      <c r="N430" s="45">
        <f t="shared" ca="1" si="42"/>
        <v>0</v>
      </c>
      <c r="O430" s="40">
        <f>SUMIF(Tabella1[Nome],Tabella4[[#This Row],[NOME]],Tabella1[Gf])</f>
        <v>1</v>
      </c>
      <c r="P430" s="40">
        <f>-(SUMIF(Tabella1[Nome],Tabella4[[#This Row],[NOME]],Tabella1[Gs]))</f>
        <v>0</v>
      </c>
      <c r="Q430" s="40">
        <f>SUMIF(Tabella1[Nome],Tabella4[[#This Row],[NOME]],Tabella1[Rp])</f>
        <v>0</v>
      </c>
      <c r="R430" s="40">
        <f>SUMIF(Tabella1[Nome],Tabella4[[#This Row],[NOME]],Tabella1[Rs])</f>
        <v>0</v>
      </c>
      <c r="S430" s="40">
        <f>SUMIF(Tabella1[Nome],Tabella4[[#This Row],[NOME]],Tabella1[Rf])</f>
        <v>0</v>
      </c>
      <c r="T430" s="40">
        <f>SUMIF(Tabella1[Nome],Tabella4[[#This Row],[NOME]],Tabella1[Au])</f>
        <v>0</v>
      </c>
      <c r="U430" s="41">
        <f>SUMIF(Tabella1[Nome],Tabella4[[#This Row],[NOME]],Tabella1[Amm])</f>
        <v>0</v>
      </c>
      <c r="V430" s="42">
        <f>SUMIF(Tabella1[Nome],Tabella4[[#This Row],[NOME]],Tabella1[Esp])</f>
        <v>0</v>
      </c>
      <c r="W430" s="40">
        <f>SUMIF(Tabella1[Nome],Tabella4[[#This Row],[NOME]],Tabella1[Ass])</f>
        <v>0</v>
      </c>
      <c r="X430" s="40">
        <f>SUMIF(Tabella1[Nome],Tabella4[[#This Row],[NOME]],Tabella1[Gdv])</f>
        <v>0</v>
      </c>
      <c r="Y430" s="40">
        <f>SUMIF(Tabella1[Nome],Tabella4[[#This Row],[NOME]],Tabella1[cl sh])</f>
        <v>0</v>
      </c>
      <c r="Z430" s="270">
        <f>_xlfn.IFNA(_xlfn.XLOOKUP(CONCATENATE(Z$4,$C430),Tabella1[CONC X VOTI IN TAB GIOC],Tabella1[Voto],""),"")</f>
        <v>5.5</v>
      </c>
      <c r="AA430" s="270">
        <f>_xlfn.IFNA(_xlfn.XLOOKUP(CONCATENATE(AA$4,$C430),Tabella1[CONC X VOTI IN TAB GIOC],Tabella1[Voto],""),"")</f>
        <v>5.5</v>
      </c>
      <c r="AB430" s="270">
        <f>_xlfn.IFNA(_xlfn.XLOOKUP(CONCATENATE(AB$4,$C430),Tabella1[CONC X VOTI IN TAB GIOC],Tabella1[Voto]),"")</f>
        <v>7</v>
      </c>
      <c r="AC430" s="270" cm="1">
        <f t="array" ref="AC430">_xlfn.IFNA(_xlfn.XLOOKUP(CONCATENATE(AC$4,$C430),INDEX(Tabella1[],0,MATCH("CONC X VOTI IN TAB GIOC",Tabella1[#Headers],0)),INDEX(Tabella1[],0,MATCH("Voto",Tabella1[#Headers],0))),"")</f>
        <v>7</v>
      </c>
      <c r="AD430" s="270" t="str">
        <f>_xlfn.IFNA(_xlfn.XLOOKUP(CONCATENATE(AD$4,$C430),Tabella1[CONC X VOTI IN TAB GIOC],Tabella1[Voto]),"")</f>
        <v/>
      </c>
      <c r="AE430" s="270" t="str">
        <f>_xlfn.IFNA(VLOOKUP(CONCATENATE(AE$4,$C430),'INSER DATA'!$A:$F,6,0),"")</f>
        <v/>
      </c>
      <c r="AF430" s="270" t="str">
        <f>_xlfn.IFNA(VLOOKUP(CONCATENATE(AF$4,$C430),'INSER DATA'!$A:$F,6,0),"")</f>
        <v/>
      </c>
      <c r="AG430" s="270" t="str">
        <f>_xlfn.IFNA(VLOOKUP(CONCATENATE(AG$4,$C430),'INSER DATA'!$A:$F,6,0),"")</f>
        <v/>
      </c>
      <c r="AH430" s="270" t="str">
        <f>_xlfn.IFNA(VLOOKUP(CONCATENATE(AH$4,$C430),'INSER DATA'!$A:$F,7,0),"")</f>
        <v/>
      </c>
      <c r="AI430" s="270" t="str">
        <f>_xlfn.IFNA(VLOOKUP(CONCATENATE(AI$4,$C430),'INSER DATA'!$A:$F,7,0),"")</f>
        <v/>
      </c>
      <c r="AJ430" s="270" t="str">
        <f>_xlfn.IFNA(VLOOKUP(CONCATENATE(AJ$4,$C430),'INSER DATA'!$A:$F,7,0),"")</f>
        <v/>
      </c>
      <c r="AK430" s="270" t="str">
        <f>_xlfn.IFNA(VLOOKUP(CONCATENATE(AK$4,$C430),'INSER DATA'!$A:$F,7,0),"")</f>
        <v/>
      </c>
      <c r="AL430" s="270" t="str">
        <f>_xlfn.IFNA(VLOOKUP(CONCATENATE(AL$4,$C430),'INSER DATA'!$A:$F,7,0),"")</f>
        <v/>
      </c>
      <c r="AM430" s="270" t="str">
        <f>_xlfn.IFNA(VLOOKUP(CONCATENATE(AM$4,$C430),'INSER DATA'!$A:$F,7,0),"")</f>
        <v/>
      </c>
      <c r="AN430" s="270" t="str">
        <f>_xlfn.IFNA(VLOOKUP(CONCATENATE(AN$4,$C430),'INSER DATA'!$A:$F,7,0),"")</f>
        <v/>
      </c>
      <c r="AO430" s="270" t="str">
        <f>_xlfn.IFNA(VLOOKUP(CONCATENATE(AO$4,$C430),'INSER DATA'!$A:$F,7,0),"")</f>
        <v/>
      </c>
      <c r="AP430" s="270" t="str">
        <f>_xlfn.IFNA(VLOOKUP(CONCATENATE(AP$4,$C430),'INSER DATA'!$A:$F,7,0),"")</f>
        <v/>
      </c>
      <c r="AQ430" s="270" t="str">
        <f>_xlfn.IFNA(VLOOKUP(CONCATENATE(AQ$4,$C430),'INSER DATA'!$A:$F,7,0),"")</f>
        <v/>
      </c>
      <c r="AR430" s="270" t="str">
        <f>_xlfn.IFNA(VLOOKUP(CONCATENATE(AR$4,$C430),'INSER DATA'!$A:$F,7,0),"")</f>
        <v/>
      </c>
      <c r="AS430" s="270" t="str">
        <f>_xlfn.IFNA(VLOOKUP(CONCATENATE(AS$4,$C430),'INSER DATA'!$A:$F,7,0),"")</f>
        <v/>
      </c>
      <c r="AT430" s="270" t="str">
        <f>_xlfn.IFNA(VLOOKUP(CONCATENATE(AT$4,$C430),'INSER DATA'!$A:$F,7,0),"")</f>
        <v/>
      </c>
      <c r="AU430" s="270" t="str">
        <f>_xlfn.IFNA(VLOOKUP(CONCATENATE(AU$4,$C430),'INSER DATA'!$A:$F,7,0),"")</f>
        <v/>
      </c>
      <c r="AV430" s="270" t="str">
        <f>_xlfn.IFNA(VLOOKUP(CONCATENATE(AV$4,$C430),'INSER DATA'!$A:$F,7,0),"")</f>
        <v/>
      </c>
      <c r="AW430" s="270" t="str">
        <f>_xlfn.IFNA(VLOOKUP(CONCATENATE(AW$4,$C430),'INSER DATA'!$A:$F,7,0),"")</f>
        <v/>
      </c>
      <c r="AX430" s="270" t="str">
        <f>_xlfn.IFNA(VLOOKUP(CONCATENATE(AX$4,$C430),'INSER DATA'!$A:$F,7,0),"")</f>
        <v/>
      </c>
      <c r="AY430" s="270" t="str">
        <f>_xlfn.IFNA(VLOOKUP(CONCATENATE(AY$4,$C430),'INSER DATA'!$A:$F,7,0),"")</f>
        <v/>
      </c>
      <c r="AZ430" s="270" t="str">
        <f>_xlfn.IFNA(VLOOKUP(CONCATENATE(AZ$4,$C430),'INSER DATA'!$A:$F,7,0),"")</f>
        <v/>
      </c>
      <c r="BA430" s="270" t="str">
        <f>_xlfn.IFNA(VLOOKUP(CONCATENATE(BA$4,$C430),'INSER DATA'!$A:$F,7,0),"")</f>
        <v/>
      </c>
      <c r="BB430" s="270" t="str">
        <f>_xlfn.IFNA(VLOOKUP(CONCATENATE(BB$4,$C430),'INSER DATA'!$A:$F,7,0),"")</f>
        <v/>
      </c>
      <c r="BC430" s="270" t="str">
        <f>_xlfn.IFNA(VLOOKUP(CONCATENATE(BC$4,$C430),'INSER DATA'!$A:$F,7,0),"")</f>
        <v/>
      </c>
      <c r="BD430" s="270" t="str">
        <f>_xlfn.IFNA(VLOOKUP(CONCATENATE(BD$4,$C430),'INSER DATA'!$A:$F,7,0),"")</f>
        <v/>
      </c>
      <c r="BE430" s="270" t="str">
        <f>_xlfn.IFNA(VLOOKUP(CONCATENATE(BE$4,$C430),'INSER DATA'!$A:$F,7,0),"")</f>
        <v/>
      </c>
      <c r="BF430" s="270" t="str">
        <f>_xlfn.IFNA(VLOOKUP(CONCATENATE(BF$4,$C430),'INSER DATA'!$A:$F,7,0),"")</f>
        <v/>
      </c>
      <c r="BG430" s="270" t="str">
        <f>_xlfn.IFNA(VLOOKUP(CONCATENATE(BG$4,$C430),'INSER DATA'!$A:$F,7,0),"")</f>
        <v/>
      </c>
      <c r="BH430" s="270" t="str">
        <f>_xlfn.IFNA(VLOOKUP(CONCATENATE(BH$4,$C430),'INSER DATA'!$A:$F,7,0),"")</f>
        <v/>
      </c>
      <c r="BI430" s="270" t="str">
        <f>_xlfn.IFNA(VLOOKUP(CONCATENATE(BI$4,$C430),'INSER DATA'!$A:$F,7,0),"")</f>
        <v/>
      </c>
      <c r="BJ430" s="270" t="str">
        <f>_xlfn.IFNA(VLOOKUP(CONCATENATE(BJ$4,$C430),'INSER DATA'!$A:$F,7,0),"")</f>
        <v/>
      </c>
      <c r="BK430" s="270" t="str">
        <f>_xlfn.IFNA(VLOOKUP(CONCATENATE(BK$4,$C430),'INSER DATA'!$A:$F,7,0),"")</f>
        <v/>
      </c>
      <c r="BL430" s="272"/>
      <c r="BM430" s="30"/>
      <c r="BN430" s="30"/>
      <c r="BO430" s="30"/>
      <c r="BP430" s="30"/>
      <c r="BQ430" s="30"/>
      <c r="BR430" s="30"/>
      <c r="BS430" s="30"/>
      <c r="BT430" s="30"/>
      <c r="BU430" s="30"/>
      <c r="BV430" s="30"/>
      <c r="BW430" s="30"/>
      <c r="BX430" s="30"/>
      <c r="BY430" s="30"/>
      <c r="BZ430" s="30"/>
      <c r="CA430" s="30"/>
      <c r="CB430" s="30"/>
      <c r="CC430" s="30"/>
      <c r="CD430" s="30"/>
      <c r="CE430" s="30"/>
      <c r="CF430" s="30"/>
      <c r="CG430" s="30"/>
      <c r="CH430" s="30"/>
      <c r="CI430" s="30"/>
      <c r="CJ430" s="30"/>
      <c r="CK430" s="30"/>
      <c r="CL430" s="30"/>
      <c r="CM430" s="30"/>
      <c r="CN430" s="30"/>
      <c r="CO430" s="30"/>
      <c r="CP430" s="30"/>
      <c r="CQ430" s="30"/>
      <c r="CR430" s="30"/>
      <c r="CS430" s="30"/>
      <c r="CT430" s="30"/>
      <c r="CU430" s="30"/>
      <c r="CV430" s="30"/>
      <c r="CW430" s="30"/>
      <c r="CX430" s="30"/>
      <c r="CY430" s="30"/>
      <c r="CZ430" s="30"/>
      <c r="DA430" s="30"/>
    </row>
    <row r="431" spans="1:105" ht="19.2" thickTop="1" thickBot="1" x14ac:dyDescent="0.4">
      <c r="A431" s="30"/>
      <c r="B431" s="30"/>
      <c r="C431" s="188" t="s">
        <v>995</v>
      </c>
      <c r="D431" s="187" t="s">
        <v>910</v>
      </c>
      <c r="E431" s="35" t="str">
        <f>_xlfn.XLOOKUP(Tabella4[[#This Row],[NOME]],'ROSE SQUADRE'!$N$3:$N$253,'ROSE SQUADRE'!$O$3:$O$253,"")</f>
        <v/>
      </c>
      <c r="F431" s="36" t="s">
        <v>161</v>
      </c>
      <c r="G431" s="43"/>
      <c r="H431" s="43"/>
      <c r="I431" s="44">
        <f t="shared" si="37"/>
        <v>0</v>
      </c>
      <c r="J431" s="37">
        <f t="shared" si="38"/>
        <v>1</v>
      </c>
      <c r="K431" s="38">
        <f t="shared" si="39"/>
        <v>5</v>
      </c>
      <c r="L431" s="38">
        <f t="shared" si="40"/>
        <v>5</v>
      </c>
      <c r="M431" s="39">
        <f t="shared" si="41"/>
        <v>5</v>
      </c>
      <c r="N431" s="45">
        <f t="shared" ca="1" si="42"/>
        <v>0</v>
      </c>
      <c r="O431" s="40">
        <f>SUMIF(Tabella1[Nome],Tabella4[[#This Row],[NOME]],Tabella1[Gf])</f>
        <v>0</v>
      </c>
      <c r="P431" s="40">
        <f>-(SUMIF(Tabella1[Nome],Tabella4[[#This Row],[NOME]],Tabella1[Gs]))</f>
        <v>0</v>
      </c>
      <c r="Q431" s="40">
        <f>SUMIF(Tabella1[Nome],Tabella4[[#This Row],[NOME]],Tabella1[Rp])</f>
        <v>0</v>
      </c>
      <c r="R431" s="40">
        <f>SUMIF(Tabella1[Nome],Tabella4[[#This Row],[NOME]],Tabella1[Rs])</f>
        <v>0</v>
      </c>
      <c r="S431" s="40">
        <f>SUMIF(Tabella1[Nome],Tabella4[[#This Row],[NOME]],Tabella1[Rf])</f>
        <v>0</v>
      </c>
      <c r="T431" s="40">
        <f>SUMIF(Tabella1[Nome],Tabella4[[#This Row],[NOME]],Tabella1[Au])</f>
        <v>0</v>
      </c>
      <c r="U431" s="41">
        <f>SUMIF(Tabella1[Nome],Tabella4[[#This Row],[NOME]],Tabella1[Amm])</f>
        <v>0</v>
      </c>
      <c r="V431" s="42">
        <f>SUMIF(Tabella1[Nome],Tabella4[[#This Row],[NOME]],Tabella1[Esp])</f>
        <v>0</v>
      </c>
      <c r="W431" s="40">
        <f>SUMIF(Tabella1[Nome],Tabella4[[#This Row],[NOME]],Tabella1[Ass])</f>
        <v>0</v>
      </c>
      <c r="X431" s="40">
        <f>SUMIF(Tabella1[Nome],Tabella4[[#This Row],[NOME]],Tabella1[Gdv])</f>
        <v>0</v>
      </c>
      <c r="Y431" s="40">
        <f>SUMIF(Tabella1[Nome],Tabella4[[#This Row],[NOME]],Tabella1[cl sh])</f>
        <v>0</v>
      </c>
      <c r="Z431" s="270">
        <f>_xlfn.IFNA(_xlfn.XLOOKUP(CONCATENATE(Z$4,$C431),Tabella1[CONC X VOTI IN TAB GIOC],Tabella1[Voto],""),"")</f>
        <v>5</v>
      </c>
      <c r="AA431" s="270" t="str">
        <f>_xlfn.IFNA(_xlfn.XLOOKUP(CONCATENATE(AA$4,$C431),Tabella1[CONC X VOTI IN TAB GIOC],Tabella1[Voto],""),"")</f>
        <v/>
      </c>
      <c r="AB431" s="270" t="str">
        <f>_xlfn.IFNA(_xlfn.XLOOKUP(CONCATENATE(AB$4,$C431),Tabella1[CONC X VOTI IN TAB GIOC],Tabella1[Voto]),"")</f>
        <v/>
      </c>
      <c r="AC431" s="270" t="str" cm="1">
        <f t="array" ref="AC431">_xlfn.IFNA(_xlfn.XLOOKUP(CONCATENATE(AC$4,$C431),INDEX(Tabella1[],0,MATCH("CONC X VOTI IN TAB GIOC",Tabella1[#Headers],0)),INDEX(Tabella1[],0,MATCH("Voto",Tabella1[#Headers],0))),"")</f>
        <v/>
      </c>
      <c r="AD431" s="270" t="str">
        <f>_xlfn.IFNA(_xlfn.XLOOKUP(CONCATENATE(AD$4,$C431),Tabella1[CONC X VOTI IN TAB GIOC],Tabella1[Voto]),"")</f>
        <v/>
      </c>
      <c r="AE431" s="270" t="str">
        <f>_xlfn.IFNA(VLOOKUP(CONCATENATE(AE$4,$C431),'INSER DATA'!$A:$F,6,0),"")</f>
        <v/>
      </c>
      <c r="AF431" s="270" t="str">
        <f>_xlfn.IFNA(VLOOKUP(CONCATENATE(AF$4,$C431),'INSER DATA'!$A:$F,6,0),"")</f>
        <v/>
      </c>
      <c r="AG431" s="270" t="str">
        <f>_xlfn.IFNA(VLOOKUP(CONCATENATE(AG$4,$C431),'INSER DATA'!$A:$F,6,0),"")</f>
        <v/>
      </c>
      <c r="AH431" s="270" t="str">
        <f>_xlfn.IFNA(VLOOKUP(CONCATENATE(AH$4,$C431),'INSER DATA'!$A:$F,7,0),"")</f>
        <v/>
      </c>
      <c r="AI431" s="270" t="str">
        <f>_xlfn.IFNA(VLOOKUP(CONCATENATE(AI$4,$C431),'INSER DATA'!$A:$F,7,0),"")</f>
        <v/>
      </c>
      <c r="AJ431" s="270" t="str">
        <f>_xlfn.IFNA(VLOOKUP(CONCATENATE(AJ$4,$C431),'INSER DATA'!$A:$F,7,0),"")</f>
        <v/>
      </c>
      <c r="AK431" s="270" t="str">
        <f>_xlfn.IFNA(VLOOKUP(CONCATENATE(AK$4,$C431),'INSER DATA'!$A:$F,7,0),"")</f>
        <v/>
      </c>
      <c r="AL431" s="270" t="str">
        <f>_xlfn.IFNA(VLOOKUP(CONCATENATE(AL$4,$C431),'INSER DATA'!$A:$F,7,0),"")</f>
        <v/>
      </c>
      <c r="AM431" s="270" t="str">
        <f>_xlfn.IFNA(VLOOKUP(CONCATENATE(AM$4,$C431),'INSER DATA'!$A:$F,7,0),"")</f>
        <v/>
      </c>
      <c r="AN431" s="270" t="str">
        <f>_xlfn.IFNA(VLOOKUP(CONCATENATE(AN$4,$C431),'INSER DATA'!$A:$F,7,0),"")</f>
        <v/>
      </c>
      <c r="AO431" s="270" t="str">
        <f>_xlfn.IFNA(VLOOKUP(CONCATENATE(AO$4,$C431),'INSER DATA'!$A:$F,7,0),"")</f>
        <v/>
      </c>
      <c r="AP431" s="270" t="str">
        <f>_xlfn.IFNA(VLOOKUP(CONCATENATE(AP$4,$C431),'INSER DATA'!$A:$F,7,0),"")</f>
        <v/>
      </c>
      <c r="AQ431" s="270" t="str">
        <f>_xlfn.IFNA(VLOOKUP(CONCATENATE(AQ$4,$C431),'INSER DATA'!$A:$F,7,0),"")</f>
        <v/>
      </c>
      <c r="AR431" s="270" t="str">
        <f>_xlfn.IFNA(VLOOKUP(CONCATENATE(AR$4,$C431),'INSER DATA'!$A:$F,7,0),"")</f>
        <v/>
      </c>
      <c r="AS431" s="270" t="str">
        <f>_xlfn.IFNA(VLOOKUP(CONCATENATE(AS$4,$C431),'INSER DATA'!$A:$F,7,0),"")</f>
        <v/>
      </c>
      <c r="AT431" s="270" t="str">
        <f>_xlfn.IFNA(VLOOKUP(CONCATENATE(AT$4,$C431),'INSER DATA'!$A:$F,7,0),"")</f>
        <v/>
      </c>
      <c r="AU431" s="270" t="str">
        <f>_xlfn.IFNA(VLOOKUP(CONCATENATE(AU$4,$C431),'INSER DATA'!$A:$F,7,0),"")</f>
        <v/>
      </c>
      <c r="AV431" s="270" t="str">
        <f>_xlfn.IFNA(VLOOKUP(CONCATENATE(AV$4,$C431),'INSER DATA'!$A:$F,7,0),"")</f>
        <v/>
      </c>
      <c r="AW431" s="270" t="str">
        <f>_xlfn.IFNA(VLOOKUP(CONCATENATE(AW$4,$C431),'INSER DATA'!$A:$F,7,0),"")</f>
        <v/>
      </c>
      <c r="AX431" s="270" t="str">
        <f>_xlfn.IFNA(VLOOKUP(CONCATENATE(AX$4,$C431),'INSER DATA'!$A:$F,7,0),"")</f>
        <v/>
      </c>
      <c r="AY431" s="270" t="str">
        <f>_xlfn.IFNA(VLOOKUP(CONCATENATE(AY$4,$C431),'INSER DATA'!$A:$F,7,0),"")</f>
        <v/>
      </c>
      <c r="AZ431" s="270" t="str">
        <f>_xlfn.IFNA(VLOOKUP(CONCATENATE(AZ$4,$C431),'INSER DATA'!$A:$F,7,0),"")</f>
        <v/>
      </c>
      <c r="BA431" s="270" t="str">
        <f>_xlfn.IFNA(VLOOKUP(CONCATENATE(BA$4,$C431),'INSER DATA'!$A:$F,7,0),"")</f>
        <v/>
      </c>
      <c r="BB431" s="270" t="str">
        <f>_xlfn.IFNA(VLOOKUP(CONCATENATE(BB$4,$C431),'INSER DATA'!$A:$F,7,0),"")</f>
        <v/>
      </c>
      <c r="BC431" s="270" t="str">
        <f>_xlfn.IFNA(VLOOKUP(CONCATENATE(BC$4,$C431),'INSER DATA'!$A:$F,7,0),"")</f>
        <v/>
      </c>
      <c r="BD431" s="270" t="str">
        <f>_xlfn.IFNA(VLOOKUP(CONCATENATE(BD$4,$C431),'INSER DATA'!$A:$F,7,0),"")</f>
        <v/>
      </c>
      <c r="BE431" s="270" t="str">
        <f>_xlfn.IFNA(VLOOKUP(CONCATENATE(BE$4,$C431),'INSER DATA'!$A:$F,7,0),"")</f>
        <v/>
      </c>
      <c r="BF431" s="270" t="str">
        <f>_xlfn.IFNA(VLOOKUP(CONCATENATE(BF$4,$C431),'INSER DATA'!$A:$F,7,0),"")</f>
        <v/>
      </c>
      <c r="BG431" s="270" t="str">
        <f>_xlfn.IFNA(VLOOKUP(CONCATENATE(BG$4,$C431),'INSER DATA'!$A:$F,7,0),"")</f>
        <v/>
      </c>
      <c r="BH431" s="270" t="str">
        <f>_xlfn.IFNA(VLOOKUP(CONCATENATE(BH$4,$C431),'INSER DATA'!$A:$F,7,0),"")</f>
        <v/>
      </c>
      <c r="BI431" s="270" t="str">
        <f>_xlfn.IFNA(VLOOKUP(CONCATENATE(BI$4,$C431),'INSER DATA'!$A:$F,7,0),"")</f>
        <v/>
      </c>
      <c r="BJ431" s="270" t="str">
        <f>_xlfn.IFNA(VLOOKUP(CONCATENATE(BJ$4,$C431),'INSER DATA'!$A:$F,7,0),"")</f>
        <v/>
      </c>
      <c r="BK431" s="270" t="str">
        <f>_xlfn.IFNA(VLOOKUP(CONCATENATE(BK$4,$C431),'INSER DATA'!$A:$F,7,0),"")</f>
        <v/>
      </c>
      <c r="BL431" s="272"/>
      <c r="BM431" s="30"/>
      <c r="BN431" s="30"/>
      <c r="BO431" s="30"/>
      <c r="BP431" s="30"/>
      <c r="BQ431" s="30"/>
      <c r="BR431" s="30"/>
      <c r="BS431" s="30"/>
      <c r="BT431" s="30"/>
      <c r="BU431" s="30"/>
      <c r="BV431" s="30"/>
      <c r="BW431" s="30"/>
      <c r="BX431" s="30"/>
      <c r="BY431" s="30"/>
      <c r="BZ431" s="30"/>
      <c r="CA431" s="30"/>
      <c r="CB431" s="30"/>
      <c r="CC431" s="30"/>
      <c r="CD431" s="30"/>
      <c r="CE431" s="30"/>
      <c r="CF431" s="30"/>
      <c r="CG431" s="30"/>
      <c r="CH431" s="30"/>
      <c r="CI431" s="30"/>
      <c r="CJ431" s="30"/>
      <c r="CK431" s="30"/>
      <c r="CL431" s="30"/>
      <c r="CM431" s="30"/>
      <c r="CN431" s="30"/>
      <c r="CO431" s="30"/>
      <c r="CP431" s="30"/>
      <c r="CQ431" s="30"/>
      <c r="CR431" s="30"/>
      <c r="CS431" s="30"/>
      <c r="CT431" s="30"/>
      <c r="CU431" s="30"/>
      <c r="CV431" s="30"/>
      <c r="CW431" s="30"/>
      <c r="CX431" s="30"/>
      <c r="CY431" s="30"/>
      <c r="CZ431" s="30"/>
      <c r="DA431" s="30"/>
    </row>
    <row r="432" spans="1:105" ht="19.2" thickTop="1" thickBot="1" x14ac:dyDescent="0.4">
      <c r="A432" s="30"/>
      <c r="B432" s="30"/>
      <c r="C432" s="188" t="s">
        <v>911</v>
      </c>
      <c r="D432" s="46" t="s">
        <v>910</v>
      </c>
      <c r="E432" s="35" t="str">
        <f>_xlfn.XLOOKUP(Tabella4[[#This Row],[NOME]],'ROSE SQUADRE'!$N$3:$N$253,'ROSE SQUADRE'!$O$3:$O$253,"")</f>
        <v/>
      </c>
      <c r="F432" s="36" t="s">
        <v>5</v>
      </c>
      <c r="G432" s="43">
        <v>1</v>
      </c>
      <c r="H432" s="43">
        <v>1</v>
      </c>
      <c r="I432" s="44">
        <f t="shared" si="37"/>
        <v>0</v>
      </c>
      <c r="J432" s="37">
        <f t="shared" si="38"/>
        <v>0</v>
      </c>
      <c r="K432" s="38">
        <f t="shared" si="39"/>
        <v>0</v>
      </c>
      <c r="L432" s="38">
        <f t="shared" si="40"/>
        <v>0</v>
      </c>
      <c r="M432" s="39">
        <f t="shared" si="41"/>
        <v>0</v>
      </c>
      <c r="N432" s="45">
        <f t="shared" ca="1" si="42"/>
        <v>0</v>
      </c>
      <c r="O432" s="40">
        <f>SUMIF(Tabella1[Nome],Tabella4[[#This Row],[NOME]],Tabella1[Gf])</f>
        <v>0</v>
      </c>
      <c r="P432" s="40">
        <f>-(SUMIF(Tabella1[Nome],Tabella4[[#This Row],[NOME]],Tabella1[Gs]))</f>
        <v>0</v>
      </c>
      <c r="Q432" s="40">
        <f>SUMIF(Tabella1[Nome],Tabella4[[#This Row],[NOME]],Tabella1[Rp])</f>
        <v>0</v>
      </c>
      <c r="R432" s="40">
        <f>SUMIF(Tabella1[Nome],Tabella4[[#This Row],[NOME]],Tabella1[Rs])</f>
        <v>0</v>
      </c>
      <c r="S432" s="40">
        <f>SUMIF(Tabella1[Nome],Tabella4[[#This Row],[NOME]],Tabella1[Rf])</f>
        <v>0</v>
      </c>
      <c r="T432" s="40">
        <f>SUMIF(Tabella1[Nome],Tabella4[[#This Row],[NOME]],Tabella1[Au])</f>
        <v>0</v>
      </c>
      <c r="U432" s="41">
        <f>SUMIF(Tabella1[Nome],Tabella4[[#This Row],[NOME]],Tabella1[Amm])</f>
        <v>0</v>
      </c>
      <c r="V432" s="42">
        <f>SUMIF(Tabella1[Nome],Tabella4[[#This Row],[NOME]],Tabella1[Esp])</f>
        <v>0</v>
      </c>
      <c r="W432" s="40">
        <f>SUMIF(Tabella1[Nome],Tabella4[[#This Row],[NOME]],Tabella1[Ass])</f>
        <v>0</v>
      </c>
      <c r="X432" s="40">
        <f>SUMIF(Tabella1[Nome],Tabella4[[#This Row],[NOME]],Tabella1[Gdv])</f>
        <v>0</v>
      </c>
      <c r="Y432" s="40">
        <f>SUMIF(Tabella1[Nome],Tabella4[[#This Row],[NOME]],Tabella1[cl sh])</f>
        <v>0</v>
      </c>
      <c r="Z432" s="270" t="str">
        <f>_xlfn.IFNA(_xlfn.XLOOKUP(CONCATENATE(Z$4,$C432),Tabella1[CONC X VOTI IN TAB GIOC],Tabella1[Voto],""),"")</f>
        <v/>
      </c>
      <c r="AA432" s="270" t="str">
        <f>_xlfn.IFNA(_xlfn.XLOOKUP(CONCATENATE(AA$4,$C432),Tabella1[CONC X VOTI IN TAB GIOC],Tabella1[Voto],""),"")</f>
        <v/>
      </c>
      <c r="AB432" s="270" t="str">
        <f>_xlfn.IFNA(_xlfn.XLOOKUP(CONCATENATE(AB$4,$C432),Tabella1[CONC X VOTI IN TAB GIOC],Tabella1[Voto]),"")</f>
        <v/>
      </c>
      <c r="AC432" s="270" t="str" cm="1">
        <f t="array" ref="AC432">_xlfn.IFNA(_xlfn.XLOOKUP(CONCATENATE(AC$4,$C432),INDEX(Tabella1[],0,MATCH("CONC X VOTI IN TAB GIOC",Tabella1[#Headers],0)),INDEX(Tabella1[],0,MATCH("Voto",Tabella1[#Headers],0))),"")</f>
        <v/>
      </c>
      <c r="AD432" s="270" t="str">
        <f>_xlfn.IFNA(_xlfn.XLOOKUP(CONCATENATE(AD$4,$C432),Tabella1[CONC X VOTI IN TAB GIOC],Tabella1[Voto]),"")</f>
        <v/>
      </c>
      <c r="AE432" s="270" t="str">
        <f>_xlfn.IFNA(VLOOKUP(CONCATENATE(AE$4,$C432),'INSER DATA'!$A:$F,6,0),"")</f>
        <v/>
      </c>
      <c r="AF432" s="270" t="str">
        <f>_xlfn.IFNA(VLOOKUP(CONCATENATE(AF$4,$C432),'INSER DATA'!$A:$F,6,0),"")</f>
        <v/>
      </c>
      <c r="AG432" s="270" t="str">
        <f>_xlfn.IFNA(VLOOKUP(CONCATENATE(AG$4,$C432),'INSER DATA'!$A:$F,6,0),"")</f>
        <v/>
      </c>
      <c r="AH432" s="270" t="str">
        <f>_xlfn.IFNA(VLOOKUP(CONCATENATE(AH$4,$C432),'INSER DATA'!$A:$F,7,0),"")</f>
        <v/>
      </c>
      <c r="AI432" s="270" t="str">
        <f>_xlfn.IFNA(VLOOKUP(CONCATENATE(AI$4,$C432),'INSER DATA'!$A:$F,7,0),"")</f>
        <v/>
      </c>
      <c r="AJ432" s="270" t="str">
        <f>_xlfn.IFNA(VLOOKUP(CONCATENATE(AJ$4,$C432),'INSER DATA'!$A:$F,7,0),"")</f>
        <v/>
      </c>
      <c r="AK432" s="270" t="str">
        <f>_xlfn.IFNA(VLOOKUP(CONCATENATE(AK$4,$C432),'INSER DATA'!$A:$F,7,0),"")</f>
        <v/>
      </c>
      <c r="AL432" s="270" t="str">
        <f>_xlfn.IFNA(VLOOKUP(CONCATENATE(AL$4,$C432),'INSER DATA'!$A:$F,7,0),"")</f>
        <v/>
      </c>
      <c r="AM432" s="270" t="str">
        <f>_xlfn.IFNA(VLOOKUP(CONCATENATE(AM$4,$C432),'INSER DATA'!$A:$F,7,0),"")</f>
        <v/>
      </c>
      <c r="AN432" s="270" t="str">
        <f>_xlfn.IFNA(VLOOKUP(CONCATENATE(AN$4,$C432),'INSER DATA'!$A:$F,7,0),"")</f>
        <v/>
      </c>
      <c r="AO432" s="270" t="str">
        <f>_xlfn.IFNA(VLOOKUP(CONCATENATE(AO$4,$C432),'INSER DATA'!$A:$F,7,0),"")</f>
        <v/>
      </c>
      <c r="AP432" s="270" t="str">
        <f>_xlfn.IFNA(VLOOKUP(CONCATENATE(AP$4,$C432),'INSER DATA'!$A:$F,7,0),"")</f>
        <v/>
      </c>
      <c r="AQ432" s="270" t="str">
        <f>_xlfn.IFNA(VLOOKUP(CONCATENATE(AQ$4,$C432),'INSER DATA'!$A:$F,7,0),"")</f>
        <v/>
      </c>
      <c r="AR432" s="270" t="str">
        <f>_xlfn.IFNA(VLOOKUP(CONCATENATE(AR$4,$C432),'INSER DATA'!$A:$F,7,0),"")</f>
        <v/>
      </c>
      <c r="AS432" s="270" t="str">
        <f>_xlfn.IFNA(VLOOKUP(CONCATENATE(AS$4,$C432),'INSER DATA'!$A:$F,7,0),"")</f>
        <v/>
      </c>
      <c r="AT432" s="270" t="str">
        <f>_xlfn.IFNA(VLOOKUP(CONCATENATE(AT$4,$C432),'INSER DATA'!$A:$F,7,0),"")</f>
        <v/>
      </c>
      <c r="AU432" s="270" t="str">
        <f>_xlfn.IFNA(VLOOKUP(CONCATENATE(AU$4,$C432),'INSER DATA'!$A:$F,7,0),"")</f>
        <v/>
      </c>
      <c r="AV432" s="270" t="str">
        <f>_xlfn.IFNA(VLOOKUP(CONCATENATE(AV$4,$C432),'INSER DATA'!$A:$F,7,0),"")</f>
        <v/>
      </c>
      <c r="AW432" s="270" t="str">
        <f>_xlfn.IFNA(VLOOKUP(CONCATENATE(AW$4,$C432),'INSER DATA'!$A:$F,7,0),"")</f>
        <v/>
      </c>
      <c r="AX432" s="270" t="str">
        <f>_xlfn.IFNA(VLOOKUP(CONCATENATE(AX$4,$C432),'INSER DATA'!$A:$F,7,0),"")</f>
        <v/>
      </c>
      <c r="AY432" s="270" t="str">
        <f>_xlfn.IFNA(VLOOKUP(CONCATENATE(AY$4,$C432),'INSER DATA'!$A:$F,7,0),"")</f>
        <v/>
      </c>
      <c r="AZ432" s="270" t="str">
        <f>_xlfn.IFNA(VLOOKUP(CONCATENATE(AZ$4,$C432),'INSER DATA'!$A:$F,7,0),"")</f>
        <v/>
      </c>
      <c r="BA432" s="270" t="str">
        <f>_xlfn.IFNA(VLOOKUP(CONCATENATE(BA$4,$C432),'INSER DATA'!$A:$F,7,0),"")</f>
        <v/>
      </c>
      <c r="BB432" s="270" t="str">
        <f>_xlfn.IFNA(VLOOKUP(CONCATENATE(BB$4,$C432),'INSER DATA'!$A:$F,7,0),"")</f>
        <v/>
      </c>
      <c r="BC432" s="270" t="str">
        <f>_xlfn.IFNA(VLOOKUP(CONCATENATE(BC$4,$C432),'INSER DATA'!$A:$F,7,0),"")</f>
        <v/>
      </c>
      <c r="BD432" s="270" t="str">
        <f>_xlfn.IFNA(VLOOKUP(CONCATENATE(BD$4,$C432),'INSER DATA'!$A:$F,7,0),"")</f>
        <v/>
      </c>
      <c r="BE432" s="270" t="str">
        <f>_xlfn.IFNA(VLOOKUP(CONCATENATE(BE$4,$C432),'INSER DATA'!$A:$F,7,0),"")</f>
        <v/>
      </c>
      <c r="BF432" s="270" t="str">
        <f>_xlfn.IFNA(VLOOKUP(CONCATENATE(BF$4,$C432),'INSER DATA'!$A:$F,7,0),"")</f>
        <v/>
      </c>
      <c r="BG432" s="270" t="str">
        <f>_xlfn.IFNA(VLOOKUP(CONCATENATE(BG$4,$C432),'INSER DATA'!$A:$F,7,0),"")</f>
        <v/>
      </c>
      <c r="BH432" s="270" t="str">
        <f>_xlfn.IFNA(VLOOKUP(CONCATENATE(BH$4,$C432),'INSER DATA'!$A:$F,7,0),"")</f>
        <v/>
      </c>
      <c r="BI432" s="270" t="str">
        <f>_xlfn.IFNA(VLOOKUP(CONCATENATE(BI$4,$C432),'INSER DATA'!$A:$F,7,0),"")</f>
        <v/>
      </c>
      <c r="BJ432" s="270" t="str">
        <f>_xlfn.IFNA(VLOOKUP(CONCATENATE(BJ$4,$C432),'INSER DATA'!$A:$F,7,0),"")</f>
        <v/>
      </c>
      <c r="BK432" s="270" t="str">
        <f>_xlfn.IFNA(VLOOKUP(CONCATENATE(BK$4,$C432),'INSER DATA'!$A:$F,7,0),"")</f>
        <v/>
      </c>
      <c r="BL432" s="272"/>
      <c r="BM432" s="30"/>
      <c r="BN432" s="30"/>
      <c r="BO432" s="30"/>
      <c r="BP432" s="30"/>
      <c r="BQ432" s="30"/>
      <c r="BR432" s="30"/>
      <c r="BS432" s="30"/>
      <c r="BT432" s="30"/>
      <c r="BU432" s="30"/>
      <c r="BV432" s="30"/>
      <c r="BW432" s="30"/>
      <c r="BX432" s="30"/>
      <c r="BY432" s="30"/>
      <c r="BZ432" s="30"/>
      <c r="CA432" s="30"/>
      <c r="CB432" s="30"/>
      <c r="CC432" s="30"/>
      <c r="CD432" s="30"/>
      <c r="CE432" s="30"/>
      <c r="CF432" s="30"/>
      <c r="CG432" s="30"/>
      <c r="CH432" s="30"/>
      <c r="CI432" s="30"/>
      <c r="CJ432" s="30"/>
      <c r="CK432" s="30"/>
      <c r="CL432" s="30"/>
      <c r="CM432" s="30"/>
      <c r="CN432" s="30"/>
      <c r="CO432" s="30"/>
      <c r="CP432" s="30"/>
      <c r="CQ432" s="30"/>
      <c r="CR432" s="30"/>
      <c r="CS432" s="30"/>
      <c r="CT432" s="30"/>
      <c r="CU432" s="30"/>
      <c r="CV432" s="30"/>
      <c r="CW432" s="30"/>
      <c r="CX432" s="30"/>
      <c r="CY432" s="30"/>
      <c r="CZ432" s="30"/>
      <c r="DA432" s="30"/>
    </row>
    <row r="433" spans="1:105" ht="19.2" thickTop="1" thickBot="1" x14ac:dyDescent="0.4">
      <c r="A433" s="30"/>
      <c r="B433" s="30"/>
      <c r="C433" s="185" t="s">
        <v>912</v>
      </c>
      <c r="D433" s="46" t="s">
        <v>910</v>
      </c>
      <c r="E433" s="35" t="str">
        <f>_xlfn.XLOOKUP(Tabella4[[#This Row],[NOME]],'ROSE SQUADRE'!$N$3:$N$253,'ROSE SQUADRE'!$O$3:$O$253,"")</f>
        <v/>
      </c>
      <c r="F433" s="36" t="s">
        <v>5</v>
      </c>
      <c r="G433" s="43">
        <v>1</v>
      </c>
      <c r="H433" s="43">
        <v>1</v>
      </c>
      <c r="I433" s="44">
        <f t="shared" si="37"/>
        <v>0</v>
      </c>
      <c r="J433" s="37">
        <f t="shared" si="38"/>
        <v>0</v>
      </c>
      <c r="K433" s="178">
        <f t="shared" si="39"/>
        <v>0</v>
      </c>
      <c r="L433" s="178">
        <f t="shared" si="40"/>
        <v>0</v>
      </c>
      <c r="M433" s="179">
        <f t="shared" si="41"/>
        <v>0</v>
      </c>
      <c r="N433" s="45">
        <f t="shared" ca="1" si="42"/>
        <v>0</v>
      </c>
      <c r="O433" s="40">
        <f>SUMIF(Tabella1[Nome],Tabella4[[#This Row],[NOME]],Tabella1[Gf])</f>
        <v>0</v>
      </c>
      <c r="P433" s="40">
        <f>-(SUMIF(Tabella1[Nome],Tabella4[[#This Row],[NOME]],Tabella1[Gs]))</f>
        <v>0</v>
      </c>
      <c r="Q433" s="40">
        <f>SUMIF(Tabella1[Nome],Tabella4[[#This Row],[NOME]],Tabella1[Rp])</f>
        <v>0</v>
      </c>
      <c r="R433" s="40">
        <f>SUMIF(Tabella1[Nome],Tabella4[[#This Row],[NOME]],Tabella1[Rs])</f>
        <v>0</v>
      </c>
      <c r="S433" s="40">
        <f>SUMIF(Tabella1[Nome],Tabella4[[#This Row],[NOME]],Tabella1[Rf])</f>
        <v>0</v>
      </c>
      <c r="T433" s="40">
        <f>SUMIF(Tabella1[Nome],Tabella4[[#This Row],[NOME]],Tabella1[Au])</f>
        <v>0</v>
      </c>
      <c r="U433" s="41">
        <f>SUMIF(Tabella1[Nome],Tabella4[[#This Row],[NOME]],Tabella1[Amm])</f>
        <v>0</v>
      </c>
      <c r="V433" s="42">
        <f>SUMIF(Tabella1[Nome],Tabella4[[#This Row],[NOME]],Tabella1[Esp])</f>
        <v>0</v>
      </c>
      <c r="W433" s="40">
        <f>SUMIF(Tabella1[Nome],Tabella4[[#This Row],[NOME]],Tabella1[Ass])</f>
        <v>0</v>
      </c>
      <c r="X433" s="40">
        <f>SUMIF(Tabella1[Nome],Tabella4[[#This Row],[NOME]],Tabella1[Gdv])</f>
        <v>0</v>
      </c>
      <c r="Y433" s="40">
        <f>SUMIF(Tabella1[Nome],Tabella4[[#This Row],[NOME]],Tabella1[cl sh])</f>
        <v>0</v>
      </c>
      <c r="Z433" s="270" t="str">
        <f>_xlfn.IFNA(_xlfn.XLOOKUP(CONCATENATE(Z$4,$C433),Tabella1[CONC X VOTI IN TAB GIOC],Tabella1[Voto],""),"")</f>
        <v/>
      </c>
      <c r="AA433" s="270" t="str">
        <f>_xlfn.IFNA(_xlfn.XLOOKUP(CONCATENATE(AA$4,$C433),Tabella1[CONC X VOTI IN TAB GIOC],Tabella1[Voto],""),"")</f>
        <v/>
      </c>
      <c r="AB433" s="270" t="str">
        <f>_xlfn.IFNA(_xlfn.XLOOKUP(CONCATENATE(AB$4,$C433),Tabella1[CONC X VOTI IN TAB GIOC],Tabella1[Voto]),"")</f>
        <v/>
      </c>
      <c r="AC433" s="270" t="str" cm="1">
        <f t="array" ref="AC433">_xlfn.IFNA(_xlfn.XLOOKUP(CONCATENATE(AC$4,$C433),INDEX(Tabella1[],0,MATCH("CONC X VOTI IN TAB GIOC",Tabella1[#Headers],0)),INDEX(Tabella1[],0,MATCH("Voto",Tabella1[#Headers],0))),"")</f>
        <v/>
      </c>
      <c r="AD433" s="270" t="str">
        <f>_xlfn.IFNA(_xlfn.XLOOKUP(CONCATENATE(AD$4,$C433),Tabella1[CONC X VOTI IN TAB GIOC],Tabella1[Voto]),"")</f>
        <v/>
      </c>
      <c r="AE433" s="270" t="str">
        <f>_xlfn.IFNA(VLOOKUP(CONCATENATE(AE$4,$C433),'INSER DATA'!$A:$F,6,0),"")</f>
        <v/>
      </c>
      <c r="AF433" s="270" t="str">
        <f>_xlfn.IFNA(VLOOKUP(CONCATENATE(AF$4,$C433),'INSER DATA'!$A:$F,6,0),"")</f>
        <v/>
      </c>
      <c r="AG433" s="270" t="str">
        <f>_xlfn.IFNA(VLOOKUP(CONCATENATE(AG$4,$C433),'INSER DATA'!$A:$F,6,0),"")</f>
        <v/>
      </c>
      <c r="AH433" s="270" t="str">
        <f>_xlfn.IFNA(VLOOKUP(CONCATENATE(AH$4,$C433),'INSER DATA'!$A:$F,7,0),"")</f>
        <v/>
      </c>
      <c r="AI433" s="270" t="str">
        <f>_xlfn.IFNA(VLOOKUP(CONCATENATE(AI$4,$C433),'INSER DATA'!$A:$F,7,0),"")</f>
        <v/>
      </c>
      <c r="AJ433" s="270" t="str">
        <f>_xlfn.IFNA(VLOOKUP(CONCATENATE(AJ$4,$C433),'INSER DATA'!$A:$F,7,0),"")</f>
        <v/>
      </c>
      <c r="AK433" s="270" t="str">
        <f>_xlfn.IFNA(VLOOKUP(CONCATENATE(AK$4,$C433),'INSER DATA'!$A:$F,7,0),"")</f>
        <v/>
      </c>
      <c r="AL433" s="270" t="str">
        <f>_xlfn.IFNA(VLOOKUP(CONCATENATE(AL$4,$C433),'INSER DATA'!$A:$F,7,0),"")</f>
        <v/>
      </c>
      <c r="AM433" s="270" t="str">
        <f>_xlfn.IFNA(VLOOKUP(CONCATENATE(AM$4,$C433),'INSER DATA'!$A:$F,7,0),"")</f>
        <v/>
      </c>
      <c r="AN433" s="270" t="str">
        <f>_xlfn.IFNA(VLOOKUP(CONCATENATE(AN$4,$C433),'INSER DATA'!$A:$F,7,0),"")</f>
        <v/>
      </c>
      <c r="AO433" s="270" t="str">
        <f>_xlfn.IFNA(VLOOKUP(CONCATENATE(AO$4,$C433),'INSER DATA'!$A:$F,7,0),"")</f>
        <v/>
      </c>
      <c r="AP433" s="270" t="str">
        <f>_xlfn.IFNA(VLOOKUP(CONCATENATE(AP$4,$C433),'INSER DATA'!$A:$F,7,0),"")</f>
        <v/>
      </c>
      <c r="AQ433" s="270" t="str">
        <f>_xlfn.IFNA(VLOOKUP(CONCATENATE(AQ$4,$C433),'INSER DATA'!$A:$F,7,0),"")</f>
        <v/>
      </c>
      <c r="AR433" s="270" t="str">
        <f>_xlfn.IFNA(VLOOKUP(CONCATENATE(AR$4,$C433),'INSER DATA'!$A:$F,7,0),"")</f>
        <v/>
      </c>
      <c r="AS433" s="270" t="str">
        <f>_xlfn.IFNA(VLOOKUP(CONCATENATE(AS$4,$C433),'INSER DATA'!$A:$F,7,0),"")</f>
        <v/>
      </c>
      <c r="AT433" s="270" t="str">
        <f>_xlfn.IFNA(VLOOKUP(CONCATENATE(AT$4,$C433),'INSER DATA'!$A:$F,7,0),"")</f>
        <v/>
      </c>
      <c r="AU433" s="270" t="str">
        <f>_xlfn.IFNA(VLOOKUP(CONCATENATE(AU$4,$C433),'INSER DATA'!$A:$F,7,0),"")</f>
        <v/>
      </c>
      <c r="AV433" s="270" t="str">
        <f>_xlfn.IFNA(VLOOKUP(CONCATENATE(AV$4,$C433),'INSER DATA'!$A:$F,7,0),"")</f>
        <v/>
      </c>
      <c r="AW433" s="270" t="str">
        <f>_xlfn.IFNA(VLOOKUP(CONCATENATE(AW$4,$C433),'INSER DATA'!$A:$F,7,0),"")</f>
        <v/>
      </c>
      <c r="AX433" s="270" t="str">
        <f>_xlfn.IFNA(VLOOKUP(CONCATENATE(AX$4,$C433),'INSER DATA'!$A:$F,7,0),"")</f>
        <v/>
      </c>
      <c r="AY433" s="270" t="str">
        <f>_xlfn.IFNA(VLOOKUP(CONCATENATE(AY$4,$C433),'INSER DATA'!$A:$F,7,0),"")</f>
        <v/>
      </c>
      <c r="AZ433" s="270" t="str">
        <f>_xlfn.IFNA(VLOOKUP(CONCATENATE(AZ$4,$C433),'INSER DATA'!$A:$F,7,0),"")</f>
        <v/>
      </c>
      <c r="BA433" s="270" t="str">
        <f>_xlfn.IFNA(VLOOKUP(CONCATENATE(BA$4,$C433),'INSER DATA'!$A:$F,7,0),"")</f>
        <v/>
      </c>
      <c r="BB433" s="270" t="str">
        <f>_xlfn.IFNA(VLOOKUP(CONCATENATE(BB$4,$C433),'INSER DATA'!$A:$F,7,0),"")</f>
        <v/>
      </c>
      <c r="BC433" s="270" t="str">
        <f>_xlfn.IFNA(VLOOKUP(CONCATENATE(BC$4,$C433),'INSER DATA'!$A:$F,7,0),"")</f>
        <v/>
      </c>
      <c r="BD433" s="270" t="str">
        <f>_xlfn.IFNA(VLOOKUP(CONCATENATE(BD$4,$C433),'INSER DATA'!$A:$F,7,0),"")</f>
        <v/>
      </c>
      <c r="BE433" s="270" t="str">
        <f>_xlfn.IFNA(VLOOKUP(CONCATENATE(BE$4,$C433),'INSER DATA'!$A:$F,7,0),"")</f>
        <v/>
      </c>
      <c r="BF433" s="270" t="str">
        <f>_xlfn.IFNA(VLOOKUP(CONCATENATE(BF$4,$C433),'INSER DATA'!$A:$F,7,0),"")</f>
        <v/>
      </c>
      <c r="BG433" s="270" t="str">
        <f>_xlfn.IFNA(VLOOKUP(CONCATENATE(BG$4,$C433),'INSER DATA'!$A:$F,7,0),"")</f>
        <v/>
      </c>
      <c r="BH433" s="270" t="str">
        <f>_xlfn.IFNA(VLOOKUP(CONCATENATE(BH$4,$C433),'INSER DATA'!$A:$F,7,0),"")</f>
        <v/>
      </c>
      <c r="BI433" s="270" t="str">
        <f>_xlfn.IFNA(VLOOKUP(CONCATENATE(BI$4,$C433),'INSER DATA'!$A:$F,7,0),"")</f>
        <v/>
      </c>
      <c r="BJ433" s="270" t="str">
        <f>_xlfn.IFNA(VLOOKUP(CONCATENATE(BJ$4,$C433),'INSER DATA'!$A:$F,7,0),"")</f>
        <v/>
      </c>
      <c r="BK433" s="270" t="str">
        <f>_xlfn.IFNA(VLOOKUP(CONCATENATE(BK$4,$C433),'INSER DATA'!$A:$F,7,0),"")</f>
        <v/>
      </c>
      <c r="BL433" s="272"/>
      <c r="BM433" s="30"/>
      <c r="BN433" s="30"/>
      <c r="BO433" s="30"/>
      <c r="BP433" s="30"/>
      <c r="BQ433" s="30"/>
      <c r="BR433" s="30"/>
      <c r="BS433" s="30"/>
      <c r="BT433" s="30"/>
      <c r="BU433" s="30"/>
      <c r="BV433" s="30"/>
      <c r="BW433" s="30"/>
      <c r="BX433" s="30"/>
      <c r="BY433" s="30"/>
      <c r="BZ433" s="30"/>
      <c r="CA433" s="30"/>
      <c r="CB433" s="30"/>
      <c r="CC433" s="30"/>
      <c r="CD433" s="30"/>
      <c r="CE433" s="30"/>
      <c r="CF433" s="30"/>
      <c r="CG433" s="30"/>
      <c r="CH433" s="30"/>
      <c r="CI433" s="30"/>
      <c r="CJ433" s="30"/>
      <c r="CK433" s="30"/>
      <c r="CL433" s="30"/>
      <c r="CM433" s="30"/>
      <c r="CN433" s="30"/>
      <c r="CO433" s="30"/>
      <c r="CP433" s="30"/>
      <c r="CQ433" s="30"/>
      <c r="CR433" s="30"/>
      <c r="CS433" s="30"/>
      <c r="CT433" s="30"/>
      <c r="CU433" s="30"/>
      <c r="CV433" s="30"/>
      <c r="CW433" s="30"/>
      <c r="CX433" s="30"/>
      <c r="CY433" s="30"/>
      <c r="CZ433" s="30"/>
      <c r="DA433" s="30"/>
    </row>
    <row r="434" spans="1:105" ht="19.2" thickTop="1" thickBot="1" x14ac:dyDescent="0.4">
      <c r="A434" s="30"/>
      <c r="B434" s="30"/>
      <c r="C434" s="188" t="s">
        <v>913</v>
      </c>
      <c r="D434" s="187" t="s">
        <v>910</v>
      </c>
      <c r="E434" s="35" t="str">
        <f>_xlfn.XLOOKUP(Tabella4[[#This Row],[NOME]],'ROSE SQUADRE'!$N$3:$N$253,'ROSE SQUADRE'!$O$3:$O$253,"")</f>
        <v/>
      </c>
      <c r="F434" s="36" t="s">
        <v>5</v>
      </c>
      <c r="G434" s="43">
        <v>1</v>
      </c>
      <c r="H434" s="43">
        <v>1</v>
      </c>
      <c r="I434" s="44">
        <f t="shared" si="37"/>
        <v>0</v>
      </c>
      <c r="J434" s="37">
        <f t="shared" si="38"/>
        <v>0</v>
      </c>
      <c r="K434" s="178">
        <f t="shared" si="39"/>
        <v>0</v>
      </c>
      <c r="L434" s="178">
        <f t="shared" si="40"/>
        <v>0</v>
      </c>
      <c r="M434" s="179">
        <f t="shared" si="41"/>
        <v>0</v>
      </c>
      <c r="N434" s="45">
        <f t="shared" ca="1" si="42"/>
        <v>0</v>
      </c>
      <c r="O434" s="40">
        <f>SUMIF(Tabella1[Nome],Tabella4[[#This Row],[NOME]],Tabella1[Gf])</f>
        <v>0</v>
      </c>
      <c r="P434" s="40">
        <f>-(SUMIF(Tabella1[Nome],Tabella4[[#This Row],[NOME]],Tabella1[Gs]))</f>
        <v>0</v>
      </c>
      <c r="Q434" s="40">
        <f>SUMIF(Tabella1[Nome],Tabella4[[#This Row],[NOME]],Tabella1[Rp])</f>
        <v>0</v>
      </c>
      <c r="R434" s="40">
        <f>SUMIF(Tabella1[Nome],Tabella4[[#This Row],[NOME]],Tabella1[Rs])</f>
        <v>0</v>
      </c>
      <c r="S434" s="40">
        <f>SUMIF(Tabella1[Nome],Tabella4[[#This Row],[NOME]],Tabella1[Rf])</f>
        <v>0</v>
      </c>
      <c r="T434" s="40">
        <f>SUMIF(Tabella1[Nome],Tabella4[[#This Row],[NOME]],Tabella1[Au])</f>
        <v>0</v>
      </c>
      <c r="U434" s="41">
        <f>SUMIF(Tabella1[Nome],Tabella4[[#This Row],[NOME]],Tabella1[Amm])</f>
        <v>0</v>
      </c>
      <c r="V434" s="42">
        <f>SUMIF(Tabella1[Nome],Tabella4[[#This Row],[NOME]],Tabella1[Esp])</f>
        <v>0</v>
      </c>
      <c r="W434" s="40">
        <f>SUMIF(Tabella1[Nome],Tabella4[[#This Row],[NOME]],Tabella1[Ass])</f>
        <v>0</v>
      </c>
      <c r="X434" s="40">
        <f>SUMIF(Tabella1[Nome],Tabella4[[#This Row],[NOME]],Tabella1[Gdv])</f>
        <v>0</v>
      </c>
      <c r="Y434" s="40">
        <f>SUMIF(Tabella1[Nome],Tabella4[[#This Row],[NOME]],Tabella1[cl sh])</f>
        <v>0</v>
      </c>
      <c r="Z434" s="270" t="str">
        <f>_xlfn.IFNA(_xlfn.XLOOKUP(CONCATENATE(Z$4,$C434),Tabella1[CONC X VOTI IN TAB GIOC],Tabella1[Voto],""),"")</f>
        <v/>
      </c>
      <c r="AA434" s="270" t="str">
        <f>_xlfn.IFNA(_xlfn.XLOOKUP(CONCATENATE(AA$4,$C434),Tabella1[CONC X VOTI IN TAB GIOC],Tabella1[Voto],""),"")</f>
        <v/>
      </c>
      <c r="AB434" s="270" t="str">
        <f>_xlfn.IFNA(_xlfn.XLOOKUP(CONCATENATE(AB$4,$C434),Tabella1[CONC X VOTI IN TAB GIOC],Tabella1[Voto]),"")</f>
        <v/>
      </c>
      <c r="AC434" s="270" t="str" cm="1">
        <f t="array" ref="AC434">_xlfn.IFNA(_xlfn.XLOOKUP(CONCATENATE(AC$4,$C434),INDEX(Tabella1[],0,MATCH("CONC X VOTI IN TAB GIOC",Tabella1[#Headers],0)),INDEX(Tabella1[],0,MATCH("Voto",Tabella1[#Headers],0))),"")</f>
        <v/>
      </c>
      <c r="AD434" s="270" t="str">
        <f>_xlfn.IFNA(_xlfn.XLOOKUP(CONCATENATE(AD$4,$C434),Tabella1[CONC X VOTI IN TAB GIOC],Tabella1[Voto]),"")</f>
        <v/>
      </c>
      <c r="AE434" s="270" t="str">
        <f>_xlfn.IFNA(VLOOKUP(CONCATENATE(AE$4,$C434),'INSER DATA'!$A:$F,6,0),"")</f>
        <v/>
      </c>
      <c r="AF434" s="270" t="str">
        <f>_xlfn.IFNA(VLOOKUP(CONCATENATE(AF$4,$C434),'INSER DATA'!$A:$F,6,0),"")</f>
        <v/>
      </c>
      <c r="AG434" s="270" t="str">
        <f>_xlfn.IFNA(VLOOKUP(CONCATENATE(AG$4,$C434),'INSER DATA'!$A:$F,6,0),"")</f>
        <v/>
      </c>
      <c r="AH434" s="270" t="str">
        <f>_xlfn.IFNA(VLOOKUP(CONCATENATE(AH$4,$C434),'INSER DATA'!$A:$F,7,0),"")</f>
        <v/>
      </c>
      <c r="AI434" s="270" t="str">
        <f>_xlfn.IFNA(VLOOKUP(CONCATENATE(AI$4,$C434),'INSER DATA'!$A:$F,7,0),"")</f>
        <v/>
      </c>
      <c r="AJ434" s="270" t="str">
        <f>_xlfn.IFNA(VLOOKUP(CONCATENATE(AJ$4,$C434),'INSER DATA'!$A:$F,7,0),"")</f>
        <v/>
      </c>
      <c r="AK434" s="270" t="str">
        <f>_xlfn.IFNA(VLOOKUP(CONCATENATE(AK$4,$C434),'INSER DATA'!$A:$F,7,0),"")</f>
        <v/>
      </c>
      <c r="AL434" s="270" t="str">
        <f>_xlfn.IFNA(VLOOKUP(CONCATENATE(AL$4,$C434),'INSER DATA'!$A:$F,7,0),"")</f>
        <v/>
      </c>
      <c r="AM434" s="270" t="str">
        <f>_xlfn.IFNA(VLOOKUP(CONCATENATE(AM$4,$C434),'INSER DATA'!$A:$F,7,0),"")</f>
        <v/>
      </c>
      <c r="AN434" s="270" t="str">
        <f>_xlfn.IFNA(VLOOKUP(CONCATENATE(AN$4,$C434),'INSER DATA'!$A:$F,7,0),"")</f>
        <v/>
      </c>
      <c r="AO434" s="270" t="str">
        <f>_xlfn.IFNA(VLOOKUP(CONCATENATE(AO$4,$C434),'INSER DATA'!$A:$F,7,0),"")</f>
        <v/>
      </c>
      <c r="AP434" s="270" t="str">
        <f>_xlfn.IFNA(VLOOKUP(CONCATENATE(AP$4,$C434),'INSER DATA'!$A:$F,7,0),"")</f>
        <v/>
      </c>
      <c r="AQ434" s="270" t="str">
        <f>_xlfn.IFNA(VLOOKUP(CONCATENATE(AQ$4,$C434),'INSER DATA'!$A:$F,7,0),"")</f>
        <v/>
      </c>
      <c r="AR434" s="270" t="str">
        <f>_xlfn.IFNA(VLOOKUP(CONCATENATE(AR$4,$C434),'INSER DATA'!$A:$F,7,0),"")</f>
        <v/>
      </c>
      <c r="AS434" s="270" t="str">
        <f>_xlfn.IFNA(VLOOKUP(CONCATENATE(AS$4,$C434),'INSER DATA'!$A:$F,7,0),"")</f>
        <v/>
      </c>
      <c r="AT434" s="270" t="str">
        <f>_xlfn.IFNA(VLOOKUP(CONCATENATE(AT$4,$C434),'INSER DATA'!$A:$F,7,0),"")</f>
        <v/>
      </c>
      <c r="AU434" s="270" t="str">
        <f>_xlfn.IFNA(VLOOKUP(CONCATENATE(AU$4,$C434),'INSER DATA'!$A:$F,7,0),"")</f>
        <v/>
      </c>
      <c r="AV434" s="270" t="str">
        <f>_xlfn.IFNA(VLOOKUP(CONCATENATE(AV$4,$C434),'INSER DATA'!$A:$F,7,0),"")</f>
        <v/>
      </c>
      <c r="AW434" s="270" t="str">
        <f>_xlfn.IFNA(VLOOKUP(CONCATENATE(AW$4,$C434),'INSER DATA'!$A:$F,7,0),"")</f>
        <v/>
      </c>
      <c r="AX434" s="270" t="str">
        <f>_xlfn.IFNA(VLOOKUP(CONCATENATE(AX$4,$C434),'INSER DATA'!$A:$F,7,0),"")</f>
        <v/>
      </c>
      <c r="AY434" s="270" t="str">
        <f>_xlfn.IFNA(VLOOKUP(CONCATENATE(AY$4,$C434),'INSER DATA'!$A:$F,7,0),"")</f>
        <v/>
      </c>
      <c r="AZ434" s="270" t="str">
        <f>_xlfn.IFNA(VLOOKUP(CONCATENATE(AZ$4,$C434),'INSER DATA'!$A:$F,7,0),"")</f>
        <v/>
      </c>
      <c r="BA434" s="270" t="str">
        <f>_xlfn.IFNA(VLOOKUP(CONCATENATE(BA$4,$C434),'INSER DATA'!$A:$F,7,0),"")</f>
        <v/>
      </c>
      <c r="BB434" s="270" t="str">
        <f>_xlfn.IFNA(VLOOKUP(CONCATENATE(BB$4,$C434),'INSER DATA'!$A:$F,7,0),"")</f>
        <v/>
      </c>
      <c r="BC434" s="270" t="str">
        <f>_xlfn.IFNA(VLOOKUP(CONCATENATE(BC$4,$C434),'INSER DATA'!$A:$F,7,0),"")</f>
        <v/>
      </c>
      <c r="BD434" s="270" t="str">
        <f>_xlfn.IFNA(VLOOKUP(CONCATENATE(BD$4,$C434),'INSER DATA'!$A:$F,7,0),"")</f>
        <v/>
      </c>
      <c r="BE434" s="270" t="str">
        <f>_xlfn.IFNA(VLOOKUP(CONCATENATE(BE$4,$C434),'INSER DATA'!$A:$F,7,0),"")</f>
        <v/>
      </c>
      <c r="BF434" s="270" t="str">
        <f>_xlfn.IFNA(VLOOKUP(CONCATENATE(BF$4,$C434),'INSER DATA'!$A:$F,7,0),"")</f>
        <v/>
      </c>
      <c r="BG434" s="270" t="str">
        <f>_xlfn.IFNA(VLOOKUP(CONCATENATE(BG$4,$C434),'INSER DATA'!$A:$F,7,0),"")</f>
        <v/>
      </c>
      <c r="BH434" s="270" t="str">
        <f>_xlfn.IFNA(VLOOKUP(CONCATENATE(BH$4,$C434),'INSER DATA'!$A:$F,7,0),"")</f>
        <v/>
      </c>
      <c r="BI434" s="270" t="str">
        <f>_xlfn.IFNA(VLOOKUP(CONCATENATE(BI$4,$C434),'INSER DATA'!$A:$F,7,0),"")</f>
        <v/>
      </c>
      <c r="BJ434" s="270" t="str">
        <f>_xlfn.IFNA(VLOOKUP(CONCATENATE(BJ$4,$C434),'INSER DATA'!$A:$F,7,0),"")</f>
        <v/>
      </c>
      <c r="BK434" s="270" t="str">
        <f>_xlfn.IFNA(VLOOKUP(CONCATENATE(BK$4,$C434),'INSER DATA'!$A:$F,7,0),"")</f>
        <v/>
      </c>
      <c r="BL434" s="272"/>
      <c r="BM434" s="30"/>
      <c r="BN434" s="30"/>
      <c r="BO434" s="30"/>
      <c r="BP434" s="30"/>
      <c r="BQ434" s="30"/>
      <c r="BR434" s="30"/>
      <c r="BS434" s="30"/>
      <c r="BT434" s="30"/>
      <c r="BU434" s="30"/>
      <c r="BV434" s="30"/>
      <c r="BW434" s="30"/>
      <c r="BX434" s="30"/>
      <c r="BY434" s="30"/>
      <c r="BZ434" s="30"/>
      <c r="CA434" s="30"/>
      <c r="CB434" s="30"/>
      <c r="CC434" s="30"/>
      <c r="CD434" s="30"/>
      <c r="CE434" s="30"/>
      <c r="CF434" s="30"/>
      <c r="CG434" s="30"/>
      <c r="CH434" s="30"/>
      <c r="CI434" s="30"/>
      <c r="CJ434" s="30"/>
      <c r="CK434" s="30"/>
      <c r="CL434" s="30"/>
      <c r="CM434" s="30"/>
      <c r="CN434" s="30"/>
      <c r="CO434" s="30"/>
      <c r="CP434" s="30"/>
      <c r="CQ434" s="30"/>
      <c r="CR434" s="30"/>
      <c r="CS434" s="30"/>
      <c r="CT434" s="30"/>
      <c r="CU434" s="30"/>
      <c r="CV434" s="30"/>
      <c r="CW434" s="30"/>
      <c r="CX434" s="30"/>
      <c r="CY434" s="30"/>
      <c r="CZ434" s="30"/>
      <c r="DA434" s="30"/>
    </row>
    <row r="435" spans="1:105" ht="19.2" thickTop="1" thickBot="1" x14ac:dyDescent="0.4">
      <c r="A435" s="30"/>
      <c r="B435" s="30"/>
      <c r="C435" s="185" t="s">
        <v>914</v>
      </c>
      <c r="D435" s="46" t="s">
        <v>910</v>
      </c>
      <c r="E435" s="35" t="str">
        <f>_xlfn.XLOOKUP(Tabella4[[#This Row],[NOME]],'ROSE SQUADRE'!$N$3:$N$253,'ROSE SQUADRE'!$O$3:$O$253,"")</f>
        <v/>
      </c>
      <c r="F435" s="36" t="s">
        <v>161</v>
      </c>
      <c r="G435" s="43">
        <v>3</v>
      </c>
      <c r="H435" s="43">
        <v>3</v>
      </c>
      <c r="I435" s="44">
        <f t="shared" si="37"/>
        <v>0</v>
      </c>
      <c r="J435" s="37">
        <f t="shared" si="38"/>
        <v>0</v>
      </c>
      <c r="K435" s="38">
        <f t="shared" si="39"/>
        <v>0</v>
      </c>
      <c r="L435" s="38">
        <f t="shared" si="40"/>
        <v>0</v>
      </c>
      <c r="M435" s="39">
        <f t="shared" si="41"/>
        <v>0</v>
      </c>
      <c r="N435" s="45">
        <f t="shared" ca="1" si="42"/>
        <v>0</v>
      </c>
      <c r="O435" s="40">
        <f>SUMIF(Tabella1[Nome],Tabella4[[#This Row],[NOME]],Tabella1[Gf])</f>
        <v>0</v>
      </c>
      <c r="P435" s="40">
        <f>-(SUMIF(Tabella1[Nome],Tabella4[[#This Row],[NOME]],Tabella1[Gs]))</f>
        <v>0</v>
      </c>
      <c r="Q435" s="40">
        <f>SUMIF(Tabella1[Nome],Tabella4[[#This Row],[NOME]],Tabella1[Rp])</f>
        <v>0</v>
      </c>
      <c r="R435" s="40">
        <f>SUMIF(Tabella1[Nome],Tabella4[[#This Row],[NOME]],Tabella1[Rs])</f>
        <v>0</v>
      </c>
      <c r="S435" s="40">
        <f>SUMIF(Tabella1[Nome],Tabella4[[#This Row],[NOME]],Tabella1[Rf])</f>
        <v>0</v>
      </c>
      <c r="T435" s="40">
        <f>SUMIF(Tabella1[Nome],Tabella4[[#This Row],[NOME]],Tabella1[Au])</f>
        <v>0</v>
      </c>
      <c r="U435" s="41">
        <f>SUMIF(Tabella1[Nome],Tabella4[[#This Row],[NOME]],Tabella1[Amm])</f>
        <v>0</v>
      </c>
      <c r="V435" s="42">
        <f>SUMIF(Tabella1[Nome],Tabella4[[#This Row],[NOME]],Tabella1[Esp])</f>
        <v>0</v>
      </c>
      <c r="W435" s="40">
        <f>SUMIF(Tabella1[Nome],Tabella4[[#This Row],[NOME]],Tabella1[Ass])</f>
        <v>0</v>
      </c>
      <c r="X435" s="40">
        <f>SUMIF(Tabella1[Nome],Tabella4[[#This Row],[NOME]],Tabella1[Gdv])</f>
        <v>0</v>
      </c>
      <c r="Y435" s="40">
        <f>SUMIF(Tabella1[Nome],Tabella4[[#This Row],[NOME]],Tabella1[cl sh])</f>
        <v>0</v>
      </c>
      <c r="Z435" s="270" t="str">
        <f>_xlfn.IFNA(_xlfn.XLOOKUP(CONCATENATE(Z$4,$C435),Tabella1[CONC X VOTI IN TAB GIOC],Tabella1[Voto],""),"")</f>
        <v/>
      </c>
      <c r="AA435" s="270" t="str">
        <f>_xlfn.IFNA(_xlfn.XLOOKUP(CONCATENATE(AA$4,$C435),Tabella1[CONC X VOTI IN TAB GIOC],Tabella1[Voto],""),"")</f>
        <v/>
      </c>
      <c r="AB435" s="270" t="str">
        <f>_xlfn.IFNA(_xlfn.XLOOKUP(CONCATENATE(AB$4,$C435),Tabella1[CONC X VOTI IN TAB GIOC],Tabella1[Voto]),"")</f>
        <v/>
      </c>
      <c r="AC435" s="270" t="str" cm="1">
        <f t="array" ref="AC435">_xlfn.IFNA(_xlfn.XLOOKUP(CONCATENATE(AC$4,$C435),INDEX(Tabella1[],0,MATCH("CONC X VOTI IN TAB GIOC",Tabella1[#Headers],0)),INDEX(Tabella1[],0,MATCH("Voto",Tabella1[#Headers],0))),"")</f>
        <v/>
      </c>
      <c r="AD435" s="270" t="str">
        <f>_xlfn.IFNA(_xlfn.XLOOKUP(CONCATENATE(AD$4,$C435),Tabella1[CONC X VOTI IN TAB GIOC],Tabella1[Voto]),"")</f>
        <v/>
      </c>
      <c r="AE435" s="270" t="str">
        <f>_xlfn.IFNA(VLOOKUP(CONCATENATE(AE$4,$C435),'INSER DATA'!$A:$F,6,0),"")</f>
        <v/>
      </c>
      <c r="AF435" s="270" t="str">
        <f>_xlfn.IFNA(VLOOKUP(CONCATENATE(AF$4,$C435),'INSER DATA'!$A:$F,6,0),"")</f>
        <v/>
      </c>
      <c r="AG435" s="270" t="str">
        <f>_xlfn.IFNA(VLOOKUP(CONCATENATE(AG$4,$C435),'INSER DATA'!$A:$F,6,0),"")</f>
        <v/>
      </c>
      <c r="AH435" s="270" t="str">
        <f>_xlfn.IFNA(VLOOKUP(CONCATENATE(AH$4,$C435),'INSER DATA'!$A:$F,7,0),"")</f>
        <v/>
      </c>
      <c r="AI435" s="270" t="str">
        <f>_xlfn.IFNA(VLOOKUP(CONCATENATE(AI$4,$C435),'INSER DATA'!$A:$F,7,0),"")</f>
        <v/>
      </c>
      <c r="AJ435" s="270" t="str">
        <f>_xlfn.IFNA(VLOOKUP(CONCATENATE(AJ$4,$C435),'INSER DATA'!$A:$F,7,0),"")</f>
        <v/>
      </c>
      <c r="AK435" s="270" t="str">
        <f>_xlfn.IFNA(VLOOKUP(CONCATENATE(AK$4,$C435),'INSER DATA'!$A:$F,7,0),"")</f>
        <v/>
      </c>
      <c r="AL435" s="270" t="str">
        <f>_xlfn.IFNA(VLOOKUP(CONCATENATE(AL$4,$C435),'INSER DATA'!$A:$F,7,0),"")</f>
        <v/>
      </c>
      <c r="AM435" s="270" t="str">
        <f>_xlfn.IFNA(VLOOKUP(CONCATENATE(AM$4,$C435),'INSER DATA'!$A:$F,7,0),"")</f>
        <v/>
      </c>
      <c r="AN435" s="270" t="str">
        <f>_xlfn.IFNA(VLOOKUP(CONCATENATE(AN$4,$C435),'INSER DATA'!$A:$F,7,0),"")</f>
        <v/>
      </c>
      <c r="AO435" s="270" t="str">
        <f>_xlfn.IFNA(VLOOKUP(CONCATENATE(AO$4,$C435),'INSER DATA'!$A:$F,7,0),"")</f>
        <v/>
      </c>
      <c r="AP435" s="270" t="str">
        <f>_xlfn.IFNA(VLOOKUP(CONCATENATE(AP$4,$C435),'INSER DATA'!$A:$F,7,0),"")</f>
        <v/>
      </c>
      <c r="AQ435" s="270" t="str">
        <f>_xlfn.IFNA(VLOOKUP(CONCATENATE(AQ$4,$C435),'INSER DATA'!$A:$F,7,0),"")</f>
        <v/>
      </c>
      <c r="AR435" s="270" t="str">
        <f>_xlfn.IFNA(VLOOKUP(CONCATENATE(AR$4,$C435),'INSER DATA'!$A:$F,7,0),"")</f>
        <v/>
      </c>
      <c r="AS435" s="270" t="str">
        <f>_xlfn.IFNA(VLOOKUP(CONCATENATE(AS$4,$C435),'INSER DATA'!$A:$F,7,0),"")</f>
        <v/>
      </c>
      <c r="AT435" s="270" t="str">
        <f>_xlfn.IFNA(VLOOKUP(CONCATENATE(AT$4,$C435),'INSER DATA'!$A:$F,7,0),"")</f>
        <v/>
      </c>
      <c r="AU435" s="270" t="str">
        <f>_xlfn.IFNA(VLOOKUP(CONCATENATE(AU$4,$C435),'INSER DATA'!$A:$F,7,0),"")</f>
        <v/>
      </c>
      <c r="AV435" s="270" t="str">
        <f>_xlfn.IFNA(VLOOKUP(CONCATENATE(AV$4,$C435),'INSER DATA'!$A:$F,7,0),"")</f>
        <v/>
      </c>
      <c r="AW435" s="270" t="str">
        <f>_xlfn.IFNA(VLOOKUP(CONCATENATE(AW$4,$C435),'INSER DATA'!$A:$F,7,0),"")</f>
        <v/>
      </c>
      <c r="AX435" s="270" t="str">
        <f>_xlfn.IFNA(VLOOKUP(CONCATENATE(AX$4,$C435),'INSER DATA'!$A:$F,7,0),"")</f>
        <v/>
      </c>
      <c r="AY435" s="270" t="str">
        <f>_xlfn.IFNA(VLOOKUP(CONCATENATE(AY$4,$C435),'INSER DATA'!$A:$F,7,0),"")</f>
        <v/>
      </c>
      <c r="AZ435" s="270" t="str">
        <f>_xlfn.IFNA(VLOOKUP(CONCATENATE(AZ$4,$C435),'INSER DATA'!$A:$F,7,0),"")</f>
        <v/>
      </c>
      <c r="BA435" s="270" t="str">
        <f>_xlfn.IFNA(VLOOKUP(CONCATENATE(BA$4,$C435),'INSER DATA'!$A:$F,7,0),"")</f>
        <v/>
      </c>
      <c r="BB435" s="270" t="str">
        <f>_xlfn.IFNA(VLOOKUP(CONCATENATE(BB$4,$C435),'INSER DATA'!$A:$F,7,0),"")</f>
        <v/>
      </c>
      <c r="BC435" s="270" t="str">
        <f>_xlfn.IFNA(VLOOKUP(CONCATENATE(BC$4,$C435),'INSER DATA'!$A:$F,7,0),"")</f>
        <v/>
      </c>
      <c r="BD435" s="270" t="str">
        <f>_xlfn.IFNA(VLOOKUP(CONCATENATE(BD$4,$C435),'INSER DATA'!$A:$F,7,0),"")</f>
        <v/>
      </c>
      <c r="BE435" s="270" t="str">
        <f>_xlfn.IFNA(VLOOKUP(CONCATENATE(BE$4,$C435),'INSER DATA'!$A:$F,7,0),"")</f>
        <v/>
      </c>
      <c r="BF435" s="270" t="str">
        <f>_xlfn.IFNA(VLOOKUP(CONCATENATE(BF$4,$C435),'INSER DATA'!$A:$F,7,0),"")</f>
        <v/>
      </c>
      <c r="BG435" s="270" t="str">
        <f>_xlfn.IFNA(VLOOKUP(CONCATENATE(BG$4,$C435),'INSER DATA'!$A:$F,7,0),"")</f>
        <v/>
      </c>
      <c r="BH435" s="270" t="str">
        <f>_xlfn.IFNA(VLOOKUP(CONCATENATE(BH$4,$C435),'INSER DATA'!$A:$F,7,0),"")</f>
        <v/>
      </c>
      <c r="BI435" s="270" t="str">
        <f>_xlfn.IFNA(VLOOKUP(CONCATENATE(BI$4,$C435),'INSER DATA'!$A:$F,7,0),"")</f>
        <v/>
      </c>
      <c r="BJ435" s="270" t="str">
        <f>_xlfn.IFNA(VLOOKUP(CONCATENATE(BJ$4,$C435),'INSER DATA'!$A:$F,7,0),"")</f>
        <v/>
      </c>
      <c r="BK435" s="270" t="str">
        <f>_xlfn.IFNA(VLOOKUP(CONCATENATE(BK$4,$C435),'INSER DATA'!$A:$F,7,0),"")</f>
        <v/>
      </c>
      <c r="BL435" s="272"/>
      <c r="BM435" s="30"/>
      <c r="BN435" s="30"/>
      <c r="BO435" s="30"/>
      <c r="BP435" s="30"/>
      <c r="BQ435" s="30"/>
      <c r="BR435" s="30"/>
      <c r="BS435" s="30"/>
      <c r="BT435" s="30"/>
      <c r="BU435" s="30"/>
      <c r="BV435" s="30"/>
      <c r="BW435" s="30"/>
      <c r="BX435" s="30"/>
      <c r="BY435" s="30"/>
      <c r="BZ435" s="30"/>
      <c r="CA435" s="30"/>
      <c r="CB435" s="30"/>
      <c r="CC435" s="30"/>
      <c r="CD435" s="30"/>
      <c r="CE435" s="30"/>
      <c r="CF435" s="30"/>
      <c r="CG435" s="30"/>
      <c r="CH435" s="30"/>
      <c r="CI435" s="30"/>
      <c r="CJ435" s="30"/>
      <c r="CK435" s="30"/>
      <c r="CL435" s="30"/>
      <c r="CM435" s="30"/>
      <c r="CN435" s="30"/>
      <c r="CO435" s="30"/>
      <c r="CP435" s="30"/>
      <c r="CQ435" s="30"/>
      <c r="CR435" s="30"/>
      <c r="CS435" s="30"/>
      <c r="CT435" s="30"/>
      <c r="CU435" s="30"/>
      <c r="CV435" s="30"/>
      <c r="CW435" s="30"/>
      <c r="CX435" s="30"/>
      <c r="CY435" s="30"/>
      <c r="CZ435" s="30"/>
      <c r="DA435" s="30"/>
    </row>
    <row r="436" spans="1:105" ht="19.2" thickTop="1" thickBot="1" x14ac:dyDescent="0.4">
      <c r="A436" s="30"/>
      <c r="B436" s="30"/>
      <c r="C436" s="185" t="s">
        <v>916</v>
      </c>
      <c r="D436" s="46" t="s">
        <v>910</v>
      </c>
      <c r="E436" s="35" t="str">
        <f>_xlfn.XLOOKUP(Tabella4[[#This Row],[NOME]],'ROSE SQUADRE'!$N$3:$N$253,'ROSE SQUADRE'!$O$3:$O$253,"")</f>
        <v/>
      </c>
      <c r="F436" s="36" t="s">
        <v>161</v>
      </c>
      <c r="G436" s="43"/>
      <c r="H436" s="43"/>
      <c r="I436" s="44">
        <f t="shared" si="37"/>
        <v>0</v>
      </c>
      <c r="J436" s="37">
        <f t="shared" si="38"/>
        <v>0</v>
      </c>
      <c r="K436" s="178">
        <f t="shared" si="39"/>
        <v>0</v>
      </c>
      <c r="L436" s="178">
        <f t="shared" si="40"/>
        <v>0</v>
      </c>
      <c r="M436" s="179">
        <f t="shared" si="41"/>
        <v>0</v>
      </c>
      <c r="N436" s="45">
        <f t="shared" ca="1" si="42"/>
        <v>0</v>
      </c>
      <c r="O436" s="40">
        <f>SUMIF(Tabella1[Nome],Tabella4[[#This Row],[NOME]],Tabella1[Gf])</f>
        <v>0</v>
      </c>
      <c r="P436" s="40">
        <f>-(SUMIF(Tabella1[Nome],Tabella4[[#This Row],[NOME]],Tabella1[Gs]))</f>
        <v>0</v>
      </c>
      <c r="Q436" s="40">
        <f>SUMIF(Tabella1[Nome],Tabella4[[#This Row],[NOME]],Tabella1[Rp])</f>
        <v>0</v>
      </c>
      <c r="R436" s="40">
        <f>SUMIF(Tabella1[Nome],Tabella4[[#This Row],[NOME]],Tabella1[Rs])</f>
        <v>0</v>
      </c>
      <c r="S436" s="40">
        <f>SUMIF(Tabella1[Nome],Tabella4[[#This Row],[NOME]],Tabella1[Rf])</f>
        <v>0</v>
      </c>
      <c r="T436" s="40">
        <f>SUMIF(Tabella1[Nome],Tabella4[[#This Row],[NOME]],Tabella1[Au])</f>
        <v>0</v>
      </c>
      <c r="U436" s="41">
        <f>SUMIF(Tabella1[Nome],Tabella4[[#This Row],[NOME]],Tabella1[Amm])</f>
        <v>0</v>
      </c>
      <c r="V436" s="42">
        <f>SUMIF(Tabella1[Nome],Tabella4[[#This Row],[NOME]],Tabella1[Esp])</f>
        <v>0</v>
      </c>
      <c r="W436" s="40">
        <f>SUMIF(Tabella1[Nome],Tabella4[[#This Row],[NOME]],Tabella1[Ass])</f>
        <v>0</v>
      </c>
      <c r="X436" s="40">
        <f>SUMIF(Tabella1[Nome],Tabella4[[#This Row],[NOME]],Tabella1[Gdv])</f>
        <v>0</v>
      </c>
      <c r="Y436" s="40">
        <f>SUMIF(Tabella1[Nome],Tabella4[[#This Row],[NOME]],Tabella1[cl sh])</f>
        <v>0</v>
      </c>
      <c r="Z436" s="270" t="str">
        <f>_xlfn.IFNA(_xlfn.XLOOKUP(CONCATENATE(Z$4,$C436),Tabella1[CONC X VOTI IN TAB GIOC],Tabella1[Voto],""),"")</f>
        <v/>
      </c>
      <c r="AA436" s="270" t="str">
        <f>_xlfn.IFNA(_xlfn.XLOOKUP(CONCATENATE(AA$4,$C436),Tabella1[CONC X VOTI IN TAB GIOC],Tabella1[Voto],""),"")</f>
        <v/>
      </c>
      <c r="AB436" s="270" t="str">
        <f>_xlfn.IFNA(_xlfn.XLOOKUP(CONCATENATE(AB$4,$C436),Tabella1[CONC X VOTI IN TAB GIOC],Tabella1[Voto]),"")</f>
        <v/>
      </c>
      <c r="AC436" s="270" t="str" cm="1">
        <f t="array" ref="AC436">_xlfn.IFNA(_xlfn.XLOOKUP(CONCATENATE(AC$4,$C436),INDEX(Tabella1[],0,MATCH("CONC X VOTI IN TAB GIOC",Tabella1[#Headers],0)),INDEX(Tabella1[],0,MATCH("Voto",Tabella1[#Headers],0))),"")</f>
        <v/>
      </c>
      <c r="AD436" s="270" t="str">
        <f>_xlfn.IFNA(_xlfn.XLOOKUP(CONCATENATE(AD$4,$C436),Tabella1[CONC X VOTI IN TAB GIOC],Tabella1[Voto]),"")</f>
        <v/>
      </c>
      <c r="AE436" s="270" t="str">
        <f>_xlfn.IFNA(VLOOKUP(CONCATENATE(AE$4,$C436),'INSER DATA'!$A:$F,6,0),"")</f>
        <v/>
      </c>
      <c r="AF436" s="270" t="str">
        <f>_xlfn.IFNA(VLOOKUP(CONCATENATE(AF$4,$C436),'INSER DATA'!$A:$F,6,0),"")</f>
        <v/>
      </c>
      <c r="AG436" s="270" t="str">
        <f>_xlfn.IFNA(VLOOKUP(CONCATENATE(AG$4,$C436),'INSER DATA'!$A:$F,6,0),"")</f>
        <v/>
      </c>
      <c r="AH436" s="270" t="str">
        <f>_xlfn.IFNA(VLOOKUP(CONCATENATE(AH$4,$C436),'INSER DATA'!$A:$F,7,0),"")</f>
        <v/>
      </c>
      <c r="AI436" s="270" t="str">
        <f>_xlfn.IFNA(VLOOKUP(CONCATENATE(AI$4,$C436),'INSER DATA'!$A:$F,7,0),"")</f>
        <v/>
      </c>
      <c r="AJ436" s="270" t="str">
        <f>_xlfn.IFNA(VLOOKUP(CONCATENATE(AJ$4,$C436),'INSER DATA'!$A:$F,7,0),"")</f>
        <v/>
      </c>
      <c r="AK436" s="270" t="str">
        <f>_xlfn.IFNA(VLOOKUP(CONCATENATE(AK$4,$C436),'INSER DATA'!$A:$F,7,0),"")</f>
        <v/>
      </c>
      <c r="AL436" s="270" t="str">
        <f>_xlfn.IFNA(VLOOKUP(CONCATENATE(AL$4,$C436),'INSER DATA'!$A:$F,7,0),"")</f>
        <v/>
      </c>
      <c r="AM436" s="270" t="str">
        <f>_xlfn.IFNA(VLOOKUP(CONCATENATE(AM$4,$C436),'INSER DATA'!$A:$F,7,0),"")</f>
        <v/>
      </c>
      <c r="AN436" s="270" t="str">
        <f>_xlfn.IFNA(VLOOKUP(CONCATENATE(AN$4,$C436),'INSER DATA'!$A:$F,7,0),"")</f>
        <v/>
      </c>
      <c r="AO436" s="270" t="str">
        <f>_xlfn.IFNA(VLOOKUP(CONCATENATE(AO$4,$C436),'INSER DATA'!$A:$F,7,0),"")</f>
        <v/>
      </c>
      <c r="AP436" s="270" t="str">
        <f>_xlfn.IFNA(VLOOKUP(CONCATENATE(AP$4,$C436),'INSER DATA'!$A:$F,7,0),"")</f>
        <v/>
      </c>
      <c r="AQ436" s="270" t="str">
        <f>_xlfn.IFNA(VLOOKUP(CONCATENATE(AQ$4,$C436),'INSER DATA'!$A:$F,7,0),"")</f>
        <v/>
      </c>
      <c r="AR436" s="270" t="str">
        <f>_xlfn.IFNA(VLOOKUP(CONCATENATE(AR$4,$C436),'INSER DATA'!$A:$F,7,0),"")</f>
        <v/>
      </c>
      <c r="AS436" s="270" t="str">
        <f>_xlfn.IFNA(VLOOKUP(CONCATENATE(AS$4,$C436),'INSER DATA'!$A:$F,7,0),"")</f>
        <v/>
      </c>
      <c r="AT436" s="270" t="str">
        <f>_xlfn.IFNA(VLOOKUP(CONCATENATE(AT$4,$C436),'INSER DATA'!$A:$F,7,0),"")</f>
        <v/>
      </c>
      <c r="AU436" s="270" t="str">
        <f>_xlfn.IFNA(VLOOKUP(CONCATENATE(AU$4,$C436),'INSER DATA'!$A:$F,7,0),"")</f>
        <v/>
      </c>
      <c r="AV436" s="270" t="str">
        <f>_xlfn.IFNA(VLOOKUP(CONCATENATE(AV$4,$C436),'INSER DATA'!$A:$F,7,0),"")</f>
        <v/>
      </c>
      <c r="AW436" s="270" t="str">
        <f>_xlfn.IFNA(VLOOKUP(CONCATENATE(AW$4,$C436),'INSER DATA'!$A:$F,7,0),"")</f>
        <v/>
      </c>
      <c r="AX436" s="270" t="str">
        <f>_xlfn.IFNA(VLOOKUP(CONCATENATE(AX$4,$C436),'INSER DATA'!$A:$F,7,0),"")</f>
        <v/>
      </c>
      <c r="AY436" s="270" t="str">
        <f>_xlfn.IFNA(VLOOKUP(CONCATENATE(AY$4,$C436),'INSER DATA'!$A:$F,7,0),"")</f>
        <v/>
      </c>
      <c r="AZ436" s="270" t="str">
        <f>_xlfn.IFNA(VLOOKUP(CONCATENATE(AZ$4,$C436),'INSER DATA'!$A:$F,7,0),"")</f>
        <v/>
      </c>
      <c r="BA436" s="270" t="str">
        <f>_xlfn.IFNA(VLOOKUP(CONCATENATE(BA$4,$C436),'INSER DATA'!$A:$F,7,0),"")</f>
        <v/>
      </c>
      <c r="BB436" s="270" t="str">
        <f>_xlfn.IFNA(VLOOKUP(CONCATENATE(BB$4,$C436),'INSER DATA'!$A:$F,7,0),"")</f>
        <v/>
      </c>
      <c r="BC436" s="270" t="str">
        <f>_xlfn.IFNA(VLOOKUP(CONCATENATE(BC$4,$C436),'INSER DATA'!$A:$F,7,0),"")</f>
        <v/>
      </c>
      <c r="BD436" s="270" t="str">
        <f>_xlfn.IFNA(VLOOKUP(CONCATENATE(BD$4,$C436),'INSER DATA'!$A:$F,7,0),"")</f>
        <v/>
      </c>
      <c r="BE436" s="270" t="str">
        <f>_xlfn.IFNA(VLOOKUP(CONCATENATE(BE$4,$C436),'INSER DATA'!$A:$F,7,0),"")</f>
        <v/>
      </c>
      <c r="BF436" s="270" t="str">
        <f>_xlfn.IFNA(VLOOKUP(CONCATENATE(BF$4,$C436),'INSER DATA'!$A:$F,7,0),"")</f>
        <v/>
      </c>
      <c r="BG436" s="270" t="str">
        <f>_xlfn.IFNA(VLOOKUP(CONCATENATE(BG$4,$C436),'INSER DATA'!$A:$F,7,0),"")</f>
        <v/>
      </c>
      <c r="BH436" s="270" t="str">
        <f>_xlfn.IFNA(VLOOKUP(CONCATENATE(BH$4,$C436),'INSER DATA'!$A:$F,7,0),"")</f>
        <v/>
      </c>
      <c r="BI436" s="270" t="str">
        <f>_xlfn.IFNA(VLOOKUP(CONCATENATE(BI$4,$C436),'INSER DATA'!$A:$F,7,0),"")</f>
        <v/>
      </c>
      <c r="BJ436" s="270" t="str">
        <f>_xlfn.IFNA(VLOOKUP(CONCATENATE(BJ$4,$C436),'INSER DATA'!$A:$F,7,0),"")</f>
        <v/>
      </c>
      <c r="BK436" s="270" t="str">
        <f>_xlfn.IFNA(VLOOKUP(CONCATENATE(BK$4,$C436),'INSER DATA'!$A:$F,7,0),"")</f>
        <v/>
      </c>
      <c r="BL436" s="272"/>
      <c r="BM436" s="30"/>
      <c r="BN436" s="30"/>
      <c r="BO436" s="30"/>
      <c r="BP436" s="30"/>
      <c r="BQ436" s="30"/>
      <c r="BR436" s="30"/>
      <c r="BS436" s="30"/>
      <c r="BT436" s="30"/>
      <c r="BU436" s="30"/>
      <c r="BV436" s="30"/>
      <c r="BW436" s="30"/>
      <c r="BX436" s="30"/>
      <c r="BY436" s="30"/>
      <c r="BZ436" s="30"/>
      <c r="CA436" s="30"/>
      <c r="CB436" s="30"/>
      <c r="CC436" s="30"/>
      <c r="CD436" s="30"/>
      <c r="CE436" s="30"/>
      <c r="CF436" s="30"/>
      <c r="CG436" s="30"/>
      <c r="CH436" s="30"/>
      <c r="CI436" s="30"/>
      <c r="CJ436" s="30"/>
      <c r="CK436" s="30"/>
      <c r="CL436" s="30"/>
      <c r="CM436" s="30"/>
      <c r="CN436" s="30"/>
      <c r="CO436" s="30"/>
      <c r="CP436" s="30"/>
      <c r="CQ436" s="30"/>
      <c r="CR436" s="30"/>
      <c r="CS436" s="30"/>
      <c r="CT436" s="30"/>
      <c r="CU436" s="30"/>
      <c r="CV436" s="30"/>
      <c r="CW436" s="30"/>
      <c r="CX436" s="30"/>
      <c r="CY436" s="30"/>
      <c r="CZ436" s="30"/>
      <c r="DA436" s="30"/>
    </row>
    <row r="437" spans="1:105" ht="19.2" thickTop="1" thickBot="1" x14ac:dyDescent="0.4">
      <c r="A437" s="30"/>
      <c r="B437" s="30"/>
      <c r="C437" s="185" t="s">
        <v>919</v>
      </c>
      <c r="D437" s="46" t="s">
        <v>910</v>
      </c>
      <c r="E437" s="35" t="str">
        <f>_xlfn.XLOOKUP(Tabella4[[#This Row],[NOME]],'ROSE SQUADRE'!$N$3:$N$253,'ROSE SQUADRE'!$O$3:$O$253,"")</f>
        <v/>
      </c>
      <c r="F437" s="36" t="s">
        <v>161</v>
      </c>
      <c r="G437" s="43">
        <v>1</v>
      </c>
      <c r="H437" s="43">
        <v>1</v>
      </c>
      <c r="I437" s="44">
        <f t="shared" si="37"/>
        <v>0</v>
      </c>
      <c r="J437" s="37">
        <f t="shared" si="38"/>
        <v>0</v>
      </c>
      <c r="K437" s="38">
        <f t="shared" si="39"/>
        <v>0</v>
      </c>
      <c r="L437" s="38">
        <f t="shared" si="40"/>
        <v>0</v>
      </c>
      <c r="M437" s="39">
        <f t="shared" si="41"/>
        <v>0</v>
      </c>
      <c r="N437" s="45">
        <f t="shared" ca="1" si="42"/>
        <v>0</v>
      </c>
      <c r="O437" s="40">
        <f>SUMIF(Tabella1[Nome],Tabella4[[#This Row],[NOME]],Tabella1[Gf])</f>
        <v>0</v>
      </c>
      <c r="P437" s="40">
        <f>-(SUMIF(Tabella1[Nome],Tabella4[[#This Row],[NOME]],Tabella1[Gs]))</f>
        <v>0</v>
      </c>
      <c r="Q437" s="40">
        <f>SUMIF(Tabella1[Nome],Tabella4[[#This Row],[NOME]],Tabella1[Rp])</f>
        <v>0</v>
      </c>
      <c r="R437" s="40">
        <f>SUMIF(Tabella1[Nome],Tabella4[[#This Row],[NOME]],Tabella1[Rs])</f>
        <v>0</v>
      </c>
      <c r="S437" s="40">
        <f>SUMIF(Tabella1[Nome],Tabella4[[#This Row],[NOME]],Tabella1[Rf])</f>
        <v>0</v>
      </c>
      <c r="T437" s="40">
        <f>SUMIF(Tabella1[Nome],Tabella4[[#This Row],[NOME]],Tabella1[Au])</f>
        <v>0</v>
      </c>
      <c r="U437" s="41">
        <f>SUMIF(Tabella1[Nome],Tabella4[[#This Row],[NOME]],Tabella1[Amm])</f>
        <v>0</v>
      </c>
      <c r="V437" s="42">
        <f>SUMIF(Tabella1[Nome],Tabella4[[#This Row],[NOME]],Tabella1[Esp])</f>
        <v>0</v>
      </c>
      <c r="W437" s="40">
        <f>SUMIF(Tabella1[Nome],Tabella4[[#This Row],[NOME]],Tabella1[Ass])</f>
        <v>0</v>
      </c>
      <c r="X437" s="40">
        <f>SUMIF(Tabella1[Nome],Tabella4[[#This Row],[NOME]],Tabella1[Gdv])</f>
        <v>0</v>
      </c>
      <c r="Y437" s="40">
        <f>SUMIF(Tabella1[Nome],Tabella4[[#This Row],[NOME]],Tabella1[cl sh])</f>
        <v>0</v>
      </c>
      <c r="Z437" s="270" t="str">
        <f>_xlfn.IFNA(_xlfn.XLOOKUP(CONCATENATE(Z$4,$C437),Tabella1[CONC X VOTI IN TAB GIOC],Tabella1[Voto],""),"")</f>
        <v/>
      </c>
      <c r="AA437" s="270" t="str">
        <f>_xlfn.IFNA(_xlfn.XLOOKUP(CONCATENATE(AA$4,$C437),Tabella1[CONC X VOTI IN TAB GIOC],Tabella1[Voto],""),"")</f>
        <v/>
      </c>
      <c r="AB437" s="270" t="str">
        <f>_xlfn.IFNA(_xlfn.XLOOKUP(CONCATENATE(AB$4,$C437),Tabella1[CONC X VOTI IN TAB GIOC],Tabella1[Voto]),"")</f>
        <v/>
      </c>
      <c r="AC437" s="270" t="str" cm="1">
        <f t="array" ref="AC437">_xlfn.IFNA(_xlfn.XLOOKUP(CONCATENATE(AC$4,$C437),INDEX(Tabella1[],0,MATCH("CONC X VOTI IN TAB GIOC",Tabella1[#Headers],0)),INDEX(Tabella1[],0,MATCH("Voto",Tabella1[#Headers],0))),"")</f>
        <v/>
      </c>
      <c r="AD437" s="270" t="str">
        <f>_xlfn.IFNA(_xlfn.XLOOKUP(CONCATENATE(AD$4,$C437),Tabella1[CONC X VOTI IN TAB GIOC],Tabella1[Voto]),"")</f>
        <v/>
      </c>
      <c r="AE437" s="270" t="str">
        <f>_xlfn.IFNA(VLOOKUP(CONCATENATE(AE$4,$C437),'INSER DATA'!$A:$F,6,0),"")</f>
        <v/>
      </c>
      <c r="AF437" s="270" t="str">
        <f>_xlfn.IFNA(VLOOKUP(CONCATENATE(AF$4,$C437),'INSER DATA'!$A:$F,6,0),"")</f>
        <v/>
      </c>
      <c r="AG437" s="270" t="str">
        <f>_xlfn.IFNA(VLOOKUP(CONCATENATE(AG$4,$C437),'INSER DATA'!$A:$F,6,0),"")</f>
        <v/>
      </c>
      <c r="AH437" s="270" t="str">
        <f>_xlfn.IFNA(VLOOKUP(CONCATENATE(AH$4,$C437),'INSER DATA'!$A:$F,7,0),"")</f>
        <v/>
      </c>
      <c r="AI437" s="270" t="str">
        <f>_xlfn.IFNA(VLOOKUP(CONCATENATE(AI$4,$C437),'INSER DATA'!$A:$F,7,0),"")</f>
        <v/>
      </c>
      <c r="AJ437" s="270" t="str">
        <f>_xlfn.IFNA(VLOOKUP(CONCATENATE(AJ$4,$C437),'INSER DATA'!$A:$F,7,0),"")</f>
        <v/>
      </c>
      <c r="AK437" s="270" t="str">
        <f>_xlfn.IFNA(VLOOKUP(CONCATENATE(AK$4,$C437),'INSER DATA'!$A:$F,7,0),"")</f>
        <v/>
      </c>
      <c r="AL437" s="270" t="str">
        <f>_xlfn.IFNA(VLOOKUP(CONCATENATE(AL$4,$C437),'INSER DATA'!$A:$F,7,0),"")</f>
        <v/>
      </c>
      <c r="AM437" s="270" t="str">
        <f>_xlfn.IFNA(VLOOKUP(CONCATENATE(AM$4,$C437),'INSER DATA'!$A:$F,7,0),"")</f>
        <v/>
      </c>
      <c r="AN437" s="270" t="str">
        <f>_xlfn.IFNA(VLOOKUP(CONCATENATE(AN$4,$C437),'INSER DATA'!$A:$F,7,0),"")</f>
        <v/>
      </c>
      <c r="AO437" s="270" t="str">
        <f>_xlfn.IFNA(VLOOKUP(CONCATENATE(AO$4,$C437),'INSER DATA'!$A:$F,7,0),"")</f>
        <v/>
      </c>
      <c r="AP437" s="270" t="str">
        <f>_xlfn.IFNA(VLOOKUP(CONCATENATE(AP$4,$C437),'INSER DATA'!$A:$F,7,0),"")</f>
        <v/>
      </c>
      <c r="AQ437" s="270" t="str">
        <f>_xlfn.IFNA(VLOOKUP(CONCATENATE(AQ$4,$C437),'INSER DATA'!$A:$F,7,0),"")</f>
        <v/>
      </c>
      <c r="AR437" s="270" t="str">
        <f>_xlfn.IFNA(VLOOKUP(CONCATENATE(AR$4,$C437),'INSER DATA'!$A:$F,7,0),"")</f>
        <v/>
      </c>
      <c r="AS437" s="270" t="str">
        <f>_xlfn.IFNA(VLOOKUP(CONCATENATE(AS$4,$C437),'INSER DATA'!$A:$F,7,0),"")</f>
        <v/>
      </c>
      <c r="AT437" s="270" t="str">
        <f>_xlfn.IFNA(VLOOKUP(CONCATENATE(AT$4,$C437),'INSER DATA'!$A:$F,7,0),"")</f>
        <v/>
      </c>
      <c r="AU437" s="270" t="str">
        <f>_xlfn.IFNA(VLOOKUP(CONCATENATE(AU$4,$C437),'INSER DATA'!$A:$F,7,0),"")</f>
        <v/>
      </c>
      <c r="AV437" s="270" t="str">
        <f>_xlfn.IFNA(VLOOKUP(CONCATENATE(AV$4,$C437),'INSER DATA'!$A:$F,7,0),"")</f>
        <v/>
      </c>
      <c r="AW437" s="270" t="str">
        <f>_xlfn.IFNA(VLOOKUP(CONCATENATE(AW$4,$C437),'INSER DATA'!$A:$F,7,0),"")</f>
        <v/>
      </c>
      <c r="AX437" s="270" t="str">
        <f>_xlfn.IFNA(VLOOKUP(CONCATENATE(AX$4,$C437),'INSER DATA'!$A:$F,7,0),"")</f>
        <v/>
      </c>
      <c r="AY437" s="270" t="str">
        <f>_xlfn.IFNA(VLOOKUP(CONCATENATE(AY$4,$C437),'INSER DATA'!$A:$F,7,0),"")</f>
        <v/>
      </c>
      <c r="AZ437" s="270" t="str">
        <f>_xlfn.IFNA(VLOOKUP(CONCATENATE(AZ$4,$C437),'INSER DATA'!$A:$F,7,0),"")</f>
        <v/>
      </c>
      <c r="BA437" s="270" t="str">
        <f>_xlfn.IFNA(VLOOKUP(CONCATENATE(BA$4,$C437),'INSER DATA'!$A:$F,7,0),"")</f>
        <v/>
      </c>
      <c r="BB437" s="270" t="str">
        <f>_xlfn.IFNA(VLOOKUP(CONCATENATE(BB$4,$C437),'INSER DATA'!$A:$F,7,0),"")</f>
        <v/>
      </c>
      <c r="BC437" s="270" t="str">
        <f>_xlfn.IFNA(VLOOKUP(CONCATENATE(BC$4,$C437),'INSER DATA'!$A:$F,7,0),"")</f>
        <v/>
      </c>
      <c r="BD437" s="270" t="str">
        <f>_xlfn.IFNA(VLOOKUP(CONCATENATE(BD$4,$C437),'INSER DATA'!$A:$F,7,0),"")</f>
        <v/>
      </c>
      <c r="BE437" s="270" t="str">
        <f>_xlfn.IFNA(VLOOKUP(CONCATENATE(BE$4,$C437),'INSER DATA'!$A:$F,7,0),"")</f>
        <v/>
      </c>
      <c r="BF437" s="270" t="str">
        <f>_xlfn.IFNA(VLOOKUP(CONCATENATE(BF$4,$C437),'INSER DATA'!$A:$F,7,0),"")</f>
        <v/>
      </c>
      <c r="BG437" s="270" t="str">
        <f>_xlfn.IFNA(VLOOKUP(CONCATENATE(BG$4,$C437),'INSER DATA'!$A:$F,7,0),"")</f>
        <v/>
      </c>
      <c r="BH437" s="270" t="str">
        <f>_xlfn.IFNA(VLOOKUP(CONCATENATE(BH$4,$C437),'INSER DATA'!$A:$F,7,0),"")</f>
        <v/>
      </c>
      <c r="BI437" s="270" t="str">
        <f>_xlfn.IFNA(VLOOKUP(CONCATENATE(BI$4,$C437),'INSER DATA'!$A:$F,7,0),"")</f>
        <v/>
      </c>
      <c r="BJ437" s="270" t="str">
        <f>_xlfn.IFNA(VLOOKUP(CONCATENATE(BJ$4,$C437),'INSER DATA'!$A:$F,7,0),"")</f>
        <v/>
      </c>
      <c r="BK437" s="270" t="str">
        <f>_xlfn.IFNA(VLOOKUP(CONCATENATE(BK$4,$C437),'INSER DATA'!$A:$F,7,0),"")</f>
        <v/>
      </c>
      <c r="BL437" s="272"/>
      <c r="BM437" s="30"/>
      <c r="BN437" s="30"/>
      <c r="BO437" s="30"/>
      <c r="BP437" s="30"/>
      <c r="BQ437" s="30"/>
      <c r="BR437" s="30"/>
      <c r="BS437" s="30"/>
      <c r="BT437" s="30"/>
      <c r="BU437" s="30"/>
      <c r="BV437" s="30"/>
      <c r="BW437" s="30"/>
      <c r="BX437" s="30"/>
      <c r="BY437" s="30"/>
      <c r="BZ437" s="30"/>
      <c r="CA437" s="30"/>
      <c r="CB437" s="30"/>
      <c r="CC437" s="30"/>
      <c r="CD437" s="30"/>
      <c r="CE437" s="30"/>
      <c r="CF437" s="30"/>
      <c r="CG437" s="30"/>
      <c r="CH437" s="30"/>
      <c r="CI437" s="30"/>
      <c r="CJ437" s="30"/>
      <c r="CK437" s="30"/>
      <c r="CL437" s="30"/>
      <c r="CM437" s="30"/>
      <c r="CN437" s="30"/>
      <c r="CO437" s="30"/>
      <c r="CP437" s="30"/>
      <c r="CQ437" s="30"/>
      <c r="CR437" s="30"/>
      <c r="CS437" s="30"/>
      <c r="CT437" s="30"/>
      <c r="CU437" s="30"/>
      <c r="CV437" s="30"/>
      <c r="CW437" s="30"/>
      <c r="CX437" s="30"/>
      <c r="CY437" s="30"/>
      <c r="CZ437" s="30"/>
      <c r="DA437" s="30"/>
    </row>
    <row r="438" spans="1:105" ht="19.2" thickTop="1" thickBot="1" x14ac:dyDescent="0.4">
      <c r="A438" s="30"/>
      <c r="B438" s="30"/>
      <c r="C438" s="185" t="s">
        <v>353</v>
      </c>
      <c r="D438" s="46" t="s">
        <v>910</v>
      </c>
      <c r="E438" s="35" t="str">
        <f>_xlfn.XLOOKUP(Tabella4[[#This Row],[NOME]],'ROSE SQUADRE'!$N$3:$N$253,'ROSE SQUADRE'!$O$3:$O$253,"")</f>
        <v/>
      </c>
      <c r="F438" s="36" t="s">
        <v>161</v>
      </c>
      <c r="G438" s="43">
        <v>4</v>
      </c>
      <c r="H438" s="43">
        <v>4</v>
      </c>
      <c r="I438" s="44">
        <f t="shared" si="37"/>
        <v>0</v>
      </c>
      <c r="J438" s="37">
        <f t="shared" si="38"/>
        <v>0</v>
      </c>
      <c r="K438" s="38">
        <f t="shared" si="39"/>
        <v>0</v>
      </c>
      <c r="L438" s="38">
        <f t="shared" si="40"/>
        <v>0</v>
      </c>
      <c r="M438" s="39">
        <f t="shared" si="41"/>
        <v>0</v>
      </c>
      <c r="N438" s="45">
        <f t="shared" ca="1" si="42"/>
        <v>0</v>
      </c>
      <c r="O438" s="40">
        <f>SUMIF(Tabella1[Nome],Tabella4[[#This Row],[NOME]],Tabella1[Gf])</f>
        <v>0</v>
      </c>
      <c r="P438" s="40">
        <f>-(SUMIF(Tabella1[Nome],Tabella4[[#This Row],[NOME]],Tabella1[Gs]))</f>
        <v>0</v>
      </c>
      <c r="Q438" s="40">
        <f>SUMIF(Tabella1[Nome],Tabella4[[#This Row],[NOME]],Tabella1[Rp])</f>
        <v>0</v>
      </c>
      <c r="R438" s="40">
        <f>SUMIF(Tabella1[Nome],Tabella4[[#This Row],[NOME]],Tabella1[Rs])</f>
        <v>0</v>
      </c>
      <c r="S438" s="40">
        <f>SUMIF(Tabella1[Nome],Tabella4[[#This Row],[NOME]],Tabella1[Rf])</f>
        <v>0</v>
      </c>
      <c r="T438" s="40">
        <f>SUMIF(Tabella1[Nome],Tabella4[[#This Row],[NOME]],Tabella1[Au])</f>
        <v>0</v>
      </c>
      <c r="U438" s="41">
        <f>SUMIF(Tabella1[Nome],Tabella4[[#This Row],[NOME]],Tabella1[Amm])</f>
        <v>0</v>
      </c>
      <c r="V438" s="42">
        <f>SUMIF(Tabella1[Nome],Tabella4[[#This Row],[NOME]],Tabella1[Esp])</f>
        <v>0</v>
      </c>
      <c r="W438" s="40">
        <f>SUMIF(Tabella1[Nome],Tabella4[[#This Row],[NOME]],Tabella1[Ass])</f>
        <v>0</v>
      </c>
      <c r="X438" s="40">
        <f>SUMIF(Tabella1[Nome],Tabella4[[#This Row],[NOME]],Tabella1[Gdv])</f>
        <v>0</v>
      </c>
      <c r="Y438" s="40">
        <f>SUMIF(Tabella1[Nome],Tabella4[[#This Row],[NOME]],Tabella1[cl sh])</f>
        <v>0</v>
      </c>
      <c r="Z438" s="270" t="str">
        <f>_xlfn.IFNA(_xlfn.XLOOKUP(CONCATENATE(Z$4,$C438),Tabella1[CONC X VOTI IN TAB GIOC],Tabella1[Voto],""),"")</f>
        <v/>
      </c>
      <c r="AA438" s="270" t="str">
        <f>_xlfn.IFNA(_xlfn.XLOOKUP(CONCATENATE(AA$4,$C438),Tabella1[CONC X VOTI IN TAB GIOC],Tabella1[Voto],""),"")</f>
        <v/>
      </c>
      <c r="AB438" s="270" t="str">
        <f>_xlfn.IFNA(_xlfn.XLOOKUP(CONCATENATE(AB$4,$C438),Tabella1[CONC X VOTI IN TAB GIOC],Tabella1[Voto]),"")</f>
        <v/>
      </c>
      <c r="AC438" s="270" t="str" cm="1">
        <f t="array" ref="AC438">_xlfn.IFNA(_xlfn.XLOOKUP(CONCATENATE(AC$4,$C438),INDEX(Tabella1[],0,MATCH("CONC X VOTI IN TAB GIOC",Tabella1[#Headers],0)),INDEX(Tabella1[],0,MATCH("Voto",Tabella1[#Headers],0))),"")</f>
        <v/>
      </c>
      <c r="AD438" s="270" t="str">
        <f>_xlfn.IFNA(_xlfn.XLOOKUP(CONCATENATE(AD$4,$C438),Tabella1[CONC X VOTI IN TAB GIOC],Tabella1[Voto]),"")</f>
        <v/>
      </c>
      <c r="AE438" s="270" t="str">
        <f>_xlfn.IFNA(VLOOKUP(CONCATENATE(AE$4,$C438),'INSER DATA'!$A:$F,6,0),"")</f>
        <v/>
      </c>
      <c r="AF438" s="270" t="str">
        <f>_xlfn.IFNA(VLOOKUP(CONCATENATE(AF$4,$C438),'INSER DATA'!$A:$F,6,0),"")</f>
        <v/>
      </c>
      <c r="AG438" s="270" t="str">
        <f>_xlfn.IFNA(VLOOKUP(CONCATENATE(AG$4,$C438),'INSER DATA'!$A:$F,6,0),"")</f>
        <v/>
      </c>
      <c r="AH438" s="270" t="str">
        <f>_xlfn.IFNA(VLOOKUP(CONCATENATE(AH$4,$C438),'INSER DATA'!$A:$F,7,0),"")</f>
        <v/>
      </c>
      <c r="AI438" s="270" t="str">
        <f>_xlfn.IFNA(VLOOKUP(CONCATENATE(AI$4,$C438),'INSER DATA'!$A:$F,7,0),"")</f>
        <v/>
      </c>
      <c r="AJ438" s="270" t="str">
        <f>_xlfn.IFNA(VLOOKUP(CONCATENATE(AJ$4,$C438),'INSER DATA'!$A:$F,7,0),"")</f>
        <v/>
      </c>
      <c r="AK438" s="270" t="str">
        <f>_xlfn.IFNA(VLOOKUP(CONCATENATE(AK$4,$C438),'INSER DATA'!$A:$F,7,0),"")</f>
        <v/>
      </c>
      <c r="AL438" s="270" t="str">
        <f>_xlfn.IFNA(VLOOKUP(CONCATENATE(AL$4,$C438),'INSER DATA'!$A:$F,7,0),"")</f>
        <v/>
      </c>
      <c r="AM438" s="270" t="str">
        <f>_xlfn.IFNA(VLOOKUP(CONCATENATE(AM$4,$C438),'INSER DATA'!$A:$F,7,0),"")</f>
        <v/>
      </c>
      <c r="AN438" s="270" t="str">
        <f>_xlfn.IFNA(VLOOKUP(CONCATENATE(AN$4,$C438),'INSER DATA'!$A:$F,7,0),"")</f>
        <v/>
      </c>
      <c r="AO438" s="270" t="str">
        <f>_xlfn.IFNA(VLOOKUP(CONCATENATE(AO$4,$C438),'INSER DATA'!$A:$F,7,0),"")</f>
        <v/>
      </c>
      <c r="AP438" s="270" t="str">
        <f>_xlfn.IFNA(VLOOKUP(CONCATENATE(AP$4,$C438),'INSER DATA'!$A:$F,7,0),"")</f>
        <v/>
      </c>
      <c r="AQ438" s="270" t="str">
        <f>_xlfn.IFNA(VLOOKUP(CONCATENATE(AQ$4,$C438),'INSER DATA'!$A:$F,7,0),"")</f>
        <v/>
      </c>
      <c r="AR438" s="270" t="str">
        <f>_xlfn.IFNA(VLOOKUP(CONCATENATE(AR$4,$C438),'INSER DATA'!$A:$F,7,0),"")</f>
        <v/>
      </c>
      <c r="AS438" s="270" t="str">
        <f>_xlfn.IFNA(VLOOKUP(CONCATENATE(AS$4,$C438),'INSER DATA'!$A:$F,7,0),"")</f>
        <v/>
      </c>
      <c r="AT438" s="270" t="str">
        <f>_xlfn.IFNA(VLOOKUP(CONCATENATE(AT$4,$C438),'INSER DATA'!$A:$F,7,0),"")</f>
        <v/>
      </c>
      <c r="AU438" s="270" t="str">
        <f>_xlfn.IFNA(VLOOKUP(CONCATENATE(AU$4,$C438),'INSER DATA'!$A:$F,7,0),"")</f>
        <v/>
      </c>
      <c r="AV438" s="270" t="str">
        <f>_xlfn.IFNA(VLOOKUP(CONCATENATE(AV$4,$C438),'INSER DATA'!$A:$F,7,0),"")</f>
        <v/>
      </c>
      <c r="AW438" s="270" t="str">
        <f>_xlfn.IFNA(VLOOKUP(CONCATENATE(AW$4,$C438),'INSER DATA'!$A:$F,7,0),"")</f>
        <v/>
      </c>
      <c r="AX438" s="270" t="str">
        <f>_xlfn.IFNA(VLOOKUP(CONCATENATE(AX$4,$C438),'INSER DATA'!$A:$F,7,0),"")</f>
        <v/>
      </c>
      <c r="AY438" s="270" t="str">
        <f>_xlfn.IFNA(VLOOKUP(CONCATENATE(AY$4,$C438),'INSER DATA'!$A:$F,7,0),"")</f>
        <v/>
      </c>
      <c r="AZ438" s="270" t="str">
        <f>_xlfn.IFNA(VLOOKUP(CONCATENATE(AZ$4,$C438),'INSER DATA'!$A:$F,7,0),"")</f>
        <v/>
      </c>
      <c r="BA438" s="270" t="str">
        <f>_xlfn.IFNA(VLOOKUP(CONCATENATE(BA$4,$C438),'INSER DATA'!$A:$F,7,0),"")</f>
        <v/>
      </c>
      <c r="BB438" s="270" t="str">
        <f>_xlfn.IFNA(VLOOKUP(CONCATENATE(BB$4,$C438),'INSER DATA'!$A:$F,7,0),"")</f>
        <v/>
      </c>
      <c r="BC438" s="270" t="str">
        <f>_xlfn.IFNA(VLOOKUP(CONCATENATE(BC$4,$C438),'INSER DATA'!$A:$F,7,0),"")</f>
        <v/>
      </c>
      <c r="BD438" s="270" t="str">
        <f>_xlfn.IFNA(VLOOKUP(CONCATENATE(BD$4,$C438),'INSER DATA'!$A:$F,7,0),"")</f>
        <v/>
      </c>
      <c r="BE438" s="270" t="str">
        <f>_xlfn.IFNA(VLOOKUP(CONCATENATE(BE$4,$C438),'INSER DATA'!$A:$F,7,0),"")</f>
        <v/>
      </c>
      <c r="BF438" s="270" t="str">
        <f>_xlfn.IFNA(VLOOKUP(CONCATENATE(BF$4,$C438),'INSER DATA'!$A:$F,7,0),"")</f>
        <v/>
      </c>
      <c r="BG438" s="270" t="str">
        <f>_xlfn.IFNA(VLOOKUP(CONCATENATE(BG$4,$C438),'INSER DATA'!$A:$F,7,0),"")</f>
        <v/>
      </c>
      <c r="BH438" s="270" t="str">
        <f>_xlfn.IFNA(VLOOKUP(CONCATENATE(BH$4,$C438),'INSER DATA'!$A:$F,7,0),"")</f>
        <v/>
      </c>
      <c r="BI438" s="270" t="str">
        <f>_xlfn.IFNA(VLOOKUP(CONCATENATE(BI$4,$C438),'INSER DATA'!$A:$F,7,0),"")</f>
        <v/>
      </c>
      <c r="BJ438" s="270" t="str">
        <f>_xlfn.IFNA(VLOOKUP(CONCATENATE(BJ$4,$C438),'INSER DATA'!$A:$F,7,0),"")</f>
        <v/>
      </c>
      <c r="BK438" s="270" t="str">
        <f>_xlfn.IFNA(VLOOKUP(CONCATENATE(BK$4,$C438),'INSER DATA'!$A:$F,7,0),"")</f>
        <v/>
      </c>
      <c r="BL438" s="272"/>
      <c r="BM438" s="30"/>
      <c r="BN438" s="30"/>
      <c r="BO438" s="30"/>
      <c r="BP438" s="30"/>
      <c r="BQ438" s="30"/>
      <c r="BR438" s="30"/>
      <c r="BS438" s="30"/>
      <c r="BT438" s="30"/>
      <c r="BU438" s="30"/>
      <c r="BV438" s="30"/>
      <c r="BW438" s="30"/>
      <c r="BX438" s="30"/>
      <c r="BY438" s="30"/>
      <c r="BZ438" s="30"/>
      <c r="CA438" s="30"/>
      <c r="CB438" s="30"/>
      <c r="CC438" s="30"/>
      <c r="CD438" s="30"/>
      <c r="CE438" s="30"/>
      <c r="CF438" s="30"/>
      <c r="CG438" s="30"/>
      <c r="CH438" s="30"/>
      <c r="CI438" s="30"/>
      <c r="CJ438" s="30"/>
      <c r="CK438" s="30"/>
      <c r="CL438" s="30"/>
      <c r="CM438" s="30"/>
      <c r="CN438" s="30"/>
      <c r="CO438" s="30"/>
      <c r="CP438" s="30"/>
      <c r="CQ438" s="30"/>
      <c r="CR438" s="30"/>
      <c r="CS438" s="30"/>
      <c r="CT438" s="30"/>
      <c r="CU438" s="30"/>
      <c r="CV438" s="30"/>
      <c r="CW438" s="30"/>
      <c r="CX438" s="30"/>
      <c r="CY438" s="30"/>
      <c r="CZ438" s="30"/>
      <c r="DA438" s="30"/>
    </row>
    <row r="439" spans="1:105" ht="19.2" thickTop="1" thickBot="1" x14ac:dyDescent="0.4">
      <c r="A439" s="30"/>
      <c r="B439" s="30"/>
      <c r="C439" s="185" t="s">
        <v>922</v>
      </c>
      <c r="D439" s="46" t="s">
        <v>910</v>
      </c>
      <c r="E439" s="35" t="str">
        <f>_xlfn.XLOOKUP(Tabella4[[#This Row],[NOME]],'ROSE SQUADRE'!$N$3:$N$253,'ROSE SQUADRE'!$O$3:$O$253,"")</f>
        <v/>
      </c>
      <c r="F439" s="36" t="s">
        <v>162</v>
      </c>
      <c r="G439" s="43">
        <v>2</v>
      </c>
      <c r="H439" s="43">
        <v>2</v>
      </c>
      <c r="I439" s="44">
        <f t="shared" si="37"/>
        <v>0</v>
      </c>
      <c r="J439" s="37">
        <f t="shared" si="38"/>
        <v>0</v>
      </c>
      <c r="K439" s="178">
        <f t="shared" si="39"/>
        <v>0</v>
      </c>
      <c r="L439" s="178">
        <f t="shared" si="40"/>
        <v>0</v>
      </c>
      <c r="M439" s="179">
        <f t="shared" si="41"/>
        <v>0</v>
      </c>
      <c r="N439" s="45">
        <f t="shared" ca="1" si="42"/>
        <v>0</v>
      </c>
      <c r="O439" s="40">
        <f>SUMIF(Tabella1[Nome],Tabella4[[#This Row],[NOME]],Tabella1[Gf])</f>
        <v>0</v>
      </c>
      <c r="P439" s="40">
        <f>-(SUMIF(Tabella1[Nome],Tabella4[[#This Row],[NOME]],Tabella1[Gs]))</f>
        <v>0</v>
      </c>
      <c r="Q439" s="40">
        <f>SUMIF(Tabella1[Nome],Tabella4[[#This Row],[NOME]],Tabella1[Rp])</f>
        <v>0</v>
      </c>
      <c r="R439" s="40">
        <f>SUMIF(Tabella1[Nome],Tabella4[[#This Row],[NOME]],Tabella1[Rs])</f>
        <v>0</v>
      </c>
      <c r="S439" s="40">
        <f>SUMIF(Tabella1[Nome],Tabella4[[#This Row],[NOME]],Tabella1[Rf])</f>
        <v>0</v>
      </c>
      <c r="T439" s="40">
        <f>SUMIF(Tabella1[Nome],Tabella4[[#This Row],[NOME]],Tabella1[Au])</f>
        <v>0</v>
      </c>
      <c r="U439" s="41">
        <f>SUMIF(Tabella1[Nome],Tabella4[[#This Row],[NOME]],Tabella1[Amm])</f>
        <v>0</v>
      </c>
      <c r="V439" s="42">
        <f>SUMIF(Tabella1[Nome],Tabella4[[#This Row],[NOME]],Tabella1[Esp])</f>
        <v>0</v>
      </c>
      <c r="W439" s="40">
        <f>SUMIF(Tabella1[Nome],Tabella4[[#This Row],[NOME]],Tabella1[Ass])</f>
        <v>0</v>
      </c>
      <c r="X439" s="40">
        <f>SUMIF(Tabella1[Nome],Tabella4[[#This Row],[NOME]],Tabella1[Gdv])</f>
        <v>0</v>
      </c>
      <c r="Y439" s="40">
        <f>SUMIF(Tabella1[Nome],Tabella4[[#This Row],[NOME]],Tabella1[cl sh])</f>
        <v>0</v>
      </c>
      <c r="Z439" s="270" t="str">
        <f>_xlfn.IFNA(_xlfn.XLOOKUP(CONCATENATE(Z$4,$C439),Tabella1[CONC X VOTI IN TAB GIOC],Tabella1[Voto],""),"")</f>
        <v/>
      </c>
      <c r="AA439" s="270" t="str">
        <f>_xlfn.IFNA(_xlfn.XLOOKUP(CONCATENATE(AA$4,$C439),Tabella1[CONC X VOTI IN TAB GIOC],Tabella1[Voto],""),"")</f>
        <v/>
      </c>
      <c r="AB439" s="270" t="str">
        <f>_xlfn.IFNA(_xlfn.XLOOKUP(CONCATENATE(AB$4,$C439),Tabella1[CONC X VOTI IN TAB GIOC],Tabella1[Voto]),"")</f>
        <v/>
      </c>
      <c r="AC439" s="270" t="str" cm="1">
        <f t="array" ref="AC439">_xlfn.IFNA(_xlfn.XLOOKUP(CONCATENATE(AC$4,$C439),INDEX(Tabella1[],0,MATCH("CONC X VOTI IN TAB GIOC",Tabella1[#Headers],0)),INDEX(Tabella1[],0,MATCH("Voto",Tabella1[#Headers],0))),"")</f>
        <v/>
      </c>
      <c r="AD439" s="270" t="str">
        <f>_xlfn.IFNA(_xlfn.XLOOKUP(CONCATENATE(AD$4,$C439),Tabella1[CONC X VOTI IN TAB GIOC],Tabella1[Voto]),"")</f>
        <v/>
      </c>
      <c r="AE439" s="270" t="str">
        <f>_xlfn.IFNA(VLOOKUP(CONCATENATE(AE$4,$C439),'INSER DATA'!$A:$F,6,0),"")</f>
        <v/>
      </c>
      <c r="AF439" s="270" t="str">
        <f>_xlfn.IFNA(VLOOKUP(CONCATENATE(AF$4,$C439),'INSER DATA'!$A:$F,6,0),"")</f>
        <v/>
      </c>
      <c r="AG439" s="270" t="str">
        <f>_xlfn.IFNA(VLOOKUP(CONCATENATE(AG$4,$C439),'INSER DATA'!$A:$F,6,0),"")</f>
        <v/>
      </c>
      <c r="AH439" s="270" t="str">
        <f>_xlfn.IFNA(VLOOKUP(CONCATENATE(AH$4,$C439),'INSER DATA'!$A:$F,7,0),"")</f>
        <v/>
      </c>
      <c r="AI439" s="270" t="str">
        <f>_xlfn.IFNA(VLOOKUP(CONCATENATE(AI$4,$C439),'INSER DATA'!$A:$F,7,0),"")</f>
        <v/>
      </c>
      <c r="AJ439" s="270" t="str">
        <f>_xlfn.IFNA(VLOOKUP(CONCATENATE(AJ$4,$C439),'INSER DATA'!$A:$F,7,0),"")</f>
        <v/>
      </c>
      <c r="AK439" s="270" t="str">
        <f>_xlfn.IFNA(VLOOKUP(CONCATENATE(AK$4,$C439),'INSER DATA'!$A:$F,7,0),"")</f>
        <v/>
      </c>
      <c r="AL439" s="270" t="str">
        <f>_xlfn.IFNA(VLOOKUP(CONCATENATE(AL$4,$C439),'INSER DATA'!$A:$F,7,0),"")</f>
        <v/>
      </c>
      <c r="AM439" s="270" t="str">
        <f>_xlfn.IFNA(VLOOKUP(CONCATENATE(AM$4,$C439),'INSER DATA'!$A:$F,7,0),"")</f>
        <v/>
      </c>
      <c r="AN439" s="270" t="str">
        <f>_xlfn.IFNA(VLOOKUP(CONCATENATE(AN$4,$C439),'INSER DATA'!$A:$F,7,0),"")</f>
        <v/>
      </c>
      <c r="AO439" s="270" t="str">
        <f>_xlfn.IFNA(VLOOKUP(CONCATENATE(AO$4,$C439),'INSER DATA'!$A:$F,7,0),"")</f>
        <v/>
      </c>
      <c r="AP439" s="270" t="str">
        <f>_xlfn.IFNA(VLOOKUP(CONCATENATE(AP$4,$C439),'INSER DATA'!$A:$F,7,0),"")</f>
        <v/>
      </c>
      <c r="AQ439" s="270" t="str">
        <f>_xlfn.IFNA(VLOOKUP(CONCATENATE(AQ$4,$C439),'INSER DATA'!$A:$F,7,0),"")</f>
        <v/>
      </c>
      <c r="AR439" s="270" t="str">
        <f>_xlfn.IFNA(VLOOKUP(CONCATENATE(AR$4,$C439),'INSER DATA'!$A:$F,7,0),"")</f>
        <v/>
      </c>
      <c r="AS439" s="270" t="str">
        <f>_xlfn.IFNA(VLOOKUP(CONCATENATE(AS$4,$C439),'INSER DATA'!$A:$F,7,0),"")</f>
        <v/>
      </c>
      <c r="AT439" s="270" t="str">
        <f>_xlfn.IFNA(VLOOKUP(CONCATENATE(AT$4,$C439),'INSER DATA'!$A:$F,7,0),"")</f>
        <v/>
      </c>
      <c r="AU439" s="270" t="str">
        <f>_xlfn.IFNA(VLOOKUP(CONCATENATE(AU$4,$C439),'INSER DATA'!$A:$F,7,0),"")</f>
        <v/>
      </c>
      <c r="AV439" s="270" t="str">
        <f>_xlfn.IFNA(VLOOKUP(CONCATENATE(AV$4,$C439),'INSER DATA'!$A:$F,7,0),"")</f>
        <v/>
      </c>
      <c r="AW439" s="270" t="str">
        <f>_xlfn.IFNA(VLOOKUP(CONCATENATE(AW$4,$C439),'INSER DATA'!$A:$F,7,0),"")</f>
        <v/>
      </c>
      <c r="AX439" s="270" t="str">
        <f>_xlfn.IFNA(VLOOKUP(CONCATENATE(AX$4,$C439),'INSER DATA'!$A:$F,7,0),"")</f>
        <v/>
      </c>
      <c r="AY439" s="270" t="str">
        <f>_xlfn.IFNA(VLOOKUP(CONCATENATE(AY$4,$C439),'INSER DATA'!$A:$F,7,0),"")</f>
        <v/>
      </c>
      <c r="AZ439" s="270" t="str">
        <f>_xlfn.IFNA(VLOOKUP(CONCATENATE(AZ$4,$C439),'INSER DATA'!$A:$F,7,0),"")</f>
        <v/>
      </c>
      <c r="BA439" s="270" t="str">
        <f>_xlfn.IFNA(VLOOKUP(CONCATENATE(BA$4,$C439),'INSER DATA'!$A:$F,7,0),"")</f>
        <v/>
      </c>
      <c r="BB439" s="270" t="str">
        <f>_xlfn.IFNA(VLOOKUP(CONCATENATE(BB$4,$C439),'INSER DATA'!$A:$F,7,0),"")</f>
        <v/>
      </c>
      <c r="BC439" s="270" t="str">
        <f>_xlfn.IFNA(VLOOKUP(CONCATENATE(BC$4,$C439),'INSER DATA'!$A:$F,7,0),"")</f>
        <v/>
      </c>
      <c r="BD439" s="270" t="str">
        <f>_xlfn.IFNA(VLOOKUP(CONCATENATE(BD$4,$C439),'INSER DATA'!$A:$F,7,0),"")</f>
        <v/>
      </c>
      <c r="BE439" s="270" t="str">
        <f>_xlfn.IFNA(VLOOKUP(CONCATENATE(BE$4,$C439),'INSER DATA'!$A:$F,7,0),"")</f>
        <v/>
      </c>
      <c r="BF439" s="270" t="str">
        <f>_xlfn.IFNA(VLOOKUP(CONCATENATE(BF$4,$C439),'INSER DATA'!$A:$F,7,0),"")</f>
        <v/>
      </c>
      <c r="BG439" s="270" t="str">
        <f>_xlfn.IFNA(VLOOKUP(CONCATENATE(BG$4,$C439),'INSER DATA'!$A:$F,7,0),"")</f>
        <v/>
      </c>
      <c r="BH439" s="270" t="str">
        <f>_xlfn.IFNA(VLOOKUP(CONCATENATE(BH$4,$C439),'INSER DATA'!$A:$F,7,0),"")</f>
        <v/>
      </c>
      <c r="BI439" s="270" t="str">
        <f>_xlfn.IFNA(VLOOKUP(CONCATENATE(BI$4,$C439),'INSER DATA'!$A:$F,7,0),"")</f>
        <v/>
      </c>
      <c r="BJ439" s="270" t="str">
        <f>_xlfn.IFNA(VLOOKUP(CONCATENATE(BJ$4,$C439),'INSER DATA'!$A:$F,7,0),"")</f>
        <v/>
      </c>
      <c r="BK439" s="270" t="str">
        <f>_xlfn.IFNA(VLOOKUP(CONCATENATE(BK$4,$C439),'INSER DATA'!$A:$F,7,0),"")</f>
        <v/>
      </c>
      <c r="BL439" s="272"/>
      <c r="BM439" s="30"/>
      <c r="BN439" s="30"/>
      <c r="BO439" s="30"/>
      <c r="BP439" s="30"/>
      <c r="BQ439" s="30"/>
      <c r="BR439" s="30"/>
      <c r="BS439" s="30"/>
      <c r="BT439" s="30"/>
      <c r="BU439" s="30"/>
      <c r="BV439" s="30"/>
      <c r="BW439" s="30"/>
      <c r="BX439" s="30"/>
      <c r="BY439" s="30"/>
      <c r="BZ439" s="30"/>
      <c r="CA439" s="30"/>
      <c r="CB439" s="30"/>
      <c r="CC439" s="30"/>
      <c r="CD439" s="30"/>
      <c r="CE439" s="30"/>
      <c r="CF439" s="30"/>
      <c r="CG439" s="30"/>
      <c r="CH439" s="30"/>
      <c r="CI439" s="30"/>
      <c r="CJ439" s="30"/>
      <c r="CK439" s="30"/>
      <c r="CL439" s="30"/>
      <c r="CM439" s="30"/>
      <c r="CN439" s="30"/>
      <c r="CO439" s="30"/>
      <c r="CP439" s="30"/>
      <c r="CQ439" s="30"/>
      <c r="CR439" s="30"/>
      <c r="CS439" s="30"/>
      <c r="CT439" s="30"/>
      <c r="CU439" s="30"/>
      <c r="CV439" s="30"/>
      <c r="CW439" s="30"/>
      <c r="CX439" s="30"/>
      <c r="CY439" s="30"/>
      <c r="CZ439" s="30"/>
      <c r="DA439" s="30"/>
    </row>
    <row r="440" spans="1:105" ht="19.2" thickTop="1" thickBot="1" x14ac:dyDescent="0.4">
      <c r="A440" s="30"/>
      <c r="B440" s="30"/>
      <c r="C440" s="188" t="s">
        <v>924</v>
      </c>
      <c r="D440" s="187" t="s">
        <v>910</v>
      </c>
      <c r="E440" s="35" t="str">
        <f>_xlfn.XLOOKUP(Tabella4[[#This Row],[NOME]],'ROSE SQUADRE'!$N$3:$N$253,'ROSE SQUADRE'!$O$3:$O$253,"")</f>
        <v/>
      </c>
      <c r="F440" s="36" t="s">
        <v>162</v>
      </c>
      <c r="G440" s="43">
        <v>1</v>
      </c>
      <c r="H440" s="43">
        <v>1</v>
      </c>
      <c r="I440" s="44">
        <f t="shared" si="37"/>
        <v>0</v>
      </c>
      <c r="J440" s="37">
        <f t="shared" si="38"/>
        <v>0</v>
      </c>
      <c r="K440" s="38">
        <f t="shared" si="39"/>
        <v>0</v>
      </c>
      <c r="L440" s="38">
        <f t="shared" si="40"/>
        <v>0</v>
      </c>
      <c r="M440" s="39">
        <f t="shared" si="41"/>
        <v>0</v>
      </c>
      <c r="N440" s="45">
        <f t="shared" ca="1" si="42"/>
        <v>0</v>
      </c>
      <c r="O440" s="40">
        <f>SUMIF(Tabella1[Nome],Tabella4[[#This Row],[NOME]],Tabella1[Gf])</f>
        <v>0</v>
      </c>
      <c r="P440" s="40">
        <f>-(SUMIF(Tabella1[Nome],Tabella4[[#This Row],[NOME]],Tabella1[Gs]))</f>
        <v>0</v>
      </c>
      <c r="Q440" s="40">
        <f>SUMIF(Tabella1[Nome],Tabella4[[#This Row],[NOME]],Tabella1[Rp])</f>
        <v>0</v>
      </c>
      <c r="R440" s="40">
        <f>SUMIF(Tabella1[Nome],Tabella4[[#This Row],[NOME]],Tabella1[Rs])</f>
        <v>0</v>
      </c>
      <c r="S440" s="40">
        <f>SUMIF(Tabella1[Nome],Tabella4[[#This Row],[NOME]],Tabella1[Rf])</f>
        <v>0</v>
      </c>
      <c r="T440" s="40">
        <f>SUMIF(Tabella1[Nome],Tabella4[[#This Row],[NOME]],Tabella1[Au])</f>
        <v>0</v>
      </c>
      <c r="U440" s="41">
        <f>SUMIF(Tabella1[Nome],Tabella4[[#This Row],[NOME]],Tabella1[Amm])</f>
        <v>0</v>
      </c>
      <c r="V440" s="42">
        <f>SUMIF(Tabella1[Nome],Tabella4[[#This Row],[NOME]],Tabella1[Esp])</f>
        <v>0</v>
      </c>
      <c r="W440" s="40">
        <f>SUMIF(Tabella1[Nome],Tabella4[[#This Row],[NOME]],Tabella1[Ass])</f>
        <v>0</v>
      </c>
      <c r="X440" s="40">
        <f>SUMIF(Tabella1[Nome],Tabella4[[#This Row],[NOME]],Tabella1[Gdv])</f>
        <v>0</v>
      </c>
      <c r="Y440" s="40">
        <f>SUMIF(Tabella1[Nome],Tabella4[[#This Row],[NOME]],Tabella1[cl sh])</f>
        <v>0</v>
      </c>
      <c r="Z440" s="270" t="str">
        <f>_xlfn.IFNA(_xlfn.XLOOKUP(CONCATENATE(Z$4,$C440),Tabella1[CONC X VOTI IN TAB GIOC],Tabella1[Voto],""),"")</f>
        <v/>
      </c>
      <c r="AA440" s="270" t="str">
        <f>_xlfn.IFNA(_xlfn.XLOOKUP(CONCATENATE(AA$4,$C440),Tabella1[CONC X VOTI IN TAB GIOC],Tabella1[Voto],""),"")</f>
        <v/>
      </c>
      <c r="AB440" s="270" t="str">
        <f>_xlfn.IFNA(_xlfn.XLOOKUP(CONCATENATE(AB$4,$C440),Tabella1[CONC X VOTI IN TAB GIOC],Tabella1[Voto]),"")</f>
        <v/>
      </c>
      <c r="AC440" s="270" t="str" cm="1">
        <f t="array" ref="AC440">_xlfn.IFNA(_xlfn.XLOOKUP(CONCATENATE(AC$4,$C440),INDEX(Tabella1[],0,MATCH("CONC X VOTI IN TAB GIOC",Tabella1[#Headers],0)),INDEX(Tabella1[],0,MATCH("Voto",Tabella1[#Headers],0))),"")</f>
        <v/>
      </c>
      <c r="AD440" s="270" t="str">
        <f>_xlfn.IFNA(_xlfn.XLOOKUP(CONCATENATE(AD$4,$C440),Tabella1[CONC X VOTI IN TAB GIOC],Tabella1[Voto]),"")</f>
        <v/>
      </c>
      <c r="AE440" s="270" t="str">
        <f>_xlfn.IFNA(VLOOKUP(CONCATENATE(AE$4,$C440),'INSER DATA'!$A:$F,6,0),"")</f>
        <v/>
      </c>
      <c r="AF440" s="270" t="str">
        <f>_xlfn.IFNA(VLOOKUP(CONCATENATE(AF$4,$C440),'INSER DATA'!$A:$F,6,0),"")</f>
        <v/>
      </c>
      <c r="AG440" s="270" t="str">
        <f>_xlfn.IFNA(VLOOKUP(CONCATENATE(AG$4,$C440),'INSER DATA'!$A:$F,6,0),"")</f>
        <v/>
      </c>
      <c r="AH440" s="270" t="str">
        <f>_xlfn.IFNA(VLOOKUP(CONCATENATE(AH$4,$C440),'INSER DATA'!$A:$F,7,0),"")</f>
        <v/>
      </c>
      <c r="AI440" s="270" t="str">
        <f>_xlfn.IFNA(VLOOKUP(CONCATENATE(AI$4,$C440),'INSER DATA'!$A:$F,7,0),"")</f>
        <v/>
      </c>
      <c r="AJ440" s="270" t="str">
        <f>_xlfn.IFNA(VLOOKUP(CONCATENATE(AJ$4,$C440),'INSER DATA'!$A:$F,7,0),"")</f>
        <v/>
      </c>
      <c r="AK440" s="270" t="str">
        <f>_xlfn.IFNA(VLOOKUP(CONCATENATE(AK$4,$C440),'INSER DATA'!$A:$F,7,0),"")</f>
        <v/>
      </c>
      <c r="AL440" s="270" t="str">
        <f>_xlfn.IFNA(VLOOKUP(CONCATENATE(AL$4,$C440),'INSER DATA'!$A:$F,7,0),"")</f>
        <v/>
      </c>
      <c r="AM440" s="270" t="str">
        <f>_xlfn.IFNA(VLOOKUP(CONCATENATE(AM$4,$C440),'INSER DATA'!$A:$F,7,0),"")</f>
        <v/>
      </c>
      <c r="AN440" s="270" t="str">
        <f>_xlfn.IFNA(VLOOKUP(CONCATENATE(AN$4,$C440),'INSER DATA'!$A:$F,7,0),"")</f>
        <v/>
      </c>
      <c r="AO440" s="270" t="str">
        <f>_xlfn.IFNA(VLOOKUP(CONCATENATE(AO$4,$C440),'INSER DATA'!$A:$F,7,0),"")</f>
        <v/>
      </c>
      <c r="AP440" s="270" t="str">
        <f>_xlfn.IFNA(VLOOKUP(CONCATENATE(AP$4,$C440),'INSER DATA'!$A:$F,7,0),"")</f>
        <v/>
      </c>
      <c r="AQ440" s="270" t="str">
        <f>_xlfn.IFNA(VLOOKUP(CONCATENATE(AQ$4,$C440),'INSER DATA'!$A:$F,7,0),"")</f>
        <v/>
      </c>
      <c r="AR440" s="270" t="str">
        <f>_xlfn.IFNA(VLOOKUP(CONCATENATE(AR$4,$C440),'INSER DATA'!$A:$F,7,0),"")</f>
        <v/>
      </c>
      <c r="AS440" s="270" t="str">
        <f>_xlfn.IFNA(VLOOKUP(CONCATENATE(AS$4,$C440),'INSER DATA'!$A:$F,7,0),"")</f>
        <v/>
      </c>
      <c r="AT440" s="270" t="str">
        <f>_xlfn.IFNA(VLOOKUP(CONCATENATE(AT$4,$C440),'INSER DATA'!$A:$F,7,0),"")</f>
        <v/>
      </c>
      <c r="AU440" s="270" t="str">
        <f>_xlfn.IFNA(VLOOKUP(CONCATENATE(AU$4,$C440),'INSER DATA'!$A:$F,7,0),"")</f>
        <v/>
      </c>
      <c r="AV440" s="270" t="str">
        <f>_xlfn.IFNA(VLOOKUP(CONCATENATE(AV$4,$C440),'INSER DATA'!$A:$F,7,0),"")</f>
        <v/>
      </c>
      <c r="AW440" s="270" t="str">
        <f>_xlfn.IFNA(VLOOKUP(CONCATENATE(AW$4,$C440),'INSER DATA'!$A:$F,7,0),"")</f>
        <v/>
      </c>
      <c r="AX440" s="270" t="str">
        <f>_xlfn.IFNA(VLOOKUP(CONCATENATE(AX$4,$C440),'INSER DATA'!$A:$F,7,0),"")</f>
        <v/>
      </c>
      <c r="AY440" s="270" t="str">
        <f>_xlfn.IFNA(VLOOKUP(CONCATENATE(AY$4,$C440),'INSER DATA'!$A:$F,7,0),"")</f>
        <v/>
      </c>
      <c r="AZ440" s="270" t="str">
        <f>_xlfn.IFNA(VLOOKUP(CONCATENATE(AZ$4,$C440),'INSER DATA'!$A:$F,7,0),"")</f>
        <v/>
      </c>
      <c r="BA440" s="270" t="str">
        <f>_xlfn.IFNA(VLOOKUP(CONCATENATE(BA$4,$C440),'INSER DATA'!$A:$F,7,0),"")</f>
        <v/>
      </c>
      <c r="BB440" s="270" t="str">
        <f>_xlfn.IFNA(VLOOKUP(CONCATENATE(BB$4,$C440),'INSER DATA'!$A:$F,7,0),"")</f>
        <v/>
      </c>
      <c r="BC440" s="270" t="str">
        <f>_xlfn.IFNA(VLOOKUP(CONCATENATE(BC$4,$C440),'INSER DATA'!$A:$F,7,0),"")</f>
        <v/>
      </c>
      <c r="BD440" s="270" t="str">
        <f>_xlfn.IFNA(VLOOKUP(CONCATENATE(BD$4,$C440),'INSER DATA'!$A:$F,7,0),"")</f>
        <v/>
      </c>
      <c r="BE440" s="270" t="str">
        <f>_xlfn.IFNA(VLOOKUP(CONCATENATE(BE$4,$C440),'INSER DATA'!$A:$F,7,0),"")</f>
        <v/>
      </c>
      <c r="BF440" s="270" t="str">
        <f>_xlfn.IFNA(VLOOKUP(CONCATENATE(BF$4,$C440),'INSER DATA'!$A:$F,7,0),"")</f>
        <v/>
      </c>
      <c r="BG440" s="270" t="str">
        <f>_xlfn.IFNA(VLOOKUP(CONCATENATE(BG$4,$C440),'INSER DATA'!$A:$F,7,0),"")</f>
        <v/>
      </c>
      <c r="BH440" s="270" t="str">
        <f>_xlfn.IFNA(VLOOKUP(CONCATENATE(BH$4,$C440),'INSER DATA'!$A:$F,7,0),"")</f>
        <v/>
      </c>
      <c r="BI440" s="270" t="str">
        <f>_xlfn.IFNA(VLOOKUP(CONCATENATE(BI$4,$C440),'INSER DATA'!$A:$F,7,0),"")</f>
        <v/>
      </c>
      <c r="BJ440" s="270" t="str">
        <f>_xlfn.IFNA(VLOOKUP(CONCATENATE(BJ$4,$C440),'INSER DATA'!$A:$F,7,0),"")</f>
        <v/>
      </c>
      <c r="BK440" s="270" t="str">
        <f>_xlfn.IFNA(VLOOKUP(CONCATENATE(BK$4,$C440),'INSER DATA'!$A:$F,7,0),"")</f>
        <v/>
      </c>
      <c r="BL440" s="272"/>
      <c r="BM440" s="30"/>
      <c r="BN440" s="30"/>
      <c r="BO440" s="30"/>
      <c r="BP440" s="30"/>
      <c r="BQ440" s="30"/>
      <c r="BR440" s="30"/>
      <c r="BS440" s="30"/>
      <c r="BT440" s="30"/>
      <c r="BU440" s="30"/>
      <c r="BV440" s="30"/>
      <c r="BW440" s="30"/>
      <c r="BX440" s="30"/>
      <c r="BY440" s="30"/>
      <c r="BZ440" s="30"/>
      <c r="CA440" s="30"/>
      <c r="CB440" s="30"/>
      <c r="CC440" s="30"/>
      <c r="CD440" s="30"/>
      <c r="CE440" s="30"/>
      <c r="CF440" s="30"/>
      <c r="CG440" s="30"/>
      <c r="CH440" s="30"/>
      <c r="CI440" s="30"/>
      <c r="CJ440" s="30"/>
      <c r="CK440" s="30"/>
      <c r="CL440" s="30"/>
      <c r="CM440" s="30"/>
      <c r="CN440" s="30"/>
      <c r="CO440" s="30"/>
      <c r="CP440" s="30"/>
      <c r="CQ440" s="30"/>
      <c r="CR440" s="30"/>
      <c r="CS440" s="30"/>
      <c r="CT440" s="30"/>
      <c r="CU440" s="30"/>
      <c r="CV440" s="30"/>
      <c r="CW440" s="30"/>
      <c r="CX440" s="30"/>
      <c r="CY440" s="30"/>
      <c r="CZ440" s="30"/>
      <c r="DA440" s="30"/>
    </row>
    <row r="441" spans="1:105" ht="19.2" thickTop="1" thickBot="1" x14ac:dyDescent="0.4">
      <c r="A441" s="30"/>
      <c r="B441" s="30"/>
      <c r="C441" s="354" t="s">
        <v>925</v>
      </c>
      <c r="D441" s="357" t="s">
        <v>910</v>
      </c>
      <c r="E441" s="35" t="str">
        <f>_xlfn.XLOOKUP(Tabella4[[#This Row],[NOME]],'ROSE SQUADRE'!$N$3:$N$253,'ROSE SQUADRE'!$O$3:$O$253,"")</f>
        <v>ATL. IMPROVVISATO</v>
      </c>
      <c r="F441" s="36" t="s">
        <v>162</v>
      </c>
      <c r="G441" s="43">
        <v>9</v>
      </c>
      <c r="H441" s="43">
        <v>9</v>
      </c>
      <c r="I441" s="44">
        <f t="shared" si="37"/>
        <v>0</v>
      </c>
      <c r="J441" s="37">
        <f t="shared" si="38"/>
        <v>0</v>
      </c>
      <c r="K441" s="38">
        <f t="shared" si="39"/>
        <v>0</v>
      </c>
      <c r="L441" s="38">
        <f t="shared" si="40"/>
        <v>0</v>
      </c>
      <c r="M441" s="39">
        <f t="shared" si="41"/>
        <v>0</v>
      </c>
      <c r="N441" s="45">
        <f t="shared" ca="1" si="42"/>
        <v>0</v>
      </c>
      <c r="O441" s="40">
        <f>SUMIF(Tabella1[Nome],Tabella4[[#This Row],[NOME]],Tabella1[Gf])</f>
        <v>0</v>
      </c>
      <c r="P441" s="40">
        <f>-(SUMIF(Tabella1[Nome],Tabella4[[#This Row],[NOME]],Tabella1[Gs]))</f>
        <v>0</v>
      </c>
      <c r="Q441" s="40">
        <f>SUMIF(Tabella1[Nome],Tabella4[[#This Row],[NOME]],Tabella1[Rp])</f>
        <v>0</v>
      </c>
      <c r="R441" s="40">
        <f>SUMIF(Tabella1[Nome],Tabella4[[#This Row],[NOME]],Tabella1[Rs])</f>
        <v>0</v>
      </c>
      <c r="S441" s="40">
        <f>SUMIF(Tabella1[Nome],Tabella4[[#This Row],[NOME]],Tabella1[Rf])</f>
        <v>0</v>
      </c>
      <c r="T441" s="40">
        <f>SUMIF(Tabella1[Nome],Tabella4[[#This Row],[NOME]],Tabella1[Au])</f>
        <v>0</v>
      </c>
      <c r="U441" s="41">
        <f>SUMIF(Tabella1[Nome],Tabella4[[#This Row],[NOME]],Tabella1[Amm])</f>
        <v>0</v>
      </c>
      <c r="V441" s="42">
        <f>SUMIF(Tabella1[Nome],Tabella4[[#This Row],[NOME]],Tabella1[Esp])</f>
        <v>0</v>
      </c>
      <c r="W441" s="40">
        <f>SUMIF(Tabella1[Nome],Tabella4[[#This Row],[NOME]],Tabella1[Ass])</f>
        <v>0</v>
      </c>
      <c r="X441" s="40">
        <f>SUMIF(Tabella1[Nome],Tabella4[[#This Row],[NOME]],Tabella1[Gdv])</f>
        <v>0</v>
      </c>
      <c r="Y441" s="40">
        <f>SUMIF(Tabella1[Nome],Tabella4[[#This Row],[NOME]],Tabella1[cl sh])</f>
        <v>0</v>
      </c>
      <c r="Z441" s="270" t="str">
        <f>_xlfn.IFNA(_xlfn.XLOOKUP(CONCATENATE(Z$4,$C441),Tabella1[CONC X VOTI IN TAB GIOC],Tabella1[Voto],""),"")</f>
        <v/>
      </c>
      <c r="AA441" s="270" t="str">
        <f>_xlfn.IFNA(_xlfn.XLOOKUP(CONCATENATE(AA$4,$C441),Tabella1[CONC X VOTI IN TAB GIOC],Tabella1[Voto],""),"")</f>
        <v/>
      </c>
      <c r="AB441" s="270" t="str">
        <f>_xlfn.IFNA(_xlfn.XLOOKUP(CONCATENATE(AB$4,$C441),Tabella1[CONC X VOTI IN TAB GIOC],Tabella1[Voto]),"")</f>
        <v/>
      </c>
      <c r="AC441" s="270" t="str" cm="1">
        <f t="array" ref="AC441">_xlfn.IFNA(_xlfn.XLOOKUP(CONCATENATE(AC$4,$C441),INDEX(Tabella1[],0,MATCH("CONC X VOTI IN TAB GIOC",Tabella1[#Headers],0)),INDEX(Tabella1[],0,MATCH("Voto",Tabella1[#Headers],0))),"")</f>
        <v/>
      </c>
      <c r="AD441" s="270" t="str">
        <f>_xlfn.IFNA(_xlfn.XLOOKUP(CONCATENATE(AD$4,$C441),Tabella1[CONC X VOTI IN TAB GIOC],Tabella1[Voto]),"")</f>
        <v/>
      </c>
      <c r="AE441" s="270" t="str">
        <f>_xlfn.IFNA(VLOOKUP(CONCATENATE(AE$4,$C441),'INSER DATA'!$A:$F,6,0),"")</f>
        <v/>
      </c>
      <c r="AF441" s="270" t="str">
        <f>_xlfn.IFNA(VLOOKUP(CONCATENATE(AF$4,$C441),'INSER DATA'!$A:$F,6,0),"")</f>
        <v/>
      </c>
      <c r="AG441" s="270" t="str">
        <f>_xlfn.IFNA(VLOOKUP(CONCATENATE(AG$4,$C441),'INSER DATA'!$A:$F,6,0),"")</f>
        <v/>
      </c>
      <c r="AH441" s="270" t="str">
        <f>_xlfn.IFNA(VLOOKUP(CONCATENATE(AH$4,$C441),'INSER DATA'!$A:$F,7,0),"")</f>
        <v/>
      </c>
      <c r="AI441" s="270" t="str">
        <f>_xlfn.IFNA(VLOOKUP(CONCATENATE(AI$4,$C441),'INSER DATA'!$A:$F,7,0),"")</f>
        <v/>
      </c>
      <c r="AJ441" s="270" t="str">
        <f>_xlfn.IFNA(VLOOKUP(CONCATENATE(AJ$4,$C441),'INSER DATA'!$A:$F,7,0),"")</f>
        <v/>
      </c>
      <c r="AK441" s="270" t="str">
        <f>_xlfn.IFNA(VLOOKUP(CONCATENATE(AK$4,$C441),'INSER DATA'!$A:$F,7,0),"")</f>
        <v/>
      </c>
      <c r="AL441" s="270" t="str">
        <f>_xlfn.IFNA(VLOOKUP(CONCATENATE(AL$4,$C441),'INSER DATA'!$A:$F,7,0),"")</f>
        <v/>
      </c>
      <c r="AM441" s="270" t="str">
        <f>_xlfn.IFNA(VLOOKUP(CONCATENATE(AM$4,$C441),'INSER DATA'!$A:$F,7,0),"")</f>
        <v/>
      </c>
      <c r="AN441" s="270" t="str">
        <f>_xlfn.IFNA(VLOOKUP(CONCATENATE(AN$4,$C441),'INSER DATA'!$A:$F,7,0),"")</f>
        <v/>
      </c>
      <c r="AO441" s="270" t="str">
        <f>_xlfn.IFNA(VLOOKUP(CONCATENATE(AO$4,$C441),'INSER DATA'!$A:$F,7,0),"")</f>
        <v/>
      </c>
      <c r="AP441" s="270" t="str">
        <f>_xlfn.IFNA(VLOOKUP(CONCATENATE(AP$4,$C441),'INSER DATA'!$A:$F,7,0),"")</f>
        <v/>
      </c>
      <c r="AQ441" s="270" t="str">
        <f>_xlfn.IFNA(VLOOKUP(CONCATENATE(AQ$4,$C441),'INSER DATA'!$A:$F,7,0),"")</f>
        <v/>
      </c>
      <c r="AR441" s="270" t="str">
        <f>_xlfn.IFNA(VLOOKUP(CONCATENATE(AR$4,$C441),'INSER DATA'!$A:$F,7,0),"")</f>
        <v/>
      </c>
      <c r="AS441" s="270" t="str">
        <f>_xlfn.IFNA(VLOOKUP(CONCATENATE(AS$4,$C441),'INSER DATA'!$A:$F,7,0),"")</f>
        <v/>
      </c>
      <c r="AT441" s="270" t="str">
        <f>_xlfn.IFNA(VLOOKUP(CONCATENATE(AT$4,$C441),'INSER DATA'!$A:$F,7,0),"")</f>
        <v/>
      </c>
      <c r="AU441" s="270" t="str">
        <f>_xlfn.IFNA(VLOOKUP(CONCATENATE(AU$4,$C441),'INSER DATA'!$A:$F,7,0),"")</f>
        <v/>
      </c>
      <c r="AV441" s="270" t="str">
        <f>_xlfn.IFNA(VLOOKUP(CONCATENATE(AV$4,$C441),'INSER DATA'!$A:$F,7,0),"")</f>
        <v/>
      </c>
      <c r="AW441" s="270" t="str">
        <f>_xlfn.IFNA(VLOOKUP(CONCATENATE(AW$4,$C441),'INSER DATA'!$A:$F,7,0),"")</f>
        <v/>
      </c>
      <c r="AX441" s="270" t="str">
        <f>_xlfn.IFNA(VLOOKUP(CONCATENATE(AX$4,$C441),'INSER DATA'!$A:$F,7,0),"")</f>
        <v/>
      </c>
      <c r="AY441" s="270" t="str">
        <f>_xlfn.IFNA(VLOOKUP(CONCATENATE(AY$4,$C441),'INSER DATA'!$A:$F,7,0),"")</f>
        <v/>
      </c>
      <c r="AZ441" s="270" t="str">
        <f>_xlfn.IFNA(VLOOKUP(CONCATENATE(AZ$4,$C441),'INSER DATA'!$A:$F,7,0),"")</f>
        <v/>
      </c>
      <c r="BA441" s="270" t="str">
        <f>_xlfn.IFNA(VLOOKUP(CONCATENATE(BA$4,$C441),'INSER DATA'!$A:$F,7,0),"")</f>
        <v/>
      </c>
      <c r="BB441" s="270" t="str">
        <f>_xlfn.IFNA(VLOOKUP(CONCATENATE(BB$4,$C441),'INSER DATA'!$A:$F,7,0),"")</f>
        <v/>
      </c>
      <c r="BC441" s="270" t="str">
        <f>_xlfn.IFNA(VLOOKUP(CONCATENATE(BC$4,$C441),'INSER DATA'!$A:$F,7,0),"")</f>
        <v/>
      </c>
      <c r="BD441" s="270" t="str">
        <f>_xlfn.IFNA(VLOOKUP(CONCATENATE(BD$4,$C441),'INSER DATA'!$A:$F,7,0),"")</f>
        <v/>
      </c>
      <c r="BE441" s="270" t="str">
        <f>_xlfn.IFNA(VLOOKUP(CONCATENATE(BE$4,$C441),'INSER DATA'!$A:$F,7,0),"")</f>
        <v/>
      </c>
      <c r="BF441" s="270" t="str">
        <f>_xlfn.IFNA(VLOOKUP(CONCATENATE(BF$4,$C441),'INSER DATA'!$A:$F,7,0),"")</f>
        <v/>
      </c>
      <c r="BG441" s="270" t="str">
        <f>_xlfn.IFNA(VLOOKUP(CONCATENATE(BG$4,$C441),'INSER DATA'!$A:$F,7,0),"")</f>
        <v/>
      </c>
      <c r="BH441" s="270" t="str">
        <f>_xlfn.IFNA(VLOOKUP(CONCATENATE(BH$4,$C441),'INSER DATA'!$A:$F,7,0),"")</f>
        <v/>
      </c>
      <c r="BI441" s="270" t="str">
        <f>_xlfn.IFNA(VLOOKUP(CONCATENATE(BI$4,$C441),'INSER DATA'!$A:$F,7,0),"")</f>
        <v/>
      </c>
      <c r="BJ441" s="270" t="str">
        <f>_xlfn.IFNA(VLOOKUP(CONCATENATE(BJ$4,$C441),'INSER DATA'!$A:$F,7,0),"")</f>
        <v/>
      </c>
      <c r="BK441" s="270" t="str">
        <f>_xlfn.IFNA(VLOOKUP(CONCATENATE(BK$4,$C441),'INSER DATA'!$A:$F,7,0),"")</f>
        <v/>
      </c>
      <c r="BL441" s="272"/>
      <c r="BM441" s="30"/>
      <c r="BN441" s="30"/>
      <c r="BO441" s="30"/>
      <c r="BP441" s="30"/>
      <c r="BQ441" s="30"/>
      <c r="BR441" s="30"/>
      <c r="BS441" s="30"/>
      <c r="BT441" s="30"/>
      <c r="BU441" s="30"/>
      <c r="BV441" s="30"/>
      <c r="BW441" s="30"/>
      <c r="BX441" s="30"/>
      <c r="BY441" s="30"/>
      <c r="BZ441" s="30"/>
      <c r="CA441" s="30"/>
      <c r="CB441" s="30"/>
      <c r="CC441" s="30"/>
      <c r="CD441" s="30"/>
      <c r="CE441" s="30"/>
      <c r="CF441" s="30"/>
      <c r="CG441" s="30"/>
      <c r="CH441" s="30"/>
      <c r="CI441" s="30"/>
      <c r="CJ441" s="30"/>
      <c r="CK441" s="30"/>
      <c r="CL441" s="30"/>
      <c r="CM441" s="30"/>
      <c r="CN441" s="30"/>
      <c r="CO441" s="30"/>
      <c r="CP441" s="30"/>
      <c r="CQ441" s="30"/>
      <c r="CR441" s="30"/>
      <c r="CS441" s="30"/>
      <c r="CT441" s="30"/>
      <c r="CU441" s="30"/>
      <c r="CV441" s="30"/>
      <c r="CW441" s="30"/>
      <c r="CX441" s="30"/>
      <c r="CY441" s="30"/>
      <c r="CZ441" s="30"/>
      <c r="DA441" s="30"/>
    </row>
    <row r="442" spans="1:105" ht="19.2" thickTop="1" thickBot="1" x14ac:dyDescent="0.4">
      <c r="A442" s="30"/>
      <c r="B442" s="30"/>
      <c r="C442" s="188" t="s">
        <v>926</v>
      </c>
      <c r="D442" s="187" t="s">
        <v>910</v>
      </c>
      <c r="E442" s="35" t="str">
        <f>_xlfn.XLOOKUP(Tabella4[[#This Row],[NOME]],'ROSE SQUADRE'!$N$3:$N$253,'ROSE SQUADRE'!$O$3:$O$253,"")</f>
        <v/>
      </c>
      <c r="F442" s="36" t="s">
        <v>162</v>
      </c>
      <c r="G442" s="43">
        <v>2</v>
      </c>
      <c r="H442" s="43">
        <v>2</v>
      </c>
      <c r="I442" s="44">
        <f t="shared" si="37"/>
        <v>0</v>
      </c>
      <c r="J442" s="37">
        <f t="shared" si="38"/>
        <v>2</v>
      </c>
      <c r="K442" s="178">
        <f t="shared" si="39"/>
        <v>6.25</v>
      </c>
      <c r="L442" s="178">
        <f t="shared" si="40"/>
        <v>6</v>
      </c>
      <c r="M442" s="179">
        <f t="shared" si="41"/>
        <v>12</v>
      </c>
      <c r="N442" s="45">
        <f t="shared" ca="1" si="42"/>
        <v>0</v>
      </c>
      <c r="O442" s="40">
        <f>SUMIF(Tabella1[Nome],Tabella4[[#This Row],[NOME]],Tabella1[Gf])</f>
        <v>0</v>
      </c>
      <c r="P442" s="40">
        <f>-(SUMIF(Tabella1[Nome],Tabella4[[#This Row],[NOME]],Tabella1[Gs]))</f>
        <v>0</v>
      </c>
      <c r="Q442" s="40">
        <f>SUMIF(Tabella1[Nome],Tabella4[[#This Row],[NOME]],Tabella1[Rp])</f>
        <v>0</v>
      </c>
      <c r="R442" s="40">
        <f>SUMIF(Tabella1[Nome],Tabella4[[#This Row],[NOME]],Tabella1[Rs])</f>
        <v>0</v>
      </c>
      <c r="S442" s="40">
        <f>SUMIF(Tabella1[Nome],Tabella4[[#This Row],[NOME]],Tabella1[Rf])</f>
        <v>0</v>
      </c>
      <c r="T442" s="40">
        <f>SUMIF(Tabella1[Nome],Tabella4[[#This Row],[NOME]],Tabella1[Au])</f>
        <v>0</v>
      </c>
      <c r="U442" s="41">
        <f>SUMIF(Tabella1[Nome],Tabella4[[#This Row],[NOME]],Tabella1[Amm])</f>
        <v>1</v>
      </c>
      <c r="V442" s="42">
        <f>SUMIF(Tabella1[Nome],Tabella4[[#This Row],[NOME]],Tabella1[Esp])</f>
        <v>0</v>
      </c>
      <c r="W442" s="40">
        <f>SUMIF(Tabella1[Nome],Tabella4[[#This Row],[NOME]],Tabella1[Ass])</f>
        <v>0</v>
      </c>
      <c r="X442" s="40">
        <f>SUMIF(Tabella1[Nome],Tabella4[[#This Row],[NOME]],Tabella1[Gdv])</f>
        <v>0</v>
      </c>
      <c r="Y442" s="40">
        <f>SUMIF(Tabella1[Nome],Tabella4[[#This Row],[NOME]],Tabella1[cl sh])</f>
        <v>0</v>
      </c>
      <c r="Z442" s="270" t="str">
        <f>_xlfn.IFNA(_xlfn.XLOOKUP(CONCATENATE(Z$4,$C442),Tabella1[CONC X VOTI IN TAB GIOC],Tabella1[Voto],""),"")</f>
        <v/>
      </c>
      <c r="AA442" s="270" t="str">
        <f>_xlfn.IFNA(_xlfn.XLOOKUP(CONCATENATE(AA$4,$C442),Tabella1[CONC X VOTI IN TAB GIOC],Tabella1[Voto],""),"")</f>
        <v/>
      </c>
      <c r="AB442" s="270">
        <f>_xlfn.IFNA(_xlfn.XLOOKUP(CONCATENATE(AB$4,$C442),Tabella1[CONC X VOTI IN TAB GIOC],Tabella1[Voto]),"")</f>
        <v>6</v>
      </c>
      <c r="AC442" s="270" cm="1">
        <f t="array" ref="AC442">_xlfn.IFNA(_xlfn.XLOOKUP(CONCATENATE(AC$4,$C442),INDEX(Tabella1[],0,MATCH("CONC X VOTI IN TAB GIOC",Tabella1[#Headers],0)),INDEX(Tabella1[],0,MATCH("Voto",Tabella1[#Headers],0))),"")</f>
        <v>6.5</v>
      </c>
      <c r="AD442" s="270" t="str">
        <f>_xlfn.IFNA(_xlfn.XLOOKUP(CONCATENATE(AD$4,$C442),Tabella1[CONC X VOTI IN TAB GIOC],Tabella1[Voto]),"")</f>
        <v/>
      </c>
      <c r="AE442" s="270" t="str">
        <f>_xlfn.IFNA(VLOOKUP(CONCATENATE(AE$4,$C442),'INSER DATA'!$A:$F,6,0),"")</f>
        <v/>
      </c>
      <c r="AF442" s="270" t="str">
        <f>_xlfn.IFNA(VLOOKUP(CONCATENATE(AF$4,$C442),'INSER DATA'!$A:$F,6,0),"")</f>
        <v/>
      </c>
      <c r="AG442" s="270" t="str">
        <f>_xlfn.IFNA(VLOOKUP(CONCATENATE(AG$4,$C442),'INSER DATA'!$A:$F,6,0),"")</f>
        <v/>
      </c>
      <c r="AH442" s="270" t="str">
        <f>_xlfn.IFNA(VLOOKUP(CONCATENATE(AH$4,$C442),'INSER DATA'!$A:$F,7,0),"")</f>
        <v/>
      </c>
      <c r="AI442" s="270" t="str">
        <f>_xlfn.IFNA(VLOOKUP(CONCATENATE(AI$4,$C442),'INSER DATA'!$A:$F,7,0),"")</f>
        <v/>
      </c>
      <c r="AJ442" s="270" t="str">
        <f>_xlfn.IFNA(VLOOKUP(CONCATENATE(AJ$4,$C442),'INSER DATA'!$A:$F,7,0),"")</f>
        <v/>
      </c>
      <c r="AK442" s="270" t="str">
        <f>_xlfn.IFNA(VLOOKUP(CONCATENATE(AK$4,$C442),'INSER DATA'!$A:$F,7,0),"")</f>
        <v/>
      </c>
      <c r="AL442" s="270" t="str">
        <f>_xlfn.IFNA(VLOOKUP(CONCATENATE(AL$4,$C442),'INSER DATA'!$A:$F,7,0),"")</f>
        <v/>
      </c>
      <c r="AM442" s="270" t="str">
        <f>_xlfn.IFNA(VLOOKUP(CONCATENATE(AM$4,$C442),'INSER DATA'!$A:$F,7,0),"")</f>
        <v/>
      </c>
      <c r="AN442" s="270" t="str">
        <f>_xlfn.IFNA(VLOOKUP(CONCATENATE(AN$4,$C442),'INSER DATA'!$A:$F,7,0),"")</f>
        <v/>
      </c>
      <c r="AO442" s="270" t="str">
        <f>_xlfn.IFNA(VLOOKUP(CONCATENATE(AO$4,$C442),'INSER DATA'!$A:$F,7,0),"")</f>
        <v/>
      </c>
      <c r="AP442" s="270" t="str">
        <f>_xlfn.IFNA(VLOOKUP(CONCATENATE(AP$4,$C442),'INSER DATA'!$A:$F,7,0),"")</f>
        <v/>
      </c>
      <c r="AQ442" s="270" t="str">
        <f>_xlfn.IFNA(VLOOKUP(CONCATENATE(AQ$4,$C442),'INSER DATA'!$A:$F,7,0),"")</f>
        <v/>
      </c>
      <c r="AR442" s="270" t="str">
        <f>_xlfn.IFNA(VLOOKUP(CONCATENATE(AR$4,$C442),'INSER DATA'!$A:$F,7,0),"")</f>
        <v/>
      </c>
      <c r="AS442" s="270" t="str">
        <f>_xlfn.IFNA(VLOOKUP(CONCATENATE(AS$4,$C442),'INSER DATA'!$A:$F,7,0),"")</f>
        <v/>
      </c>
      <c r="AT442" s="270" t="str">
        <f>_xlfn.IFNA(VLOOKUP(CONCATENATE(AT$4,$C442),'INSER DATA'!$A:$F,7,0),"")</f>
        <v/>
      </c>
      <c r="AU442" s="270" t="str">
        <f>_xlfn.IFNA(VLOOKUP(CONCATENATE(AU$4,$C442),'INSER DATA'!$A:$F,7,0),"")</f>
        <v/>
      </c>
      <c r="AV442" s="270" t="str">
        <f>_xlfn.IFNA(VLOOKUP(CONCATENATE(AV$4,$C442),'INSER DATA'!$A:$F,7,0),"")</f>
        <v/>
      </c>
      <c r="AW442" s="270" t="str">
        <f>_xlfn.IFNA(VLOOKUP(CONCATENATE(AW$4,$C442),'INSER DATA'!$A:$F,7,0),"")</f>
        <v/>
      </c>
      <c r="AX442" s="270" t="str">
        <f>_xlfn.IFNA(VLOOKUP(CONCATENATE(AX$4,$C442),'INSER DATA'!$A:$F,7,0),"")</f>
        <v/>
      </c>
      <c r="AY442" s="270" t="str">
        <f>_xlfn.IFNA(VLOOKUP(CONCATENATE(AY$4,$C442),'INSER DATA'!$A:$F,7,0),"")</f>
        <v/>
      </c>
      <c r="AZ442" s="270" t="str">
        <f>_xlfn.IFNA(VLOOKUP(CONCATENATE(AZ$4,$C442),'INSER DATA'!$A:$F,7,0),"")</f>
        <v/>
      </c>
      <c r="BA442" s="270" t="str">
        <f>_xlfn.IFNA(VLOOKUP(CONCATENATE(BA$4,$C442),'INSER DATA'!$A:$F,7,0),"")</f>
        <v/>
      </c>
      <c r="BB442" s="270" t="str">
        <f>_xlfn.IFNA(VLOOKUP(CONCATENATE(BB$4,$C442),'INSER DATA'!$A:$F,7,0),"")</f>
        <v/>
      </c>
      <c r="BC442" s="270" t="str">
        <f>_xlfn.IFNA(VLOOKUP(CONCATENATE(BC$4,$C442),'INSER DATA'!$A:$F,7,0),"")</f>
        <v/>
      </c>
      <c r="BD442" s="270" t="str">
        <f>_xlfn.IFNA(VLOOKUP(CONCATENATE(BD$4,$C442),'INSER DATA'!$A:$F,7,0),"")</f>
        <v/>
      </c>
      <c r="BE442" s="270" t="str">
        <f>_xlfn.IFNA(VLOOKUP(CONCATENATE(BE$4,$C442),'INSER DATA'!$A:$F,7,0),"")</f>
        <v/>
      </c>
      <c r="BF442" s="270" t="str">
        <f>_xlfn.IFNA(VLOOKUP(CONCATENATE(BF$4,$C442),'INSER DATA'!$A:$F,7,0),"")</f>
        <v/>
      </c>
      <c r="BG442" s="270" t="str">
        <f>_xlfn.IFNA(VLOOKUP(CONCATENATE(BG$4,$C442),'INSER DATA'!$A:$F,7,0),"")</f>
        <v/>
      </c>
      <c r="BH442" s="270" t="str">
        <f>_xlfn.IFNA(VLOOKUP(CONCATENATE(BH$4,$C442),'INSER DATA'!$A:$F,7,0),"")</f>
        <v/>
      </c>
      <c r="BI442" s="270" t="str">
        <f>_xlfn.IFNA(VLOOKUP(CONCATENATE(BI$4,$C442),'INSER DATA'!$A:$F,7,0),"")</f>
        <v/>
      </c>
      <c r="BJ442" s="270" t="str">
        <f>_xlfn.IFNA(VLOOKUP(CONCATENATE(BJ$4,$C442),'INSER DATA'!$A:$F,7,0),"")</f>
        <v/>
      </c>
      <c r="BK442" s="270" t="str">
        <f>_xlfn.IFNA(VLOOKUP(CONCATENATE(BK$4,$C442),'INSER DATA'!$A:$F,7,0),"")</f>
        <v/>
      </c>
      <c r="BL442" s="272"/>
      <c r="BM442" s="30"/>
      <c r="BN442" s="30"/>
      <c r="BO442" s="30"/>
      <c r="BP442" s="30"/>
      <c r="BQ442" s="30"/>
      <c r="BR442" s="30"/>
      <c r="BS442" s="30"/>
      <c r="BT442" s="30"/>
      <c r="BU442" s="30"/>
      <c r="BV442" s="30"/>
      <c r="BW442" s="30"/>
      <c r="BX442" s="30"/>
      <c r="BY442" s="30"/>
      <c r="BZ442" s="30"/>
      <c r="CA442" s="30"/>
      <c r="CB442" s="30"/>
      <c r="CC442" s="30"/>
      <c r="CD442" s="30"/>
      <c r="CE442" s="30"/>
      <c r="CF442" s="30"/>
      <c r="CG442" s="30"/>
      <c r="CH442" s="30"/>
      <c r="CI442" s="30"/>
      <c r="CJ442" s="30"/>
      <c r="CK442" s="30"/>
      <c r="CL442" s="30"/>
      <c r="CM442" s="30"/>
      <c r="CN442" s="30"/>
      <c r="CO442" s="30"/>
      <c r="CP442" s="30"/>
      <c r="CQ442" s="30"/>
      <c r="CR442" s="30"/>
      <c r="CS442" s="30"/>
      <c r="CT442" s="30"/>
      <c r="CU442" s="30"/>
      <c r="CV442" s="30"/>
      <c r="CW442" s="30"/>
      <c r="CX442" s="30"/>
      <c r="CY442" s="30"/>
      <c r="CZ442" s="30"/>
      <c r="DA442" s="30"/>
    </row>
    <row r="443" spans="1:105" ht="19.2" thickTop="1" thickBot="1" x14ac:dyDescent="0.4">
      <c r="A443" s="30"/>
      <c r="B443" s="30"/>
      <c r="C443" s="356" t="s">
        <v>611</v>
      </c>
      <c r="D443" s="355" t="s">
        <v>796</v>
      </c>
      <c r="E443" s="35" t="str">
        <f>_xlfn.XLOOKUP(Tabella4[[#This Row],[NOME]],'ROSE SQUADRE'!$N$3:$N$253,'ROSE SQUADRE'!$O$3:$O$253,"")</f>
        <v>AS PIPPERIA</v>
      </c>
      <c r="F443" s="36" t="s">
        <v>163</v>
      </c>
      <c r="G443" s="43">
        <v>13</v>
      </c>
      <c r="H443" s="43">
        <v>13</v>
      </c>
      <c r="I443" s="44">
        <f t="shared" si="37"/>
        <v>0</v>
      </c>
      <c r="J443" s="37">
        <f t="shared" si="38"/>
        <v>2</v>
      </c>
      <c r="K443" s="178">
        <f t="shared" si="39"/>
        <v>5.25</v>
      </c>
      <c r="L443" s="178">
        <f t="shared" si="40"/>
        <v>5.25</v>
      </c>
      <c r="M443" s="179">
        <f t="shared" si="41"/>
        <v>10.5</v>
      </c>
      <c r="N443" s="45">
        <f t="shared" ca="1" si="42"/>
        <v>0</v>
      </c>
      <c r="O443" s="40">
        <f>SUMIF(Tabella1[Nome],Tabella4[[#This Row],[NOME]],Tabella1[Gf])</f>
        <v>0</v>
      </c>
      <c r="P443" s="40">
        <f>-(SUMIF(Tabella1[Nome],Tabella4[[#This Row],[NOME]],Tabella1[Gs]))</f>
        <v>0</v>
      </c>
      <c r="Q443" s="40">
        <f>SUMIF(Tabella1[Nome],Tabella4[[#This Row],[NOME]],Tabella1[Rp])</f>
        <v>0</v>
      </c>
      <c r="R443" s="40">
        <f>SUMIF(Tabella1[Nome],Tabella4[[#This Row],[NOME]],Tabella1[Rs])</f>
        <v>0</v>
      </c>
      <c r="S443" s="40">
        <f>SUMIF(Tabella1[Nome],Tabella4[[#This Row],[NOME]],Tabella1[Rf])</f>
        <v>0</v>
      </c>
      <c r="T443" s="40">
        <f>SUMIF(Tabella1[Nome],Tabella4[[#This Row],[NOME]],Tabella1[Au])</f>
        <v>0</v>
      </c>
      <c r="U443" s="41">
        <f>SUMIF(Tabella1[Nome],Tabella4[[#This Row],[NOME]],Tabella1[Amm])</f>
        <v>0</v>
      </c>
      <c r="V443" s="42">
        <f>SUMIF(Tabella1[Nome],Tabella4[[#This Row],[NOME]],Tabella1[Esp])</f>
        <v>0</v>
      </c>
      <c r="W443" s="40">
        <f>SUMIF(Tabella1[Nome],Tabella4[[#This Row],[NOME]],Tabella1[Ass])</f>
        <v>0</v>
      </c>
      <c r="X443" s="40">
        <f>SUMIF(Tabella1[Nome],Tabella4[[#This Row],[NOME]],Tabella1[Gdv])</f>
        <v>0</v>
      </c>
      <c r="Y443" s="40">
        <f>SUMIF(Tabella1[Nome],Tabella4[[#This Row],[NOME]],Tabella1[cl sh])</f>
        <v>0</v>
      </c>
      <c r="Z443" s="270" t="str">
        <f>_xlfn.IFNA(_xlfn.XLOOKUP(CONCATENATE(Z$4,$C443),Tabella1[CONC X VOTI IN TAB GIOC],Tabella1[Voto],""),"")</f>
        <v/>
      </c>
      <c r="AA443" s="270" t="str">
        <f>_xlfn.IFNA(_xlfn.XLOOKUP(CONCATENATE(AA$4,$C443),Tabella1[CONC X VOTI IN TAB GIOC],Tabella1[Voto],""),"")</f>
        <v/>
      </c>
      <c r="AB443" s="270">
        <f>_xlfn.IFNA(_xlfn.XLOOKUP(CONCATENATE(AB$4,$C443),Tabella1[CONC X VOTI IN TAB GIOC],Tabella1[Voto]),"")</f>
        <v>5</v>
      </c>
      <c r="AC443" s="270" cm="1">
        <f t="array" ref="AC443">_xlfn.IFNA(_xlfn.XLOOKUP(CONCATENATE(AC$4,$C443),INDEX(Tabella1[],0,MATCH("CONC X VOTI IN TAB GIOC",Tabella1[#Headers],0)),INDEX(Tabella1[],0,MATCH("Voto",Tabella1[#Headers],0))),"")</f>
        <v>5.5</v>
      </c>
      <c r="AD443" s="270" t="str">
        <f>_xlfn.IFNA(_xlfn.XLOOKUP(CONCATENATE(AD$4,$C443),Tabella1[CONC X VOTI IN TAB GIOC],Tabella1[Voto]),"")</f>
        <v/>
      </c>
      <c r="AE443" s="270" t="str">
        <f>_xlfn.IFNA(VLOOKUP(CONCATENATE(AE$4,$C443),'INSER DATA'!$A:$F,6,0),"")</f>
        <v/>
      </c>
      <c r="AF443" s="270" t="str">
        <f>_xlfn.IFNA(VLOOKUP(CONCATENATE(AF$4,$C443),'INSER DATA'!$A:$F,6,0),"")</f>
        <v/>
      </c>
      <c r="AG443" s="270" t="str">
        <f>_xlfn.IFNA(VLOOKUP(CONCATENATE(AG$4,$C443),'INSER DATA'!$A:$F,6,0),"")</f>
        <v/>
      </c>
      <c r="AH443" s="270" t="str">
        <f>_xlfn.IFNA(VLOOKUP(CONCATENATE(AH$4,$C443),'INSER DATA'!$A:$F,7,0),"")</f>
        <v/>
      </c>
      <c r="AI443" s="270" t="str">
        <f>_xlfn.IFNA(VLOOKUP(CONCATENATE(AI$4,$C443),'INSER DATA'!$A:$F,7,0),"")</f>
        <v/>
      </c>
      <c r="AJ443" s="270" t="str">
        <f>_xlfn.IFNA(VLOOKUP(CONCATENATE(AJ$4,$C443),'INSER DATA'!$A:$F,7,0),"")</f>
        <v/>
      </c>
      <c r="AK443" s="270" t="str">
        <f>_xlfn.IFNA(VLOOKUP(CONCATENATE(AK$4,$C443),'INSER DATA'!$A:$F,7,0),"")</f>
        <v/>
      </c>
      <c r="AL443" s="270" t="str">
        <f>_xlfn.IFNA(VLOOKUP(CONCATENATE(AL$4,$C443),'INSER DATA'!$A:$F,7,0),"")</f>
        <v/>
      </c>
      <c r="AM443" s="270" t="str">
        <f>_xlfn.IFNA(VLOOKUP(CONCATENATE(AM$4,$C443),'INSER DATA'!$A:$F,7,0),"")</f>
        <v/>
      </c>
      <c r="AN443" s="270" t="str">
        <f>_xlfn.IFNA(VLOOKUP(CONCATENATE(AN$4,$C443),'INSER DATA'!$A:$F,7,0),"")</f>
        <v/>
      </c>
      <c r="AO443" s="270" t="str">
        <f>_xlfn.IFNA(VLOOKUP(CONCATENATE(AO$4,$C443),'INSER DATA'!$A:$F,7,0),"")</f>
        <v/>
      </c>
      <c r="AP443" s="270" t="str">
        <f>_xlfn.IFNA(VLOOKUP(CONCATENATE(AP$4,$C443),'INSER DATA'!$A:$F,7,0),"")</f>
        <v/>
      </c>
      <c r="AQ443" s="270" t="str">
        <f>_xlfn.IFNA(VLOOKUP(CONCATENATE(AQ$4,$C443),'INSER DATA'!$A:$F,7,0),"")</f>
        <v/>
      </c>
      <c r="AR443" s="270" t="str">
        <f>_xlfn.IFNA(VLOOKUP(CONCATENATE(AR$4,$C443),'INSER DATA'!$A:$F,7,0),"")</f>
        <v/>
      </c>
      <c r="AS443" s="270" t="str">
        <f>_xlfn.IFNA(VLOOKUP(CONCATENATE(AS$4,$C443),'INSER DATA'!$A:$F,7,0),"")</f>
        <v/>
      </c>
      <c r="AT443" s="270" t="str">
        <f>_xlfn.IFNA(VLOOKUP(CONCATENATE(AT$4,$C443),'INSER DATA'!$A:$F,7,0),"")</f>
        <v/>
      </c>
      <c r="AU443" s="270" t="str">
        <f>_xlfn.IFNA(VLOOKUP(CONCATENATE(AU$4,$C443),'INSER DATA'!$A:$F,7,0),"")</f>
        <v/>
      </c>
      <c r="AV443" s="270" t="str">
        <f>_xlfn.IFNA(VLOOKUP(CONCATENATE(AV$4,$C443),'INSER DATA'!$A:$F,7,0),"")</f>
        <v/>
      </c>
      <c r="AW443" s="270" t="str">
        <f>_xlfn.IFNA(VLOOKUP(CONCATENATE(AW$4,$C443),'INSER DATA'!$A:$F,7,0),"")</f>
        <v/>
      </c>
      <c r="AX443" s="270" t="str">
        <f>_xlfn.IFNA(VLOOKUP(CONCATENATE(AX$4,$C443),'INSER DATA'!$A:$F,7,0),"")</f>
        <v/>
      </c>
      <c r="AY443" s="270" t="str">
        <f>_xlfn.IFNA(VLOOKUP(CONCATENATE(AY$4,$C443),'INSER DATA'!$A:$F,7,0),"")</f>
        <v/>
      </c>
      <c r="AZ443" s="270" t="str">
        <f>_xlfn.IFNA(VLOOKUP(CONCATENATE(AZ$4,$C443),'INSER DATA'!$A:$F,7,0),"")</f>
        <v/>
      </c>
      <c r="BA443" s="270" t="str">
        <f>_xlfn.IFNA(VLOOKUP(CONCATENATE(BA$4,$C443),'INSER DATA'!$A:$F,7,0),"")</f>
        <v/>
      </c>
      <c r="BB443" s="270" t="str">
        <f>_xlfn.IFNA(VLOOKUP(CONCATENATE(BB$4,$C443),'INSER DATA'!$A:$F,7,0),"")</f>
        <v/>
      </c>
      <c r="BC443" s="270" t="str">
        <f>_xlfn.IFNA(VLOOKUP(CONCATENATE(BC$4,$C443),'INSER DATA'!$A:$F,7,0),"")</f>
        <v/>
      </c>
      <c r="BD443" s="270" t="str">
        <f>_xlfn.IFNA(VLOOKUP(CONCATENATE(BD$4,$C443),'INSER DATA'!$A:$F,7,0),"")</f>
        <v/>
      </c>
      <c r="BE443" s="270" t="str">
        <f>_xlfn.IFNA(VLOOKUP(CONCATENATE(BE$4,$C443),'INSER DATA'!$A:$F,7,0),"")</f>
        <v/>
      </c>
      <c r="BF443" s="270" t="str">
        <f>_xlfn.IFNA(VLOOKUP(CONCATENATE(BF$4,$C443),'INSER DATA'!$A:$F,7,0),"")</f>
        <v/>
      </c>
      <c r="BG443" s="270" t="str">
        <f>_xlfn.IFNA(VLOOKUP(CONCATENATE(BG$4,$C443),'INSER DATA'!$A:$F,7,0),"")</f>
        <v/>
      </c>
      <c r="BH443" s="270" t="str">
        <f>_xlfn.IFNA(VLOOKUP(CONCATENATE(BH$4,$C443),'INSER DATA'!$A:$F,7,0),"")</f>
        <v/>
      </c>
      <c r="BI443" s="270" t="str">
        <f>_xlfn.IFNA(VLOOKUP(CONCATENATE(BI$4,$C443),'INSER DATA'!$A:$F,7,0),"")</f>
        <v/>
      </c>
      <c r="BJ443" s="270" t="str">
        <f>_xlfn.IFNA(VLOOKUP(CONCATENATE(BJ$4,$C443),'INSER DATA'!$A:$F,7,0),"")</f>
        <v/>
      </c>
      <c r="BK443" s="270" t="str">
        <f>_xlfn.IFNA(VLOOKUP(CONCATENATE(BK$4,$C443),'INSER DATA'!$A:$F,7,0),"")</f>
        <v/>
      </c>
      <c r="BL443" s="272"/>
      <c r="BM443" s="30"/>
      <c r="BN443" s="30"/>
      <c r="BO443" s="30"/>
      <c r="BP443" s="30"/>
      <c r="BQ443" s="30"/>
      <c r="BR443" s="30"/>
      <c r="BS443" s="30"/>
      <c r="BT443" s="30"/>
      <c r="BU443" s="30"/>
      <c r="BV443" s="30"/>
      <c r="BW443" s="30"/>
      <c r="BX443" s="30"/>
      <c r="BY443" s="30"/>
      <c r="BZ443" s="30"/>
      <c r="CA443" s="30"/>
      <c r="CB443" s="30"/>
      <c r="CC443" s="30"/>
      <c r="CD443" s="30"/>
      <c r="CE443" s="30"/>
      <c r="CF443" s="30"/>
      <c r="CG443" s="30"/>
      <c r="CH443" s="30"/>
      <c r="CI443" s="30"/>
      <c r="CJ443" s="30"/>
      <c r="CK443" s="30"/>
      <c r="CL443" s="30"/>
      <c r="CM443" s="30"/>
      <c r="CN443" s="30"/>
      <c r="CO443" s="30"/>
      <c r="CP443" s="30"/>
      <c r="CQ443" s="30"/>
      <c r="CR443" s="30"/>
      <c r="CS443" s="30"/>
      <c r="CT443" s="30"/>
      <c r="CU443" s="30"/>
      <c r="CV443" s="30"/>
      <c r="CW443" s="30"/>
      <c r="CX443" s="30"/>
      <c r="CY443" s="30"/>
      <c r="CZ443" s="30"/>
      <c r="DA443" s="30"/>
    </row>
    <row r="444" spans="1:105" ht="19.2" thickTop="1" thickBot="1" x14ac:dyDescent="0.4">
      <c r="A444" s="30"/>
      <c r="B444" s="30"/>
      <c r="C444" s="356" t="s">
        <v>947</v>
      </c>
      <c r="D444" s="355" t="s">
        <v>705</v>
      </c>
      <c r="E444" s="35" t="str">
        <f>_xlfn.XLOOKUP(Tabella4[[#This Row],[NOME]],'ROSE SQUADRE'!$N$3:$N$253,'ROSE SQUADRE'!$O$3:$O$253,"")</f>
        <v>PESCICULINI</v>
      </c>
      <c r="F444" s="36" t="s">
        <v>162</v>
      </c>
      <c r="G444" s="43">
        <v>4</v>
      </c>
      <c r="H444" s="43">
        <v>5</v>
      </c>
      <c r="I444" s="44">
        <f t="shared" si="37"/>
        <v>1</v>
      </c>
      <c r="J444" s="37">
        <f t="shared" si="38"/>
        <v>3</v>
      </c>
      <c r="K444" s="38">
        <f t="shared" si="39"/>
        <v>6.333333333333333</v>
      </c>
      <c r="L444" s="38">
        <f t="shared" si="40"/>
        <v>6.166666666666667</v>
      </c>
      <c r="M444" s="39">
        <f t="shared" si="41"/>
        <v>18.5</v>
      </c>
      <c r="N444" s="45">
        <f t="shared" ca="1" si="42"/>
        <v>0</v>
      </c>
      <c r="O444" s="40">
        <f>SUMIF(Tabella1[Nome],Tabella4[[#This Row],[NOME]],Tabella1[Gf])</f>
        <v>0</v>
      </c>
      <c r="P444" s="40">
        <f>-(SUMIF(Tabella1[Nome],Tabella4[[#This Row],[NOME]],Tabella1[Gs]))</f>
        <v>0</v>
      </c>
      <c r="Q444" s="40">
        <f>SUMIF(Tabella1[Nome],Tabella4[[#This Row],[NOME]],Tabella1[Rp])</f>
        <v>0</v>
      </c>
      <c r="R444" s="40">
        <f>SUMIF(Tabella1[Nome],Tabella4[[#This Row],[NOME]],Tabella1[Rs])</f>
        <v>0</v>
      </c>
      <c r="S444" s="40">
        <f>SUMIF(Tabella1[Nome],Tabella4[[#This Row],[NOME]],Tabella1[Rf])</f>
        <v>0</v>
      </c>
      <c r="T444" s="40">
        <f>SUMIF(Tabella1[Nome],Tabella4[[#This Row],[NOME]],Tabella1[Au])</f>
        <v>0</v>
      </c>
      <c r="U444" s="41">
        <f>SUMIF(Tabella1[Nome],Tabella4[[#This Row],[NOME]],Tabella1[Amm])</f>
        <v>1</v>
      </c>
      <c r="V444" s="42">
        <f>SUMIF(Tabella1[Nome],Tabella4[[#This Row],[NOME]],Tabella1[Esp])</f>
        <v>0</v>
      </c>
      <c r="W444" s="40">
        <f>SUMIF(Tabella1[Nome],Tabella4[[#This Row],[NOME]],Tabella1[Ass])</f>
        <v>0</v>
      </c>
      <c r="X444" s="40">
        <f>SUMIF(Tabella1[Nome],Tabella4[[#This Row],[NOME]],Tabella1[Gdv])</f>
        <v>0</v>
      </c>
      <c r="Y444" s="40">
        <f>SUMIF(Tabella1[Nome],Tabella4[[#This Row],[NOME]],Tabella1[cl sh])</f>
        <v>0</v>
      </c>
      <c r="Z444" s="270">
        <f>_xlfn.IFNA(_xlfn.XLOOKUP(CONCATENATE(Z$4,$C444),Tabella1[CONC X VOTI IN TAB GIOC],Tabella1[Voto],""),"")</f>
        <v>6.5</v>
      </c>
      <c r="AA444" s="270" t="str">
        <f>_xlfn.IFNA(_xlfn.XLOOKUP(CONCATENATE(AA$4,$C444),Tabella1[CONC X VOTI IN TAB GIOC],Tabella1[Voto],""),"")</f>
        <v/>
      </c>
      <c r="AB444" s="270">
        <f>_xlfn.IFNA(_xlfn.XLOOKUP(CONCATENATE(AB$4,$C444),Tabella1[CONC X VOTI IN TAB GIOC],Tabella1[Voto]),"")</f>
        <v>6</v>
      </c>
      <c r="AC444" s="270" cm="1">
        <f t="array" ref="AC444">_xlfn.IFNA(_xlfn.XLOOKUP(CONCATENATE(AC$4,$C444),INDEX(Tabella1[],0,MATCH("CONC X VOTI IN TAB GIOC",Tabella1[#Headers],0)),INDEX(Tabella1[],0,MATCH("Voto",Tabella1[#Headers],0))),"")</f>
        <v>6.5</v>
      </c>
      <c r="AD444" s="270" t="str">
        <f>_xlfn.IFNA(_xlfn.XLOOKUP(CONCATENATE(AD$4,$C444),Tabella1[CONC X VOTI IN TAB GIOC],Tabella1[Voto]),"")</f>
        <v/>
      </c>
      <c r="AE444" s="270" t="str">
        <f>_xlfn.IFNA(VLOOKUP(CONCATENATE(AE$4,$C444),'INSER DATA'!$A:$F,6,0),"")</f>
        <v/>
      </c>
      <c r="AF444" s="270" t="str">
        <f>_xlfn.IFNA(VLOOKUP(CONCATENATE(AF$4,$C444),'INSER DATA'!$A:$F,6,0),"")</f>
        <v/>
      </c>
      <c r="AG444" s="270" t="str">
        <f>_xlfn.IFNA(VLOOKUP(CONCATENATE(AG$4,$C444),'INSER DATA'!$A:$F,6,0),"")</f>
        <v/>
      </c>
      <c r="AH444" s="270" t="str">
        <f>_xlfn.IFNA(VLOOKUP(CONCATENATE(AH$4,$C444),'INSER DATA'!$A:$F,7,0),"")</f>
        <v/>
      </c>
      <c r="AI444" s="270" t="str">
        <f>_xlfn.IFNA(VLOOKUP(CONCATENATE(AI$4,$C444),'INSER DATA'!$A:$F,7,0),"")</f>
        <v/>
      </c>
      <c r="AJ444" s="270" t="str">
        <f>_xlfn.IFNA(VLOOKUP(CONCATENATE(AJ$4,$C444),'INSER DATA'!$A:$F,7,0),"")</f>
        <v/>
      </c>
      <c r="AK444" s="270" t="str">
        <f>_xlfn.IFNA(VLOOKUP(CONCATENATE(AK$4,$C444),'INSER DATA'!$A:$F,7,0),"")</f>
        <v/>
      </c>
      <c r="AL444" s="270" t="str">
        <f>_xlfn.IFNA(VLOOKUP(CONCATENATE(AL$4,$C444),'INSER DATA'!$A:$F,7,0),"")</f>
        <v/>
      </c>
      <c r="AM444" s="270" t="str">
        <f>_xlfn.IFNA(VLOOKUP(CONCATENATE(AM$4,$C444),'INSER DATA'!$A:$F,7,0),"")</f>
        <v/>
      </c>
      <c r="AN444" s="270" t="str">
        <f>_xlfn.IFNA(VLOOKUP(CONCATENATE(AN$4,$C444),'INSER DATA'!$A:$F,7,0),"")</f>
        <v/>
      </c>
      <c r="AO444" s="270" t="str">
        <f>_xlfn.IFNA(VLOOKUP(CONCATENATE(AO$4,$C444),'INSER DATA'!$A:$F,7,0),"")</f>
        <v/>
      </c>
      <c r="AP444" s="270" t="str">
        <f>_xlfn.IFNA(VLOOKUP(CONCATENATE(AP$4,$C444),'INSER DATA'!$A:$F,7,0),"")</f>
        <v/>
      </c>
      <c r="AQ444" s="270" t="str">
        <f>_xlfn.IFNA(VLOOKUP(CONCATENATE(AQ$4,$C444),'INSER DATA'!$A:$F,7,0),"")</f>
        <v/>
      </c>
      <c r="AR444" s="270" t="str">
        <f>_xlfn.IFNA(VLOOKUP(CONCATENATE(AR$4,$C444),'INSER DATA'!$A:$F,7,0),"")</f>
        <v/>
      </c>
      <c r="AS444" s="270" t="str">
        <f>_xlfn.IFNA(VLOOKUP(CONCATENATE(AS$4,$C444),'INSER DATA'!$A:$F,7,0),"")</f>
        <v/>
      </c>
      <c r="AT444" s="270" t="str">
        <f>_xlfn.IFNA(VLOOKUP(CONCATENATE(AT$4,$C444),'INSER DATA'!$A:$F,7,0),"")</f>
        <v/>
      </c>
      <c r="AU444" s="270" t="str">
        <f>_xlfn.IFNA(VLOOKUP(CONCATENATE(AU$4,$C444),'INSER DATA'!$A:$F,7,0),"")</f>
        <v/>
      </c>
      <c r="AV444" s="270" t="str">
        <f>_xlfn.IFNA(VLOOKUP(CONCATENATE(AV$4,$C444),'INSER DATA'!$A:$F,7,0),"")</f>
        <v/>
      </c>
      <c r="AW444" s="270" t="str">
        <f>_xlfn.IFNA(VLOOKUP(CONCATENATE(AW$4,$C444),'INSER DATA'!$A:$F,7,0),"")</f>
        <v/>
      </c>
      <c r="AX444" s="270" t="str">
        <f>_xlfn.IFNA(VLOOKUP(CONCATENATE(AX$4,$C444),'INSER DATA'!$A:$F,7,0),"")</f>
        <v/>
      </c>
      <c r="AY444" s="270" t="str">
        <f>_xlfn.IFNA(VLOOKUP(CONCATENATE(AY$4,$C444),'INSER DATA'!$A:$F,7,0),"")</f>
        <v/>
      </c>
      <c r="AZ444" s="270" t="str">
        <f>_xlfn.IFNA(VLOOKUP(CONCATENATE(AZ$4,$C444),'INSER DATA'!$A:$F,7,0),"")</f>
        <v/>
      </c>
      <c r="BA444" s="270" t="str">
        <f>_xlfn.IFNA(VLOOKUP(CONCATENATE(BA$4,$C444),'INSER DATA'!$A:$F,7,0),"")</f>
        <v/>
      </c>
      <c r="BB444" s="270" t="str">
        <f>_xlfn.IFNA(VLOOKUP(CONCATENATE(BB$4,$C444),'INSER DATA'!$A:$F,7,0),"")</f>
        <v/>
      </c>
      <c r="BC444" s="270" t="str">
        <f>_xlfn.IFNA(VLOOKUP(CONCATENATE(BC$4,$C444),'INSER DATA'!$A:$F,7,0),"")</f>
        <v/>
      </c>
      <c r="BD444" s="270" t="str">
        <f>_xlfn.IFNA(VLOOKUP(CONCATENATE(BD$4,$C444),'INSER DATA'!$A:$F,7,0),"")</f>
        <v/>
      </c>
      <c r="BE444" s="270" t="str">
        <f>_xlfn.IFNA(VLOOKUP(CONCATENATE(BE$4,$C444),'INSER DATA'!$A:$F,7,0),"")</f>
        <v/>
      </c>
      <c r="BF444" s="270" t="str">
        <f>_xlfn.IFNA(VLOOKUP(CONCATENATE(BF$4,$C444),'INSER DATA'!$A:$F,7,0),"")</f>
        <v/>
      </c>
      <c r="BG444" s="270" t="str">
        <f>_xlfn.IFNA(VLOOKUP(CONCATENATE(BG$4,$C444),'INSER DATA'!$A:$F,7,0),"")</f>
        <v/>
      </c>
      <c r="BH444" s="270" t="str">
        <f>_xlfn.IFNA(VLOOKUP(CONCATENATE(BH$4,$C444),'INSER DATA'!$A:$F,7,0),"")</f>
        <v/>
      </c>
      <c r="BI444" s="270" t="str">
        <f>_xlfn.IFNA(VLOOKUP(CONCATENATE(BI$4,$C444),'INSER DATA'!$A:$F,7,0),"")</f>
        <v/>
      </c>
      <c r="BJ444" s="270" t="str">
        <f>_xlfn.IFNA(VLOOKUP(CONCATENATE(BJ$4,$C444),'INSER DATA'!$A:$F,7,0),"")</f>
        <v/>
      </c>
      <c r="BK444" s="270" t="str">
        <f>_xlfn.IFNA(VLOOKUP(CONCATENATE(BK$4,$C444),'INSER DATA'!$A:$F,7,0),"")</f>
        <v/>
      </c>
      <c r="BL444" s="272"/>
      <c r="BM444" s="30"/>
      <c r="BN444" s="30"/>
      <c r="BO444" s="30"/>
      <c r="BP444" s="30"/>
      <c r="BQ444" s="30"/>
      <c r="BR444" s="30"/>
      <c r="BS444" s="30"/>
      <c r="BT444" s="30"/>
      <c r="BU444" s="30"/>
      <c r="BV444" s="30"/>
      <c r="BW444" s="30"/>
      <c r="BX444" s="30"/>
      <c r="BY444" s="30"/>
      <c r="BZ444" s="30"/>
      <c r="CA444" s="30"/>
      <c r="CB444" s="30"/>
      <c r="CC444" s="30"/>
      <c r="CD444" s="30"/>
      <c r="CE444" s="30"/>
      <c r="CF444" s="30"/>
      <c r="CG444" s="30"/>
      <c r="CH444" s="30"/>
      <c r="CI444" s="30"/>
      <c r="CJ444" s="30"/>
      <c r="CK444" s="30"/>
      <c r="CL444" s="30"/>
      <c r="CM444" s="30"/>
      <c r="CN444" s="30"/>
      <c r="CO444" s="30"/>
      <c r="CP444" s="30"/>
      <c r="CQ444" s="30"/>
      <c r="CR444" s="30"/>
      <c r="CS444" s="30"/>
      <c r="CT444" s="30"/>
      <c r="CU444" s="30"/>
      <c r="CV444" s="30"/>
      <c r="CW444" s="30"/>
      <c r="CX444" s="30"/>
      <c r="CY444" s="30"/>
      <c r="CZ444" s="30"/>
      <c r="DA444" s="30"/>
    </row>
    <row r="445" spans="1:105" ht="19.2" thickTop="1" thickBot="1" x14ac:dyDescent="0.4">
      <c r="A445" s="30"/>
      <c r="B445" s="30"/>
      <c r="C445" s="356" t="s">
        <v>574</v>
      </c>
      <c r="D445" s="355" t="s">
        <v>934</v>
      </c>
      <c r="E445" s="35" t="str">
        <f>_xlfn.XLOOKUP(Tabella4[[#This Row],[NOME]],'ROSE SQUADRE'!$N$3:$N$253,'ROSE SQUADRE'!$O$3:$O$253,"")</f>
        <v>FC INTERNAZIOANALE</v>
      </c>
      <c r="F445" s="36" t="s">
        <v>163</v>
      </c>
      <c r="G445" s="43">
        <v>9</v>
      </c>
      <c r="H445" s="43">
        <v>10</v>
      </c>
      <c r="I445" s="44">
        <f t="shared" si="37"/>
        <v>1</v>
      </c>
      <c r="J445" s="37">
        <f t="shared" si="38"/>
        <v>3</v>
      </c>
      <c r="K445" s="178">
        <f t="shared" si="39"/>
        <v>6.666666666666667</v>
      </c>
      <c r="L445" s="178">
        <f t="shared" si="40"/>
        <v>9</v>
      </c>
      <c r="M445" s="179">
        <f t="shared" si="41"/>
        <v>27</v>
      </c>
      <c r="N445" s="45">
        <f t="shared" ca="1" si="42"/>
        <v>0</v>
      </c>
      <c r="O445" s="40">
        <f>SUMIF(Tabella1[Nome],Tabella4[[#This Row],[NOME]],Tabella1[Gf])</f>
        <v>2</v>
      </c>
      <c r="P445" s="40">
        <f>-(SUMIF(Tabella1[Nome],Tabella4[[#This Row],[NOME]],Tabella1[Gs]))</f>
        <v>0</v>
      </c>
      <c r="Q445" s="40">
        <f>SUMIF(Tabella1[Nome],Tabella4[[#This Row],[NOME]],Tabella1[Rp])</f>
        <v>0</v>
      </c>
      <c r="R445" s="40">
        <f>SUMIF(Tabella1[Nome],Tabella4[[#This Row],[NOME]],Tabella1[Rs])</f>
        <v>0</v>
      </c>
      <c r="S445" s="40">
        <f>SUMIF(Tabella1[Nome],Tabella4[[#This Row],[NOME]],Tabella1[Rf])</f>
        <v>0</v>
      </c>
      <c r="T445" s="40">
        <f>SUMIF(Tabella1[Nome],Tabella4[[#This Row],[NOME]],Tabella1[Au])</f>
        <v>0</v>
      </c>
      <c r="U445" s="41">
        <f>SUMIF(Tabella1[Nome],Tabella4[[#This Row],[NOME]],Tabella1[Amm])</f>
        <v>0</v>
      </c>
      <c r="V445" s="42">
        <f>SUMIF(Tabella1[Nome],Tabella4[[#This Row],[NOME]],Tabella1[Esp])</f>
        <v>0</v>
      </c>
      <c r="W445" s="40">
        <f>SUMIF(Tabella1[Nome],Tabella4[[#This Row],[NOME]],Tabella1[Ass])</f>
        <v>0</v>
      </c>
      <c r="X445" s="40">
        <f>SUMIF(Tabella1[Nome],Tabella4[[#This Row],[NOME]],Tabella1[Gdv])</f>
        <v>1</v>
      </c>
      <c r="Y445" s="40">
        <f>SUMIF(Tabella1[Nome],Tabella4[[#This Row],[NOME]],Tabella1[cl sh])</f>
        <v>0</v>
      </c>
      <c r="Z445" s="270">
        <f>_xlfn.IFNA(_xlfn.XLOOKUP(CONCATENATE(Z$4,$C445),Tabella1[CONC X VOTI IN TAB GIOC],Tabella1[Voto],""),"")</f>
        <v>7</v>
      </c>
      <c r="AA445" s="270">
        <f>_xlfn.IFNA(_xlfn.XLOOKUP(CONCATENATE(AA$4,$C445),Tabella1[CONC X VOTI IN TAB GIOC],Tabella1[Voto],""),"")</f>
        <v>6</v>
      </c>
      <c r="AB445" s="270">
        <f>_xlfn.IFNA(_xlfn.XLOOKUP(CONCATENATE(AB$4,$C445),Tabella1[CONC X VOTI IN TAB GIOC],Tabella1[Voto]),"")</f>
        <v>7</v>
      </c>
      <c r="AC445" s="270" t="str" cm="1">
        <f t="array" ref="AC445">_xlfn.IFNA(_xlfn.XLOOKUP(CONCATENATE(AC$4,$C445),INDEX(Tabella1[],0,MATCH("CONC X VOTI IN TAB GIOC",Tabella1[#Headers],0)),INDEX(Tabella1[],0,MATCH("Voto",Tabella1[#Headers],0))),"")</f>
        <v/>
      </c>
      <c r="AD445" s="270" t="str">
        <f>_xlfn.IFNA(_xlfn.XLOOKUP(CONCATENATE(AD$4,$C445),Tabella1[CONC X VOTI IN TAB GIOC],Tabella1[Voto]),"")</f>
        <v/>
      </c>
      <c r="AE445" s="270" t="str">
        <f>_xlfn.IFNA(VLOOKUP(CONCATENATE(AE$4,$C445),'INSER DATA'!$A:$F,6,0),"")</f>
        <v/>
      </c>
      <c r="AF445" s="270" t="str">
        <f>_xlfn.IFNA(VLOOKUP(CONCATENATE(AF$4,$C445),'INSER DATA'!$A:$F,6,0),"")</f>
        <v/>
      </c>
      <c r="AG445" s="270" t="str">
        <f>_xlfn.IFNA(VLOOKUP(CONCATENATE(AG$4,$C445),'INSER DATA'!$A:$F,6,0),"")</f>
        <v/>
      </c>
      <c r="AH445" s="270" t="str">
        <f>_xlfn.IFNA(VLOOKUP(CONCATENATE(AH$4,$C445),'INSER DATA'!$A:$F,7,0),"")</f>
        <v/>
      </c>
      <c r="AI445" s="270" t="str">
        <f>_xlfn.IFNA(VLOOKUP(CONCATENATE(AI$4,$C445),'INSER DATA'!$A:$F,7,0),"")</f>
        <v/>
      </c>
      <c r="AJ445" s="270" t="str">
        <f>_xlfn.IFNA(VLOOKUP(CONCATENATE(AJ$4,$C445),'INSER DATA'!$A:$F,7,0),"")</f>
        <v/>
      </c>
      <c r="AK445" s="270" t="str">
        <f>_xlfn.IFNA(VLOOKUP(CONCATENATE(AK$4,$C445),'INSER DATA'!$A:$F,7,0),"")</f>
        <v/>
      </c>
      <c r="AL445" s="270" t="str">
        <f>_xlfn.IFNA(VLOOKUP(CONCATENATE(AL$4,$C445),'INSER DATA'!$A:$F,7,0),"")</f>
        <v/>
      </c>
      <c r="AM445" s="270" t="str">
        <f>_xlfn.IFNA(VLOOKUP(CONCATENATE(AM$4,$C445),'INSER DATA'!$A:$F,7,0),"")</f>
        <v/>
      </c>
      <c r="AN445" s="270" t="str">
        <f>_xlfn.IFNA(VLOOKUP(CONCATENATE(AN$4,$C445),'INSER DATA'!$A:$F,7,0),"")</f>
        <v/>
      </c>
      <c r="AO445" s="270" t="str">
        <f>_xlfn.IFNA(VLOOKUP(CONCATENATE(AO$4,$C445),'INSER DATA'!$A:$F,7,0),"")</f>
        <v/>
      </c>
      <c r="AP445" s="270" t="str">
        <f>_xlfn.IFNA(VLOOKUP(CONCATENATE(AP$4,$C445),'INSER DATA'!$A:$F,7,0),"")</f>
        <v/>
      </c>
      <c r="AQ445" s="270" t="str">
        <f>_xlfn.IFNA(VLOOKUP(CONCATENATE(AQ$4,$C445),'INSER DATA'!$A:$F,7,0),"")</f>
        <v/>
      </c>
      <c r="AR445" s="270" t="str">
        <f>_xlfn.IFNA(VLOOKUP(CONCATENATE(AR$4,$C445),'INSER DATA'!$A:$F,7,0),"")</f>
        <v/>
      </c>
      <c r="AS445" s="270" t="str">
        <f>_xlfn.IFNA(VLOOKUP(CONCATENATE(AS$4,$C445),'INSER DATA'!$A:$F,7,0),"")</f>
        <v/>
      </c>
      <c r="AT445" s="270" t="str">
        <f>_xlfn.IFNA(VLOOKUP(CONCATENATE(AT$4,$C445),'INSER DATA'!$A:$F,7,0),"")</f>
        <v/>
      </c>
      <c r="AU445" s="270" t="str">
        <f>_xlfn.IFNA(VLOOKUP(CONCATENATE(AU$4,$C445),'INSER DATA'!$A:$F,7,0),"")</f>
        <v/>
      </c>
      <c r="AV445" s="270" t="str">
        <f>_xlfn.IFNA(VLOOKUP(CONCATENATE(AV$4,$C445),'INSER DATA'!$A:$F,7,0),"")</f>
        <v/>
      </c>
      <c r="AW445" s="270" t="str">
        <f>_xlfn.IFNA(VLOOKUP(CONCATENATE(AW$4,$C445),'INSER DATA'!$A:$F,7,0),"")</f>
        <v/>
      </c>
      <c r="AX445" s="270" t="str">
        <f>_xlfn.IFNA(VLOOKUP(CONCATENATE(AX$4,$C445),'INSER DATA'!$A:$F,7,0),"")</f>
        <v/>
      </c>
      <c r="AY445" s="270" t="str">
        <f>_xlfn.IFNA(VLOOKUP(CONCATENATE(AY$4,$C445),'INSER DATA'!$A:$F,7,0),"")</f>
        <v/>
      </c>
      <c r="AZ445" s="270" t="str">
        <f>_xlfn.IFNA(VLOOKUP(CONCATENATE(AZ$4,$C445),'INSER DATA'!$A:$F,7,0),"")</f>
        <v/>
      </c>
      <c r="BA445" s="270" t="str">
        <f>_xlfn.IFNA(VLOOKUP(CONCATENATE(BA$4,$C445),'INSER DATA'!$A:$F,7,0),"")</f>
        <v/>
      </c>
      <c r="BB445" s="270" t="str">
        <f>_xlfn.IFNA(VLOOKUP(CONCATENATE(BB$4,$C445),'INSER DATA'!$A:$F,7,0),"")</f>
        <v/>
      </c>
      <c r="BC445" s="270" t="str">
        <f>_xlfn.IFNA(VLOOKUP(CONCATENATE(BC$4,$C445),'INSER DATA'!$A:$F,7,0),"")</f>
        <v/>
      </c>
      <c r="BD445" s="270" t="str">
        <f>_xlfn.IFNA(VLOOKUP(CONCATENATE(BD$4,$C445),'INSER DATA'!$A:$F,7,0),"")</f>
        <v/>
      </c>
      <c r="BE445" s="270" t="str">
        <f>_xlfn.IFNA(VLOOKUP(CONCATENATE(BE$4,$C445),'INSER DATA'!$A:$F,7,0),"")</f>
        <v/>
      </c>
      <c r="BF445" s="270" t="str">
        <f>_xlfn.IFNA(VLOOKUP(CONCATENATE(BF$4,$C445),'INSER DATA'!$A:$F,7,0),"")</f>
        <v/>
      </c>
      <c r="BG445" s="270" t="str">
        <f>_xlfn.IFNA(VLOOKUP(CONCATENATE(BG$4,$C445),'INSER DATA'!$A:$F,7,0),"")</f>
        <v/>
      </c>
      <c r="BH445" s="270" t="str">
        <f>_xlfn.IFNA(VLOOKUP(CONCATENATE(BH$4,$C445),'INSER DATA'!$A:$F,7,0),"")</f>
        <v/>
      </c>
      <c r="BI445" s="270" t="str">
        <f>_xlfn.IFNA(VLOOKUP(CONCATENATE(BI$4,$C445),'INSER DATA'!$A:$F,7,0),"")</f>
        <v/>
      </c>
      <c r="BJ445" s="270" t="str">
        <f>_xlfn.IFNA(VLOOKUP(CONCATENATE(BJ$4,$C445),'INSER DATA'!$A:$F,7,0),"")</f>
        <v/>
      </c>
      <c r="BK445" s="270" t="str">
        <f>_xlfn.IFNA(VLOOKUP(CONCATENATE(BK$4,$C445),'INSER DATA'!$A:$F,7,0),"")</f>
        <v/>
      </c>
      <c r="BL445" s="272"/>
      <c r="BM445" s="30"/>
      <c r="BN445" s="30"/>
      <c r="BO445" s="30"/>
      <c r="BP445" s="30"/>
      <c r="BQ445" s="30"/>
      <c r="BR445" s="30"/>
      <c r="BS445" s="30"/>
      <c r="BT445" s="30"/>
      <c r="BU445" s="30"/>
      <c r="BV445" s="30"/>
      <c r="BW445" s="30"/>
      <c r="BX445" s="30"/>
      <c r="BY445" s="30"/>
      <c r="BZ445" s="30"/>
      <c r="CA445" s="30"/>
      <c r="CB445" s="30"/>
      <c r="CC445" s="30"/>
      <c r="CD445" s="30"/>
      <c r="CE445" s="30"/>
      <c r="CF445" s="30"/>
      <c r="CG445" s="30"/>
      <c r="CH445" s="30"/>
      <c r="CI445" s="30"/>
      <c r="CJ445" s="30"/>
      <c r="CK445" s="30"/>
      <c r="CL445" s="30"/>
      <c r="CM445" s="30"/>
      <c r="CN445" s="30"/>
      <c r="CO445" s="30"/>
      <c r="CP445" s="30"/>
      <c r="CQ445" s="30"/>
      <c r="CR445" s="30"/>
      <c r="CS445" s="30"/>
      <c r="CT445" s="30"/>
      <c r="CU445" s="30"/>
      <c r="CV445" s="30"/>
      <c r="CW445" s="30"/>
      <c r="CX445" s="30"/>
      <c r="CY445" s="30"/>
      <c r="CZ445" s="30"/>
      <c r="DA445" s="30"/>
    </row>
    <row r="446" spans="1:105" ht="19.2" thickTop="1" thickBot="1" x14ac:dyDescent="0.4">
      <c r="A446" s="30"/>
      <c r="B446" s="30"/>
      <c r="C446" s="354" t="s">
        <v>526</v>
      </c>
      <c r="D446" s="357" t="s">
        <v>934</v>
      </c>
      <c r="E446" s="35" t="str">
        <f>_xlfn.XLOOKUP(Tabella4[[#This Row],[NOME]],'ROSE SQUADRE'!$N$3:$N$253,'ROSE SQUADRE'!$O$3:$O$253,"")</f>
        <v>SESTO ASENSIO</v>
      </c>
      <c r="F446" s="36" t="s">
        <v>161</v>
      </c>
      <c r="G446" s="43">
        <v>6</v>
      </c>
      <c r="H446" s="43">
        <v>6</v>
      </c>
      <c r="I446" s="44">
        <f t="shared" si="37"/>
        <v>0</v>
      </c>
      <c r="J446" s="37">
        <f t="shared" si="38"/>
        <v>4</v>
      </c>
      <c r="K446" s="178">
        <f t="shared" si="39"/>
        <v>6</v>
      </c>
      <c r="L446" s="178">
        <f t="shared" si="40"/>
        <v>6.75</v>
      </c>
      <c r="M446" s="179">
        <f t="shared" si="41"/>
        <v>27</v>
      </c>
      <c r="N446" s="45">
        <f t="shared" ca="1" si="42"/>
        <v>0</v>
      </c>
      <c r="O446" s="40">
        <f>SUMIF(Tabella1[Nome],Tabella4[[#This Row],[NOME]],Tabella1[Gf])</f>
        <v>1</v>
      </c>
      <c r="P446" s="40">
        <f>-(SUMIF(Tabella1[Nome],Tabella4[[#This Row],[NOME]],Tabella1[Gs]))</f>
        <v>0</v>
      </c>
      <c r="Q446" s="40">
        <f>SUMIF(Tabella1[Nome],Tabella4[[#This Row],[NOME]],Tabella1[Rp])</f>
        <v>0</v>
      </c>
      <c r="R446" s="40">
        <f>SUMIF(Tabella1[Nome],Tabella4[[#This Row],[NOME]],Tabella1[Rs])</f>
        <v>0</v>
      </c>
      <c r="S446" s="40">
        <f>SUMIF(Tabella1[Nome],Tabella4[[#This Row],[NOME]],Tabella1[Rf])</f>
        <v>0</v>
      </c>
      <c r="T446" s="40">
        <f>SUMIF(Tabella1[Nome],Tabella4[[#This Row],[NOME]],Tabella1[Au])</f>
        <v>0</v>
      </c>
      <c r="U446" s="41">
        <f>SUMIF(Tabella1[Nome],Tabella4[[#This Row],[NOME]],Tabella1[Amm])</f>
        <v>0</v>
      </c>
      <c r="V446" s="42">
        <f>SUMIF(Tabella1[Nome],Tabella4[[#This Row],[NOME]],Tabella1[Esp])</f>
        <v>0</v>
      </c>
      <c r="W446" s="40">
        <f>SUMIF(Tabella1[Nome],Tabella4[[#This Row],[NOME]],Tabella1[Ass])</f>
        <v>0</v>
      </c>
      <c r="X446" s="40">
        <f>SUMIF(Tabella1[Nome],Tabella4[[#This Row],[NOME]],Tabella1[Gdv])</f>
        <v>0</v>
      </c>
      <c r="Y446" s="40">
        <f>SUMIF(Tabella1[Nome],Tabella4[[#This Row],[NOME]],Tabella1[cl sh])</f>
        <v>0</v>
      </c>
      <c r="Z446" s="270">
        <f>_xlfn.IFNA(_xlfn.XLOOKUP(CONCATENATE(Z$4,$C446),Tabella1[CONC X VOTI IN TAB GIOC],Tabella1[Voto],""),"")</f>
        <v>6</v>
      </c>
      <c r="AA446" s="270">
        <f>_xlfn.IFNA(_xlfn.XLOOKUP(CONCATENATE(AA$4,$C446),Tabella1[CONC X VOTI IN TAB GIOC],Tabella1[Voto],""),"")</f>
        <v>6.5</v>
      </c>
      <c r="AB446" s="270">
        <f>_xlfn.IFNA(_xlfn.XLOOKUP(CONCATENATE(AB$4,$C446),Tabella1[CONC X VOTI IN TAB GIOC],Tabella1[Voto]),"")</f>
        <v>6</v>
      </c>
      <c r="AC446" s="270" cm="1">
        <f t="array" ref="AC446">_xlfn.IFNA(_xlfn.XLOOKUP(CONCATENATE(AC$4,$C446),INDEX(Tabella1[],0,MATCH("CONC X VOTI IN TAB GIOC",Tabella1[#Headers],0)),INDEX(Tabella1[],0,MATCH("Voto",Tabella1[#Headers],0))),"")</f>
        <v>5.5</v>
      </c>
      <c r="AD446" s="270" t="str">
        <f>_xlfn.IFNA(_xlfn.XLOOKUP(CONCATENATE(AD$4,$C446),Tabella1[CONC X VOTI IN TAB GIOC],Tabella1[Voto]),"")</f>
        <v/>
      </c>
      <c r="AE446" s="270" t="str">
        <f>_xlfn.IFNA(VLOOKUP(CONCATENATE(AE$4,$C446),'INSER DATA'!$A:$F,6,0),"")</f>
        <v/>
      </c>
      <c r="AF446" s="270" t="str">
        <f>_xlfn.IFNA(VLOOKUP(CONCATENATE(AF$4,$C446),'INSER DATA'!$A:$F,6,0),"")</f>
        <v/>
      </c>
      <c r="AG446" s="270" t="str">
        <f>_xlfn.IFNA(VLOOKUP(CONCATENATE(AG$4,$C446),'INSER DATA'!$A:$F,6,0),"")</f>
        <v/>
      </c>
      <c r="AH446" s="270" t="str">
        <f>_xlfn.IFNA(VLOOKUP(CONCATENATE(AH$4,$C446),'INSER DATA'!$A:$F,7,0),"")</f>
        <v/>
      </c>
      <c r="AI446" s="270" t="str">
        <f>_xlfn.IFNA(VLOOKUP(CONCATENATE(AI$4,$C446),'INSER DATA'!$A:$F,7,0),"")</f>
        <v/>
      </c>
      <c r="AJ446" s="270" t="str">
        <f>_xlfn.IFNA(VLOOKUP(CONCATENATE(AJ$4,$C446),'INSER DATA'!$A:$F,7,0),"")</f>
        <v/>
      </c>
      <c r="AK446" s="270" t="str">
        <f>_xlfn.IFNA(VLOOKUP(CONCATENATE(AK$4,$C446),'INSER DATA'!$A:$F,7,0),"")</f>
        <v/>
      </c>
      <c r="AL446" s="270" t="str">
        <f>_xlfn.IFNA(VLOOKUP(CONCATENATE(AL$4,$C446),'INSER DATA'!$A:$F,7,0),"")</f>
        <v/>
      </c>
      <c r="AM446" s="270" t="str">
        <f>_xlfn.IFNA(VLOOKUP(CONCATENATE(AM$4,$C446),'INSER DATA'!$A:$F,7,0),"")</f>
        <v/>
      </c>
      <c r="AN446" s="270" t="str">
        <f>_xlfn.IFNA(VLOOKUP(CONCATENATE(AN$4,$C446),'INSER DATA'!$A:$F,7,0),"")</f>
        <v/>
      </c>
      <c r="AO446" s="270" t="str">
        <f>_xlfn.IFNA(VLOOKUP(CONCATENATE(AO$4,$C446),'INSER DATA'!$A:$F,7,0),"")</f>
        <v/>
      </c>
      <c r="AP446" s="270" t="str">
        <f>_xlfn.IFNA(VLOOKUP(CONCATENATE(AP$4,$C446),'INSER DATA'!$A:$F,7,0),"")</f>
        <v/>
      </c>
      <c r="AQ446" s="270" t="str">
        <f>_xlfn.IFNA(VLOOKUP(CONCATENATE(AQ$4,$C446),'INSER DATA'!$A:$F,7,0),"")</f>
        <v/>
      </c>
      <c r="AR446" s="270" t="str">
        <f>_xlfn.IFNA(VLOOKUP(CONCATENATE(AR$4,$C446),'INSER DATA'!$A:$F,7,0),"")</f>
        <v/>
      </c>
      <c r="AS446" s="270" t="str">
        <f>_xlfn.IFNA(VLOOKUP(CONCATENATE(AS$4,$C446),'INSER DATA'!$A:$F,7,0),"")</f>
        <v/>
      </c>
      <c r="AT446" s="270" t="str">
        <f>_xlfn.IFNA(VLOOKUP(CONCATENATE(AT$4,$C446),'INSER DATA'!$A:$F,7,0),"")</f>
        <v/>
      </c>
      <c r="AU446" s="270" t="str">
        <f>_xlfn.IFNA(VLOOKUP(CONCATENATE(AU$4,$C446),'INSER DATA'!$A:$F,7,0),"")</f>
        <v/>
      </c>
      <c r="AV446" s="270" t="str">
        <f>_xlfn.IFNA(VLOOKUP(CONCATENATE(AV$4,$C446),'INSER DATA'!$A:$F,7,0),"")</f>
        <v/>
      </c>
      <c r="AW446" s="270" t="str">
        <f>_xlfn.IFNA(VLOOKUP(CONCATENATE(AW$4,$C446),'INSER DATA'!$A:$F,7,0),"")</f>
        <v/>
      </c>
      <c r="AX446" s="270" t="str">
        <f>_xlfn.IFNA(VLOOKUP(CONCATENATE(AX$4,$C446),'INSER DATA'!$A:$F,7,0),"")</f>
        <v/>
      </c>
      <c r="AY446" s="270" t="str">
        <f>_xlfn.IFNA(VLOOKUP(CONCATENATE(AY$4,$C446),'INSER DATA'!$A:$F,7,0),"")</f>
        <v/>
      </c>
      <c r="AZ446" s="270" t="str">
        <f>_xlfn.IFNA(VLOOKUP(CONCATENATE(AZ$4,$C446),'INSER DATA'!$A:$F,7,0),"")</f>
        <v/>
      </c>
      <c r="BA446" s="270" t="str">
        <f>_xlfn.IFNA(VLOOKUP(CONCATENATE(BA$4,$C446),'INSER DATA'!$A:$F,7,0),"")</f>
        <v/>
      </c>
      <c r="BB446" s="270" t="str">
        <f>_xlfn.IFNA(VLOOKUP(CONCATENATE(BB$4,$C446),'INSER DATA'!$A:$F,7,0),"")</f>
        <v/>
      </c>
      <c r="BC446" s="270" t="str">
        <f>_xlfn.IFNA(VLOOKUP(CONCATENATE(BC$4,$C446),'INSER DATA'!$A:$F,7,0),"")</f>
        <v/>
      </c>
      <c r="BD446" s="270" t="str">
        <f>_xlfn.IFNA(VLOOKUP(CONCATENATE(BD$4,$C446),'INSER DATA'!$A:$F,7,0),"")</f>
        <v/>
      </c>
      <c r="BE446" s="270" t="str">
        <f>_xlfn.IFNA(VLOOKUP(CONCATENATE(BE$4,$C446),'INSER DATA'!$A:$F,7,0),"")</f>
        <v/>
      </c>
      <c r="BF446" s="270" t="str">
        <f>_xlfn.IFNA(VLOOKUP(CONCATENATE(BF$4,$C446),'INSER DATA'!$A:$F,7,0),"")</f>
        <v/>
      </c>
      <c r="BG446" s="270" t="str">
        <f>_xlfn.IFNA(VLOOKUP(CONCATENATE(BG$4,$C446),'INSER DATA'!$A:$F,7,0),"")</f>
        <v/>
      </c>
      <c r="BH446" s="270" t="str">
        <f>_xlfn.IFNA(VLOOKUP(CONCATENATE(BH$4,$C446),'INSER DATA'!$A:$F,7,0),"")</f>
        <v/>
      </c>
      <c r="BI446" s="270" t="str">
        <f>_xlfn.IFNA(VLOOKUP(CONCATENATE(BI$4,$C446),'INSER DATA'!$A:$F,7,0),"")</f>
        <v/>
      </c>
      <c r="BJ446" s="270" t="str">
        <f>_xlfn.IFNA(VLOOKUP(CONCATENATE(BJ$4,$C446),'INSER DATA'!$A:$F,7,0),"")</f>
        <v/>
      </c>
      <c r="BK446" s="270" t="str">
        <f>_xlfn.IFNA(VLOOKUP(CONCATENATE(BK$4,$C446),'INSER DATA'!$A:$F,7,0),"")</f>
        <v/>
      </c>
      <c r="BL446" s="272"/>
      <c r="BM446" s="30"/>
      <c r="BN446" s="30"/>
      <c r="BO446" s="30"/>
      <c r="BP446" s="30"/>
      <c r="BQ446" s="30"/>
      <c r="BR446" s="30"/>
      <c r="BS446" s="30"/>
      <c r="BT446" s="30"/>
      <c r="BU446" s="30"/>
      <c r="BV446" s="30"/>
      <c r="BW446" s="30"/>
      <c r="BX446" s="30"/>
      <c r="BY446" s="30"/>
      <c r="BZ446" s="30"/>
      <c r="CA446" s="30"/>
      <c r="CB446" s="30"/>
      <c r="CC446" s="30"/>
      <c r="CD446" s="30"/>
      <c r="CE446" s="30"/>
      <c r="CF446" s="30"/>
      <c r="CG446" s="30"/>
      <c r="CH446" s="30"/>
      <c r="CI446" s="30"/>
      <c r="CJ446" s="30"/>
      <c r="CK446" s="30"/>
      <c r="CL446" s="30"/>
      <c r="CM446" s="30"/>
      <c r="CN446" s="30"/>
      <c r="CO446" s="30"/>
      <c r="CP446" s="30"/>
      <c r="CQ446" s="30"/>
      <c r="CR446" s="30"/>
      <c r="CS446" s="30"/>
      <c r="CT446" s="30"/>
      <c r="CU446" s="30"/>
      <c r="CV446" s="30"/>
      <c r="CW446" s="30"/>
      <c r="CX446" s="30"/>
      <c r="CY446" s="30"/>
      <c r="CZ446" s="30"/>
      <c r="DA446" s="30"/>
    </row>
    <row r="447" spans="1:105" ht="19.2" thickTop="1" thickBot="1" x14ac:dyDescent="0.4">
      <c r="A447" s="30"/>
      <c r="B447" s="30"/>
      <c r="C447" s="188" t="s">
        <v>937</v>
      </c>
      <c r="D447" s="187" t="s">
        <v>934</v>
      </c>
      <c r="E447" s="35" t="str">
        <f>_xlfn.XLOOKUP(Tabella4[[#This Row],[NOME]],'ROSE SQUADRE'!$N$3:$N$253,'ROSE SQUADRE'!$O$3:$O$253,"")</f>
        <v/>
      </c>
      <c r="F447" s="36" t="s">
        <v>161</v>
      </c>
      <c r="G447" s="43">
        <v>4</v>
      </c>
      <c r="H447" s="43">
        <v>4</v>
      </c>
      <c r="I447" s="44">
        <f t="shared" si="37"/>
        <v>0</v>
      </c>
      <c r="J447" s="37">
        <f t="shared" si="38"/>
        <v>3</v>
      </c>
      <c r="K447" s="178">
        <f t="shared" si="39"/>
        <v>6</v>
      </c>
      <c r="L447" s="178">
        <f t="shared" si="40"/>
        <v>6.333333333333333</v>
      </c>
      <c r="M447" s="179">
        <f t="shared" si="41"/>
        <v>19</v>
      </c>
      <c r="N447" s="45">
        <f t="shared" ca="1" si="42"/>
        <v>0</v>
      </c>
      <c r="O447" s="40">
        <f>SUMIF(Tabella1[Nome],Tabella4[[#This Row],[NOME]],Tabella1[Gf])</f>
        <v>0</v>
      </c>
      <c r="P447" s="40">
        <f>-(SUMIF(Tabella1[Nome],Tabella4[[#This Row],[NOME]],Tabella1[Gs]))</f>
        <v>0</v>
      </c>
      <c r="Q447" s="40">
        <f>SUMIF(Tabella1[Nome],Tabella4[[#This Row],[NOME]],Tabella1[Rp])</f>
        <v>0</v>
      </c>
      <c r="R447" s="40">
        <f>SUMIF(Tabella1[Nome],Tabella4[[#This Row],[NOME]],Tabella1[Rs])</f>
        <v>0</v>
      </c>
      <c r="S447" s="40">
        <f>SUMIF(Tabella1[Nome],Tabella4[[#This Row],[NOME]],Tabella1[Rf])</f>
        <v>0</v>
      </c>
      <c r="T447" s="40">
        <f>SUMIF(Tabella1[Nome],Tabella4[[#This Row],[NOME]],Tabella1[Au])</f>
        <v>0</v>
      </c>
      <c r="U447" s="41">
        <f>SUMIF(Tabella1[Nome],Tabella4[[#This Row],[NOME]],Tabella1[Amm])</f>
        <v>0</v>
      </c>
      <c r="V447" s="42">
        <f>SUMIF(Tabella1[Nome],Tabella4[[#This Row],[NOME]],Tabella1[Esp])</f>
        <v>0</v>
      </c>
      <c r="W447" s="40">
        <f>SUMIF(Tabella1[Nome],Tabella4[[#This Row],[NOME]],Tabella1[Ass])</f>
        <v>1</v>
      </c>
      <c r="X447" s="40">
        <f>SUMIF(Tabella1[Nome],Tabella4[[#This Row],[NOME]],Tabella1[Gdv])</f>
        <v>0</v>
      </c>
      <c r="Y447" s="40">
        <f>SUMIF(Tabella1[Nome],Tabella4[[#This Row],[NOME]],Tabella1[cl sh])</f>
        <v>0</v>
      </c>
      <c r="Z447" s="270" t="str">
        <f>_xlfn.IFNA(_xlfn.XLOOKUP(CONCATENATE(Z$4,$C447),Tabella1[CONC X VOTI IN TAB GIOC],Tabella1[Voto],""),"")</f>
        <v/>
      </c>
      <c r="AA447" s="270">
        <f>_xlfn.IFNA(_xlfn.XLOOKUP(CONCATENATE(AA$4,$C447),Tabella1[CONC X VOTI IN TAB GIOC],Tabella1[Voto],""),"")</f>
        <v>6</v>
      </c>
      <c r="AB447" s="270">
        <f>_xlfn.IFNA(_xlfn.XLOOKUP(CONCATENATE(AB$4,$C447),Tabella1[CONC X VOTI IN TAB GIOC],Tabella1[Voto]),"")</f>
        <v>6.5</v>
      </c>
      <c r="AC447" s="270" cm="1">
        <f t="array" ref="AC447">_xlfn.IFNA(_xlfn.XLOOKUP(CONCATENATE(AC$4,$C447),INDEX(Tabella1[],0,MATCH("CONC X VOTI IN TAB GIOC",Tabella1[#Headers],0)),INDEX(Tabella1[],0,MATCH("Voto",Tabella1[#Headers],0))),"")</f>
        <v>5.5</v>
      </c>
      <c r="AD447" s="270" t="str">
        <f>_xlfn.IFNA(_xlfn.XLOOKUP(CONCATENATE(AD$4,$C447),Tabella1[CONC X VOTI IN TAB GIOC],Tabella1[Voto]),"")</f>
        <v/>
      </c>
      <c r="AE447" s="270" t="str">
        <f>_xlfn.IFNA(VLOOKUP(CONCATENATE(AE$4,$C447),'INSER DATA'!$A:$F,6,0),"")</f>
        <v/>
      </c>
      <c r="AF447" s="270" t="str">
        <f>_xlfn.IFNA(VLOOKUP(CONCATENATE(AF$4,$C447),'INSER DATA'!$A:$F,6,0),"")</f>
        <v/>
      </c>
      <c r="AG447" s="270" t="str">
        <f>_xlfn.IFNA(VLOOKUP(CONCATENATE(AG$4,$C447),'INSER DATA'!$A:$F,6,0),"")</f>
        <v/>
      </c>
      <c r="AH447" s="270" t="str">
        <f>_xlfn.IFNA(VLOOKUP(CONCATENATE(AH$4,$C447),'INSER DATA'!$A:$F,7,0),"")</f>
        <v/>
      </c>
      <c r="AI447" s="270" t="str">
        <f>_xlfn.IFNA(VLOOKUP(CONCATENATE(AI$4,$C447),'INSER DATA'!$A:$F,7,0),"")</f>
        <v/>
      </c>
      <c r="AJ447" s="270" t="str">
        <f>_xlfn.IFNA(VLOOKUP(CONCATENATE(AJ$4,$C447),'INSER DATA'!$A:$F,7,0),"")</f>
        <v/>
      </c>
      <c r="AK447" s="270" t="str">
        <f>_xlfn.IFNA(VLOOKUP(CONCATENATE(AK$4,$C447),'INSER DATA'!$A:$F,7,0),"")</f>
        <v/>
      </c>
      <c r="AL447" s="270" t="str">
        <f>_xlfn.IFNA(VLOOKUP(CONCATENATE(AL$4,$C447),'INSER DATA'!$A:$F,7,0),"")</f>
        <v/>
      </c>
      <c r="AM447" s="270" t="str">
        <f>_xlfn.IFNA(VLOOKUP(CONCATENATE(AM$4,$C447),'INSER DATA'!$A:$F,7,0),"")</f>
        <v/>
      </c>
      <c r="AN447" s="270" t="str">
        <f>_xlfn.IFNA(VLOOKUP(CONCATENATE(AN$4,$C447),'INSER DATA'!$A:$F,7,0),"")</f>
        <v/>
      </c>
      <c r="AO447" s="270" t="str">
        <f>_xlfn.IFNA(VLOOKUP(CONCATENATE(AO$4,$C447),'INSER DATA'!$A:$F,7,0),"")</f>
        <v/>
      </c>
      <c r="AP447" s="270" t="str">
        <f>_xlfn.IFNA(VLOOKUP(CONCATENATE(AP$4,$C447),'INSER DATA'!$A:$F,7,0),"")</f>
        <v/>
      </c>
      <c r="AQ447" s="270" t="str">
        <f>_xlfn.IFNA(VLOOKUP(CONCATENATE(AQ$4,$C447),'INSER DATA'!$A:$F,7,0),"")</f>
        <v/>
      </c>
      <c r="AR447" s="270" t="str">
        <f>_xlfn.IFNA(VLOOKUP(CONCATENATE(AR$4,$C447),'INSER DATA'!$A:$F,7,0),"")</f>
        <v/>
      </c>
      <c r="AS447" s="270" t="str">
        <f>_xlfn.IFNA(VLOOKUP(CONCATENATE(AS$4,$C447),'INSER DATA'!$A:$F,7,0),"")</f>
        <v/>
      </c>
      <c r="AT447" s="270" t="str">
        <f>_xlfn.IFNA(VLOOKUP(CONCATENATE(AT$4,$C447),'INSER DATA'!$A:$F,7,0),"")</f>
        <v/>
      </c>
      <c r="AU447" s="270" t="str">
        <f>_xlfn.IFNA(VLOOKUP(CONCATENATE(AU$4,$C447),'INSER DATA'!$A:$F,7,0),"")</f>
        <v/>
      </c>
      <c r="AV447" s="270" t="str">
        <f>_xlfn.IFNA(VLOOKUP(CONCATENATE(AV$4,$C447),'INSER DATA'!$A:$F,7,0),"")</f>
        <v/>
      </c>
      <c r="AW447" s="270" t="str">
        <f>_xlfn.IFNA(VLOOKUP(CONCATENATE(AW$4,$C447),'INSER DATA'!$A:$F,7,0),"")</f>
        <v/>
      </c>
      <c r="AX447" s="270" t="str">
        <f>_xlfn.IFNA(VLOOKUP(CONCATENATE(AX$4,$C447),'INSER DATA'!$A:$F,7,0),"")</f>
        <v/>
      </c>
      <c r="AY447" s="270" t="str">
        <f>_xlfn.IFNA(VLOOKUP(CONCATENATE(AY$4,$C447),'INSER DATA'!$A:$F,7,0),"")</f>
        <v/>
      </c>
      <c r="AZ447" s="270" t="str">
        <f>_xlfn.IFNA(VLOOKUP(CONCATENATE(AZ$4,$C447),'INSER DATA'!$A:$F,7,0),"")</f>
        <v/>
      </c>
      <c r="BA447" s="270" t="str">
        <f>_xlfn.IFNA(VLOOKUP(CONCATENATE(BA$4,$C447),'INSER DATA'!$A:$F,7,0),"")</f>
        <v/>
      </c>
      <c r="BB447" s="270" t="str">
        <f>_xlfn.IFNA(VLOOKUP(CONCATENATE(BB$4,$C447),'INSER DATA'!$A:$F,7,0),"")</f>
        <v/>
      </c>
      <c r="BC447" s="270" t="str">
        <f>_xlfn.IFNA(VLOOKUP(CONCATENATE(BC$4,$C447),'INSER DATA'!$A:$F,7,0),"")</f>
        <v/>
      </c>
      <c r="BD447" s="270" t="str">
        <f>_xlfn.IFNA(VLOOKUP(CONCATENATE(BD$4,$C447),'INSER DATA'!$A:$F,7,0),"")</f>
        <v/>
      </c>
      <c r="BE447" s="270" t="str">
        <f>_xlfn.IFNA(VLOOKUP(CONCATENATE(BE$4,$C447),'INSER DATA'!$A:$F,7,0),"")</f>
        <v/>
      </c>
      <c r="BF447" s="270" t="str">
        <f>_xlfn.IFNA(VLOOKUP(CONCATENATE(BF$4,$C447),'INSER DATA'!$A:$F,7,0),"")</f>
        <v/>
      </c>
      <c r="BG447" s="270" t="str">
        <f>_xlfn.IFNA(VLOOKUP(CONCATENATE(BG$4,$C447),'INSER DATA'!$A:$F,7,0),"")</f>
        <v/>
      </c>
      <c r="BH447" s="270" t="str">
        <f>_xlfn.IFNA(VLOOKUP(CONCATENATE(BH$4,$C447),'INSER DATA'!$A:$F,7,0),"")</f>
        <v/>
      </c>
      <c r="BI447" s="270" t="str">
        <f>_xlfn.IFNA(VLOOKUP(CONCATENATE(BI$4,$C447),'INSER DATA'!$A:$F,7,0),"")</f>
        <v/>
      </c>
      <c r="BJ447" s="270" t="str">
        <f>_xlfn.IFNA(VLOOKUP(CONCATENATE(BJ$4,$C447),'INSER DATA'!$A:$F,7,0),"")</f>
        <v/>
      </c>
      <c r="BK447" s="270" t="str">
        <f>_xlfn.IFNA(VLOOKUP(CONCATENATE(BK$4,$C447),'INSER DATA'!$A:$F,7,0),"")</f>
        <v/>
      </c>
      <c r="BL447" s="272"/>
      <c r="BM447" s="30"/>
      <c r="BN447" s="30"/>
      <c r="BO447" s="30"/>
      <c r="BP447" s="30"/>
      <c r="BQ447" s="30"/>
      <c r="BR447" s="30"/>
      <c r="BS447" s="30"/>
      <c r="BT447" s="30"/>
      <c r="BU447" s="30"/>
      <c r="BV447" s="30"/>
      <c r="BW447" s="30"/>
      <c r="BX447" s="30"/>
      <c r="BY447" s="30"/>
      <c r="BZ447" s="30"/>
      <c r="CA447" s="30"/>
      <c r="CB447" s="30"/>
      <c r="CC447" s="30"/>
      <c r="CD447" s="30"/>
      <c r="CE447" s="30"/>
      <c r="CF447" s="30"/>
      <c r="CG447" s="30"/>
      <c r="CH447" s="30"/>
      <c r="CI447" s="30"/>
      <c r="CJ447" s="30"/>
      <c r="CK447" s="30"/>
      <c r="CL447" s="30"/>
      <c r="CM447" s="30"/>
      <c r="CN447" s="30"/>
      <c r="CO447" s="30"/>
      <c r="CP447" s="30"/>
      <c r="CQ447" s="30"/>
      <c r="CR447" s="30"/>
      <c r="CS447" s="30"/>
      <c r="CT447" s="30"/>
      <c r="CU447" s="30"/>
      <c r="CV447" s="30"/>
      <c r="CW447" s="30"/>
      <c r="CX447" s="30"/>
      <c r="CY447" s="30"/>
      <c r="CZ447" s="30"/>
      <c r="DA447" s="30"/>
    </row>
    <row r="448" spans="1:105" ht="19.2" thickTop="1" thickBot="1" x14ac:dyDescent="0.4">
      <c r="A448" s="30"/>
      <c r="B448" s="30"/>
      <c r="C448" s="356" t="s">
        <v>938</v>
      </c>
      <c r="D448" s="355" t="s">
        <v>934</v>
      </c>
      <c r="E448" s="35" t="str">
        <f>_xlfn.XLOOKUP(Tabella4[[#This Row],[NOME]],'ROSE SQUADRE'!$N$3:$N$253,'ROSE SQUADRE'!$O$3:$O$253,"")</f>
        <v>FC INTERNAZIOANALE</v>
      </c>
      <c r="F448" s="36" t="s">
        <v>161</v>
      </c>
      <c r="G448" s="43">
        <v>5</v>
      </c>
      <c r="H448" s="43">
        <v>5</v>
      </c>
      <c r="I448" s="44">
        <f t="shared" si="37"/>
        <v>0</v>
      </c>
      <c r="J448" s="37">
        <f t="shared" si="38"/>
        <v>4</v>
      </c>
      <c r="K448" s="178">
        <f t="shared" si="39"/>
        <v>6.125</v>
      </c>
      <c r="L448" s="178">
        <f t="shared" si="40"/>
        <v>6.125</v>
      </c>
      <c r="M448" s="179">
        <f t="shared" si="41"/>
        <v>24.5</v>
      </c>
      <c r="N448" s="45">
        <f ca="1">ContaCellePerColore(Z443:BK443,$C$3)</f>
        <v>0</v>
      </c>
      <c r="O448" s="40">
        <f>SUMIF(Tabella1[Nome],Tabella4[[#This Row],[NOME]],Tabella1[Gf])</f>
        <v>0</v>
      </c>
      <c r="P448" s="40">
        <f>-(SUMIF(Tabella1[Nome],Tabella4[[#This Row],[NOME]],Tabella1[Gs]))</f>
        <v>0</v>
      </c>
      <c r="Q448" s="40">
        <f>SUMIF(Tabella1[Nome],Tabella4[[#This Row],[NOME]],Tabella1[Rp])</f>
        <v>0</v>
      </c>
      <c r="R448" s="40">
        <f>SUMIF(Tabella1[Nome],Tabella4[[#This Row],[NOME]],Tabella1[Rs])</f>
        <v>0</v>
      </c>
      <c r="S448" s="40">
        <f>SUMIF(Tabella1[Nome],Tabella4[[#This Row],[NOME]],Tabella1[Rf])</f>
        <v>0</v>
      </c>
      <c r="T448" s="40">
        <f>SUMIF(Tabella1[Nome],Tabella4[[#This Row],[NOME]],Tabella1[Au])</f>
        <v>0</v>
      </c>
      <c r="U448" s="41">
        <f>SUMIF(Tabella1[Nome],Tabella4[[#This Row],[NOME]],Tabella1[Amm])</f>
        <v>0</v>
      </c>
      <c r="V448" s="42">
        <f>SUMIF(Tabella1[Nome],Tabella4[[#This Row],[NOME]],Tabella1[Esp])</f>
        <v>0</v>
      </c>
      <c r="W448" s="40">
        <f>SUMIF(Tabella1[Nome],Tabella4[[#This Row],[NOME]],Tabella1[Ass])</f>
        <v>0</v>
      </c>
      <c r="X448" s="40">
        <f>SUMIF(Tabella1[Nome],Tabella4[[#This Row],[NOME]],Tabella1[Gdv])</f>
        <v>0</v>
      </c>
      <c r="Y448" s="40">
        <f>SUMIF(Tabella1[Nome],Tabella4[[#This Row],[NOME]],Tabella1[cl sh])</f>
        <v>0</v>
      </c>
      <c r="Z448" s="270">
        <f>_xlfn.IFNA(_xlfn.XLOOKUP(CONCATENATE(Z$4,$C448),Tabella1[CONC X VOTI IN TAB GIOC],Tabella1[Voto],""),"")</f>
        <v>6</v>
      </c>
      <c r="AA448" s="270">
        <f>_xlfn.IFNA(_xlfn.XLOOKUP(CONCATENATE(AA$4,$C448),Tabella1[CONC X VOTI IN TAB GIOC],Tabella1[Voto],""),"")</f>
        <v>6</v>
      </c>
      <c r="AB448" s="270">
        <f>_xlfn.IFNA(_xlfn.XLOOKUP(CONCATENATE(AB$4,$C448),Tabella1[CONC X VOTI IN TAB GIOC],Tabella1[Voto]),"")</f>
        <v>6.5</v>
      </c>
      <c r="AC448" s="270" cm="1">
        <f t="array" ref="AC448">_xlfn.IFNA(_xlfn.XLOOKUP(CONCATENATE(AC$4,$C448),INDEX(Tabella1[],0,MATCH("CONC X VOTI IN TAB GIOC",Tabella1[#Headers],0)),INDEX(Tabella1[],0,MATCH("Voto",Tabella1[#Headers],0))),"")</f>
        <v>6</v>
      </c>
      <c r="AD448" s="270" t="str">
        <f>_xlfn.IFNA(_xlfn.XLOOKUP(CONCATENATE(AD$4,$C448),Tabella1[CONC X VOTI IN TAB GIOC],Tabella1[Voto]),"")</f>
        <v/>
      </c>
      <c r="AE448" s="270" t="str">
        <f>_xlfn.IFNA(VLOOKUP(CONCATENATE(AE$4,$C448),'INSER DATA'!$A:$F,6,0),"")</f>
        <v/>
      </c>
      <c r="AF448" s="270" t="str">
        <f>_xlfn.IFNA(VLOOKUP(CONCATENATE(AF$4,$C448),'INSER DATA'!$A:$F,6,0),"")</f>
        <v/>
      </c>
      <c r="AG448" s="270" t="str">
        <f>_xlfn.IFNA(VLOOKUP(CONCATENATE(AG$4,$C448),'INSER DATA'!$A:$F,6,0),"")</f>
        <v/>
      </c>
      <c r="AH448" s="270" t="str">
        <f>_xlfn.IFNA(VLOOKUP(CONCATENATE(AH$4,$C448),'INSER DATA'!$A:$F,7,0),"")</f>
        <v/>
      </c>
      <c r="AI448" s="270" t="str">
        <f>_xlfn.IFNA(VLOOKUP(CONCATENATE(AI$4,$C448),'INSER DATA'!$A:$F,7,0),"")</f>
        <v/>
      </c>
      <c r="AJ448" s="270" t="str">
        <f>_xlfn.IFNA(VLOOKUP(CONCATENATE(AJ$4,$C448),'INSER DATA'!$A:$F,7,0),"")</f>
        <v/>
      </c>
      <c r="AK448" s="270" t="str">
        <f>_xlfn.IFNA(VLOOKUP(CONCATENATE(AK$4,$C448),'INSER DATA'!$A:$F,7,0),"")</f>
        <v/>
      </c>
      <c r="AL448" s="270" t="str">
        <f>_xlfn.IFNA(VLOOKUP(CONCATENATE(AL$4,$C448),'INSER DATA'!$A:$F,7,0),"")</f>
        <v/>
      </c>
      <c r="AM448" s="270" t="str">
        <f>_xlfn.IFNA(VLOOKUP(CONCATENATE(AM$4,$C448),'INSER DATA'!$A:$F,7,0),"")</f>
        <v/>
      </c>
      <c r="AN448" s="270" t="str">
        <f>_xlfn.IFNA(VLOOKUP(CONCATENATE(AN$4,$C448),'INSER DATA'!$A:$F,7,0),"")</f>
        <v/>
      </c>
      <c r="AO448" s="270" t="str">
        <f>_xlfn.IFNA(VLOOKUP(CONCATENATE(AO$4,$C448),'INSER DATA'!$A:$F,7,0),"")</f>
        <v/>
      </c>
      <c r="AP448" s="270" t="str">
        <f>_xlfn.IFNA(VLOOKUP(CONCATENATE(AP$4,$C448),'INSER DATA'!$A:$F,7,0),"")</f>
        <v/>
      </c>
      <c r="AQ448" s="270" t="str">
        <f>_xlfn.IFNA(VLOOKUP(CONCATENATE(AQ$4,$C448),'INSER DATA'!$A:$F,7,0),"")</f>
        <v/>
      </c>
      <c r="AR448" s="270" t="str">
        <f>_xlfn.IFNA(VLOOKUP(CONCATENATE(AR$4,$C448),'INSER DATA'!$A:$F,7,0),"")</f>
        <v/>
      </c>
      <c r="AS448" s="270" t="str">
        <f>_xlfn.IFNA(VLOOKUP(CONCATENATE(AS$4,$C448),'INSER DATA'!$A:$F,7,0),"")</f>
        <v/>
      </c>
      <c r="AT448" s="270" t="str">
        <f>_xlfn.IFNA(VLOOKUP(CONCATENATE(AT$4,$C448),'INSER DATA'!$A:$F,7,0),"")</f>
        <v/>
      </c>
      <c r="AU448" s="270" t="str">
        <f>_xlfn.IFNA(VLOOKUP(CONCATENATE(AU$4,$C448),'INSER DATA'!$A:$F,7,0),"")</f>
        <v/>
      </c>
      <c r="AV448" s="270" t="str">
        <f>_xlfn.IFNA(VLOOKUP(CONCATENATE(AV$4,$C448),'INSER DATA'!$A:$F,7,0),"")</f>
        <v/>
      </c>
      <c r="AW448" s="270" t="str">
        <f>_xlfn.IFNA(VLOOKUP(CONCATENATE(AW$4,$C448),'INSER DATA'!$A:$F,7,0),"")</f>
        <v/>
      </c>
      <c r="AX448" s="270" t="str">
        <f>_xlfn.IFNA(VLOOKUP(CONCATENATE(AX$4,$C448),'INSER DATA'!$A:$F,7,0),"")</f>
        <v/>
      </c>
      <c r="AY448" s="270" t="str">
        <f>_xlfn.IFNA(VLOOKUP(CONCATENATE(AY$4,$C448),'INSER DATA'!$A:$F,7,0),"")</f>
        <v/>
      </c>
      <c r="AZ448" s="270" t="str">
        <f>_xlfn.IFNA(VLOOKUP(CONCATENATE(AZ$4,$C448),'INSER DATA'!$A:$F,7,0),"")</f>
        <v/>
      </c>
      <c r="BA448" s="270" t="str">
        <f>_xlfn.IFNA(VLOOKUP(CONCATENATE(BA$4,$C448),'INSER DATA'!$A:$F,7,0),"")</f>
        <v/>
      </c>
      <c r="BB448" s="270" t="str">
        <f>_xlfn.IFNA(VLOOKUP(CONCATENATE(BB$4,$C448),'INSER DATA'!$A:$F,7,0),"")</f>
        <v/>
      </c>
      <c r="BC448" s="270" t="str">
        <f>_xlfn.IFNA(VLOOKUP(CONCATENATE(BC$4,$C448),'INSER DATA'!$A:$F,7,0),"")</f>
        <v/>
      </c>
      <c r="BD448" s="270" t="str">
        <f>_xlfn.IFNA(VLOOKUP(CONCATENATE(BD$4,$C448),'INSER DATA'!$A:$F,7,0),"")</f>
        <v/>
      </c>
      <c r="BE448" s="270" t="str">
        <f>_xlfn.IFNA(VLOOKUP(CONCATENATE(BE$4,$C448),'INSER DATA'!$A:$F,7,0),"")</f>
        <v/>
      </c>
      <c r="BF448" s="270" t="str">
        <f>_xlfn.IFNA(VLOOKUP(CONCATENATE(BF$4,$C448),'INSER DATA'!$A:$F,7,0),"")</f>
        <v/>
      </c>
      <c r="BG448" s="270" t="str">
        <f>_xlfn.IFNA(VLOOKUP(CONCATENATE(BG$4,$C448),'INSER DATA'!$A:$F,7,0),"")</f>
        <v/>
      </c>
      <c r="BH448" s="270" t="str">
        <f>_xlfn.IFNA(VLOOKUP(CONCATENATE(BH$4,$C448),'INSER DATA'!$A:$F,7,0),"")</f>
        <v/>
      </c>
      <c r="BI448" s="270" t="str">
        <f>_xlfn.IFNA(VLOOKUP(CONCATENATE(BI$4,$C448),'INSER DATA'!$A:$F,7,0),"")</f>
        <v/>
      </c>
      <c r="BJ448" s="270" t="str">
        <f>_xlfn.IFNA(VLOOKUP(CONCATENATE(BJ$4,$C448),'INSER DATA'!$A:$F,7,0),"")</f>
        <v/>
      </c>
      <c r="BK448" s="270" t="str">
        <f>_xlfn.IFNA(VLOOKUP(CONCATENATE(BK$4,$C448),'INSER DATA'!$A:$F,7,0),"")</f>
        <v/>
      </c>
      <c r="BL448" s="272"/>
      <c r="BM448" s="30"/>
      <c r="BN448" s="30"/>
      <c r="BO448" s="30"/>
      <c r="BP448" s="30"/>
      <c r="BQ448" s="30"/>
      <c r="BR448" s="30"/>
      <c r="BS448" s="30"/>
      <c r="BT448" s="30"/>
      <c r="BU448" s="30"/>
      <c r="BV448" s="30"/>
      <c r="BW448" s="30"/>
      <c r="BX448" s="30"/>
      <c r="BY448" s="30"/>
      <c r="BZ448" s="30"/>
      <c r="CA448" s="30"/>
      <c r="CB448" s="30"/>
      <c r="CC448" s="30"/>
      <c r="CD448" s="30"/>
      <c r="CE448" s="30"/>
      <c r="CF448" s="30"/>
      <c r="CG448" s="30"/>
      <c r="CH448" s="30"/>
      <c r="CI448" s="30"/>
      <c r="CJ448" s="30"/>
      <c r="CK448" s="30"/>
      <c r="CL448" s="30"/>
      <c r="CM448" s="30"/>
      <c r="CN448" s="30"/>
      <c r="CO448" s="30"/>
      <c r="CP448" s="30"/>
      <c r="CQ448" s="30"/>
      <c r="CR448" s="30"/>
      <c r="CS448" s="30"/>
      <c r="CT448" s="30"/>
      <c r="CU448" s="30"/>
      <c r="CV448" s="30"/>
      <c r="CW448" s="30"/>
      <c r="CX448" s="30"/>
      <c r="CY448" s="30"/>
      <c r="CZ448" s="30"/>
      <c r="DA448" s="30"/>
    </row>
    <row r="449" spans="1:105" ht="19.2" thickTop="1" thickBot="1" x14ac:dyDescent="0.4">
      <c r="A449" s="30"/>
      <c r="B449" s="30"/>
      <c r="C449" s="185" t="s">
        <v>214</v>
      </c>
      <c r="D449" s="46" t="s">
        <v>934</v>
      </c>
      <c r="E449" s="35" t="str">
        <f>_xlfn.XLOOKUP(Tabella4[[#This Row],[NOME]],'ROSE SQUADRE'!$N$3:$N$253,'ROSE SQUADRE'!$O$3:$O$253,"")</f>
        <v/>
      </c>
      <c r="F449" s="36" t="s">
        <v>161</v>
      </c>
      <c r="G449" s="43">
        <v>7</v>
      </c>
      <c r="H449" s="43">
        <v>7</v>
      </c>
      <c r="I449" s="44">
        <f t="shared" si="37"/>
        <v>0</v>
      </c>
      <c r="J449" s="37">
        <f t="shared" si="38"/>
        <v>3</v>
      </c>
      <c r="K449" s="178">
        <f t="shared" si="39"/>
        <v>6</v>
      </c>
      <c r="L449" s="178">
        <f t="shared" si="40"/>
        <v>6</v>
      </c>
      <c r="M449" s="179">
        <f t="shared" si="41"/>
        <v>18</v>
      </c>
      <c r="N449" s="45">
        <f t="shared" ref="N449:N480" ca="1" si="43">ContaCellePerColore(Z449:BK449,$C$3)</f>
        <v>0</v>
      </c>
      <c r="O449" s="40">
        <f>SUMIF(Tabella1[Nome],Tabella4[[#This Row],[NOME]],Tabella1[Gf])</f>
        <v>0</v>
      </c>
      <c r="P449" s="40">
        <f>-(SUMIF(Tabella1[Nome],Tabella4[[#This Row],[NOME]],Tabella1[Gs]))</f>
        <v>0</v>
      </c>
      <c r="Q449" s="40">
        <f>SUMIF(Tabella1[Nome],Tabella4[[#This Row],[NOME]],Tabella1[Rp])</f>
        <v>0</v>
      </c>
      <c r="R449" s="40">
        <f>SUMIF(Tabella1[Nome],Tabella4[[#This Row],[NOME]],Tabella1[Rs])</f>
        <v>0</v>
      </c>
      <c r="S449" s="40">
        <f>SUMIF(Tabella1[Nome],Tabella4[[#This Row],[NOME]],Tabella1[Rf])</f>
        <v>0</v>
      </c>
      <c r="T449" s="40">
        <f>SUMIF(Tabella1[Nome],Tabella4[[#This Row],[NOME]],Tabella1[Au])</f>
        <v>0</v>
      </c>
      <c r="U449" s="41">
        <f>SUMIF(Tabella1[Nome],Tabella4[[#This Row],[NOME]],Tabella1[Amm])</f>
        <v>0</v>
      </c>
      <c r="V449" s="42">
        <f>SUMIF(Tabella1[Nome],Tabella4[[#This Row],[NOME]],Tabella1[Esp])</f>
        <v>0</v>
      </c>
      <c r="W449" s="40">
        <f>SUMIF(Tabella1[Nome],Tabella4[[#This Row],[NOME]],Tabella1[Ass])</f>
        <v>0</v>
      </c>
      <c r="X449" s="40">
        <f>SUMIF(Tabella1[Nome],Tabella4[[#This Row],[NOME]],Tabella1[Gdv])</f>
        <v>0</v>
      </c>
      <c r="Y449" s="40">
        <f>SUMIF(Tabella1[Nome],Tabella4[[#This Row],[NOME]],Tabella1[cl sh])</f>
        <v>0</v>
      </c>
      <c r="Z449" s="270">
        <f>_xlfn.IFNA(_xlfn.XLOOKUP(CONCATENATE(Z$4,$C449),Tabella1[CONC X VOTI IN TAB GIOC],Tabella1[Voto],""),"")</f>
        <v>6</v>
      </c>
      <c r="AA449" s="270">
        <f>_xlfn.IFNA(_xlfn.XLOOKUP(CONCATENATE(AA$4,$C449),Tabella1[CONC X VOTI IN TAB GIOC],Tabella1[Voto],""),"")</f>
        <v>6</v>
      </c>
      <c r="AB449" s="270">
        <f>_xlfn.IFNA(_xlfn.XLOOKUP(CONCATENATE(AB$4,$C449),Tabella1[CONC X VOTI IN TAB GIOC],Tabella1[Voto]),"")</f>
        <v>6</v>
      </c>
      <c r="AC449" s="270" t="str" cm="1">
        <f t="array" ref="AC449">_xlfn.IFNA(_xlfn.XLOOKUP(CONCATENATE(AC$4,$C449),INDEX(Tabella1[],0,MATCH("CONC X VOTI IN TAB GIOC",Tabella1[#Headers],0)),INDEX(Tabella1[],0,MATCH("Voto",Tabella1[#Headers],0))),"")</f>
        <v/>
      </c>
      <c r="AD449" s="270" t="str">
        <f>_xlfn.IFNA(_xlfn.XLOOKUP(CONCATENATE(AD$4,$C449),Tabella1[CONC X VOTI IN TAB GIOC],Tabella1[Voto]),"")</f>
        <v/>
      </c>
      <c r="AE449" s="270" t="str">
        <f>_xlfn.IFNA(VLOOKUP(CONCATENATE(AE$4,$C449),'INSER DATA'!$A:$F,6,0),"")</f>
        <v/>
      </c>
      <c r="AF449" s="270" t="str">
        <f>_xlfn.IFNA(VLOOKUP(CONCATENATE(AF$4,$C449),'INSER DATA'!$A:$F,6,0),"")</f>
        <v/>
      </c>
      <c r="AG449" s="270" t="str">
        <f>_xlfn.IFNA(VLOOKUP(CONCATENATE(AG$4,$C449),'INSER DATA'!$A:$F,6,0),"")</f>
        <v/>
      </c>
      <c r="AH449" s="270" t="str">
        <f>_xlfn.IFNA(VLOOKUP(CONCATENATE(AH$4,$C449),'INSER DATA'!$A:$F,7,0),"")</f>
        <v/>
      </c>
      <c r="AI449" s="270" t="str">
        <f>_xlfn.IFNA(VLOOKUP(CONCATENATE(AI$4,$C449),'INSER DATA'!$A:$F,7,0),"")</f>
        <v/>
      </c>
      <c r="AJ449" s="270" t="str">
        <f>_xlfn.IFNA(VLOOKUP(CONCATENATE(AJ$4,$C449),'INSER DATA'!$A:$F,7,0),"")</f>
        <v/>
      </c>
      <c r="AK449" s="270" t="str">
        <f>_xlfn.IFNA(VLOOKUP(CONCATENATE(AK$4,$C449),'INSER DATA'!$A:$F,7,0),"")</f>
        <v/>
      </c>
      <c r="AL449" s="270" t="str">
        <f>_xlfn.IFNA(VLOOKUP(CONCATENATE(AL$4,$C449),'INSER DATA'!$A:$F,7,0),"")</f>
        <v/>
      </c>
      <c r="AM449" s="270" t="str">
        <f>_xlfn.IFNA(VLOOKUP(CONCATENATE(AM$4,$C449),'INSER DATA'!$A:$F,7,0),"")</f>
        <v/>
      </c>
      <c r="AN449" s="270" t="str">
        <f>_xlfn.IFNA(VLOOKUP(CONCATENATE(AN$4,$C449),'INSER DATA'!$A:$F,7,0),"")</f>
        <v/>
      </c>
      <c r="AO449" s="270" t="str">
        <f>_xlfn.IFNA(VLOOKUP(CONCATENATE(AO$4,$C449),'INSER DATA'!$A:$F,7,0),"")</f>
        <v/>
      </c>
      <c r="AP449" s="270" t="str">
        <f>_xlfn.IFNA(VLOOKUP(CONCATENATE(AP$4,$C449),'INSER DATA'!$A:$F,7,0),"")</f>
        <v/>
      </c>
      <c r="AQ449" s="270" t="str">
        <f>_xlfn.IFNA(VLOOKUP(CONCATENATE(AQ$4,$C449),'INSER DATA'!$A:$F,7,0),"")</f>
        <v/>
      </c>
      <c r="AR449" s="270" t="str">
        <f>_xlfn.IFNA(VLOOKUP(CONCATENATE(AR$4,$C449),'INSER DATA'!$A:$F,7,0),"")</f>
        <v/>
      </c>
      <c r="AS449" s="270" t="str">
        <f>_xlfn.IFNA(VLOOKUP(CONCATENATE(AS$4,$C449),'INSER DATA'!$A:$F,7,0),"")</f>
        <v/>
      </c>
      <c r="AT449" s="270" t="str">
        <f>_xlfn.IFNA(VLOOKUP(CONCATENATE(AT$4,$C449),'INSER DATA'!$A:$F,7,0),"")</f>
        <v/>
      </c>
      <c r="AU449" s="270" t="str">
        <f>_xlfn.IFNA(VLOOKUP(CONCATENATE(AU$4,$C449),'INSER DATA'!$A:$F,7,0),"")</f>
        <v/>
      </c>
      <c r="AV449" s="270" t="str">
        <f>_xlfn.IFNA(VLOOKUP(CONCATENATE(AV$4,$C449),'INSER DATA'!$A:$F,7,0),"")</f>
        <v/>
      </c>
      <c r="AW449" s="270" t="str">
        <f>_xlfn.IFNA(VLOOKUP(CONCATENATE(AW$4,$C449),'INSER DATA'!$A:$F,7,0),"")</f>
        <v/>
      </c>
      <c r="AX449" s="270" t="str">
        <f>_xlfn.IFNA(VLOOKUP(CONCATENATE(AX$4,$C449),'INSER DATA'!$A:$F,7,0),"")</f>
        <v/>
      </c>
      <c r="AY449" s="270" t="str">
        <f>_xlfn.IFNA(VLOOKUP(CONCATENATE(AY$4,$C449),'INSER DATA'!$A:$F,7,0),"")</f>
        <v/>
      </c>
      <c r="AZ449" s="270" t="str">
        <f>_xlfn.IFNA(VLOOKUP(CONCATENATE(AZ$4,$C449),'INSER DATA'!$A:$F,7,0),"")</f>
        <v/>
      </c>
      <c r="BA449" s="270" t="str">
        <f>_xlfn.IFNA(VLOOKUP(CONCATENATE(BA$4,$C449),'INSER DATA'!$A:$F,7,0),"")</f>
        <v/>
      </c>
      <c r="BB449" s="270" t="str">
        <f>_xlfn.IFNA(VLOOKUP(CONCATENATE(BB$4,$C449),'INSER DATA'!$A:$F,7,0),"")</f>
        <v/>
      </c>
      <c r="BC449" s="270" t="str">
        <f>_xlfn.IFNA(VLOOKUP(CONCATENATE(BC$4,$C449),'INSER DATA'!$A:$F,7,0),"")</f>
        <v/>
      </c>
      <c r="BD449" s="270" t="str">
        <f>_xlfn.IFNA(VLOOKUP(CONCATENATE(BD$4,$C449),'INSER DATA'!$A:$F,7,0),"")</f>
        <v/>
      </c>
      <c r="BE449" s="270" t="str">
        <f>_xlfn.IFNA(VLOOKUP(CONCATENATE(BE$4,$C449),'INSER DATA'!$A:$F,7,0),"")</f>
        <v/>
      </c>
      <c r="BF449" s="270" t="str">
        <f>_xlfn.IFNA(VLOOKUP(CONCATENATE(BF$4,$C449),'INSER DATA'!$A:$F,7,0),"")</f>
        <v/>
      </c>
      <c r="BG449" s="270" t="str">
        <f>_xlfn.IFNA(VLOOKUP(CONCATENATE(BG$4,$C449),'INSER DATA'!$A:$F,7,0),"")</f>
        <v/>
      </c>
      <c r="BH449" s="270" t="str">
        <f>_xlfn.IFNA(VLOOKUP(CONCATENATE(BH$4,$C449),'INSER DATA'!$A:$F,7,0),"")</f>
        <v/>
      </c>
      <c r="BI449" s="270" t="str">
        <f>_xlfn.IFNA(VLOOKUP(CONCATENATE(BI$4,$C449),'INSER DATA'!$A:$F,7,0),"")</f>
        <v/>
      </c>
      <c r="BJ449" s="270" t="str">
        <f>_xlfn.IFNA(VLOOKUP(CONCATENATE(BJ$4,$C449),'INSER DATA'!$A:$F,7,0),"")</f>
        <v/>
      </c>
      <c r="BK449" s="270" t="str">
        <f>_xlfn.IFNA(VLOOKUP(CONCATENATE(BK$4,$C449),'INSER DATA'!$A:$F,7,0),"")</f>
        <v/>
      </c>
      <c r="BL449" s="272"/>
      <c r="BM449" s="30"/>
      <c r="BN449" s="30"/>
      <c r="BO449" s="30"/>
      <c r="BP449" s="30"/>
      <c r="BQ449" s="30"/>
      <c r="BR449" s="30"/>
      <c r="BS449" s="30"/>
      <c r="BT449" s="30"/>
      <c r="BU449" s="30"/>
      <c r="BV449" s="30"/>
      <c r="BW449" s="30"/>
      <c r="BX449" s="30"/>
      <c r="BY449" s="30"/>
      <c r="BZ449" s="30"/>
      <c r="CA449" s="30"/>
      <c r="CB449" s="30"/>
      <c r="CC449" s="30"/>
      <c r="CD449" s="30"/>
      <c r="CE449" s="30"/>
      <c r="CF449" s="30"/>
      <c r="CG449" s="30"/>
      <c r="CH449" s="30"/>
      <c r="CI449" s="30"/>
      <c r="CJ449" s="30"/>
      <c r="CK449" s="30"/>
      <c r="CL449" s="30"/>
      <c r="CM449" s="30"/>
      <c r="CN449" s="30"/>
      <c r="CO449" s="30"/>
      <c r="CP449" s="30"/>
      <c r="CQ449" s="30"/>
      <c r="CR449" s="30"/>
      <c r="CS449" s="30"/>
      <c r="CT449" s="30"/>
      <c r="CU449" s="30"/>
      <c r="CV449" s="30"/>
      <c r="CW449" s="30"/>
      <c r="CX449" s="30"/>
      <c r="CY449" s="30"/>
      <c r="CZ449" s="30"/>
      <c r="DA449" s="30"/>
    </row>
    <row r="450" spans="1:105" ht="19.2" thickTop="1" thickBot="1" x14ac:dyDescent="0.4">
      <c r="A450" s="30"/>
      <c r="B450" s="30"/>
      <c r="C450" s="185" t="s">
        <v>939</v>
      </c>
      <c r="D450" s="46" t="s">
        <v>934</v>
      </c>
      <c r="E450" s="35" t="str">
        <f>_xlfn.XLOOKUP(Tabella4[[#This Row],[NOME]],'ROSE SQUADRE'!$N$3:$N$253,'ROSE SQUADRE'!$O$3:$O$253,"")</f>
        <v/>
      </c>
      <c r="F450" s="36" t="s">
        <v>161</v>
      </c>
      <c r="G450" s="43">
        <v>5</v>
      </c>
      <c r="H450" s="43">
        <v>5</v>
      </c>
      <c r="I450" s="44">
        <f t="shared" si="37"/>
        <v>0</v>
      </c>
      <c r="J450" s="37">
        <f t="shared" si="38"/>
        <v>1</v>
      </c>
      <c r="K450" s="38">
        <f t="shared" si="39"/>
        <v>6</v>
      </c>
      <c r="L450" s="38">
        <f t="shared" si="40"/>
        <v>6</v>
      </c>
      <c r="M450" s="39">
        <f t="shared" si="41"/>
        <v>6</v>
      </c>
      <c r="N450" s="45">
        <f t="shared" ca="1" si="43"/>
        <v>0</v>
      </c>
      <c r="O450" s="40">
        <f>SUMIF(Tabella1[Nome],Tabella4[[#This Row],[NOME]],Tabella1[Gf])</f>
        <v>0</v>
      </c>
      <c r="P450" s="40">
        <f>-(SUMIF(Tabella1[Nome],Tabella4[[#This Row],[NOME]],Tabella1[Gs]))</f>
        <v>0</v>
      </c>
      <c r="Q450" s="40">
        <f>SUMIF(Tabella1[Nome],Tabella4[[#This Row],[NOME]],Tabella1[Rp])</f>
        <v>0</v>
      </c>
      <c r="R450" s="40">
        <f>SUMIF(Tabella1[Nome],Tabella4[[#This Row],[NOME]],Tabella1[Rs])</f>
        <v>0</v>
      </c>
      <c r="S450" s="40">
        <f>SUMIF(Tabella1[Nome],Tabella4[[#This Row],[NOME]],Tabella1[Rf])</f>
        <v>0</v>
      </c>
      <c r="T450" s="40">
        <f>SUMIF(Tabella1[Nome],Tabella4[[#This Row],[NOME]],Tabella1[Au])</f>
        <v>0</v>
      </c>
      <c r="U450" s="41">
        <f>SUMIF(Tabella1[Nome],Tabella4[[#This Row],[NOME]],Tabella1[Amm])</f>
        <v>0</v>
      </c>
      <c r="V450" s="42">
        <f>SUMIF(Tabella1[Nome],Tabella4[[#This Row],[NOME]],Tabella1[Esp])</f>
        <v>0</v>
      </c>
      <c r="W450" s="40">
        <f>SUMIF(Tabella1[Nome],Tabella4[[#This Row],[NOME]],Tabella1[Ass])</f>
        <v>0</v>
      </c>
      <c r="X450" s="40">
        <f>SUMIF(Tabella1[Nome],Tabella4[[#This Row],[NOME]],Tabella1[Gdv])</f>
        <v>0</v>
      </c>
      <c r="Y450" s="40">
        <f>SUMIF(Tabella1[Nome],Tabella4[[#This Row],[NOME]],Tabella1[cl sh])</f>
        <v>0</v>
      </c>
      <c r="Z450" s="270">
        <f>_xlfn.IFNA(_xlfn.XLOOKUP(CONCATENATE(Z$4,$C450),Tabella1[CONC X VOTI IN TAB GIOC],Tabella1[Voto],""),"")</f>
        <v>6</v>
      </c>
      <c r="AA450" s="270" t="str">
        <f>_xlfn.IFNA(_xlfn.XLOOKUP(CONCATENATE(AA$4,$C450),Tabella1[CONC X VOTI IN TAB GIOC],Tabella1[Voto],""),"")</f>
        <v/>
      </c>
      <c r="AB450" s="270" t="str">
        <f>_xlfn.IFNA(_xlfn.XLOOKUP(CONCATENATE(AB$4,$C450),Tabella1[CONC X VOTI IN TAB GIOC],Tabella1[Voto]),"")</f>
        <v/>
      </c>
      <c r="AC450" s="270" t="str" cm="1">
        <f t="array" ref="AC450">_xlfn.IFNA(_xlfn.XLOOKUP(CONCATENATE(AC$4,$C450),INDEX(Tabella1[],0,MATCH("CONC X VOTI IN TAB GIOC",Tabella1[#Headers],0)),INDEX(Tabella1[],0,MATCH("Voto",Tabella1[#Headers],0))),"")</f>
        <v/>
      </c>
      <c r="AD450" s="270" t="str">
        <f>_xlfn.IFNA(_xlfn.XLOOKUP(CONCATENATE(AD$4,$C450),Tabella1[CONC X VOTI IN TAB GIOC],Tabella1[Voto]),"")</f>
        <v/>
      </c>
      <c r="AE450" s="270" t="str">
        <f>_xlfn.IFNA(VLOOKUP(CONCATENATE(AE$4,$C450),'INSER DATA'!$A:$F,6,0),"")</f>
        <v/>
      </c>
      <c r="AF450" s="270" t="str">
        <f>_xlfn.IFNA(VLOOKUP(CONCATENATE(AF$4,$C450),'INSER DATA'!$A:$F,6,0),"")</f>
        <v/>
      </c>
      <c r="AG450" s="270" t="str">
        <f>_xlfn.IFNA(VLOOKUP(CONCATENATE(AG$4,$C450),'INSER DATA'!$A:$F,6,0),"")</f>
        <v/>
      </c>
      <c r="AH450" s="270" t="str">
        <f>_xlfn.IFNA(VLOOKUP(CONCATENATE(AH$4,$C450),'INSER DATA'!$A:$F,7,0),"")</f>
        <v/>
      </c>
      <c r="AI450" s="270" t="str">
        <f>_xlfn.IFNA(VLOOKUP(CONCATENATE(AI$4,$C450),'INSER DATA'!$A:$F,7,0),"")</f>
        <v/>
      </c>
      <c r="AJ450" s="270" t="str">
        <f>_xlfn.IFNA(VLOOKUP(CONCATENATE(AJ$4,$C450),'INSER DATA'!$A:$F,7,0),"")</f>
        <v/>
      </c>
      <c r="AK450" s="270" t="str">
        <f>_xlfn.IFNA(VLOOKUP(CONCATENATE(AK$4,$C450),'INSER DATA'!$A:$F,7,0),"")</f>
        <v/>
      </c>
      <c r="AL450" s="270" t="str">
        <f>_xlfn.IFNA(VLOOKUP(CONCATENATE(AL$4,$C450),'INSER DATA'!$A:$F,7,0),"")</f>
        <v/>
      </c>
      <c r="AM450" s="270" t="str">
        <f>_xlfn.IFNA(VLOOKUP(CONCATENATE(AM$4,$C450),'INSER DATA'!$A:$F,7,0),"")</f>
        <v/>
      </c>
      <c r="AN450" s="270" t="str">
        <f>_xlfn.IFNA(VLOOKUP(CONCATENATE(AN$4,$C450),'INSER DATA'!$A:$F,7,0),"")</f>
        <v/>
      </c>
      <c r="AO450" s="270" t="str">
        <f>_xlfn.IFNA(VLOOKUP(CONCATENATE(AO$4,$C450),'INSER DATA'!$A:$F,7,0),"")</f>
        <v/>
      </c>
      <c r="AP450" s="270" t="str">
        <f>_xlfn.IFNA(VLOOKUP(CONCATENATE(AP$4,$C450),'INSER DATA'!$A:$F,7,0),"")</f>
        <v/>
      </c>
      <c r="AQ450" s="270" t="str">
        <f>_xlfn.IFNA(VLOOKUP(CONCATENATE(AQ$4,$C450),'INSER DATA'!$A:$F,7,0),"")</f>
        <v/>
      </c>
      <c r="AR450" s="270" t="str">
        <f>_xlfn.IFNA(VLOOKUP(CONCATENATE(AR$4,$C450),'INSER DATA'!$A:$F,7,0),"")</f>
        <v/>
      </c>
      <c r="AS450" s="270" t="str">
        <f>_xlfn.IFNA(VLOOKUP(CONCATENATE(AS$4,$C450),'INSER DATA'!$A:$F,7,0),"")</f>
        <v/>
      </c>
      <c r="AT450" s="270" t="str">
        <f>_xlfn.IFNA(VLOOKUP(CONCATENATE(AT$4,$C450),'INSER DATA'!$A:$F,7,0),"")</f>
        <v/>
      </c>
      <c r="AU450" s="270" t="str">
        <f>_xlfn.IFNA(VLOOKUP(CONCATENATE(AU$4,$C450),'INSER DATA'!$A:$F,7,0),"")</f>
        <v/>
      </c>
      <c r="AV450" s="270" t="str">
        <f>_xlfn.IFNA(VLOOKUP(CONCATENATE(AV$4,$C450),'INSER DATA'!$A:$F,7,0),"")</f>
        <v/>
      </c>
      <c r="AW450" s="270" t="str">
        <f>_xlfn.IFNA(VLOOKUP(CONCATENATE(AW$4,$C450),'INSER DATA'!$A:$F,7,0),"")</f>
        <v/>
      </c>
      <c r="AX450" s="270" t="str">
        <f>_xlfn.IFNA(VLOOKUP(CONCATENATE(AX$4,$C450),'INSER DATA'!$A:$F,7,0),"")</f>
        <v/>
      </c>
      <c r="AY450" s="270" t="str">
        <f>_xlfn.IFNA(VLOOKUP(CONCATENATE(AY$4,$C450),'INSER DATA'!$A:$F,7,0),"")</f>
        <v/>
      </c>
      <c r="AZ450" s="270" t="str">
        <f>_xlfn.IFNA(VLOOKUP(CONCATENATE(AZ$4,$C450),'INSER DATA'!$A:$F,7,0),"")</f>
        <v/>
      </c>
      <c r="BA450" s="270" t="str">
        <f>_xlfn.IFNA(VLOOKUP(CONCATENATE(BA$4,$C450),'INSER DATA'!$A:$F,7,0),"")</f>
        <v/>
      </c>
      <c r="BB450" s="270" t="str">
        <f>_xlfn.IFNA(VLOOKUP(CONCATENATE(BB$4,$C450),'INSER DATA'!$A:$F,7,0),"")</f>
        <v/>
      </c>
      <c r="BC450" s="270" t="str">
        <f>_xlfn.IFNA(VLOOKUP(CONCATENATE(BC$4,$C450),'INSER DATA'!$A:$F,7,0),"")</f>
        <v/>
      </c>
      <c r="BD450" s="270" t="str">
        <f>_xlfn.IFNA(VLOOKUP(CONCATENATE(BD$4,$C450),'INSER DATA'!$A:$F,7,0),"")</f>
        <v/>
      </c>
      <c r="BE450" s="270" t="str">
        <f>_xlfn.IFNA(VLOOKUP(CONCATENATE(BE$4,$C450),'INSER DATA'!$A:$F,7,0),"")</f>
        <v/>
      </c>
      <c r="BF450" s="270" t="str">
        <f>_xlfn.IFNA(VLOOKUP(CONCATENATE(BF$4,$C450),'INSER DATA'!$A:$F,7,0),"")</f>
        <v/>
      </c>
      <c r="BG450" s="270" t="str">
        <f>_xlfn.IFNA(VLOOKUP(CONCATENATE(BG$4,$C450),'INSER DATA'!$A:$F,7,0),"")</f>
        <v/>
      </c>
      <c r="BH450" s="270" t="str">
        <f>_xlfn.IFNA(VLOOKUP(CONCATENATE(BH$4,$C450),'INSER DATA'!$A:$F,7,0),"")</f>
        <v/>
      </c>
      <c r="BI450" s="270" t="str">
        <f>_xlfn.IFNA(VLOOKUP(CONCATENATE(BI$4,$C450),'INSER DATA'!$A:$F,7,0),"")</f>
        <v/>
      </c>
      <c r="BJ450" s="270" t="str">
        <f>_xlfn.IFNA(VLOOKUP(CONCATENATE(BJ$4,$C450),'INSER DATA'!$A:$F,7,0),"")</f>
        <v/>
      </c>
      <c r="BK450" s="270" t="str">
        <f>_xlfn.IFNA(VLOOKUP(CONCATENATE(BK$4,$C450),'INSER DATA'!$A:$F,7,0),"")</f>
        <v/>
      </c>
      <c r="BL450" s="272"/>
      <c r="BM450" s="30"/>
      <c r="BN450" s="30"/>
      <c r="BO450" s="30"/>
      <c r="BP450" s="30"/>
      <c r="BQ450" s="30"/>
      <c r="BR450" s="30"/>
      <c r="BS450" s="30"/>
      <c r="BT450" s="30"/>
      <c r="BU450" s="30"/>
      <c r="BV450" s="30"/>
      <c r="BW450" s="30"/>
      <c r="BX450" s="30"/>
      <c r="BY450" s="30"/>
      <c r="BZ450" s="30"/>
      <c r="CA450" s="30"/>
      <c r="CB450" s="30"/>
      <c r="CC450" s="30"/>
      <c r="CD450" s="30"/>
      <c r="CE450" s="30"/>
      <c r="CF450" s="30"/>
      <c r="CG450" s="30"/>
      <c r="CH450" s="30"/>
      <c r="CI450" s="30"/>
      <c r="CJ450" s="30"/>
      <c r="CK450" s="30"/>
      <c r="CL450" s="30"/>
      <c r="CM450" s="30"/>
      <c r="CN450" s="30"/>
      <c r="CO450" s="30"/>
      <c r="CP450" s="30"/>
      <c r="CQ450" s="30"/>
      <c r="CR450" s="30"/>
      <c r="CS450" s="30"/>
      <c r="CT450" s="30"/>
      <c r="CU450" s="30"/>
      <c r="CV450" s="30"/>
      <c r="CW450" s="30"/>
      <c r="CX450" s="30"/>
      <c r="CY450" s="30"/>
      <c r="CZ450" s="30"/>
      <c r="DA450" s="30"/>
    </row>
    <row r="451" spans="1:105" ht="19.2" thickTop="1" thickBot="1" x14ac:dyDescent="0.4">
      <c r="A451" s="30"/>
      <c r="B451" s="30"/>
      <c r="C451" s="356" t="s">
        <v>942</v>
      </c>
      <c r="D451" s="355" t="s">
        <v>934</v>
      </c>
      <c r="E451" s="35" t="str">
        <f>_xlfn.XLOOKUP(Tabella4[[#This Row],[NOME]],'ROSE SQUADRE'!$N$3:$N$253,'ROSE SQUADRE'!$O$3:$O$253,"")</f>
        <v>PARTIZAN DEGRADO</v>
      </c>
      <c r="F451" s="36" t="s">
        <v>162</v>
      </c>
      <c r="G451" s="43">
        <v>5</v>
      </c>
      <c r="H451" s="43">
        <v>5</v>
      </c>
      <c r="I451" s="44">
        <f t="shared" si="37"/>
        <v>0</v>
      </c>
      <c r="J451" s="37">
        <f t="shared" si="38"/>
        <v>4</v>
      </c>
      <c r="K451" s="38">
        <f t="shared" si="39"/>
        <v>6.125</v>
      </c>
      <c r="L451" s="38">
        <f t="shared" si="40"/>
        <v>6.375</v>
      </c>
      <c r="M451" s="39">
        <f t="shared" si="41"/>
        <v>25.5</v>
      </c>
      <c r="N451" s="45">
        <f t="shared" ca="1" si="43"/>
        <v>0</v>
      </c>
      <c r="O451" s="40">
        <f>SUMIF(Tabella1[Nome],Tabella4[[#This Row],[NOME]],Tabella1[Gf])</f>
        <v>0</v>
      </c>
      <c r="P451" s="40">
        <f>-(SUMIF(Tabella1[Nome],Tabella4[[#This Row],[NOME]],Tabella1[Gs]))</f>
        <v>0</v>
      </c>
      <c r="Q451" s="40">
        <f>SUMIF(Tabella1[Nome],Tabella4[[#This Row],[NOME]],Tabella1[Rp])</f>
        <v>0</v>
      </c>
      <c r="R451" s="40">
        <f>SUMIF(Tabella1[Nome],Tabella4[[#This Row],[NOME]],Tabella1[Rs])</f>
        <v>0</v>
      </c>
      <c r="S451" s="40">
        <f>SUMIF(Tabella1[Nome],Tabella4[[#This Row],[NOME]],Tabella1[Rf])</f>
        <v>0</v>
      </c>
      <c r="T451" s="40">
        <f>SUMIF(Tabella1[Nome],Tabella4[[#This Row],[NOME]],Tabella1[Au])</f>
        <v>0</v>
      </c>
      <c r="U451" s="41">
        <f>SUMIF(Tabella1[Nome],Tabella4[[#This Row],[NOME]],Tabella1[Amm])</f>
        <v>0</v>
      </c>
      <c r="V451" s="42">
        <f>SUMIF(Tabella1[Nome],Tabella4[[#This Row],[NOME]],Tabella1[Esp])</f>
        <v>0</v>
      </c>
      <c r="W451" s="40">
        <f>SUMIF(Tabella1[Nome],Tabella4[[#This Row],[NOME]],Tabella1[Ass])</f>
        <v>1</v>
      </c>
      <c r="X451" s="40">
        <f>SUMIF(Tabella1[Nome],Tabella4[[#This Row],[NOME]],Tabella1[Gdv])</f>
        <v>0</v>
      </c>
      <c r="Y451" s="40">
        <f>SUMIF(Tabella1[Nome],Tabella4[[#This Row],[NOME]],Tabella1[cl sh])</f>
        <v>0</v>
      </c>
      <c r="Z451" s="270">
        <f>_xlfn.IFNA(_xlfn.XLOOKUP(CONCATENATE(Z$4,$C451),Tabella1[CONC X VOTI IN TAB GIOC],Tabella1[Voto],""),"")</f>
        <v>5.5</v>
      </c>
      <c r="AA451" s="270">
        <f>_xlfn.IFNA(_xlfn.XLOOKUP(CONCATENATE(AA$4,$C451),Tabella1[CONC X VOTI IN TAB GIOC],Tabella1[Voto],""),"")</f>
        <v>6.5</v>
      </c>
      <c r="AB451" s="270">
        <f>_xlfn.IFNA(_xlfn.XLOOKUP(CONCATENATE(AB$4,$C451),Tabella1[CONC X VOTI IN TAB GIOC],Tabella1[Voto]),"")</f>
        <v>6.5</v>
      </c>
      <c r="AC451" s="270" cm="1">
        <f t="array" ref="AC451">_xlfn.IFNA(_xlfn.XLOOKUP(CONCATENATE(AC$4,$C451),INDEX(Tabella1[],0,MATCH("CONC X VOTI IN TAB GIOC",Tabella1[#Headers],0)),INDEX(Tabella1[],0,MATCH("Voto",Tabella1[#Headers],0))),"")</f>
        <v>6</v>
      </c>
      <c r="AD451" s="270" t="str">
        <f>_xlfn.IFNA(_xlfn.XLOOKUP(CONCATENATE(AD$4,$C451),Tabella1[CONC X VOTI IN TAB GIOC],Tabella1[Voto]),"")</f>
        <v/>
      </c>
      <c r="AE451" s="270" t="str">
        <f>_xlfn.IFNA(VLOOKUP(CONCATENATE(AE$4,$C451),'INSER DATA'!$A:$F,6,0),"")</f>
        <v/>
      </c>
      <c r="AF451" s="270" t="str">
        <f>_xlfn.IFNA(VLOOKUP(CONCATENATE(AF$4,$C451),'INSER DATA'!$A:$F,6,0),"")</f>
        <v/>
      </c>
      <c r="AG451" s="270" t="str">
        <f>_xlfn.IFNA(VLOOKUP(CONCATENATE(AG$4,$C451),'INSER DATA'!$A:$F,6,0),"")</f>
        <v/>
      </c>
      <c r="AH451" s="270" t="str">
        <f>_xlfn.IFNA(VLOOKUP(CONCATENATE(AH$4,$C451),'INSER DATA'!$A:$F,7,0),"")</f>
        <v/>
      </c>
      <c r="AI451" s="270" t="str">
        <f>_xlfn.IFNA(VLOOKUP(CONCATENATE(AI$4,$C451),'INSER DATA'!$A:$F,7,0),"")</f>
        <v/>
      </c>
      <c r="AJ451" s="270" t="str">
        <f>_xlfn.IFNA(VLOOKUP(CONCATENATE(AJ$4,$C451),'INSER DATA'!$A:$F,7,0),"")</f>
        <v/>
      </c>
      <c r="AK451" s="270" t="str">
        <f>_xlfn.IFNA(VLOOKUP(CONCATENATE(AK$4,$C451),'INSER DATA'!$A:$F,7,0),"")</f>
        <v/>
      </c>
      <c r="AL451" s="270" t="str">
        <f>_xlfn.IFNA(VLOOKUP(CONCATENATE(AL$4,$C451),'INSER DATA'!$A:$F,7,0),"")</f>
        <v/>
      </c>
      <c r="AM451" s="270" t="str">
        <f>_xlfn.IFNA(VLOOKUP(CONCATENATE(AM$4,$C451),'INSER DATA'!$A:$F,7,0),"")</f>
        <v/>
      </c>
      <c r="AN451" s="270" t="str">
        <f>_xlfn.IFNA(VLOOKUP(CONCATENATE(AN$4,$C451),'INSER DATA'!$A:$F,7,0),"")</f>
        <v/>
      </c>
      <c r="AO451" s="270" t="str">
        <f>_xlfn.IFNA(VLOOKUP(CONCATENATE(AO$4,$C451),'INSER DATA'!$A:$F,7,0),"")</f>
        <v/>
      </c>
      <c r="AP451" s="270" t="str">
        <f>_xlfn.IFNA(VLOOKUP(CONCATENATE(AP$4,$C451),'INSER DATA'!$A:$F,7,0),"")</f>
        <v/>
      </c>
      <c r="AQ451" s="270" t="str">
        <f>_xlfn.IFNA(VLOOKUP(CONCATENATE(AQ$4,$C451),'INSER DATA'!$A:$F,7,0),"")</f>
        <v/>
      </c>
      <c r="AR451" s="270" t="str">
        <f>_xlfn.IFNA(VLOOKUP(CONCATENATE(AR$4,$C451),'INSER DATA'!$A:$F,7,0),"")</f>
        <v/>
      </c>
      <c r="AS451" s="270" t="str">
        <f>_xlfn.IFNA(VLOOKUP(CONCATENATE(AS$4,$C451),'INSER DATA'!$A:$F,7,0),"")</f>
        <v/>
      </c>
      <c r="AT451" s="270" t="str">
        <f>_xlfn.IFNA(VLOOKUP(CONCATENATE(AT$4,$C451),'INSER DATA'!$A:$F,7,0),"")</f>
        <v/>
      </c>
      <c r="AU451" s="270" t="str">
        <f>_xlfn.IFNA(VLOOKUP(CONCATENATE(AU$4,$C451),'INSER DATA'!$A:$F,7,0),"")</f>
        <v/>
      </c>
      <c r="AV451" s="270" t="str">
        <f>_xlfn.IFNA(VLOOKUP(CONCATENATE(AV$4,$C451),'INSER DATA'!$A:$F,7,0),"")</f>
        <v/>
      </c>
      <c r="AW451" s="270" t="str">
        <f>_xlfn.IFNA(VLOOKUP(CONCATENATE(AW$4,$C451),'INSER DATA'!$A:$F,7,0),"")</f>
        <v/>
      </c>
      <c r="AX451" s="270" t="str">
        <f>_xlfn.IFNA(VLOOKUP(CONCATENATE(AX$4,$C451),'INSER DATA'!$A:$F,7,0),"")</f>
        <v/>
      </c>
      <c r="AY451" s="270" t="str">
        <f>_xlfn.IFNA(VLOOKUP(CONCATENATE(AY$4,$C451),'INSER DATA'!$A:$F,7,0),"")</f>
        <v/>
      </c>
      <c r="AZ451" s="270" t="str">
        <f>_xlfn.IFNA(VLOOKUP(CONCATENATE(AZ$4,$C451),'INSER DATA'!$A:$F,7,0),"")</f>
        <v/>
      </c>
      <c r="BA451" s="270" t="str">
        <f>_xlfn.IFNA(VLOOKUP(CONCATENATE(BA$4,$C451),'INSER DATA'!$A:$F,7,0),"")</f>
        <v/>
      </c>
      <c r="BB451" s="270" t="str">
        <f>_xlfn.IFNA(VLOOKUP(CONCATENATE(BB$4,$C451),'INSER DATA'!$A:$F,7,0),"")</f>
        <v/>
      </c>
      <c r="BC451" s="270" t="str">
        <f>_xlfn.IFNA(VLOOKUP(CONCATENATE(BC$4,$C451),'INSER DATA'!$A:$F,7,0),"")</f>
        <v/>
      </c>
      <c r="BD451" s="270" t="str">
        <f>_xlfn.IFNA(VLOOKUP(CONCATENATE(BD$4,$C451),'INSER DATA'!$A:$F,7,0),"")</f>
        <v/>
      </c>
      <c r="BE451" s="270" t="str">
        <f>_xlfn.IFNA(VLOOKUP(CONCATENATE(BE$4,$C451),'INSER DATA'!$A:$F,7,0),"")</f>
        <v/>
      </c>
      <c r="BF451" s="270" t="str">
        <f>_xlfn.IFNA(VLOOKUP(CONCATENATE(BF$4,$C451),'INSER DATA'!$A:$F,7,0),"")</f>
        <v/>
      </c>
      <c r="BG451" s="270" t="str">
        <f>_xlfn.IFNA(VLOOKUP(CONCATENATE(BG$4,$C451),'INSER DATA'!$A:$F,7,0),"")</f>
        <v/>
      </c>
      <c r="BH451" s="270" t="str">
        <f>_xlfn.IFNA(VLOOKUP(CONCATENATE(BH$4,$C451),'INSER DATA'!$A:$F,7,0),"")</f>
        <v/>
      </c>
      <c r="BI451" s="270" t="str">
        <f>_xlfn.IFNA(VLOOKUP(CONCATENATE(BI$4,$C451),'INSER DATA'!$A:$F,7,0),"")</f>
        <v/>
      </c>
      <c r="BJ451" s="270" t="str">
        <f>_xlfn.IFNA(VLOOKUP(CONCATENATE(BJ$4,$C451),'INSER DATA'!$A:$F,7,0),"")</f>
        <v/>
      </c>
      <c r="BK451" s="270" t="str">
        <f>_xlfn.IFNA(VLOOKUP(CONCATENATE(BK$4,$C451),'INSER DATA'!$A:$F,7,0),"")</f>
        <v/>
      </c>
      <c r="BL451" s="272"/>
      <c r="BM451" s="30"/>
      <c r="BN451" s="30"/>
      <c r="BO451" s="30"/>
      <c r="BP451" s="30"/>
      <c r="BQ451" s="30"/>
      <c r="BR451" s="30"/>
      <c r="BS451" s="30"/>
      <c r="BT451" s="30"/>
      <c r="BU451" s="30"/>
      <c r="BV451" s="30"/>
      <c r="BW451" s="30"/>
      <c r="BX451" s="30"/>
      <c r="BY451" s="30"/>
      <c r="BZ451" s="30"/>
      <c r="CA451" s="30"/>
      <c r="CB451" s="30"/>
      <c r="CC451" s="30"/>
      <c r="CD451" s="30"/>
      <c r="CE451" s="30"/>
      <c r="CF451" s="30"/>
      <c r="CG451" s="30"/>
      <c r="CH451" s="30"/>
      <c r="CI451" s="30"/>
      <c r="CJ451" s="30"/>
      <c r="CK451" s="30"/>
      <c r="CL451" s="30"/>
      <c r="CM451" s="30"/>
      <c r="CN451" s="30"/>
      <c r="CO451" s="30"/>
      <c r="CP451" s="30"/>
      <c r="CQ451" s="30"/>
      <c r="CR451" s="30"/>
      <c r="CS451" s="30"/>
      <c r="CT451" s="30"/>
      <c r="CU451" s="30"/>
      <c r="CV451" s="30"/>
      <c r="CW451" s="30"/>
      <c r="CX451" s="30"/>
      <c r="CY451" s="30"/>
      <c r="CZ451" s="30"/>
      <c r="DA451" s="30"/>
    </row>
    <row r="452" spans="1:105" ht="19.2" thickTop="1" thickBot="1" x14ac:dyDescent="0.4">
      <c r="A452" s="30"/>
      <c r="B452" s="30"/>
      <c r="C452" s="185" t="s">
        <v>944</v>
      </c>
      <c r="D452" s="46" t="s">
        <v>934</v>
      </c>
      <c r="E452" s="35" t="str">
        <f>_xlfn.XLOOKUP(Tabella4[[#This Row],[NOME]],'ROSE SQUADRE'!$N$3:$N$253,'ROSE SQUADRE'!$O$3:$O$253,"")</f>
        <v/>
      </c>
      <c r="F452" s="36" t="s">
        <v>162</v>
      </c>
      <c r="G452" s="43">
        <v>4</v>
      </c>
      <c r="H452" s="43">
        <v>4</v>
      </c>
      <c r="I452" s="44">
        <f t="shared" si="37"/>
        <v>0</v>
      </c>
      <c r="J452" s="37">
        <f t="shared" si="38"/>
        <v>4</v>
      </c>
      <c r="K452" s="38">
        <f t="shared" si="39"/>
        <v>6</v>
      </c>
      <c r="L452" s="38">
        <f t="shared" si="40"/>
        <v>6</v>
      </c>
      <c r="M452" s="39">
        <f t="shared" si="41"/>
        <v>24</v>
      </c>
      <c r="N452" s="45">
        <f t="shared" ca="1" si="43"/>
        <v>0</v>
      </c>
      <c r="O452" s="40">
        <f>SUMIF(Tabella1[Nome],Tabella4[[#This Row],[NOME]],Tabella1[Gf])</f>
        <v>0</v>
      </c>
      <c r="P452" s="40">
        <f>-(SUMIF(Tabella1[Nome],Tabella4[[#This Row],[NOME]],Tabella1[Gs]))</f>
        <v>0</v>
      </c>
      <c r="Q452" s="40">
        <f>SUMIF(Tabella1[Nome],Tabella4[[#This Row],[NOME]],Tabella1[Rp])</f>
        <v>0</v>
      </c>
      <c r="R452" s="40">
        <f>SUMIF(Tabella1[Nome],Tabella4[[#This Row],[NOME]],Tabella1[Rs])</f>
        <v>0</v>
      </c>
      <c r="S452" s="40">
        <f>SUMIF(Tabella1[Nome],Tabella4[[#This Row],[NOME]],Tabella1[Rf])</f>
        <v>0</v>
      </c>
      <c r="T452" s="40">
        <f>SUMIF(Tabella1[Nome],Tabella4[[#This Row],[NOME]],Tabella1[Au])</f>
        <v>0</v>
      </c>
      <c r="U452" s="41">
        <f>SUMIF(Tabella1[Nome],Tabella4[[#This Row],[NOME]],Tabella1[Amm])</f>
        <v>0</v>
      </c>
      <c r="V452" s="42">
        <f>SUMIF(Tabella1[Nome],Tabella4[[#This Row],[NOME]],Tabella1[Esp])</f>
        <v>0</v>
      </c>
      <c r="W452" s="40">
        <f>SUMIF(Tabella1[Nome],Tabella4[[#This Row],[NOME]],Tabella1[Ass])</f>
        <v>0</v>
      </c>
      <c r="X452" s="40">
        <f>SUMIF(Tabella1[Nome],Tabella4[[#This Row],[NOME]],Tabella1[Gdv])</f>
        <v>0</v>
      </c>
      <c r="Y452" s="40">
        <f>SUMIF(Tabella1[Nome],Tabella4[[#This Row],[NOME]],Tabella1[cl sh])</f>
        <v>0</v>
      </c>
      <c r="Z452" s="270">
        <f>_xlfn.IFNA(_xlfn.XLOOKUP(CONCATENATE(Z$4,$C452),Tabella1[CONC X VOTI IN TAB GIOC],Tabella1[Voto],""),"")</f>
        <v>6</v>
      </c>
      <c r="AA452" s="270">
        <f>_xlfn.IFNA(_xlfn.XLOOKUP(CONCATENATE(AA$4,$C452),Tabella1[CONC X VOTI IN TAB GIOC],Tabella1[Voto],""),"")</f>
        <v>6</v>
      </c>
      <c r="AB452" s="270">
        <f>_xlfn.IFNA(_xlfn.XLOOKUP(CONCATENATE(AB$4,$C452),Tabella1[CONC X VOTI IN TAB GIOC],Tabella1[Voto]),"")</f>
        <v>6.5</v>
      </c>
      <c r="AC452" s="270" cm="1">
        <f t="array" ref="AC452">_xlfn.IFNA(_xlfn.XLOOKUP(CONCATENATE(AC$4,$C452),INDEX(Tabella1[],0,MATCH("CONC X VOTI IN TAB GIOC",Tabella1[#Headers],0)),INDEX(Tabella1[],0,MATCH("Voto",Tabella1[#Headers],0))),"")</f>
        <v>5.5</v>
      </c>
      <c r="AD452" s="270" t="str">
        <f>_xlfn.IFNA(_xlfn.XLOOKUP(CONCATENATE(AD$4,$C452),Tabella1[CONC X VOTI IN TAB GIOC],Tabella1[Voto]),"")</f>
        <v/>
      </c>
      <c r="AE452" s="270" t="str">
        <f>_xlfn.IFNA(VLOOKUP(CONCATENATE(AE$4,$C452),'INSER DATA'!$A:$F,6,0),"")</f>
        <v/>
      </c>
      <c r="AF452" s="270" t="str">
        <f>_xlfn.IFNA(VLOOKUP(CONCATENATE(AF$4,$C452),'INSER DATA'!$A:$F,6,0),"")</f>
        <v/>
      </c>
      <c r="AG452" s="270" t="str">
        <f>_xlfn.IFNA(VLOOKUP(CONCATENATE(AG$4,$C452),'INSER DATA'!$A:$F,6,0),"")</f>
        <v/>
      </c>
      <c r="AH452" s="270" t="str">
        <f>_xlfn.IFNA(VLOOKUP(CONCATENATE(AH$4,$C452),'INSER DATA'!$A:$F,7,0),"")</f>
        <v/>
      </c>
      <c r="AI452" s="270" t="str">
        <f>_xlfn.IFNA(VLOOKUP(CONCATENATE(AI$4,$C452),'INSER DATA'!$A:$F,7,0),"")</f>
        <v/>
      </c>
      <c r="AJ452" s="270" t="str">
        <f>_xlfn.IFNA(VLOOKUP(CONCATENATE(AJ$4,$C452),'INSER DATA'!$A:$F,7,0),"")</f>
        <v/>
      </c>
      <c r="AK452" s="270" t="str">
        <f>_xlfn.IFNA(VLOOKUP(CONCATENATE(AK$4,$C452),'INSER DATA'!$A:$F,7,0),"")</f>
        <v/>
      </c>
      <c r="AL452" s="270" t="str">
        <f>_xlfn.IFNA(VLOOKUP(CONCATENATE(AL$4,$C452),'INSER DATA'!$A:$F,7,0),"")</f>
        <v/>
      </c>
      <c r="AM452" s="270" t="str">
        <f>_xlfn.IFNA(VLOOKUP(CONCATENATE(AM$4,$C452),'INSER DATA'!$A:$F,7,0),"")</f>
        <v/>
      </c>
      <c r="AN452" s="270" t="str">
        <f>_xlfn.IFNA(VLOOKUP(CONCATENATE(AN$4,$C452),'INSER DATA'!$A:$F,7,0),"")</f>
        <v/>
      </c>
      <c r="AO452" s="270" t="str">
        <f>_xlfn.IFNA(VLOOKUP(CONCATENATE(AO$4,$C452),'INSER DATA'!$A:$F,7,0),"")</f>
        <v/>
      </c>
      <c r="AP452" s="270" t="str">
        <f>_xlfn.IFNA(VLOOKUP(CONCATENATE(AP$4,$C452),'INSER DATA'!$A:$F,7,0),"")</f>
        <v/>
      </c>
      <c r="AQ452" s="270" t="str">
        <f>_xlfn.IFNA(VLOOKUP(CONCATENATE(AQ$4,$C452),'INSER DATA'!$A:$F,7,0),"")</f>
        <v/>
      </c>
      <c r="AR452" s="270" t="str">
        <f>_xlfn.IFNA(VLOOKUP(CONCATENATE(AR$4,$C452),'INSER DATA'!$A:$F,7,0),"")</f>
        <v/>
      </c>
      <c r="AS452" s="270" t="str">
        <f>_xlfn.IFNA(VLOOKUP(CONCATENATE(AS$4,$C452),'INSER DATA'!$A:$F,7,0),"")</f>
        <v/>
      </c>
      <c r="AT452" s="270" t="str">
        <f>_xlfn.IFNA(VLOOKUP(CONCATENATE(AT$4,$C452),'INSER DATA'!$A:$F,7,0),"")</f>
        <v/>
      </c>
      <c r="AU452" s="270" t="str">
        <f>_xlfn.IFNA(VLOOKUP(CONCATENATE(AU$4,$C452),'INSER DATA'!$A:$F,7,0),"")</f>
        <v/>
      </c>
      <c r="AV452" s="270" t="str">
        <f>_xlfn.IFNA(VLOOKUP(CONCATENATE(AV$4,$C452),'INSER DATA'!$A:$F,7,0),"")</f>
        <v/>
      </c>
      <c r="AW452" s="270" t="str">
        <f>_xlfn.IFNA(VLOOKUP(CONCATENATE(AW$4,$C452),'INSER DATA'!$A:$F,7,0),"")</f>
        <v/>
      </c>
      <c r="AX452" s="270" t="str">
        <f>_xlfn.IFNA(VLOOKUP(CONCATENATE(AX$4,$C452),'INSER DATA'!$A:$F,7,0),"")</f>
        <v/>
      </c>
      <c r="AY452" s="270" t="str">
        <f>_xlfn.IFNA(VLOOKUP(CONCATENATE(AY$4,$C452),'INSER DATA'!$A:$F,7,0),"")</f>
        <v/>
      </c>
      <c r="AZ452" s="270" t="str">
        <f>_xlfn.IFNA(VLOOKUP(CONCATENATE(AZ$4,$C452),'INSER DATA'!$A:$F,7,0),"")</f>
        <v/>
      </c>
      <c r="BA452" s="270" t="str">
        <f>_xlfn.IFNA(VLOOKUP(CONCATENATE(BA$4,$C452),'INSER DATA'!$A:$F,7,0),"")</f>
        <v/>
      </c>
      <c r="BB452" s="270" t="str">
        <f>_xlfn.IFNA(VLOOKUP(CONCATENATE(BB$4,$C452),'INSER DATA'!$A:$F,7,0),"")</f>
        <v/>
      </c>
      <c r="BC452" s="270" t="str">
        <f>_xlfn.IFNA(VLOOKUP(CONCATENATE(BC$4,$C452),'INSER DATA'!$A:$F,7,0),"")</f>
        <v/>
      </c>
      <c r="BD452" s="270" t="str">
        <f>_xlfn.IFNA(VLOOKUP(CONCATENATE(BD$4,$C452),'INSER DATA'!$A:$F,7,0),"")</f>
        <v/>
      </c>
      <c r="BE452" s="270" t="str">
        <f>_xlfn.IFNA(VLOOKUP(CONCATENATE(BE$4,$C452),'INSER DATA'!$A:$F,7,0),"")</f>
        <v/>
      </c>
      <c r="BF452" s="270" t="str">
        <f>_xlfn.IFNA(VLOOKUP(CONCATENATE(BF$4,$C452),'INSER DATA'!$A:$F,7,0),"")</f>
        <v/>
      </c>
      <c r="BG452" s="270" t="str">
        <f>_xlfn.IFNA(VLOOKUP(CONCATENATE(BG$4,$C452),'INSER DATA'!$A:$F,7,0),"")</f>
        <v/>
      </c>
      <c r="BH452" s="270" t="str">
        <f>_xlfn.IFNA(VLOOKUP(CONCATENATE(BH$4,$C452),'INSER DATA'!$A:$F,7,0),"")</f>
        <v/>
      </c>
      <c r="BI452" s="270" t="str">
        <f>_xlfn.IFNA(VLOOKUP(CONCATENATE(BI$4,$C452),'INSER DATA'!$A:$F,7,0),"")</f>
        <v/>
      </c>
      <c r="BJ452" s="270" t="str">
        <f>_xlfn.IFNA(VLOOKUP(CONCATENATE(BJ$4,$C452),'INSER DATA'!$A:$F,7,0),"")</f>
        <v/>
      </c>
      <c r="BK452" s="270" t="str">
        <f>_xlfn.IFNA(VLOOKUP(CONCATENATE(BK$4,$C452),'INSER DATA'!$A:$F,7,0),"")</f>
        <v/>
      </c>
      <c r="BL452" s="272"/>
      <c r="BM452" s="30"/>
      <c r="BN452" s="30"/>
      <c r="BO452" s="30"/>
      <c r="BP452" s="30"/>
      <c r="BQ452" s="30"/>
      <c r="BR452" s="30"/>
      <c r="BS452" s="30"/>
      <c r="BT452" s="30"/>
      <c r="BU452" s="30"/>
      <c r="BV452" s="30"/>
      <c r="BW452" s="30"/>
      <c r="BX452" s="30"/>
      <c r="BY452" s="30"/>
      <c r="BZ452" s="30"/>
      <c r="CA452" s="30"/>
      <c r="CB452" s="30"/>
      <c r="CC452" s="30"/>
      <c r="CD452" s="30"/>
      <c r="CE452" s="30"/>
      <c r="CF452" s="30"/>
      <c r="CG452" s="30"/>
      <c r="CH452" s="30"/>
      <c r="CI452" s="30"/>
      <c r="CJ452" s="30"/>
      <c r="CK452" s="30"/>
      <c r="CL452" s="30"/>
      <c r="CM452" s="30"/>
      <c r="CN452" s="30"/>
      <c r="CO452" s="30"/>
      <c r="CP452" s="30"/>
      <c r="CQ452" s="30"/>
      <c r="CR452" s="30"/>
      <c r="CS452" s="30"/>
      <c r="CT452" s="30"/>
      <c r="CU452" s="30"/>
      <c r="CV452" s="30"/>
      <c r="CW452" s="30"/>
      <c r="CX452" s="30"/>
      <c r="CY452" s="30"/>
      <c r="CZ452" s="30"/>
      <c r="DA452" s="30"/>
    </row>
    <row r="453" spans="1:105" ht="19.2" thickTop="1" thickBot="1" x14ac:dyDescent="0.4">
      <c r="A453" s="30"/>
      <c r="B453" s="30"/>
      <c r="C453" s="185" t="s">
        <v>933</v>
      </c>
      <c r="D453" s="46" t="s">
        <v>934</v>
      </c>
      <c r="E453" s="35" t="str">
        <f>_xlfn.XLOOKUP(Tabella4[[#This Row],[NOME]],'ROSE SQUADRE'!$N$3:$N$253,'ROSE SQUADRE'!$O$3:$O$253,"")</f>
        <v/>
      </c>
      <c r="F453" s="36" t="s">
        <v>5</v>
      </c>
      <c r="G453" s="43">
        <v>1</v>
      </c>
      <c r="H453" s="43">
        <v>1</v>
      </c>
      <c r="I453" s="44">
        <f t="shared" ref="I453:I516" si="44">SUM(H453-G453)</f>
        <v>0</v>
      </c>
      <c r="J453" s="37">
        <f t="shared" ref="J453:J516" si="45">COUNT(Z453:CJ453)</f>
        <v>2</v>
      </c>
      <c r="K453" s="178">
        <f t="shared" ref="K453:K516" si="46">IF(J453=0,0,AVERAGE(Z453:CJ453))</f>
        <v>5.75</v>
      </c>
      <c r="L453" s="178">
        <f t="shared" ref="L453:L516" si="47">IF(J453=0,0,M453/J453)</f>
        <v>3.75</v>
      </c>
      <c r="M453" s="179">
        <f t="shared" ref="M453:M516" si="48">SUM(Z453:CJ453)+(O453*3)+P453+(Q453*3)-(R453*3)-(T453*2)-(U453/2)-V453+W453+X453+Y453</f>
        <v>7.5</v>
      </c>
      <c r="N453" s="45">
        <f t="shared" ca="1" si="43"/>
        <v>0</v>
      </c>
      <c r="O453" s="40">
        <f>SUMIF(Tabella1[Nome],Tabella4[[#This Row],[NOME]],Tabella1[Gf])</f>
        <v>0</v>
      </c>
      <c r="P453" s="40">
        <f>-(SUMIF(Tabella1[Nome],Tabella4[[#This Row],[NOME]],Tabella1[Gs]))</f>
        <v>-4</v>
      </c>
      <c r="Q453" s="40">
        <f>SUMIF(Tabella1[Nome],Tabella4[[#This Row],[NOME]],Tabella1[Rp])</f>
        <v>0</v>
      </c>
      <c r="R453" s="40">
        <f>SUMIF(Tabella1[Nome],Tabella4[[#This Row],[NOME]],Tabella1[Rs])</f>
        <v>0</v>
      </c>
      <c r="S453" s="40">
        <f>SUMIF(Tabella1[Nome],Tabella4[[#This Row],[NOME]],Tabella1[Rf])</f>
        <v>0</v>
      </c>
      <c r="T453" s="40">
        <f>SUMIF(Tabella1[Nome],Tabella4[[#This Row],[NOME]],Tabella1[Au])</f>
        <v>0</v>
      </c>
      <c r="U453" s="41">
        <f>SUMIF(Tabella1[Nome],Tabella4[[#This Row],[NOME]],Tabella1[Amm])</f>
        <v>0</v>
      </c>
      <c r="V453" s="42">
        <f>SUMIF(Tabella1[Nome],Tabella4[[#This Row],[NOME]],Tabella1[Esp])</f>
        <v>0</v>
      </c>
      <c r="W453" s="40">
        <f>SUMIF(Tabella1[Nome],Tabella4[[#This Row],[NOME]],Tabella1[Ass])</f>
        <v>0</v>
      </c>
      <c r="X453" s="40">
        <f>SUMIF(Tabella1[Nome],Tabella4[[#This Row],[NOME]],Tabella1[Gdv])</f>
        <v>0</v>
      </c>
      <c r="Y453" s="40">
        <f>SUMIF(Tabella1[Nome],Tabella4[[#This Row],[NOME]],Tabella1[cl sh])</f>
        <v>0</v>
      </c>
      <c r="Z453" s="270">
        <f>_xlfn.IFNA(_xlfn.XLOOKUP(CONCATENATE(Z$4,$C453),Tabella1[CONC X VOTI IN TAB GIOC],Tabella1[Voto],""),"")</f>
        <v>6</v>
      </c>
      <c r="AA453" s="270">
        <f>_xlfn.IFNA(_xlfn.XLOOKUP(CONCATENATE(AA$4,$C453),Tabella1[CONC X VOTI IN TAB GIOC],Tabella1[Voto],""),"")</f>
        <v>5.5</v>
      </c>
      <c r="AB453" s="270" t="str">
        <f>_xlfn.IFNA(_xlfn.XLOOKUP(CONCATENATE(AB$4,$C453),Tabella1[CONC X VOTI IN TAB GIOC],Tabella1[Voto]),"")</f>
        <v/>
      </c>
      <c r="AC453" s="270" t="str" cm="1">
        <f t="array" ref="AC453">_xlfn.IFNA(_xlfn.XLOOKUP(CONCATENATE(AC$4,$C453),INDEX(Tabella1[],0,MATCH("CONC X VOTI IN TAB GIOC",Tabella1[#Headers],0)),INDEX(Tabella1[],0,MATCH("Voto",Tabella1[#Headers],0))),"")</f>
        <v/>
      </c>
      <c r="AD453" s="270" t="str">
        <f>_xlfn.IFNA(_xlfn.XLOOKUP(CONCATENATE(AD$4,$C453),Tabella1[CONC X VOTI IN TAB GIOC],Tabella1[Voto]),"")</f>
        <v/>
      </c>
      <c r="AE453" s="270" t="str">
        <f>_xlfn.IFNA(VLOOKUP(CONCATENATE(AE$4,$C453),'INSER DATA'!$A:$F,6,0),"")</f>
        <v/>
      </c>
      <c r="AF453" s="270" t="str">
        <f>_xlfn.IFNA(VLOOKUP(CONCATENATE(AF$4,$C453),'INSER DATA'!$A:$F,6,0),"")</f>
        <v/>
      </c>
      <c r="AG453" s="270" t="str">
        <f>_xlfn.IFNA(VLOOKUP(CONCATENATE(AG$4,$C453),'INSER DATA'!$A:$F,6,0),"")</f>
        <v/>
      </c>
      <c r="AH453" s="270" t="str">
        <f>_xlfn.IFNA(VLOOKUP(CONCATENATE(AH$4,$C453),'INSER DATA'!$A:$F,7,0),"")</f>
        <v/>
      </c>
      <c r="AI453" s="270" t="str">
        <f>_xlfn.IFNA(VLOOKUP(CONCATENATE(AI$4,$C453),'INSER DATA'!$A:$F,7,0),"")</f>
        <v/>
      </c>
      <c r="AJ453" s="270" t="str">
        <f>_xlfn.IFNA(VLOOKUP(CONCATENATE(AJ$4,$C453),'INSER DATA'!$A:$F,7,0),"")</f>
        <v/>
      </c>
      <c r="AK453" s="270" t="str">
        <f>_xlfn.IFNA(VLOOKUP(CONCATENATE(AK$4,$C453),'INSER DATA'!$A:$F,7,0),"")</f>
        <v/>
      </c>
      <c r="AL453" s="270" t="str">
        <f>_xlfn.IFNA(VLOOKUP(CONCATENATE(AL$4,$C453),'INSER DATA'!$A:$F,7,0),"")</f>
        <v/>
      </c>
      <c r="AM453" s="270" t="str">
        <f>_xlfn.IFNA(VLOOKUP(CONCATENATE(AM$4,$C453),'INSER DATA'!$A:$F,7,0),"")</f>
        <v/>
      </c>
      <c r="AN453" s="270" t="str">
        <f>_xlfn.IFNA(VLOOKUP(CONCATENATE(AN$4,$C453),'INSER DATA'!$A:$F,7,0),"")</f>
        <v/>
      </c>
      <c r="AO453" s="270" t="str">
        <f>_xlfn.IFNA(VLOOKUP(CONCATENATE(AO$4,$C453),'INSER DATA'!$A:$F,7,0),"")</f>
        <v/>
      </c>
      <c r="AP453" s="270" t="str">
        <f>_xlfn.IFNA(VLOOKUP(CONCATENATE(AP$4,$C453),'INSER DATA'!$A:$F,7,0),"")</f>
        <v/>
      </c>
      <c r="AQ453" s="270" t="str">
        <f>_xlfn.IFNA(VLOOKUP(CONCATENATE(AQ$4,$C453),'INSER DATA'!$A:$F,7,0),"")</f>
        <v/>
      </c>
      <c r="AR453" s="270" t="str">
        <f>_xlfn.IFNA(VLOOKUP(CONCATENATE(AR$4,$C453),'INSER DATA'!$A:$F,7,0),"")</f>
        <v/>
      </c>
      <c r="AS453" s="270" t="str">
        <f>_xlfn.IFNA(VLOOKUP(CONCATENATE(AS$4,$C453),'INSER DATA'!$A:$F,7,0),"")</f>
        <v/>
      </c>
      <c r="AT453" s="270" t="str">
        <f>_xlfn.IFNA(VLOOKUP(CONCATENATE(AT$4,$C453),'INSER DATA'!$A:$F,7,0),"")</f>
        <v/>
      </c>
      <c r="AU453" s="270" t="str">
        <f>_xlfn.IFNA(VLOOKUP(CONCATENATE(AU$4,$C453),'INSER DATA'!$A:$F,7,0),"")</f>
        <v/>
      </c>
      <c r="AV453" s="270" t="str">
        <f>_xlfn.IFNA(VLOOKUP(CONCATENATE(AV$4,$C453),'INSER DATA'!$A:$F,7,0),"")</f>
        <v/>
      </c>
      <c r="AW453" s="270" t="str">
        <f>_xlfn.IFNA(VLOOKUP(CONCATENATE(AW$4,$C453),'INSER DATA'!$A:$F,7,0),"")</f>
        <v/>
      </c>
      <c r="AX453" s="270" t="str">
        <f>_xlfn.IFNA(VLOOKUP(CONCATENATE(AX$4,$C453),'INSER DATA'!$A:$F,7,0),"")</f>
        <v/>
      </c>
      <c r="AY453" s="270" t="str">
        <f>_xlfn.IFNA(VLOOKUP(CONCATENATE(AY$4,$C453),'INSER DATA'!$A:$F,7,0),"")</f>
        <v/>
      </c>
      <c r="AZ453" s="270" t="str">
        <f>_xlfn.IFNA(VLOOKUP(CONCATENATE(AZ$4,$C453),'INSER DATA'!$A:$F,7,0),"")</f>
        <v/>
      </c>
      <c r="BA453" s="270" t="str">
        <f>_xlfn.IFNA(VLOOKUP(CONCATENATE(BA$4,$C453),'INSER DATA'!$A:$F,7,0),"")</f>
        <v/>
      </c>
      <c r="BB453" s="270" t="str">
        <f>_xlfn.IFNA(VLOOKUP(CONCATENATE(BB$4,$C453),'INSER DATA'!$A:$F,7,0),"")</f>
        <v/>
      </c>
      <c r="BC453" s="270" t="str">
        <f>_xlfn.IFNA(VLOOKUP(CONCATENATE(BC$4,$C453),'INSER DATA'!$A:$F,7,0),"")</f>
        <v/>
      </c>
      <c r="BD453" s="270" t="str">
        <f>_xlfn.IFNA(VLOOKUP(CONCATENATE(BD$4,$C453),'INSER DATA'!$A:$F,7,0),"")</f>
        <v/>
      </c>
      <c r="BE453" s="270" t="str">
        <f>_xlfn.IFNA(VLOOKUP(CONCATENATE(BE$4,$C453),'INSER DATA'!$A:$F,7,0),"")</f>
        <v/>
      </c>
      <c r="BF453" s="270" t="str">
        <f>_xlfn.IFNA(VLOOKUP(CONCATENATE(BF$4,$C453),'INSER DATA'!$A:$F,7,0),"")</f>
        <v/>
      </c>
      <c r="BG453" s="270" t="str">
        <f>_xlfn.IFNA(VLOOKUP(CONCATENATE(BG$4,$C453),'INSER DATA'!$A:$F,7,0),"")</f>
        <v/>
      </c>
      <c r="BH453" s="270" t="str">
        <f>_xlfn.IFNA(VLOOKUP(CONCATENATE(BH$4,$C453),'INSER DATA'!$A:$F,7,0),"")</f>
        <v/>
      </c>
      <c r="BI453" s="270" t="str">
        <f>_xlfn.IFNA(VLOOKUP(CONCATENATE(BI$4,$C453),'INSER DATA'!$A:$F,7,0),"")</f>
        <v/>
      </c>
      <c r="BJ453" s="270" t="str">
        <f>_xlfn.IFNA(VLOOKUP(CONCATENATE(BJ$4,$C453),'INSER DATA'!$A:$F,7,0),"")</f>
        <v/>
      </c>
      <c r="BK453" s="270" t="str">
        <f>_xlfn.IFNA(VLOOKUP(CONCATENATE(BK$4,$C453),'INSER DATA'!$A:$F,7,0),"")</f>
        <v/>
      </c>
      <c r="BL453" s="272"/>
      <c r="BM453" s="30"/>
      <c r="BN453" s="30"/>
      <c r="BO453" s="30"/>
      <c r="BP453" s="30"/>
      <c r="BQ453" s="30"/>
      <c r="BR453" s="30"/>
      <c r="BS453" s="30"/>
      <c r="BT453" s="30"/>
      <c r="BU453" s="30"/>
      <c r="BV453" s="30"/>
      <c r="BW453" s="30"/>
      <c r="BX453" s="30"/>
      <c r="BY453" s="30"/>
      <c r="BZ453" s="30"/>
      <c r="CA453" s="30"/>
      <c r="CB453" s="30"/>
      <c r="CC453" s="30"/>
      <c r="CD453" s="30"/>
      <c r="CE453" s="30"/>
      <c r="CF453" s="30"/>
      <c r="CG453" s="30"/>
      <c r="CH453" s="30"/>
      <c r="CI453" s="30"/>
      <c r="CJ453" s="30"/>
      <c r="CK453" s="30"/>
      <c r="CL453" s="30"/>
      <c r="CM453" s="30"/>
      <c r="CN453" s="30"/>
      <c r="CO453" s="30"/>
      <c r="CP453" s="30"/>
      <c r="CQ453" s="30"/>
      <c r="CR453" s="30"/>
      <c r="CS453" s="30"/>
      <c r="CT453" s="30"/>
      <c r="CU453" s="30"/>
      <c r="CV453" s="30"/>
      <c r="CW453" s="30"/>
      <c r="CX453" s="30"/>
      <c r="CY453" s="30"/>
      <c r="CZ453" s="30"/>
      <c r="DA453" s="30"/>
    </row>
    <row r="454" spans="1:105" ht="19.2" thickTop="1" thickBot="1" x14ac:dyDescent="0.4">
      <c r="A454" s="30"/>
      <c r="B454" s="30"/>
      <c r="C454" s="188" t="s">
        <v>572</v>
      </c>
      <c r="D454" s="187" t="s">
        <v>934</v>
      </c>
      <c r="E454" s="35" t="str">
        <f>_xlfn.XLOOKUP(Tabella4[[#This Row],[NOME]],'ROSE SQUADRE'!$N$3:$N$253,'ROSE SQUADRE'!$O$3:$O$253,"")</f>
        <v/>
      </c>
      <c r="F454" s="36" t="s">
        <v>161</v>
      </c>
      <c r="G454" s="43">
        <v>7</v>
      </c>
      <c r="H454" s="43">
        <v>7</v>
      </c>
      <c r="I454" s="44">
        <f t="shared" si="44"/>
        <v>0</v>
      </c>
      <c r="J454" s="37">
        <f t="shared" si="45"/>
        <v>4</v>
      </c>
      <c r="K454" s="38">
        <f t="shared" si="46"/>
        <v>5.875</v>
      </c>
      <c r="L454" s="38">
        <f t="shared" si="47"/>
        <v>5.875</v>
      </c>
      <c r="M454" s="39">
        <f t="shared" si="48"/>
        <v>23.5</v>
      </c>
      <c r="N454" s="45">
        <f t="shared" ca="1" si="43"/>
        <v>0</v>
      </c>
      <c r="O454" s="40">
        <f>SUMIF(Tabella1[Nome],Tabella4[[#This Row],[NOME]],Tabella1[Gf])</f>
        <v>0</v>
      </c>
      <c r="P454" s="40">
        <f>-(SUMIF(Tabella1[Nome],Tabella4[[#This Row],[NOME]],Tabella1[Gs]))</f>
        <v>0</v>
      </c>
      <c r="Q454" s="40">
        <f>SUMIF(Tabella1[Nome],Tabella4[[#This Row],[NOME]],Tabella1[Rp])</f>
        <v>0</v>
      </c>
      <c r="R454" s="40">
        <f>SUMIF(Tabella1[Nome],Tabella4[[#This Row],[NOME]],Tabella1[Rs])</f>
        <v>0</v>
      </c>
      <c r="S454" s="40">
        <f>SUMIF(Tabella1[Nome],Tabella4[[#This Row],[NOME]],Tabella1[Rf])</f>
        <v>0</v>
      </c>
      <c r="T454" s="40">
        <f>SUMIF(Tabella1[Nome],Tabella4[[#This Row],[NOME]],Tabella1[Au])</f>
        <v>0</v>
      </c>
      <c r="U454" s="41">
        <f>SUMIF(Tabella1[Nome],Tabella4[[#This Row],[NOME]],Tabella1[Amm])</f>
        <v>0</v>
      </c>
      <c r="V454" s="42">
        <f>SUMIF(Tabella1[Nome],Tabella4[[#This Row],[NOME]],Tabella1[Esp])</f>
        <v>0</v>
      </c>
      <c r="W454" s="40">
        <f>SUMIF(Tabella1[Nome],Tabella4[[#This Row],[NOME]],Tabella1[Ass])</f>
        <v>0</v>
      </c>
      <c r="X454" s="40">
        <f>SUMIF(Tabella1[Nome],Tabella4[[#This Row],[NOME]],Tabella1[Gdv])</f>
        <v>0</v>
      </c>
      <c r="Y454" s="40">
        <f>SUMIF(Tabella1[Nome],Tabella4[[#This Row],[NOME]],Tabella1[cl sh])</f>
        <v>0</v>
      </c>
      <c r="Z454" s="270">
        <f>_xlfn.IFNA(_xlfn.XLOOKUP(CONCATENATE(Z$4,$C454),Tabella1[CONC X VOTI IN TAB GIOC],Tabella1[Voto],""),"")</f>
        <v>5.5</v>
      </c>
      <c r="AA454" s="270">
        <f>_xlfn.IFNA(_xlfn.XLOOKUP(CONCATENATE(AA$4,$C454),Tabella1[CONC X VOTI IN TAB GIOC],Tabella1[Voto],""),"")</f>
        <v>6</v>
      </c>
      <c r="AB454" s="270">
        <f>_xlfn.IFNA(_xlfn.XLOOKUP(CONCATENATE(AB$4,$C454),Tabella1[CONC X VOTI IN TAB GIOC],Tabella1[Voto]),"")</f>
        <v>6</v>
      </c>
      <c r="AC454" s="270" cm="1">
        <f t="array" ref="AC454">_xlfn.IFNA(_xlfn.XLOOKUP(CONCATENATE(AC$4,$C454),INDEX(Tabella1[],0,MATCH("CONC X VOTI IN TAB GIOC",Tabella1[#Headers],0)),INDEX(Tabella1[],0,MATCH("Voto",Tabella1[#Headers],0))),"")</f>
        <v>6</v>
      </c>
      <c r="AD454" s="270" t="str">
        <f>_xlfn.IFNA(_xlfn.XLOOKUP(CONCATENATE(AD$4,$C454),Tabella1[CONC X VOTI IN TAB GIOC],Tabella1[Voto]),"")</f>
        <v/>
      </c>
      <c r="AE454" s="270" t="str">
        <f>_xlfn.IFNA(VLOOKUP(CONCATENATE(AE$4,$C454),'INSER DATA'!$A:$F,6,0),"")</f>
        <v/>
      </c>
      <c r="AF454" s="270" t="str">
        <f>_xlfn.IFNA(VLOOKUP(CONCATENATE(AF$4,$C454),'INSER DATA'!$A:$F,6,0),"")</f>
        <v/>
      </c>
      <c r="AG454" s="270" t="str">
        <f>_xlfn.IFNA(VLOOKUP(CONCATENATE(AG$4,$C454),'INSER DATA'!$A:$F,6,0),"")</f>
        <v/>
      </c>
      <c r="AH454" s="270" t="str">
        <f>_xlfn.IFNA(VLOOKUP(CONCATENATE(AH$4,$C454),'INSER DATA'!$A:$F,7,0),"")</f>
        <v/>
      </c>
      <c r="AI454" s="270" t="str">
        <f>_xlfn.IFNA(VLOOKUP(CONCATENATE(AI$4,$C454),'INSER DATA'!$A:$F,7,0),"")</f>
        <v/>
      </c>
      <c r="AJ454" s="270" t="str">
        <f>_xlfn.IFNA(VLOOKUP(CONCATENATE(AJ$4,$C454),'INSER DATA'!$A:$F,7,0),"")</f>
        <v/>
      </c>
      <c r="AK454" s="270" t="str">
        <f>_xlfn.IFNA(VLOOKUP(CONCATENATE(AK$4,$C454),'INSER DATA'!$A:$F,7,0),"")</f>
        <v/>
      </c>
      <c r="AL454" s="270" t="str">
        <f>_xlfn.IFNA(VLOOKUP(CONCATENATE(AL$4,$C454),'INSER DATA'!$A:$F,7,0),"")</f>
        <v/>
      </c>
      <c r="AM454" s="270" t="str">
        <f>_xlfn.IFNA(VLOOKUP(CONCATENATE(AM$4,$C454),'INSER DATA'!$A:$F,7,0),"")</f>
        <v/>
      </c>
      <c r="AN454" s="270" t="str">
        <f>_xlfn.IFNA(VLOOKUP(CONCATENATE(AN$4,$C454),'INSER DATA'!$A:$F,7,0),"")</f>
        <v/>
      </c>
      <c r="AO454" s="270" t="str">
        <f>_xlfn.IFNA(VLOOKUP(CONCATENATE(AO$4,$C454),'INSER DATA'!$A:$F,7,0),"")</f>
        <v/>
      </c>
      <c r="AP454" s="270" t="str">
        <f>_xlfn.IFNA(VLOOKUP(CONCATENATE(AP$4,$C454),'INSER DATA'!$A:$F,7,0),"")</f>
        <v/>
      </c>
      <c r="AQ454" s="270" t="str">
        <f>_xlfn.IFNA(VLOOKUP(CONCATENATE(AQ$4,$C454),'INSER DATA'!$A:$F,7,0),"")</f>
        <v/>
      </c>
      <c r="AR454" s="270" t="str">
        <f>_xlfn.IFNA(VLOOKUP(CONCATENATE(AR$4,$C454),'INSER DATA'!$A:$F,7,0),"")</f>
        <v/>
      </c>
      <c r="AS454" s="270" t="str">
        <f>_xlfn.IFNA(VLOOKUP(CONCATENATE(AS$4,$C454),'INSER DATA'!$A:$F,7,0),"")</f>
        <v/>
      </c>
      <c r="AT454" s="270" t="str">
        <f>_xlfn.IFNA(VLOOKUP(CONCATENATE(AT$4,$C454),'INSER DATA'!$A:$F,7,0),"")</f>
        <v/>
      </c>
      <c r="AU454" s="270" t="str">
        <f>_xlfn.IFNA(VLOOKUP(CONCATENATE(AU$4,$C454),'INSER DATA'!$A:$F,7,0),"")</f>
        <v/>
      </c>
      <c r="AV454" s="270" t="str">
        <f>_xlfn.IFNA(VLOOKUP(CONCATENATE(AV$4,$C454),'INSER DATA'!$A:$F,7,0),"")</f>
        <v/>
      </c>
      <c r="AW454" s="270" t="str">
        <f>_xlfn.IFNA(VLOOKUP(CONCATENATE(AW$4,$C454),'INSER DATA'!$A:$F,7,0),"")</f>
        <v/>
      </c>
      <c r="AX454" s="270" t="str">
        <f>_xlfn.IFNA(VLOOKUP(CONCATENATE(AX$4,$C454),'INSER DATA'!$A:$F,7,0),"")</f>
        <v/>
      </c>
      <c r="AY454" s="270" t="str">
        <f>_xlfn.IFNA(VLOOKUP(CONCATENATE(AY$4,$C454),'INSER DATA'!$A:$F,7,0),"")</f>
        <v/>
      </c>
      <c r="AZ454" s="270" t="str">
        <f>_xlfn.IFNA(VLOOKUP(CONCATENATE(AZ$4,$C454),'INSER DATA'!$A:$F,7,0),"")</f>
        <v/>
      </c>
      <c r="BA454" s="270" t="str">
        <f>_xlfn.IFNA(VLOOKUP(CONCATENATE(BA$4,$C454),'INSER DATA'!$A:$F,7,0),"")</f>
        <v/>
      </c>
      <c r="BB454" s="270" t="str">
        <f>_xlfn.IFNA(VLOOKUP(CONCATENATE(BB$4,$C454),'INSER DATA'!$A:$F,7,0),"")</f>
        <v/>
      </c>
      <c r="BC454" s="270" t="str">
        <f>_xlfn.IFNA(VLOOKUP(CONCATENATE(BC$4,$C454),'INSER DATA'!$A:$F,7,0),"")</f>
        <v/>
      </c>
      <c r="BD454" s="270" t="str">
        <f>_xlfn.IFNA(VLOOKUP(CONCATENATE(BD$4,$C454),'INSER DATA'!$A:$F,7,0),"")</f>
        <v/>
      </c>
      <c r="BE454" s="270" t="str">
        <f>_xlfn.IFNA(VLOOKUP(CONCATENATE(BE$4,$C454),'INSER DATA'!$A:$F,7,0),"")</f>
        <v/>
      </c>
      <c r="BF454" s="270" t="str">
        <f>_xlfn.IFNA(VLOOKUP(CONCATENATE(BF$4,$C454),'INSER DATA'!$A:$F,7,0),"")</f>
        <v/>
      </c>
      <c r="BG454" s="270" t="str">
        <f>_xlfn.IFNA(VLOOKUP(CONCATENATE(BG$4,$C454),'INSER DATA'!$A:$F,7,0),"")</f>
        <v/>
      </c>
      <c r="BH454" s="270" t="str">
        <f>_xlfn.IFNA(VLOOKUP(CONCATENATE(BH$4,$C454),'INSER DATA'!$A:$F,7,0),"")</f>
        <v/>
      </c>
      <c r="BI454" s="270" t="str">
        <f>_xlfn.IFNA(VLOOKUP(CONCATENATE(BI$4,$C454),'INSER DATA'!$A:$F,7,0),"")</f>
        <v/>
      </c>
      <c r="BJ454" s="270" t="str">
        <f>_xlfn.IFNA(VLOOKUP(CONCATENATE(BJ$4,$C454),'INSER DATA'!$A:$F,7,0),"")</f>
        <v/>
      </c>
      <c r="BK454" s="270" t="str">
        <f>_xlfn.IFNA(VLOOKUP(CONCATENATE(BK$4,$C454),'INSER DATA'!$A:$F,7,0),"")</f>
        <v/>
      </c>
      <c r="BL454" s="272"/>
      <c r="BM454" s="30"/>
      <c r="BN454" s="30"/>
      <c r="BO454" s="30"/>
      <c r="BP454" s="30"/>
      <c r="BQ454" s="30"/>
      <c r="BR454" s="30"/>
      <c r="BS454" s="30"/>
      <c r="BT454" s="30"/>
      <c r="BU454" s="30"/>
      <c r="BV454" s="30"/>
      <c r="BW454" s="30"/>
      <c r="BX454" s="30"/>
      <c r="BY454" s="30"/>
      <c r="BZ454" s="30"/>
      <c r="CA454" s="30"/>
      <c r="CB454" s="30"/>
      <c r="CC454" s="30"/>
      <c r="CD454" s="30"/>
      <c r="CE454" s="30"/>
      <c r="CF454" s="30"/>
      <c r="CG454" s="30"/>
      <c r="CH454" s="30"/>
      <c r="CI454" s="30"/>
      <c r="CJ454" s="30"/>
      <c r="CK454" s="30"/>
      <c r="CL454" s="30"/>
      <c r="CM454" s="30"/>
      <c r="CN454" s="30"/>
      <c r="CO454" s="30"/>
      <c r="CP454" s="30"/>
      <c r="CQ454" s="30"/>
      <c r="CR454" s="30"/>
      <c r="CS454" s="30"/>
      <c r="CT454" s="30"/>
      <c r="CU454" s="30"/>
      <c r="CV454" s="30"/>
      <c r="CW454" s="30"/>
      <c r="CX454" s="30"/>
      <c r="CY454" s="30"/>
      <c r="CZ454" s="30"/>
      <c r="DA454" s="30"/>
    </row>
    <row r="455" spans="1:105" ht="19.2" thickTop="1" thickBot="1" x14ac:dyDescent="0.4">
      <c r="A455" s="30"/>
      <c r="B455" s="30"/>
      <c r="C455" s="185" t="s">
        <v>940</v>
      </c>
      <c r="D455" s="46" t="s">
        <v>934</v>
      </c>
      <c r="E455" s="35" t="str">
        <f>_xlfn.XLOOKUP(Tabella4[[#This Row],[NOME]],'ROSE SQUADRE'!$N$3:$N$253,'ROSE SQUADRE'!$O$3:$O$253,"")</f>
        <v/>
      </c>
      <c r="F455" s="36" t="s">
        <v>162</v>
      </c>
      <c r="G455" s="43">
        <v>3</v>
      </c>
      <c r="H455" s="43">
        <v>3</v>
      </c>
      <c r="I455" s="44">
        <f t="shared" si="44"/>
        <v>0</v>
      </c>
      <c r="J455" s="37">
        <f t="shared" si="45"/>
        <v>2</v>
      </c>
      <c r="K455" s="38">
        <f t="shared" si="46"/>
        <v>5.5</v>
      </c>
      <c r="L455" s="38">
        <f t="shared" si="47"/>
        <v>5.5</v>
      </c>
      <c r="M455" s="39">
        <f t="shared" si="48"/>
        <v>11</v>
      </c>
      <c r="N455" s="45">
        <f t="shared" ca="1" si="43"/>
        <v>0</v>
      </c>
      <c r="O455" s="40">
        <f>SUMIF(Tabella1[Nome],Tabella4[[#This Row],[NOME]],Tabella1[Gf])</f>
        <v>0</v>
      </c>
      <c r="P455" s="40">
        <f>-(SUMIF(Tabella1[Nome],Tabella4[[#This Row],[NOME]],Tabella1[Gs]))</f>
        <v>0</v>
      </c>
      <c r="Q455" s="40">
        <f>SUMIF(Tabella1[Nome],Tabella4[[#This Row],[NOME]],Tabella1[Rp])</f>
        <v>0</v>
      </c>
      <c r="R455" s="40">
        <f>SUMIF(Tabella1[Nome],Tabella4[[#This Row],[NOME]],Tabella1[Rs])</f>
        <v>0</v>
      </c>
      <c r="S455" s="40">
        <f>SUMIF(Tabella1[Nome],Tabella4[[#This Row],[NOME]],Tabella1[Rf])</f>
        <v>0</v>
      </c>
      <c r="T455" s="40">
        <f>SUMIF(Tabella1[Nome],Tabella4[[#This Row],[NOME]],Tabella1[Au])</f>
        <v>0</v>
      </c>
      <c r="U455" s="41">
        <f>SUMIF(Tabella1[Nome],Tabella4[[#This Row],[NOME]],Tabella1[Amm])</f>
        <v>0</v>
      </c>
      <c r="V455" s="42">
        <f>SUMIF(Tabella1[Nome],Tabella4[[#This Row],[NOME]],Tabella1[Esp])</f>
        <v>0</v>
      </c>
      <c r="W455" s="40">
        <f>SUMIF(Tabella1[Nome],Tabella4[[#This Row],[NOME]],Tabella1[Ass])</f>
        <v>0</v>
      </c>
      <c r="X455" s="40">
        <f>SUMIF(Tabella1[Nome],Tabella4[[#This Row],[NOME]],Tabella1[Gdv])</f>
        <v>0</v>
      </c>
      <c r="Y455" s="40">
        <f>SUMIF(Tabella1[Nome],Tabella4[[#This Row],[NOME]],Tabella1[cl sh])</f>
        <v>0</v>
      </c>
      <c r="Z455" s="270">
        <f>_xlfn.IFNA(_xlfn.XLOOKUP(CONCATENATE(Z$4,$C455),Tabella1[CONC X VOTI IN TAB GIOC],Tabella1[Voto],""),"")</f>
        <v>5.5</v>
      </c>
      <c r="AA455" s="270">
        <f>_xlfn.IFNA(_xlfn.XLOOKUP(CONCATENATE(AA$4,$C455),Tabella1[CONC X VOTI IN TAB GIOC],Tabella1[Voto],""),"")</f>
        <v>5.5</v>
      </c>
      <c r="AB455" s="270" t="str">
        <f>_xlfn.IFNA(_xlfn.XLOOKUP(CONCATENATE(AB$4,$C455),Tabella1[CONC X VOTI IN TAB GIOC],Tabella1[Voto]),"")</f>
        <v/>
      </c>
      <c r="AC455" s="270" t="str" cm="1">
        <f t="array" ref="AC455">_xlfn.IFNA(_xlfn.XLOOKUP(CONCATENATE(AC$4,$C455),INDEX(Tabella1[],0,MATCH("CONC X VOTI IN TAB GIOC",Tabella1[#Headers],0)),INDEX(Tabella1[],0,MATCH("Voto",Tabella1[#Headers],0))),"")</f>
        <v/>
      </c>
      <c r="AD455" s="270" t="str">
        <f>_xlfn.IFNA(_xlfn.XLOOKUP(CONCATENATE(AD$4,$C455),Tabella1[CONC X VOTI IN TAB GIOC],Tabella1[Voto]),"")</f>
        <v/>
      </c>
      <c r="AE455" s="270" t="str">
        <f>_xlfn.IFNA(VLOOKUP(CONCATENATE(AE$4,$C455),'INSER DATA'!$A:$F,6,0),"")</f>
        <v/>
      </c>
      <c r="AF455" s="270" t="str">
        <f>_xlfn.IFNA(VLOOKUP(CONCATENATE(AF$4,$C455),'INSER DATA'!$A:$F,6,0),"")</f>
        <v/>
      </c>
      <c r="AG455" s="270" t="str">
        <f>_xlfn.IFNA(VLOOKUP(CONCATENATE(AG$4,$C455),'INSER DATA'!$A:$F,6,0),"")</f>
        <v/>
      </c>
      <c r="AH455" s="270" t="str">
        <f>_xlfn.IFNA(VLOOKUP(CONCATENATE(AH$4,$C455),'INSER DATA'!$A:$F,7,0),"")</f>
        <v/>
      </c>
      <c r="AI455" s="270" t="str">
        <f>_xlfn.IFNA(VLOOKUP(CONCATENATE(AI$4,$C455),'INSER DATA'!$A:$F,7,0),"")</f>
        <v/>
      </c>
      <c r="AJ455" s="270" t="str">
        <f>_xlfn.IFNA(VLOOKUP(CONCATENATE(AJ$4,$C455),'INSER DATA'!$A:$F,7,0),"")</f>
        <v/>
      </c>
      <c r="AK455" s="270" t="str">
        <f>_xlfn.IFNA(VLOOKUP(CONCATENATE(AK$4,$C455),'INSER DATA'!$A:$F,7,0),"")</f>
        <v/>
      </c>
      <c r="AL455" s="270" t="str">
        <f>_xlfn.IFNA(VLOOKUP(CONCATENATE(AL$4,$C455),'INSER DATA'!$A:$F,7,0),"")</f>
        <v/>
      </c>
      <c r="AM455" s="270" t="str">
        <f>_xlfn.IFNA(VLOOKUP(CONCATENATE(AM$4,$C455),'INSER DATA'!$A:$F,7,0),"")</f>
        <v/>
      </c>
      <c r="AN455" s="270" t="str">
        <f>_xlfn.IFNA(VLOOKUP(CONCATENATE(AN$4,$C455),'INSER DATA'!$A:$F,7,0),"")</f>
        <v/>
      </c>
      <c r="AO455" s="270" t="str">
        <f>_xlfn.IFNA(VLOOKUP(CONCATENATE(AO$4,$C455),'INSER DATA'!$A:$F,7,0),"")</f>
        <v/>
      </c>
      <c r="AP455" s="270" t="str">
        <f>_xlfn.IFNA(VLOOKUP(CONCATENATE(AP$4,$C455),'INSER DATA'!$A:$F,7,0),"")</f>
        <v/>
      </c>
      <c r="AQ455" s="270" t="str">
        <f>_xlfn.IFNA(VLOOKUP(CONCATENATE(AQ$4,$C455),'INSER DATA'!$A:$F,7,0),"")</f>
        <v/>
      </c>
      <c r="AR455" s="270" t="str">
        <f>_xlfn.IFNA(VLOOKUP(CONCATENATE(AR$4,$C455),'INSER DATA'!$A:$F,7,0),"")</f>
        <v/>
      </c>
      <c r="AS455" s="270" t="str">
        <f>_xlfn.IFNA(VLOOKUP(CONCATENATE(AS$4,$C455),'INSER DATA'!$A:$F,7,0),"")</f>
        <v/>
      </c>
      <c r="AT455" s="270" t="str">
        <f>_xlfn.IFNA(VLOOKUP(CONCATENATE(AT$4,$C455),'INSER DATA'!$A:$F,7,0),"")</f>
        <v/>
      </c>
      <c r="AU455" s="270" t="str">
        <f>_xlfn.IFNA(VLOOKUP(CONCATENATE(AU$4,$C455),'INSER DATA'!$A:$F,7,0),"")</f>
        <v/>
      </c>
      <c r="AV455" s="270" t="str">
        <f>_xlfn.IFNA(VLOOKUP(CONCATENATE(AV$4,$C455),'INSER DATA'!$A:$F,7,0),"")</f>
        <v/>
      </c>
      <c r="AW455" s="270" t="str">
        <f>_xlfn.IFNA(VLOOKUP(CONCATENATE(AW$4,$C455),'INSER DATA'!$A:$F,7,0),"")</f>
        <v/>
      </c>
      <c r="AX455" s="270" t="str">
        <f>_xlfn.IFNA(VLOOKUP(CONCATENATE(AX$4,$C455),'INSER DATA'!$A:$F,7,0),"")</f>
        <v/>
      </c>
      <c r="AY455" s="270" t="str">
        <f>_xlfn.IFNA(VLOOKUP(CONCATENATE(AY$4,$C455),'INSER DATA'!$A:$F,7,0),"")</f>
        <v/>
      </c>
      <c r="AZ455" s="270" t="str">
        <f>_xlfn.IFNA(VLOOKUP(CONCATENATE(AZ$4,$C455),'INSER DATA'!$A:$F,7,0),"")</f>
        <v/>
      </c>
      <c r="BA455" s="270" t="str">
        <f>_xlfn.IFNA(VLOOKUP(CONCATENATE(BA$4,$C455),'INSER DATA'!$A:$F,7,0),"")</f>
        <v/>
      </c>
      <c r="BB455" s="270" t="str">
        <f>_xlfn.IFNA(VLOOKUP(CONCATENATE(BB$4,$C455),'INSER DATA'!$A:$F,7,0),"")</f>
        <v/>
      </c>
      <c r="BC455" s="270" t="str">
        <f>_xlfn.IFNA(VLOOKUP(CONCATENATE(BC$4,$C455),'INSER DATA'!$A:$F,7,0),"")</f>
        <v/>
      </c>
      <c r="BD455" s="270" t="str">
        <f>_xlfn.IFNA(VLOOKUP(CONCATENATE(BD$4,$C455),'INSER DATA'!$A:$F,7,0),"")</f>
        <v/>
      </c>
      <c r="BE455" s="270" t="str">
        <f>_xlfn.IFNA(VLOOKUP(CONCATENATE(BE$4,$C455),'INSER DATA'!$A:$F,7,0),"")</f>
        <v/>
      </c>
      <c r="BF455" s="270" t="str">
        <f>_xlfn.IFNA(VLOOKUP(CONCATENATE(BF$4,$C455),'INSER DATA'!$A:$F,7,0),"")</f>
        <v/>
      </c>
      <c r="BG455" s="270" t="str">
        <f>_xlfn.IFNA(VLOOKUP(CONCATENATE(BG$4,$C455),'INSER DATA'!$A:$F,7,0),"")</f>
        <v/>
      </c>
      <c r="BH455" s="270" t="str">
        <f>_xlfn.IFNA(VLOOKUP(CONCATENATE(BH$4,$C455),'INSER DATA'!$A:$F,7,0),"")</f>
        <v/>
      </c>
      <c r="BI455" s="270" t="str">
        <f>_xlfn.IFNA(VLOOKUP(CONCATENATE(BI$4,$C455),'INSER DATA'!$A:$F,7,0),"")</f>
        <v/>
      </c>
      <c r="BJ455" s="270" t="str">
        <f>_xlfn.IFNA(VLOOKUP(CONCATENATE(BJ$4,$C455),'INSER DATA'!$A:$F,7,0),"")</f>
        <v/>
      </c>
      <c r="BK455" s="270" t="str">
        <f>_xlfn.IFNA(VLOOKUP(CONCATENATE(BK$4,$C455),'INSER DATA'!$A:$F,7,0),"")</f>
        <v/>
      </c>
      <c r="BL455" s="272"/>
      <c r="BM455" s="30"/>
      <c r="BN455" s="30"/>
      <c r="BO455" s="30"/>
      <c r="BP455" s="30"/>
      <c r="BQ455" s="30"/>
      <c r="BR455" s="30"/>
      <c r="BS455" s="30"/>
      <c r="BT455" s="30"/>
      <c r="BU455" s="30"/>
      <c r="BV455" s="30"/>
      <c r="BW455" s="30"/>
      <c r="BX455" s="30"/>
      <c r="BY455" s="30"/>
      <c r="BZ455" s="30"/>
      <c r="CA455" s="30"/>
      <c r="CB455" s="30"/>
      <c r="CC455" s="30"/>
      <c r="CD455" s="30"/>
      <c r="CE455" s="30"/>
      <c r="CF455" s="30"/>
      <c r="CG455" s="30"/>
      <c r="CH455" s="30"/>
      <c r="CI455" s="30"/>
      <c r="CJ455" s="30"/>
      <c r="CK455" s="30"/>
      <c r="CL455" s="30"/>
      <c r="CM455" s="30"/>
      <c r="CN455" s="30"/>
      <c r="CO455" s="30"/>
      <c r="CP455" s="30"/>
      <c r="CQ455" s="30"/>
      <c r="CR455" s="30"/>
      <c r="CS455" s="30"/>
      <c r="CT455" s="30"/>
      <c r="CU455" s="30"/>
      <c r="CV455" s="30"/>
      <c r="CW455" s="30"/>
      <c r="CX455" s="30"/>
      <c r="CY455" s="30"/>
      <c r="CZ455" s="30"/>
      <c r="DA455" s="30"/>
    </row>
    <row r="456" spans="1:105" ht="19.2" thickTop="1" thickBot="1" x14ac:dyDescent="0.4">
      <c r="A456" s="30"/>
      <c r="B456" s="30"/>
      <c r="C456" s="188" t="s">
        <v>945</v>
      </c>
      <c r="D456" s="187" t="s">
        <v>934</v>
      </c>
      <c r="E456" s="35" t="str">
        <f>_xlfn.XLOOKUP(Tabella4[[#This Row],[NOME]],'ROSE SQUADRE'!$N$3:$N$253,'ROSE SQUADRE'!$O$3:$O$253,"")</f>
        <v/>
      </c>
      <c r="F456" s="36" t="s">
        <v>162</v>
      </c>
      <c r="G456" s="43">
        <v>5</v>
      </c>
      <c r="H456" s="43">
        <v>6</v>
      </c>
      <c r="I456" s="44">
        <f t="shared" si="44"/>
        <v>1</v>
      </c>
      <c r="J456" s="37">
        <f t="shared" si="45"/>
        <v>4</v>
      </c>
      <c r="K456" s="38">
        <f t="shared" si="46"/>
        <v>5.625</v>
      </c>
      <c r="L456" s="38">
        <f t="shared" si="47"/>
        <v>5.75</v>
      </c>
      <c r="M456" s="39">
        <f t="shared" si="48"/>
        <v>23</v>
      </c>
      <c r="N456" s="45">
        <f t="shared" ca="1" si="43"/>
        <v>0</v>
      </c>
      <c r="O456" s="40">
        <f>SUMIF(Tabella1[Nome],Tabella4[[#This Row],[NOME]],Tabella1[Gf])</f>
        <v>0</v>
      </c>
      <c r="P456" s="40">
        <f>-(SUMIF(Tabella1[Nome],Tabella4[[#This Row],[NOME]],Tabella1[Gs]))</f>
        <v>0</v>
      </c>
      <c r="Q456" s="40">
        <f>SUMIF(Tabella1[Nome],Tabella4[[#This Row],[NOME]],Tabella1[Rp])</f>
        <v>0</v>
      </c>
      <c r="R456" s="40">
        <f>SUMIF(Tabella1[Nome],Tabella4[[#This Row],[NOME]],Tabella1[Rs])</f>
        <v>0</v>
      </c>
      <c r="S456" s="40">
        <f>SUMIF(Tabella1[Nome],Tabella4[[#This Row],[NOME]],Tabella1[Rf])</f>
        <v>0</v>
      </c>
      <c r="T456" s="40">
        <f>SUMIF(Tabella1[Nome],Tabella4[[#This Row],[NOME]],Tabella1[Au])</f>
        <v>0</v>
      </c>
      <c r="U456" s="41">
        <f>SUMIF(Tabella1[Nome],Tabella4[[#This Row],[NOME]],Tabella1[Amm])</f>
        <v>1</v>
      </c>
      <c r="V456" s="42">
        <f>SUMIF(Tabella1[Nome],Tabella4[[#This Row],[NOME]],Tabella1[Esp])</f>
        <v>0</v>
      </c>
      <c r="W456" s="40">
        <f>SUMIF(Tabella1[Nome],Tabella4[[#This Row],[NOME]],Tabella1[Ass])</f>
        <v>1</v>
      </c>
      <c r="X456" s="40">
        <f>SUMIF(Tabella1[Nome],Tabella4[[#This Row],[NOME]],Tabella1[Gdv])</f>
        <v>0</v>
      </c>
      <c r="Y456" s="40">
        <f>SUMIF(Tabella1[Nome],Tabella4[[#This Row],[NOME]],Tabella1[cl sh])</f>
        <v>0</v>
      </c>
      <c r="Z456" s="270">
        <f>_xlfn.IFNA(_xlfn.XLOOKUP(CONCATENATE(Z$4,$C456),Tabella1[CONC X VOTI IN TAB GIOC],Tabella1[Voto],""),"")</f>
        <v>5.5</v>
      </c>
      <c r="AA456" s="270">
        <f>_xlfn.IFNA(_xlfn.XLOOKUP(CONCATENATE(AA$4,$C456),Tabella1[CONC X VOTI IN TAB GIOC],Tabella1[Voto],""),"")</f>
        <v>5.5</v>
      </c>
      <c r="AB456" s="270">
        <f>_xlfn.IFNA(_xlfn.XLOOKUP(CONCATENATE(AB$4,$C456),Tabella1[CONC X VOTI IN TAB GIOC],Tabella1[Voto]),"")</f>
        <v>5.5</v>
      </c>
      <c r="AC456" s="270" cm="1">
        <f t="array" ref="AC456">_xlfn.IFNA(_xlfn.XLOOKUP(CONCATENATE(AC$4,$C456),INDEX(Tabella1[],0,MATCH("CONC X VOTI IN TAB GIOC",Tabella1[#Headers],0)),INDEX(Tabella1[],0,MATCH("Voto",Tabella1[#Headers],0))),"")</f>
        <v>6</v>
      </c>
      <c r="AD456" s="270" t="str">
        <f>_xlfn.IFNA(_xlfn.XLOOKUP(CONCATENATE(AD$4,$C456),Tabella1[CONC X VOTI IN TAB GIOC],Tabella1[Voto]),"")</f>
        <v/>
      </c>
      <c r="AE456" s="270" t="str">
        <f>_xlfn.IFNA(VLOOKUP(CONCATENATE(AE$4,$C456),'INSER DATA'!$A:$F,6,0),"")</f>
        <v/>
      </c>
      <c r="AF456" s="270" t="str">
        <f>_xlfn.IFNA(VLOOKUP(CONCATENATE(AF$4,$C456),'INSER DATA'!$A:$F,6,0),"")</f>
        <v/>
      </c>
      <c r="AG456" s="270" t="str">
        <f>_xlfn.IFNA(VLOOKUP(CONCATENATE(AG$4,$C456),'INSER DATA'!$A:$F,6,0),"")</f>
        <v/>
      </c>
      <c r="AH456" s="270" t="str">
        <f>_xlfn.IFNA(VLOOKUP(CONCATENATE(AH$4,$C456),'INSER DATA'!$A:$F,7,0),"")</f>
        <v/>
      </c>
      <c r="AI456" s="270" t="str">
        <f>_xlfn.IFNA(VLOOKUP(CONCATENATE(AI$4,$C456),'INSER DATA'!$A:$F,7,0),"")</f>
        <v/>
      </c>
      <c r="AJ456" s="270" t="str">
        <f>_xlfn.IFNA(VLOOKUP(CONCATENATE(AJ$4,$C456),'INSER DATA'!$A:$F,7,0),"")</f>
        <v/>
      </c>
      <c r="AK456" s="270" t="str">
        <f>_xlfn.IFNA(VLOOKUP(CONCATENATE(AK$4,$C456),'INSER DATA'!$A:$F,7,0),"")</f>
        <v/>
      </c>
      <c r="AL456" s="270" t="str">
        <f>_xlfn.IFNA(VLOOKUP(CONCATENATE(AL$4,$C456),'INSER DATA'!$A:$F,7,0),"")</f>
        <v/>
      </c>
      <c r="AM456" s="270" t="str">
        <f>_xlfn.IFNA(VLOOKUP(CONCATENATE(AM$4,$C456),'INSER DATA'!$A:$F,7,0),"")</f>
        <v/>
      </c>
      <c r="AN456" s="270" t="str">
        <f>_xlfn.IFNA(VLOOKUP(CONCATENATE(AN$4,$C456),'INSER DATA'!$A:$F,7,0),"")</f>
        <v/>
      </c>
      <c r="AO456" s="270" t="str">
        <f>_xlfn.IFNA(VLOOKUP(CONCATENATE(AO$4,$C456),'INSER DATA'!$A:$F,7,0),"")</f>
        <v/>
      </c>
      <c r="AP456" s="270" t="str">
        <f>_xlfn.IFNA(VLOOKUP(CONCATENATE(AP$4,$C456),'INSER DATA'!$A:$F,7,0),"")</f>
        <v/>
      </c>
      <c r="AQ456" s="270" t="str">
        <f>_xlfn.IFNA(VLOOKUP(CONCATENATE(AQ$4,$C456),'INSER DATA'!$A:$F,7,0),"")</f>
        <v/>
      </c>
      <c r="AR456" s="270" t="str">
        <f>_xlfn.IFNA(VLOOKUP(CONCATENATE(AR$4,$C456),'INSER DATA'!$A:$F,7,0),"")</f>
        <v/>
      </c>
      <c r="AS456" s="270" t="str">
        <f>_xlfn.IFNA(VLOOKUP(CONCATENATE(AS$4,$C456),'INSER DATA'!$A:$F,7,0),"")</f>
        <v/>
      </c>
      <c r="AT456" s="270" t="str">
        <f>_xlfn.IFNA(VLOOKUP(CONCATENATE(AT$4,$C456),'INSER DATA'!$A:$F,7,0),"")</f>
        <v/>
      </c>
      <c r="AU456" s="270" t="str">
        <f>_xlfn.IFNA(VLOOKUP(CONCATENATE(AU$4,$C456),'INSER DATA'!$A:$F,7,0),"")</f>
        <v/>
      </c>
      <c r="AV456" s="270" t="str">
        <f>_xlfn.IFNA(VLOOKUP(CONCATENATE(AV$4,$C456),'INSER DATA'!$A:$F,7,0),"")</f>
        <v/>
      </c>
      <c r="AW456" s="270" t="str">
        <f>_xlfn.IFNA(VLOOKUP(CONCATENATE(AW$4,$C456),'INSER DATA'!$A:$F,7,0),"")</f>
        <v/>
      </c>
      <c r="AX456" s="270" t="str">
        <f>_xlfn.IFNA(VLOOKUP(CONCATENATE(AX$4,$C456),'INSER DATA'!$A:$F,7,0),"")</f>
        <v/>
      </c>
      <c r="AY456" s="270" t="str">
        <f>_xlfn.IFNA(VLOOKUP(CONCATENATE(AY$4,$C456),'INSER DATA'!$A:$F,7,0),"")</f>
        <v/>
      </c>
      <c r="AZ456" s="270" t="str">
        <f>_xlfn.IFNA(VLOOKUP(CONCATENATE(AZ$4,$C456),'INSER DATA'!$A:$F,7,0),"")</f>
        <v/>
      </c>
      <c r="BA456" s="270" t="str">
        <f>_xlfn.IFNA(VLOOKUP(CONCATENATE(BA$4,$C456),'INSER DATA'!$A:$F,7,0),"")</f>
        <v/>
      </c>
      <c r="BB456" s="270" t="str">
        <f>_xlfn.IFNA(VLOOKUP(CONCATENATE(BB$4,$C456),'INSER DATA'!$A:$F,7,0),"")</f>
        <v/>
      </c>
      <c r="BC456" s="270" t="str">
        <f>_xlfn.IFNA(VLOOKUP(CONCATENATE(BC$4,$C456),'INSER DATA'!$A:$F,7,0),"")</f>
        <v/>
      </c>
      <c r="BD456" s="270" t="str">
        <f>_xlfn.IFNA(VLOOKUP(CONCATENATE(BD$4,$C456),'INSER DATA'!$A:$F,7,0),"")</f>
        <v/>
      </c>
      <c r="BE456" s="270" t="str">
        <f>_xlfn.IFNA(VLOOKUP(CONCATENATE(BE$4,$C456),'INSER DATA'!$A:$F,7,0),"")</f>
        <v/>
      </c>
      <c r="BF456" s="270" t="str">
        <f>_xlfn.IFNA(VLOOKUP(CONCATENATE(BF$4,$C456),'INSER DATA'!$A:$F,7,0),"")</f>
        <v/>
      </c>
      <c r="BG456" s="270" t="str">
        <f>_xlfn.IFNA(VLOOKUP(CONCATENATE(BG$4,$C456),'INSER DATA'!$A:$F,7,0),"")</f>
        <v/>
      </c>
      <c r="BH456" s="270" t="str">
        <f>_xlfn.IFNA(VLOOKUP(CONCATENATE(BH$4,$C456),'INSER DATA'!$A:$F,7,0),"")</f>
        <v/>
      </c>
      <c r="BI456" s="270" t="str">
        <f>_xlfn.IFNA(VLOOKUP(CONCATENATE(BI$4,$C456),'INSER DATA'!$A:$F,7,0),"")</f>
        <v/>
      </c>
      <c r="BJ456" s="270" t="str">
        <f>_xlfn.IFNA(VLOOKUP(CONCATENATE(BJ$4,$C456),'INSER DATA'!$A:$F,7,0),"")</f>
        <v/>
      </c>
      <c r="BK456" s="270" t="str">
        <f>_xlfn.IFNA(VLOOKUP(CONCATENATE(BK$4,$C456),'INSER DATA'!$A:$F,7,0),"")</f>
        <v/>
      </c>
      <c r="BL456" s="272"/>
      <c r="BM456" s="30"/>
      <c r="BN456" s="30"/>
      <c r="BO456" s="30"/>
      <c r="BP456" s="30"/>
      <c r="BQ456" s="30"/>
      <c r="BR456" s="30"/>
      <c r="BS456" s="30"/>
      <c r="BT456" s="30"/>
      <c r="BU456" s="30"/>
      <c r="BV456" s="30"/>
      <c r="BW456" s="30"/>
      <c r="BX456" s="30"/>
      <c r="BY456" s="30"/>
      <c r="BZ456" s="30"/>
      <c r="CA456" s="30"/>
      <c r="CB456" s="30"/>
      <c r="CC456" s="30"/>
      <c r="CD456" s="30"/>
      <c r="CE456" s="30"/>
      <c r="CF456" s="30"/>
      <c r="CG456" s="30"/>
      <c r="CH456" s="30"/>
      <c r="CI456" s="30"/>
      <c r="CJ456" s="30"/>
      <c r="CK456" s="30"/>
      <c r="CL456" s="30"/>
      <c r="CM456" s="30"/>
      <c r="CN456" s="30"/>
      <c r="CO456" s="30"/>
      <c r="CP456" s="30"/>
      <c r="CQ456" s="30"/>
      <c r="CR456" s="30"/>
      <c r="CS456" s="30"/>
      <c r="CT456" s="30"/>
      <c r="CU456" s="30"/>
      <c r="CV456" s="30"/>
      <c r="CW456" s="30"/>
      <c r="CX456" s="30"/>
      <c r="CY456" s="30"/>
      <c r="CZ456" s="30"/>
      <c r="DA456" s="30"/>
    </row>
    <row r="457" spans="1:105" ht="19.2" thickTop="1" thickBot="1" x14ac:dyDescent="0.4">
      <c r="A457" s="30"/>
      <c r="B457" s="30"/>
      <c r="C457" s="188" t="s">
        <v>946</v>
      </c>
      <c r="D457" s="187" t="s">
        <v>934</v>
      </c>
      <c r="E457" s="35" t="str">
        <f>_xlfn.XLOOKUP(Tabella4[[#This Row],[NOME]],'ROSE SQUADRE'!$N$3:$N$253,'ROSE SQUADRE'!$O$3:$O$253,"")</f>
        <v/>
      </c>
      <c r="F457" s="36" t="s">
        <v>162</v>
      </c>
      <c r="G457" s="43">
        <v>4</v>
      </c>
      <c r="H457" s="43">
        <v>4</v>
      </c>
      <c r="I457" s="44">
        <f t="shared" si="44"/>
        <v>0</v>
      </c>
      <c r="J457" s="37">
        <f t="shared" si="45"/>
        <v>2</v>
      </c>
      <c r="K457" s="178">
        <f t="shared" si="46"/>
        <v>5.5</v>
      </c>
      <c r="L457" s="178">
        <f t="shared" si="47"/>
        <v>5.5</v>
      </c>
      <c r="M457" s="179">
        <f t="shared" si="48"/>
        <v>11</v>
      </c>
      <c r="N457" s="45">
        <f t="shared" ca="1" si="43"/>
        <v>0</v>
      </c>
      <c r="O457" s="40">
        <f>SUMIF(Tabella1[Nome],Tabella4[[#This Row],[NOME]],Tabella1[Gf])</f>
        <v>0</v>
      </c>
      <c r="P457" s="40">
        <f>-(SUMIF(Tabella1[Nome],Tabella4[[#This Row],[NOME]],Tabella1[Gs]))</f>
        <v>0</v>
      </c>
      <c r="Q457" s="40">
        <f>SUMIF(Tabella1[Nome],Tabella4[[#This Row],[NOME]],Tabella1[Rp])</f>
        <v>0</v>
      </c>
      <c r="R457" s="40">
        <f>SUMIF(Tabella1[Nome],Tabella4[[#This Row],[NOME]],Tabella1[Rs])</f>
        <v>0</v>
      </c>
      <c r="S457" s="40">
        <f>SUMIF(Tabella1[Nome],Tabella4[[#This Row],[NOME]],Tabella1[Rf])</f>
        <v>0</v>
      </c>
      <c r="T457" s="40">
        <f>SUMIF(Tabella1[Nome],Tabella4[[#This Row],[NOME]],Tabella1[Au])</f>
        <v>0</v>
      </c>
      <c r="U457" s="41">
        <f>SUMIF(Tabella1[Nome],Tabella4[[#This Row],[NOME]],Tabella1[Amm])</f>
        <v>0</v>
      </c>
      <c r="V457" s="42">
        <f>SUMIF(Tabella1[Nome],Tabella4[[#This Row],[NOME]],Tabella1[Esp])</f>
        <v>0</v>
      </c>
      <c r="W457" s="40">
        <f>SUMIF(Tabella1[Nome],Tabella4[[#This Row],[NOME]],Tabella1[Ass])</f>
        <v>0</v>
      </c>
      <c r="X457" s="40">
        <f>SUMIF(Tabella1[Nome],Tabella4[[#This Row],[NOME]],Tabella1[Gdv])</f>
        <v>0</v>
      </c>
      <c r="Y457" s="40">
        <f>SUMIF(Tabella1[Nome],Tabella4[[#This Row],[NOME]],Tabella1[cl sh])</f>
        <v>0</v>
      </c>
      <c r="Z457" s="270" t="str">
        <f>_xlfn.IFNA(_xlfn.XLOOKUP(CONCATENATE(Z$4,$C457),Tabella1[CONC X VOTI IN TAB GIOC],Tabella1[Voto],""),"")</f>
        <v/>
      </c>
      <c r="AA457" s="270">
        <f>_xlfn.IFNA(_xlfn.XLOOKUP(CONCATENATE(AA$4,$C457),Tabella1[CONC X VOTI IN TAB GIOC],Tabella1[Voto],""),"")</f>
        <v>5.5</v>
      </c>
      <c r="AB457" s="270" t="str">
        <f>_xlfn.IFNA(_xlfn.XLOOKUP(CONCATENATE(AB$4,$C457),Tabella1[CONC X VOTI IN TAB GIOC],Tabella1[Voto]),"")</f>
        <v/>
      </c>
      <c r="AC457" s="270" cm="1">
        <f t="array" ref="AC457">_xlfn.IFNA(_xlfn.XLOOKUP(CONCATENATE(AC$4,$C457),INDEX(Tabella1[],0,MATCH("CONC X VOTI IN TAB GIOC",Tabella1[#Headers],0)),INDEX(Tabella1[],0,MATCH("Voto",Tabella1[#Headers],0))),"")</f>
        <v>5.5</v>
      </c>
      <c r="AD457" s="270" t="str">
        <f>_xlfn.IFNA(_xlfn.XLOOKUP(CONCATENATE(AD$4,$C457),Tabella1[CONC X VOTI IN TAB GIOC],Tabella1[Voto]),"")</f>
        <v/>
      </c>
      <c r="AE457" s="270" t="str">
        <f>_xlfn.IFNA(VLOOKUP(CONCATENATE(AE$4,$C457),'INSER DATA'!$A:$F,6,0),"")</f>
        <v/>
      </c>
      <c r="AF457" s="270" t="str">
        <f>_xlfn.IFNA(VLOOKUP(CONCATENATE(AF$4,$C457),'INSER DATA'!$A:$F,6,0),"")</f>
        <v/>
      </c>
      <c r="AG457" s="270" t="str">
        <f>_xlfn.IFNA(VLOOKUP(CONCATENATE(AG$4,$C457),'INSER DATA'!$A:$F,6,0),"")</f>
        <v/>
      </c>
      <c r="AH457" s="270" t="str">
        <f>_xlfn.IFNA(VLOOKUP(CONCATENATE(AH$4,$C457),'INSER DATA'!$A:$F,7,0),"")</f>
        <v/>
      </c>
      <c r="AI457" s="270" t="str">
        <f>_xlfn.IFNA(VLOOKUP(CONCATENATE(AI$4,$C457),'INSER DATA'!$A:$F,7,0),"")</f>
        <v/>
      </c>
      <c r="AJ457" s="270" t="str">
        <f>_xlfn.IFNA(VLOOKUP(CONCATENATE(AJ$4,$C457),'INSER DATA'!$A:$F,7,0),"")</f>
        <v/>
      </c>
      <c r="AK457" s="270" t="str">
        <f>_xlfn.IFNA(VLOOKUP(CONCATENATE(AK$4,$C457),'INSER DATA'!$A:$F,7,0),"")</f>
        <v/>
      </c>
      <c r="AL457" s="270" t="str">
        <f>_xlfn.IFNA(VLOOKUP(CONCATENATE(AL$4,$C457),'INSER DATA'!$A:$F,7,0),"")</f>
        <v/>
      </c>
      <c r="AM457" s="270" t="str">
        <f>_xlfn.IFNA(VLOOKUP(CONCATENATE(AM$4,$C457),'INSER DATA'!$A:$F,7,0),"")</f>
        <v/>
      </c>
      <c r="AN457" s="270" t="str">
        <f>_xlfn.IFNA(VLOOKUP(CONCATENATE(AN$4,$C457),'INSER DATA'!$A:$F,7,0),"")</f>
        <v/>
      </c>
      <c r="AO457" s="270" t="str">
        <f>_xlfn.IFNA(VLOOKUP(CONCATENATE(AO$4,$C457),'INSER DATA'!$A:$F,7,0),"")</f>
        <v/>
      </c>
      <c r="AP457" s="270" t="str">
        <f>_xlfn.IFNA(VLOOKUP(CONCATENATE(AP$4,$C457),'INSER DATA'!$A:$F,7,0),"")</f>
        <v/>
      </c>
      <c r="AQ457" s="270" t="str">
        <f>_xlfn.IFNA(VLOOKUP(CONCATENATE(AQ$4,$C457),'INSER DATA'!$A:$F,7,0),"")</f>
        <v/>
      </c>
      <c r="AR457" s="270" t="str">
        <f>_xlfn.IFNA(VLOOKUP(CONCATENATE(AR$4,$C457),'INSER DATA'!$A:$F,7,0),"")</f>
        <v/>
      </c>
      <c r="AS457" s="270" t="str">
        <f>_xlfn.IFNA(VLOOKUP(CONCATENATE(AS$4,$C457),'INSER DATA'!$A:$F,7,0),"")</f>
        <v/>
      </c>
      <c r="AT457" s="270" t="str">
        <f>_xlfn.IFNA(VLOOKUP(CONCATENATE(AT$4,$C457),'INSER DATA'!$A:$F,7,0),"")</f>
        <v/>
      </c>
      <c r="AU457" s="270" t="str">
        <f>_xlfn.IFNA(VLOOKUP(CONCATENATE(AU$4,$C457),'INSER DATA'!$A:$F,7,0),"")</f>
        <v/>
      </c>
      <c r="AV457" s="270" t="str">
        <f>_xlfn.IFNA(VLOOKUP(CONCATENATE(AV$4,$C457),'INSER DATA'!$A:$F,7,0),"")</f>
        <v/>
      </c>
      <c r="AW457" s="270" t="str">
        <f>_xlfn.IFNA(VLOOKUP(CONCATENATE(AW$4,$C457),'INSER DATA'!$A:$F,7,0),"")</f>
        <v/>
      </c>
      <c r="AX457" s="270" t="str">
        <f>_xlfn.IFNA(VLOOKUP(CONCATENATE(AX$4,$C457),'INSER DATA'!$A:$F,7,0),"")</f>
        <v/>
      </c>
      <c r="AY457" s="270" t="str">
        <f>_xlfn.IFNA(VLOOKUP(CONCATENATE(AY$4,$C457),'INSER DATA'!$A:$F,7,0),"")</f>
        <v/>
      </c>
      <c r="AZ457" s="270" t="str">
        <f>_xlfn.IFNA(VLOOKUP(CONCATENATE(AZ$4,$C457),'INSER DATA'!$A:$F,7,0),"")</f>
        <v/>
      </c>
      <c r="BA457" s="270" t="str">
        <f>_xlfn.IFNA(VLOOKUP(CONCATENATE(BA$4,$C457),'INSER DATA'!$A:$F,7,0),"")</f>
        <v/>
      </c>
      <c r="BB457" s="270" t="str">
        <f>_xlfn.IFNA(VLOOKUP(CONCATENATE(BB$4,$C457),'INSER DATA'!$A:$F,7,0),"")</f>
        <v/>
      </c>
      <c r="BC457" s="270" t="str">
        <f>_xlfn.IFNA(VLOOKUP(CONCATENATE(BC$4,$C457),'INSER DATA'!$A:$F,7,0),"")</f>
        <v/>
      </c>
      <c r="BD457" s="270" t="str">
        <f>_xlfn.IFNA(VLOOKUP(CONCATENATE(BD$4,$C457),'INSER DATA'!$A:$F,7,0),"")</f>
        <v/>
      </c>
      <c r="BE457" s="270" t="str">
        <f>_xlfn.IFNA(VLOOKUP(CONCATENATE(BE$4,$C457),'INSER DATA'!$A:$F,7,0),"")</f>
        <v/>
      </c>
      <c r="BF457" s="270" t="str">
        <f>_xlfn.IFNA(VLOOKUP(CONCATENATE(BF$4,$C457),'INSER DATA'!$A:$F,7,0),"")</f>
        <v/>
      </c>
      <c r="BG457" s="270" t="str">
        <f>_xlfn.IFNA(VLOOKUP(CONCATENATE(BG$4,$C457),'INSER DATA'!$A:$F,7,0),"")</f>
        <v/>
      </c>
      <c r="BH457" s="270" t="str">
        <f>_xlfn.IFNA(VLOOKUP(CONCATENATE(BH$4,$C457),'INSER DATA'!$A:$F,7,0),"")</f>
        <v/>
      </c>
      <c r="BI457" s="270" t="str">
        <f>_xlfn.IFNA(VLOOKUP(CONCATENATE(BI$4,$C457),'INSER DATA'!$A:$F,7,0),"")</f>
        <v/>
      </c>
      <c r="BJ457" s="270" t="str">
        <f>_xlfn.IFNA(VLOOKUP(CONCATENATE(BJ$4,$C457),'INSER DATA'!$A:$F,7,0),"")</f>
        <v/>
      </c>
      <c r="BK457" s="270" t="str">
        <f>_xlfn.IFNA(VLOOKUP(CONCATENATE(BK$4,$C457),'INSER DATA'!$A:$F,7,0),"")</f>
        <v/>
      </c>
      <c r="BL457" s="272"/>
      <c r="BM457" s="30"/>
      <c r="BN457" s="30"/>
      <c r="BO457" s="30"/>
      <c r="BP457" s="30"/>
      <c r="BQ457" s="30"/>
      <c r="BR457" s="30"/>
      <c r="BS457" s="30"/>
      <c r="BT457" s="30"/>
      <c r="BU457" s="30"/>
      <c r="BV457" s="30"/>
      <c r="BW457" s="30"/>
      <c r="BX457" s="30"/>
      <c r="BY457" s="30"/>
      <c r="BZ457" s="30"/>
      <c r="CA457" s="30"/>
      <c r="CB457" s="30"/>
      <c r="CC457" s="30"/>
      <c r="CD457" s="30"/>
      <c r="CE457" s="30"/>
      <c r="CF457" s="30"/>
      <c r="CG457" s="30"/>
      <c r="CH457" s="30"/>
      <c r="CI457" s="30"/>
      <c r="CJ457" s="30"/>
      <c r="CK457" s="30"/>
      <c r="CL457" s="30"/>
      <c r="CM457" s="30"/>
      <c r="CN457" s="30"/>
      <c r="CO457" s="30"/>
      <c r="CP457" s="30"/>
      <c r="CQ457" s="30"/>
      <c r="CR457" s="30"/>
      <c r="CS457" s="30"/>
      <c r="CT457" s="30"/>
      <c r="CU457" s="30"/>
      <c r="CV457" s="30"/>
      <c r="CW457" s="30"/>
      <c r="CX457" s="30"/>
      <c r="CY457" s="30"/>
      <c r="CZ457" s="30"/>
      <c r="DA457" s="30"/>
    </row>
    <row r="458" spans="1:105" ht="19.2" thickTop="1" thickBot="1" x14ac:dyDescent="0.4">
      <c r="A458" s="30"/>
      <c r="B458" s="30"/>
      <c r="C458" s="185" t="s">
        <v>949</v>
      </c>
      <c r="D458" s="46" t="s">
        <v>934</v>
      </c>
      <c r="E458" s="35" t="str">
        <f>_xlfn.XLOOKUP(Tabella4[[#This Row],[NOME]],'ROSE SQUADRE'!$N$3:$N$253,'ROSE SQUADRE'!$O$3:$O$253,"")</f>
        <v/>
      </c>
      <c r="F458" s="36" t="s">
        <v>163</v>
      </c>
      <c r="G458" s="43">
        <v>4</v>
      </c>
      <c r="H458" s="43">
        <v>4</v>
      </c>
      <c r="I458" s="44">
        <f t="shared" si="44"/>
        <v>0</v>
      </c>
      <c r="J458" s="37">
        <f t="shared" si="45"/>
        <v>1</v>
      </c>
      <c r="K458" s="38">
        <f t="shared" si="46"/>
        <v>5.5</v>
      </c>
      <c r="L458" s="38">
        <f t="shared" si="47"/>
        <v>5.5</v>
      </c>
      <c r="M458" s="39">
        <f t="shared" si="48"/>
        <v>5.5</v>
      </c>
      <c r="N458" s="45">
        <f t="shared" ca="1" si="43"/>
        <v>0</v>
      </c>
      <c r="O458" s="40">
        <f>SUMIF(Tabella1[Nome],Tabella4[[#This Row],[NOME]],Tabella1[Gf])</f>
        <v>0</v>
      </c>
      <c r="P458" s="40">
        <f>-(SUMIF(Tabella1[Nome],Tabella4[[#This Row],[NOME]],Tabella1[Gs]))</f>
        <v>0</v>
      </c>
      <c r="Q458" s="40">
        <f>SUMIF(Tabella1[Nome],Tabella4[[#This Row],[NOME]],Tabella1[Rp])</f>
        <v>0</v>
      </c>
      <c r="R458" s="40">
        <f>SUMIF(Tabella1[Nome],Tabella4[[#This Row],[NOME]],Tabella1[Rs])</f>
        <v>0</v>
      </c>
      <c r="S458" s="40">
        <f>SUMIF(Tabella1[Nome],Tabella4[[#This Row],[NOME]],Tabella1[Rf])</f>
        <v>0</v>
      </c>
      <c r="T458" s="40">
        <f>SUMIF(Tabella1[Nome],Tabella4[[#This Row],[NOME]],Tabella1[Au])</f>
        <v>0</v>
      </c>
      <c r="U458" s="41">
        <f>SUMIF(Tabella1[Nome],Tabella4[[#This Row],[NOME]],Tabella1[Amm])</f>
        <v>0</v>
      </c>
      <c r="V458" s="42">
        <f>SUMIF(Tabella1[Nome],Tabella4[[#This Row],[NOME]],Tabella1[Esp])</f>
        <v>0</v>
      </c>
      <c r="W458" s="40">
        <f>SUMIF(Tabella1[Nome],Tabella4[[#This Row],[NOME]],Tabella1[Ass])</f>
        <v>0</v>
      </c>
      <c r="X458" s="40">
        <f>SUMIF(Tabella1[Nome],Tabella4[[#This Row],[NOME]],Tabella1[Gdv])</f>
        <v>0</v>
      </c>
      <c r="Y458" s="40">
        <f>SUMIF(Tabella1[Nome],Tabella4[[#This Row],[NOME]],Tabella1[cl sh])</f>
        <v>0</v>
      </c>
      <c r="Z458" s="270" t="str">
        <f>_xlfn.IFNA(_xlfn.XLOOKUP(CONCATENATE(Z$4,$C458),Tabella1[CONC X VOTI IN TAB GIOC],Tabella1[Voto],""),"")</f>
        <v/>
      </c>
      <c r="AA458" s="270">
        <f>_xlfn.IFNA(_xlfn.XLOOKUP(CONCATENATE(AA$4,$C458),Tabella1[CONC X VOTI IN TAB GIOC],Tabella1[Voto],""),"")</f>
        <v>5.5</v>
      </c>
      <c r="AB458" s="270" t="str">
        <f>_xlfn.IFNA(_xlfn.XLOOKUP(CONCATENATE(AB$4,$C458),Tabella1[CONC X VOTI IN TAB GIOC],Tabella1[Voto]),"")</f>
        <v/>
      </c>
      <c r="AC458" s="270" t="str" cm="1">
        <f t="array" ref="AC458">_xlfn.IFNA(_xlfn.XLOOKUP(CONCATENATE(AC$4,$C458),INDEX(Tabella1[],0,MATCH("CONC X VOTI IN TAB GIOC",Tabella1[#Headers],0)),INDEX(Tabella1[],0,MATCH("Voto",Tabella1[#Headers],0))),"")</f>
        <v/>
      </c>
      <c r="AD458" s="270" t="str">
        <f>_xlfn.IFNA(_xlfn.XLOOKUP(CONCATENATE(AD$4,$C458),Tabella1[CONC X VOTI IN TAB GIOC],Tabella1[Voto]),"")</f>
        <v/>
      </c>
      <c r="AE458" s="270" t="str">
        <f>_xlfn.IFNA(VLOOKUP(CONCATENATE(AE$4,$C458),'INSER DATA'!$A:$F,6,0),"")</f>
        <v/>
      </c>
      <c r="AF458" s="270" t="str">
        <f>_xlfn.IFNA(VLOOKUP(CONCATENATE(AF$4,$C458),'INSER DATA'!$A:$F,6,0),"")</f>
        <v/>
      </c>
      <c r="AG458" s="270" t="str">
        <f>_xlfn.IFNA(VLOOKUP(CONCATENATE(AG$4,$C458),'INSER DATA'!$A:$F,6,0),"")</f>
        <v/>
      </c>
      <c r="AH458" s="270" t="str">
        <f>_xlfn.IFNA(VLOOKUP(CONCATENATE(AH$4,$C458),'INSER DATA'!$A:$F,7,0),"")</f>
        <v/>
      </c>
      <c r="AI458" s="270" t="str">
        <f>_xlfn.IFNA(VLOOKUP(CONCATENATE(AI$4,$C458),'INSER DATA'!$A:$F,7,0),"")</f>
        <v/>
      </c>
      <c r="AJ458" s="270" t="str">
        <f>_xlfn.IFNA(VLOOKUP(CONCATENATE(AJ$4,$C458),'INSER DATA'!$A:$F,7,0),"")</f>
        <v/>
      </c>
      <c r="AK458" s="270" t="str">
        <f>_xlfn.IFNA(VLOOKUP(CONCATENATE(AK$4,$C458),'INSER DATA'!$A:$F,7,0),"")</f>
        <v/>
      </c>
      <c r="AL458" s="270" t="str">
        <f>_xlfn.IFNA(VLOOKUP(CONCATENATE(AL$4,$C458),'INSER DATA'!$A:$F,7,0),"")</f>
        <v/>
      </c>
      <c r="AM458" s="270" t="str">
        <f>_xlfn.IFNA(VLOOKUP(CONCATENATE(AM$4,$C458),'INSER DATA'!$A:$F,7,0),"")</f>
        <v/>
      </c>
      <c r="AN458" s="270" t="str">
        <f>_xlfn.IFNA(VLOOKUP(CONCATENATE(AN$4,$C458),'INSER DATA'!$A:$F,7,0),"")</f>
        <v/>
      </c>
      <c r="AO458" s="270" t="str">
        <f>_xlfn.IFNA(VLOOKUP(CONCATENATE(AO$4,$C458),'INSER DATA'!$A:$F,7,0),"")</f>
        <v/>
      </c>
      <c r="AP458" s="270" t="str">
        <f>_xlfn.IFNA(VLOOKUP(CONCATENATE(AP$4,$C458),'INSER DATA'!$A:$F,7,0),"")</f>
        <v/>
      </c>
      <c r="AQ458" s="270" t="str">
        <f>_xlfn.IFNA(VLOOKUP(CONCATENATE(AQ$4,$C458),'INSER DATA'!$A:$F,7,0),"")</f>
        <v/>
      </c>
      <c r="AR458" s="270" t="str">
        <f>_xlfn.IFNA(VLOOKUP(CONCATENATE(AR$4,$C458),'INSER DATA'!$A:$F,7,0),"")</f>
        <v/>
      </c>
      <c r="AS458" s="270" t="str">
        <f>_xlfn.IFNA(VLOOKUP(CONCATENATE(AS$4,$C458),'INSER DATA'!$A:$F,7,0),"")</f>
        <v/>
      </c>
      <c r="AT458" s="270" t="str">
        <f>_xlfn.IFNA(VLOOKUP(CONCATENATE(AT$4,$C458),'INSER DATA'!$A:$F,7,0),"")</f>
        <v/>
      </c>
      <c r="AU458" s="270" t="str">
        <f>_xlfn.IFNA(VLOOKUP(CONCATENATE(AU$4,$C458),'INSER DATA'!$A:$F,7,0),"")</f>
        <v/>
      </c>
      <c r="AV458" s="270" t="str">
        <f>_xlfn.IFNA(VLOOKUP(CONCATENATE(AV$4,$C458),'INSER DATA'!$A:$F,7,0),"")</f>
        <v/>
      </c>
      <c r="AW458" s="270" t="str">
        <f>_xlfn.IFNA(VLOOKUP(CONCATENATE(AW$4,$C458),'INSER DATA'!$A:$F,7,0),"")</f>
        <v/>
      </c>
      <c r="AX458" s="270" t="str">
        <f>_xlfn.IFNA(VLOOKUP(CONCATENATE(AX$4,$C458),'INSER DATA'!$A:$F,7,0),"")</f>
        <v/>
      </c>
      <c r="AY458" s="270" t="str">
        <f>_xlfn.IFNA(VLOOKUP(CONCATENATE(AY$4,$C458),'INSER DATA'!$A:$F,7,0),"")</f>
        <v/>
      </c>
      <c r="AZ458" s="270" t="str">
        <f>_xlfn.IFNA(VLOOKUP(CONCATENATE(AZ$4,$C458),'INSER DATA'!$A:$F,7,0),"")</f>
        <v/>
      </c>
      <c r="BA458" s="270" t="str">
        <f>_xlfn.IFNA(VLOOKUP(CONCATENATE(BA$4,$C458),'INSER DATA'!$A:$F,7,0),"")</f>
        <v/>
      </c>
      <c r="BB458" s="270" t="str">
        <f>_xlfn.IFNA(VLOOKUP(CONCATENATE(BB$4,$C458),'INSER DATA'!$A:$F,7,0),"")</f>
        <v/>
      </c>
      <c r="BC458" s="270" t="str">
        <f>_xlfn.IFNA(VLOOKUP(CONCATENATE(BC$4,$C458),'INSER DATA'!$A:$F,7,0),"")</f>
        <v/>
      </c>
      <c r="BD458" s="270" t="str">
        <f>_xlfn.IFNA(VLOOKUP(CONCATENATE(BD$4,$C458),'INSER DATA'!$A:$F,7,0),"")</f>
        <v/>
      </c>
      <c r="BE458" s="270" t="str">
        <f>_xlfn.IFNA(VLOOKUP(CONCATENATE(BE$4,$C458),'INSER DATA'!$A:$F,7,0),"")</f>
        <v/>
      </c>
      <c r="BF458" s="270" t="str">
        <f>_xlfn.IFNA(VLOOKUP(CONCATENATE(BF$4,$C458),'INSER DATA'!$A:$F,7,0),"")</f>
        <v/>
      </c>
      <c r="BG458" s="270" t="str">
        <f>_xlfn.IFNA(VLOOKUP(CONCATENATE(BG$4,$C458),'INSER DATA'!$A:$F,7,0),"")</f>
        <v/>
      </c>
      <c r="BH458" s="270" t="str">
        <f>_xlfn.IFNA(VLOOKUP(CONCATENATE(BH$4,$C458),'INSER DATA'!$A:$F,7,0),"")</f>
        <v/>
      </c>
      <c r="BI458" s="270" t="str">
        <f>_xlfn.IFNA(VLOOKUP(CONCATENATE(BI$4,$C458),'INSER DATA'!$A:$F,7,0),"")</f>
        <v/>
      </c>
      <c r="BJ458" s="270" t="str">
        <f>_xlfn.IFNA(VLOOKUP(CONCATENATE(BJ$4,$C458),'INSER DATA'!$A:$F,7,0),"")</f>
        <v/>
      </c>
      <c r="BK458" s="270" t="str">
        <f>_xlfn.IFNA(VLOOKUP(CONCATENATE(BK$4,$C458),'INSER DATA'!$A:$F,7,0),"")</f>
        <v/>
      </c>
      <c r="BL458" s="272"/>
      <c r="BM458" s="30"/>
      <c r="BN458" s="30"/>
      <c r="BO458" s="30"/>
      <c r="BP458" s="30"/>
      <c r="BQ458" s="30"/>
      <c r="BR458" s="30"/>
      <c r="BS458" s="30"/>
      <c r="BT458" s="30"/>
      <c r="BU458" s="30"/>
      <c r="BV458" s="30"/>
      <c r="BW458" s="30"/>
      <c r="BX458" s="30"/>
      <c r="BY458" s="30"/>
      <c r="BZ458" s="30"/>
      <c r="CA458" s="30"/>
      <c r="CB458" s="30"/>
      <c r="CC458" s="30"/>
      <c r="CD458" s="30"/>
      <c r="CE458" s="30"/>
      <c r="CF458" s="30"/>
      <c r="CG458" s="30"/>
      <c r="CH458" s="30"/>
      <c r="CI458" s="30"/>
      <c r="CJ458" s="30"/>
      <c r="CK458" s="30"/>
      <c r="CL458" s="30"/>
      <c r="CM458" s="30"/>
      <c r="CN458" s="30"/>
      <c r="CO458" s="30"/>
      <c r="CP458" s="30"/>
      <c r="CQ458" s="30"/>
      <c r="CR458" s="30"/>
      <c r="CS458" s="30"/>
      <c r="CT458" s="30"/>
      <c r="CU458" s="30"/>
      <c r="CV458" s="30"/>
      <c r="CW458" s="30"/>
      <c r="CX458" s="30"/>
      <c r="CY458" s="30"/>
      <c r="CZ458" s="30"/>
      <c r="DA458" s="30"/>
    </row>
    <row r="459" spans="1:105" ht="19.2" thickTop="1" thickBot="1" x14ac:dyDescent="0.4">
      <c r="A459" s="30"/>
      <c r="B459" s="30"/>
      <c r="C459" s="356" t="s">
        <v>345</v>
      </c>
      <c r="D459" s="355" t="s">
        <v>934</v>
      </c>
      <c r="E459" s="35" t="str">
        <f>_xlfn.XLOOKUP(Tabella4[[#This Row],[NOME]],'ROSE SQUADRE'!$N$3:$N$253,'ROSE SQUADRE'!$O$3:$O$253,"")</f>
        <v>AS PIPPERIA</v>
      </c>
      <c r="F459" s="36" t="s">
        <v>163</v>
      </c>
      <c r="G459" s="43">
        <v>15</v>
      </c>
      <c r="H459" s="43">
        <v>15</v>
      </c>
      <c r="I459" s="44">
        <f t="shared" si="44"/>
        <v>0</v>
      </c>
      <c r="J459" s="37">
        <f t="shared" si="45"/>
        <v>4</v>
      </c>
      <c r="K459" s="178">
        <f t="shared" si="46"/>
        <v>5.625</v>
      </c>
      <c r="L459" s="178">
        <f t="shared" si="47"/>
        <v>5.625</v>
      </c>
      <c r="M459" s="179">
        <f t="shared" si="48"/>
        <v>22.5</v>
      </c>
      <c r="N459" s="45">
        <f t="shared" ca="1" si="43"/>
        <v>0</v>
      </c>
      <c r="O459" s="40">
        <f>SUMIF(Tabella1[Nome],Tabella4[[#This Row],[NOME]],Tabella1[Gf])</f>
        <v>0</v>
      </c>
      <c r="P459" s="40">
        <f>-(SUMIF(Tabella1[Nome],Tabella4[[#This Row],[NOME]],Tabella1[Gs]))</f>
        <v>0</v>
      </c>
      <c r="Q459" s="40">
        <f>SUMIF(Tabella1[Nome],Tabella4[[#This Row],[NOME]],Tabella1[Rp])</f>
        <v>0</v>
      </c>
      <c r="R459" s="40">
        <f>SUMIF(Tabella1[Nome],Tabella4[[#This Row],[NOME]],Tabella1[Rs])</f>
        <v>0</v>
      </c>
      <c r="S459" s="40">
        <f>SUMIF(Tabella1[Nome],Tabella4[[#This Row],[NOME]],Tabella1[Rf])</f>
        <v>0</v>
      </c>
      <c r="T459" s="40">
        <f>SUMIF(Tabella1[Nome],Tabella4[[#This Row],[NOME]],Tabella1[Au])</f>
        <v>0</v>
      </c>
      <c r="U459" s="41">
        <f>SUMIF(Tabella1[Nome],Tabella4[[#This Row],[NOME]],Tabella1[Amm])</f>
        <v>0</v>
      </c>
      <c r="V459" s="42">
        <f>SUMIF(Tabella1[Nome],Tabella4[[#This Row],[NOME]],Tabella1[Esp])</f>
        <v>0</v>
      </c>
      <c r="W459" s="40">
        <f>SUMIF(Tabella1[Nome],Tabella4[[#This Row],[NOME]],Tabella1[Ass])</f>
        <v>0</v>
      </c>
      <c r="X459" s="40">
        <f>SUMIF(Tabella1[Nome],Tabella4[[#This Row],[NOME]],Tabella1[Gdv])</f>
        <v>0</v>
      </c>
      <c r="Y459" s="40">
        <f>SUMIF(Tabella1[Nome],Tabella4[[#This Row],[NOME]],Tabella1[cl sh])</f>
        <v>0</v>
      </c>
      <c r="Z459" s="270">
        <f>_xlfn.IFNA(_xlfn.XLOOKUP(CONCATENATE(Z$4,$C459),Tabella1[CONC X VOTI IN TAB GIOC],Tabella1[Voto],""),"")</f>
        <v>5.5</v>
      </c>
      <c r="AA459" s="270">
        <f>_xlfn.IFNA(_xlfn.XLOOKUP(CONCATENATE(AA$4,$C459),Tabella1[CONC X VOTI IN TAB GIOC],Tabella1[Voto],""),"")</f>
        <v>5.5</v>
      </c>
      <c r="AB459" s="270">
        <f>_xlfn.IFNA(_xlfn.XLOOKUP(CONCATENATE(AB$4,$C459),Tabella1[CONC X VOTI IN TAB GIOC],Tabella1[Voto]),"")</f>
        <v>6</v>
      </c>
      <c r="AC459" s="270" cm="1">
        <f t="array" ref="AC459">_xlfn.IFNA(_xlfn.XLOOKUP(CONCATENATE(AC$4,$C459),INDEX(Tabella1[],0,MATCH("CONC X VOTI IN TAB GIOC",Tabella1[#Headers],0)),INDEX(Tabella1[],0,MATCH("Voto",Tabella1[#Headers],0))),"")</f>
        <v>5.5</v>
      </c>
      <c r="AD459" s="270" t="str">
        <f>_xlfn.IFNA(_xlfn.XLOOKUP(CONCATENATE(AD$4,$C459),Tabella1[CONC X VOTI IN TAB GIOC],Tabella1[Voto]),"")</f>
        <v/>
      </c>
      <c r="AE459" s="270" t="str">
        <f>_xlfn.IFNA(VLOOKUP(CONCATENATE(AE$4,$C459),'INSER DATA'!$A:$F,6,0),"")</f>
        <v/>
      </c>
      <c r="AF459" s="270" t="str">
        <f>_xlfn.IFNA(VLOOKUP(CONCATENATE(AF$4,$C459),'INSER DATA'!$A:$F,6,0),"")</f>
        <v/>
      </c>
      <c r="AG459" s="270" t="str">
        <f>_xlfn.IFNA(VLOOKUP(CONCATENATE(AG$4,$C459),'INSER DATA'!$A:$F,6,0),"")</f>
        <v/>
      </c>
      <c r="AH459" s="270" t="str">
        <f>_xlfn.IFNA(VLOOKUP(CONCATENATE(AH$4,$C459),'INSER DATA'!$A:$F,7,0),"")</f>
        <v/>
      </c>
      <c r="AI459" s="270" t="str">
        <f>_xlfn.IFNA(VLOOKUP(CONCATENATE(AI$4,$C459),'INSER DATA'!$A:$F,7,0),"")</f>
        <v/>
      </c>
      <c r="AJ459" s="270" t="str">
        <f>_xlfn.IFNA(VLOOKUP(CONCATENATE(AJ$4,$C459),'INSER DATA'!$A:$F,7,0),"")</f>
        <v/>
      </c>
      <c r="AK459" s="270" t="str">
        <f>_xlfn.IFNA(VLOOKUP(CONCATENATE(AK$4,$C459),'INSER DATA'!$A:$F,7,0),"")</f>
        <v/>
      </c>
      <c r="AL459" s="270" t="str">
        <f>_xlfn.IFNA(VLOOKUP(CONCATENATE(AL$4,$C459),'INSER DATA'!$A:$F,7,0),"")</f>
        <v/>
      </c>
      <c r="AM459" s="270" t="str">
        <f>_xlfn.IFNA(VLOOKUP(CONCATENATE(AM$4,$C459),'INSER DATA'!$A:$F,7,0),"")</f>
        <v/>
      </c>
      <c r="AN459" s="270" t="str">
        <f>_xlfn.IFNA(VLOOKUP(CONCATENATE(AN$4,$C459),'INSER DATA'!$A:$F,7,0),"")</f>
        <v/>
      </c>
      <c r="AO459" s="270" t="str">
        <f>_xlfn.IFNA(VLOOKUP(CONCATENATE(AO$4,$C459),'INSER DATA'!$A:$F,7,0),"")</f>
        <v/>
      </c>
      <c r="AP459" s="270" t="str">
        <f>_xlfn.IFNA(VLOOKUP(CONCATENATE(AP$4,$C459),'INSER DATA'!$A:$F,7,0),"")</f>
        <v/>
      </c>
      <c r="AQ459" s="270" t="str">
        <f>_xlfn.IFNA(VLOOKUP(CONCATENATE(AQ$4,$C459),'INSER DATA'!$A:$F,7,0),"")</f>
        <v/>
      </c>
      <c r="AR459" s="270" t="str">
        <f>_xlfn.IFNA(VLOOKUP(CONCATENATE(AR$4,$C459),'INSER DATA'!$A:$F,7,0),"")</f>
        <v/>
      </c>
      <c r="AS459" s="270" t="str">
        <f>_xlfn.IFNA(VLOOKUP(CONCATENATE(AS$4,$C459),'INSER DATA'!$A:$F,7,0),"")</f>
        <v/>
      </c>
      <c r="AT459" s="270" t="str">
        <f>_xlfn.IFNA(VLOOKUP(CONCATENATE(AT$4,$C459),'INSER DATA'!$A:$F,7,0),"")</f>
        <v/>
      </c>
      <c r="AU459" s="270" t="str">
        <f>_xlfn.IFNA(VLOOKUP(CONCATENATE(AU$4,$C459),'INSER DATA'!$A:$F,7,0),"")</f>
        <v/>
      </c>
      <c r="AV459" s="270" t="str">
        <f>_xlfn.IFNA(VLOOKUP(CONCATENATE(AV$4,$C459),'INSER DATA'!$A:$F,7,0),"")</f>
        <v/>
      </c>
      <c r="AW459" s="270" t="str">
        <f>_xlfn.IFNA(VLOOKUP(CONCATENATE(AW$4,$C459),'INSER DATA'!$A:$F,7,0),"")</f>
        <v/>
      </c>
      <c r="AX459" s="270" t="str">
        <f>_xlfn.IFNA(VLOOKUP(CONCATENATE(AX$4,$C459),'INSER DATA'!$A:$F,7,0),"")</f>
        <v/>
      </c>
      <c r="AY459" s="270" t="str">
        <f>_xlfn.IFNA(VLOOKUP(CONCATENATE(AY$4,$C459),'INSER DATA'!$A:$F,7,0),"")</f>
        <v/>
      </c>
      <c r="AZ459" s="270" t="str">
        <f>_xlfn.IFNA(VLOOKUP(CONCATENATE(AZ$4,$C459),'INSER DATA'!$A:$F,7,0),"")</f>
        <v/>
      </c>
      <c r="BA459" s="270" t="str">
        <f>_xlfn.IFNA(VLOOKUP(CONCATENATE(BA$4,$C459),'INSER DATA'!$A:$F,7,0),"")</f>
        <v/>
      </c>
      <c r="BB459" s="270" t="str">
        <f>_xlfn.IFNA(VLOOKUP(CONCATENATE(BB$4,$C459),'INSER DATA'!$A:$F,7,0),"")</f>
        <v/>
      </c>
      <c r="BC459" s="270" t="str">
        <f>_xlfn.IFNA(VLOOKUP(CONCATENATE(BC$4,$C459),'INSER DATA'!$A:$F,7,0),"")</f>
        <v/>
      </c>
      <c r="BD459" s="270" t="str">
        <f>_xlfn.IFNA(VLOOKUP(CONCATENATE(BD$4,$C459),'INSER DATA'!$A:$F,7,0),"")</f>
        <v/>
      </c>
      <c r="BE459" s="270" t="str">
        <f>_xlfn.IFNA(VLOOKUP(CONCATENATE(BE$4,$C459),'INSER DATA'!$A:$F,7,0),"")</f>
        <v/>
      </c>
      <c r="BF459" s="270" t="str">
        <f>_xlfn.IFNA(VLOOKUP(CONCATENATE(BF$4,$C459),'INSER DATA'!$A:$F,7,0),"")</f>
        <v/>
      </c>
      <c r="BG459" s="270" t="str">
        <f>_xlfn.IFNA(VLOOKUP(CONCATENATE(BG$4,$C459),'INSER DATA'!$A:$F,7,0),"")</f>
        <v/>
      </c>
      <c r="BH459" s="270" t="str">
        <f>_xlfn.IFNA(VLOOKUP(CONCATENATE(BH$4,$C459),'INSER DATA'!$A:$F,7,0),"")</f>
        <v/>
      </c>
      <c r="BI459" s="270" t="str">
        <f>_xlfn.IFNA(VLOOKUP(CONCATENATE(BI$4,$C459),'INSER DATA'!$A:$F,7,0),"")</f>
        <v/>
      </c>
      <c r="BJ459" s="270" t="str">
        <f>_xlfn.IFNA(VLOOKUP(CONCATENATE(BJ$4,$C459),'INSER DATA'!$A:$F,7,0),"")</f>
        <v/>
      </c>
      <c r="BK459" s="270" t="str">
        <f>_xlfn.IFNA(VLOOKUP(CONCATENATE(BK$4,$C459),'INSER DATA'!$A:$F,7,0),"")</f>
        <v/>
      </c>
      <c r="BL459" s="272"/>
      <c r="BM459" s="30"/>
      <c r="BN459" s="30"/>
      <c r="BO459" s="30"/>
      <c r="BP459" s="30"/>
      <c r="BQ459" s="30"/>
      <c r="BR459" s="30"/>
      <c r="BS459" s="30"/>
      <c r="BT459" s="30"/>
      <c r="BU459" s="30"/>
      <c r="BV459" s="30"/>
      <c r="BW459" s="30"/>
      <c r="BX459" s="30"/>
      <c r="BY459" s="30"/>
      <c r="BZ459" s="30"/>
      <c r="CA459" s="30"/>
      <c r="CB459" s="30"/>
      <c r="CC459" s="30"/>
      <c r="CD459" s="30"/>
      <c r="CE459" s="30"/>
      <c r="CF459" s="30"/>
      <c r="CG459" s="30"/>
      <c r="CH459" s="30"/>
      <c r="CI459" s="30"/>
      <c r="CJ459" s="30"/>
      <c r="CK459" s="30"/>
      <c r="CL459" s="30"/>
      <c r="CM459" s="30"/>
      <c r="CN459" s="30"/>
      <c r="CO459" s="30"/>
      <c r="CP459" s="30"/>
      <c r="CQ459" s="30"/>
      <c r="CR459" s="30"/>
      <c r="CS459" s="30"/>
      <c r="CT459" s="30"/>
      <c r="CU459" s="30"/>
      <c r="CV459" s="30"/>
      <c r="CW459" s="30"/>
      <c r="CX459" s="30"/>
      <c r="CY459" s="30"/>
      <c r="CZ459" s="30"/>
      <c r="DA459" s="30"/>
    </row>
    <row r="460" spans="1:105" ht="19.2" thickTop="1" thickBot="1" x14ac:dyDescent="0.4">
      <c r="A460" s="30"/>
      <c r="B460" s="30"/>
      <c r="C460" s="356" t="s">
        <v>948</v>
      </c>
      <c r="D460" s="355" t="s">
        <v>934</v>
      </c>
      <c r="E460" s="35" t="str">
        <f>_xlfn.XLOOKUP(Tabella4[[#This Row],[NOME]],'ROSE SQUADRE'!$N$3:$N$253,'ROSE SQUADRE'!$O$3:$O$253,"")</f>
        <v>FC INTERNAZIOANALE</v>
      </c>
      <c r="F460" s="36" t="s">
        <v>162</v>
      </c>
      <c r="G460" s="43">
        <v>14</v>
      </c>
      <c r="H460" s="43">
        <v>13</v>
      </c>
      <c r="I460" s="44">
        <f t="shared" si="44"/>
        <v>-1</v>
      </c>
      <c r="J460" s="37">
        <f t="shared" si="45"/>
        <v>4</v>
      </c>
      <c r="K460" s="38">
        <f t="shared" si="46"/>
        <v>5.375</v>
      </c>
      <c r="L460" s="38">
        <f t="shared" si="47"/>
        <v>5.375</v>
      </c>
      <c r="M460" s="39">
        <f t="shared" si="48"/>
        <v>21.5</v>
      </c>
      <c r="N460" s="45">
        <f t="shared" ca="1" si="43"/>
        <v>0</v>
      </c>
      <c r="O460" s="40">
        <f>SUMIF(Tabella1[Nome],Tabella4[[#This Row],[NOME]],Tabella1[Gf])</f>
        <v>0</v>
      </c>
      <c r="P460" s="40">
        <f>-(SUMIF(Tabella1[Nome],Tabella4[[#This Row],[NOME]],Tabella1[Gs]))</f>
        <v>0</v>
      </c>
      <c r="Q460" s="40">
        <f>SUMIF(Tabella1[Nome],Tabella4[[#This Row],[NOME]],Tabella1[Rp])</f>
        <v>0</v>
      </c>
      <c r="R460" s="40">
        <f>SUMIF(Tabella1[Nome],Tabella4[[#This Row],[NOME]],Tabella1[Rs])</f>
        <v>0</v>
      </c>
      <c r="S460" s="40">
        <f>SUMIF(Tabella1[Nome],Tabella4[[#This Row],[NOME]],Tabella1[Rf])</f>
        <v>0</v>
      </c>
      <c r="T460" s="40">
        <f>SUMIF(Tabella1[Nome],Tabella4[[#This Row],[NOME]],Tabella1[Au])</f>
        <v>0</v>
      </c>
      <c r="U460" s="41">
        <f>SUMIF(Tabella1[Nome],Tabella4[[#This Row],[NOME]],Tabella1[Amm])</f>
        <v>0</v>
      </c>
      <c r="V460" s="42">
        <f>SUMIF(Tabella1[Nome],Tabella4[[#This Row],[NOME]],Tabella1[Esp])</f>
        <v>0</v>
      </c>
      <c r="W460" s="40">
        <f>SUMIF(Tabella1[Nome],Tabella4[[#This Row],[NOME]],Tabella1[Ass])</f>
        <v>0</v>
      </c>
      <c r="X460" s="40">
        <f>SUMIF(Tabella1[Nome],Tabella4[[#This Row],[NOME]],Tabella1[Gdv])</f>
        <v>0</v>
      </c>
      <c r="Y460" s="40">
        <f>SUMIF(Tabella1[Nome],Tabella4[[#This Row],[NOME]],Tabella1[cl sh])</f>
        <v>0</v>
      </c>
      <c r="Z460" s="270">
        <f>_xlfn.IFNA(_xlfn.XLOOKUP(CONCATENATE(Z$4,$C460),Tabella1[CONC X VOTI IN TAB GIOC],Tabella1[Voto],""),"")</f>
        <v>5</v>
      </c>
      <c r="AA460" s="270">
        <f>_xlfn.IFNA(_xlfn.XLOOKUP(CONCATENATE(AA$4,$C460),Tabella1[CONC X VOTI IN TAB GIOC],Tabella1[Voto],""),"")</f>
        <v>5.5</v>
      </c>
      <c r="AB460" s="270">
        <f>_xlfn.IFNA(_xlfn.XLOOKUP(CONCATENATE(AB$4,$C460),Tabella1[CONC X VOTI IN TAB GIOC],Tabella1[Voto]),"")</f>
        <v>5.5</v>
      </c>
      <c r="AC460" s="270" cm="1">
        <f t="array" ref="AC460">_xlfn.IFNA(_xlfn.XLOOKUP(CONCATENATE(AC$4,$C460),INDEX(Tabella1[],0,MATCH("CONC X VOTI IN TAB GIOC",Tabella1[#Headers],0)),INDEX(Tabella1[],0,MATCH("Voto",Tabella1[#Headers],0))),"")</f>
        <v>5.5</v>
      </c>
      <c r="AD460" s="270" t="str">
        <f>_xlfn.IFNA(_xlfn.XLOOKUP(CONCATENATE(AD$4,$C460),Tabella1[CONC X VOTI IN TAB GIOC],Tabella1[Voto]),"")</f>
        <v/>
      </c>
      <c r="AE460" s="270" t="str">
        <f>_xlfn.IFNA(VLOOKUP(CONCATENATE(AE$4,$C460),'INSER DATA'!$A:$F,6,0),"")</f>
        <v/>
      </c>
      <c r="AF460" s="270" t="str">
        <f>_xlfn.IFNA(VLOOKUP(CONCATENATE(AF$4,$C460),'INSER DATA'!$A:$F,6,0),"")</f>
        <v/>
      </c>
      <c r="AG460" s="270" t="str">
        <f>_xlfn.IFNA(VLOOKUP(CONCATENATE(AG$4,$C460),'INSER DATA'!$A:$F,6,0),"")</f>
        <v/>
      </c>
      <c r="AH460" s="270" t="str">
        <f>_xlfn.IFNA(VLOOKUP(CONCATENATE(AH$4,$C460),'INSER DATA'!$A:$F,7,0),"")</f>
        <v/>
      </c>
      <c r="AI460" s="270" t="str">
        <f>_xlfn.IFNA(VLOOKUP(CONCATENATE(AI$4,$C460),'INSER DATA'!$A:$F,7,0),"")</f>
        <v/>
      </c>
      <c r="AJ460" s="270" t="str">
        <f>_xlfn.IFNA(VLOOKUP(CONCATENATE(AJ$4,$C460),'INSER DATA'!$A:$F,7,0),"")</f>
        <v/>
      </c>
      <c r="AK460" s="270" t="str">
        <f>_xlfn.IFNA(VLOOKUP(CONCATENATE(AK$4,$C460),'INSER DATA'!$A:$F,7,0),"")</f>
        <v/>
      </c>
      <c r="AL460" s="270" t="str">
        <f>_xlfn.IFNA(VLOOKUP(CONCATENATE(AL$4,$C460),'INSER DATA'!$A:$F,7,0),"")</f>
        <v/>
      </c>
      <c r="AM460" s="270" t="str">
        <f>_xlfn.IFNA(VLOOKUP(CONCATENATE(AM$4,$C460),'INSER DATA'!$A:$F,7,0),"")</f>
        <v/>
      </c>
      <c r="AN460" s="270" t="str">
        <f>_xlfn.IFNA(VLOOKUP(CONCATENATE(AN$4,$C460),'INSER DATA'!$A:$F,7,0),"")</f>
        <v/>
      </c>
      <c r="AO460" s="270" t="str">
        <f>_xlfn.IFNA(VLOOKUP(CONCATENATE(AO$4,$C460),'INSER DATA'!$A:$F,7,0),"")</f>
        <v/>
      </c>
      <c r="AP460" s="270" t="str">
        <f>_xlfn.IFNA(VLOOKUP(CONCATENATE(AP$4,$C460),'INSER DATA'!$A:$F,7,0),"")</f>
        <v/>
      </c>
      <c r="AQ460" s="270" t="str">
        <f>_xlfn.IFNA(VLOOKUP(CONCATENATE(AQ$4,$C460),'INSER DATA'!$A:$F,7,0),"")</f>
        <v/>
      </c>
      <c r="AR460" s="270" t="str">
        <f>_xlfn.IFNA(VLOOKUP(CONCATENATE(AR$4,$C460),'INSER DATA'!$A:$F,7,0),"")</f>
        <v/>
      </c>
      <c r="AS460" s="270" t="str">
        <f>_xlfn.IFNA(VLOOKUP(CONCATENATE(AS$4,$C460),'INSER DATA'!$A:$F,7,0),"")</f>
        <v/>
      </c>
      <c r="AT460" s="270" t="str">
        <f>_xlfn.IFNA(VLOOKUP(CONCATENATE(AT$4,$C460),'INSER DATA'!$A:$F,7,0),"")</f>
        <v/>
      </c>
      <c r="AU460" s="270" t="str">
        <f>_xlfn.IFNA(VLOOKUP(CONCATENATE(AU$4,$C460),'INSER DATA'!$A:$F,7,0),"")</f>
        <v/>
      </c>
      <c r="AV460" s="270" t="str">
        <f>_xlfn.IFNA(VLOOKUP(CONCATENATE(AV$4,$C460),'INSER DATA'!$A:$F,7,0),"")</f>
        <v/>
      </c>
      <c r="AW460" s="270" t="str">
        <f>_xlfn.IFNA(VLOOKUP(CONCATENATE(AW$4,$C460),'INSER DATA'!$A:$F,7,0),"")</f>
        <v/>
      </c>
      <c r="AX460" s="270" t="str">
        <f>_xlfn.IFNA(VLOOKUP(CONCATENATE(AX$4,$C460),'INSER DATA'!$A:$F,7,0),"")</f>
        <v/>
      </c>
      <c r="AY460" s="270" t="str">
        <f>_xlfn.IFNA(VLOOKUP(CONCATENATE(AY$4,$C460),'INSER DATA'!$A:$F,7,0),"")</f>
        <v/>
      </c>
      <c r="AZ460" s="270" t="str">
        <f>_xlfn.IFNA(VLOOKUP(CONCATENATE(AZ$4,$C460),'INSER DATA'!$A:$F,7,0),"")</f>
        <v/>
      </c>
      <c r="BA460" s="270" t="str">
        <f>_xlfn.IFNA(VLOOKUP(CONCATENATE(BA$4,$C460),'INSER DATA'!$A:$F,7,0),"")</f>
        <v/>
      </c>
      <c r="BB460" s="270" t="str">
        <f>_xlfn.IFNA(VLOOKUP(CONCATENATE(BB$4,$C460),'INSER DATA'!$A:$F,7,0),"")</f>
        <v/>
      </c>
      <c r="BC460" s="270" t="str">
        <f>_xlfn.IFNA(VLOOKUP(CONCATENATE(BC$4,$C460),'INSER DATA'!$A:$F,7,0),"")</f>
        <v/>
      </c>
      <c r="BD460" s="270" t="str">
        <f>_xlfn.IFNA(VLOOKUP(CONCATENATE(BD$4,$C460),'INSER DATA'!$A:$F,7,0),"")</f>
        <v/>
      </c>
      <c r="BE460" s="270" t="str">
        <f>_xlfn.IFNA(VLOOKUP(CONCATENATE(BE$4,$C460),'INSER DATA'!$A:$F,7,0),"")</f>
        <v/>
      </c>
      <c r="BF460" s="270" t="str">
        <f>_xlfn.IFNA(VLOOKUP(CONCATENATE(BF$4,$C460),'INSER DATA'!$A:$F,7,0),"")</f>
        <v/>
      </c>
      <c r="BG460" s="270" t="str">
        <f>_xlfn.IFNA(VLOOKUP(CONCATENATE(BG$4,$C460),'INSER DATA'!$A:$F,7,0),"")</f>
        <v/>
      </c>
      <c r="BH460" s="270" t="str">
        <f>_xlfn.IFNA(VLOOKUP(CONCATENATE(BH$4,$C460),'INSER DATA'!$A:$F,7,0),"")</f>
        <v/>
      </c>
      <c r="BI460" s="270" t="str">
        <f>_xlfn.IFNA(VLOOKUP(CONCATENATE(BI$4,$C460),'INSER DATA'!$A:$F,7,0),"")</f>
        <v/>
      </c>
      <c r="BJ460" s="270" t="str">
        <f>_xlfn.IFNA(VLOOKUP(CONCATENATE(BJ$4,$C460),'INSER DATA'!$A:$F,7,0),"")</f>
        <v/>
      </c>
      <c r="BK460" s="270" t="str">
        <f>_xlfn.IFNA(VLOOKUP(CONCATENATE(BK$4,$C460),'INSER DATA'!$A:$F,7,0),"")</f>
        <v/>
      </c>
      <c r="BL460" s="272"/>
      <c r="BM460" s="30"/>
      <c r="BN460" s="30"/>
      <c r="BO460" s="30"/>
      <c r="BP460" s="30"/>
      <c r="BQ460" s="30"/>
      <c r="BR460" s="30"/>
      <c r="BS460" s="30"/>
      <c r="BT460" s="30"/>
      <c r="BU460" s="30"/>
      <c r="BV460" s="30"/>
      <c r="BW460" s="30"/>
      <c r="BX460" s="30"/>
      <c r="BY460" s="30"/>
      <c r="BZ460" s="30"/>
      <c r="CA460" s="30"/>
      <c r="CB460" s="30"/>
      <c r="CC460" s="30"/>
      <c r="CD460" s="30"/>
      <c r="CE460" s="30"/>
      <c r="CF460" s="30"/>
      <c r="CG460" s="30"/>
      <c r="CH460" s="30"/>
      <c r="CI460" s="30"/>
      <c r="CJ460" s="30"/>
      <c r="CK460" s="30"/>
      <c r="CL460" s="30"/>
      <c r="CM460" s="30"/>
      <c r="CN460" s="30"/>
      <c r="CO460" s="30"/>
      <c r="CP460" s="30"/>
      <c r="CQ460" s="30"/>
      <c r="CR460" s="30"/>
      <c r="CS460" s="30"/>
      <c r="CT460" s="30"/>
      <c r="CU460" s="30"/>
      <c r="CV460" s="30"/>
      <c r="CW460" s="30"/>
      <c r="CX460" s="30"/>
      <c r="CY460" s="30"/>
      <c r="CZ460" s="30"/>
      <c r="DA460" s="30"/>
    </row>
    <row r="461" spans="1:105" ht="19.2" thickTop="1" thickBot="1" x14ac:dyDescent="0.4">
      <c r="A461" s="30"/>
      <c r="B461" s="30"/>
      <c r="C461" s="356" t="s">
        <v>943</v>
      </c>
      <c r="D461" s="355" t="s">
        <v>934</v>
      </c>
      <c r="E461" s="35" t="str">
        <f>_xlfn.XLOOKUP(Tabella4[[#This Row],[NOME]],'ROSE SQUADRE'!$N$3:$N$253,'ROSE SQUADRE'!$O$3:$O$253,"")</f>
        <v>PARTIZAN DEGRADO</v>
      </c>
      <c r="F461" s="36" t="s">
        <v>162</v>
      </c>
      <c r="G461" s="43">
        <v>10</v>
      </c>
      <c r="H461" s="43">
        <v>10</v>
      </c>
      <c r="I461" s="44">
        <f t="shared" si="44"/>
        <v>0</v>
      </c>
      <c r="J461" s="37">
        <f t="shared" si="45"/>
        <v>1</v>
      </c>
      <c r="K461" s="38">
        <f t="shared" si="46"/>
        <v>5</v>
      </c>
      <c r="L461" s="38">
        <f t="shared" si="47"/>
        <v>5</v>
      </c>
      <c r="M461" s="39">
        <f t="shared" si="48"/>
        <v>5</v>
      </c>
      <c r="N461" s="45">
        <f t="shared" ca="1" si="43"/>
        <v>0</v>
      </c>
      <c r="O461" s="40">
        <f>SUMIF(Tabella1[Nome],Tabella4[[#This Row],[NOME]],Tabella1[Gf])</f>
        <v>0</v>
      </c>
      <c r="P461" s="40">
        <f>-(SUMIF(Tabella1[Nome],Tabella4[[#This Row],[NOME]],Tabella1[Gs]))</f>
        <v>0</v>
      </c>
      <c r="Q461" s="40">
        <f>SUMIF(Tabella1[Nome],Tabella4[[#This Row],[NOME]],Tabella1[Rp])</f>
        <v>0</v>
      </c>
      <c r="R461" s="40">
        <f>SUMIF(Tabella1[Nome],Tabella4[[#This Row],[NOME]],Tabella1[Rs])</f>
        <v>0</v>
      </c>
      <c r="S461" s="40">
        <f>SUMIF(Tabella1[Nome],Tabella4[[#This Row],[NOME]],Tabella1[Rf])</f>
        <v>0</v>
      </c>
      <c r="T461" s="40">
        <f>SUMIF(Tabella1[Nome],Tabella4[[#This Row],[NOME]],Tabella1[Au])</f>
        <v>0</v>
      </c>
      <c r="U461" s="41">
        <f>SUMIF(Tabella1[Nome],Tabella4[[#This Row],[NOME]],Tabella1[Amm])</f>
        <v>0</v>
      </c>
      <c r="V461" s="42">
        <f>SUMIF(Tabella1[Nome],Tabella4[[#This Row],[NOME]],Tabella1[Esp])</f>
        <v>0</v>
      </c>
      <c r="W461" s="40">
        <f>SUMIF(Tabella1[Nome],Tabella4[[#This Row],[NOME]],Tabella1[Ass])</f>
        <v>0</v>
      </c>
      <c r="X461" s="40">
        <f>SUMIF(Tabella1[Nome],Tabella4[[#This Row],[NOME]],Tabella1[Gdv])</f>
        <v>0</v>
      </c>
      <c r="Y461" s="40">
        <f>SUMIF(Tabella1[Nome],Tabella4[[#This Row],[NOME]],Tabella1[cl sh])</f>
        <v>0</v>
      </c>
      <c r="Z461" s="270">
        <f>_xlfn.IFNA(_xlfn.XLOOKUP(CONCATENATE(Z$4,$C461),Tabella1[CONC X VOTI IN TAB GIOC],Tabella1[Voto],""),"")</f>
        <v>5</v>
      </c>
      <c r="AA461" s="270" t="str">
        <f>_xlfn.IFNA(_xlfn.XLOOKUP(CONCATENATE(AA$4,$C461),Tabella1[CONC X VOTI IN TAB GIOC],Tabella1[Voto],""),"")</f>
        <v/>
      </c>
      <c r="AB461" s="270" t="str">
        <f>_xlfn.IFNA(_xlfn.XLOOKUP(CONCATENATE(AB$4,$C461),Tabella1[CONC X VOTI IN TAB GIOC],Tabella1[Voto]),"")</f>
        <v/>
      </c>
      <c r="AC461" s="270" t="str" cm="1">
        <f t="array" ref="AC461">_xlfn.IFNA(_xlfn.XLOOKUP(CONCATENATE(AC$4,$C461),INDEX(Tabella1[],0,MATCH("CONC X VOTI IN TAB GIOC",Tabella1[#Headers],0)),INDEX(Tabella1[],0,MATCH("Voto",Tabella1[#Headers],0))),"")</f>
        <v/>
      </c>
      <c r="AD461" s="270" t="str">
        <f>_xlfn.IFNA(_xlfn.XLOOKUP(CONCATENATE(AD$4,$C461),Tabella1[CONC X VOTI IN TAB GIOC],Tabella1[Voto]),"")</f>
        <v/>
      </c>
      <c r="AE461" s="270" t="str">
        <f>_xlfn.IFNA(VLOOKUP(CONCATENATE(AE$4,$C461),'INSER DATA'!$A:$F,6,0),"")</f>
        <v/>
      </c>
      <c r="AF461" s="270" t="str">
        <f>_xlfn.IFNA(VLOOKUP(CONCATENATE(AF$4,$C461),'INSER DATA'!$A:$F,6,0),"")</f>
        <v/>
      </c>
      <c r="AG461" s="270" t="str">
        <f>_xlfn.IFNA(VLOOKUP(CONCATENATE(AG$4,$C461),'INSER DATA'!$A:$F,6,0),"")</f>
        <v/>
      </c>
      <c r="AH461" s="270" t="str">
        <f>_xlfn.IFNA(VLOOKUP(CONCATENATE(AH$4,$C461),'INSER DATA'!$A:$F,7,0),"")</f>
        <v/>
      </c>
      <c r="AI461" s="270" t="str">
        <f>_xlfn.IFNA(VLOOKUP(CONCATENATE(AI$4,$C461),'INSER DATA'!$A:$F,7,0),"")</f>
        <v/>
      </c>
      <c r="AJ461" s="270" t="str">
        <f>_xlfn.IFNA(VLOOKUP(CONCATENATE(AJ$4,$C461),'INSER DATA'!$A:$F,7,0),"")</f>
        <v/>
      </c>
      <c r="AK461" s="270" t="str">
        <f>_xlfn.IFNA(VLOOKUP(CONCATENATE(AK$4,$C461),'INSER DATA'!$A:$F,7,0),"")</f>
        <v/>
      </c>
      <c r="AL461" s="270" t="str">
        <f>_xlfn.IFNA(VLOOKUP(CONCATENATE(AL$4,$C461),'INSER DATA'!$A:$F,7,0),"")</f>
        <v/>
      </c>
      <c r="AM461" s="270" t="str">
        <f>_xlfn.IFNA(VLOOKUP(CONCATENATE(AM$4,$C461),'INSER DATA'!$A:$F,7,0),"")</f>
        <v/>
      </c>
      <c r="AN461" s="270" t="str">
        <f>_xlfn.IFNA(VLOOKUP(CONCATENATE(AN$4,$C461),'INSER DATA'!$A:$F,7,0),"")</f>
        <v/>
      </c>
      <c r="AO461" s="270" t="str">
        <f>_xlfn.IFNA(VLOOKUP(CONCATENATE(AO$4,$C461),'INSER DATA'!$A:$F,7,0),"")</f>
        <v/>
      </c>
      <c r="AP461" s="270" t="str">
        <f>_xlfn.IFNA(VLOOKUP(CONCATENATE(AP$4,$C461),'INSER DATA'!$A:$F,7,0),"")</f>
        <v/>
      </c>
      <c r="AQ461" s="270" t="str">
        <f>_xlfn.IFNA(VLOOKUP(CONCATENATE(AQ$4,$C461),'INSER DATA'!$A:$F,7,0),"")</f>
        <v/>
      </c>
      <c r="AR461" s="270" t="str">
        <f>_xlfn.IFNA(VLOOKUP(CONCATENATE(AR$4,$C461),'INSER DATA'!$A:$F,7,0),"")</f>
        <v/>
      </c>
      <c r="AS461" s="270" t="str">
        <f>_xlfn.IFNA(VLOOKUP(CONCATENATE(AS$4,$C461),'INSER DATA'!$A:$F,7,0),"")</f>
        <v/>
      </c>
      <c r="AT461" s="270" t="str">
        <f>_xlfn.IFNA(VLOOKUP(CONCATENATE(AT$4,$C461),'INSER DATA'!$A:$F,7,0),"")</f>
        <v/>
      </c>
      <c r="AU461" s="270" t="str">
        <f>_xlfn.IFNA(VLOOKUP(CONCATENATE(AU$4,$C461),'INSER DATA'!$A:$F,7,0),"")</f>
        <v/>
      </c>
      <c r="AV461" s="270" t="str">
        <f>_xlfn.IFNA(VLOOKUP(CONCATENATE(AV$4,$C461),'INSER DATA'!$A:$F,7,0),"")</f>
        <v/>
      </c>
      <c r="AW461" s="270" t="str">
        <f>_xlfn.IFNA(VLOOKUP(CONCATENATE(AW$4,$C461),'INSER DATA'!$A:$F,7,0),"")</f>
        <v/>
      </c>
      <c r="AX461" s="270" t="str">
        <f>_xlfn.IFNA(VLOOKUP(CONCATENATE(AX$4,$C461),'INSER DATA'!$A:$F,7,0),"")</f>
        <v/>
      </c>
      <c r="AY461" s="270" t="str">
        <f>_xlfn.IFNA(VLOOKUP(CONCATENATE(AY$4,$C461),'INSER DATA'!$A:$F,7,0),"")</f>
        <v/>
      </c>
      <c r="AZ461" s="270" t="str">
        <f>_xlfn.IFNA(VLOOKUP(CONCATENATE(AZ$4,$C461),'INSER DATA'!$A:$F,7,0),"")</f>
        <v/>
      </c>
      <c r="BA461" s="270" t="str">
        <f>_xlfn.IFNA(VLOOKUP(CONCATENATE(BA$4,$C461),'INSER DATA'!$A:$F,7,0),"")</f>
        <v/>
      </c>
      <c r="BB461" s="270" t="str">
        <f>_xlfn.IFNA(VLOOKUP(CONCATENATE(BB$4,$C461),'INSER DATA'!$A:$F,7,0),"")</f>
        <v/>
      </c>
      <c r="BC461" s="270" t="str">
        <f>_xlfn.IFNA(VLOOKUP(CONCATENATE(BC$4,$C461),'INSER DATA'!$A:$F,7,0),"")</f>
        <v/>
      </c>
      <c r="BD461" s="270" t="str">
        <f>_xlfn.IFNA(VLOOKUP(CONCATENATE(BD$4,$C461),'INSER DATA'!$A:$F,7,0),"")</f>
        <v/>
      </c>
      <c r="BE461" s="270" t="str">
        <f>_xlfn.IFNA(VLOOKUP(CONCATENATE(BE$4,$C461),'INSER DATA'!$A:$F,7,0),"")</f>
        <v/>
      </c>
      <c r="BF461" s="270" t="str">
        <f>_xlfn.IFNA(VLOOKUP(CONCATENATE(BF$4,$C461),'INSER DATA'!$A:$F,7,0),"")</f>
        <v/>
      </c>
      <c r="BG461" s="270" t="str">
        <f>_xlfn.IFNA(VLOOKUP(CONCATENATE(BG$4,$C461),'INSER DATA'!$A:$F,7,0),"")</f>
        <v/>
      </c>
      <c r="BH461" s="270" t="str">
        <f>_xlfn.IFNA(VLOOKUP(CONCATENATE(BH$4,$C461),'INSER DATA'!$A:$F,7,0),"")</f>
        <v/>
      </c>
      <c r="BI461" s="270" t="str">
        <f>_xlfn.IFNA(VLOOKUP(CONCATENATE(BI$4,$C461),'INSER DATA'!$A:$F,7,0),"")</f>
        <v/>
      </c>
      <c r="BJ461" s="270" t="str">
        <f>_xlfn.IFNA(VLOOKUP(CONCATENATE(BJ$4,$C461),'INSER DATA'!$A:$F,7,0),"")</f>
        <v/>
      </c>
      <c r="BK461" s="270" t="str">
        <f>_xlfn.IFNA(VLOOKUP(CONCATENATE(BK$4,$C461),'INSER DATA'!$A:$F,7,0),"")</f>
        <v/>
      </c>
      <c r="BL461" s="272"/>
      <c r="BM461" s="30"/>
      <c r="BN461" s="30"/>
      <c r="BO461" s="30"/>
      <c r="BP461" s="30"/>
      <c r="BQ461" s="30"/>
      <c r="BR461" s="30"/>
      <c r="BS461" s="30"/>
      <c r="BT461" s="30"/>
      <c r="BU461" s="30"/>
      <c r="BV461" s="30"/>
      <c r="BW461" s="30"/>
      <c r="BX461" s="30"/>
      <c r="BY461" s="30"/>
      <c r="BZ461" s="30"/>
      <c r="CA461" s="30"/>
      <c r="CB461" s="30"/>
      <c r="CC461" s="30"/>
      <c r="CD461" s="30"/>
      <c r="CE461" s="30"/>
      <c r="CF461" s="30"/>
      <c r="CG461" s="30"/>
      <c r="CH461" s="30"/>
      <c r="CI461" s="30"/>
      <c r="CJ461" s="30"/>
      <c r="CK461" s="30"/>
      <c r="CL461" s="30"/>
      <c r="CM461" s="30"/>
      <c r="CN461" s="30"/>
      <c r="CO461" s="30"/>
      <c r="CP461" s="30"/>
      <c r="CQ461" s="30"/>
      <c r="CR461" s="30"/>
      <c r="CS461" s="30"/>
      <c r="CT461" s="30"/>
      <c r="CU461" s="30"/>
      <c r="CV461" s="30"/>
      <c r="CW461" s="30"/>
      <c r="CX461" s="30"/>
      <c r="CY461" s="30"/>
      <c r="CZ461" s="30"/>
      <c r="DA461" s="30"/>
    </row>
    <row r="462" spans="1:105" ht="19.2" thickTop="1" thickBot="1" x14ac:dyDescent="0.4">
      <c r="A462" s="30"/>
      <c r="B462" s="30"/>
      <c r="C462" s="188" t="s">
        <v>935</v>
      </c>
      <c r="D462" s="187" t="s">
        <v>934</v>
      </c>
      <c r="E462" s="35" t="str">
        <f>_xlfn.XLOOKUP(Tabella4[[#This Row],[NOME]],'ROSE SQUADRE'!$N$3:$N$253,'ROSE SQUADRE'!$O$3:$O$253,"")</f>
        <v/>
      </c>
      <c r="F462" s="36" t="s">
        <v>5</v>
      </c>
      <c r="G462" s="43">
        <v>1</v>
      </c>
      <c r="H462" s="43">
        <v>1</v>
      </c>
      <c r="I462" s="44">
        <f t="shared" si="44"/>
        <v>0</v>
      </c>
      <c r="J462" s="37">
        <f t="shared" si="45"/>
        <v>0</v>
      </c>
      <c r="K462" s="178">
        <f t="shared" si="46"/>
        <v>0</v>
      </c>
      <c r="L462" s="178">
        <f t="shared" si="47"/>
        <v>0</v>
      </c>
      <c r="M462" s="179">
        <f t="shared" si="48"/>
        <v>0</v>
      </c>
      <c r="N462" s="45">
        <f t="shared" ca="1" si="43"/>
        <v>0</v>
      </c>
      <c r="O462" s="40">
        <f>SUMIF(Tabella1[Nome],Tabella4[[#This Row],[NOME]],Tabella1[Gf])</f>
        <v>0</v>
      </c>
      <c r="P462" s="40">
        <f>-(SUMIF(Tabella1[Nome],Tabella4[[#This Row],[NOME]],Tabella1[Gs]))</f>
        <v>0</v>
      </c>
      <c r="Q462" s="40">
        <f>SUMIF(Tabella1[Nome],Tabella4[[#This Row],[NOME]],Tabella1[Rp])</f>
        <v>0</v>
      </c>
      <c r="R462" s="40">
        <f>SUMIF(Tabella1[Nome],Tabella4[[#This Row],[NOME]],Tabella1[Rs])</f>
        <v>0</v>
      </c>
      <c r="S462" s="40">
        <f>SUMIF(Tabella1[Nome],Tabella4[[#This Row],[NOME]],Tabella1[Rf])</f>
        <v>0</v>
      </c>
      <c r="T462" s="40">
        <f>SUMIF(Tabella1[Nome],Tabella4[[#This Row],[NOME]],Tabella1[Au])</f>
        <v>0</v>
      </c>
      <c r="U462" s="41">
        <f>SUMIF(Tabella1[Nome],Tabella4[[#This Row],[NOME]],Tabella1[Amm])</f>
        <v>0</v>
      </c>
      <c r="V462" s="42">
        <f>SUMIF(Tabella1[Nome],Tabella4[[#This Row],[NOME]],Tabella1[Esp])</f>
        <v>0</v>
      </c>
      <c r="W462" s="40">
        <f>SUMIF(Tabella1[Nome],Tabella4[[#This Row],[NOME]],Tabella1[Ass])</f>
        <v>0</v>
      </c>
      <c r="X462" s="40">
        <f>SUMIF(Tabella1[Nome],Tabella4[[#This Row],[NOME]],Tabella1[Gdv])</f>
        <v>0</v>
      </c>
      <c r="Y462" s="40">
        <f>SUMIF(Tabella1[Nome],Tabella4[[#This Row],[NOME]],Tabella1[cl sh])</f>
        <v>0</v>
      </c>
      <c r="Z462" s="270" t="str">
        <f>_xlfn.IFNA(_xlfn.XLOOKUP(CONCATENATE(Z$4,$C462),Tabella1[CONC X VOTI IN TAB GIOC],Tabella1[Voto],""),"")</f>
        <v/>
      </c>
      <c r="AA462" s="270" t="str">
        <f>_xlfn.IFNA(_xlfn.XLOOKUP(CONCATENATE(AA$4,$C462),Tabella1[CONC X VOTI IN TAB GIOC],Tabella1[Voto],""),"")</f>
        <v/>
      </c>
      <c r="AB462" s="270" t="str">
        <f>_xlfn.IFNA(_xlfn.XLOOKUP(CONCATENATE(AB$4,$C462),Tabella1[CONC X VOTI IN TAB GIOC],Tabella1[Voto]),"")</f>
        <v/>
      </c>
      <c r="AC462" s="270" t="str" cm="1">
        <f t="array" ref="AC462">_xlfn.IFNA(_xlfn.XLOOKUP(CONCATENATE(AC$4,$C462),INDEX(Tabella1[],0,MATCH("CONC X VOTI IN TAB GIOC",Tabella1[#Headers],0)),INDEX(Tabella1[],0,MATCH("Voto",Tabella1[#Headers],0))),"")</f>
        <v/>
      </c>
      <c r="AD462" s="270" t="str">
        <f>_xlfn.IFNA(_xlfn.XLOOKUP(CONCATENATE(AD$4,$C462),Tabella1[CONC X VOTI IN TAB GIOC],Tabella1[Voto]),"")</f>
        <v/>
      </c>
      <c r="AE462" s="270" t="str">
        <f>_xlfn.IFNA(VLOOKUP(CONCATENATE(AE$4,$C462),'INSER DATA'!$A:$F,6,0),"")</f>
        <v/>
      </c>
      <c r="AF462" s="270" t="str">
        <f>_xlfn.IFNA(VLOOKUP(CONCATENATE(AF$4,$C462),'INSER DATA'!$A:$F,6,0),"")</f>
        <v/>
      </c>
      <c r="AG462" s="270" t="str">
        <f>_xlfn.IFNA(VLOOKUP(CONCATENATE(AG$4,$C462),'INSER DATA'!$A:$F,6,0),"")</f>
        <v/>
      </c>
      <c r="AH462" s="270" t="str">
        <f>_xlfn.IFNA(VLOOKUP(CONCATENATE(AH$4,$C462),'INSER DATA'!$A:$F,7,0),"")</f>
        <v/>
      </c>
      <c r="AI462" s="270" t="str">
        <f>_xlfn.IFNA(VLOOKUP(CONCATENATE(AI$4,$C462),'INSER DATA'!$A:$F,7,0),"")</f>
        <v/>
      </c>
      <c r="AJ462" s="270" t="str">
        <f>_xlfn.IFNA(VLOOKUP(CONCATENATE(AJ$4,$C462),'INSER DATA'!$A:$F,7,0),"")</f>
        <v/>
      </c>
      <c r="AK462" s="270" t="str">
        <f>_xlfn.IFNA(VLOOKUP(CONCATENATE(AK$4,$C462),'INSER DATA'!$A:$F,7,0),"")</f>
        <v/>
      </c>
      <c r="AL462" s="270" t="str">
        <f>_xlfn.IFNA(VLOOKUP(CONCATENATE(AL$4,$C462),'INSER DATA'!$A:$F,7,0),"")</f>
        <v/>
      </c>
      <c r="AM462" s="270" t="str">
        <f>_xlfn.IFNA(VLOOKUP(CONCATENATE(AM$4,$C462),'INSER DATA'!$A:$F,7,0),"")</f>
        <v/>
      </c>
      <c r="AN462" s="270" t="str">
        <f>_xlfn.IFNA(VLOOKUP(CONCATENATE(AN$4,$C462),'INSER DATA'!$A:$F,7,0),"")</f>
        <v/>
      </c>
      <c r="AO462" s="270" t="str">
        <f>_xlfn.IFNA(VLOOKUP(CONCATENATE(AO$4,$C462),'INSER DATA'!$A:$F,7,0),"")</f>
        <v/>
      </c>
      <c r="AP462" s="270" t="str">
        <f>_xlfn.IFNA(VLOOKUP(CONCATENATE(AP$4,$C462),'INSER DATA'!$A:$F,7,0),"")</f>
        <v/>
      </c>
      <c r="AQ462" s="270" t="str">
        <f>_xlfn.IFNA(VLOOKUP(CONCATENATE(AQ$4,$C462),'INSER DATA'!$A:$F,7,0),"")</f>
        <v/>
      </c>
      <c r="AR462" s="270" t="str">
        <f>_xlfn.IFNA(VLOOKUP(CONCATENATE(AR$4,$C462),'INSER DATA'!$A:$F,7,0),"")</f>
        <v/>
      </c>
      <c r="AS462" s="270" t="str">
        <f>_xlfn.IFNA(VLOOKUP(CONCATENATE(AS$4,$C462),'INSER DATA'!$A:$F,7,0),"")</f>
        <v/>
      </c>
      <c r="AT462" s="270" t="str">
        <f>_xlfn.IFNA(VLOOKUP(CONCATENATE(AT$4,$C462),'INSER DATA'!$A:$F,7,0),"")</f>
        <v/>
      </c>
      <c r="AU462" s="270" t="str">
        <f>_xlfn.IFNA(VLOOKUP(CONCATENATE(AU$4,$C462),'INSER DATA'!$A:$F,7,0),"")</f>
        <v/>
      </c>
      <c r="AV462" s="270" t="str">
        <f>_xlfn.IFNA(VLOOKUP(CONCATENATE(AV$4,$C462),'INSER DATA'!$A:$F,7,0),"")</f>
        <v/>
      </c>
      <c r="AW462" s="270" t="str">
        <f>_xlfn.IFNA(VLOOKUP(CONCATENATE(AW$4,$C462),'INSER DATA'!$A:$F,7,0),"")</f>
        <v/>
      </c>
      <c r="AX462" s="270" t="str">
        <f>_xlfn.IFNA(VLOOKUP(CONCATENATE(AX$4,$C462),'INSER DATA'!$A:$F,7,0),"")</f>
        <v/>
      </c>
      <c r="AY462" s="270" t="str">
        <f>_xlfn.IFNA(VLOOKUP(CONCATENATE(AY$4,$C462),'INSER DATA'!$A:$F,7,0),"")</f>
        <v/>
      </c>
      <c r="AZ462" s="270" t="str">
        <f>_xlfn.IFNA(VLOOKUP(CONCATENATE(AZ$4,$C462),'INSER DATA'!$A:$F,7,0),"")</f>
        <v/>
      </c>
      <c r="BA462" s="270" t="str">
        <f>_xlfn.IFNA(VLOOKUP(CONCATENATE(BA$4,$C462),'INSER DATA'!$A:$F,7,0),"")</f>
        <v/>
      </c>
      <c r="BB462" s="270" t="str">
        <f>_xlfn.IFNA(VLOOKUP(CONCATENATE(BB$4,$C462),'INSER DATA'!$A:$F,7,0),"")</f>
        <v/>
      </c>
      <c r="BC462" s="270" t="str">
        <f>_xlfn.IFNA(VLOOKUP(CONCATENATE(BC$4,$C462),'INSER DATA'!$A:$F,7,0),"")</f>
        <v/>
      </c>
      <c r="BD462" s="270" t="str">
        <f>_xlfn.IFNA(VLOOKUP(CONCATENATE(BD$4,$C462),'INSER DATA'!$A:$F,7,0),"")</f>
        <v/>
      </c>
      <c r="BE462" s="270" t="str">
        <f>_xlfn.IFNA(VLOOKUP(CONCATENATE(BE$4,$C462),'INSER DATA'!$A:$F,7,0),"")</f>
        <v/>
      </c>
      <c r="BF462" s="270" t="str">
        <f>_xlfn.IFNA(VLOOKUP(CONCATENATE(BF$4,$C462),'INSER DATA'!$A:$F,7,0),"")</f>
        <v/>
      </c>
      <c r="BG462" s="270" t="str">
        <f>_xlfn.IFNA(VLOOKUP(CONCATENATE(BG$4,$C462),'INSER DATA'!$A:$F,7,0),"")</f>
        <v/>
      </c>
      <c r="BH462" s="270" t="str">
        <f>_xlfn.IFNA(VLOOKUP(CONCATENATE(BH$4,$C462),'INSER DATA'!$A:$F,7,0),"")</f>
        <v/>
      </c>
      <c r="BI462" s="270" t="str">
        <f>_xlfn.IFNA(VLOOKUP(CONCATENATE(BI$4,$C462),'INSER DATA'!$A:$F,7,0),"")</f>
        <v/>
      </c>
      <c r="BJ462" s="270" t="str">
        <f>_xlfn.IFNA(VLOOKUP(CONCATENATE(BJ$4,$C462),'INSER DATA'!$A:$F,7,0),"")</f>
        <v/>
      </c>
      <c r="BK462" s="270" t="str">
        <f>_xlfn.IFNA(VLOOKUP(CONCATENATE(BK$4,$C462),'INSER DATA'!$A:$F,7,0),"")</f>
        <v/>
      </c>
      <c r="BL462" s="272"/>
      <c r="BM462" s="30"/>
      <c r="BN462" s="30"/>
      <c r="BO462" s="30"/>
      <c r="BP462" s="30"/>
      <c r="BQ462" s="30"/>
      <c r="BR462" s="30"/>
      <c r="BS462" s="30"/>
      <c r="BT462" s="30"/>
      <c r="BU462" s="30"/>
      <c r="BV462" s="30"/>
      <c r="BW462" s="30"/>
      <c r="BX462" s="30"/>
      <c r="BY462" s="30"/>
      <c r="BZ462" s="30"/>
      <c r="CA462" s="30"/>
      <c r="CB462" s="30"/>
      <c r="CC462" s="30"/>
      <c r="CD462" s="30"/>
      <c r="CE462" s="30"/>
      <c r="CF462" s="30"/>
      <c r="CG462" s="30"/>
      <c r="CH462" s="30"/>
      <c r="CI462" s="30"/>
      <c r="CJ462" s="30"/>
      <c r="CK462" s="30"/>
      <c r="CL462" s="30"/>
      <c r="CM462" s="30"/>
      <c r="CN462" s="30"/>
      <c r="CO462" s="30"/>
      <c r="CP462" s="30"/>
      <c r="CQ462" s="30"/>
      <c r="CR462" s="30"/>
      <c r="CS462" s="30"/>
      <c r="CT462" s="30"/>
      <c r="CU462" s="30"/>
      <c r="CV462" s="30"/>
      <c r="CW462" s="30"/>
      <c r="CX462" s="30"/>
      <c r="CY462" s="30"/>
      <c r="CZ462" s="30"/>
      <c r="DA462" s="30"/>
    </row>
    <row r="463" spans="1:105" ht="19.2" thickTop="1" thickBot="1" x14ac:dyDescent="0.4">
      <c r="A463" s="30"/>
      <c r="B463" s="30"/>
      <c r="C463" s="185" t="s">
        <v>936</v>
      </c>
      <c r="D463" s="46" t="s">
        <v>934</v>
      </c>
      <c r="E463" s="35" t="str">
        <f>_xlfn.XLOOKUP(Tabella4[[#This Row],[NOME]],'ROSE SQUADRE'!$N$3:$N$253,'ROSE SQUADRE'!$O$3:$O$253,"")</f>
        <v/>
      </c>
      <c r="F463" s="36" t="s">
        <v>5</v>
      </c>
      <c r="G463" s="43">
        <v>1</v>
      </c>
      <c r="H463" s="43">
        <v>1</v>
      </c>
      <c r="I463" s="44">
        <f t="shared" si="44"/>
        <v>0</v>
      </c>
      <c r="J463" s="37">
        <f t="shared" si="45"/>
        <v>0</v>
      </c>
      <c r="K463" s="38">
        <f t="shared" si="46"/>
        <v>0</v>
      </c>
      <c r="L463" s="38">
        <f t="shared" si="47"/>
        <v>0</v>
      </c>
      <c r="M463" s="39">
        <f t="shared" si="48"/>
        <v>0</v>
      </c>
      <c r="N463" s="45">
        <f t="shared" ca="1" si="43"/>
        <v>0</v>
      </c>
      <c r="O463" s="40">
        <f>SUMIF(Tabella1[Nome],Tabella4[[#This Row],[NOME]],Tabella1[Gf])</f>
        <v>0</v>
      </c>
      <c r="P463" s="40">
        <f>-(SUMIF(Tabella1[Nome],Tabella4[[#This Row],[NOME]],Tabella1[Gs]))</f>
        <v>0</v>
      </c>
      <c r="Q463" s="40">
        <f>SUMIF(Tabella1[Nome],Tabella4[[#This Row],[NOME]],Tabella1[Rp])</f>
        <v>0</v>
      </c>
      <c r="R463" s="40">
        <f>SUMIF(Tabella1[Nome],Tabella4[[#This Row],[NOME]],Tabella1[Rs])</f>
        <v>0</v>
      </c>
      <c r="S463" s="40">
        <f>SUMIF(Tabella1[Nome],Tabella4[[#This Row],[NOME]],Tabella1[Rf])</f>
        <v>0</v>
      </c>
      <c r="T463" s="40">
        <f>SUMIF(Tabella1[Nome],Tabella4[[#This Row],[NOME]],Tabella1[Au])</f>
        <v>0</v>
      </c>
      <c r="U463" s="41">
        <f>SUMIF(Tabella1[Nome],Tabella4[[#This Row],[NOME]],Tabella1[Amm])</f>
        <v>0</v>
      </c>
      <c r="V463" s="42">
        <f>SUMIF(Tabella1[Nome],Tabella4[[#This Row],[NOME]],Tabella1[Esp])</f>
        <v>0</v>
      </c>
      <c r="W463" s="40">
        <f>SUMIF(Tabella1[Nome],Tabella4[[#This Row],[NOME]],Tabella1[Ass])</f>
        <v>0</v>
      </c>
      <c r="X463" s="40">
        <f>SUMIF(Tabella1[Nome],Tabella4[[#This Row],[NOME]],Tabella1[Gdv])</f>
        <v>0</v>
      </c>
      <c r="Y463" s="40">
        <f>SUMIF(Tabella1[Nome],Tabella4[[#This Row],[NOME]],Tabella1[cl sh])</f>
        <v>0</v>
      </c>
      <c r="Z463" s="270" t="str">
        <f>_xlfn.IFNA(_xlfn.XLOOKUP(CONCATENATE(Z$4,$C463),Tabella1[CONC X VOTI IN TAB GIOC],Tabella1[Voto],""),"")</f>
        <v/>
      </c>
      <c r="AA463" s="270" t="str">
        <f>_xlfn.IFNA(_xlfn.XLOOKUP(CONCATENATE(AA$4,$C463),Tabella1[CONC X VOTI IN TAB GIOC],Tabella1[Voto],""),"")</f>
        <v/>
      </c>
      <c r="AB463" s="270" t="str">
        <f>_xlfn.IFNA(_xlfn.XLOOKUP(CONCATENATE(AB$4,$C463),Tabella1[CONC X VOTI IN TAB GIOC],Tabella1[Voto]),"")</f>
        <v/>
      </c>
      <c r="AC463" s="270" t="str" cm="1">
        <f t="array" ref="AC463">_xlfn.IFNA(_xlfn.XLOOKUP(CONCATENATE(AC$4,$C463),INDEX(Tabella1[],0,MATCH("CONC X VOTI IN TAB GIOC",Tabella1[#Headers],0)),INDEX(Tabella1[],0,MATCH("Voto",Tabella1[#Headers],0))),"")</f>
        <v/>
      </c>
      <c r="AD463" s="270" t="str">
        <f>_xlfn.IFNA(_xlfn.XLOOKUP(CONCATENATE(AD$4,$C463),Tabella1[CONC X VOTI IN TAB GIOC],Tabella1[Voto]),"")</f>
        <v/>
      </c>
      <c r="AE463" s="270" t="str">
        <f>_xlfn.IFNA(VLOOKUP(CONCATENATE(AE$4,$C463),'INSER DATA'!$A:$F,6,0),"")</f>
        <v/>
      </c>
      <c r="AF463" s="270" t="str">
        <f>_xlfn.IFNA(VLOOKUP(CONCATENATE(AF$4,$C463),'INSER DATA'!$A:$F,6,0),"")</f>
        <v/>
      </c>
      <c r="AG463" s="270" t="str">
        <f>_xlfn.IFNA(VLOOKUP(CONCATENATE(AG$4,$C463),'INSER DATA'!$A:$F,6,0),"")</f>
        <v/>
      </c>
      <c r="AH463" s="270" t="str">
        <f>_xlfn.IFNA(VLOOKUP(CONCATENATE(AH$4,$C463),'INSER DATA'!$A:$F,7,0),"")</f>
        <v/>
      </c>
      <c r="AI463" s="270" t="str">
        <f>_xlfn.IFNA(VLOOKUP(CONCATENATE(AI$4,$C463),'INSER DATA'!$A:$F,7,0),"")</f>
        <v/>
      </c>
      <c r="AJ463" s="270" t="str">
        <f>_xlfn.IFNA(VLOOKUP(CONCATENATE(AJ$4,$C463),'INSER DATA'!$A:$F,7,0),"")</f>
        <v/>
      </c>
      <c r="AK463" s="270" t="str">
        <f>_xlfn.IFNA(VLOOKUP(CONCATENATE(AK$4,$C463),'INSER DATA'!$A:$F,7,0),"")</f>
        <v/>
      </c>
      <c r="AL463" s="270" t="str">
        <f>_xlfn.IFNA(VLOOKUP(CONCATENATE(AL$4,$C463),'INSER DATA'!$A:$F,7,0),"")</f>
        <v/>
      </c>
      <c r="AM463" s="270" t="str">
        <f>_xlfn.IFNA(VLOOKUP(CONCATENATE(AM$4,$C463),'INSER DATA'!$A:$F,7,0),"")</f>
        <v/>
      </c>
      <c r="AN463" s="270" t="str">
        <f>_xlfn.IFNA(VLOOKUP(CONCATENATE(AN$4,$C463),'INSER DATA'!$A:$F,7,0),"")</f>
        <v/>
      </c>
      <c r="AO463" s="270" t="str">
        <f>_xlfn.IFNA(VLOOKUP(CONCATENATE(AO$4,$C463),'INSER DATA'!$A:$F,7,0),"")</f>
        <v/>
      </c>
      <c r="AP463" s="270" t="str">
        <f>_xlfn.IFNA(VLOOKUP(CONCATENATE(AP$4,$C463),'INSER DATA'!$A:$F,7,0),"")</f>
        <v/>
      </c>
      <c r="AQ463" s="270" t="str">
        <f>_xlfn.IFNA(VLOOKUP(CONCATENATE(AQ$4,$C463),'INSER DATA'!$A:$F,7,0),"")</f>
        <v/>
      </c>
      <c r="AR463" s="270" t="str">
        <f>_xlfn.IFNA(VLOOKUP(CONCATENATE(AR$4,$C463),'INSER DATA'!$A:$F,7,0),"")</f>
        <v/>
      </c>
      <c r="AS463" s="270" t="str">
        <f>_xlfn.IFNA(VLOOKUP(CONCATENATE(AS$4,$C463),'INSER DATA'!$A:$F,7,0),"")</f>
        <v/>
      </c>
      <c r="AT463" s="270" t="str">
        <f>_xlfn.IFNA(VLOOKUP(CONCATENATE(AT$4,$C463),'INSER DATA'!$A:$F,7,0),"")</f>
        <v/>
      </c>
      <c r="AU463" s="270" t="str">
        <f>_xlfn.IFNA(VLOOKUP(CONCATENATE(AU$4,$C463),'INSER DATA'!$A:$F,7,0),"")</f>
        <v/>
      </c>
      <c r="AV463" s="270" t="str">
        <f>_xlfn.IFNA(VLOOKUP(CONCATENATE(AV$4,$C463),'INSER DATA'!$A:$F,7,0),"")</f>
        <v/>
      </c>
      <c r="AW463" s="270" t="str">
        <f>_xlfn.IFNA(VLOOKUP(CONCATENATE(AW$4,$C463),'INSER DATA'!$A:$F,7,0),"")</f>
        <v/>
      </c>
      <c r="AX463" s="270" t="str">
        <f>_xlfn.IFNA(VLOOKUP(CONCATENATE(AX$4,$C463),'INSER DATA'!$A:$F,7,0),"")</f>
        <v/>
      </c>
      <c r="AY463" s="270" t="str">
        <f>_xlfn.IFNA(VLOOKUP(CONCATENATE(AY$4,$C463),'INSER DATA'!$A:$F,7,0),"")</f>
        <v/>
      </c>
      <c r="AZ463" s="270" t="str">
        <f>_xlfn.IFNA(VLOOKUP(CONCATENATE(AZ$4,$C463),'INSER DATA'!$A:$F,7,0),"")</f>
        <v/>
      </c>
      <c r="BA463" s="270" t="str">
        <f>_xlfn.IFNA(VLOOKUP(CONCATENATE(BA$4,$C463),'INSER DATA'!$A:$F,7,0),"")</f>
        <v/>
      </c>
      <c r="BB463" s="270" t="str">
        <f>_xlfn.IFNA(VLOOKUP(CONCATENATE(BB$4,$C463),'INSER DATA'!$A:$F,7,0),"")</f>
        <v/>
      </c>
      <c r="BC463" s="270" t="str">
        <f>_xlfn.IFNA(VLOOKUP(CONCATENATE(BC$4,$C463),'INSER DATA'!$A:$F,7,0),"")</f>
        <v/>
      </c>
      <c r="BD463" s="270" t="str">
        <f>_xlfn.IFNA(VLOOKUP(CONCATENATE(BD$4,$C463),'INSER DATA'!$A:$F,7,0),"")</f>
        <v/>
      </c>
      <c r="BE463" s="270" t="str">
        <f>_xlfn.IFNA(VLOOKUP(CONCATENATE(BE$4,$C463),'INSER DATA'!$A:$F,7,0),"")</f>
        <v/>
      </c>
      <c r="BF463" s="270" t="str">
        <f>_xlfn.IFNA(VLOOKUP(CONCATENATE(BF$4,$C463),'INSER DATA'!$A:$F,7,0),"")</f>
        <v/>
      </c>
      <c r="BG463" s="270" t="str">
        <f>_xlfn.IFNA(VLOOKUP(CONCATENATE(BG$4,$C463),'INSER DATA'!$A:$F,7,0),"")</f>
        <v/>
      </c>
      <c r="BH463" s="270" t="str">
        <f>_xlfn.IFNA(VLOOKUP(CONCATENATE(BH$4,$C463),'INSER DATA'!$A:$F,7,0),"")</f>
        <v/>
      </c>
      <c r="BI463" s="270" t="str">
        <f>_xlfn.IFNA(VLOOKUP(CONCATENATE(BI$4,$C463),'INSER DATA'!$A:$F,7,0),"")</f>
        <v/>
      </c>
      <c r="BJ463" s="270" t="str">
        <f>_xlfn.IFNA(VLOOKUP(CONCATENATE(BJ$4,$C463),'INSER DATA'!$A:$F,7,0),"")</f>
        <v/>
      </c>
      <c r="BK463" s="270" t="str">
        <f>_xlfn.IFNA(VLOOKUP(CONCATENATE(BK$4,$C463),'INSER DATA'!$A:$F,7,0),"")</f>
        <v/>
      </c>
      <c r="BL463" s="272"/>
      <c r="BM463" s="30"/>
      <c r="BN463" s="30"/>
      <c r="BO463" s="30"/>
      <c r="BP463" s="30"/>
      <c r="BQ463" s="30"/>
      <c r="BR463" s="30"/>
      <c r="BS463" s="30"/>
      <c r="BT463" s="30"/>
      <c r="BU463" s="30"/>
      <c r="BV463" s="30"/>
      <c r="BW463" s="30"/>
      <c r="BX463" s="30"/>
      <c r="BY463" s="30"/>
      <c r="BZ463" s="30"/>
      <c r="CA463" s="30"/>
      <c r="CB463" s="30"/>
      <c r="CC463" s="30"/>
      <c r="CD463" s="30"/>
      <c r="CE463" s="30"/>
      <c r="CF463" s="30"/>
      <c r="CG463" s="30"/>
      <c r="CH463" s="30"/>
      <c r="CI463" s="30"/>
      <c r="CJ463" s="30"/>
      <c r="CK463" s="30"/>
      <c r="CL463" s="30"/>
      <c r="CM463" s="30"/>
      <c r="CN463" s="30"/>
      <c r="CO463" s="30"/>
      <c r="CP463" s="30"/>
      <c r="CQ463" s="30"/>
      <c r="CR463" s="30"/>
      <c r="CS463" s="30"/>
      <c r="CT463" s="30"/>
      <c r="CU463" s="30"/>
      <c r="CV463" s="30"/>
      <c r="CW463" s="30"/>
      <c r="CX463" s="30"/>
      <c r="CY463" s="30"/>
      <c r="CZ463" s="30"/>
      <c r="DA463" s="30"/>
    </row>
    <row r="464" spans="1:105" ht="19.2" thickTop="1" thickBot="1" x14ac:dyDescent="0.4">
      <c r="A464" s="30"/>
      <c r="B464" s="30"/>
      <c r="C464" s="188" t="s">
        <v>240</v>
      </c>
      <c r="D464" s="187" t="s">
        <v>934</v>
      </c>
      <c r="E464" s="35" t="str">
        <f>_xlfn.XLOOKUP(Tabella4[[#This Row],[NOME]],'ROSE SQUADRE'!$N$3:$N$253,'ROSE SQUADRE'!$O$3:$O$253,"")</f>
        <v/>
      </c>
      <c r="F464" s="36" t="s">
        <v>161</v>
      </c>
      <c r="G464" s="43">
        <v>2</v>
      </c>
      <c r="H464" s="43">
        <v>2</v>
      </c>
      <c r="I464" s="44">
        <f t="shared" si="44"/>
        <v>0</v>
      </c>
      <c r="J464" s="37">
        <f t="shared" si="45"/>
        <v>0</v>
      </c>
      <c r="K464" s="38">
        <f t="shared" si="46"/>
        <v>0</v>
      </c>
      <c r="L464" s="38">
        <f t="shared" si="47"/>
        <v>0</v>
      </c>
      <c r="M464" s="39">
        <f t="shared" si="48"/>
        <v>0</v>
      </c>
      <c r="N464" s="45">
        <f t="shared" ca="1" si="43"/>
        <v>0</v>
      </c>
      <c r="O464" s="40">
        <f>SUMIF(Tabella1[Nome],Tabella4[[#This Row],[NOME]],Tabella1[Gf])</f>
        <v>0</v>
      </c>
      <c r="P464" s="40">
        <f>-(SUMIF(Tabella1[Nome],Tabella4[[#This Row],[NOME]],Tabella1[Gs]))</f>
        <v>0</v>
      </c>
      <c r="Q464" s="40">
        <f>SUMIF(Tabella1[Nome],Tabella4[[#This Row],[NOME]],Tabella1[Rp])</f>
        <v>0</v>
      </c>
      <c r="R464" s="40">
        <f>SUMIF(Tabella1[Nome],Tabella4[[#This Row],[NOME]],Tabella1[Rs])</f>
        <v>0</v>
      </c>
      <c r="S464" s="40">
        <f>SUMIF(Tabella1[Nome],Tabella4[[#This Row],[NOME]],Tabella1[Rf])</f>
        <v>0</v>
      </c>
      <c r="T464" s="40">
        <f>SUMIF(Tabella1[Nome],Tabella4[[#This Row],[NOME]],Tabella1[Au])</f>
        <v>0</v>
      </c>
      <c r="U464" s="41">
        <f>SUMIF(Tabella1[Nome],Tabella4[[#This Row],[NOME]],Tabella1[Amm])</f>
        <v>0</v>
      </c>
      <c r="V464" s="42">
        <f>SUMIF(Tabella1[Nome],Tabella4[[#This Row],[NOME]],Tabella1[Esp])</f>
        <v>0</v>
      </c>
      <c r="W464" s="40">
        <f>SUMIF(Tabella1[Nome],Tabella4[[#This Row],[NOME]],Tabella1[Ass])</f>
        <v>0</v>
      </c>
      <c r="X464" s="40">
        <f>SUMIF(Tabella1[Nome],Tabella4[[#This Row],[NOME]],Tabella1[Gdv])</f>
        <v>0</v>
      </c>
      <c r="Y464" s="40">
        <f>SUMIF(Tabella1[Nome],Tabella4[[#This Row],[NOME]],Tabella1[cl sh])</f>
        <v>0</v>
      </c>
      <c r="Z464" s="270" t="str">
        <f>_xlfn.IFNA(_xlfn.XLOOKUP(CONCATENATE(Z$4,$C464),Tabella1[CONC X VOTI IN TAB GIOC],Tabella1[Voto],""),"")</f>
        <v/>
      </c>
      <c r="AA464" s="270" t="str">
        <f>_xlfn.IFNA(_xlfn.XLOOKUP(CONCATENATE(AA$4,$C464),Tabella1[CONC X VOTI IN TAB GIOC],Tabella1[Voto],""),"")</f>
        <v/>
      </c>
      <c r="AB464" s="270" t="str">
        <f>_xlfn.IFNA(_xlfn.XLOOKUP(CONCATENATE(AB$4,$C464),Tabella1[CONC X VOTI IN TAB GIOC],Tabella1[Voto]),"")</f>
        <v/>
      </c>
      <c r="AC464" s="270" t="str" cm="1">
        <f t="array" ref="AC464">_xlfn.IFNA(_xlfn.XLOOKUP(CONCATENATE(AC$4,$C464),INDEX(Tabella1[],0,MATCH("CONC X VOTI IN TAB GIOC",Tabella1[#Headers],0)),INDEX(Tabella1[],0,MATCH("Voto",Tabella1[#Headers],0))),"")</f>
        <v/>
      </c>
      <c r="AD464" s="270" t="str">
        <f>_xlfn.IFNA(_xlfn.XLOOKUP(CONCATENATE(AD$4,$C464),Tabella1[CONC X VOTI IN TAB GIOC],Tabella1[Voto]),"")</f>
        <v/>
      </c>
      <c r="AE464" s="270" t="str">
        <f>_xlfn.IFNA(VLOOKUP(CONCATENATE(AE$4,$C464),'INSER DATA'!$A:$F,6,0),"")</f>
        <v/>
      </c>
      <c r="AF464" s="270" t="str">
        <f>_xlfn.IFNA(VLOOKUP(CONCATENATE(AF$4,$C464),'INSER DATA'!$A:$F,6,0),"")</f>
        <v/>
      </c>
      <c r="AG464" s="270" t="str">
        <f>_xlfn.IFNA(VLOOKUP(CONCATENATE(AG$4,$C464),'INSER DATA'!$A:$F,6,0),"")</f>
        <v/>
      </c>
      <c r="AH464" s="270" t="str">
        <f>_xlfn.IFNA(VLOOKUP(CONCATENATE(AH$4,$C464),'INSER DATA'!$A:$F,7,0),"")</f>
        <v/>
      </c>
      <c r="AI464" s="270" t="str">
        <f>_xlfn.IFNA(VLOOKUP(CONCATENATE(AI$4,$C464),'INSER DATA'!$A:$F,7,0),"")</f>
        <v/>
      </c>
      <c r="AJ464" s="270" t="str">
        <f>_xlfn.IFNA(VLOOKUP(CONCATENATE(AJ$4,$C464),'INSER DATA'!$A:$F,7,0),"")</f>
        <v/>
      </c>
      <c r="AK464" s="270" t="str">
        <f>_xlfn.IFNA(VLOOKUP(CONCATENATE(AK$4,$C464),'INSER DATA'!$A:$F,7,0),"")</f>
        <v/>
      </c>
      <c r="AL464" s="270" t="str">
        <f>_xlfn.IFNA(VLOOKUP(CONCATENATE(AL$4,$C464),'INSER DATA'!$A:$F,7,0),"")</f>
        <v/>
      </c>
      <c r="AM464" s="270" t="str">
        <f>_xlfn.IFNA(VLOOKUP(CONCATENATE(AM$4,$C464),'INSER DATA'!$A:$F,7,0),"")</f>
        <v/>
      </c>
      <c r="AN464" s="270" t="str">
        <f>_xlfn.IFNA(VLOOKUP(CONCATENATE(AN$4,$C464),'INSER DATA'!$A:$F,7,0),"")</f>
        <v/>
      </c>
      <c r="AO464" s="270" t="str">
        <f>_xlfn.IFNA(VLOOKUP(CONCATENATE(AO$4,$C464),'INSER DATA'!$A:$F,7,0),"")</f>
        <v/>
      </c>
      <c r="AP464" s="270" t="str">
        <f>_xlfn.IFNA(VLOOKUP(CONCATENATE(AP$4,$C464),'INSER DATA'!$A:$F,7,0),"")</f>
        <v/>
      </c>
      <c r="AQ464" s="270" t="str">
        <f>_xlfn.IFNA(VLOOKUP(CONCATENATE(AQ$4,$C464),'INSER DATA'!$A:$F,7,0),"")</f>
        <v/>
      </c>
      <c r="AR464" s="270" t="str">
        <f>_xlfn.IFNA(VLOOKUP(CONCATENATE(AR$4,$C464),'INSER DATA'!$A:$F,7,0),"")</f>
        <v/>
      </c>
      <c r="AS464" s="270" t="str">
        <f>_xlfn.IFNA(VLOOKUP(CONCATENATE(AS$4,$C464),'INSER DATA'!$A:$F,7,0),"")</f>
        <v/>
      </c>
      <c r="AT464" s="270" t="str">
        <f>_xlfn.IFNA(VLOOKUP(CONCATENATE(AT$4,$C464),'INSER DATA'!$A:$F,7,0),"")</f>
        <v/>
      </c>
      <c r="AU464" s="270" t="str">
        <f>_xlfn.IFNA(VLOOKUP(CONCATENATE(AU$4,$C464),'INSER DATA'!$A:$F,7,0),"")</f>
        <v/>
      </c>
      <c r="AV464" s="270" t="str">
        <f>_xlfn.IFNA(VLOOKUP(CONCATENATE(AV$4,$C464),'INSER DATA'!$A:$F,7,0),"")</f>
        <v/>
      </c>
      <c r="AW464" s="270" t="str">
        <f>_xlfn.IFNA(VLOOKUP(CONCATENATE(AW$4,$C464),'INSER DATA'!$A:$F,7,0),"")</f>
        <v/>
      </c>
      <c r="AX464" s="270" t="str">
        <f>_xlfn.IFNA(VLOOKUP(CONCATENATE(AX$4,$C464),'INSER DATA'!$A:$F,7,0),"")</f>
        <v/>
      </c>
      <c r="AY464" s="270" t="str">
        <f>_xlfn.IFNA(VLOOKUP(CONCATENATE(AY$4,$C464),'INSER DATA'!$A:$F,7,0),"")</f>
        <v/>
      </c>
      <c r="AZ464" s="270" t="str">
        <f>_xlfn.IFNA(VLOOKUP(CONCATENATE(AZ$4,$C464),'INSER DATA'!$A:$F,7,0),"")</f>
        <v/>
      </c>
      <c r="BA464" s="270" t="str">
        <f>_xlfn.IFNA(VLOOKUP(CONCATENATE(BA$4,$C464),'INSER DATA'!$A:$F,7,0),"")</f>
        <v/>
      </c>
      <c r="BB464" s="270" t="str">
        <f>_xlfn.IFNA(VLOOKUP(CONCATENATE(BB$4,$C464),'INSER DATA'!$A:$F,7,0),"")</f>
        <v/>
      </c>
      <c r="BC464" s="270" t="str">
        <f>_xlfn.IFNA(VLOOKUP(CONCATENATE(BC$4,$C464),'INSER DATA'!$A:$F,7,0),"")</f>
        <v/>
      </c>
      <c r="BD464" s="270" t="str">
        <f>_xlfn.IFNA(VLOOKUP(CONCATENATE(BD$4,$C464),'INSER DATA'!$A:$F,7,0),"")</f>
        <v/>
      </c>
      <c r="BE464" s="270" t="str">
        <f>_xlfn.IFNA(VLOOKUP(CONCATENATE(BE$4,$C464),'INSER DATA'!$A:$F,7,0),"")</f>
        <v/>
      </c>
      <c r="BF464" s="270" t="str">
        <f>_xlfn.IFNA(VLOOKUP(CONCATENATE(BF$4,$C464),'INSER DATA'!$A:$F,7,0),"")</f>
        <v/>
      </c>
      <c r="BG464" s="270" t="str">
        <f>_xlfn.IFNA(VLOOKUP(CONCATENATE(BG$4,$C464),'INSER DATA'!$A:$F,7,0),"")</f>
        <v/>
      </c>
      <c r="BH464" s="270" t="str">
        <f>_xlfn.IFNA(VLOOKUP(CONCATENATE(BH$4,$C464),'INSER DATA'!$A:$F,7,0),"")</f>
        <v/>
      </c>
      <c r="BI464" s="270" t="str">
        <f>_xlfn.IFNA(VLOOKUP(CONCATENATE(BI$4,$C464),'INSER DATA'!$A:$F,7,0),"")</f>
        <v/>
      </c>
      <c r="BJ464" s="270" t="str">
        <f>_xlfn.IFNA(VLOOKUP(CONCATENATE(BJ$4,$C464),'INSER DATA'!$A:$F,7,0),"")</f>
        <v/>
      </c>
      <c r="BK464" s="270" t="str">
        <f>_xlfn.IFNA(VLOOKUP(CONCATENATE(BK$4,$C464),'INSER DATA'!$A:$F,7,0),"")</f>
        <v/>
      </c>
      <c r="BL464" s="272"/>
      <c r="BM464" s="30"/>
      <c r="BN464" s="30"/>
      <c r="BO464" s="30"/>
      <c r="BP464" s="30"/>
      <c r="BQ464" s="30"/>
      <c r="BR464" s="30"/>
      <c r="BS464" s="30"/>
      <c r="BT464" s="30"/>
      <c r="BU464" s="30"/>
      <c r="BV464" s="30"/>
      <c r="BW464" s="30"/>
      <c r="BX464" s="30"/>
      <c r="BY464" s="30"/>
      <c r="BZ464" s="30"/>
      <c r="CA464" s="30"/>
      <c r="CB464" s="30"/>
      <c r="CC464" s="30"/>
      <c r="CD464" s="30"/>
      <c r="CE464" s="30"/>
      <c r="CF464" s="30"/>
      <c r="CG464" s="30"/>
      <c r="CH464" s="30"/>
      <c r="CI464" s="30"/>
      <c r="CJ464" s="30"/>
      <c r="CK464" s="30"/>
      <c r="CL464" s="30"/>
      <c r="CM464" s="30"/>
      <c r="CN464" s="30"/>
      <c r="CO464" s="30"/>
      <c r="CP464" s="30"/>
      <c r="CQ464" s="30"/>
      <c r="CR464" s="30"/>
      <c r="CS464" s="30"/>
      <c r="CT464" s="30"/>
      <c r="CU464" s="30"/>
      <c r="CV464" s="30"/>
      <c r="CW464" s="30"/>
      <c r="CX464" s="30"/>
      <c r="CY464" s="30"/>
      <c r="CZ464" s="30"/>
      <c r="DA464" s="30"/>
    </row>
    <row r="465" spans="1:105" ht="19.2" thickTop="1" thickBot="1" x14ac:dyDescent="0.4">
      <c r="A465" s="30"/>
      <c r="B465" s="30"/>
      <c r="C465" s="185" t="s">
        <v>941</v>
      </c>
      <c r="D465" s="46" t="s">
        <v>934</v>
      </c>
      <c r="E465" s="35" t="str">
        <f>_xlfn.XLOOKUP(Tabella4[[#This Row],[NOME]],'ROSE SQUADRE'!$N$3:$N$253,'ROSE SQUADRE'!$O$3:$O$253,"")</f>
        <v/>
      </c>
      <c r="F465" s="36" t="s">
        <v>162</v>
      </c>
      <c r="G465" s="43">
        <v>1</v>
      </c>
      <c r="H465" s="43">
        <v>1</v>
      </c>
      <c r="I465" s="44">
        <f t="shared" si="44"/>
        <v>0</v>
      </c>
      <c r="J465" s="37">
        <f t="shared" si="45"/>
        <v>0</v>
      </c>
      <c r="K465" s="38">
        <f t="shared" si="46"/>
        <v>0</v>
      </c>
      <c r="L465" s="38">
        <f t="shared" si="47"/>
        <v>0</v>
      </c>
      <c r="M465" s="39">
        <f t="shared" si="48"/>
        <v>0</v>
      </c>
      <c r="N465" s="45">
        <f t="shared" ca="1" si="43"/>
        <v>0</v>
      </c>
      <c r="O465" s="40">
        <f>SUMIF(Tabella1[Nome],Tabella4[[#This Row],[NOME]],Tabella1[Gf])</f>
        <v>0</v>
      </c>
      <c r="P465" s="40">
        <f>-(SUMIF(Tabella1[Nome],Tabella4[[#This Row],[NOME]],Tabella1[Gs]))</f>
        <v>0</v>
      </c>
      <c r="Q465" s="40">
        <f>SUMIF(Tabella1[Nome],Tabella4[[#This Row],[NOME]],Tabella1[Rp])</f>
        <v>0</v>
      </c>
      <c r="R465" s="40">
        <f>SUMIF(Tabella1[Nome],Tabella4[[#This Row],[NOME]],Tabella1[Rs])</f>
        <v>0</v>
      </c>
      <c r="S465" s="40">
        <f>SUMIF(Tabella1[Nome],Tabella4[[#This Row],[NOME]],Tabella1[Rf])</f>
        <v>0</v>
      </c>
      <c r="T465" s="40">
        <f>SUMIF(Tabella1[Nome],Tabella4[[#This Row],[NOME]],Tabella1[Au])</f>
        <v>0</v>
      </c>
      <c r="U465" s="41">
        <f>SUMIF(Tabella1[Nome],Tabella4[[#This Row],[NOME]],Tabella1[Amm])</f>
        <v>0</v>
      </c>
      <c r="V465" s="42">
        <f>SUMIF(Tabella1[Nome],Tabella4[[#This Row],[NOME]],Tabella1[Esp])</f>
        <v>0</v>
      </c>
      <c r="W465" s="40">
        <f>SUMIF(Tabella1[Nome],Tabella4[[#This Row],[NOME]],Tabella1[Ass])</f>
        <v>0</v>
      </c>
      <c r="X465" s="40">
        <f>SUMIF(Tabella1[Nome],Tabella4[[#This Row],[NOME]],Tabella1[Gdv])</f>
        <v>0</v>
      </c>
      <c r="Y465" s="40">
        <f>SUMIF(Tabella1[Nome],Tabella4[[#This Row],[NOME]],Tabella1[cl sh])</f>
        <v>0</v>
      </c>
      <c r="Z465" s="270" t="str">
        <f>_xlfn.IFNA(_xlfn.XLOOKUP(CONCATENATE(Z$4,$C465),Tabella1[CONC X VOTI IN TAB GIOC],Tabella1[Voto],""),"")</f>
        <v/>
      </c>
      <c r="AA465" s="270" t="str">
        <f>_xlfn.IFNA(_xlfn.XLOOKUP(CONCATENATE(AA$4,$C465),Tabella1[CONC X VOTI IN TAB GIOC],Tabella1[Voto],""),"")</f>
        <v/>
      </c>
      <c r="AB465" s="270" t="str">
        <f>_xlfn.IFNA(_xlfn.XLOOKUP(CONCATENATE(AB$4,$C465),Tabella1[CONC X VOTI IN TAB GIOC],Tabella1[Voto]),"")</f>
        <v/>
      </c>
      <c r="AC465" s="270" t="str" cm="1">
        <f t="array" ref="AC465">_xlfn.IFNA(_xlfn.XLOOKUP(CONCATENATE(AC$4,$C465),INDEX(Tabella1[],0,MATCH("CONC X VOTI IN TAB GIOC",Tabella1[#Headers],0)),INDEX(Tabella1[],0,MATCH("Voto",Tabella1[#Headers],0))),"")</f>
        <v/>
      </c>
      <c r="AD465" s="270" t="str">
        <f>_xlfn.IFNA(_xlfn.XLOOKUP(CONCATENATE(AD$4,$C465),Tabella1[CONC X VOTI IN TAB GIOC],Tabella1[Voto]),"")</f>
        <v/>
      </c>
      <c r="AE465" s="270" t="str">
        <f>_xlfn.IFNA(VLOOKUP(CONCATENATE(AE$4,$C465),'INSER DATA'!$A:$F,6,0),"")</f>
        <v/>
      </c>
      <c r="AF465" s="270" t="str">
        <f>_xlfn.IFNA(VLOOKUP(CONCATENATE(AF$4,$C465),'INSER DATA'!$A:$F,6,0),"")</f>
        <v/>
      </c>
      <c r="AG465" s="270" t="str">
        <f>_xlfn.IFNA(VLOOKUP(CONCATENATE(AG$4,$C465),'INSER DATA'!$A:$F,6,0),"")</f>
        <v/>
      </c>
      <c r="AH465" s="270" t="str">
        <f>_xlfn.IFNA(VLOOKUP(CONCATENATE(AH$4,$C465),'INSER DATA'!$A:$F,7,0),"")</f>
        <v/>
      </c>
      <c r="AI465" s="270" t="str">
        <f>_xlfn.IFNA(VLOOKUP(CONCATENATE(AI$4,$C465),'INSER DATA'!$A:$F,7,0),"")</f>
        <v/>
      </c>
      <c r="AJ465" s="270" t="str">
        <f>_xlfn.IFNA(VLOOKUP(CONCATENATE(AJ$4,$C465),'INSER DATA'!$A:$F,7,0),"")</f>
        <v/>
      </c>
      <c r="AK465" s="270" t="str">
        <f>_xlfn.IFNA(VLOOKUP(CONCATENATE(AK$4,$C465),'INSER DATA'!$A:$F,7,0),"")</f>
        <v/>
      </c>
      <c r="AL465" s="270" t="str">
        <f>_xlfn.IFNA(VLOOKUP(CONCATENATE(AL$4,$C465),'INSER DATA'!$A:$F,7,0),"")</f>
        <v/>
      </c>
      <c r="AM465" s="270" t="str">
        <f>_xlfn.IFNA(VLOOKUP(CONCATENATE(AM$4,$C465),'INSER DATA'!$A:$F,7,0),"")</f>
        <v/>
      </c>
      <c r="AN465" s="270" t="str">
        <f>_xlfn.IFNA(VLOOKUP(CONCATENATE(AN$4,$C465),'INSER DATA'!$A:$F,7,0),"")</f>
        <v/>
      </c>
      <c r="AO465" s="270" t="str">
        <f>_xlfn.IFNA(VLOOKUP(CONCATENATE(AO$4,$C465),'INSER DATA'!$A:$F,7,0),"")</f>
        <v/>
      </c>
      <c r="AP465" s="270" t="str">
        <f>_xlfn.IFNA(VLOOKUP(CONCATENATE(AP$4,$C465),'INSER DATA'!$A:$F,7,0),"")</f>
        <v/>
      </c>
      <c r="AQ465" s="270" t="str">
        <f>_xlfn.IFNA(VLOOKUP(CONCATENATE(AQ$4,$C465),'INSER DATA'!$A:$F,7,0),"")</f>
        <v/>
      </c>
      <c r="AR465" s="270" t="str">
        <f>_xlfn.IFNA(VLOOKUP(CONCATENATE(AR$4,$C465),'INSER DATA'!$A:$F,7,0),"")</f>
        <v/>
      </c>
      <c r="AS465" s="270" t="str">
        <f>_xlfn.IFNA(VLOOKUP(CONCATENATE(AS$4,$C465),'INSER DATA'!$A:$F,7,0),"")</f>
        <v/>
      </c>
      <c r="AT465" s="270" t="str">
        <f>_xlfn.IFNA(VLOOKUP(CONCATENATE(AT$4,$C465),'INSER DATA'!$A:$F,7,0),"")</f>
        <v/>
      </c>
      <c r="AU465" s="270" t="str">
        <f>_xlfn.IFNA(VLOOKUP(CONCATENATE(AU$4,$C465),'INSER DATA'!$A:$F,7,0),"")</f>
        <v/>
      </c>
      <c r="AV465" s="270" t="str">
        <f>_xlfn.IFNA(VLOOKUP(CONCATENATE(AV$4,$C465),'INSER DATA'!$A:$F,7,0),"")</f>
        <v/>
      </c>
      <c r="AW465" s="270" t="str">
        <f>_xlfn.IFNA(VLOOKUP(CONCATENATE(AW$4,$C465),'INSER DATA'!$A:$F,7,0),"")</f>
        <v/>
      </c>
      <c r="AX465" s="270" t="str">
        <f>_xlfn.IFNA(VLOOKUP(CONCATENATE(AX$4,$C465),'INSER DATA'!$A:$F,7,0),"")</f>
        <v/>
      </c>
      <c r="AY465" s="270" t="str">
        <f>_xlfn.IFNA(VLOOKUP(CONCATENATE(AY$4,$C465),'INSER DATA'!$A:$F,7,0),"")</f>
        <v/>
      </c>
      <c r="AZ465" s="270" t="str">
        <f>_xlfn.IFNA(VLOOKUP(CONCATENATE(AZ$4,$C465),'INSER DATA'!$A:$F,7,0),"")</f>
        <v/>
      </c>
      <c r="BA465" s="270" t="str">
        <f>_xlfn.IFNA(VLOOKUP(CONCATENATE(BA$4,$C465),'INSER DATA'!$A:$F,7,0),"")</f>
        <v/>
      </c>
      <c r="BB465" s="270" t="str">
        <f>_xlfn.IFNA(VLOOKUP(CONCATENATE(BB$4,$C465),'INSER DATA'!$A:$F,7,0),"")</f>
        <v/>
      </c>
      <c r="BC465" s="270" t="str">
        <f>_xlfn.IFNA(VLOOKUP(CONCATENATE(BC$4,$C465),'INSER DATA'!$A:$F,7,0),"")</f>
        <v/>
      </c>
      <c r="BD465" s="270" t="str">
        <f>_xlfn.IFNA(VLOOKUP(CONCATENATE(BD$4,$C465),'INSER DATA'!$A:$F,7,0),"")</f>
        <v/>
      </c>
      <c r="BE465" s="270" t="str">
        <f>_xlfn.IFNA(VLOOKUP(CONCATENATE(BE$4,$C465),'INSER DATA'!$A:$F,7,0),"")</f>
        <v/>
      </c>
      <c r="BF465" s="270" t="str">
        <f>_xlfn.IFNA(VLOOKUP(CONCATENATE(BF$4,$C465),'INSER DATA'!$A:$F,7,0),"")</f>
        <v/>
      </c>
      <c r="BG465" s="270" t="str">
        <f>_xlfn.IFNA(VLOOKUP(CONCATENATE(BG$4,$C465),'INSER DATA'!$A:$F,7,0),"")</f>
        <v/>
      </c>
      <c r="BH465" s="270" t="str">
        <f>_xlfn.IFNA(VLOOKUP(CONCATENATE(BH$4,$C465),'INSER DATA'!$A:$F,7,0),"")</f>
        <v/>
      </c>
      <c r="BI465" s="270" t="str">
        <f>_xlfn.IFNA(VLOOKUP(CONCATENATE(BI$4,$C465),'INSER DATA'!$A:$F,7,0),"")</f>
        <v/>
      </c>
      <c r="BJ465" s="270" t="str">
        <f>_xlfn.IFNA(VLOOKUP(CONCATENATE(BJ$4,$C465),'INSER DATA'!$A:$F,7,0),"")</f>
        <v/>
      </c>
      <c r="BK465" s="270" t="str">
        <f>_xlfn.IFNA(VLOOKUP(CONCATENATE(BK$4,$C465),'INSER DATA'!$A:$F,7,0),"")</f>
        <v/>
      </c>
      <c r="BL465" s="272"/>
      <c r="BM465" s="30"/>
      <c r="BN465" s="30"/>
      <c r="BO465" s="30"/>
      <c r="BP465" s="30"/>
      <c r="BQ465" s="30"/>
      <c r="BR465" s="30"/>
      <c r="BS465" s="30"/>
      <c r="BT465" s="30"/>
      <c r="BU465" s="30"/>
      <c r="BV465" s="30"/>
      <c r="BW465" s="30"/>
      <c r="BX465" s="30"/>
      <c r="BY465" s="30"/>
      <c r="BZ465" s="30"/>
      <c r="CA465" s="30"/>
      <c r="CB465" s="30"/>
      <c r="CC465" s="30"/>
      <c r="CD465" s="30"/>
      <c r="CE465" s="30"/>
      <c r="CF465" s="30"/>
      <c r="CG465" s="30"/>
      <c r="CH465" s="30"/>
      <c r="CI465" s="30"/>
      <c r="CJ465" s="30"/>
      <c r="CK465" s="30"/>
      <c r="CL465" s="30"/>
      <c r="CM465" s="30"/>
      <c r="CN465" s="30"/>
      <c r="CO465" s="30"/>
      <c r="CP465" s="30"/>
      <c r="CQ465" s="30"/>
      <c r="CR465" s="30"/>
      <c r="CS465" s="30"/>
      <c r="CT465" s="30"/>
      <c r="CU465" s="30"/>
      <c r="CV465" s="30"/>
      <c r="CW465" s="30"/>
      <c r="CX465" s="30"/>
      <c r="CY465" s="30"/>
      <c r="CZ465" s="30"/>
      <c r="DA465" s="30"/>
    </row>
    <row r="466" spans="1:105" ht="19.2" thickTop="1" thickBot="1" x14ac:dyDescent="0.4">
      <c r="A466" s="30"/>
      <c r="B466" s="30"/>
      <c r="C466" s="188" t="s">
        <v>434</v>
      </c>
      <c r="D466" s="187" t="s">
        <v>934</v>
      </c>
      <c r="E466" s="35" t="str">
        <f>_xlfn.XLOOKUP(Tabella4[[#This Row],[NOME]],'ROSE SQUADRE'!$N$3:$N$253,'ROSE SQUADRE'!$O$3:$O$253,"")</f>
        <v/>
      </c>
      <c r="F466" s="36" t="s">
        <v>162</v>
      </c>
      <c r="G466" s="43">
        <v>7</v>
      </c>
      <c r="H466" s="43">
        <v>7</v>
      </c>
      <c r="I466" s="44">
        <f t="shared" si="44"/>
        <v>0</v>
      </c>
      <c r="J466" s="37">
        <f t="shared" si="45"/>
        <v>0</v>
      </c>
      <c r="K466" s="38">
        <f t="shared" si="46"/>
        <v>0</v>
      </c>
      <c r="L466" s="38">
        <f t="shared" si="47"/>
        <v>0</v>
      </c>
      <c r="M466" s="39">
        <f t="shared" si="48"/>
        <v>0</v>
      </c>
      <c r="N466" s="45">
        <f t="shared" ca="1" si="43"/>
        <v>0</v>
      </c>
      <c r="O466" s="40">
        <f>SUMIF(Tabella1[Nome],Tabella4[[#This Row],[NOME]],Tabella1[Gf])</f>
        <v>0</v>
      </c>
      <c r="P466" s="40">
        <f>-(SUMIF(Tabella1[Nome],Tabella4[[#This Row],[NOME]],Tabella1[Gs]))</f>
        <v>0</v>
      </c>
      <c r="Q466" s="40">
        <f>SUMIF(Tabella1[Nome],Tabella4[[#This Row],[NOME]],Tabella1[Rp])</f>
        <v>0</v>
      </c>
      <c r="R466" s="40">
        <f>SUMIF(Tabella1[Nome],Tabella4[[#This Row],[NOME]],Tabella1[Rs])</f>
        <v>0</v>
      </c>
      <c r="S466" s="40">
        <f>SUMIF(Tabella1[Nome],Tabella4[[#This Row],[NOME]],Tabella1[Rf])</f>
        <v>0</v>
      </c>
      <c r="T466" s="40">
        <f>SUMIF(Tabella1[Nome],Tabella4[[#This Row],[NOME]],Tabella1[Au])</f>
        <v>0</v>
      </c>
      <c r="U466" s="41">
        <f>SUMIF(Tabella1[Nome],Tabella4[[#This Row],[NOME]],Tabella1[Amm])</f>
        <v>0</v>
      </c>
      <c r="V466" s="42">
        <f>SUMIF(Tabella1[Nome],Tabella4[[#This Row],[NOME]],Tabella1[Esp])</f>
        <v>0</v>
      </c>
      <c r="W466" s="40">
        <f>SUMIF(Tabella1[Nome],Tabella4[[#This Row],[NOME]],Tabella1[Ass])</f>
        <v>0</v>
      </c>
      <c r="X466" s="40">
        <f>SUMIF(Tabella1[Nome],Tabella4[[#This Row],[NOME]],Tabella1[Gdv])</f>
        <v>0</v>
      </c>
      <c r="Y466" s="40">
        <f>SUMIF(Tabella1[Nome],Tabella4[[#This Row],[NOME]],Tabella1[cl sh])</f>
        <v>0</v>
      </c>
      <c r="Z466" s="270" t="str">
        <f>_xlfn.IFNA(_xlfn.XLOOKUP(CONCATENATE(Z$4,$C466),Tabella1[CONC X VOTI IN TAB GIOC],Tabella1[Voto],""),"")</f>
        <v/>
      </c>
      <c r="AA466" s="270" t="str">
        <f>_xlfn.IFNA(_xlfn.XLOOKUP(CONCATENATE(AA$4,$C466),Tabella1[CONC X VOTI IN TAB GIOC],Tabella1[Voto],""),"")</f>
        <v/>
      </c>
      <c r="AB466" s="270" t="str">
        <f>_xlfn.IFNA(_xlfn.XLOOKUP(CONCATENATE(AB$4,$C466),Tabella1[CONC X VOTI IN TAB GIOC],Tabella1[Voto]),"")</f>
        <v/>
      </c>
      <c r="AC466" s="270" t="str" cm="1">
        <f t="array" ref="AC466">_xlfn.IFNA(_xlfn.XLOOKUP(CONCATENATE(AC$4,$C466),INDEX(Tabella1[],0,MATCH("CONC X VOTI IN TAB GIOC",Tabella1[#Headers],0)),INDEX(Tabella1[],0,MATCH("Voto",Tabella1[#Headers],0))),"")</f>
        <v/>
      </c>
      <c r="AD466" s="270" t="str">
        <f>_xlfn.IFNA(_xlfn.XLOOKUP(CONCATENATE(AD$4,$C466),Tabella1[CONC X VOTI IN TAB GIOC],Tabella1[Voto]),"")</f>
        <v/>
      </c>
      <c r="AE466" s="270" t="str">
        <f>_xlfn.IFNA(VLOOKUP(CONCATENATE(AE$4,$C466),'INSER DATA'!$A:$F,6,0),"")</f>
        <v/>
      </c>
      <c r="AF466" s="270" t="str">
        <f>_xlfn.IFNA(VLOOKUP(CONCATENATE(AF$4,$C466),'INSER DATA'!$A:$F,6,0),"")</f>
        <v/>
      </c>
      <c r="AG466" s="270" t="str">
        <f>_xlfn.IFNA(VLOOKUP(CONCATENATE(AG$4,$C466),'INSER DATA'!$A:$F,6,0),"")</f>
        <v/>
      </c>
      <c r="AH466" s="270" t="str">
        <f>_xlfn.IFNA(VLOOKUP(CONCATENATE(AH$4,$C466),'INSER DATA'!$A:$F,7,0),"")</f>
        <v/>
      </c>
      <c r="AI466" s="270" t="str">
        <f>_xlfn.IFNA(VLOOKUP(CONCATENATE(AI$4,$C466),'INSER DATA'!$A:$F,7,0),"")</f>
        <v/>
      </c>
      <c r="AJ466" s="270" t="str">
        <f>_xlfn.IFNA(VLOOKUP(CONCATENATE(AJ$4,$C466),'INSER DATA'!$A:$F,7,0),"")</f>
        <v/>
      </c>
      <c r="AK466" s="270" t="str">
        <f>_xlfn.IFNA(VLOOKUP(CONCATENATE(AK$4,$C466),'INSER DATA'!$A:$F,7,0),"")</f>
        <v/>
      </c>
      <c r="AL466" s="270" t="str">
        <f>_xlfn.IFNA(VLOOKUP(CONCATENATE(AL$4,$C466),'INSER DATA'!$A:$F,7,0),"")</f>
        <v/>
      </c>
      <c r="AM466" s="270" t="str">
        <f>_xlfn.IFNA(VLOOKUP(CONCATENATE(AM$4,$C466),'INSER DATA'!$A:$F,7,0),"")</f>
        <v/>
      </c>
      <c r="AN466" s="270" t="str">
        <f>_xlfn.IFNA(VLOOKUP(CONCATENATE(AN$4,$C466),'INSER DATA'!$A:$F,7,0),"")</f>
        <v/>
      </c>
      <c r="AO466" s="270" t="str">
        <f>_xlfn.IFNA(VLOOKUP(CONCATENATE(AO$4,$C466),'INSER DATA'!$A:$F,7,0),"")</f>
        <v/>
      </c>
      <c r="AP466" s="270" t="str">
        <f>_xlfn.IFNA(VLOOKUP(CONCATENATE(AP$4,$C466),'INSER DATA'!$A:$F,7,0),"")</f>
        <v/>
      </c>
      <c r="AQ466" s="270" t="str">
        <f>_xlfn.IFNA(VLOOKUP(CONCATENATE(AQ$4,$C466),'INSER DATA'!$A:$F,7,0),"")</f>
        <v/>
      </c>
      <c r="AR466" s="270" t="str">
        <f>_xlfn.IFNA(VLOOKUP(CONCATENATE(AR$4,$C466),'INSER DATA'!$A:$F,7,0),"")</f>
        <v/>
      </c>
      <c r="AS466" s="270" t="str">
        <f>_xlfn.IFNA(VLOOKUP(CONCATENATE(AS$4,$C466),'INSER DATA'!$A:$F,7,0),"")</f>
        <v/>
      </c>
      <c r="AT466" s="270" t="str">
        <f>_xlfn.IFNA(VLOOKUP(CONCATENATE(AT$4,$C466),'INSER DATA'!$A:$F,7,0),"")</f>
        <v/>
      </c>
      <c r="AU466" s="270" t="str">
        <f>_xlfn.IFNA(VLOOKUP(CONCATENATE(AU$4,$C466),'INSER DATA'!$A:$F,7,0),"")</f>
        <v/>
      </c>
      <c r="AV466" s="270" t="str">
        <f>_xlfn.IFNA(VLOOKUP(CONCATENATE(AV$4,$C466),'INSER DATA'!$A:$F,7,0),"")</f>
        <v/>
      </c>
      <c r="AW466" s="270" t="str">
        <f>_xlfn.IFNA(VLOOKUP(CONCATENATE(AW$4,$C466),'INSER DATA'!$A:$F,7,0),"")</f>
        <v/>
      </c>
      <c r="AX466" s="270" t="str">
        <f>_xlfn.IFNA(VLOOKUP(CONCATENATE(AX$4,$C466),'INSER DATA'!$A:$F,7,0),"")</f>
        <v/>
      </c>
      <c r="AY466" s="270" t="str">
        <f>_xlfn.IFNA(VLOOKUP(CONCATENATE(AY$4,$C466),'INSER DATA'!$A:$F,7,0),"")</f>
        <v/>
      </c>
      <c r="AZ466" s="270" t="str">
        <f>_xlfn.IFNA(VLOOKUP(CONCATENATE(AZ$4,$C466),'INSER DATA'!$A:$F,7,0),"")</f>
        <v/>
      </c>
      <c r="BA466" s="270" t="str">
        <f>_xlfn.IFNA(VLOOKUP(CONCATENATE(BA$4,$C466),'INSER DATA'!$A:$F,7,0),"")</f>
        <v/>
      </c>
      <c r="BB466" s="270" t="str">
        <f>_xlfn.IFNA(VLOOKUP(CONCATENATE(BB$4,$C466),'INSER DATA'!$A:$F,7,0),"")</f>
        <v/>
      </c>
      <c r="BC466" s="270" t="str">
        <f>_xlfn.IFNA(VLOOKUP(CONCATENATE(BC$4,$C466),'INSER DATA'!$A:$F,7,0),"")</f>
        <v/>
      </c>
      <c r="BD466" s="270" t="str">
        <f>_xlfn.IFNA(VLOOKUP(CONCATENATE(BD$4,$C466),'INSER DATA'!$A:$F,7,0),"")</f>
        <v/>
      </c>
      <c r="BE466" s="270" t="str">
        <f>_xlfn.IFNA(VLOOKUP(CONCATENATE(BE$4,$C466),'INSER DATA'!$A:$F,7,0),"")</f>
        <v/>
      </c>
      <c r="BF466" s="270" t="str">
        <f>_xlfn.IFNA(VLOOKUP(CONCATENATE(BF$4,$C466),'INSER DATA'!$A:$F,7,0),"")</f>
        <v/>
      </c>
      <c r="BG466" s="270" t="str">
        <f>_xlfn.IFNA(VLOOKUP(CONCATENATE(BG$4,$C466),'INSER DATA'!$A:$F,7,0),"")</f>
        <v/>
      </c>
      <c r="BH466" s="270" t="str">
        <f>_xlfn.IFNA(VLOOKUP(CONCATENATE(BH$4,$C466),'INSER DATA'!$A:$F,7,0),"")</f>
        <v/>
      </c>
      <c r="BI466" s="270" t="str">
        <f>_xlfn.IFNA(VLOOKUP(CONCATENATE(BI$4,$C466),'INSER DATA'!$A:$F,7,0),"")</f>
        <v/>
      </c>
      <c r="BJ466" s="270" t="str">
        <f>_xlfn.IFNA(VLOOKUP(CONCATENATE(BJ$4,$C466),'INSER DATA'!$A:$F,7,0),"")</f>
        <v/>
      </c>
      <c r="BK466" s="270" t="str">
        <f>_xlfn.IFNA(VLOOKUP(CONCATENATE(BK$4,$C466),'INSER DATA'!$A:$F,7,0),"")</f>
        <v/>
      </c>
      <c r="BL466" s="272"/>
      <c r="BM466" s="30"/>
      <c r="BN466" s="30"/>
      <c r="BO466" s="30"/>
      <c r="BP466" s="30"/>
      <c r="BQ466" s="30"/>
      <c r="BR466" s="30"/>
      <c r="BS466" s="30"/>
      <c r="BT466" s="30"/>
      <c r="BU466" s="30"/>
      <c r="BV466" s="30"/>
      <c r="BW466" s="30"/>
      <c r="BX466" s="30"/>
      <c r="BY466" s="30"/>
      <c r="BZ466" s="30"/>
      <c r="CA466" s="30"/>
      <c r="CB466" s="30"/>
      <c r="CC466" s="30"/>
      <c r="CD466" s="30"/>
      <c r="CE466" s="30"/>
      <c r="CF466" s="30"/>
      <c r="CG466" s="30"/>
      <c r="CH466" s="30"/>
      <c r="CI466" s="30"/>
      <c r="CJ466" s="30"/>
      <c r="CK466" s="30"/>
      <c r="CL466" s="30"/>
      <c r="CM466" s="30"/>
      <c r="CN466" s="30"/>
      <c r="CO466" s="30"/>
      <c r="CP466" s="30"/>
      <c r="CQ466" s="30"/>
      <c r="CR466" s="30"/>
      <c r="CS466" s="30"/>
      <c r="CT466" s="30"/>
      <c r="CU466" s="30"/>
      <c r="CV466" s="30"/>
      <c r="CW466" s="30"/>
      <c r="CX466" s="30"/>
      <c r="CY466" s="30"/>
      <c r="CZ466" s="30"/>
      <c r="DA466" s="30"/>
    </row>
    <row r="467" spans="1:105" ht="19.2" thickTop="1" thickBot="1" x14ac:dyDescent="0.4">
      <c r="A467" s="30"/>
      <c r="B467" s="30"/>
      <c r="C467" s="185" t="s">
        <v>289</v>
      </c>
      <c r="D467" s="46" t="s">
        <v>934</v>
      </c>
      <c r="E467" s="35" t="str">
        <f>_xlfn.XLOOKUP(Tabella4[[#This Row],[NOME]],'ROSE SQUADRE'!$N$3:$N$253,'ROSE SQUADRE'!$O$3:$O$253,"")</f>
        <v/>
      </c>
      <c r="F467" s="36" t="s">
        <v>163</v>
      </c>
      <c r="G467" s="43">
        <v>7</v>
      </c>
      <c r="H467" s="43">
        <v>7</v>
      </c>
      <c r="I467" s="44">
        <f t="shared" si="44"/>
        <v>0</v>
      </c>
      <c r="J467" s="37">
        <f t="shared" si="45"/>
        <v>1</v>
      </c>
      <c r="K467" s="178">
        <f t="shared" si="46"/>
        <v>5.5</v>
      </c>
      <c r="L467" s="178">
        <f t="shared" si="47"/>
        <v>5.5</v>
      </c>
      <c r="M467" s="179">
        <f t="shared" si="48"/>
        <v>5.5</v>
      </c>
      <c r="N467" s="45">
        <f t="shared" ca="1" si="43"/>
        <v>0</v>
      </c>
      <c r="O467" s="40">
        <f>SUMIF(Tabella1[Nome],Tabella4[[#This Row],[NOME]],Tabella1[Gf])</f>
        <v>0</v>
      </c>
      <c r="P467" s="40">
        <f>-(SUMIF(Tabella1[Nome],Tabella4[[#This Row],[NOME]],Tabella1[Gs]))</f>
        <v>0</v>
      </c>
      <c r="Q467" s="40">
        <f>SUMIF(Tabella1[Nome],Tabella4[[#This Row],[NOME]],Tabella1[Rp])</f>
        <v>0</v>
      </c>
      <c r="R467" s="40">
        <f>SUMIF(Tabella1[Nome],Tabella4[[#This Row],[NOME]],Tabella1[Rs])</f>
        <v>0</v>
      </c>
      <c r="S467" s="40">
        <f>SUMIF(Tabella1[Nome],Tabella4[[#This Row],[NOME]],Tabella1[Rf])</f>
        <v>0</v>
      </c>
      <c r="T467" s="40">
        <f>SUMIF(Tabella1[Nome],Tabella4[[#This Row],[NOME]],Tabella1[Au])</f>
        <v>0</v>
      </c>
      <c r="U467" s="41">
        <f>SUMIF(Tabella1[Nome],Tabella4[[#This Row],[NOME]],Tabella1[Amm])</f>
        <v>0</v>
      </c>
      <c r="V467" s="42">
        <f>SUMIF(Tabella1[Nome],Tabella4[[#This Row],[NOME]],Tabella1[Esp])</f>
        <v>0</v>
      </c>
      <c r="W467" s="40">
        <f>SUMIF(Tabella1[Nome],Tabella4[[#This Row],[NOME]],Tabella1[Ass])</f>
        <v>0</v>
      </c>
      <c r="X467" s="40">
        <f>SUMIF(Tabella1[Nome],Tabella4[[#This Row],[NOME]],Tabella1[Gdv])</f>
        <v>0</v>
      </c>
      <c r="Y467" s="40">
        <f>SUMIF(Tabella1[Nome],Tabella4[[#This Row],[NOME]],Tabella1[cl sh])</f>
        <v>0</v>
      </c>
      <c r="Z467" s="270" t="str">
        <f>_xlfn.IFNA(_xlfn.XLOOKUP(CONCATENATE(Z$4,$C467),Tabella1[CONC X VOTI IN TAB GIOC],Tabella1[Voto],""),"")</f>
        <v/>
      </c>
      <c r="AA467" s="270" t="str">
        <f>_xlfn.IFNA(_xlfn.XLOOKUP(CONCATENATE(AA$4,$C467),Tabella1[CONC X VOTI IN TAB GIOC],Tabella1[Voto],""),"")</f>
        <v/>
      </c>
      <c r="AB467" s="270" t="str">
        <f>_xlfn.IFNA(_xlfn.XLOOKUP(CONCATENATE(AB$4,$C467),Tabella1[CONC X VOTI IN TAB GIOC],Tabella1[Voto]),"")</f>
        <v/>
      </c>
      <c r="AC467" s="270" cm="1">
        <f t="array" ref="AC467">_xlfn.IFNA(_xlfn.XLOOKUP(CONCATENATE(AC$4,$C467),INDEX(Tabella1[],0,MATCH("CONC X VOTI IN TAB GIOC",Tabella1[#Headers],0)),INDEX(Tabella1[],0,MATCH("Voto",Tabella1[#Headers],0))),"")</f>
        <v>5.5</v>
      </c>
      <c r="AD467" s="270" t="str">
        <f>_xlfn.IFNA(_xlfn.XLOOKUP(CONCATENATE(AD$4,$C467),Tabella1[CONC X VOTI IN TAB GIOC],Tabella1[Voto]),"")</f>
        <v/>
      </c>
      <c r="AE467" s="270" t="str">
        <f>_xlfn.IFNA(VLOOKUP(CONCATENATE(AE$4,$C467),'INSER DATA'!$A:$F,6,0),"")</f>
        <v/>
      </c>
      <c r="AF467" s="270" t="str">
        <f>_xlfn.IFNA(VLOOKUP(CONCATENATE(AF$4,$C467),'INSER DATA'!$A:$F,6,0),"")</f>
        <v/>
      </c>
      <c r="AG467" s="270" t="str">
        <f>_xlfn.IFNA(VLOOKUP(CONCATENATE(AG$4,$C467),'INSER DATA'!$A:$F,6,0),"")</f>
        <v/>
      </c>
      <c r="AH467" s="270" t="str">
        <f>_xlfn.IFNA(VLOOKUP(CONCATENATE(AH$4,$C467),'INSER DATA'!$A:$F,7,0),"")</f>
        <v/>
      </c>
      <c r="AI467" s="270" t="str">
        <f>_xlfn.IFNA(VLOOKUP(CONCATENATE(AI$4,$C467),'INSER DATA'!$A:$F,7,0),"")</f>
        <v/>
      </c>
      <c r="AJ467" s="270" t="str">
        <f>_xlfn.IFNA(VLOOKUP(CONCATENATE(AJ$4,$C467),'INSER DATA'!$A:$F,7,0),"")</f>
        <v/>
      </c>
      <c r="AK467" s="270" t="str">
        <f>_xlfn.IFNA(VLOOKUP(CONCATENATE(AK$4,$C467),'INSER DATA'!$A:$F,7,0),"")</f>
        <v/>
      </c>
      <c r="AL467" s="270" t="str">
        <f>_xlfn.IFNA(VLOOKUP(CONCATENATE(AL$4,$C467),'INSER DATA'!$A:$F,7,0),"")</f>
        <v/>
      </c>
      <c r="AM467" s="270" t="str">
        <f>_xlfn.IFNA(VLOOKUP(CONCATENATE(AM$4,$C467),'INSER DATA'!$A:$F,7,0),"")</f>
        <v/>
      </c>
      <c r="AN467" s="270" t="str">
        <f>_xlfn.IFNA(VLOOKUP(CONCATENATE(AN$4,$C467),'INSER DATA'!$A:$F,7,0),"")</f>
        <v/>
      </c>
      <c r="AO467" s="270" t="str">
        <f>_xlfn.IFNA(VLOOKUP(CONCATENATE(AO$4,$C467),'INSER DATA'!$A:$F,7,0),"")</f>
        <v/>
      </c>
      <c r="AP467" s="270" t="str">
        <f>_xlfn.IFNA(VLOOKUP(CONCATENATE(AP$4,$C467),'INSER DATA'!$A:$F,7,0),"")</f>
        <v/>
      </c>
      <c r="AQ467" s="270" t="str">
        <f>_xlfn.IFNA(VLOOKUP(CONCATENATE(AQ$4,$C467),'INSER DATA'!$A:$F,7,0),"")</f>
        <v/>
      </c>
      <c r="AR467" s="270" t="str">
        <f>_xlfn.IFNA(VLOOKUP(CONCATENATE(AR$4,$C467),'INSER DATA'!$A:$F,7,0),"")</f>
        <v/>
      </c>
      <c r="AS467" s="270" t="str">
        <f>_xlfn.IFNA(VLOOKUP(CONCATENATE(AS$4,$C467),'INSER DATA'!$A:$F,7,0),"")</f>
        <v/>
      </c>
      <c r="AT467" s="270" t="str">
        <f>_xlfn.IFNA(VLOOKUP(CONCATENATE(AT$4,$C467),'INSER DATA'!$A:$F,7,0),"")</f>
        <v/>
      </c>
      <c r="AU467" s="270" t="str">
        <f>_xlfn.IFNA(VLOOKUP(CONCATENATE(AU$4,$C467),'INSER DATA'!$A:$F,7,0),"")</f>
        <v/>
      </c>
      <c r="AV467" s="270" t="str">
        <f>_xlfn.IFNA(VLOOKUP(CONCATENATE(AV$4,$C467),'INSER DATA'!$A:$F,7,0),"")</f>
        <v/>
      </c>
      <c r="AW467" s="270" t="str">
        <f>_xlfn.IFNA(VLOOKUP(CONCATENATE(AW$4,$C467),'INSER DATA'!$A:$F,7,0),"")</f>
        <v/>
      </c>
      <c r="AX467" s="270" t="str">
        <f>_xlfn.IFNA(VLOOKUP(CONCATENATE(AX$4,$C467),'INSER DATA'!$A:$F,7,0),"")</f>
        <v/>
      </c>
      <c r="AY467" s="270" t="str">
        <f>_xlfn.IFNA(VLOOKUP(CONCATENATE(AY$4,$C467),'INSER DATA'!$A:$F,7,0),"")</f>
        <v/>
      </c>
      <c r="AZ467" s="270" t="str">
        <f>_xlfn.IFNA(VLOOKUP(CONCATENATE(AZ$4,$C467),'INSER DATA'!$A:$F,7,0),"")</f>
        <v/>
      </c>
      <c r="BA467" s="270" t="str">
        <f>_xlfn.IFNA(VLOOKUP(CONCATENATE(BA$4,$C467),'INSER DATA'!$A:$F,7,0),"")</f>
        <v/>
      </c>
      <c r="BB467" s="270" t="str">
        <f>_xlfn.IFNA(VLOOKUP(CONCATENATE(BB$4,$C467),'INSER DATA'!$A:$F,7,0),"")</f>
        <v/>
      </c>
      <c r="BC467" s="270" t="str">
        <f>_xlfn.IFNA(VLOOKUP(CONCATENATE(BC$4,$C467),'INSER DATA'!$A:$F,7,0),"")</f>
        <v/>
      </c>
      <c r="BD467" s="270" t="str">
        <f>_xlfn.IFNA(VLOOKUP(CONCATENATE(BD$4,$C467),'INSER DATA'!$A:$F,7,0),"")</f>
        <v/>
      </c>
      <c r="BE467" s="270" t="str">
        <f>_xlfn.IFNA(VLOOKUP(CONCATENATE(BE$4,$C467),'INSER DATA'!$A:$F,7,0),"")</f>
        <v/>
      </c>
      <c r="BF467" s="270" t="str">
        <f>_xlfn.IFNA(VLOOKUP(CONCATENATE(BF$4,$C467),'INSER DATA'!$A:$F,7,0),"")</f>
        <v/>
      </c>
      <c r="BG467" s="270" t="str">
        <f>_xlfn.IFNA(VLOOKUP(CONCATENATE(BG$4,$C467),'INSER DATA'!$A:$F,7,0),"")</f>
        <v/>
      </c>
      <c r="BH467" s="270" t="str">
        <f>_xlfn.IFNA(VLOOKUP(CONCATENATE(BH$4,$C467),'INSER DATA'!$A:$F,7,0),"")</f>
        <v/>
      </c>
      <c r="BI467" s="270" t="str">
        <f>_xlfn.IFNA(VLOOKUP(CONCATENATE(BI$4,$C467),'INSER DATA'!$A:$F,7,0),"")</f>
        <v/>
      </c>
      <c r="BJ467" s="270" t="str">
        <f>_xlfn.IFNA(VLOOKUP(CONCATENATE(BJ$4,$C467),'INSER DATA'!$A:$F,7,0),"")</f>
        <v/>
      </c>
      <c r="BK467" s="270" t="str">
        <f>_xlfn.IFNA(VLOOKUP(CONCATENATE(BK$4,$C467),'INSER DATA'!$A:$F,7,0),"")</f>
        <v/>
      </c>
      <c r="BL467" s="272"/>
      <c r="BM467" s="30"/>
      <c r="BN467" s="30"/>
      <c r="BO467" s="30"/>
      <c r="BP467" s="30"/>
      <c r="BQ467" s="30"/>
      <c r="BR467" s="30"/>
      <c r="BS467" s="30"/>
      <c r="BT467" s="30"/>
      <c r="BU467" s="30"/>
      <c r="BV467" s="30"/>
      <c r="BW467" s="30"/>
      <c r="BX467" s="30"/>
      <c r="BY467" s="30"/>
      <c r="BZ467" s="30"/>
      <c r="CA467" s="30"/>
      <c r="CB467" s="30"/>
      <c r="CC467" s="30"/>
      <c r="CD467" s="30"/>
      <c r="CE467" s="30"/>
      <c r="CF467" s="30"/>
      <c r="CG467" s="30"/>
      <c r="CH467" s="30"/>
      <c r="CI467" s="30"/>
      <c r="CJ467" s="30"/>
      <c r="CK467" s="30"/>
      <c r="CL467" s="30"/>
      <c r="CM467" s="30"/>
      <c r="CN467" s="30"/>
      <c r="CO467" s="30"/>
      <c r="CP467" s="30"/>
      <c r="CQ467" s="30"/>
      <c r="CR467" s="30"/>
      <c r="CS467" s="30"/>
      <c r="CT467" s="30"/>
      <c r="CU467" s="30"/>
      <c r="CV467" s="30"/>
      <c r="CW467" s="30"/>
      <c r="CX467" s="30"/>
      <c r="CY467" s="30"/>
      <c r="CZ467" s="30"/>
      <c r="DA467" s="30"/>
    </row>
    <row r="468" spans="1:105" ht="19.2" thickTop="1" thickBot="1" x14ac:dyDescent="0.4">
      <c r="A468" s="30"/>
      <c r="B468" s="30"/>
      <c r="C468" s="360" t="s">
        <v>469</v>
      </c>
      <c r="D468" s="361" t="s">
        <v>950</v>
      </c>
      <c r="E468" s="35" t="str">
        <f>_xlfn.XLOOKUP(Tabella4[[#This Row],[NOME]],'ROSE SQUADRE'!$N$3:$N$253,'ROSE SQUADRE'!$O$3:$O$253,"")</f>
        <v>TRICCHETRACHT</v>
      </c>
      <c r="F468" s="36" t="s">
        <v>161</v>
      </c>
      <c r="G468" s="43">
        <v>6</v>
      </c>
      <c r="H468" s="43">
        <v>8</v>
      </c>
      <c r="I468" s="44">
        <f t="shared" si="44"/>
        <v>2</v>
      </c>
      <c r="J468" s="37">
        <f t="shared" si="45"/>
        <v>4</v>
      </c>
      <c r="K468" s="38">
        <f t="shared" si="46"/>
        <v>6.375</v>
      </c>
      <c r="L468" s="38">
        <f t="shared" si="47"/>
        <v>7.875</v>
      </c>
      <c r="M468" s="39">
        <f t="shared" si="48"/>
        <v>31.5</v>
      </c>
      <c r="N468" s="45">
        <f t="shared" ca="1" si="43"/>
        <v>1</v>
      </c>
      <c r="O468" s="40">
        <f>SUMIF(Tabella1[Nome],Tabella4[[#This Row],[NOME]],Tabella1[Gf])</f>
        <v>2</v>
      </c>
      <c r="P468" s="40">
        <f>-(SUMIF(Tabella1[Nome],Tabella4[[#This Row],[NOME]],Tabella1[Gs]))</f>
        <v>0</v>
      </c>
      <c r="Q468" s="40">
        <f>SUMIF(Tabella1[Nome],Tabella4[[#This Row],[NOME]],Tabella1[Rp])</f>
        <v>0</v>
      </c>
      <c r="R468" s="40">
        <f>SUMIF(Tabella1[Nome],Tabella4[[#This Row],[NOME]],Tabella1[Rs])</f>
        <v>0</v>
      </c>
      <c r="S468" s="40">
        <f>SUMIF(Tabella1[Nome],Tabella4[[#This Row],[NOME]],Tabella1[Rf])</f>
        <v>0</v>
      </c>
      <c r="T468" s="40">
        <f>SUMIF(Tabella1[Nome],Tabella4[[#This Row],[NOME]],Tabella1[Au])</f>
        <v>0</v>
      </c>
      <c r="U468" s="41">
        <f>SUMIF(Tabella1[Nome],Tabella4[[#This Row],[NOME]],Tabella1[Amm])</f>
        <v>0</v>
      </c>
      <c r="V468" s="42">
        <f>SUMIF(Tabella1[Nome],Tabella4[[#This Row],[NOME]],Tabella1[Esp])</f>
        <v>0</v>
      </c>
      <c r="W468" s="40">
        <f>SUMIF(Tabella1[Nome],Tabella4[[#This Row],[NOME]],Tabella1[Ass])</f>
        <v>0</v>
      </c>
      <c r="X468" s="40">
        <f>SUMIF(Tabella1[Nome],Tabella4[[#This Row],[NOME]],Tabella1[Gdv])</f>
        <v>0</v>
      </c>
      <c r="Y468" s="40">
        <f>SUMIF(Tabella1[Nome],Tabella4[[#This Row],[NOME]],Tabella1[cl sh])</f>
        <v>0</v>
      </c>
      <c r="Z468" s="270">
        <f>_xlfn.IFNA(_xlfn.XLOOKUP(CONCATENATE(Z$4,$C468),Tabella1[CONC X VOTI IN TAB GIOC],Tabella1[Voto],""),"")</f>
        <v>7</v>
      </c>
      <c r="AA468" s="270">
        <f>_xlfn.IFNA(_xlfn.XLOOKUP(CONCATENATE(AA$4,$C468),Tabella1[CONC X VOTI IN TAB GIOC],Tabella1[Voto],""),"")</f>
        <v>7</v>
      </c>
      <c r="AB468" s="400">
        <f>_xlfn.IFNA(_xlfn.XLOOKUP(CONCATENATE(AB$4,$C468),Tabella1[CONC X VOTI IN TAB GIOC],Tabella1[Voto]),"")</f>
        <v>6.5</v>
      </c>
      <c r="AC468" s="270" cm="1">
        <f t="array" ref="AC468">_xlfn.IFNA(_xlfn.XLOOKUP(CONCATENATE(AC$4,$C468),INDEX(Tabella1[],0,MATCH("CONC X VOTI IN TAB GIOC",Tabella1[#Headers],0)),INDEX(Tabella1[],0,MATCH("Voto",Tabella1[#Headers],0))),"")</f>
        <v>5</v>
      </c>
      <c r="AD468" s="270" t="str">
        <f>_xlfn.IFNA(_xlfn.XLOOKUP(CONCATENATE(AD$4,$C468),Tabella1[CONC X VOTI IN TAB GIOC],Tabella1[Voto]),"")</f>
        <v/>
      </c>
      <c r="AE468" s="270" t="str">
        <f>_xlfn.IFNA(VLOOKUP(CONCATENATE(AE$4,$C468),'INSER DATA'!$A:$F,6,0),"")</f>
        <v/>
      </c>
      <c r="AF468" s="270" t="str">
        <f>_xlfn.IFNA(VLOOKUP(CONCATENATE(AF$4,$C468),'INSER DATA'!$A:$F,6,0),"")</f>
        <v/>
      </c>
      <c r="AG468" s="270" t="str">
        <f>_xlfn.IFNA(VLOOKUP(CONCATENATE(AG$4,$C468),'INSER DATA'!$A:$F,6,0),"")</f>
        <v/>
      </c>
      <c r="AH468" s="270" t="str">
        <f>_xlfn.IFNA(VLOOKUP(CONCATENATE(AH$4,$C468),'INSER DATA'!$A:$F,7,0),"")</f>
        <v/>
      </c>
      <c r="AI468" s="270" t="str">
        <f>_xlfn.IFNA(VLOOKUP(CONCATENATE(AI$4,$C468),'INSER DATA'!$A:$F,7,0),"")</f>
        <v/>
      </c>
      <c r="AJ468" s="270" t="str">
        <f>_xlfn.IFNA(VLOOKUP(CONCATENATE(AJ$4,$C468),'INSER DATA'!$A:$F,7,0),"")</f>
        <v/>
      </c>
      <c r="AK468" s="270" t="str">
        <f>_xlfn.IFNA(VLOOKUP(CONCATENATE(AK$4,$C468),'INSER DATA'!$A:$F,7,0),"")</f>
        <v/>
      </c>
      <c r="AL468" s="270" t="str">
        <f>_xlfn.IFNA(VLOOKUP(CONCATENATE(AL$4,$C468),'INSER DATA'!$A:$F,7,0),"")</f>
        <v/>
      </c>
      <c r="AM468" s="270" t="str">
        <f>_xlfn.IFNA(VLOOKUP(CONCATENATE(AM$4,$C468),'INSER DATA'!$A:$F,7,0),"")</f>
        <v/>
      </c>
      <c r="AN468" s="270" t="str">
        <f>_xlfn.IFNA(VLOOKUP(CONCATENATE(AN$4,$C468),'INSER DATA'!$A:$F,7,0),"")</f>
        <v/>
      </c>
      <c r="AO468" s="270" t="str">
        <f>_xlfn.IFNA(VLOOKUP(CONCATENATE(AO$4,$C468),'INSER DATA'!$A:$F,7,0),"")</f>
        <v/>
      </c>
      <c r="AP468" s="270" t="str">
        <f>_xlfn.IFNA(VLOOKUP(CONCATENATE(AP$4,$C468),'INSER DATA'!$A:$F,7,0),"")</f>
        <v/>
      </c>
      <c r="AQ468" s="270" t="str">
        <f>_xlfn.IFNA(VLOOKUP(CONCATENATE(AQ$4,$C468),'INSER DATA'!$A:$F,7,0),"")</f>
        <v/>
      </c>
      <c r="AR468" s="270" t="str">
        <f>_xlfn.IFNA(VLOOKUP(CONCATENATE(AR$4,$C468),'INSER DATA'!$A:$F,7,0),"")</f>
        <v/>
      </c>
      <c r="AS468" s="270" t="str">
        <f>_xlfn.IFNA(VLOOKUP(CONCATENATE(AS$4,$C468),'INSER DATA'!$A:$F,7,0),"")</f>
        <v/>
      </c>
      <c r="AT468" s="270" t="str">
        <f>_xlfn.IFNA(VLOOKUP(CONCATENATE(AT$4,$C468),'INSER DATA'!$A:$F,7,0),"")</f>
        <v/>
      </c>
      <c r="AU468" s="270" t="str">
        <f>_xlfn.IFNA(VLOOKUP(CONCATENATE(AU$4,$C468),'INSER DATA'!$A:$F,7,0),"")</f>
        <v/>
      </c>
      <c r="AV468" s="270" t="str">
        <f>_xlfn.IFNA(VLOOKUP(CONCATENATE(AV$4,$C468),'INSER DATA'!$A:$F,7,0),"")</f>
        <v/>
      </c>
      <c r="AW468" s="270" t="str">
        <f>_xlfn.IFNA(VLOOKUP(CONCATENATE(AW$4,$C468),'INSER DATA'!$A:$F,7,0),"")</f>
        <v/>
      </c>
      <c r="AX468" s="270" t="str">
        <f>_xlfn.IFNA(VLOOKUP(CONCATENATE(AX$4,$C468),'INSER DATA'!$A:$F,7,0),"")</f>
        <v/>
      </c>
      <c r="AY468" s="270" t="str">
        <f>_xlfn.IFNA(VLOOKUP(CONCATENATE(AY$4,$C468),'INSER DATA'!$A:$F,7,0),"")</f>
        <v/>
      </c>
      <c r="AZ468" s="270" t="str">
        <f>_xlfn.IFNA(VLOOKUP(CONCATENATE(AZ$4,$C468),'INSER DATA'!$A:$F,7,0),"")</f>
        <v/>
      </c>
      <c r="BA468" s="270" t="str">
        <f>_xlfn.IFNA(VLOOKUP(CONCATENATE(BA$4,$C468),'INSER DATA'!$A:$F,7,0),"")</f>
        <v/>
      </c>
      <c r="BB468" s="270" t="str">
        <f>_xlfn.IFNA(VLOOKUP(CONCATENATE(BB$4,$C468),'INSER DATA'!$A:$F,7,0),"")</f>
        <v/>
      </c>
      <c r="BC468" s="270" t="str">
        <f>_xlfn.IFNA(VLOOKUP(CONCATENATE(BC$4,$C468),'INSER DATA'!$A:$F,7,0),"")</f>
        <v/>
      </c>
      <c r="BD468" s="270" t="str">
        <f>_xlfn.IFNA(VLOOKUP(CONCATENATE(BD$4,$C468),'INSER DATA'!$A:$F,7,0),"")</f>
        <v/>
      </c>
      <c r="BE468" s="270" t="str">
        <f>_xlfn.IFNA(VLOOKUP(CONCATENATE(BE$4,$C468),'INSER DATA'!$A:$F,7,0),"")</f>
        <v/>
      </c>
      <c r="BF468" s="270" t="str">
        <f>_xlfn.IFNA(VLOOKUP(CONCATENATE(BF$4,$C468),'INSER DATA'!$A:$F,7,0),"")</f>
        <v/>
      </c>
      <c r="BG468" s="270" t="str">
        <f>_xlfn.IFNA(VLOOKUP(CONCATENATE(BG$4,$C468),'INSER DATA'!$A:$F,7,0),"")</f>
        <v/>
      </c>
      <c r="BH468" s="270" t="str">
        <f>_xlfn.IFNA(VLOOKUP(CONCATENATE(BH$4,$C468),'INSER DATA'!$A:$F,7,0),"")</f>
        <v/>
      </c>
      <c r="BI468" s="270" t="str">
        <f>_xlfn.IFNA(VLOOKUP(CONCATENATE(BI$4,$C468),'INSER DATA'!$A:$F,7,0),"")</f>
        <v/>
      </c>
      <c r="BJ468" s="270" t="str">
        <f>_xlfn.IFNA(VLOOKUP(CONCATENATE(BJ$4,$C468),'INSER DATA'!$A:$F,7,0),"")</f>
        <v/>
      </c>
      <c r="BK468" s="270" t="str">
        <f>_xlfn.IFNA(VLOOKUP(CONCATENATE(BK$4,$C468),'INSER DATA'!$A:$F,7,0),"")</f>
        <v/>
      </c>
      <c r="BL468" s="272"/>
      <c r="BM468" s="30"/>
      <c r="BN468" s="30"/>
      <c r="BO468" s="30"/>
      <c r="BP468" s="30"/>
      <c r="BQ468" s="30"/>
      <c r="BR468" s="30"/>
      <c r="BS468" s="30"/>
      <c r="BT468" s="30"/>
      <c r="BU468" s="30"/>
      <c r="BV468" s="30"/>
      <c r="BW468" s="30"/>
      <c r="BX468" s="30"/>
      <c r="BY468" s="30"/>
      <c r="BZ468" s="30"/>
      <c r="CA468" s="30"/>
      <c r="CB468" s="30"/>
      <c r="CC468" s="30"/>
      <c r="CD468" s="30"/>
      <c r="CE468" s="30"/>
      <c r="CF468" s="30"/>
      <c r="CG468" s="30"/>
      <c r="CH468" s="30"/>
      <c r="CI468" s="30"/>
      <c r="CJ468" s="30"/>
      <c r="CK468" s="30"/>
      <c r="CL468" s="30"/>
      <c r="CM468" s="30"/>
      <c r="CN468" s="30"/>
      <c r="CO468" s="30"/>
      <c r="CP468" s="30"/>
      <c r="CQ468" s="30"/>
      <c r="CR468" s="30"/>
      <c r="CS468" s="30"/>
      <c r="CT468" s="30"/>
      <c r="CU468" s="30"/>
      <c r="CV468" s="30"/>
      <c r="CW468" s="30"/>
      <c r="CX468" s="30"/>
      <c r="CY468" s="30"/>
      <c r="CZ468" s="30"/>
      <c r="DA468" s="30"/>
    </row>
    <row r="469" spans="1:105" ht="19.2" thickTop="1" thickBot="1" x14ac:dyDescent="0.4">
      <c r="A469" s="30"/>
      <c r="B469" s="30"/>
      <c r="C469" s="356" t="s">
        <v>579</v>
      </c>
      <c r="D469" s="355" t="s">
        <v>950</v>
      </c>
      <c r="E469" s="35" t="str">
        <f>_xlfn.XLOOKUP(Tabella4[[#This Row],[NOME]],'ROSE SQUADRE'!$N$3:$N$253,'ROSE SQUADRE'!$O$3:$O$253,"")</f>
        <v>PARTIZAN DEGRADO</v>
      </c>
      <c r="F469" s="36" t="s">
        <v>162</v>
      </c>
      <c r="G469" s="43">
        <v>10</v>
      </c>
      <c r="H469" s="43">
        <v>11</v>
      </c>
      <c r="I469" s="44">
        <f t="shared" si="44"/>
        <v>1</v>
      </c>
      <c r="J469" s="37">
        <f t="shared" si="45"/>
        <v>4</v>
      </c>
      <c r="K469" s="38">
        <f t="shared" si="46"/>
        <v>6.5</v>
      </c>
      <c r="L469" s="38">
        <f t="shared" si="47"/>
        <v>8.5</v>
      </c>
      <c r="M469" s="39">
        <f t="shared" si="48"/>
        <v>34</v>
      </c>
      <c r="N469" s="45">
        <f t="shared" ca="1" si="43"/>
        <v>0</v>
      </c>
      <c r="O469" s="40">
        <f>SUMIF(Tabella1[Nome],Tabella4[[#This Row],[NOME]],Tabella1[Gf])</f>
        <v>2</v>
      </c>
      <c r="P469" s="40">
        <f>-(SUMIF(Tabella1[Nome],Tabella4[[#This Row],[NOME]],Tabella1[Gs]))</f>
        <v>0</v>
      </c>
      <c r="Q469" s="40">
        <f>SUMIF(Tabella1[Nome],Tabella4[[#This Row],[NOME]],Tabella1[Rp])</f>
        <v>0</v>
      </c>
      <c r="R469" s="40">
        <f>SUMIF(Tabella1[Nome],Tabella4[[#This Row],[NOME]],Tabella1[Rs])</f>
        <v>0</v>
      </c>
      <c r="S469" s="40">
        <f>SUMIF(Tabella1[Nome],Tabella4[[#This Row],[NOME]],Tabella1[Rf])</f>
        <v>0</v>
      </c>
      <c r="T469" s="40">
        <f>SUMIF(Tabella1[Nome],Tabella4[[#This Row],[NOME]],Tabella1[Au])</f>
        <v>0</v>
      </c>
      <c r="U469" s="41">
        <f>SUMIF(Tabella1[Nome],Tabella4[[#This Row],[NOME]],Tabella1[Amm])</f>
        <v>0</v>
      </c>
      <c r="V469" s="42">
        <f>SUMIF(Tabella1[Nome],Tabella4[[#This Row],[NOME]],Tabella1[Esp])</f>
        <v>0</v>
      </c>
      <c r="W469" s="40">
        <f>SUMIF(Tabella1[Nome],Tabella4[[#This Row],[NOME]],Tabella1[Ass])</f>
        <v>1</v>
      </c>
      <c r="X469" s="40">
        <f>SUMIF(Tabella1[Nome],Tabella4[[#This Row],[NOME]],Tabella1[Gdv])</f>
        <v>1</v>
      </c>
      <c r="Y469" s="40">
        <f>SUMIF(Tabella1[Nome],Tabella4[[#This Row],[NOME]],Tabella1[cl sh])</f>
        <v>0</v>
      </c>
      <c r="Z469" s="270">
        <f>_xlfn.IFNA(_xlfn.XLOOKUP(CONCATENATE(Z$4,$C469),Tabella1[CONC X VOTI IN TAB GIOC],Tabella1[Voto],""),"")</f>
        <v>6.5</v>
      </c>
      <c r="AA469" s="270">
        <f>_xlfn.IFNA(_xlfn.XLOOKUP(CONCATENATE(AA$4,$C469),Tabella1[CONC X VOTI IN TAB GIOC],Tabella1[Voto],""),"")</f>
        <v>7.5</v>
      </c>
      <c r="AB469" s="270">
        <f>_xlfn.IFNA(_xlfn.XLOOKUP(CONCATENATE(AB$4,$C469),Tabella1[CONC X VOTI IN TAB GIOC],Tabella1[Voto]),"")</f>
        <v>5.5</v>
      </c>
      <c r="AC469" s="270" cm="1">
        <f t="array" ref="AC469">_xlfn.IFNA(_xlfn.XLOOKUP(CONCATENATE(AC$4,$C469),INDEX(Tabella1[],0,MATCH("CONC X VOTI IN TAB GIOC",Tabella1[#Headers],0)),INDEX(Tabella1[],0,MATCH("Voto",Tabella1[#Headers],0))),"")</f>
        <v>6.5</v>
      </c>
      <c r="AD469" s="270" t="str">
        <f>_xlfn.IFNA(_xlfn.XLOOKUP(CONCATENATE(AD$4,$C469),Tabella1[CONC X VOTI IN TAB GIOC],Tabella1[Voto]),"")</f>
        <v/>
      </c>
      <c r="AE469" s="270" t="str">
        <f>_xlfn.IFNA(VLOOKUP(CONCATENATE(AE$4,$C469),'INSER DATA'!$A:$F,6,0),"")</f>
        <v/>
      </c>
      <c r="AF469" s="270" t="str">
        <f>_xlfn.IFNA(VLOOKUP(CONCATENATE(AF$4,$C469),'INSER DATA'!$A:$F,6,0),"")</f>
        <v/>
      </c>
      <c r="AG469" s="270" t="str">
        <f>_xlfn.IFNA(VLOOKUP(CONCATENATE(AG$4,$C469),'INSER DATA'!$A:$F,6,0),"")</f>
        <v/>
      </c>
      <c r="AH469" s="270" t="str">
        <f>_xlfn.IFNA(VLOOKUP(CONCATENATE(AH$4,$C469),'INSER DATA'!$A:$F,7,0),"")</f>
        <v/>
      </c>
      <c r="AI469" s="270" t="str">
        <f>_xlfn.IFNA(VLOOKUP(CONCATENATE(AI$4,$C469),'INSER DATA'!$A:$F,7,0),"")</f>
        <v/>
      </c>
      <c r="AJ469" s="270" t="str">
        <f>_xlfn.IFNA(VLOOKUP(CONCATENATE(AJ$4,$C469),'INSER DATA'!$A:$F,7,0),"")</f>
        <v/>
      </c>
      <c r="AK469" s="270" t="str">
        <f>_xlfn.IFNA(VLOOKUP(CONCATENATE(AK$4,$C469),'INSER DATA'!$A:$F,7,0),"")</f>
        <v/>
      </c>
      <c r="AL469" s="270" t="str">
        <f>_xlfn.IFNA(VLOOKUP(CONCATENATE(AL$4,$C469),'INSER DATA'!$A:$F,7,0),"")</f>
        <v/>
      </c>
      <c r="AM469" s="270" t="str">
        <f>_xlfn.IFNA(VLOOKUP(CONCATENATE(AM$4,$C469),'INSER DATA'!$A:$F,7,0),"")</f>
        <v/>
      </c>
      <c r="AN469" s="270" t="str">
        <f>_xlfn.IFNA(VLOOKUP(CONCATENATE(AN$4,$C469),'INSER DATA'!$A:$F,7,0),"")</f>
        <v/>
      </c>
      <c r="AO469" s="270" t="str">
        <f>_xlfn.IFNA(VLOOKUP(CONCATENATE(AO$4,$C469),'INSER DATA'!$A:$F,7,0),"")</f>
        <v/>
      </c>
      <c r="AP469" s="270" t="str">
        <f>_xlfn.IFNA(VLOOKUP(CONCATENATE(AP$4,$C469),'INSER DATA'!$A:$F,7,0),"")</f>
        <v/>
      </c>
      <c r="AQ469" s="270" t="str">
        <f>_xlfn.IFNA(VLOOKUP(CONCATENATE(AQ$4,$C469),'INSER DATA'!$A:$F,7,0),"")</f>
        <v/>
      </c>
      <c r="AR469" s="270" t="str">
        <f>_xlfn.IFNA(VLOOKUP(CONCATENATE(AR$4,$C469),'INSER DATA'!$A:$F,7,0),"")</f>
        <v/>
      </c>
      <c r="AS469" s="270" t="str">
        <f>_xlfn.IFNA(VLOOKUP(CONCATENATE(AS$4,$C469),'INSER DATA'!$A:$F,7,0),"")</f>
        <v/>
      </c>
      <c r="AT469" s="270" t="str">
        <f>_xlfn.IFNA(VLOOKUP(CONCATENATE(AT$4,$C469),'INSER DATA'!$A:$F,7,0),"")</f>
        <v/>
      </c>
      <c r="AU469" s="270" t="str">
        <f>_xlfn.IFNA(VLOOKUP(CONCATENATE(AU$4,$C469),'INSER DATA'!$A:$F,7,0),"")</f>
        <v/>
      </c>
      <c r="AV469" s="270" t="str">
        <f>_xlfn.IFNA(VLOOKUP(CONCATENATE(AV$4,$C469),'INSER DATA'!$A:$F,7,0),"")</f>
        <v/>
      </c>
      <c r="AW469" s="270" t="str">
        <f>_xlfn.IFNA(VLOOKUP(CONCATENATE(AW$4,$C469),'INSER DATA'!$A:$F,7,0),"")</f>
        <v/>
      </c>
      <c r="AX469" s="270" t="str">
        <f>_xlfn.IFNA(VLOOKUP(CONCATENATE(AX$4,$C469),'INSER DATA'!$A:$F,7,0),"")</f>
        <v/>
      </c>
      <c r="AY469" s="270" t="str">
        <f>_xlfn.IFNA(VLOOKUP(CONCATENATE(AY$4,$C469),'INSER DATA'!$A:$F,7,0),"")</f>
        <v/>
      </c>
      <c r="AZ469" s="270" t="str">
        <f>_xlfn.IFNA(VLOOKUP(CONCATENATE(AZ$4,$C469),'INSER DATA'!$A:$F,7,0),"")</f>
        <v/>
      </c>
      <c r="BA469" s="270" t="str">
        <f>_xlfn.IFNA(VLOOKUP(CONCATENATE(BA$4,$C469),'INSER DATA'!$A:$F,7,0),"")</f>
        <v/>
      </c>
      <c r="BB469" s="270" t="str">
        <f>_xlfn.IFNA(VLOOKUP(CONCATENATE(BB$4,$C469),'INSER DATA'!$A:$F,7,0),"")</f>
        <v/>
      </c>
      <c r="BC469" s="270" t="str">
        <f>_xlfn.IFNA(VLOOKUP(CONCATENATE(BC$4,$C469),'INSER DATA'!$A:$F,7,0),"")</f>
        <v/>
      </c>
      <c r="BD469" s="270" t="str">
        <f>_xlfn.IFNA(VLOOKUP(CONCATENATE(BD$4,$C469),'INSER DATA'!$A:$F,7,0),"")</f>
        <v/>
      </c>
      <c r="BE469" s="270" t="str">
        <f>_xlfn.IFNA(VLOOKUP(CONCATENATE(BE$4,$C469),'INSER DATA'!$A:$F,7,0),"")</f>
        <v/>
      </c>
      <c r="BF469" s="270" t="str">
        <f>_xlfn.IFNA(VLOOKUP(CONCATENATE(BF$4,$C469),'INSER DATA'!$A:$F,7,0),"")</f>
        <v/>
      </c>
      <c r="BG469" s="270" t="str">
        <f>_xlfn.IFNA(VLOOKUP(CONCATENATE(BG$4,$C469),'INSER DATA'!$A:$F,7,0),"")</f>
        <v/>
      </c>
      <c r="BH469" s="270" t="str">
        <f>_xlfn.IFNA(VLOOKUP(CONCATENATE(BH$4,$C469),'INSER DATA'!$A:$F,7,0),"")</f>
        <v/>
      </c>
      <c r="BI469" s="270" t="str">
        <f>_xlfn.IFNA(VLOOKUP(CONCATENATE(BI$4,$C469),'INSER DATA'!$A:$F,7,0),"")</f>
        <v/>
      </c>
      <c r="BJ469" s="270" t="str">
        <f>_xlfn.IFNA(VLOOKUP(CONCATENATE(BJ$4,$C469),'INSER DATA'!$A:$F,7,0),"")</f>
        <v/>
      </c>
      <c r="BK469" s="270" t="str">
        <f>_xlfn.IFNA(VLOOKUP(CONCATENATE(BK$4,$C469),'INSER DATA'!$A:$F,7,0),"")</f>
        <v/>
      </c>
      <c r="BL469" s="272"/>
      <c r="BM469" s="30"/>
      <c r="BN469" s="30"/>
      <c r="BO469" s="30"/>
      <c r="BP469" s="30"/>
      <c r="BQ469" s="30"/>
      <c r="BR469" s="30"/>
      <c r="BS469" s="30"/>
      <c r="BT469" s="30"/>
      <c r="BU469" s="30"/>
      <c r="BV469" s="30"/>
      <c r="BW469" s="30"/>
      <c r="BX469" s="30"/>
      <c r="BY469" s="30"/>
      <c r="BZ469" s="30"/>
      <c r="CA469" s="30"/>
      <c r="CB469" s="30"/>
      <c r="CC469" s="30"/>
      <c r="CD469" s="30"/>
      <c r="CE469" s="30"/>
      <c r="CF469" s="30"/>
      <c r="CG469" s="30"/>
      <c r="CH469" s="30"/>
      <c r="CI469" s="30"/>
      <c r="CJ469" s="30"/>
      <c r="CK469" s="30"/>
      <c r="CL469" s="30"/>
      <c r="CM469" s="30"/>
      <c r="CN469" s="30"/>
      <c r="CO469" s="30"/>
      <c r="CP469" s="30"/>
      <c r="CQ469" s="30"/>
      <c r="CR469" s="30"/>
      <c r="CS469" s="30"/>
      <c r="CT469" s="30"/>
      <c r="CU469" s="30"/>
      <c r="CV469" s="30"/>
      <c r="CW469" s="30"/>
      <c r="CX469" s="30"/>
      <c r="CY469" s="30"/>
      <c r="CZ469" s="30"/>
      <c r="DA469" s="30"/>
    </row>
    <row r="470" spans="1:105" ht="19.2" thickTop="1" thickBot="1" x14ac:dyDescent="0.4">
      <c r="A470" s="30"/>
      <c r="B470" s="30"/>
      <c r="C470" s="188" t="s">
        <v>958</v>
      </c>
      <c r="D470" s="187" t="s">
        <v>950</v>
      </c>
      <c r="E470" s="35" t="str">
        <f>_xlfn.XLOOKUP(Tabella4[[#This Row],[NOME]],'ROSE SQUADRE'!$N$3:$N$253,'ROSE SQUADRE'!$O$3:$O$253,"")</f>
        <v/>
      </c>
      <c r="F470" s="36" t="s">
        <v>161</v>
      </c>
      <c r="G470" s="43">
        <v>2</v>
      </c>
      <c r="H470" s="43">
        <v>3</v>
      </c>
      <c r="I470" s="44">
        <f t="shared" si="44"/>
        <v>1</v>
      </c>
      <c r="J470" s="37">
        <f t="shared" si="45"/>
        <v>1</v>
      </c>
      <c r="K470" s="178">
        <f t="shared" si="46"/>
        <v>6.5</v>
      </c>
      <c r="L470" s="178">
        <f t="shared" si="47"/>
        <v>6.5</v>
      </c>
      <c r="M470" s="179">
        <f t="shared" si="48"/>
        <v>6.5</v>
      </c>
      <c r="N470" s="45">
        <f t="shared" ca="1" si="43"/>
        <v>0</v>
      </c>
      <c r="O470" s="40">
        <f>SUMIF(Tabella1[Nome],Tabella4[[#This Row],[NOME]],Tabella1[Gf])</f>
        <v>0</v>
      </c>
      <c r="P470" s="40">
        <f>-(SUMIF(Tabella1[Nome],Tabella4[[#This Row],[NOME]],Tabella1[Gs]))</f>
        <v>0</v>
      </c>
      <c r="Q470" s="40">
        <f>SUMIF(Tabella1[Nome],Tabella4[[#This Row],[NOME]],Tabella1[Rp])</f>
        <v>0</v>
      </c>
      <c r="R470" s="40">
        <f>SUMIF(Tabella1[Nome],Tabella4[[#This Row],[NOME]],Tabella1[Rs])</f>
        <v>0</v>
      </c>
      <c r="S470" s="40">
        <f>SUMIF(Tabella1[Nome],Tabella4[[#This Row],[NOME]],Tabella1[Rf])</f>
        <v>0</v>
      </c>
      <c r="T470" s="40">
        <f>SUMIF(Tabella1[Nome],Tabella4[[#This Row],[NOME]],Tabella1[Au])</f>
        <v>0</v>
      </c>
      <c r="U470" s="41">
        <f>SUMIF(Tabella1[Nome],Tabella4[[#This Row],[NOME]],Tabella1[Amm])</f>
        <v>0</v>
      </c>
      <c r="V470" s="42">
        <f>SUMIF(Tabella1[Nome],Tabella4[[#This Row],[NOME]],Tabella1[Esp])</f>
        <v>0</v>
      </c>
      <c r="W470" s="40">
        <f>SUMIF(Tabella1[Nome],Tabella4[[#This Row],[NOME]],Tabella1[Ass])</f>
        <v>0</v>
      </c>
      <c r="X470" s="40">
        <f>SUMIF(Tabella1[Nome],Tabella4[[#This Row],[NOME]],Tabella1[Gdv])</f>
        <v>0</v>
      </c>
      <c r="Y470" s="40">
        <f>SUMIF(Tabella1[Nome],Tabella4[[#This Row],[NOME]],Tabella1[cl sh])</f>
        <v>0</v>
      </c>
      <c r="Z470" s="270">
        <f>_xlfn.IFNA(_xlfn.XLOOKUP(CONCATENATE(Z$4,$C470),Tabella1[CONC X VOTI IN TAB GIOC],Tabella1[Voto],""),"")</f>
        <v>6.5</v>
      </c>
      <c r="AA470" s="270" t="str">
        <f>_xlfn.IFNA(_xlfn.XLOOKUP(CONCATENATE(AA$4,$C470),Tabella1[CONC X VOTI IN TAB GIOC],Tabella1[Voto],""),"")</f>
        <v/>
      </c>
      <c r="AB470" s="270" t="str">
        <f>_xlfn.IFNA(_xlfn.XLOOKUP(CONCATENATE(AB$4,$C470),Tabella1[CONC X VOTI IN TAB GIOC],Tabella1[Voto]),"")</f>
        <v/>
      </c>
      <c r="AC470" s="270" t="str" cm="1">
        <f t="array" ref="AC470">_xlfn.IFNA(_xlfn.XLOOKUP(CONCATENATE(AC$4,$C470),INDEX(Tabella1[],0,MATCH("CONC X VOTI IN TAB GIOC",Tabella1[#Headers],0)),INDEX(Tabella1[],0,MATCH("Voto",Tabella1[#Headers],0))),"")</f>
        <v/>
      </c>
      <c r="AD470" s="270" t="str">
        <f>_xlfn.IFNA(_xlfn.XLOOKUP(CONCATENATE(AD$4,$C470),Tabella1[CONC X VOTI IN TAB GIOC],Tabella1[Voto]),"")</f>
        <v/>
      </c>
      <c r="AE470" s="270" t="str">
        <f>_xlfn.IFNA(VLOOKUP(CONCATENATE(AE$4,$C470),'INSER DATA'!$A:$F,6,0),"")</f>
        <v/>
      </c>
      <c r="AF470" s="270" t="str">
        <f>_xlfn.IFNA(VLOOKUP(CONCATENATE(AF$4,$C470),'INSER DATA'!$A:$F,6,0),"")</f>
        <v/>
      </c>
      <c r="AG470" s="270" t="str">
        <f>_xlfn.IFNA(VLOOKUP(CONCATENATE(AG$4,$C470),'INSER DATA'!$A:$F,6,0),"")</f>
        <v/>
      </c>
      <c r="AH470" s="270" t="str">
        <f>_xlfn.IFNA(VLOOKUP(CONCATENATE(AH$4,$C470),'INSER DATA'!$A:$F,7,0),"")</f>
        <v/>
      </c>
      <c r="AI470" s="270" t="str">
        <f>_xlfn.IFNA(VLOOKUP(CONCATENATE(AI$4,$C470),'INSER DATA'!$A:$F,7,0),"")</f>
        <v/>
      </c>
      <c r="AJ470" s="270" t="str">
        <f>_xlfn.IFNA(VLOOKUP(CONCATENATE(AJ$4,$C470),'INSER DATA'!$A:$F,7,0),"")</f>
        <v/>
      </c>
      <c r="AK470" s="270" t="str">
        <f>_xlfn.IFNA(VLOOKUP(CONCATENATE(AK$4,$C470),'INSER DATA'!$A:$F,7,0),"")</f>
        <v/>
      </c>
      <c r="AL470" s="270" t="str">
        <f>_xlfn.IFNA(VLOOKUP(CONCATENATE(AL$4,$C470),'INSER DATA'!$A:$F,7,0),"")</f>
        <v/>
      </c>
      <c r="AM470" s="270" t="str">
        <f>_xlfn.IFNA(VLOOKUP(CONCATENATE(AM$4,$C470),'INSER DATA'!$A:$F,7,0),"")</f>
        <v/>
      </c>
      <c r="AN470" s="270" t="str">
        <f>_xlfn.IFNA(VLOOKUP(CONCATENATE(AN$4,$C470),'INSER DATA'!$A:$F,7,0),"")</f>
        <v/>
      </c>
      <c r="AO470" s="270" t="str">
        <f>_xlfn.IFNA(VLOOKUP(CONCATENATE(AO$4,$C470),'INSER DATA'!$A:$F,7,0),"")</f>
        <v/>
      </c>
      <c r="AP470" s="270" t="str">
        <f>_xlfn.IFNA(VLOOKUP(CONCATENATE(AP$4,$C470),'INSER DATA'!$A:$F,7,0),"")</f>
        <v/>
      </c>
      <c r="AQ470" s="270" t="str">
        <f>_xlfn.IFNA(VLOOKUP(CONCATENATE(AQ$4,$C470),'INSER DATA'!$A:$F,7,0),"")</f>
        <v/>
      </c>
      <c r="AR470" s="270" t="str">
        <f>_xlfn.IFNA(VLOOKUP(CONCATENATE(AR$4,$C470),'INSER DATA'!$A:$F,7,0),"")</f>
        <v/>
      </c>
      <c r="AS470" s="270" t="str">
        <f>_xlfn.IFNA(VLOOKUP(CONCATENATE(AS$4,$C470),'INSER DATA'!$A:$F,7,0),"")</f>
        <v/>
      </c>
      <c r="AT470" s="270" t="str">
        <f>_xlfn.IFNA(VLOOKUP(CONCATENATE(AT$4,$C470),'INSER DATA'!$A:$F,7,0),"")</f>
        <v/>
      </c>
      <c r="AU470" s="270" t="str">
        <f>_xlfn.IFNA(VLOOKUP(CONCATENATE(AU$4,$C470),'INSER DATA'!$A:$F,7,0),"")</f>
        <v/>
      </c>
      <c r="AV470" s="270" t="str">
        <f>_xlfn.IFNA(VLOOKUP(CONCATENATE(AV$4,$C470),'INSER DATA'!$A:$F,7,0),"")</f>
        <v/>
      </c>
      <c r="AW470" s="270" t="str">
        <f>_xlfn.IFNA(VLOOKUP(CONCATENATE(AW$4,$C470),'INSER DATA'!$A:$F,7,0),"")</f>
        <v/>
      </c>
      <c r="AX470" s="270" t="str">
        <f>_xlfn.IFNA(VLOOKUP(CONCATENATE(AX$4,$C470),'INSER DATA'!$A:$F,7,0),"")</f>
        <v/>
      </c>
      <c r="AY470" s="270" t="str">
        <f>_xlfn.IFNA(VLOOKUP(CONCATENATE(AY$4,$C470),'INSER DATA'!$A:$F,7,0),"")</f>
        <v/>
      </c>
      <c r="AZ470" s="270" t="str">
        <f>_xlfn.IFNA(VLOOKUP(CONCATENATE(AZ$4,$C470),'INSER DATA'!$A:$F,7,0),"")</f>
        <v/>
      </c>
      <c r="BA470" s="270" t="str">
        <f>_xlfn.IFNA(VLOOKUP(CONCATENATE(BA$4,$C470),'INSER DATA'!$A:$F,7,0),"")</f>
        <v/>
      </c>
      <c r="BB470" s="270" t="str">
        <f>_xlfn.IFNA(VLOOKUP(CONCATENATE(BB$4,$C470),'INSER DATA'!$A:$F,7,0),"")</f>
        <v/>
      </c>
      <c r="BC470" s="270" t="str">
        <f>_xlfn.IFNA(VLOOKUP(CONCATENATE(BC$4,$C470),'INSER DATA'!$A:$F,7,0),"")</f>
        <v/>
      </c>
      <c r="BD470" s="270" t="str">
        <f>_xlfn.IFNA(VLOOKUP(CONCATENATE(BD$4,$C470),'INSER DATA'!$A:$F,7,0),"")</f>
        <v/>
      </c>
      <c r="BE470" s="270" t="str">
        <f>_xlfn.IFNA(VLOOKUP(CONCATENATE(BE$4,$C470),'INSER DATA'!$A:$F,7,0),"")</f>
        <v/>
      </c>
      <c r="BF470" s="270" t="str">
        <f>_xlfn.IFNA(VLOOKUP(CONCATENATE(BF$4,$C470),'INSER DATA'!$A:$F,7,0),"")</f>
        <v/>
      </c>
      <c r="BG470" s="270" t="str">
        <f>_xlfn.IFNA(VLOOKUP(CONCATENATE(BG$4,$C470),'INSER DATA'!$A:$F,7,0),"")</f>
        <v/>
      </c>
      <c r="BH470" s="270" t="str">
        <f>_xlfn.IFNA(VLOOKUP(CONCATENATE(BH$4,$C470),'INSER DATA'!$A:$F,7,0),"")</f>
        <v/>
      </c>
      <c r="BI470" s="270" t="str">
        <f>_xlfn.IFNA(VLOOKUP(CONCATENATE(BI$4,$C470),'INSER DATA'!$A:$F,7,0),"")</f>
        <v/>
      </c>
      <c r="BJ470" s="270" t="str">
        <f>_xlfn.IFNA(VLOOKUP(CONCATENATE(BJ$4,$C470),'INSER DATA'!$A:$F,7,0),"")</f>
        <v/>
      </c>
      <c r="BK470" s="270" t="str">
        <f>_xlfn.IFNA(VLOOKUP(CONCATENATE(BK$4,$C470),'INSER DATA'!$A:$F,7,0),"")</f>
        <v/>
      </c>
      <c r="BL470" s="272"/>
      <c r="BM470" s="30"/>
      <c r="BN470" s="30"/>
      <c r="BO470" s="30"/>
      <c r="BP470" s="30"/>
      <c r="BQ470" s="30"/>
      <c r="BR470" s="30"/>
      <c r="BS470" s="30"/>
      <c r="BT470" s="30"/>
      <c r="BU470" s="30"/>
      <c r="BV470" s="30"/>
      <c r="BW470" s="30"/>
      <c r="BX470" s="30"/>
      <c r="BY470" s="30"/>
      <c r="BZ470" s="30"/>
      <c r="CA470" s="30"/>
      <c r="CB470" s="30"/>
      <c r="CC470" s="30"/>
      <c r="CD470" s="30"/>
      <c r="CE470" s="30"/>
      <c r="CF470" s="30"/>
      <c r="CG470" s="30"/>
      <c r="CH470" s="30"/>
      <c r="CI470" s="30"/>
      <c r="CJ470" s="30"/>
      <c r="CK470" s="30"/>
      <c r="CL470" s="30"/>
      <c r="CM470" s="30"/>
      <c r="CN470" s="30"/>
      <c r="CO470" s="30"/>
      <c r="CP470" s="30"/>
      <c r="CQ470" s="30"/>
      <c r="CR470" s="30"/>
      <c r="CS470" s="30"/>
      <c r="CT470" s="30"/>
      <c r="CU470" s="30"/>
      <c r="CV470" s="30"/>
      <c r="CW470" s="30"/>
      <c r="CX470" s="30"/>
      <c r="CY470" s="30"/>
      <c r="CZ470" s="30"/>
      <c r="DA470" s="30"/>
    </row>
    <row r="471" spans="1:105" ht="19.2" thickTop="1" thickBot="1" x14ac:dyDescent="0.4">
      <c r="A471" s="30"/>
      <c r="B471" s="30"/>
      <c r="C471" s="354" t="s">
        <v>326</v>
      </c>
      <c r="D471" s="357" t="s">
        <v>950</v>
      </c>
      <c r="E471" s="35" t="str">
        <f>_xlfn.XLOOKUP(Tabella4[[#This Row],[NOME]],'ROSE SQUADRE'!$N$3:$N$253,'ROSE SQUADRE'!$O$3:$O$253,"")</f>
        <v>PARTIZAN DEGRADO</v>
      </c>
      <c r="F471" s="36" t="s">
        <v>161</v>
      </c>
      <c r="G471" s="43">
        <v>8</v>
      </c>
      <c r="H471" s="43">
        <v>8</v>
      </c>
      <c r="I471" s="44">
        <f t="shared" si="44"/>
        <v>0</v>
      </c>
      <c r="J471" s="37">
        <f t="shared" si="45"/>
        <v>4</v>
      </c>
      <c r="K471" s="178">
        <f t="shared" si="46"/>
        <v>5.75</v>
      </c>
      <c r="L471" s="178">
        <f t="shared" si="47"/>
        <v>5.75</v>
      </c>
      <c r="M471" s="179">
        <f t="shared" si="48"/>
        <v>23</v>
      </c>
      <c r="N471" s="45">
        <f t="shared" ca="1" si="43"/>
        <v>0</v>
      </c>
      <c r="O471" s="40">
        <f>SUMIF(Tabella1[Nome],Tabella4[[#This Row],[NOME]],Tabella1[Gf])</f>
        <v>0</v>
      </c>
      <c r="P471" s="40">
        <f>-(SUMIF(Tabella1[Nome],Tabella4[[#This Row],[NOME]],Tabella1[Gs]))</f>
        <v>0</v>
      </c>
      <c r="Q471" s="40">
        <f>SUMIF(Tabella1[Nome],Tabella4[[#This Row],[NOME]],Tabella1[Rp])</f>
        <v>0</v>
      </c>
      <c r="R471" s="40">
        <f>SUMIF(Tabella1[Nome],Tabella4[[#This Row],[NOME]],Tabella1[Rs])</f>
        <v>0</v>
      </c>
      <c r="S471" s="40">
        <f>SUMIF(Tabella1[Nome],Tabella4[[#This Row],[NOME]],Tabella1[Rf])</f>
        <v>0</v>
      </c>
      <c r="T471" s="40">
        <f>SUMIF(Tabella1[Nome],Tabella4[[#This Row],[NOME]],Tabella1[Au])</f>
        <v>0</v>
      </c>
      <c r="U471" s="41">
        <f>SUMIF(Tabella1[Nome],Tabella4[[#This Row],[NOME]],Tabella1[Amm])</f>
        <v>0</v>
      </c>
      <c r="V471" s="42">
        <f>SUMIF(Tabella1[Nome],Tabella4[[#This Row],[NOME]],Tabella1[Esp])</f>
        <v>0</v>
      </c>
      <c r="W471" s="40">
        <f>SUMIF(Tabella1[Nome],Tabella4[[#This Row],[NOME]],Tabella1[Ass])</f>
        <v>0</v>
      </c>
      <c r="X471" s="40">
        <f>SUMIF(Tabella1[Nome],Tabella4[[#This Row],[NOME]],Tabella1[Gdv])</f>
        <v>0</v>
      </c>
      <c r="Y471" s="40">
        <f>SUMIF(Tabella1[Nome],Tabella4[[#This Row],[NOME]],Tabella1[cl sh])</f>
        <v>0</v>
      </c>
      <c r="Z471" s="270">
        <f>_xlfn.IFNA(_xlfn.XLOOKUP(CONCATENATE(Z$4,$C471),Tabella1[CONC X VOTI IN TAB GIOC],Tabella1[Voto],""),"")</f>
        <v>6.5</v>
      </c>
      <c r="AA471" s="270">
        <f>_xlfn.IFNA(_xlfn.XLOOKUP(CONCATENATE(AA$4,$C471),Tabella1[CONC X VOTI IN TAB GIOC],Tabella1[Voto],""),"")</f>
        <v>6.5</v>
      </c>
      <c r="AB471" s="270">
        <f>_xlfn.IFNA(_xlfn.XLOOKUP(CONCATENATE(AB$4,$C471),Tabella1[CONC X VOTI IN TAB GIOC],Tabella1[Voto]),"")</f>
        <v>4.5</v>
      </c>
      <c r="AC471" s="270" cm="1">
        <f t="array" ref="AC471">_xlfn.IFNA(_xlfn.XLOOKUP(CONCATENATE(AC$4,$C471),INDEX(Tabella1[],0,MATCH("CONC X VOTI IN TAB GIOC",Tabella1[#Headers],0)),INDEX(Tabella1[],0,MATCH("Voto",Tabella1[#Headers],0))),"")</f>
        <v>5.5</v>
      </c>
      <c r="AD471" s="270" t="str">
        <f>_xlfn.IFNA(_xlfn.XLOOKUP(CONCATENATE(AD$4,$C471),Tabella1[CONC X VOTI IN TAB GIOC],Tabella1[Voto]),"")</f>
        <v/>
      </c>
      <c r="AE471" s="270" t="str">
        <f>_xlfn.IFNA(VLOOKUP(CONCATENATE(AE$4,$C471),'INSER DATA'!$A:$F,6,0),"")</f>
        <v/>
      </c>
      <c r="AF471" s="270" t="str">
        <f>_xlfn.IFNA(VLOOKUP(CONCATENATE(AF$4,$C471),'INSER DATA'!$A:$F,6,0),"")</f>
        <v/>
      </c>
      <c r="AG471" s="270" t="str">
        <f>_xlfn.IFNA(VLOOKUP(CONCATENATE(AG$4,$C471),'INSER DATA'!$A:$F,6,0),"")</f>
        <v/>
      </c>
      <c r="AH471" s="270" t="str">
        <f>_xlfn.IFNA(VLOOKUP(CONCATENATE(AH$4,$C471),'INSER DATA'!$A:$F,7,0),"")</f>
        <v/>
      </c>
      <c r="AI471" s="270" t="str">
        <f>_xlfn.IFNA(VLOOKUP(CONCATENATE(AI$4,$C471),'INSER DATA'!$A:$F,7,0),"")</f>
        <v/>
      </c>
      <c r="AJ471" s="270" t="str">
        <f>_xlfn.IFNA(VLOOKUP(CONCATENATE(AJ$4,$C471),'INSER DATA'!$A:$F,7,0),"")</f>
        <v/>
      </c>
      <c r="AK471" s="270" t="str">
        <f>_xlfn.IFNA(VLOOKUP(CONCATENATE(AK$4,$C471),'INSER DATA'!$A:$F,7,0),"")</f>
        <v/>
      </c>
      <c r="AL471" s="270" t="str">
        <f>_xlfn.IFNA(VLOOKUP(CONCATENATE(AL$4,$C471),'INSER DATA'!$A:$F,7,0),"")</f>
        <v/>
      </c>
      <c r="AM471" s="270" t="str">
        <f>_xlfn.IFNA(VLOOKUP(CONCATENATE(AM$4,$C471),'INSER DATA'!$A:$F,7,0),"")</f>
        <v/>
      </c>
      <c r="AN471" s="270" t="str">
        <f>_xlfn.IFNA(VLOOKUP(CONCATENATE(AN$4,$C471),'INSER DATA'!$A:$F,7,0),"")</f>
        <v/>
      </c>
      <c r="AO471" s="270" t="str">
        <f>_xlfn.IFNA(VLOOKUP(CONCATENATE(AO$4,$C471),'INSER DATA'!$A:$F,7,0),"")</f>
        <v/>
      </c>
      <c r="AP471" s="270" t="str">
        <f>_xlfn.IFNA(VLOOKUP(CONCATENATE(AP$4,$C471),'INSER DATA'!$A:$F,7,0),"")</f>
        <v/>
      </c>
      <c r="AQ471" s="270" t="str">
        <f>_xlfn.IFNA(VLOOKUP(CONCATENATE(AQ$4,$C471),'INSER DATA'!$A:$F,7,0),"")</f>
        <v/>
      </c>
      <c r="AR471" s="270" t="str">
        <f>_xlfn.IFNA(VLOOKUP(CONCATENATE(AR$4,$C471),'INSER DATA'!$A:$F,7,0),"")</f>
        <v/>
      </c>
      <c r="AS471" s="270" t="str">
        <f>_xlfn.IFNA(VLOOKUP(CONCATENATE(AS$4,$C471),'INSER DATA'!$A:$F,7,0),"")</f>
        <v/>
      </c>
      <c r="AT471" s="270" t="str">
        <f>_xlfn.IFNA(VLOOKUP(CONCATENATE(AT$4,$C471),'INSER DATA'!$A:$F,7,0),"")</f>
        <v/>
      </c>
      <c r="AU471" s="270" t="str">
        <f>_xlfn.IFNA(VLOOKUP(CONCATENATE(AU$4,$C471),'INSER DATA'!$A:$F,7,0),"")</f>
        <v/>
      </c>
      <c r="AV471" s="270" t="str">
        <f>_xlfn.IFNA(VLOOKUP(CONCATENATE(AV$4,$C471),'INSER DATA'!$A:$F,7,0),"")</f>
        <v/>
      </c>
      <c r="AW471" s="270" t="str">
        <f>_xlfn.IFNA(VLOOKUP(CONCATENATE(AW$4,$C471),'INSER DATA'!$A:$F,7,0),"")</f>
        <v/>
      </c>
      <c r="AX471" s="270" t="str">
        <f>_xlfn.IFNA(VLOOKUP(CONCATENATE(AX$4,$C471),'INSER DATA'!$A:$F,7,0),"")</f>
        <v/>
      </c>
      <c r="AY471" s="270" t="str">
        <f>_xlfn.IFNA(VLOOKUP(CONCATENATE(AY$4,$C471),'INSER DATA'!$A:$F,7,0),"")</f>
        <v/>
      </c>
      <c r="AZ471" s="270" t="str">
        <f>_xlfn.IFNA(VLOOKUP(CONCATENATE(AZ$4,$C471),'INSER DATA'!$A:$F,7,0),"")</f>
        <v/>
      </c>
      <c r="BA471" s="270" t="str">
        <f>_xlfn.IFNA(VLOOKUP(CONCATENATE(BA$4,$C471),'INSER DATA'!$A:$F,7,0),"")</f>
        <v/>
      </c>
      <c r="BB471" s="270" t="str">
        <f>_xlfn.IFNA(VLOOKUP(CONCATENATE(BB$4,$C471),'INSER DATA'!$A:$F,7,0),"")</f>
        <v/>
      </c>
      <c r="BC471" s="270" t="str">
        <f>_xlfn.IFNA(VLOOKUP(CONCATENATE(BC$4,$C471),'INSER DATA'!$A:$F,7,0),"")</f>
        <v/>
      </c>
      <c r="BD471" s="270" t="str">
        <f>_xlfn.IFNA(VLOOKUP(CONCATENATE(BD$4,$C471),'INSER DATA'!$A:$F,7,0),"")</f>
        <v/>
      </c>
      <c r="BE471" s="270" t="str">
        <f>_xlfn.IFNA(VLOOKUP(CONCATENATE(BE$4,$C471),'INSER DATA'!$A:$F,7,0),"")</f>
        <v/>
      </c>
      <c r="BF471" s="270" t="str">
        <f>_xlfn.IFNA(VLOOKUP(CONCATENATE(BF$4,$C471),'INSER DATA'!$A:$F,7,0),"")</f>
        <v/>
      </c>
      <c r="BG471" s="270" t="str">
        <f>_xlfn.IFNA(VLOOKUP(CONCATENATE(BG$4,$C471),'INSER DATA'!$A:$F,7,0),"")</f>
        <v/>
      </c>
      <c r="BH471" s="270" t="str">
        <f>_xlfn.IFNA(VLOOKUP(CONCATENATE(BH$4,$C471),'INSER DATA'!$A:$F,7,0),"")</f>
        <v/>
      </c>
      <c r="BI471" s="270" t="str">
        <f>_xlfn.IFNA(VLOOKUP(CONCATENATE(BI$4,$C471),'INSER DATA'!$A:$F,7,0),"")</f>
        <v/>
      </c>
      <c r="BJ471" s="270" t="str">
        <f>_xlfn.IFNA(VLOOKUP(CONCATENATE(BJ$4,$C471),'INSER DATA'!$A:$F,7,0),"")</f>
        <v/>
      </c>
      <c r="BK471" s="270" t="str">
        <f>_xlfn.IFNA(VLOOKUP(CONCATENATE(BK$4,$C471),'INSER DATA'!$A:$F,7,0),"")</f>
        <v/>
      </c>
      <c r="BL471" s="272"/>
      <c r="BM471" s="30"/>
      <c r="BN471" s="30"/>
      <c r="BO471" s="30"/>
      <c r="BP471" s="30"/>
      <c r="BQ471" s="30"/>
      <c r="BR471" s="30"/>
      <c r="BS471" s="30"/>
      <c r="BT471" s="30"/>
      <c r="BU471" s="30"/>
      <c r="BV471" s="30"/>
      <c r="BW471" s="30"/>
      <c r="BX471" s="30"/>
      <c r="BY471" s="30"/>
      <c r="BZ471" s="30"/>
      <c r="CA471" s="30"/>
      <c r="CB471" s="30"/>
      <c r="CC471" s="30"/>
      <c r="CD471" s="30"/>
      <c r="CE471" s="30"/>
      <c r="CF471" s="30"/>
      <c r="CG471" s="30"/>
      <c r="CH471" s="30"/>
      <c r="CI471" s="30"/>
      <c r="CJ471" s="30"/>
      <c r="CK471" s="30"/>
      <c r="CL471" s="30"/>
      <c r="CM471" s="30"/>
      <c r="CN471" s="30"/>
      <c r="CO471" s="30"/>
      <c r="CP471" s="30"/>
      <c r="CQ471" s="30"/>
      <c r="CR471" s="30"/>
      <c r="CS471" s="30"/>
      <c r="CT471" s="30"/>
      <c r="CU471" s="30"/>
      <c r="CV471" s="30"/>
      <c r="CW471" s="30"/>
      <c r="CX471" s="30"/>
      <c r="CY471" s="30"/>
      <c r="CZ471" s="30"/>
      <c r="DA471" s="30"/>
    </row>
    <row r="472" spans="1:105" ht="19.2" thickTop="1" thickBot="1" x14ac:dyDescent="0.4">
      <c r="A472" s="30"/>
      <c r="B472" s="30"/>
      <c r="C472" s="356" t="s">
        <v>578</v>
      </c>
      <c r="D472" s="355" t="s">
        <v>950</v>
      </c>
      <c r="E472" s="35" t="str">
        <f>_xlfn.XLOOKUP(Tabella4[[#This Row],[NOME]],'ROSE SQUADRE'!$N$3:$N$253,'ROSE SQUADRE'!$O$3:$O$253,"")</f>
        <v>SHARK</v>
      </c>
      <c r="F472" s="36" t="s">
        <v>162</v>
      </c>
      <c r="G472" s="43">
        <v>6</v>
      </c>
      <c r="H472" s="43">
        <v>7</v>
      </c>
      <c r="I472" s="44">
        <f t="shared" si="44"/>
        <v>1</v>
      </c>
      <c r="J472" s="37">
        <f t="shared" si="45"/>
        <v>4</v>
      </c>
      <c r="K472" s="178">
        <f t="shared" si="46"/>
        <v>6.25</v>
      </c>
      <c r="L472" s="178">
        <f t="shared" si="47"/>
        <v>6.875</v>
      </c>
      <c r="M472" s="179">
        <f t="shared" si="48"/>
        <v>27.5</v>
      </c>
      <c r="N472" s="45">
        <f t="shared" ca="1" si="43"/>
        <v>0</v>
      </c>
      <c r="O472" s="40">
        <f>SUMIF(Tabella1[Nome],Tabella4[[#This Row],[NOME]],Tabella1[Gf])</f>
        <v>1</v>
      </c>
      <c r="P472" s="40">
        <f>-(SUMIF(Tabella1[Nome],Tabella4[[#This Row],[NOME]],Tabella1[Gs]))</f>
        <v>0</v>
      </c>
      <c r="Q472" s="40">
        <f>SUMIF(Tabella1[Nome],Tabella4[[#This Row],[NOME]],Tabella1[Rp])</f>
        <v>0</v>
      </c>
      <c r="R472" s="40">
        <f>SUMIF(Tabella1[Nome],Tabella4[[#This Row],[NOME]],Tabella1[Rs])</f>
        <v>0</v>
      </c>
      <c r="S472" s="40">
        <f>SUMIF(Tabella1[Nome],Tabella4[[#This Row],[NOME]],Tabella1[Rf])</f>
        <v>0</v>
      </c>
      <c r="T472" s="40">
        <f>SUMIF(Tabella1[Nome],Tabella4[[#This Row],[NOME]],Tabella1[Au])</f>
        <v>0</v>
      </c>
      <c r="U472" s="41">
        <f>SUMIF(Tabella1[Nome],Tabella4[[#This Row],[NOME]],Tabella1[Amm])</f>
        <v>1</v>
      </c>
      <c r="V472" s="42">
        <f>SUMIF(Tabella1[Nome],Tabella4[[#This Row],[NOME]],Tabella1[Esp])</f>
        <v>0</v>
      </c>
      <c r="W472" s="40">
        <f>SUMIF(Tabella1[Nome],Tabella4[[#This Row],[NOME]],Tabella1[Ass])</f>
        <v>0</v>
      </c>
      <c r="X472" s="40">
        <f>SUMIF(Tabella1[Nome],Tabella4[[#This Row],[NOME]],Tabella1[Gdv])</f>
        <v>0</v>
      </c>
      <c r="Y472" s="40">
        <f>SUMIF(Tabella1[Nome],Tabella4[[#This Row],[NOME]],Tabella1[cl sh])</f>
        <v>0</v>
      </c>
      <c r="Z472" s="270">
        <f>_xlfn.IFNA(_xlfn.XLOOKUP(CONCATENATE(Z$4,$C472),Tabella1[CONC X VOTI IN TAB GIOC],Tabella1[Voto],""),"")</f>
        <v>6.5</v>
      </c>
      <c r="AA472" s="270">
        <f>_xlfn.IFNA(_xlfn.XLOOKUP(CONCATENATE(AA$4,$C472),Tabella1[CONC X VOTI IN TAB GIOC],Tabella1[Voto],""),"")</f>
        <v>6.5</v>
      </c>
      <c r="AB472" s="270">
        <f>_xlfn.IFNA(_xlfn.XLOOKUP(CONCATENATE(AB$4,$C472),Tabella1[CONC X VOTI IN TAB GIOC],Tabella1[Voto]),"")</f>
        <v>7</v>
      </c>
      <c r="AC472" s="270" cm="1">
        <f t="array" ref="AC472">_xlfn.IFNA(_xlfn.XLOOKUP(CONCATENATE(AC$4,$C472),INDEX(Tabella1[],0,MATCH("CONC X VOTI IN TAB GIOC",Tabella1[#Headers],0)),INDEX(Tabella1[],0,MATCH("Voto",Tabella1[#Headers],0))),"")</f>
        <v>5</v>
      </c>
      <c r="AD472" s="270" t="str">
        <f>_xlfn.IFNA(_xlfn.XLOOKUP(CONCATENATE(AD$4,$C472),Tabella1[CONC X VOTI IN TAB GIOC],Tabella1[Voto]),"")</f>
        <v/>
      </c>
      <c r="AE472" s="270" t="str">
        <f>_xlfn.IFNA(VLOOKUP(CONCATENATE(AE$4,$C472),'INSER DATA'!$A:$F,6,0),"")</f>
        <v/>
      </c>
      <c r="AF472" s="270" t="str">
        <f>_xlfn.IFNA(VLOOKUP(CONCATENATE(AF$4,$C472),'INSER DATA'!$A:$F,6,0),"")</f>
        <v/>
      </c>
      <c r="AG472" s="270" t="str">
        <f>_xlfn.IFNA(VLOOKUP(CONCATENATE(AG$4,$C472),'INSER DATA'!$A:$F,6,0),"")</f>
        <v/>
      </c>
      <c r="AH472" s="270" t="str">
        <f>_xlfn.IFNA(VLOOKUP(CONCATENATE(AH$4,$C472),'INSER DATA'!$A:$F,7,0),"")</f>
        <v/>
      </c>
      <c r="AI472" s="270" t="str">
        <f>_xlfn.IFNA(VLOOKUP(CONCATENATE(AI$4,$C472),'INSER DATA'!$A:$F,7,0),"")</f>
        <v/>
      </c>
      <c r="AJ472" s="270" t="str">
        <f>_xlfn.IFNA(VLOOKUP(CONCATENATE(AJ$4,$C472),'INSER DATA'!$A:$F,7,0),"")</f>
        <v/>
      </c>
      <c r="AK472" s="270" t="str">
        <f>_xlfn.IFNA(VLOOKUP(CONCATENATE(AK$4,$C472),'INSER DATA'!$A:$F,7,0),"")</f>
        <v/>
      </c>
      <c r="AL472" s="270" t="str">
        <f>_xlfn.IFNA(VLOOKUP(CONCATENATE(AL$4,$C472),'INSER DATA'!$A:$F,7,0),"")</f>
        <v/>
      </c>
      <c r="AM472" s="270" t="str">
        <f>_xlfn.IFNA(VLOOKUP(CONCATENATE(AM$4,$C472),'INSER DATA'!$A:$F,7,0),"")</f>
        <v/>
      </c>
      <c r="AN472" s="270" t="str">
        <f>_xlfn.IFNA(VLOOKUP(CONCATENATE(AN$4,$C472),'INSER DATA'!$A:$F,7,0),"")</f>
        <v/>
      </c>
      <c r="AO472" s="270" t="str">
        <f>_xlfn.IFNA(VLOOKUP(CONCATENATE(AO$4,$C472),'INSER DATA'!$A:$F,7,0),"")</f>
        <v/>
      </c>
      <c r="AP472" s="270" t="str">
        <f>_xlfn.IFNA(VLOOKUP(CONCATENATE(AP$4,$C472),'INSER DATA'!$A:$F,7,0),"")</f>
        <v/>
      </c>
      <c r="AQ472" s="270" t="str">
        <f>_xlfn.IFNA(VLOOKUP(CONCATENATE(AQ$4,$C472),'INSER DATA'!$A:$F,7,0),"")</f>
        <v/>
      </c>
      <c r="AR472" s="270" t="str">
        <f>_xlfn.IFNA(VLOOKUP(CONCATENATE(AR$4,$C472),'INSER DATA'!$A:$F,7,0),"")</f>
        <v/>
      </c>
      <c r="AS472" s="270" t="str">
        <f>_xlfn.IFNA(VLOOKUP(CONCATENATE(AS$4,$C472),'INSER DATA'!$A:$F,7,0),"")</f>
        <v/>
      </c>
      <c r="AT472" s="270" t="str">
        <f>_xlfn.IFNA(VLOOKUP(CONCATENATE(AT$4,$C472),'INSER DATA'!$A:$F,7,0),"")</f>
        <v/>
      </c>
      <c r="AU472" s="270" t="str">
        <f>_xlfn.IFNA(VLOOKUP(CONCATENATE(AU$4,$C472),'INSER DATA'!$A:$F,7,0),"")</f>
        <v/>
      </c>
      <c r="AV472" s="270" t="str">
        <f>_xlfn.IFNA(VLOOKUP(CONCATENATE(AV$4,$C472),'INSER DATA'!$A:$F,7,0),"")</f>
        <v/>
      </c>
      <c r="AW472" s="270" t="str">
        <f>_xlfn.IFNA(VLOOKUP(CONCATENATE(AW$4,$C472),'INSER DATA'!$A:$F,7,0),"")</f>
        <v/>
      </c>
      <c r="AX472" s="270" t="str">
        <f>_xlfn.IFNA(VLOOKUP(CONCATENATE(AX$4,$C472),'INSER DATA'!$A:$F,7,0),"")</f>
        <v/>
      </c>
      <c r="AY472" s="270" t="str">
        <f>_xlfn.IFNA(VLOOKUP(CONCATENATE(AY$4,$C472),'INSER DATA'!$A:$F,7,0),"")</f>
        <v/>
      </c>
      <c r="AZ472" s="270" t="str">
        <f>_xlfn.IFNA(VLOOKUP(CONCATENATE(AZ$4,$C472),'INSER DATA'!$A:$F,7,0),"")</f>
        <v/>
      </c>
      <c r="BA472" s="270" t="str">
        <f>_xlfn.IFNA(VLOOKUP(CONCATENATE(BA$4,$C472),'INSER DATA'!$A:$F,7,0),"")</f>
        <v/>
      </c>
      <c r="BB472" s="270" t="str">
        <f>_xlfn.IFNA(VLOOKUP(CONCATENATE(BB$4,$C472),'INSER DATA'!$A:$F,7,0),"")</f>
        <v/>
      </c>
      <c r="BC472" s="270" t="str">
        <f>_xlfn.IFNA(VLOOKUP(CONCATENATE(BC$4,$C472),'INSER DATA'!$A:$F,7,0),"")</f>
        <v/>
      </c>
      <c r="BD472" s="270" t="str">
        <f>_xlfn.IFNA(VLOOKUP(CONCATENATE(BD$4,$C472),'INSER DATA'!$A:$F,7,0),"")</f>
        <v/>
      </c>
      <c r="BE472" s="270" t="str">
        <f>_xlfn.IFNA(VLOOKUP(CONCATENATE(BE$4,$C472),'INSER DATA'!$A:$F,7,0),"")</f>
        <v/>
      </c>
      <c r="BF472" s="270" t="str">
        <f>_xlfn.IFNA(VLOOKUP(CONCATENATE(BF$4,$C472),'INSER DATA'!$A:$F,7,0),"")</f>
        <v/>
      </c>
      <c r="BG472" s="270" t="str">
        <f>_xlfn.IFNA(VLOOKUP(CONCATENATE(BG$4,$C472),'INSER DATA'!$A:$F,7,0),"")</f>
        <v/>
      </c>
      <c r="BH472" s="270" t="str">
        <f>_xlfn.IFNA(VLOOKUP(CONCATENATE(BH$4,$C472),'INSER DATA'!$A:$F,7,0),"")</f>
        <v/>
      </c>
      <c r="BI472" s="270" t="str">
        <f>_xlfn.IFNA(VLOOKUP(CONCATENATE(BI$4,$C472),'INSER DATA'!$A:$F,7,0),"")</f>
        <v/>
      </c>
      <c r="BJ472" s="270" t="str">
        <f>_xlfn.IFNA(VLOOKUP(CONCATENATE(BJ$4,$C472),'INSER DATA'!$A:$F,7,0),"")</f>
        <v/>
      </c>
      <c r="BK472" s="270" t="str">
        <f>_xlfn.IFNA(VLOOKUP(CONCATENATE(BK$4,$C472),'INSER DATA'!$A:$F,7,0),"")</f>
        <v/>
      </c>
      <c r="BL472" s="272"/>
      <c r="BM472" s="30"/>
      <c r="BN472" s="30"/>
      <c r="BO472" s="30"/>
      <c r="BP472" s="30"/>
      <c r="BQ472" s="30"/>
      <c r="BR472" s="30"/>
      <c r="BS472" s="30"/>
      <c r="BT472" s="30"/>
      <c r="BU472" s="30"/>
      <c r="BV472" s="30"/>
      <c r="BW472" s="30"/>
      <c r="BX472" s="30"/>
      <c r="BY472" s="30"/>
      <c r="BZ472" s="30"/>
      <c r="CA472" s="30"/>
      <c r="CB472" s="30"/>
      <c r="CC472" s="30"/>
      <c r="CD472" s="30"/>
      <c r="CE472" s="30"/>
      <c r="CF472" s="30"/>
      <c r="CG472" s="30"/>
      <c r="CH472" s="30"/>
      <c r="CI472" s="30"/>
      <c r="CJ472" s="30"/>
      <c r="CK472" s="30"/>
      <c r="CL472" s="30"/>
      <c r="CM472" s="30"/>
      <c r="CN472" s="30"/>
      <c r="CO472" s="30"/>
      <c r="CP472" s="30"/>
      <c r="CQ472" s="30"/>
      <c r="CR472" s="30"/>
      <c r="CS472" s="30"/>
      <c r="CT472" s="30"/>
      <c r="CU472" s="30"/>
      <c r="CV472" s="30"/>
      <c r="CW472" s="30"/>
      <c r="CX472" s="30"/>
      <c r="CY472" s="30"/>
      <c r="CZ472" s="30"/>
      <c r="DA472" s="30"/>
    </row>
    <row r="473" spans="1:105" ht="19.2" thickTop="1" thickBot="1" x14ac:dyDescent="0.4">
      <c r="A473" s="30"/>
      <c r="B473" s="30"/>
      <c r="C473" s="354" t="s">
        <v>605</v>
      </c>
      <c r="D473" s="357" t="s">
        <v>950</v>
      </c>
      <c r="E473" s="35" t="str">
        <f>_xlfn.XLOOKUP(Tabella4[[#This Row],[NOME]],'ROSE SQUADRE'!$N$3:$N$253,'ROSE SQUADRE'!$O$3:$O$253,"")</f>
        <v>SAN GRIA</v>
      </c>
      <c r="F473" s="36" t="s">
        <v>162</v>
      </c>
      <c r="G473" s="43">
        <v>18</v>
      </c>
      <c r="H473" s="43">
        <v>18</v>
      </c>
      <c r="I473" s="44">
        <f t="shared" si="44"/>
        <v>0</v>
      </c>
      <c r="J473" s="37">
        <f t="shared" si="45"/>
        <v>1</v>
      </c>
      <c r="K473" s="38">
        <f t="shared" si="46"/>
        <v>6.5</v>
      </c>
      <c r="L473" s="38">
        <f t="shared" si="47"/>
        <v>6.5</v>
      </c>
      <c r="M473" s="39">
        <f t="shared" si="48"/>
        <v>6.5</v>
      </c>
      <c r="N473" s="45">
        <f t="shared" ca="1" si="43"/>
        <v>0</v>
      </c>
      <c r="O473" s="40">
        <f>SUMIF(Tabella1[Nome],Tabella4[[#This Row],[NOME]],Tabella1[Gf])</f>
        <v>0</v>
      </c>
      <c r="P473" s="40">
        <f>-(SUMIF(Tabella1[Nome],Tabella4[[#This Row],[NOME]],Tabella1[Gs]))</f>
        <v>0</v>
      </c>
      <c r="Q473" s="40">
        <f>SUMIF(Tabella1[Nome],Tabella4[[#This Row],[NOME]],Tabella1[Rp])</f>
        <v>0</v>
      </c>
      <c r="R473" s="40">
        <f>SUMIF(Tabella1[Nome],Tabella4[[#This Row],[NOME]],Tabella1[Rs])</f>
        <v>0</v>
      </c>
      <c r="S473" s="40">
        <f>SUMIF(Tabella1[Nome],Tabella4[[#This Row],[NOME]],Tabella1[Rf])</f>
        <v>0</v>
      </c>
      <c r="T473" s="40">
        <f>SUMIF(Tabella1[Nome],Tabella4[[#This Row],[NOME]],Tabella1[Au])</f>
        <v>0</v>
      </c>
      <c r="U473" s="41">
        <f>SUMIF(Tabella1[Nome],Tabella4[[#This Row],[NOME]],Tabella1[Amm])</f>
        <v>0</v>
      </c>
      <c r="V473" s="42">
        <f>SUMIF(Tabella1[Nome],Tabella4[[#This Row],[NOME]],Tabella1[Esp])</f>
        <v>0</v>
      </c>
      <c r="W473" s="40">
        <f>SUMIF(Tabella1[Nome],Tabella4[[#This Row],[NOME]],Tabella1[Ass])</f>
        <v>0</v>
      </c>
      <c r="X473" s="40">
        <f>SUMIF(Tabella1[Nome],Tabella4[[#This Row],[NOME]],Tabella1[Gdv])</f>
        <v>0</v>
      </c>
      <c r="Y473" s="40">
        <f>SUMIF(Tabella1[Nome],Tabella4[[#This Row],[NOME]],Tabella1[cl sh])</f>
        <v>0</v>
      </c>
      <c r="Z473" s="270">
        <f>_xlfn.IFNA(_xlfn.XLOOKUP(CONCATENATE(Z$4,$C473),Tabella1[CONC X VOTI IN TAB GIOC],Tabella1[Voto],""),"")</f>
        <v>6.5</v>
      </c>
      <c r="AA473" s="270" t="str">
        <f>_xlfn.IFNA(_xlfn.XLOOKUP(CONCATENATE(AA$4,$C473),Tabella1[CONC X VOTI IN TAB GIOC],Tabella1[Voto],""),"")</f>
        <v/>
      </c>
      <c r="AB473" s="270" t="str">
        <f>_xlfn.IFNA(_xlfn.XLOOKUP(CONCATENATE(AB$4,$C473),Tabella1[CONC X VOTI IN TAB GIOC],Tabella1[Voto]),"")</f>
        <v/>
      </c>
      <c r="AC473" s="270" t="str" cm="1">
        <f t="array" ref="AC473">_xlfn.IFNA(_xlfn.XLOOKUP(CONCATENATE(AC$4,$C473),INDEX(Tabella1[],0,MATCH("CONC X VOTI IN TAB GIOC",Tabella1[#Headers],0)),INDEX(Tabella1[],0,MATCH("Voto",Tabella1[#Headers],0))),"")</f>
        <v/>
      </c>
      <c r="AD473" s="270" t="str">
        <f>_xlfn.IFNA(_xlfn.XLOOKUP(CONCATENATE(AD$4,$C473),Tabella1[CONC X VOTI IN TAB GIOC],Tabella1[Voto]),"")</f>
        <v/>
      </c>
      <c r="AE473" s="270" t="str">
        <f>_xlfn.IFNA(VLOOKUP(CONCATENATE(AE$4,$C473),'INSER DATA'!$A:$F,6,0),"")</f>
        <v/>
      </c>
      <c r="AF473" s="270" t="str">
        <f>_xlfn.IFNA(VLOOKUP(CONCATENATE(AF$4,$C473),'INSER DATA'!$A:$F,6,0),"")</f>
        <v/>
      </c>
      <c r="AG473" s="270" t="str">
        <f>_xlfn.IFNA(VLOOKUP(CONCATENATE(AG$4,$C473),'INSER DATA'!$A:$F,6,0),"")</f>
        <v/>
      </c>
      <c r="AH473" s="270" t="str">
        <f>_xlfn.IFNA(VLOOKUP(CONCATENATE(AH$4,$C473),'INSER DATA'!$A:$F,7,0),"")</f>
        <v/>
      </c>
      <c r="AI473" s="270" t="str">
        <f>_xlfn.IFNA(VLOOKUP(CONCATENATE(AI$4,$C473),'INSER DATA'!$A:$F,7,0),"")</f>
        <v/>
      </c>
      <c r="AJ473" s="270" t="str">
        <f>_xlfn.IFNA(VLOOKUP(CONCATENATE(AJ$4,$C473),'INSER DATA'!$A:$F,7,0),"")</f>
        <v/>
      </c>
      <c r="AK473" s="270" t="str">
        <f>_xlfn.IFNA(VLOOKUP(CONCATENATE(AK$4,$C473),'INSER DATA'!$A:$F,7,0),"")</f>
        <v/>
      </c>
      <c r="AL473" s="270" t="str">
        <f>_xlfn.IFNA(VLOOKUP(CONCATENATE(AL$4,$C473),'INSER DATA'!$A:$F,7,0),"")</f>
        <v/>
      </c>
      <c r="AM473" s="270" t="str">
        <f>_xlfn.IFNA(VLOOKUP(CONCATENATE(AM$4,$C473),'INSER DATA'!$A:$F,7,0),"")</f>
        <v/>
      </c>
      <c r="AN473" s="270" t="str">
        <f>_xlfn.IFNA(VLOOKUP(CONCATENATE(AN$4,$C473),'INSER DATA'!$A:$F,7,0),"")</f>
        <v/>
      </c>
      <c r="AO473" s="270" t="str">
        <f>_xlfn.IFNA(VLOOKUP(CONCATENATE(AO$4,$C473),'INSER DATA'!$A:$F,7,0),"")</f>
        <v/>
      </c>
      <c r="AP473" s="270" t="str">
        <f>_xlfn.IFNA(VLOOKUP(CONCATENATE(AP$4,$C473),'INSER DATA'!$A:$F,7,0),"")</f>
        <v/>
      </c>
      <c r="AQ473" s="270" t="str">
        <f>_xlfn.IFNA(VLOOKUP(CONCATENATE(AQ$4,$C473),'INSER DATA'!$A:$F,7,0),"")</f>
        <v/>
      </c>
      <c r="AR473" s="270" t="str">
        <f>_xlfn.IFNA(VLOOKUP(CONCATENATE(AR$4,$C473),'INSER DATA'!$A:$F,7,0),"")</f>
        <v/>
      </c>
      <c r="AS473" s="270" t="str">
        <f>_xlfn.IFNA(VLOOKUP(CONCATENATE(AS$4,$C473),'INSER DATA'!$A:$F,7,0),"")</f>
        <v/>
      </c>
      <c r="AT473" s="270" t="str">
        <f>_xlfn.IFNA(VLOOKUP(CONCATENATE(AT$4,$C473),'INSER DATA'!$A:$F,7,0),"")</f>
        <v/>
      </c>
      <c r="AU473" s="270" t="str">
        <f>_xlfn.IFNA(VLOOKUP(CONCATENATE(AU$4,$C473),'INSER DATA'!$A:$F,7,0),"")</f>
        <v/>
      </c>
      <c r="AV473" s="270" t="str">
        <f>_xlfn.IFNA(VLOOKUP(CONCATENATE(AV$4,$C473),'INSER DATA'!$A:$F,7,0),"")</f>
        <v/>
      </c>
      <c r="AW473" s="270" t="str">
        <f>_xlfn.IFNA(VLOOKUP(CONCATENATE(AW$4,$C473),'INSER DATA'!$A:$F,7,0),"")</f>
        <v/>
      </c>
      <c r="AX473" s="270" t="str">
        <f>_xlfn.IFNA(VLOOKUP(CONCATENATE(AX$4,$C473),'INSER DATA'!$A:$F,7,0),"")</f>
        <v/>
      </c>
      <c r="AY473" s="270" t="str">
        <f>_xlfn.IFNA(VLOOKUP(CONCATENATE(AY$4,$C473),'INSER DATA'!$A:$F,7,0),"")</f>
        <v/>
      </c>
      <c r="AZ473" s="270" t="str">
        <f>_xlfn.IFNA(VLOOKUP(CONCATENATE(AZ$4,$C473),'INSER DATA'!$A:$F,7,0),"")</f>
        <v/>
      </c>
      <c r="BA473" s="270" t="str">
        <f>_xlfn.IFNA(VLOOKUP(CONCATENATE(BA$4,$C473),'INSER DATA'!$A:$F,7,0),"")</f>
        <v/>
      </c>
      <c r="BB473" s="270" t="str">
        <f>_xlfn.IFNA(VLOOKUP(CONCATENATE(BB$4,$C473),'INSER DATA'!$A:$F,7,0),"")</f>
        <v/>
      </c>
      <c r="BC473" s="270" t="str">
        <f>_xlfn.IFNA(VLOOKUP(CONCATENATE(BC$4,$C473),'INSER DATA'!$A:$F,7,0),"")</f>
        <v/>
      </c>
      <c r="BD473" s="270" t="str">
        <f>_xlfn.IFNA(VLOOKUP(CONCATENATE(BD$4,$C473),'INSER DATA'!$A:$F,7,0),"")</f>
        <v/>
      </c>
      <c r="BE473" s="270" t="str">
        <f>_xlfn.IFNA(VLOOKUP(CONCATENATE(BE$4,$C473),'INSER DATA'!$A:$F,7,0),"")</f>
        <v/>
      </c>
      <c r="BF473" s="270" t="str">
        <f>_xlfn.IFNA(VLOOKUP(CONCATENATE(BF$4,$C473),'INSER DATA'!$A:$F,7,0),"")</f>
        <v/>
      </c>
      <c r="BG473" s="270" t="str">
        <f>_xlfn.IFNA(VLOOKUP(CONCATENATE(BG$4,$C473),'INSER DATA'!$A:$F,7,0),"")</f>
        <v/>
      </c>
      <c r="BH473" s="270" t="str">
        <f>_xlfn.IFNA(VLOOKUP(CONCATENATE(BH$4,$C473),'INSER DATA'!$A:$F,7,0),"")</f>
        <v/>
      </c>
      <c r="BI473" s="270" t="str">
        <f>_xlfn.IFNA(VLOOKUP(CONCATENATE(BI$4,$C473),'INSER DATA'!$A:$F,7,0),"")</f>
        <v/>
      </c>
      <c r="BJ473" s="270" t="str">
        <f>_xlfn.IFNA(VLOOKUP(CONCATENATE(BJ$4,$C473),'INSER DATA'!$A:$F,7,0),"")</f>
        <v/>
      </c>
      <c r="BK473" s="270" t="str">
        <f>_xlfn.IFNA(VLOOKUP(CONCATENATE(BK$4,$C473),'INSER DATA'!$A:$F,7,0),"")</f>
        <v/>
      </c>
      <c r="BL473" s="272"/>
      <c r="BM473" s="30"/>
      <c r="BN473" s="30"/>
      <c r="BO473" s="30"/>
      <c r="BP473" s="30"/>
      <c r="BQ473" s="30"/>
      <c r="BR473" s="30"/>
      <c r="BS473" s="30"/>
      <c r="BT473" s="30"/>
      <c r="BU473" s="30"/>
      <c r="BV473" s="30"/>
      <c r="BW473" s="30"/>
      <c r="BX473" s="30"/>
      <c r="BY473" s="30"/>
      <c r="BZ473" s="30"/>
      <c r="CA473" s="30"/>
      <c r="CB473" s="30"/>
      <c r="CC473" s="30"/>
      <c r="CD473" s="30"/>
      <c r="CE473" s="30"/>
      <c r="CF473" s="30"/>
      <c r="CG473" s="30"/>
      <c r="CH473" s="30"/>
      <c r="CI473" s="30"/>
      <c r="CJ473" s="30"/>
      <c r="CK473" s="30"/>
      <c r="CL473" s="30"/>
      <c r="CM473" s="30"/>
      <c r="CN473" s="30"/>
      <c r="CO473" s="30"/>
      <c r="CP473" s="30"/>
      <c r="CQ473" s="30"/>
      <c r="CR473" s="30"/>
      <c r="CS473" s="30"/>
      <c r="CT473" s="30"/>
      <c r="CU473" s="30"/>
      <c r="CV473" s="30"/>
      <c r="CW473" s="30"/>
      <c r="CX473" s="30"/>
      <c r="CY473" s="30"/>
      <c r="CZ473" s="30"/>
      <c r="DA473" s="30"/>
    </row>
    <row r="474" spans="1:105" ht="19.2" thickTop="1" thickBot="1" x14ac:dyDescent="0.4">
      <c r="A474" s="30"/>
      <c r="B474" s="30"/>
      <c r="C474" s="356" t="s">
        <v>580</v>
      </c>
      <c r="D474" s="355" t="s">
        <v>950</v>
      </c>
      <c r="E474" s="35" t="str">
        <f>_xlfn.XLOOKUP(Tabella4[[#This Row],[NOME]],'ROSE SQUADRE'!$N$3:$N$253,'ROSE SQUADRE'!$O$3:$O$253,"")</f>
        <v>PARTIZAN DEGRADO</v>
      </c>
      <c r="F474" s="36" t="s">
        <v>163</v>
      </c>
      <c r="G474" s="43">
        <v>19</v>
      </c>
      <c r="H474" s="43">
        <v>19</v>
      </c>
      <c r="I474" s="44">
        <f t="shared" si="44"/>
        <v>0</v>
      </c>
      <c r="J474" s="37">
        <f t="shared" si="45"/>
        <v>3</v>
      </c>
      <c r="K474" s="38">
        <f t="shared" si="46"/>
        <v>6.5</v>
      </c>
      <c r="L474" s="38">
        <f t="shared" si="47"/>
        <v>7</v>
      </c>
      <c r="M474" s="39">
        <f t="shared" si="48"/>
        <v>21</v>
      </c>
      <c r="N474" s="45">
        <f t="shared" ca="1" si="43"/>
        <v>0</v>
      </c>
      <c r="O474" s="40">
        <f>SUMIF(Tabella1[Nome],Tabella4[[#This Row],[NOME]],Tabella1[Gf])</f>
        <v>0</v>
      </c>
      <c r="P474" s="40">
        <f>-(SUMIF(Tabella1[Nome],Tabella4[[#This Row],[NOME]],Tabella1[Gs]))</f>
        <v>0</v>
      </c>
      <c r="Q474" s="40">
        <f>SUMIF(Tabella1[Nome],Tabella4[[#This Row],[NOME]],Tabella1[Rp])</f>
        <v>0</v>
      </c>
      <c r="R474" s="40">
        <f>SUMIF(Tabella1[Nome],Tabella4[[#This Row],[NOME]],Tabella1[Rs])</f>
        <v>0</v>
      </c>
      <c r="S474" s="40">
        <f>SUMIF(Tabella1[Nome],Tabella4[[#This Row],[NOME]],Tabella1[Rf])</f>
        <v>0</v>
      </c>
      <c r="T474" s="40">
        <f>SUMIF(Tabella1[Nome],Tabella4[[#This Row],[NOME]],Tabella1[Au])</f>
        <v>0</v>
      </c>
      <c r="U474" s="41">
        <f>SUMIF(Tabella1[Nome],Tabella4[[#This Row],[NOME]],Tabella1[Amm])</f>
        <v>1</v>
      </c>
      <c r="V474" s="42">
        <f>SUMIF(Tabella1[Nome],Tabella4[[#This Row],[NOME]],Tabella1[Esp])</f>
        <v>0</v>
      </c>
      <c r="W474" s="40">
        <f>SUMIF(Tabella1[Nome],Tabella4[[#This Row],[NOME]],Tabella1[Ass])</f>
        <v>2</v>
      </c>
      <c r="X474" s="40">
        <f>SUMIF(Tabella1[Nome],Tabella4[[#This Row],[NOME]],Tabella1[Gdv])</f>
        <v>0</v>
      </c>
      <c r="Y474" s="40">
        <f>SUMIF(Tabella1[Nome],Tabella4[[#This Row],[NOME]],Tabella1[cl sh])</f>
        <v>0</v>
      </c>
      <c r="Z474" s="270" t="str">
        <f>_xlfn.IFNA(_xlfn.XLOOKUP(CONCATENATE(Z$4,$C474),Tabella1[CONC X VOTI IN TAB GIOC],Tabella1[Voto],""),"")</f>
        <v/>
      </c>
      <c r="AA474" s="270">
        <f>_xlfn.IFNA(_xlfn.XLOOKUP(CONCATENATE(AA$4,$C474),Tabella1[CONC X VOTI IN TAB GIOC],Tabella1[Voto],""),"")</f>
        <v>6.5</v>
      </c>
      <c r="AB474" s="270">
        <f>_xlfn.IFNA(_xlfn.XLOOKUP(CONCATENATE(AB$4,$C474),Tabella1[CONC X VOTI IN TAB GIOC],Tabella1[Voto]),"")</f>
        <v>6.5</v>
      </c>
      <c r="AC474" s="270" cm="1">
        <f t="array" ref="AC474">_xlfn.IFNA(_xlfn.XLOOKUP(CONCATENATE(AC$4,$C474),INDEX(Tabella1[],0,MATCH("CONC X VOTI IN TAB GIOC",Tabella1[#Headers],0)),INDEX(Tabella1[],0,MATCH("Voto",Tabella1[#Headers],0))),"")</f>
        <v>6.5</v>
      </c>
      <c r="AD474" s="270" t="str">
        <f>_xlfn.IFNA(_xlfn.XLOOKUP(CONCATENATE(AD$4,$C474),Tabella1[CONC X VOTI IN TAB GIOC],Tabella1[Voto]),"")</f>
        <v/>
      </c>
      <c r="AE474" s="270" t="str">
        <f>_xlfn.IFNA(VLOOKUP(CONCATENATE(AE$4,$C474),'INSER DATA'!$A:$F,6,0),"")</f>
        <v/>
      </c>
      <c r="AF474" s="270" t="str">
        <f>_xlfn.IFNA(VLOOKUP(CONCATENATE(AF$4,$C474),'INSER DATA'!$A:$F,6,0),"")</f>
        <v/>
      </c>
      <c r="AG474" s="270" t="str">
        <f>_xlfn.IFNA(VLOOKUP(CONCATENATE(AG$4,$C474),'INSER DATA'!$A:$F,6,0),"")</f>
        <v/>
      </c>
      <c r="AH474" s="270" t="str">
        <f>_xlfn.IFNA(VLOOKUP(CONCATENATE(AH$4,$C474),'INSER DATA'!$A:$F,7,0),"")</f>
        <v/>
      </c>
      <c r="AI474" s="270" t="str">
        <f>_xlfn.IFNA(VLOOKUP(CONCATENATE(AI$4,$C474),'INSER DATA'!$A:$F,7,0),"")</f>
        <v/>
      </c>
      <c r="AJ474" s="270" t="str">
        <f>_xlfn.IFNA(VLOOKUP(CONCATENATE(AJ$4,$C474),'INSER DATA'!$A:$F,7,0),"")</f>
        <v/>
      </c>
      <c r="AK474" s="270" t="str">
        <f>_xlfn.IFNA(VLOOKUP(CONCATENATE(AK$4,$C474),'INSER DATA'!$A:$F,7,0),"")</f>
        <v/>
      </c>
      <c r="AL474" s="270" t="str">
        <f>_xlfn.IFNA(VLOOKUP(CONCATENATE(AL$4,$C474),'INSER DATA'!$A:$F,7,0),"")</f>
        <v/>
      </c>
      <c r="AM474" s="270" t="str">
        <f>_xlfn.IFNA(VLOOKUP(CONCATENATE(AM$4,$C474),'INSER DATA'!$A:$F,7,0),"")</f>
        <v/>
      </c>
      <c r="AN474" s="270" t="str">
        <f>_xlfn.IFNA(VLOOKUP(CONCATENATE(AN$4,$C474),'INSER DATA'!$A:$F,7,0),"")</f>
        <v/>
      </c>
      <c r="AO474" s="270" t="str">
        <f>_xlfn.IFNA(VLOOKUP(CONCATENATE(AO$4,$C474),'INSER DATA'!$A:$F,7,0),"")</f>
        <v/>
      </c>
      <c r="AP474" s="270" t="str">
        <f>_xlfn.IFNA(VLOOKUP(CONCATENATE(AP$4,$C474),'INSER DATA'!$A:$F,7,0),"")</f>
        <v/>
      </c>
      <c r="AQ474" s="270" t="str">
        <f>_xlfn.IFNA(VLOOKUP(CONCATENATE(AQ$4,$C474),'INSER DATA'!$A:$F,7,0),"")</f>
        <v/>
      </c>
      <c r="AR474" s="270" t="str">
        <f>_xlfn.IFNA(VLOOKUP(CONCATENATE(AR$4,$C474),'INSER DATA'!$A:$F,7,0),"")</f>
        <v/>
      </c>
      <c r="AS474" s="270" t="str">
        <f>_xlfn.IFNA(VLOOKUP(CONCATENATE(AS$4,$C474),'INSER DATA'!$A:$F,7,0),"")</f>
        <v/>
      </c>
      <c r="AT474" s="270" t="str">
        <f>_xlfn.IFNA(VLOOKUP(CONCATENATE(AT$4,$C474),'INSER DATA'!$A:$F,7,0),"")</f>
        <v/>
      </c>
      <c r="AU474" s="270" t="str">
        <f>_xlfn.IFNA(VLOOKUP(CONCATENATE(AU$4,$C474),'INSER DATA'!$A:$F,7,0),"")</f>
        <v/>
      </c>
      <c r="AV474" s="270" t="str">
        <f>_xlfn.IFNA(VLOOKUP(CONCATENATE(AV$4,$C474),'INSER DATA'!$A:$F,7,0),"")</f>
        <v/>
      </c>
      <c r="AW474" s="270" t="str">
        <f>_xlfn.IFNA(VLOOKUP(CONCATENATE(AW$4,$C474),'INSER DATA'!$A:$F,7,0),"")</f>
        <v/>
      </c>
      <c r="AX474" s="270" t="str">
        <f>_xlfn.IFNA(VLOOKUP(CONCATENATE(AX$4,$C474),'INSER DATA'!$A:$F,7,0),"")</f>
        <v/>
      </c>
      <c r="AY474" s="270" t="str">
        <f>_xlfn.IFNA(VLOOKUP(CONCATENATE(AY$4,$C474),'INSER DATA'!$A:$F,7,0),"")</f>
        <v/>
      </c>
      <c r="AZ474" s="270" t="str">
        <f>_xlfn.IFNA(VLOOKUP(CONCATENATE(AZ$4,$C474),'INSER DATA'!$A:$F,7,0),"")</f>
        <v/>
      </c>
      <c r="BA474" s="270" t="str">
        <f>_xlfn.IFNA(VLOOKUP(CONCATENATE(BA$4,$C474),'INSER DATA'!$A:$F,7,0),"")</f>
        <v/>
      </c>
      <c r="BB474" s="270" t="str">
        <f>_xlfn.IFNA(VLOOKUP(CONCATENATE(BB$4,$C474),'INSER DATA'!$A:$F,7,0),"")</f>
        <v/>
      </c>
      <c r="BC474" s="270" t="str">
        <f>_xlfn.IFNA(VLOOKUP(CONCATENATE(BC$4,$C474),'INSER DATA'!$A:$F,7,0),"")</f>
        <v/>
      </c>
      <c r="BD474" s="270" t="str">
        <f>_xlfn.IFNA(VLOOKUP(CONCATENATE(BD$4,$C474),'INSER DATA'!$A:$F,7,0),"")</f>
        <v/>
      </c>
      <c r="BE474" s="270" t="str">
        <f>_xlfn.IFNA(VLOOKUP(CONCATENATE(BE$4,$C474),'INSER DATA'!$A:$F,7,0),"")</f>
        <v/>
      </c>
      <c r="BF474" s="270" t="str">
        <f>_xlfn.IFNA(VLOOKUP(CONCATENATE(BF$4,$C474),'INSER DATA'!$A:$F,7,0),"")</f>
        <v/>
      </c>
      <c r="BG474" s="270" t="str">
        <f>_xlfn.IFNA(VLOOKUP(CONCATENATE(BG$4,$C474),'INSER DATA'!$A:$F,7,0),"")</f>
        <v/>
      </c>
      <c r="BH474" s="270" t="str">
        <f>_xlfn.IFNA(VLOOKUP(CONCATENATE(BH$4,$C474),'INSER DATA'!$A:$F,7,0),"")</f>
        <v/>
      </c>
      <c r="BI474" s="270" t="str">
        <f>_xlfn.IFNA(VLOOKUP(CONCATENATE(BI$4,$C474),'INSER DATA'!$A:$F,7,0),"")</f>
        <v/>
      </c>
      <c r="BJ474" s="270" t="str">
        <f>_xlfn.IFNA(VLOOKUP(CONCATENATE(BJ$4,$C474),'INSER DATA'!$A:$F,7,0),"")</f>
        <v/>
      </c>
      <c r="BK474" s="270" t="str">
        <f>_xlfn.IFNA(VLOOKUP(CONCATENATE(BK$4,$C474),'INSER DATA'!$A:$F,7,0),"")</f>
        <v/>
      </c>
      <c r="BL474" s="272"/>
      <c r="BM474" s="30"/>
      <c r="BN474" s="30"/>
      <c r="BO474" s="30"/>
      <c r="BP474" s="30"/>
      <c r="BQ474" s="30"/>
      <c r="BR474" s="30"/>
      <c r="BS474" s="30"/>
      <c r="BT474" s="30"/>
      <c r="BU474" s="30"/>
      <c r="BV474" s="30"/>
      <c r="BW474" s="30"/>
      <c r="BX474" s="30"/>
      <c r="BY474" s="30"/>
      <c r="BZ474" s="30"/>
      <c r="CA474" s="30"/>
      <c r="CB474" s="30"/>
      <c r="CC474" s="30"/>
      <c r="CD474" s="30"/>
      <c r="CE474" s="30"/>
      <c r="CF474" s="30"/>
      <c r="CG474" s="30"/>
      <c r="CH474" s="30"/>
      <c r="CI474" s="30"/>
      <c r="CJ474" s="30"/>
      <c r="CK474" s="30"/>
      <c r="CL474" s="30"/>
      <c r="CM474" s="30"/>
      <c r="CN474" s="30"/>
      <c r="CO474" s="30"/>
      <c r="CP474" s="30"/>
      <c r="CQ474" s="30"/>
      <c r="CR474" s="30"/>
      <c r="CS474" s="30"/>
      <c r="CT474" s="30"/>
      <c r="CU474" s="30"/>
      <c r="CV474" s="30"/>
      <c r="CW474" s="30"/>
      <c r="CX474" s="30"/>
      <c r="CY474" s="30"/>
      <c r="CZ474" s="30"/>
      <c r="DA474" s="30"/>
    </row>
    <row r="475" spans="1:105" ht="19.2" thickTop="1" thickBot="1" x14ac:dyDescent="0.4">
      <c r="A475" s="30"/>
      <c r="B475" s="30"/>
      <c r="C475" s="356" t="s">
        <v>575</v>
      </c>
      <c r="D475" s="355" t="s">
        <v>950</v>
      </c>
      <c r="E475" s="35" t="str">
        <f>_xlfn.XLOOKUP(Tabella4[[#This Row],[NOME]],'ROSE SQUADRE'!$N$3:$N$253,'ROSE SQUADRE'!$O$3:$O$253,"")</f>
        <v>ATL. IMPROVVISATO</v>
      </c>
      <c r="F475" s="36" t="s">
        <v>5</v>
      </c>
      <c r="G475" s="43">
        <v>9</v>
      </c>
      <c r="H475" s="43">
        <v>9</v>
      </c>
      <c r="I475" s="44">
        <f t="shared" si="44"/>
        <v>0</v>
      </c>
      <c r="J475" s="37">
        <f t="shared" si="45"/>
        <v>4</v>
      </c>
      <c r="K475" s="38">
        <f t="shared" si="46"/>
        <v>6.375</v>
      </c>
      <c r="L475" s="38">
        <f t="shared" si="47"/>
        <v>3.875</v>
      </c>
      <c r="M475" s="39">
        <f t="shared" si="48"/>
        <v>15.5</v>
      </c>
      <c r="N475" s="45">
        <f t="shared" ca="1" si="43"/>
        <v>0</v>
      </c>
      <c r="O475" s="40">
        <f>SUMIF(Tabella1[Nome],Tabella4[[#This Row],[NOME]],Tabella1[Gf])</f>
        <v>0</v>
      </c>
      <c r="P475" s="40">
        <f>-(SUMIF(Tabella1[Nome],Tabella4[[#This Row],[NOME]],Tabella1[Gs]))</f>
        <v>-10</v>
      </c>
      <c r="Q475" s="40">
        <f>SUMIF(Tabella1[Nome],Tabella4[[#This Row],[NOME]],Tabella1[Rp])</f>
        <v>0</v>
      </c>
      <c r="R475" s="40">
        <f>SUMIF(Tabella1[Nome],Tabella4[[#This Row],[NOME]],Tabella1[Rs])</f>
        <v>0</v>
      </c>
      <c r="S475" s="40">
        <f>SUMIF(Tabella1[Nome],Tabella4[[#This Row],[NOME]],Tabella1[Rf])</f>
        <v>0</v>
      </c>
      <c r="T475" s="40">
        <f>SUMIF(Tabella1[Nome],Tabella4[[#This Row],[NOME]],Tabella1[Au])</f>
        <v>0</v>
      </c>
      <c r="U475" s="41">
        <f>SUMIF(Tabella1[Nome],Tabella4[[#This Row],[NOME]],Tabella1[Amm])</f>
        <v>0</v>
      </c>
      <c r="V475" s="42">
        <f>SUMIF(Tabella1[Nome],Tabella4[[#This Row],[NOME]],Tabella1[Esp])</f>
        <v>0</v>
      </c>
      <c r="W475" s="40">
        <f>SUMIF(Tabella1[Nome],Tabella4[[#This Row],[NOME]],Tabella1[Ass])</f>
        <v>0</v>
      </c>
      <c r="X475" s="40">
        <f>SUMIF(Tabella1[Nome],Tabella4[[#This Row],[NOME]],Tabella1[Gdv])</f>
        <v>0</v>
      </c>
      <c r="Y475" s="40">
        <f>SUMIF(Tabella1[Nome],Tabella4[[#This Row],[NOME]],Tabella1[cl sh])</f>
        <v>0</v>
      </c>
      <c r="Z475" s="270">
        <f>_xlfn.IFNA(_xlfn.XLOOKUP(CONCATENATE(Z$4,$C475),Tabella1[CONC X VOTI IN TAB GIOC],Tabella1[Voto],""),"")</f>
        <v>6.5</v>
      </c>
      <c r="AA475" s="270">
        <f>_xlfn.IFNA(_xlfn.XLOOKUP(CONCATENATE(AA$4,$C475),Tabella1[CONC X VOTI IN TAB GIOC],Tabella1[Voto],""),"")</f>
        <v>6</v>
      </c>
      <c r="AB475" s="270">
        <f>_xlfn.IFNA(_xlfn.XLOOKUP(CONCATENATE(AB$4,$C475),Tabella1[CONC X VOTI IN TAB GIOC],Tabella1[Voto]),"")</f>
        <v>6</v>
      </c>
      <c r="AC475" s="270" cm="1">
        <f t="array" ref="AC475">_xlfn.IFNA(_xlfn.XLOOKUP(CONCATENATE(AC$4,$C475),INDEX(Tabella1[],0,MATCH("CONC X VOTI IN TAB GIOC",Tabella1[#Headers],0)),INDEX(Tabella1[],0,MATCH("Voto",Tabella1[#Headers],0))),"")</f>
        <v>7</v>
      </c>
      <c r="AD475" s="270" t="str">
        <f>_xlfn.IFNA(_xlfn.XLOOKUP(CONCATENATE(AD$4,$C475),Tabella1[CONC X VOTI IN TAB GIOC],Tabella1[Voto]),"")</f>
        <v/>
      </c>
      <c r="AE475" s="270" t="str">
        <f>_xlfn.IFNA(VLOOKUP(CONCATENATE(AE$4,$C475),'INSER DATA'!$A:$F,6,0),"")</f>
        <v/>
      </c>
      <c r="AF475" s="270" t="str">
        <f>_xlfn.IFNA(VLOOKUP(CONCATENATE(AF$4,$C475),'INSER DATA'!$A:$F,6,0),"")</f>
        <v/>
      </c>
      <c r="AG475" s="270" t="str">
        <f>_xlfn.IFNA(VLOOKUP(CONCATENATE(AG$4,$C475),'INSER DATA'!$A:$F,6,0),"")</f>
        <v/>
      </c>
      <c r="AH475" s="270" t="str">
        <f>_xlfn.IFNA(VLOOKUP(CONCATENATE(AH$4,$C475),'INSER DATA'!$A:$F,7,0),"")</f>
        <v/>
      </c>
      <c r="AI475" s="270" t="str">
        <f>_xlfn.IFNA(VLOOKUP(CONCATENATE(AI$4,$C475),'INSER DATA'!$A:$F,7,0),"")</f>
        <v/>
      </c>
      <c r="AJ475" s="270" t="str">
        <f>_xlfn.IFNA(VLOOKUP(CONCATENATE(AJ$4,$C475),'INSER DATA'!$A:$F,7,0),"")</f>
        <v/>
      </c>
      <c r="AK475" s="270" t="str">
        <f>_xlfn.IFNA(VLOOKUP(CONCATENATE(AK$4,$C475),'INSER DATA'!$A:$F,7,0),"")</f>
        <v/>
      </c>
      <c r="AL475" s="270" t="str">
        <f>_xlfn.IFNA(VLOOKUP(CONCATENATE(AL$4,$C475),'INSER DATA'!$A:$F,7,0),"")</f>
        <v/>
      </c>
      <c r="AM475" s="270" t="str">
        <f>_xlfn.IFNA(VLOOKUP(CONCATENATE(AM$4,$C475),'INSER DATA'!$A:$F,7,0),"")</f>
        <v/>
      </c>
      <c r="AN475" s="270" t="str">
        <f>_xlfn.IFNA(VLOOKUP(CONCATENATE(AN$4,$C475),'INSER DATA'!$A:$F,7,0),"")</f>
        <v/>
      </c>
      <c r="AO475" s="270" t="str">
        <f>_xlfn.IFNA(VLOOKUP(CONCATENATE(AO$4,$C475),'INSER DATA'!$A:$F,7,0),"")</f>
        <v/>
      </c>
      <c r="AP475" s="270" t="str">
        <f>_xlfn.IFNA(VLOOKUP(CONCATENATE(AP$4,$C475),'INSER DATA'!$A:$F,7,0),"")</f>
        <v/>
      </c>
      <c r="AQ475" s="270" t="str">
        <f>_xlfn.IFNA(VLOOKUP(CONCATENATE(AQ$4,$C475),'INSER DATA'!$A:$F,7,0),"")</f>
        <v/>
      </c>
      <c r="AR475" s="270" t="str">
        <f>_xlfn.IFNA(VLOOKUP(CONCATENATE(AR$4,$C475),'INSER DATA'!$A:$F,7,0),"")</f>
        <v/>
      </c>
      <c r="AS475" s="270" t="str">
        <f>_xlfn.IFNA(VLOOKUP(CONCATENATE(AS$4,$C475),'INSER DATA'!$A:$F,7,0),"")</f>
        <v/>
      </c>
      <c r="AT475" s="270" t="str">
        <f>_xlfn.IFNA(VLOOKUP(CONCATENATE(AT$4,$C475),'INSER DATA'!$A:$F,7,0),"")</f>
        <v/>
      </c>
      <c r="AU475" s="270" t="str">
        <f>_xlfn.IFNA(VLOOKUP(CONCATENATE(AU$4,$C475),'INSER DATA'!$A:$F,7,0),"")</f>
        <v/>
      </c>
      <c r="AV475" s="270" t="str">
        <f>_xlfn.IFNA(VLOOKUP(CONCATENATE(AV$4,$C475),'INSER DATA'!$A:$F,7,0),"")</f>
        <v/>
      </c>
      <c r="AW475" s="270" t="str">
        <f>_xlfn.IFNA(VLOOKUP(CONCATENATE(AW$4,$C475),'INSER DATA'!$A:$F,7,0),"")</f>
        <v/>
      </c>
      <c r="AX475" s="270" t="str">
        <f>_xlfn.IFNA(VLOOKUP(CONCATENATE(AX$4,$C475),'INSER DATA'!$A:$F,7,0),"")</f>
        <v/>
      </c>
      <c r="AY475" s="270" t="str">
        <f>_xlfn.IFNA(VLOOKUP(CONCATENATE(AY$4,$C475),'INSER DATA'!$A:$F,7,0),"")</f>
        <v/>
      </c>
      <c r="AZ475" s="270" t="str">
        <f>_xlfn.IFNA(VLOOKUP(CONCATENATE(AZ$4,$C475),'INSER DATA'!$A:$F,7,0),"")</f>
        <v/>
      </c>
      <c r="BA475" s="270" t="str">
        <f>_xlfn.IFNA(VLOOKUP(CONCATENATE(BA$4,$C475),'INSER DATA'!$A:$F,7,0),"")</f>
        <v/>
      </c>
      <c r="BB475" s="270" t="str">
        <f>_xlfn.IFNA(VLOOKUP(CONCATENATE(BB$4,$C475),'INSER DATA'!$A:$F,7,0),"")</f>
        <v/>
      </c>
      <c r="BC475" s="270" t="str">
        <f>_xlfn.IFNA(VLOOKUP(CONCATENATE(BC$4,$C475),'INSER DATA'!$A:$F,7,0),"")</f>
        <v/>
      </c>
      <c r="BD475" s="270" t="str">
        <f>_xlfn.IFNA(VLOOKUP(CONCATENATE(BD$4,$C475),'INSER DATA'!$A:$F,7,0),"")</f>
        <v/>
      </c>
      <c r="BE475" s="270" t="str">
        <f>_xlfn.IFNA(VLOOKUP(CONCATENATE(BE$4,$C475),'INSER DATA'!$A:$F,7,0),"")</f>
        <v/>
      </c>
      <c r="BF475" s="270" t="str">
        <f>_xlfn.IFNA(VLOOKUP(CONCATENATE(BF$4,$C475),'INSER DATA'!$A:$F,7,0),"")</f>
        <v/>
      </c>
      <c r="BG475" s="270" t="str">
        <f>_xlfn.IFNA(VLOOKUP(CONCATENATE(BG$4,$C475),'INSER DATA'!$A:$F,7,0),"")</f>
        <v/>
      </c>
      <c r="BH475" s="270" t="str">
        <f>_xlfn.IFNA(VLOOKUP(CONCATENATE(BH$4,$C475),'INSER DATA'!$A:$F,7,0),"")</f>
        <v/>
      </c>
      <c r="BI475" s="270" t="str">
        <f>_xlfn.IFNA(VLOOKUP(CONCATENATE(BI$4,$C475),'INSER DATA'!$A:$F,7,0),"")</f>
        <v/>
      </c>
      <c r="BJ475" s="270" t="str">
        <f>_xlfn.IFNA(VLOOKUP(CONCATENATE(BJ$4,$C475),'INSER DATA'!$A:$F,7,0),"")</f>
        <v/>
      </c>
      <c r="BK475" s="270" t="str">
        <f>_xlfn.IFNA(VLOOKUP(CONCATENATE(BK$4,$C475),'INSER DATA'!$A:$F,7,0),"")</f>
        <v/>
      </c>
      <c r="BL475" s="272"/>
      <c r="BM475" s="30"/>
      <c r="BN475" s="30"/>
      <c r="BO475" s="30"/>
      <c r="BP475" s="30"/>
      <c r="BQ475" s="30"/>
      <c r="BR475" s="30"/>
      <c r="BS475" s="30"/>
      <c r="BT475" s="30"/>
      <c r="BU475" s="30"/>
      <c r="BV475" s="30"/>
      <c r="BW475" s="30"/>
      <c r="BX475" s="30"/>
      <c r="BY475" s="30"/>
      <c r="BZ475" s="30"/>
      <c r="CA475" s="30"/>
      <c r="CB475" s="30"/>
      <c r="CC475" s="30"/>
      <c r="CD475" s="30"/>
      <c r="CE475" s="30"/>
      <c r="CF475" s="30"/>
      <c r="CG475" s="30"/>
      <c r="CH475" s="30"/>
      <c r="CI475" s="30"/>
      <c r="CJ475" s="30"/>
      <c r="CK475" s="30"/>
      <c r="CL475" s="30"/>
      <c r="CM475" s="30"/>
      <c r="CN475" s="30"/>
      <c r="CO475" s="30"/>
      <c r="CP475" s="30"/>
      <c r="CQ475" s="30"/>
      <c r="CR475" s="30"/>
      <c r="CS475" s="30"/>
      <c r="CT475" s="30"/>
      <c r="CU475" s="30"/>
      <c r="CV475" s="30"/>
      <c r="CW475" s="30"/>
      <c r="CX475" s="30"/>
      <c r="CY475" s="30"/>
      <c r="CZ475" s="30"/>
      <c r="DA475" s="30"/>
    </row>
    <row r="476" spans="1:105" ht="19.2" thickTop="1" thickBot="1" x14ac:dyDescent="0.4">
      <c r="A476" s="30"/>
      <c r="B476" s="30"/>
      <c r="C476" s="188" t="s">
        <v>953</v>
      </c>
      <c r="D476" s="187" t="s">
        <v>950</v>
      </c>
      <c r="E476" s="35" t="str">
        <f>_xlfn.XLOOKUP(Tabella4[[#This Row],[NOME]],'ROSE SQUADRE'!$N$3:$N$253,'ROSE SQUADRE'!$O$3:$O$253,"")</f>
        <v/>
      </c>
      <c r="F476" s="36" t="s">
        <v>161</v>
      </c>
      <c r="G476" s="43">
        <v>1</v>
      </c>
      <c r="H476" s="43">
        <v>2</v>
      </c>
      <c r="I476" s="44">
        <f t="shared" si="44"/>
        <v>1</v>
      </c>
      <c r="J476" s="37">
        <f t="shared" si="45"/>
        <v>4</v>
      </c>
      <c r="K476" s="178">
        <f t="shared" si="46"/>
        <v>6.125</v>
      </c>
      <c r="L476" s="178">
        <f t="shared" si="47"/>
        <v>6.75</v>
      </c>
      <c r="M476" s="179">
        <f t="shared" si="48"/>
        <v>27</v>
      </c>
      <c r="N476" s="45">
        <f t="shared" ca="1" si="43"/>
        <v>0</v>
      </c>
      <c r="O476" s="40">
        <f>SUMIF(Tabella1[Nome],Tabella4[[#This Row],[NOME]],Tabella1[Gf])</f>
        <v>1</v>
      </c>
      <c r="P476" s="40">
        <f>-(SUMIF(Tabella1[Nome],Tabella4[[#This Row],[NOME]],Tabella1[Gs]))</f>
        <v>0</v>
      </c>
      <c r="Q476" s="40">
        <f>SUMIF(Tabella1[Nome],Tabella4[[#This Row],[NOME]],Tabella1[Rp])</f>
        <v>0</v>
      </c>
      <c r="R476" s="40">
        <f>SUMIF(Tabella1[Nome],Tabella4[[#This Row],[NOME]],Tabella1[Rs])</f>
        <v>0</v>
      </c>
      <c r="S476" s="40">
        <f>SUMIF(Tabella1[Nome],Tabella4[[#This Row],[NOME]],Tabella1[Rf])</f>
        <v>0</v>
      </c>
      <c r="T476" s="40">
        <f>SUMIF(Tabella1[Nome],Tabella4[[#This Row],[NOME]],Tabella1[Au])</f>
        <v>0</v>
      </c>
      <c r="U476" s="41">
        <f>SUMIF(Tabella1[Nome],Tabella4[[#This Row],[NOME]],Tabella1[Amm])</f>
        <v>1</v>
      </c>
      <c r="V476" s="42">
        <f>SUMIF(Tabella1[Nome],Tabella4[[#This Row],[NOME]],Tabella1[Esp])</f>
        <v>0</v>
      </c>
      <c r="W476" s="40">
        <f>SUMIF(Tabella1[Nome],Tabella4[[#This Row],[NOME]],Tabella1[Ass])</f>
        <v>0</v>
      </c>
      <c r="X476" s="40">
        <f>SUMIF(Tabella1[Nome],Tabella4[[#This Row],[NOME]],Tabella1[Gdv])</f>
        <v>0</v>
      </c>
      <c r="Y476" s="40">
        <f>SUMIF(Tabella1[Nome],Tabella4[[#This Row],[NOME]],Tabella1[cl sh])</f>
        <v>0</v>
      </c>
      <c r="Z476" s="270">
        <f>_xlfn.IFNA(_xlfn.XLOOKUP(CONCATENATE(Z$4,$C476),Tabella1[CONC X VOTI IN TAB GIOC],Tabella1[Voto],""),"")</f>
        <v>6</v>
      </c>
      <c r="AA476" s="270">
        <f>_xlfn.IFNA(_xlfn.XLOOKUP(CONCATENATE(AA$4,$C476),Tabella1[CONC X VOTI IN TAB GIOC],Tabella1[Voto],""),"")</f>
        <v>6.5</v>
      </c>
      <c r="AB476" s="270">
        <f>_xlfn.IFNA(_xlfn.XLOOKUP(CONCATENATE(AB$4,$C476),Tabella1[CONC X VOTI IN TAB GIOC],Tabella1[Voto]),"")</f>
        <v>6</v>
      </c>
      <c r="AC476" s="270" cm="1">
        <f t="array" ref="AC476">_xlfn.IFNA(_xlfn.XLOOKUP(CONCATENATE(AC$4,$C476),INDEX(Tabella1[],0,MATCH("CONC X VOTI IN TAB GIOC",Tabella1[#Headers],0)),INDEX(Tabella1[],0,MATCH("Voto",Tabella1[#Headers],0))),"")</f>
        <v>6</v>
      </c>
      <c r="AD476" s="270" t="str">
        <f>_xlfn.IFNA(_xlfn.XLOOKUP(CONCATENATE(AD$4,$C476),Tabella1[CONC X VOTI IN TAB GIOC],Tabella1[Voto]),"")</f>
        <v/>
      </c>
      <c r="AE476" s="270" t="str">
        <f>_xlfn.IFNA(VLOOKUP(CONCATENATE(AE$4,$C476),'INSER DATA'!$A:$F,6,0),"")</f>
        <v/>
      </c>
      <c r="AF476" s="270" t="str">
        <f>_xlfn.IFNA(VLOOKUP(CONCATENATE(AF$4,$C476),'INSER DATA'!$A:$F,6,0),"")</f>
        <v/>
      </c>
      <c r="AG476" s="270" t="str">
        <f>_xlfn.IFNA(VLOOKUP(CONCATENATE(AG$4,$C476),'INSER DATA'!$A:$F,6,0),"")</f>
        <v/>
      </c>
      <c r="AH476" s="270" t="str">
        <f>_xlfn.IFNA(VLOOKUP(CONCATENATE(AH$4,$C476),'INSER DATA'!$A:$F,7,0),"")</f>
        <v/>
      </c>
      <c r="AI476" s="270" t="str">
        <f>_xlfn.IFNA(VLOOKUP(CONCATENATE(AI$4,$C476),'INSER DATA'!$A:$F,7,0),"")</f>
        <v/>
      </c>
      <c r="AJ476" s="270" t="str">
        <f>_xlfn.IFNA(VLOOKUP(CONCATENATE(AJ$4,$C476),'INSER DATA'!$A:$F,7,0),"")</f>
        <v/>
      </c>
      <c r="AK476" s="270" t="str">
        <f>_xlfn.IFNA(VLOOKUP(CONCATENATE(AK$4,$C476),'INSER DATA'!$A:$F,7,0),"")</f>
        <v/>
      </c>
      <c r="AL476" s="270" t="str">
        <f>_xlfn.IFNA(VLOOKUP(CONCATENATE(AL$4,$C476),'INSER DATA'!$A:$F,7,0),"")</f>
        <v/>
      </c>
      <c r="AM476" s="270" t="str">
        <f>_xlfn.IFNA(VLOOKUP(CONCATENATE(AM$4,$C476),'INSER DATA'!$A:$F,7,0),"")</f>
        <v/>
      </c>
      <c r="AN476" s="270" t="str">
        <f>_xlfn.IFNA(VLOOKUP(CONCATENATE(AN$4,$C476),'INSER DATA'!$A:$F,7,0),"")</f>
        <v/>
      </c>
      <c r="AO476" s="270" t="str">
        <f>_xlfn.IFNA(VLOOKUP(CONCATENATE(AO$4,$C476),'INSER DATA'!$A:$F,7,0),"")</f>
        <v/>
      </c>
      <c r="AP476" s="270" t="str">
        <f>_xlfn.IFNA(VLOOKUP(CONCATENATE(AP$4,$C476),'INSER DATA'!$A:$F,7,0),"")</f>
        <v/>
      </c>
      <c r="AQ476" s="270" t="str">
        <f>_xlfn.IFNA(VLOOKUP(CONCATENATE(AQ$4,$C476),'INSER DATA'!$A:$F,7,0),"")</f>
        <v/>
      </c>
      <c r="AR476" s="270" t="str">
        <f>_xlfn.IFNA(VLOOKUP(CONCATENATE(AR$4,$C476),'INSER DATA'!$A:$F,7,0),"")</f>
        <v/>
      </c>
      <c r="AS476" s="270" t="str">
        <f>_xlfn.IFNA(VLOOKUP(CONCATENATE(AS$4,$C476),'INSER DATA'!$A:$F,7,0),"")</f>
        <v/>
      </c>
      <c r="AT476" s="270" t="str">
        <f>_xlfn.IFNA(VLOOKUP(CONCATENATE(AT$4,$C476),'INSER DATA'!$A:$F,7,0),"")</f>
        <v/>
      </c>
      <c r="AU476" s="270" t="str">
        <f>_xlfn.IFNA(VLOOKUP(CONCATENATE(AU$4,$C476),'INSER DATA'!$A:$F,7,0),"")</f>
        <v/>
      </c>
      <c r="AV476" s="270" t="str">
        <f>_xlfn.IFNA(VLOOKUP(CONCATENATE(AV$4,$C476),'INSER DATA'!$A:$F,7,0),"")</f>
        <v/>
      </c>
      <c r="AW476" s="270" t="str">
        <f>_xlfn.IFNA(VLOOKUP(CONCATENATE(AW$4,$C476),'INSER DATA'!$A:$F,7,0),"")</f>
        <v/>
      </c>
      <c r="AX476" s="270" t="str">
        <f>_xlfn.IFNA(VLOOKUP(CONCATENATE(AX$4,$C476),'INSER DATA'!$A:$F,7,0),"")</f>
        <v/>
      </c>
      <c r="AY476" s="270" t="str">
        <f>_xlfn.IFNA(VLOOKUP(CONCATENATE(AY$4,$C476),'INSER DATA'!$A:$F,7,0),"")</f>
        <v/>
      </c>
      <c r="AZ476" s="270" t="str">
        <f>_xlfn.IFNA(VLOOKUP(CONCATENATE(AZ$4,$C476),'INSER DATA'!$A:$F,7,0),"")</f>
        <v/>
      </c>
      <c r="BA476" s="270" t="str">
        <f>_xlfn.IFNA(VLOOKUP(CONCATENATE(BA$4,$C476),'INSER DATA'!$A:$F,7,0),"")</f>
        <v/>
      </c>
      <c r="BB476" s="270" t="str">
        <f>_xlfn.IFNA(VLOOKUP(CONCATENATE(BB$4,$C476),'INSER DATA'!$A:$F,7,0),"")</f>
        <v/>
      </c>
      <c r="BC476" s="270" t="str">
        <f>_xlfn.IFNA(VLOOKUP(CONCATENATE(BC$4,$C476),'INSER DATA'!$A:$F,7,0),"")</f>
        <v/>
      </c>
      <c r="BD476" s="270" t="str">
        <f>_xlfn.IFNA(VLOOKUP(CONCATENATE(BD$4,$C476),'INSER DATA'!$A:$F,7,0),"")</f>
        <v/>
      </c>
      <c r="BE476" s="270" t="str">
        <f>_xlfn.IFNA(VLOOKUP(CONCATENATE(BE$4,$C476),'INSER DATA'!$A:$F,7,0),"")</f>
        <v/>
      </c>
      <c r="BF476" s="270" t="str">
        <f>_xlfn.IFNA(VLOOKUP(CONCATENATE(BF$4,$C476),'INSER DATA'!$A:$F,7,0),"")</f>
        <v/>
      </c>
      <c r="BG476" s="270" t="str">
        <f>_xlfn.IFNA(VLOOKUP(CONCATENATE(BG$4,$C476),'INSER DATA'!$A:$F,7,0),"")</f>
        <v/>
      </c>
      <c r="BH476" s="270" t="str">
        <f>_xlfn.IFNA(VLOOKUP(CONCATENATE(BH$4,$C476),'INSER DATA'!$A:$F,7,0),"")</f>
        <v/>
      </c>
      <c r="BI476" s="270" t="str">
        <f>_xlfn.IFNA(VLOOKUP(CONCATENATE(BI$4,$C476),'INSER DATA'!$A:$F,7,0),"")</f>
        <v/>
      </c>
      <c r="BJ476" s="270" t="str">
        <f>_xlfn.IFNA(VLOOKUP(CONCATENATE(BJ$4,$C476),'INSER DATA'!$A:$F,7,0),"")</f>
        <v/>
      </c>
      <c r="BK476" s="270" t="str">
        <f>_xlfn.IFNA(VLOOKUP(CONCATENATE(BK$4,$C476),'INSER DATA'!$A:$F,7,0),"")</f>
        <v/>
      </c>
      <c r="BL476" s="272"/>
      <c r="BM476" s="30"/>
      <c r="BN476" s="30"/>
      <c r="BO476" s="30"/>
      <c r="BP476" s="30"/>
      <c r="BQ476" s="30"/>
      <c r="BR476" s="30"/>
      <c r="BS476" s="30"/>
      <c r="BT476" s="30"/>
      <c r="BU476" s="30"/>
      <c r="BV476" s="30"/>
      <c r="BW476" s="30"/>
      <c r="BX476" s="30"/>
      <c r="BY476" s="30"/>
      <c r="BZ476" s="30"/>
      <c r="CA476" s="30"/>
      <c r="CB476" s="30"/>
      <c r="CC476" s="30"/>
      <c r="CD476" s="30"/>
      <c r="CE476" s="30"/>
      <c r="CF476" s="30"/>
      <c r="CG476" s="30"/>
      <c r="CH476" s="30"/>
      <c r="CI476" s="30"/>
      <c r="CJ476" s="30"/>
      <c r="CK476" s="30"/>
      <c r="CL476" s="30"/>
      <c r="CM476" s="30"/>
      <c r="CN476" s="30"/>
      <c r="CO476" s="30"/>
      <c r="CP476" s="30"/>
      <c r="CQ476" s="30"/>
      <c r="CR476" s="30"/>
      <c r="CS476" s="30"/>
      <c r="CT476" s="30"/>
      <c r="CU476" s="30"/>
      <c r="CV476" s="30"/>
      <c r="CW476" s="30"/>
      <c r="CX476" s="30"/>
      <c r="CY476" s="30"/>
      <c r="CZ476" s="30"/>
      <c r="DA476" s="30"/>
    </row>
    <row r="477" spans="1:105" ht="19.2" thickTop="1" thickBot="1" x14ac:dyDescent="0.4">
      <c r="A477" s="30"/>
      <c r="B477" s="30"/>
      <c r="C477" s="188" t="s">
        <v>962</v>
      </c>
      <c r="D477" s="187" t="s">
        <v>950</v>
      </c>
      <c r="E477" s="35" t="str">
        <f>_xlfn.XLOOKUP(Tabella4[[#This Row],[NOME]],'ROSE SQUADRE'!$N$3:$N$253,'ROSE SQUADRE'!$O$3:$O$253,"")</f>
        <v/>
      </c>
      <c r="F477" s="36" t="s">
        <v>162</v>
      </c>
      <c r="G477" s="43">
        <v>5</v>
      </c>
      <c r="H477" s="43">
        <v>5</v>
      </c>
      <c r="I477" s="44">
        <f t="shared" si="44"/>
        <v>0</v>
      </c>
      <c r="J477" s="37">
        <f t="shared" si="45"/>
        <v>3</v>
      </c>
      <c r="K477" s="38">
        <f t="shared" si="46"/>
        <v>6.166666666666667</v>
      </c>
      <c r="L477" s="38">
        <f t="shared" si="47"/>
        <v>6.833333333333333</v>
      </c>
      <c r="M477" s="39">
        <f t="shared" si="48"/>
        <v>20.5</v>
      </c>
      <c r="N477" s="45">
        <f t="shared" ca="1" si="43"/>
        <v>0</v>
      </c>
      <c r="O477" s="40">
        <f>SUMIF(Tabella1[Nome],Tabella4[[#This Row],[NOME]],Tabella1[Gf])</f>
        <v>1</v>
      </c>
      <c r="P477" s="40">
        <f>-(SUMIF(Tabella1[Nome],Tabella4[[#This Row],[NOME]],Tabella1[Gs]))</f>
        <v>0</v>
      </c>
      <c r="Q477" s="40">
        <f>SUMIF(Tabella1[Nome],Tabella4[[#This Row],[NOME]],Tabella1[Rp])</f>
        <v>0</v>
      </c>
      <c r="R477" s="40">
        <f>SUMIF(Tabella1[Nome],Tabella4[[#This Row],[NOME]],Tabella1[Rs])</f>
        <v>0</v>
      </c>
      <c r="S477" s="40">
        <f>SUMIF(Tabella1[Nome],Tabella4[[#This Row],[NOME]],Tabella1[Rf])</f>
        <v>0</v>
      </c>
      <c r="T477" s="40">
        <f>SUMIF(Tabella1[Nome],Tabella4[[#This Row],[NOME]],Tabella1[Au])</f>
        <v>0</v>
      </c>
      <c r="U477" s="41">
        <f>SUMIF(Tabella1[Nome],Tabella4[[#This Row],[NOME]],Tabella1[Amm])</f>
        <v>2</v>
      </c>
      <c r="V477" s="42">
        <f>SUMIF(Tabella1[Nome],Tabella4[[#This Row],[NOME]],Tabella1[Esp])</f>
        <v>0</v>
      </c>
      <c r="W477" s="40">
        <f>SUMIF(Tabella1[Nome],Tabella4[[#This Row],[NOME]],Tabella1[Ass])</f>
        <v>0</v>
      </c>
      <c r="X477" s="40">
        <f>SUMIF(Tabella1[Nome],Tabella4[[#This Row],[NOME]],Tabella1[Gdv])</f>
        <v>0</v>
      </c>
      <c r="Y477" s="40">
        <f>SUMIF(Tabella1[Nome],Tabella4[[#This Row],[NOME]],Tabella1[cl sh])</f>
        <v>0</v>
      </c>
      <c r="Z477" s="270">
        <f>_xlfn.IFNA(_xlfn.XLOOKUP(CONCATENATE(Z$4,$C477),Tabella1[CONC X VOTI IN TAB GIOC],Tabella1[Voto],""),"")</f>
        <v>6</v>
      </c>
      <c r="AA477" s="270">
        <f>_xlfn.IFNA(_xlfn.XLOOKUP(CONCATENATE(AA$4,$C477),Tabella1[CONC X VOTI IN TAB GIOC],Tabella1[Voto],""),"")</f>
        <v>6.5</v>
      </c>
      <c r="AB477" s="270">
        <f>_xlfn.IFNA(_xlfn.XLOOKUP(CONCATENATE(AB$4,$C477),Tabella1[CONC X VOTI IN TAB GIOC],Tabella1[Voto]),"")</f>
        <v>6</v>
      </c>
      <c r="AC477" s="270" t="str" cm="1">
        <f t="array" ref="AC477">_xlfn.IFNA(_xlfn.XLOOKUP(CONCATENATE(AC$4,$C477),INDEX(Tabella1[],0,MATCH("CONC X VOTI IN TAB GIOC",Tabella1[#Headers],0)),INDEX(Tabella1[],0,MATCH("Voto",Tabella1[#Headers],0))),"")</f>
        <v/>
      </c>
      <c r="AD477" s="270" t="str">
        <f>_xlfn.IFNA(_xlfn.XLOOKUP(CONCATENATE(AD$4,$C477),Tabella1[CONC X VOTI IN TAB GIOC],Tabella1[Voto]),"")</f>
        <v/>
      </c>
      <c r="AE477" s="270" t="str">
        <f>_xlfn.IFNA(VLOOKUP(CONCATENATE(AE$4,$C477),'INSER DATA'!$A:$F,6,0),"")</f>
        <v/>
      </c>
      <c r="AF477" s="270" t="str">
        <f>_xlfn.IFNA(VLOOKUP(CONCATENATE(AF$4,$C477),'INSER DATA'!$A:$F,6,0),"")</f>
        <v/>
      </c>
      <c r="AG477" s="270" t="str">
        <f>_xlfn.IFNA(VLOOKUP(CONCATENATE(AG$4,$C477),'INSER DATA'!$A:$F,6,0),"")</f>
        <v/>
      </c>
      <c r="AH477" s="270" t="str">
        <f>_xlfn.IFNA(VLOOKUP(CONCATENATE(AH$4,$C477),'INSER DATA'!$A:$F,7,0),"")</f>
        <v/>
      </c>
      <c r="AI477" s="270" t="str">
        <f>_xlfn.IFNA(VLOOKUP(CONCATENATE(AI$4,$C477),'INSER DATA'!$A:$F,7,0),"")</f>
        <v/>
      </c>
      <c r="AJ477" s="270" t="str">
        <f>_xlfn.IFNA(VLOOKUP(CONCATENATE(AJ$4,$C477),'INSER DATA'!$A:$F,7,0),"")</f>
        <v/>
      </c>
      <c r="AK477" s="270" t="str">
        <f>_xlfn.IFNA(VLOOKUP(CONCATENATE(AK$4,$C477),'INSER DATA'!$A:$F,7,0),"")</f>
        <v/>
      </c>
      <c r="AL477" s="270" t="str">
        <f>_xlfn.IFNA(VLOOKUP(CONCATENATE(AL$4,$C477),'INSER DATA'!$A:$F,7,0),"")</f>
        <v/>
      </c>
      <c r="AM477" s="270" t="str">
        <f>_xlfn.IFNA(VLOOKUP(CONCATENATE(AM$4,$C477),'INSER DATA'!$A:$F,7,0),"")</f>
        <v/>
      </c>
      <c r="AN477" s="270" t="str">
        <f>_xlfn.IFNA(VLOOKUP(CONCATENATE(AN$4,$C477),'INSER DATA'!$A:$F,7,0),"")</f>
        <v/>
      </c>
      <c r="AO477" s="270" t="str">
        <f>_xlfn.IFNA(VLOOKUP(CONCATENATE(AO$4,$C477),'INSER DATA'!$A:$F,7,0),"")</f>
        <v/>
      </c>
      <c r="AP477" s="270" t="str">
        <f>_xlfn.IFNA(VLOOKUP(CONCATENATE(AP$4,$C477),'INSER DATA'!$A:$F,7,0),"")</f>
        <v/>
      </c>
      <c r="AQ477" s="270" t="str">
        <f>_xlfn.IFNA(VLOOKUP(CONCATENATE(AQ$4,$C477),'INSER DATA'!$A:$F,7,0),"")</f>
        <v/>
      </c>
      <c r="AR477" s="270" t="str">
        <f>_xlfn.IFNA(VLOOKUP(CONCATENATE(AR$4,$C477),'INSER DATA'!$A:$F,7,0),"")</f>
        <v/>
      </c>
      <c r="AS477" s="270" t="str">
        <f>_xlfn.IFNA(VLOOKUP(CONCATENATE(AS$4,$C477),'INSER DATA'!$A:$F,7,0),"")</f>
        <v/>
      </c>
      <c r="AT477" s="270" t="str">
        <f>_xlfn.IFNA(VLOOKUP(CONCATENATE(AT$4,$C477),'INSER DATA'!$A:$F,7,0),"")</f>
        <v/>
      </c>
      <c r="AU477" s="270" t="str">
        <f>_xlfn.IFNA(VLOOKUP(CONCATENATE(AU$4,$C477),'INSER DATA'!$A:$F,7,0),"")</f>
        <v/>
      </c>
      <c r="AV477" s="270" t="str">
        <f>_xlfn.IFNA(VLOOKUP(CONCATENATE(AV$4,$C477),'INSER DATA'!$A:$F,7,0),"")</f>
        <v/>
      </c>
      <c r="AW477" s="270" t="str">
        <f>_xlfn.IFNA(VLOOKUP(CONCATENATE(AW$4,$C477),'INSER DATA'!$A:$F,7,0),"")</f>
        <v/>
      </c>
      <c r="AX477" s="270" t="str">
        <f>_xlfn.IFNA(VLOOKUP(CONCATENATE(AX$4,$C477),'INSER DATA'!$A:$F,7,0),"")</f>
        <v/>
      </c>
      <c r="AY477" s="270" t="str">
        <f>_xlfn.IFNA(VLOOKUP(CONCATENATE(AY$4,$C477),'INSER DATA'!$A:$F,7,0),"")</f>
        <v/>
      </c>
      <c r="AZ477" s="270" t="str">
        <f>_xlfn.IFNA(VLOOKUP(CONCATENATE(AZ$4,$C477),'INSER DATA'!$A:$F,7,0),"")</f>
        <v/>
      </c>
      <c r="BA477" s="270" t="str">
        <f>_xlfn.IFNA(VLOOKUP(CONCATENATE(BA$4,$C477),'INSER DATA'!$A:$F,7,0),"")</f>
        <v/>
      </c>
      <c r="BB477" s="270" t="str">
        <f>_xlfn.IFNA(VLOOKUP(CONCATENATE(BB$4,$C477),'INSER DATA'!$A:$F,7,0),"")</f>
        <v/>
      </c>
      <c r="BC477" s="270" t="str">
        <f>_xlfn.IFNA(VLOOKUP(CONCATENATE(BC$4,$C477),'INSER DATA'!$A:$F,7,0),"")</f>
        <v/>
      </c>
      <c r="BD477" s="270" t="str">
        <f>_xlfn.IFNA(VLOOKUP(CONCATENATE(BD$4,$C477),'INSER DATA'!$A:$F,7,0),"")</f>
        <v/>
      </c>
      <c r="BE477" s="270" t="str">
        <f>_xlfn.IFNA(VLOOKUP(CONCATENATE(BE$4,$C477),'INSER DATA'!$A:$F,7,0),"")</f>
        <v/>
      </c>
      <c r="BF477" s="270" t="str">
        <f>_xlfn.IFNA(VLOOKUP(CONCATENATE(BF$4,$C477),'INSER DATA'!$A:$F,7,0),"")</f>
        <v/>
      </c>
      <c r="BG477" s="270" t="str">
        <f>_xlfn.IFNA(VLOOKUP(CONCATENATE(BG$4,$C477),'INSER DATA'!$A:$F,7,0),"")</f>
        <v/>
      </c>
      <c r="BH477" s="270" t="str">
        <f>_xlfn.IFNA(VLOOKUP(CONCATENATE(BH$4,$C477),'INSER DATA'!$A:$F,7,0),"")</f>
        <v/>
      </c>
      <c r="BI477" s="270" t="str">
        <f>_xlfn.IFNA(VLOOKUP(CONCATENATE(BI$4,$C477),'INSER DATA'!$A:$F,7,0),"")</f>
        <v/>
      </c>
      <c r="BJ477" s="270" t="str">
        <f>_xlfn.IFNA(VLOOKUP(CONCATENATE(BJ$4,$C477),'INSER DATA'!$A:$F,7,0),"")</f>
        <v/>
      </c>
      <c r="BK477" s="270" t="str">
        <f>_xlfn.IFNA(VLOOKUP(CONCATENATE(BK$4,$C477),'INSER DATA'!$A:$F,7,0),"")</f>
        <v/>
      </c>
      <c r="BL477" s="272"/>
      <c r="BM477" s="30"/>
      <c r="BN477" s="30"/>
      <c r="BO477" s="30"/>
      <c r="BP477" s="30"/>
      <c r="BQ477" s="30"/>
      <c r="BR477" s="30"/>
      <c r="BS477" s="30"/>
      <c r="BT477" s="30"/>
      <c r="BU477" s="30"/>
      <c r="BV477" s="30"/>
      <c r="BW477" s="30"/>
      <c r="BX477" s="30"/>
      <c r="BY477" s="30"/>
      <c r="BZ477" s="30"/>
      <c r="CA477" s="30"/>
      <c r="CB477" s="30"/>
      <c r="CC477" s="30"/>
      <c r="CD477" s="30"/>
      <c r="CE477" s="30"/>
      <c r="CF477" s="30"/>
      <c r="CG477" s="30"/>
      <c r="CH477" s="30"/>
      <c r="CI477" s="30"/>
      <c r="CJ477" s="30"/>
      <c r="CK477" s="30"/>
      <c r="CL477" s="30"/>
      <c r="CM477" s="30"/>
      <c r="CN477" s="30"/>
      <c r="CO477" s="30"/>
      <c r="CP477" s="30"/>
      <c r="CQ477" s="30"/>
      <c r="CR477" s="30"/>
      <c r="CS477" s="30"/>
      <c r="CT477" s="30"/>
      <c r="CU477" s="30"/>
      <c r="CV477" s="30"/>
      <c r="CW477" s="30"/>
      <c r="CX477" s="30"/>
      <c r="CY477" s="30"/>
      <c r="CZ477" s="30"/>
      <c r="DA477" s="30"/>
    </row>
    <row r="478" spans="1:105" ht="19.2" thickTop="1" thickBot="1" x14ac:dyDescent="0.4">
      <c r="A478" s="30"/>
      <c r="B478" s="30"/>
      <c r="C478" s="188" t="s">
        <v>955</v>
      </c>
      <c r="D478" s="187" t="s">
        <v>950</v>
      </c>
      <c r="E478" s="35" t="str">
        <f>_xlfn.XLOOKUP(Tabella4[[#This Row],[NOME]],'ROSE SQUADRE'!$N$3:$N$253,'ROSE SQUADRE'!$O$3:$O$253,"")</f>
        <v/>
      </c>
      <c r="F478" s="36" t="s">
        <v>161</v>
      </c>
      <c r="G478" s="43">
        <v>4</v>
      </c>
      <c r="H478" s="43">
        <v>4</v>
      </c>
      <c r="I478" s="44">
        <f t="shared" si="44"/>
        <v>0</v>
      </c>
      <c r="J478" s="37">
        <f t="shared" si="45"/>
        <v>3</v>
      </c>
      <c r="K478" s="38">
        <f t="shared" si="46"/>
        <v>5.833333333333333</v>
      </c>
      <c r="L478" s="38">
        <f t="shared" si="47"/>
        <v>5.666666666666667</v>
      </c>
      <c r="M478" s="39">
        <f t="shared" si="48"/>
        <v>17</v>
      </c>
      <c r="N478" s="45">
        <f t="shared" ca="1" si="43"/>
        <v>0</v>
      </c>
      <c r="O478" s="40">
        <f>SUMIF(Tabella1[Nome],Tabella4[[#This Row],[NOME]],Tabella1[Gf])</f>
        <v>0</v>
      </c>
      <c r="P478" s="40">
        <f>-(SUMIF(Tabella1[Nome],Tabella4[[#This Row],[NOME]],Tabella1[Gs]))</f>
        <v>0</v>
      </c>
      <c r="Q478" s="40">
        <f>SUMIF(Tabella1[Nome],Tabella4[[#This Row],[NOME]],Tabella1[Rp])</f>
        <v>0</v>
      </c>
      <c r="R478" s="40">
        <f>SUMIF(Tabella1[Nome],Tabella4[[#This Row],[NOME]],Tabella1[Rs])</f>
        <v>0</v>
      </c>
      <c r="S478" s="40">
        <f>SUMIF(Tabella1[Nome],Tabella4[[#This Row],[NOME]],Tabella1[Rf])</f>
        <v>0</v>
      </c>
      <c r="T478" s="40">
        <f>SUMIF(Tabella1[Nome],Tabella4[[#This Row],[NOME]],Tabella1[Au])</f>
        <v>0</v>
      </c>
      <c r="U478" s="41">
        <f>SUMIF(Tabella1[Nome],Tabella4[[#This Row],[NOME]],Tabella1[Amm])</f>
        <v>1</v>
      </c>
      <c r="V478" s="42">
        <f>SUMIF(Tabella1[Nome],Tabella4[[#This Row],[NOME]],Tabella1[Esp])</f>
        <v>0</v>
      </c>
      <c r="W478" s="40">
        <f>SUMIF(Tabella1[Nome],Tabella4[[#This Row],[NOME]],Tabella1[Ass])</f>
        <v>0</v>
      </c>
      <c r="X478" s="40">
        <f>SUMIF(Tabella1[Nome],Tabella4[[#This Row],[NOME]],Tabella1[Gdv])</f>
        <v>0</v>
      </c>
      <c r="Y478" s="40">
        <f>SUMIF(Tabella1[Nome],Tabella4[[#This Row],[NOME]],Tabella1[cl sh])</f>
        <v>0</v>
      </c>
      <c r="Z478" s="270" t="str">
        <f>_xlfn.IFNA(_xlfn.XLOOKUP(CONCATENATE(Z$4,$C478),Tabella1[CONC X VOTI IN TAB GIOC],Tabella1[Voto],""),"")</f>
        <v/>
      </c>
      <c r="AA478" s="270">
        <f>_xlfn.IFNA(_xlfn.XLOOKUP(CONCATENATE(AA$4,$C478),Tabella1[CONC X VOTI IN TAB GIOC],Tabella1[Voto],""),"")</f>
        <v>6</v>
      </c>
      <c r="AB478" s="270">
        <f>_xlfn.IFNA(_xlfn.XLOOKUP(CONCATENATE(AB$4,$C478),Tabella1[CONC X VOTI IN TAB GIOC],Tabella1[Voto]),"")</f>
        <v>6</v>
      </c>
      <c r="AC478" s="270" cm="1">
        <f t="array" ref="AC478">_xlfn.IFNA(_xlfn.XLOOKUP(CONCATENATE(AC$4,$C478),INDEX(Tabella1[],0,MATCH("CONC X VOTI IN TAB GIOC",Tabella1[#Headers],0)),INDEX(Tabella1[],0,MATCH("Voto",Tabella1[#Headers],0))),"")</f>
        <v>5.5</v>
      </c>
      <c r="AD478" s="270" t="str">
        <f>_xlfn.IFNA(_xlfn.XLOOKUP(CONCATENATE(AD$4,$C478),Tabella1[CONC X VOTI IN TAB GIOC],Tabella1[Voto]),"")</f>
        <v/>
      </c>
      <c r="AE478" s="270" t="str">
        <f>_xlfn.IFNA(VLOOKUP(CONCATENATE(AE$4,$C478),'INSER DATA'!$A:$F,6,0),"")</f>
        <v/>
      </c>
      <c r="AF478" s="270" t="str">
        <f>_xlfn.IFNA(VLOOKUP(CONCATENATE(AF$4,$C478),'INSER DATA'!$A:$F,6,0),"")</f>
        <v/>
      </c>
      <c r="AG478" s="270" t="str">
        <f>_xlfn.IFNA(VLOOKUP(CONCATENATE(AG$4,$C478),'INSER DATA'!$A:$F,6,0),"")</f>
        <v/>
      </c>
      <c r="AH478" s="270" t="str">
        <f>_xlfn.IFNA(VLOOKUP(CONCATENATE(AH$4,$C478),'INSER DATA'!$A:$F,7,0),"")</f>
        <v/>
      </c>
      <c r="AI478" s="270" t="str">
        <f>_xlfn.IFNA(VLOOKUP(CONCATENATE(AI$4,$C478),'INSER DATA'!$A:$F,7,0),"")</f>
        <v/>
      </c>
      <c r="AJ478" s="270" t="str">
        <f>_xlfn.IFNA(VLOOKUP(CONCATENATE(AJ$4,$C478),'INSER DATA'!$A:$F,7,0),"")</f>
        <v/>
      </c>
      <c r="AK478" s="270" t="str">
        <f>_xlfn.IFNA(VLOOKUP(CONCATENATE(AK$4,$C478),'INSER DATA'!$A:$F,7,0),"")</f>
        <v/>
      </c>
      <c r="AL478" s="270" t="str">
        <f>_xlfn.IFNA(VLOOKUP(CONCATENATE(AL$4,$C478),'INSER DATA'!$A:$F,7,0),"")</f>
        <v/>
      </c>
      <c r="AM478" s="270" t="str">
        <f>_xlfn.IFNA(VLOOKUP(CONCATENATE(AM$4,$C478),'INSER DATA'!$A:$F,7,0),"")</f>
        <v/>
      </c>
      <c r="AN478" s="270" t="str">
        <f>_xlfn.IFNA(VLOOKUP(CONCATENATE(AN$4,$C478),'INSER DATA'!$A:$F,7,0),"")</f>
        <v/>
      </c>
      <c r="AO478" s="270" t="str">
        <f>_xlfn.IFNA(VLOOKUP(CONCATENATE(AO$4,$C478),'INSER DATA'!$A:$F,7,0),"")</f>
        <v/>
      </c>
      <c r="AP478" s="270" t="str">
        <f>_xlfn.IFNA(VLOOKUP(CONCATENATE(AP$4,$C478),'INSER DATA'!$A:$F,7,0),"")</f>
        <v/>
      </c>
      <c r="AQ478" s="270" t="str">
        <f>_xlfn.IFNA(VLOOKUP(CONCATENATE(AQ$4,$C478),'INSER DATA'!$A:$F,7,0),"")</f>
        <v/>
      </c>
      <c r="AR478" s="270" t="str">
        <f>_xlfn.IFNA(VLOOKUP(CONCATENATE(AR$4,$C478),'INSER DATA'!$A:$F,7,0),"")</f>
        <v/>
      </c>
      <c r="AS478" s="270" t="str">
        <f>_xlfn.IFNA(VLOOKUP(CONCATENATE(AS$4,$C478),'INSER DATA'!$A:$F,7,0),"")</f>
        <v/>
      </c>
      <c r="AT478" s="270" t="str">
        <f>_xlfn.IFNA(VLOOKUP(CONCATENATE(AT$4,$C478),'INSER DATA'!$A:$F,7,0),"")</f>
        <v/>
      </c>
      <c r="AU478" s="270" t="str">
        <f>_xlfn.IFNA(VLOOKUP(CONCATENATE(AU$4,$C478),'INSER DATA'!$A:$F,7,0),"")</f>
        <v/>
      </c>
      <c r="AV478" s="270" t="str">
        <f>_xlfn.IFNA(VLOOKUP(CONCATENATE(AV$4,$C478),'INSER DATA'!$A:$F,7,0),"")</f>
        <v/>
      </c>
      <c r="AW478" s="270" t="str">
        <f>_xlfn.IFNA(VLOOKUP(CONCATENATE(AW$4,$C478),'INSER DATA'!$A:$F,7,0),"")</f>
        <v/>
      </c>
      <c r="AX478" s="270" t="str">
        <f>_xlfn.IFNA(VLOOKUP(CONCATENATE(AX$4,$C478),'INSER DATA'!$A:$F,7,0),"")</f>
        <v/>
      </c>
      <c r="AY478" s="270" t="str">
        <f>_xlfn.IFNA(VLOOKUP(CONCATENATE(AY$4,$C478),'INSER DATA'!$A:$F,7,0),"")</f>
        <v/>
      </c>
      <c r="AZ478" s="270" t="str">
        <f>_xlfn.IFNA(VLOOKUP(CONCATENATE(AZ$4,$C478),'INSER DATA'!$A:$F,7,0),"")</f>
        <v/>
      </c>
      <c r="BA478" s="270" t="str">
        <f>_xlfn.IFNA(VLOOKUP(CONCATENATE(BA$4,$C478),'INSER DATA'!$A:$F,7,0),"")</f>
        <v/>
      </c>
      <c r="BB478" s="270" t="str">
        <f>_xlfn.IFNA(VLOOKUP(CONCATENATE(BB$4,$C478),'INSER DATA'!$A:$F,7,0),"")</f>
        <v/>
      </c>
      <c r="BC478" s="270" t="str">
        <f>_xlfn.IFNA(VLOOKUP(CONCATENATE(BC$4,$C478),'INSER DATA'!$A:$F,7,0),"")</f>
        <v/>
      </c>
      <c r="BD478" s="270" t="str">
        <f>_xlfn.IFNA(VLOOKUP(CONCATENATE(BD$4,$C478),'INSER DATA'!$A:$F,7,0),"")</f>
        <v/>
      </c>
      <c r="BE478" s="270" t="str">
        <f>_xlfn.IFNA(VLOOKUP(CONCATENATE(BE$4,$C478),'INSER DATA'!$A:$F,7,0),"")</f>
        <v/>
      </c>
      <c r="BF478" s="270" t="str">
        <f>_xlfn.IFNA(VLOOKUP(CONCATENATE(BF$4,$C478),'INSER DATA'!$A:$F,7,0),"")</f>
        <v/>
      </c>
      <c r="BG478" s="270" t="str">
        <f>_xlfn.IFNA(VLOOKUP(CONCATENATE(BG$4,$C478),'INSER DATA'!$A:$F,7,0),"")</f>
        <v/>
      </c>
      <c r="BH478" s="270" t="str">
        <f>_xlfn.IFNA(VLOOKUP(CONCATENATE(BH$4,$C478),'INSER DATA'!$A:$F,7,0),"")</f>
        <v/>
      </c>
      <c r="BI478" s="270" t="str">
        <f>_xlfn.IFNA(VLOOKUP(CONCATENATE(BI$4,$C478),'INSER DATA'!$A:$F,7,0),"")</f>
        <v/>
      </c>
      <c r="BJ478" s="270" t="str">
        <f>_xlfn.IFNA(VLOOKUP(CONCATENATE(BJ$4,$C478),'INSER DATA'!$A:$F,7,0),"")</f>
        <v/>
      </c>
      <c r="BK478" s="270" t="str">
        <f>_xlfn.IFNA(VLOOKUP(CONCATENATE(BK$4,$C478),'INSER DATA'!$A:$F,7,0),"")</f>
        <v/>
      </c>
      <c r="BL478" s="272"/>
      <c r="BM478" s="30"/>
      <c r="BN478" s="30"/>
      <c r="BO478" s="30"/>
      <c r="BP478" s="30"/>
      <c r="BQ478" s="30"/>
      <c r="BR478" s="30"/>
      <c r="BS478" s="30"/>
      <c r="BT478" s="30"/>
      <c r="BU478" s="30"/>
      <c r="BV478" s="30"/>
      <c r="BW478" s="30"/>
      <c r="BX478" s="30"/>
      <c r="BY478" s="30"/>
      <c r="BZ478" s="30"/>
      <c r="CA478" s="30"/>
      <c r="CB478" s="30"/>
      <c r="CC478" s="30"/>
      <c r="CD478" s="30"/>
      <c r="CE478" s="30"/>
      <c r="CF478" s="30"/>
      <c r="CG478" s="30"/>
      <c r="CH478" s="30"/>
      <c r="CI478" s="30"/>
      <c r="CJ478" s="30"/>
      <c r="CK478" s="30"/>
      <c r="CL478" s="30"/>
      <c r="CM478" s="30"/>
      <c r="CN478" s="30"/>
      <c r="CO478" s="30"/>
      <c r="CP478" s="30"/>
      <c r="CQ478" s="30"/>
      <c r="CR478" s="30"/>
      <c r="CS478" s="30"/>
      <c r="CT478" s="30"/>
      <c r="CU478" s="30"/>
      <c r="CV478" s="30"/>
      <c r="CW478" s="30"/>
      <c r="CX478" s="30"/>
      <c r="CY478" s="30"/>
      <c r="CZ478" s="30"/>
      <c r="DA478" s="30"/>
    </row>
    <row r="479" spans="1:105" ht="19.2" thickTop="1" thickBot="1" x14ac:dyDescent="0.4">
      <c r="A479" s="30"/>
      <c r="B479" s="30"/>
      <c r="C479" s="356" t="s">
        <v>959</v>
      </c>
      <c r="D479" s="357" t="s">
        <v>950</v>
      </c>
      <c r="E479" s="35" t="str">
        <f>_xlfn.XLOOKUP(Tabella4[[#This Row],[NOME]],'ROSE SQUADRE'!$N$3:$N$253,'ROSE SQUADRE'!$O$3:$O$253,"")</f>
        <v>PARTIZAN DEGRADO</v>
      </c>
      <c r="F479" s="36" t="s">
        <v>161</v>
      </c>
      <c r="G479" s="43">
        <v>13</v>
      </c>
      <c r="H479" s="43">
        <v>13</v>
      </c>
      <c r="I479" s="44">
        <f t="shared" si="44"/>
        <v>0</v>
      </c>
      <c r="J479" s="37">
        <f t="shared" si="45"/>
        <v>3</v>
      </c>
      <c r="K479" s="38">
        <f t="shared" si="46"/>
        <v>6</v>
      </c>
      <c r="L479" s="38">
        <f t="shared" si="47"/>
        <v>6</v>
      </c>
      <c r="M479" s="39">
        <f t="shared" si="48"/>
        <v>18</v>
      </c>
      <c r="N479" s="45">
        <f t="shared" ca="1" si="43"/>
        <v>0</v>
      </c>
      <c r="O479" s="40">
        <f>SUMIF(Tabella1[Nome],Tabella4[[#This Row],[NOME]],Tabella1[Gf])</f>
        <v>0</v>
      </c>
      <c r="P479" s="40">
        <f>-(SUMIF(Tabella1[Nome],Tabella4[[#This Row],[NOME]],Tabella1[Gs]))</f>
        <v>0</v>
      </c>
      <c r="Q479" s="40">
        <f>SUMIF(Tabella1[Nome],Tabella4[[#This Row],[NOME]],Tabella1[Rp])</f>
        <v>0</v>
      </c>
      <c r="R479" s="40">
        <f>SUMIF(Tabella1[Nome],Tabella4[[#This Row],[NOME]],Tabella1[Rs])</f>
        <v>0</v>
      </c>
      <c r="S479" s="40">
        <f>SUMIF(Tabella1[Nome],Tabella4[[#This Row],[NOME]],Tabella1[Rf])</f>
        <v>0</v>
      </c>
      <c r="T479" s="40">
        <f>SUMIF(Tabella1[Nome],Tabella4[[#This Row],[NOME]],Tabella1[Au])</f>
        <v>0</v>
      </c>
      <c r="U479" s="41">
        <f>SUMIF(Tabella1[Nome],Tabella4[[#This Row],[NOME]],Tabella1[Amm])</f>
        <v>0</v>
      </c>
      <c r="V479" s="42">
        <f>SUMIF(Tabella1[Nome],Tabella4[[#This Row],[NOME]],Tabella1[Esp])</f>
        <v>0</v>
      </c>
      <c r="W479" s="40">
        <f>SUMIF(Tabella1[Nome],Tabella4[[#This Row],[NOME]],Tabella1[Ass])</f>
        <v>0</v>
      </c>
      <c r="X479" s="40">
        <f>SUMIF(Tabella1[Nome],Tabella4[[#This Row],[NOME]],Tabella1[Gdv])</f>
        <v>0</v>
      </c>
      <c r="Y479" s="40">
        <f>SUMIF(Tabella1[Nome],Tabella4[[#This Row],[NOME]],Tabella1[cl sh])</f>
        <v>0</v>
      </c>
      <c r="Z479" s="270">
        <f>_xlfn.IFNA(_xlfn.XLOOKUP(CONCATENATE(Z$4,$C479),Tabella1[CONC X VOTI IN TAB GIOC],Tabella1[Voto],""),"")</f>
        <v>6</v>
      </c>
      <c r="AA479" s="270">
        <f>_xlfn.IFNA(_xlfn.XLOOKUP(CONCATENATE(AA$4,$C479),Tabella1[CONC X VOTI IN TAB GIOC],Tabella1[Voto],""),"")</f>
        <v>6</v>
      </c>
      <c r="AB479" s="270">
        <f>_xlfn.IFNA(_xlfn.XLOOKUP(CONCATENATE(AB$4,$C479),Tabella1[CONC X VOTI IN TAB GIOC],Tabella1[Voto]),"")</f>
        <v>6</v>
      </c>
      <c r="AC479" s="270" t="str" cm="1">
        <f t="array" ref="AC479">_xlfn.IFNA(_xlfn.XLOOKUP(CONCATENATE(AC$4,$C479),INDEX(Tabella1[],0,MATCH("CONC X VOTI IN TAB GIOC",Tabella1[#Headers],0)),INDEX(Tabella1[],0,MATCH("Voto",Tabella1[#Headers],0))),"")</f>
        <v/>
      </c>
      <c r="AD479" s="270" t="str">
        <f>_xlfn.IFNA(_xlfn.XLOOKUP(CONCATENATE(AD$4,$C479),Tabella1[CONC X VOTI IN TAB GIOC],Tabella1[Voto]),"")</f>
        <v/>
      </c>
      <c r="AE479" s="270" t="str">
        <f>_xlfn.IFNA(VLOOKUP(CONCATENATE(AE$4,$C479),'INSER DATA'!$A:$F,6,0),"")</f>
        <v/>
      </c>
      <c r="AF479" s="270" t="str">
        <f>_xlfn.IFNA(VLOOKUP(CONCATENATE(AF$4,$C479),'INSER DATA'!$A:$F,6,0),"")</f>
        <v/>
      </c>
      <c r="AG479" s="270" t="str">
        <f>_xlfn.IFNA(VLOOKUP(CONCATENATE(AG$4,$C479),'INSER DATA'!$A:$F,6,0),"")</f>
        <v/>
      </c>
      <c r="AH479" s="270" t="str">
        <f>_xlfn.IFNA(VLOOKUP(CONCATENATE(AH$4,$C479),'INSER DATA'!$A:$F,7,0),"")</f>
        <v/>
      </c>
      <c r="AI479" s="270" t="str">
        <f>_xlfn.IFNA(VLOOKUP(CONCATENATE(AI$4,$C479),'INSER DATA'!$A:$F,7,0),"")</f>
        <v/>
      </c>
      <c r="AJ479" s="270" t="str">
        <f>_xlfn.IFNA(VLOOKUP(CONCATENATE(AJ$4,$C479),'INSER DATA'!$A:$F,7,0),"")</f>
        <v/>
      </c>
      <c r="AK479" s="270" t="str">
        <f>_xlfn.IFNA(VLOOKUP(CONCATENATE(AK$4,$C479),'INSER DATA'!$A:$F,7,0),"")</f>
        <v/>
      </c>
      <c r="AL479" s="270" t="str">
        <f>_xlfn.IFNA(VLOOKUP(CONCATENATE(AL$4,$C479),'INSER DATA'!$A:$F,7,0),"")</f>
        <v/>
      </c>
      <c r="AM479" s="270" t="str">
        <f>_xlfn.IFNA(VLOOKUP(CONCATENATE(AM$4,$C479),'INSER DATA'!$A:$F,7,0),"")</f>
        <v/>
      </c>
      <c r="AN479" s="270" t="str">
        <f>_xlfn.IFNA(VLOOKUP(CONCATENATE(AN$4,$C479),'INSER DATA'!$A:$F,7,0),"")</f>
        <v/>
      </c>
      <c r="AO479" s="270" t="str">
        <f>_xlfn.IFNA(VLOOKUP(CONCATENATE(AO$4,$C479),'INSER DATA'!$A:$F,7,0),"")</f>
        <v/>
      </c>
      <c r="AP479" s="270" t="str">
        <f>_xlfn.IFNA(VLOOKUP(CONCATENATE(AP$4,$C479),'INSER DATA'!$A:$F,7,0),"")</f>
        <v/>
      </c>
      <c r="AQ479" s="270" t="str">
        <f>_xlfn.IFNA(VLOOKUP(CONCATENATE(AQ$4,$C479),'INSER DATA'!$A:$F,7,0),"")</f>
        <v/>
      </c>
      <c r="AR479" s="270" t="str">
        <f>_xlfn.IFNA(VLOOKUP(CONCATENATE(AR$4,$C479),'INSER DATA'!$A:$F,7,0),"")</f>
        <v/>
      </c>
      <c r="AS479" s="270" t="str">
        <f>_xlfn.IFNA(VLOOKUP(CONCATENATE(AS$4,$C479),'INSER DATA'!$A:$F,7,0),"")</f>
        <v/>
      </c>
      <c r="AT479" s="270" t="str">
        <f>_xlfn.IFNA(VLOOKUP(CONCATENATE(AT$4,$C479),'INSER DATA'!$A:$F,7,0),"")</f>
        <v/>
      </c>
      <c r="AU479" s="270" t="str">
        <f>_xlfn.IFNA(VLOOKUP(CONCATENATE(AU$4,$C479),'INSER DATA'!$A:$F,7,0),"")</f>
        <v/>
      </c>
      <c r="AV479" s="270" t="str">
        <f>_xlfn.IFNA(VLOOKUP(CONCATENATE(AV$4,$C479),'INSER DATA'!$A:$F,7,0),"")</f>
        <v/>
      </c>
      <c r="AW479" s="270" t="str">
        <f>_xlfn.IFNA(VLOOKUP(CONCATENATE(AW$4,$C479),'INSER DATA'!$A:$F,7,0),"")</f>
        <v/>
      </c>
      <c r="AX479" s="270" t="str">
        <f>_xlfn.IFNA(VLOOKUP(CONCATENATE(AX$4,$C479),'INSER DATA'!$A:$F,7,0),"")</f>
        <v/>
      </c>
      <c r="AY479" s="270" t="str">
        <f>_xlfn.IFNA(VLOOKUP(CONCATENATE(AY$4,$C479),'INSER DATA'!$A:$F,7,0),"")</f>
        <v/>
      </c>
      <c r="AZ479" s="270" t="str">
        <f>_xlfn.IFNA(VLOOKUP(CONCATENATE(AZ$4,$C479),'INSER DATA'!$A:$F,7,0),"")</f>
        <v/>
      </c>
      <c r="BA479" s="270" t="str">
        <f>_xlfn.IFNA(VLOOKUP(CONCATENATE(BA$4,$C479),'INSER DATA'!$A:$F,7,0),"")</f>
        <v/>
      </c>
      <c r="BB479" s="270" t="str">
        <f>_xlfn.IFNA(VLOOKUP(CONCATENATE(BB$4,$C479),'INSER DATA'!$A:$F,7,0),"")</f>
        <v/>
      </c>
      <c r="BC479" s="270" t="str">
        <f>_xlfn.IFNA(VLOOKUP(CONCATENATE(BC$4,$C479),'INSER DATA'!$A:$F,7,0),"")</f>
        <v/>
      </c>
      <c r="BD479" s="270" t="str">
        <f>_xlfn.IFNA(VLOOKUP(CONCATENATE(BD$4,$C479),'INSER DATA'!$A:$F,7,0),"")</f>
        <v/>
      </c>
      <c r="BE479" s="270" t="str">
        <f>_xlfn.IFNA(VLOOKUP(CONCATENATE(BE$4,$C479),'INSER DATA'!$A:$F,7,0),"")</f>
        <v/>
      </c>
      <c r="BF479" s="270" t="str">
        <f>_xlfn.IFNA(VLOOKUP(CONCATENATE(BF$4,$C479),'INSER DATA'!$A:$F,7,0),"")</f>
        <v/>
      </c>
      <c r="BG479" s="270" t="str">
        <f>_xlfn.IFNA(VLOOKUP(CONCATENATE(BG$4,$C479),'INSER DATA'!$A:$F,7,0),"")</f>
        <v/>
      </c>
      <c r="BH479" s="270" t="str">
        <f>_xlfn.IFNA(VLOOKUP(CONCATENATE(BH$4,$C479),'INSER DATA'!$A:$F,7,0),"")</f>
        <v/>
      </c>
      <c r="BI479" s="270" t="str">
        <f>_xlfn.IFNA(VLOOKUP(CONCATENATE(BI$4,$C479),'INSER DATA'!$A:$F,7,0),"")</f>
        <v/>
      </c>
      <c r="BJ479" s="270" t="str">
        <f>_xlfn.IFNA(VLOOKUP(CONCATENATE(BJ$4,$C479),'INSER DATA'!$A:$F,7,0),"")</f>
        <v/>
      </c>
      <c r="BK479" s="270" t="str">
        <f>_xlfn.IFNA(VLOOKUP(CONCATENATE(BK$4,$C479),'INSER DATA'!$A:$F,7,0),"")</f>
        <v/>
      </c>
      <c r="BL479" s="272"/>
      <c r="BM479" s="30"/>
      <c r="BN479" s="30"/>
      <c r="BO479" s="30"/>
      <c r="BP479" s="30"/>
      <c r="BQ479" s="30"/>
      <c r="BR479" s="30"/>
      <c r="BS479" s="30"/>
      <c r="BT479" s="30"/>
      <c r="BU479" s="30"/>
      <c r="BV479" s="30"/>
      <c r="BW479" s="30"/>
      <c r="BX479" s="30"/>
      <c r="BY479" s="30"/>
      <c r="BZ479" s="30"/>
      <c r="CA479" s="30"/>
      <c r="CB479" s="30"/>
      <c r="CC479" s="30"/>
      <c r="CD479" s="30"/>
      <c r="CE479" s="30"/>
      <c r="CF479" s="30"/>
      <c r="CG479" s="30"/>
      <c r="CH479" s="30"/>
      <c r="CI479" s="30"/>
      <c r="CJ479" s="30"/>
      <c r="CK479" s="30"/>
      <c r="CL479" s="30"/>
      <c r="CM479" s="30"/>
      <c r="CN479" s="30"/>
      <c r="CO479" s="30"/>
      <c r="CP479" s="30"/>
      <c r="CQ479" s="30"/>
      <c r="CR479" s="30"/>
      <c r="CS479" s="30"/>
      <c r="CT479" s="30"/>
      <c r="CU479" s="30"/>
      <c r="CV479" s="30"/>
      <c r="CW479" s="30"/>
      <c r="CX479" s="30"/>
      <c r="CY479" s="30"/>
      <c r="CZ479" s="30"/>
      <c r="DA479" s="30"/>
    </row>
    <row r="480" spans="1:105" ht="19.2" thickTop="1" thickBot="1" x14ac:dyDescent="0.4">
      <c r="A480" s="30"/>
      <c r="B480" s="30"/>
      <c r="C480" s="188" t="s">
        <v>961</v>
      </c>
      <c r="D480" s="187" t="s">
        <v>950</v>
      </c>
      <c r="E480" s="35" t="str">
        <f>_xlfn.XLOOKUP(Tabella4[[#This Row],[NOME]],'ROSE SQUADRE'!$N$3:$N$253,'ROSE SQUADRE'!$O$3:$O$253,"")</f>
        <v/>
      </c>
      <c r="F480" s="36" t="s">
        <v>162</v>
      </c>
      <c r="G480" s="43">
        <v>3</v>
      </c>
      <c r="H480" s="43">
        <v>4</v>
      </c>
      <c r="I480" s="44">
        <f t="shared" si="44"/>
        <v>1</v>
      </c>
      <c r="J480" s="37">
        <f t="shared" si="45"/>
        <v>4</v>
      </c>
      <c r="K480" s="178">
        <f t="shared" si="46"/>
        <v>5.875</v>
      </c>
      <c r="L480" s="178">
        <f t="shared" si="47"/>
        <v>5.75</v>
      </c>
      <c r="M480" s="179">
        <f t="shared" si="48"/>
        <v>23</v>
      </c>
      <c r="N480" s="45">
        <f t="shared" ca="1" si="43"/>
        <v>0</v>
      </c>
      <c r="O480" s="40">
        <f>SUMIF(Tabella1[Nome],Tabella4[[#This Row],[NOME]],Tabella1[Gf])</f>
        <v>0</v>
      </c>
      <c r="P480" s="40">
        <f>-(SUMIF(Tabella1[Nome],Tabella4[[#This Row],[NOME]],Tabella1[Gs]))</f>
        <v>0</v>
      </c>
      <c r="Q480" s="40">
        <f>SUMIF(Tabella1[Nome],Tabella4[[#This Row],[NOME]],Tabella1[Rp])</f>
        <v>0</v>
      </c>
      <c r="R480" s="40">
        <f>SUMIF(Tabella1[Nome],Tabella4[[#This Row],[NOME]],Tabella1[Rs])</f>
        <v>0</v>
      </c>
      <c r="S480" s="40">
        <f>SUMIF(Tabella1[Nome],Tabella4[[#This Row],[NOME]],Tabella1[Rf])</f>
        <v>0</v>
      </c>
      <c r="T480" s="40">
        <f>SUMIF(Tabella1[Nome],Tabella4[[#This Row],[NOME]],Tabella1[Au])</f>
        <v>0</v>
      </c>
      <c r="U480" s="41">
        <f>SUMIF(Tabella1[Nome],Tabella4[[#This Row],[NOME]],Tabella1[Amm])</f>
        <v>1</v>
      </c>
      <c r="V480" s="42">
        <f>SUMIF(Tabella1[Nome],Tabella4[[#This Row],[NOME]],Tabella1[Esp])</f>
        <v>0</v>
      </c>
      <c r="W480" s="40">
        <f>SUMIF(Tabella1[Nome],Tabella4[[#This Row],[NOME]],Tabella1[Ass])</f>
        <v>0</v>
      </c>
      <c r="X480" s="40">
        <f>SUMIF(Tabella1[Nome],Tabella4[[#This Row],[NOME]],Tabella1[Gdv])</f>
        <v>0</v>
      </c>
      <c r="Y480" s="40">
        <f>SUMIF(Tabella1[Nome],Tabella4[[#This Row],[NOME]],Tabella1[cl sh])</f>
        <v>0</v>
      </c>
      <c r="Z480" s="270">
        <f>_xlfn.IFNA(_xlfn.XLOOKUP(CONCATENATE(Z$4,$C480),Tabella1[CONC X VOTI IN TAB GIOC],Tabella1[Voto],""),"")</f>
        <v>6</v>
      </c>
      <c r="AA480" s="270">
        <f>_xlfn.IFNA(_xlfn.XLOOKUP(CONCATENATE(AA$4,$C480),Tabella1[CONC X VOTI IN TAB GIOC],Tabella1[Voto],""),"")</f>
        <v>6</v>
      </c>
      <c r="AB480" s="270">
        <f>_xlfn.IFNA(_xlfn.XLOOKUP(CONCATENATE(AB$4,$C480),Tabella1[CONC X VOTI IN TAB GIOC],Tabella1[Voto]),"")</f>
        <v>6</v>
      </c>
      <c r="AC480" s="270" cm="1">
        <f t="array" ref="AC480">_xlfn.IFNA(_xlfn.XLOOKUP(CONCATENATE(AC$4,$C480),INDEX(Tabella1[],0,MATCH("CONC X VOTI IN TAB GIOC",Tabella1[#Headers],0)),INDEX(Tabella1[],0,MATCH("Voto",Tabella1[#Headers],0))),"")</f>
        <v>5.5</v>
      </c>
      <c r="AD480" s="270" t="str">
        <f>_xlfn.IFNA(_xlfn.XLOOKUP(CONCATENATE(AD$4,$C480),Tabella1[CONC X VOTI IN TAB GIOC],Tabella1[Voto]),"")</f>
        <v/>
      </c>
      <c r="AE480" s="270" t="str">
        <f>_xlfn.IFNA(VLOOKUP(CONCATENATE(AE$4,$C480),'INSER DATA'!$A:$F,6,0),"")</f>
        <v/>
      </c>
      <c r="AF480" s="270" t="str">
        <f>_xlfn.IFNA(VLOOKUP(CONCATENATE(AF$4,$C480),'INSER DATA'!$A:$F,6,0),"")</f>
        <v/>
      </c>
      <c r="AG480" s="270" t="str">
        <f>_xlfn.IFNA(VLOOKUP(CONCATENATE(AG$4,$C480),'INSER DATA'!$A:$F,6,0),"")</f>
        <v/>
      </c>
      <c r="AH480" s="270" t="str">
        <f>_xlfn.IFNA(VLOOKUP(CONCATENATE(AH$4,$C480),'INSER DATA'!$A:$F,7,0),"")</f>
        <v/>
      </c>
      <c r="AI480" s="270" t="str">
        <f>_xlfn.IFNA(VLOOKUP(CONCATENATE(AI$4,$C480),'INSER DATA'!$A:$F,7,0),"")</f>
        <v/>
      </c>
      <c r="AJ480" s="270" t="str">
        <f>_xlfn.IFNA(VLOOKUP(CONCATENATE(AJ$4,$C480),'INSER DATA'!$A:$F,7,0),"")</f>
        <v/>
      </c>
      <c r="AK480" s="270" t="str">
        <f>_xlfn.IFNA(VLOOKUP(CONCATENATE(AK$4,$C480),'INSER DATA'!$A:$F,7,0),"")</f>
        <v/>
      </c>
      <c r="AL480" s="270" t="str">
        <f>_xlfn.IFNA(VLOOKUP(CONCATENATE(AL$4,$C480),'INSER DATA'!$A:$F,7,0),"")</f>
        <v/>
      </c>
      <c r="AM480" s="270" t="str">
        <f>_xlfn.IFNA(VLOOKUP(CONCATENATE(AM$4,$C480),'INSER DATA'!$A:$F,7,0),"")</f>
        <v/>
      </c>
      <c r="AN480" s="270" t="str">
        <f>_xlfn.IFNA(VLOOKUP(CONCATENATE(AN$4,$C480),'INSER DATA'!$A:$F,7,0),"")</f>
        <v/>
      </c>
      <c r="AO480" s="270" t="str">
        <f>_xlfn.IFNA(VLOOKUP(CONCATENATE(AO$4,$C480),'INSER DATA'!$A:$F,7,0),"")</f>
        <v/>
      </c>
      <c r="AP480" s="270" t="str">
        <f>_xlfn.IFNA(VLOOKUP(CONCATENATE(AP$4,$C480),'INSER DATA'!$A:$F,7,0),"")</f>
        <v/>
      </c>
      <c r="AQ480" s="270" t="str">
        <f>_xlfn.IFNA(VLOOKUP(CONCATENATE(AQ$4,$C480),'INSER DATA'!$A:$F,7,0),"")</f>
        <v/>
      </c>
      <c r="AR480" s="270" t="str">
        <f>_xlfn.IFNA(VLOOKUP(CONCATENATE(AR$4,$C480),'INSER DATA'!$A:$F,7,0),"")</f>
        <v/>
      </c>
      <c r="AS480" s="270" t="str">
        <f>_xlfn.IFNA(VLOOKUP(CONCATENATE(AS$4,$C480),'INSER DATA'!$A:$F,7,0),"")</f>
        <v/>
      </c>
      <c r="AT480" s="270" t="str">
        <f>_xlfn.IFNA(VLOOKUP(CONCATENATE(AT$4,$C480),'INSER DATA'!$A:$F,7,0),"")</f>
        <v/>
      </c>
      <c r="AU480" s="270" t="str">
        <f>_xlfn.IFNA(VLOOKUP(CONCATENATE(AU$4,$C480),'INSER DATA'!$A:$F,7,0),"")</f>
        <v/>
      </c>
      <c r="AV480" s="270" t="str">
        <f>_xlfn.IFNA(VLOOKUP(CONCATENATE(AV$4,$C480),'INSER DATA'!$A:$F,7,0),"")</f>
        <v/>
      </c>
      <c r="AW480" s="270" t="str">
        <f>_xlfn.IFNA(VLOOKUP(CONCATENATE(AW$4,$C480),'INSER DATA'!$A:$F,7,0),"")</f>
        <v/>
      </c>
      <c r="AX480" s="270" t="str">
        <f>_xlfn.IFNA(VLOOKUP(CONCATENATE(AX$4,$C480),'INSER DATA'!$A:$F,7,0),"")</f>
        <v/>
      </c>
      <c r="AY480" s="270" t="str">
        <f>_xlfn.IFNA(VLOOKUP(CONCATENATE(AY$4,$C480),'INSER DATA'!$A:$F,7,0),"")</f>
        <v/>
      </c>
      <c r="AZ480" s="270" t="str">
        <f>_xlfn.IFNA(VLOOKUP(CONCATENATE(AZ$4,$C480),'INSER DATA'!$A:$F,7,0),"")</f>
        <v/>
      </c>
      <c r="BA480" s="270" t="str">
        <f>_xlfn.IFNA(VLOOKUP(CONCATENATE(BA$4,$C480),'INSER DATA'!$A:$F,7,0),"")</f>
        <v/>
      </c>
      <c r="BB480" s="270" t="str">
        <f>_xlfn.IFNA(VLOOKUP(CONCATENATE(BB$4,$C480),'INSER DATA'!$A:$F,7,0),"")</f>
        <v/>
      </c>
      <c r="BC480" s="270" t="str">
        <f>_xlfn.IFNA(VLOOKUP(CONCATENATE(BC$4,$C480),'INSER DATA'!$A:$F,7,0),"")</f>
        <v/>
      </c>
      <c r="BD480" s="270" t="str">
        <f>_xlfn.IFNA(VLOOKUP(CONCATENATE(BD$4,$C480),'INSER DATA'!$A:$F,7,0),"")</f>
        <v/>
      </c>
      <c r="BE480" s="270" t="str">
        <f>_xlfn.IFNA(VLOOKUP(CONCATENATE(BE$4,$C480),'INSER DATA'!$A:$F,7,0),"")</f>
        <v/>
      </c>
      <c r="BF480" s="270" t="str">
        <f>_xlfn.IFNA(VLOOKUP(CONCATENATE(BF$4,$C480),'INSER DATA'!$A:$F,7,0),"")</f>
        <v/>
      </c>
      <c r="BG480" s="270" t="str">
        <f>_xlfn.IFNA(VLOOKUP(CONCATENATE(BG$4,$C480),'INSER DATA'!$A:$F,7,0),"")</f>
        <v/>
      </c>
      <c r="BH480" s="270" t="str">
        <f>_xlfn.IFNA(VLOOKUP(CONCATENATE(BH$4,$C480),'INSER DATA'!$A:$F,7,0),"")</f>
        <v/>
      </c>
      <c r="BI480" s="270" t="str">
        <f>_xlfn.IFNA(VLOOKUP(CONCATENATE(BI$4,$C480),'INSER DATA'!$A:$F,7,0),"")</f>
        <v/>
      </c>
      <c r="BJ480" s="270" t="str">
        <f>_xlfn.IFNA(VLOOKUP(CONCATENATE(BJ$4,$C480),'INSER DATA'!$A:$F,7,0),"")</f>
        <v/>
      </c>
      <c r="BK480" s="270" t="str">
        <f>_xlfn.IFNA(VLOOKUP(CONCATENATE(BK$4,$C480),'INSER DATA'!$A:$F,7,0),"")</f>
        <v/>
      </c>
      <c r="BL480" s="272"/>
      <c r="BM480" s="30"/>
      <c r="BN480" s="30"/>
      <c r="BO480" s="30"/>
      <c r="BP480" s="30"/>
      <c r="BQ480" s="30"/>
      <c r="BR480" s="30"/>
      <c r="BS480" s="30"/>
      <c r="BT480" s="30"/>
      <c r="BU480" s="30"/>
      <c r="BV480" s="30"/>
      <c r="BW480" s="30"/>
      <c r="BX480" s="30"/>
      <c r="BY480" s="30"/>
      <c r="BZ480" s="30"/>
      <c r="CA480" s="30"/>
      <c r="CB480" s="30"/>
      <c r="CC480" s="30"/>
      <c r="CD480" s="30"/>
      <c r="CE480" s="30"/>
      <c r="CF480" s="30"/>
      <c r="CG480" s="30"/>
      <c r="CH480" s="30"/>
      <c r="CI480" s="30"/>
      <c r="CJ480" s="30"/>
      <c r="CK480" s="30"/>
      <c r="CL480" s="30"/>
      <c r="CM480" s="30"/>
      <c r="CN480" s="30"/>
      <c r="CO480" s="30"/>
      <c r="CP480" s="30"/>
      <c r="CQ480" s="30"/>
      <c r="CR480" s="30"/>
      <c r="CS480" s="30"/>
      <c r="CT480" s="30"/>
      <c r="CU480" s="30"/>
      <c r="CV480" s="30"/>
      <c r="CW480" s="30"/>
      <c r="CX480" s="30"/>
      <c r="CY480" s="30"/>
      <c r="CZ480" s="30"/>
      <c r="DA480" s="30"/>
    </row>
    <row r="481" spans="1:105" ht="19.2" thickTop="1" thickBot="1" x14ac:dyDescent="0.4">
      <c r="A481" s="30"/>
      <c r="B481" s="30"/>
      <c r="C481" s="185" t="s">
        <v>621</v>
      </c>
      <c r="D481" s="46" t="s">
        <v>950</v>
      </c>
      <c r="E481" s="35" t="str">
        <f>_xlfn.XLOOKUP(Tabella4[[#This Row],[NOME]],'ROSE SQUADRE'!$N$3:$N$253,'ROSE SQUADRE'!$O$3:$O$253,"")</f>
        <v/>
      </c>
      <c r="F481" s="36" t="s">
        <v>162</v>
      </c>
      <c r="G481" s="43">
        <v>1</v>
      </c>
      <c r="H481" s="43">
        <v>1</v>
      </c>
      <c r="I481" s="44">
        <f t="shared" si="44"/>
        <v>0</v>
      </c>
      <c r="J481" s="37">
        <f t="shared" si="45"/>
        <v>2</v>
      </c>
      <c r="K481" s="178">
        <f t="shared" si="46"/>
        <v>5.75</v>
      </c>
      <c r="L481" s="178">
        <f t="shared" si="47"/>
        <v>5.75</v>
      </c>
      <c r="M481" s="179">
        <f t="shared" si="48"/>
        <v>11.5</v>
      </c>
      <c r="N481" s="45">
        <f t="shared" ref="N481:N512" ca="1" si="49">ContaCellePerColore(Z481:BK481,$C$3)</f>
        <v>0</v>
      </c>
      <c r="O481" s="40">
        <f>SUMIF(Tabella1[Nome],Tabella4[[#This Row],[NOME]],Tabella1[Gf])</f>
        <v>0</v>
      </c>
      <c r="P481" s="40">
        <f>-(SUMIF(Tabella1[Nome],Tabella4[[#This Row],[NOME]],Tabella1[Gs]))</f>
        <v>0</v>
      </c>
      <c r="Q481" s="40">
        <f>SUMIF(Tabella1[Nome],Tabella4[[#This Row],[NOME]],Tabella1[Rp])</f>
        <v>0</v>
      </c>
      <c r="R481" s="40">
        <f>SUMIF(Tabella1[Nome],Tabella4[[#This Row],[NOME]],Tabella1[Rs])</f>
        <v>0</v>
      </c>
      <c r="S481" s="40">
        <f>SUMIF(Tabella1[Nome],Tabella4[[#This Row],[NOME]],Tabella1[Rf])</f>
        <v>0</v>
      </c>
      <c r="T481" s="40">
        <f>SUMIF(Tabella1[Nome],Tabella4[[#This Row],[NOME]],Tabella1[Au])</f>
        <v>0</v>
      </c>
      <c r="U481" s="41">
        <f>SUMIF(Tabella1[Nome],Tabella4[[#This Row],[NOME]],Tabella1[Amm])</f>
        <v>0</v>
      </c>
      <c r="V481" s="42">
        <f>SUMIF(Tabella1[Nome],Tabella4[[#This Row],[NOME]],Tabella1[Esp])</f>
        <v>0</v>
      </c>
      <c r="W481" s="40">
        <f>SUMIF(Tabella1[Nome],Tabella4[[#This Row],[NOME]],Tabella1[Ass])</f>
        <v>0</v>
      </c>
      <c r="X481" s="40">
        <f>SUMIF(Tabella1[Nome],Tabella4[[#This Row],[NOME]],Tabella1[Gdv])</f>
        <v>0</v>
      </c>
      <c r="Y481" s="40">
        <f>SUMIF(Tabella1[Nome],Tabella4[[#This Row],[NOME]],Tabella1[cl sh])</f>
        <v>0</v>
      </c>
      <c r="Z481" s="270" t="str">
        <f>_xlfn.IFNA(_xlfn.XLOOKUP(CONCATENATE(Z$4,$C481),Tabella1[CONC X VOTI IN TAB GIOC],Tabella1[Voto],""),"")</f>
        <v/>
      </c>
      <c r="AA481" s="270">
        <f>_xlfn.IFNA(_xlfn.XLOOKUP(CONCATENATE(AA$4,$C481),Tabella1[CONC X VOTI IN TAB GIOC],Tabella1[Voto],""),"")</f>
        <v>6</v>
      </c>
      <c r="AB481" s="270">
        <f>_xlfn.IFNA(_xlfn.XLOOKUP(CONCATENATE(AB$4,$C481),Tabella1[CONC X VOTI IN TAB GIOC],Tabella1[Voto]),"")</f>
        <v>5.5</v>
      </c>
      <c r="AC481" s="270" t="str" cm="1">
        <f t="array" ref="AC481">_xlfn.IFNA(_xlfn.XLOOKUP(CONCATENATE(AC$4,$C481),INDEX(Tabella1[],0,MATCH("CONC X VOTI IN TAB GIOC",Tabella1[#Headers],0)),INDEX(Tabella1[],0,MATCH("Voto",Tabella1[#Headers],0))),"")</f>
        <v/>
      </c>
      <c r="AD481" s="270" t="str">
        <f>_xlfn.IFNA(_xlfn.XLOOKUP(CONCATENATE(AD$4,$C481),Tabella1[CONC X VOTI IN TAB GIOC],Tabella1[Voto]),"")</f>
        <v/>
      </c>
      <c r="AE481" s="270" t="str">
        <f>_xlfn.IFNA(VLOOKUP(CONCATENATE(AE$4,$C481),'INSER DATA'!$A:$F,6,0),"")</f>
        <v/>
      </c>
      <c r="AF481" s="270" t="str">
        <f>_xlfn.IFNA(VLOOKUP(CONCATENATE(AF$4,$C481),'INSER DATA'!$A:$F,6,0),"")</f>
        <v/>
      </c>
      <c r="AG481" s="270" t="str">
        <f>_xlfn.IFNA(VLOOKUP(CONCATENATE(AG$4,$C481),'INSER DATA'!$A:$F,6,0),"")</f>
        <v/>
      </c>
      <c r="AH481" s="270" t="str">
        <f>_xlfn.IFNA(VLOOKUP(CONCATENATE(AH$4,$C481),'INSER DATA'!$A:$F,7,0),"")</f>
        <v/>
      </c>
      <c r="AI481" s="270" t="str">
        <f>_xlfn.IFNA(VLOOKUP(CONCATENATE(AI$4,$C481),'INSER DATA'!$A:$F,7,0),"")</f>
        <v/>
      </c>
      <c r="AJ481" s="270" t="str">
        <f>_xlfn.IFNA(VLOOKUP(CONCATENATE(AJ$4,$C481),'INSER DATA'!$A:$F,7,0),"")</f>
        <v/>
      </c>
      <c r="AK481" s="270" t="str">
        <f>_xlfn.IFNA(VLOOKUP(CONCATENATE(AK$4,$C481),'INSER DATA'!$A:$F,7,0),"")</f>
        <v/>
      </c>
      <c r="AL481" s="270" t="str">
        <f>_xlfn.IFNA(VLOOKUP(CONCATENATE(AL$4,$C481),'INSER DATA'!$A:$F,7,0),"")</f>
        <v/>
      </c>
      <c r="AM481" s="270" t="str">
        <f>_xlfn.IFNA(VLOOKUP(CONCATENATE(AM$4,$C481),'INSER DATA'!$A:$F,7,0),"")</f>
        <v/>
      </c>
      <c r="AN481" s="270" t="str">
        <f>_xlfn.IFNA(VLOOKUP(CONCATENATE(AN$4,$C481),'INSER DATA'!$A:$F,7,0),"")</f>
        <v/>
      </c>
      <c r="AO481" s="270" t="str">
        <f>_xlfn.IFNA(VLOOKUP(CONCATENATE(AO$4,$C481),'INSER DATA'!$A:$F,7,0),"")</f>
        <v/>
      </c>
      <c r="AP481" s="270" t="str">
        <f>_xlfn.IFNA(VLOOKUP(CONCATENATE(AP$4,$C481),'INSER DATA'!$A:$F,7,0),"")</f>
        <v/>
      </c>
      <c r="AQ481" s="270" t="str">
        <f>_xlfn.IFNA(VLOOKUP(CONCATENATE(AQ$4,$C481),'INSER DATA'!$A:$F,7,0),"")</f>
        <v/>
      </c>
      <c r="AR481" s="270" t="str">
        <f>_xlfn.IFNA(VLOOKUP(CONCATENATE(AR$4,$C481),'INSER DATA'!$A:$F,7,0),"")</f>
        <v/>
      </c>
      <c r="AS481" s="270" t="str">
        <f>_xlfn.IFNA(VLOOKUP(CONCATENATE(AS$4,$C481),'INSER DATA'!$A:$F,7,0),"")</f>
        <v/>
      </c>
      <c r="AT481" s="270" t="str">
        <f>_xlfn.IFNA(VLOOKUP(CONCATENATE(AT$4,$C481),'INSER DATA'!$A:$F,7,0),"")</f>
        <v/>
      </c>
      <c r="AU481" s="270" t="str">
        <f>_xlfn.IFNA(VLOOKUP(CONCATENATE(AU$4,$C481),'INSER DATA'!$A:$F,7,0),"")</f>
        <v/>
      </c>
      <c r="AV481" s="270" t="str">
        <f>_xlfn.IFNA(VLOOKUP(CONCATENATE(AV$4,$C481),'INSER DATA'!$A:$F,7,0),"")</f>
        <v/>
      </c>
      <c r="AW481" s="270" t="str">
        <f>_xlfn.IFNA(VLOOKUP(CONCATENATE(AW$4,$C481),'INSER DATA'!$A:$F,7,0),"")</f>
        <v/>
      </c>
      <c r="AX481" s="270" t="str">
        <f>_xlfn.IFNA(VLOOKUP(CONCATENATE(AX$4,$C481),'INSER DATA'!$A:$F,7,0),"")</f>
        <v/>
      </c>
      <c r="AY481" s="270" t="str">
        <f>_xlfn.IFNA(VLOOKUP(CONCATENATE(AY$4,$C481),'INSER DATA'!$A:$F,7,0),"")</f>
        <v/>
      </c>
      <c r="AZ481" s="270" t="str">
        <f>_xlfn.IFNA(VLOOKUP(CONCATENATE(AZ$4,$C481),'INSER DATA'!$A:$F,7,0),"")</f>
        <v/>
      </c>
      <c r="BA481" s="270" t="str">
        <f>_xlfn.IFNA(VLOOKUP(CONCATENATE(BA$4,$C481),'INSER DATA'!$A:$F,7,0),"")</f>
        <v/>
      </c>
      <c r="BB481" s="270" t="str">
        <f>_xlfn.IFNA(VLOOKUP(CONCATENATE(BB$4,$C481),'INSER DATA'!$A:$F,7,0),"")</f>
        <v/>
      </c>
      <c r="BC481" s="270" t="str">
        <f>_xlfn.IFNA(VLOOKUP(CONCATENATE(BC$4,$C481),'INSER DATA'!$A:$F,7,0),"")</f>
        <v/>
      </c>
      <c r="BD481" s="270" t="str">
        <f>_xlfn.IFNA(VLOOKUP(CONCATENATE(BD$4,$C481),'INSER DATA'!$A:$F,7,0),"")</f>
        <v/>
      </c>
      <c r="BE481" s="270" t="str">
        <f>_xlfn.IFNA(VLOOKUP(CONCATENATE(BE$4,$C481),'INSER DATA'!$A:$F,7,0),"")</f>
        <v/>
      </c>
      <c r="BF481" s="270" t="str">
        <f>_xlfn.IFNA(VLOOKUP(CONCATENATE(BF$4,$C481),'INSER DATA'!$A:$F,7,0),"")</f>
        <v/>
      </c>
      <c r="BG481" s="270" t="str">
        <f>_xlfn.IFNA(VLOOKUP(CONCATENATE(BG$4,$C481),'INSER DATA'!$A:$F,7,0),"")</f>
        <v/>
      </c>
      <c r="BH481" s="270" t="str">
        <f>_xlfn.IFNA(VLOOKUP(CONCATENATE(BH$4,$C481),'INSER DATA'!$A:$F,7,0),"")</f>
        <v/>
      </c>
      <c r="BI481" s="270" t="str">
        <f>_xlfn.IFNA(VLOOKUP(CONCATENATE(BI$4,$C481),'INSER DATA'!$A:$F,7,0),"")</f>
        <v/>
      </c>
      <c r="BJ481" s="270" t="str">
        <f>_xlfn.IFNA(VLOOKUP(CONCATENATE(BJ$4,$C481),'INSER DATA'!$A:$F,7,0),"")</f>
        <v/>
      </c>
      <c r="BK481" s="270" t="str">
        <f>_xlfn.IFNA(VLOOKUP(CONCATENATE(BK$4,$C481),'INSER DATA'!$A:$F,7,0),"")</f>
        <v/>
      </c>
      <c r="BL481" s="272"/>
      <c r="BM481" s="30"/>
      <c r="BN481" s="30"/>
      <c r="BO481" s="30"/>
      <c r="BP481" s="30"/>
      <c r="BQ481" s="30"/>
      <c r="BR481" s="30"/>
      <c r="BS481" s="30"/>
      <c r="BT481" s="30"/>
      <c r="BU481" s="30"/>
      <c r="BV481" s="30"/>
      <c r="BW481" s="30"/>
      <c r="BX481" s="30"/>
      <c r="BY481" s="30"/>
      <c r="BZ481" s="30"/>
      <c r="CA481" s="30"/>
      <c r="CB481" s="30"/>
      <c r="CC481" s="30"/>
      <c r="CD481" s="30"/>
      <c r="CE481" s="30"/>
      <c r="CF481" s="30"/>
      <c r="CG481" s="30"/>
      <c r="CH481" s="30"/>
      <c r="CI481" s="30"/>
      <c r="CJ481" s="30"/>
      <c r="CK481" s="30"/>
      <c r="CL481" s="30"/>
      <c r="CM481" s="30"/>
      <c r="CN481" s="30"/>
      <c r="CO481" s="30"/>
      <c r="CP481" s="30"/>
      <c r="CQ481" s="30"/>
      <c r="CR481" s="30"/>
      <c r="CS481" s="30"/>
      <c r="CT481" s="30"/>
      <c r="CU481" s="30"/>
      <c r="CV481" s="30"/>
      <c r="CW481" s="30"/>
      <c r="CX481" s="30"/>
      <c r="CY481" s="30"/>
      <c r="CZ481" s="30"/>
      <c r="DA481" s="30"/>
    </row>
    <row r="482" spans="1:105" ht="19.2" thickTop="1" thickBot="1" x14ac:dyDescent="0.4">
      <c r="A482" s="30"/>
      <c r="B482" s="30"/>
      <c r="C482" s="188" t="s">
        <v>956</v>
      </c>
      <c r="D482" s="187" t="s">
        <v>950</v>
      </c>
      <c r="E482" s="35" t="str">
        <f>_xlfn.XLOOKUP(Tabella4[[#This Row],[NOME]],'ROSE SQUADRE'!$N$3:$N$253,'ROSE SQUADRE'!$O$3:$O$253,"")</f>
        <v/>
      </c>
      <c r="F482" s="36" t="s">
        <v>161</v>
      </c>
      <c r="G482" s="43">
        <v>2</v>
      </c>
      <c r="H482" s="43">
        <v>3</v>
      </c>
      <c r="I482" s="44">
        <f t="shared" si="44"/>
        <v>1</v>
      </c>
      <c r="J482" s="37">
        <f t="shared" si="45"/>
        <v>4</v>
      </c>
      <c r="K482" s="38">
        <f t="shared" si="46"/>
        <v>5.625</v>
      </c>
      <c r="L482" s="38">
        <f t="shared" si="47"/>
        <v>5.625</v>
      </c>
      <c r="M482" s="39">
        <f t="shared" si="48"/>
        <v>22.5</v>
      </c>
      <c r="N482" s="45">
        <f t="shared" ca="1" si="49"/>
        <v>0</v>
      </c>
      <c r="O482" s="40">
        <f>SUMIF(Tabella1[Nome],Tabella4[[#This Row],[NOME]],Tabella1[Gf])</f>
        <v>0</v>
      </c>
      <c r="P482" s="40">
        <f>-(SUMIF(Tabella1[Nome],Tabella4[[#This Row],[NOME]],Tabella1[Gs]))</f>
        <v>0</v>
      </c>
      <c r="Q482" s="40">
        <f>SUMIF(Tabella1[Nome],Tabella4[[#This Row],[NOME]],Tabella1[Rp])</f>
        <v>0</v>
      </c>
      <c r="R482" s="40">
        <f>SUMIF(Tabella1[Nome],Tabella4[[#This Row],[NOME]],Tabella1[Rs])</f>
        <v>0</v>
      </c>
      <c r="S482" s="40">
        <f>SUMIF(Tabella1[Nome],Tabella4[[#This Row],[NOME]],Tabella1[Rf])</f>
        <v>0</v>
      </c>
      <c r="T482" s="40">
        <f>SUMIF(Tabella1[Nome],Tabella4[[#This Row],[NOME]],Tabella1[Au])</f>
        <v>0</v>
      </c>
      <c r="U482" s="41">
        <f>SUMIF(Tabella1[Nome],Tabella4[[#This Row],[NOME]],Tabella1[Amm])</f>
        <v>0</v>
      </c>
      <c r="V482" s="42">
        <f>SUMIF(Tabella1[Nome],Tabella4[[#This Row],[NOME]],Tabella1[Esp])</f>
        <v>0</v>
      </c>
      <c r="W482" s="40">
        <f>SUMIF(Tabella1[Nome],Tabella4[[#This Row],[NOME]],Tabella1[Ass])</f>
        <v>0</v>
      </c>
      <c r="X482" s="40">
        <f>SUMIF(Tabella1[Nome],Tabella4[[#This Row],[NOME]],Tabella1[Gdv])</f>
        <v>0</v>
      </c>
      <c r="Y482" s="40">
        <f>SUMIF(Tabella1[Nome],Tabella4[[#This Row],[NOME]],Tabella1[cl sh])</f>
        <v>0</v>
      </c>
      <c r="Z482" s="270">
        <f>_xlfn.IFNA(_xlfn.XLOOKUP(CONCATENATE(Z$4,$C482),Tabella1[CONC X VOTI IN TAB GIOC],Tabella1[Voto],""),"")</f>
        <v>6</v>
      </c>
      <c r="AA482" s="270">
        <f>_xlfn.IFNA(_xlfn.XLOOKUP(CONCATENATE(AA$4,$C482),Tabella1[CONC X VOTI IN TAB GIOC],Tabella1[Voto],""),"")</f>
        <v>5.5</v>
      </c>
      <c r="AB482" s="270">
        <f>_xlfn.IFNA(_xlfn.XLOOKUP(CONCATENATE(AB$4,$C482),Tabella1[CONC X VOTI IN TAB GIOC],Tabella1[Voto]),"")</f>
        <v>6</v>
      </c>
      <c r="AC482" s="270" cm="1">
        <f t="array" ref="AC482">_xlfn.IFNA(_xlfn.XLOOKUP(CONCATENATE(AC$4,$C482),INDEX(Tabella1[],0,MATCH("CONC X VOTI IN TAB GIOC",Tabella1[#Headers],0)),INDEX(Tabella1[],0,MATCH("Voto",Tabella1[#Headers],0))),"")</f>
        <v>5</v>
      </c>
      <c r="AD482" s="270" t="str">
        <f>_xlfn.IFNA(_xlfn.XLOOKUP(CONCATENATE(AD$4,$C482),Tabella1[CONC X VOTI IN TAB GIOC],Tabella1[Voto]),"")</f>
        <v/>
      </c>
      <c r="AE482" s="270" t="str">
        <f>_xlfn.IFNA(VLOOKUP(CONCATENATE(AE$4,$C482),'INSER DATA'!$A:$F,6,0),"")</f>
        <v/>
      </c>
      <c r="AF482" s="270" t="str">
        <f>_xlfn.IFNA(VLOOKUP(CONCATENATE(AF$4,$C482),'INSER DATA'!$A:$F,6,0),"")</f>
        <v/>
      </c>
      <c r="AG482" s="270" t="str">
        <f>_xlfn.IFNA(VLOOKUP(CONCATENATE(AG$4,$C482),'INSER DATA'!$A:$F,6,0),"")</f>
        <v/>
      </c>
      <c r="AH482" s="270" t="str">
        <f>_xlfn.IFNA(VLOOKUP(CONCATENATE(AH$4,$C482),'INSER DATA'!$A:$F,7,0),"")</f>
        <v/>
      </c>
      <c r="AI482" s="270" t="str">
        <f>_xlfn.IFNA(VLOOKUP(CONCATENATE(AI$4,$C482),'INSER DATA'!$A:$F,7,0),"")</f>
        <v/>
      </c>
      <c r="AJ482" s="270" t="str">
        <f>_xlfn.IFNA(VLOOKUP(CONCATENATE(AJ$4,$C482),'INSER DATA'!$A:$F,7,0),"")</f>
        <v/>
      </c>
      <c r="AK482" s="270" t="str">
        <f>_xlfn.IFNA(VLOOKUP(CONCATENATE(AK$4,$C482),'INSER DATA'!$A:$F,7,0),"")</f>
        <v/>
      </c>
      <c r="AL482" s="270" t="str">
        <f>_xlfn.IFNA(VLOOKUP(CONCATENATE(AL$4,$C482),'INSER DATA'!$A:$F,7,0),"")</f>
        <v/>
      </c>
      <c r="AM482" s="270" t="str">
        <f>_xlfn.IFNA(VLOOKUP(CONCATENATE(AM$4,$C482),'INSER DATA'!$A:$F,7,0),"")</f>
        <v/>
      </c>
      <c r="AN482" s="270" t="str">
        <f>_xlfn.IFNA(VLOOKUP(CONCATENATE(AN$4,$C482),'INSER DATA'!$A:$F,7,0),"")</f>
        <v/>
      </c>
      <c r="AO482" s="270" t="str">
        <f>_xlfn.IFNA(VLOOKUP(CONCATENATE(AO$4,$C482),'INSER DATA'!$A:$F,7,0),"")</f>
        <v/>
      </c>
      <c r="AP482" s="270" t="str">
        <f>_xlfn.IFNA(VLOOKUP(CONCATENATE(AP$4,$C482),'INSER DATA'!$A:$F,7,0),"")</f>
        <v/>
      </c>
      <c r="AQ482" s="270" t="str">
        <f>_xlfn.IFNA(VLOOKUP(CONCATENATE(AQ$4,$C482),'INSER DATA'!$A:$F,7,0),"")</f>
        <v/>
      </c>
      <c r="AR482" s="270" t="str">
        <f>_xlfn.IFNA(VLOOKUP(CONCATENATE(AR$4,$C482),'INSER DATA'!$A:$F,7,0),"")</f>
        <v/>
      </c>
      <c r="AS482" s="270" t="str">
        <f>_xlfn.IFNA(VLOOKUP(CONCATENATE(AS$4,$C482),'INSER DATA'!$A:$F,7,0),"")</f>
        <v/>
      </c>
      <c r="AT482" s="270" t="str">
        <f>_xlfn.IFNA(VLOOKUP(CONCATENATE(AT$4,$C482),'INSER DATA'!$A:$F,7,0),"")</f>
        <v/>
      </c>
      <c r="AU482" s="270" t="str">
        <f>_xlfn.IFNA(VLOOKUP(CONCATENATE(AU$4,$C482),'INSER DATA'!$A:$F,7,0),"")</f>
        <v/>
      </c>
      <c r="AV482" s="270" t="str">
        <f>_xlfn.IFNA(VLOOKUP(CONCATENATE(AV$4,$C482),'INSER DATA'!$A:$F,7,0),"")</f>
        <v/>
      </c>
      <c r="AW482" s="270" t="str">
        <f>_xlfn.IFNA(VLOOKUP(CONCATENATE(AW$4,$C482),'INSER DATA'!$A:$F,7,0),"")</f>
        <v/>
      </c>
      <c r="AX482" s="270" t="str">
        <f>_xlfn.IFNA(VLOOKUP(CONCATENATE(AX$4,$C482),'INSER DATA'!$A:$F,7,0),"")</f>
        <v/>
      </c>
      <c r="AY482" s="270" t="str">
        <f>_xlfn.IFNA(VLOOKUP(CONCATENATE(AY$4,$C482),'INSER DATA'!$A:$F,7,0),"")</f>
        <v/>
      </c>
      <c r="AZ482" s="270" t="str">
        <f>_xlfn.IFNA(VLOOKUP(CONCATENATE(AZ$4,$C482),'INSER DATA'!$A:$F,7,0),"")</f>
        <v/>
      </c>
      <c r="BA482" s="270" t="str">
        <f>_xlfn.IFNA(VLOOKUP(CONCATENATE(BA$4,$C482),'INSER DATA'!$A:$F,7,0),"")</f>
        <v/>
      </c>
      <c r="BB482" s="270" t="str">
        <f>_xlfn.IFNA(VLOOKUP(CONCATENATE(BB$4,$C482),'INSER DATA'!$A:$F,7,0),"")</f>
        <v/>
      </c>
      <c r="BC482" s="270" t="str">
        <f>_xlfn.IFNA(VLOOKUP(CONCATENATE(BC$4,$C482),'INSER DATA'!$A:$F,7,0),"")</f>
        <v/>
      </c>
      <c r="BD482" s="270" t="str">
        <f>_xlfn.IFNA(VLOOKUP(CONCATENATE(BD$4,$C482),'INSER DATA'!$A:$F,7,0),"")</f>
        <v/>
      </c>
      <c r="BE482" s="270" t="str">
        <f>_xlfn.IFNA(VLOOKUP(CONCATENATE(BE$4,$C482),'INSER DATA'!$A:$F,7,0),"")</f>
        <v/>
      </c>
      <c r="BF482" s="270" t="str">
        <f>_xlfn.IFNA(VLOOKUP(CONCATENATE(BF$4,$C482),'INSER DATA'!$A:$F,7,0),"")</f>
        <v/>
      </c>
      <c r="BG482" s="270" t="str">
        <f>_xlfn.IFNA(VLOOKUP(CONCATENATE(BG$4,$C482),'INSER DATA'!$A:$F,7,0),"")</f>
        <v/>
      </c>
      <c r="BH482" s="270" t="str">
        <f>_xlfn.IFNA(VLOOKUP(CONCATENATE(BH$4,$C482),'INSER DATA'!$A:$F,7,0),"")</f>
        <v/>
      </c>
      <c r="BI482" s="270" t="str">
        <f>_xlfn.IFNA(VLOOKUP(CONCATENATE(BI$4,$C482),'INSER DATA'!$A:$F,7,0),"")</f>
        <v/>
      </c>
      <c r="BJ482" s="270" t="str">
        <f>_xlfn.IFNA(VLOOKUP(CONCATENATE(BJ$4,$C482),'INSER DATA'!$A:$F,7,0),"")</f>
        <v/>
      </c>
      <c r="BK482" s="270" t="str">
        <f>_xlfn.IFNA(VLOOKUP(CONCATENATE(BK$4,$C482),'INSER DATA'!$A:$F,7,0),"")</f>
        <v/>
      </c>
      <c r="BL482" s="272"/>
      <c r="BM482" s="30"/>
      <c r="BN482" s="30"/>
      <c r="BO482" s="30"/>
      <c r="BP482" s="30"/>
      <c r="BQ482" s="30"/>
      <c r="BR482" s="30"/>
      <c r="BS482" s="30"/>
      <c r="BT482" s="30"/>
      <c r="BU482" s="30"/>
      <c r="BV482" s="30"/>
      <c r="BW482" s="30"/>
      <c r="BX482" s="30"/>
      <c r="BY482" s="30"/>
      <c r="BZ482" s="30"/>
      <c r="CA482" s="30"/>
      <c r="CB482" s="30"/>
      <c r="CC482" s="30"/>
      <c r="CD482" s="30"/>
      <c r="CE482" s="30"/>
      <c r="CF482" s="30"/>
      <c r="CG482" s="30"/>
      <c r="CH482" s="30"/>
      <c r="CI482" s="30"/>
      <c r="CJ482" s="30"/>
      <c r="CK482" s="30"/>
      <c r="CL482" s="30"/>
      <c r="CM482" s="30"/>
      <c r="CN482" s="30"/>
      <c r="CO482" s="30"/>
      <c r="CP482" s="30"/>
      <c r="CQ482" s="30"/>
      <c r="CR482" s="30"/>
      <c r="CS482" s="30"/>
      <c r="CT482" s="30"/>
      <c r="CU482" s="30"/>
      <c r="CV482" s="30"/>
      <c r="CW482" s="30"/>
      <c r="CX482" s="30"/>
      <c r="CY482" s="30"/>
      <c r="CZ482" s="30"/>
      <c r="DA482" s="30"/>
    </row>
    <row r="483" spans="1:105" ht="19.2" thickTop="1" thickBot="1" x14ac:dyDescent="0.4">
      <c r="A483" s="30"/>
      <c r="B483" s="30"/>
      <c r="C483" s="185" t="s">
        <v>963</v>
      </c>
      <c r="D483" s="46" t="s">
        <v>950</v>
      </c>
      <c r="E483" s="35" t="str">
        <f>_xlfn.XLOOKUP(Tabella4[[#This Row],[NOME]],'ROSE SQUADRE'!$N$3:$N$253,'ROSE SQUADRE'!$O$3:$O$253,"")</f>
        <v/>
      </c>
      <c r="F483" s="36" t="s">
        <v>162</v>
      </c>
      <c r="G483" s="43">
        <v>7</v>
      </c>
      <c r="H483" s="43">
        <v>7</v>
      </c>
      <c r="I483" s="44">
        <f t="shared" si="44"/>
        <v>0</v>
      </c>
      <c r="J483" s="37">
        <f t="shared" si="45"/>
        <v>4</v>
      </c>
      <c r="K483" s="38">
        <f t="shared" si="46"/>
        <v>5.75</v>
      </c>
      <c r="L483" s="38">
        <f t="shared" si="47"/>
        <v>5.875</v>
      </c>
      <c r="M483" s="39">
        <f t="shared" si="48"/>
        <v>23.5</v>
      </c>
      <c r="N483" s="45">
        <f t="shared" ca="1" si="49"/>
        <v>0</v>
      </c>
      <c r="O483" s="40">
        <f>SUMIF(Tabella1[Nome],Tabella4[[#This Row],[NOME]],Tabella1[Gf])</f>
        <v>0</v>
      </c>
      <c r="P483" s="40">
        <f>-(SUMIF(Tabella1[Nome],Tabella4[[#This Row],[NOME]],Tabella1[Gs]))</f>
        <v>0</v>
      </c>
      <c r="Q483" s="40">
        <f>SUMIF(Tabella1[Nome],Tabella4[[#This Row],[NOME]],Tabella1[Rp])</f>
        <v>0</v>
      </c>
      <c r="R483" s="40">
        <f>SUMIF(Tabella1[Nome],Tabella4[[#This Row],[NOME]],Tabella1[Rs])</f>
        <v>0</v>
      </c>
      <c r="S483" s="40">
        <f>SUMIF(Tabella1[Nome],Tabella4[[#This Row],[NOME]],Tabella1[Rf])</f>
        <v>0</v>
      </c>
      <c r="T483" s="40">
        <f>SUMIF(Tabella1[Nome],Tabella4[[#This Row],[NOME]],Tabella1[Au])</f>
        <v>0</v>
      </c>
      <c r="U483" s="41">
        <f>SUMIF(Tabella1[Nome],Tabella4[[#This Row],[NOME]],Tabella1[Amm])</f>
        <v>1</v>
      </c>
      <c r="V483" s="42">
        <f>SUMIF(Tabella1[Nome],Tabella4[[#This Row],[NOME]],Tabella1[Esp])</f>
        <v>0</v>
      </c>
      <c r="W483" s="40">
        <f>SUMIF(Tabella1[Nome],Tabella4[[#This Row],[NOME]],Tabella1[Ass])</f>
        <v>1</v>
      </c>
      <c r="X483" s="40">
        <f>SUMIF(Tabella1[Nome],Tabella4[[#This Row],[NOME]],Tabella1[Gdv])</f>
        <v>0</v>
      </c>
      <c r="Y483" s="40">
        <f>SUMIF(Tabella1[Nome],Tabella4[[#This Row],[NOME]],Tabella1[cl sh])</f>
        <v>0</v>
      </c>
      <c r="Z483" s="270">
        <f>_xlfn.IFNA(_xlfn.XLOOKUP(CONCATENATE(Z$4,$C483),Tabella1[CONC X VOTI IN TAB GIOC],Tabella1[Voto],""),"")</f>
        <v>6</v>
      </c>
      <c r="AA483" s="270">
        <f>_xlfn.IFNA(_xlfn.XLOOKUP(CONCATENATE(AA$4,$C483),Tabella1[CONC X VOTI IN TAB GIOC],Tabella1[Voto],""),"")</f>
        <v>5.5</v>
      </c>
      <c r="AB483" s="270">
        <f>_xlfn.IFNA(_xlfn.XLOOKUP(CONCATENATE(AB$4,$C483),Tabella1[CONC X VOTI IN TAB GIOC],Tabella1[Voto]),"")</f>
        <v>5.5</v>
      </c>
      <c r="AC483" s="270" cm="1">
        <f t="array" ref="AC483">_xlfn.IFNA(_xlfn.XLOOKUP(CONCATENATE(AC$4,$C483),INDEX(Tabella1[],0,MATCH("CONC X VOTI IN TAB GIOC",Tabella1[#Headers],0)),INDEX(Tabella1[],0,MATCH("Voto",Tabella1[#Headers],0))),"")</f>
        <v>6</v>
      </c>
      <c r="AD483" s="270" t="str">
        <f>_xlfn.IFNA(_xlfn.XLOOKUP(CONCATENATE(AD$4,$C483),Tabella1[CONC X VOTI IN TAB GIOC],Tabella1[Voto]),"")</f>
        <v/>
      </c>
      <c r="AE483" s="270" t="str">
        <f>_xlfn.IFNA(VLOOKUP(CONCATENATE(AE$4,$C483),'INSER DATA'!$A:$F,6,0),"")</f>
        <v/>
      </c>
      <c r="AF483" s="270" t="str">
        <f>_xlfn.IFNA(VLOOKUP(CONCATENATE(AF$4,$C483),'INSER DATA'!$A:$F,6,0),"")</f>
        <v/>
      </c>
      <c r="AG483" s="270" t="str">
        <f>_xlfn.IFNA(VLOOKUP(CONCATENATE(AG$4,$C483),'INSER DATA'!$A:$F,6,0),"")</f>
        <v/>
      </c>
      <c r="AH483" s="270" t="str">
        <f>_xlfn.IFNA(VLOOKUP(CONCATENATE(AH$4,$C483),'INSER DATA'!$A:$F,7,0),"")</f>
        <v/>
      </c>
      <c r="AI483" s="270" t="str">
        <f>_xlfn.IFNA(VLOOKUP(CONCATENATE(AI$4,$C483),'INSER DATA'!$A:$F,7,0),"")</f>
        <v/>
      </c>
      <c r="AJ483" s="270" t="str">
        <f>_xlfn.IFNA(VLOOKUP(CONCATENATE(AJ$4,$C483),'INSER DATA'!$A:$F,7,0),"")</f>
        <v/>
      </c>
      <c r="AK483" s="270" t="str">
        <f>_xlfn.IFNA(VLOOKUP(CONCATENATE(AK$4,$C483),'INSER DATA'!$A:$F,7,0),"")</f>
        <v/>
      </c>
      <c r="AL483" s="270" t="str">
        <f>_xlfn.IFNA(VLOOKUP(CONCATENATE(AL$4,$C483),'INSER DATA'!$A:$F,7,0),"")</f>
        <v/>
      </c>
      <c r="AM483" s="270" t="str">
        <f>_xlfn.IFNA(VLOOKUP(CONCATENATE(AM$4,$C483),'INSER DATA'!$A:$F,7,0),"")</f>
        <v/>
      </c>
      <c r="AN483" s="270" t="str">
        <f>_xlfn.IFNA(VLOOKUP(CONCATENATE(AN$4,$C483),'INSER DATA'!$A:$F,7,0),"")</f>
        <v/>
      </c>
      <c r="AO483" s="270" t="str">
        <f>_xlfn.IFNA(VLOOKUP(CONCATENATE(AO$4,$C483),'INSER DATA'!$A:$F,7,0),"")</f>
        <v/>
      </c>
      <c r="AP483" s="270" t="str">
        <f>_xlfn.IFNA(VLOOKUP(CONCATENATE(AP$4,$C483),'INSER DATA'!$A:$F,7,0),"")</f>
        <v/>
      </c>
      <c r="AQ483" s="270" t="str">
        <f>_xlfn.IFNA(VLOOKUP(CONCATENATE(AQ$4,$C483),'INSER DATA'!$A:$F,7,0),"")</f>
        <v/>
      </c>
      <c r="AR483" s="270" t="str">
        <f>_xlfn.IFNA(VLOOKUP(CONCATENATE(AR$4,$C483),'INSER DATA'!$A:$F,7,0),"")</f>
        <v/>
      </c>
      <c r="AS483" s="270" t="str">
        <f>_xlfn.IFNA(VLOOKUP(CONCATENATE(AS$4,$C483),'INSER DATA'!$A:$F,7,0),"")</f>
        <v/>
      </c>
      <c r="AT483" s="270" t="str">
        <f>_xlfn.IFNA(VLOOKUP(CONCATENATE(AT$4,$C483),'INSER DATA'!$A:$F,7,0),"")</f>
        <v/>
      </c>
      <c r="AU483" s="270" t="str">
        <f>_xlfn.IFNA(VLOOKUP(CONCATENATE(AU$4,$C483),'INSER DATA'!$A:$F,7,0),"")</f>
        <v/>
      </c>
      <c r="AV483" s="270" t="str">
        <f>_xlfn.IFNA(VLOOKUP(CONCATENATE(AV$4,$C483),'INSER DATA'!$A:$F,7,0),"")</f>
        <v/>
      </c>
      <c r="AW483" s="270" t="str">
        <f>_xlfn.IFNA(VLOOKUP(CONCATENATE(AW$4,$C483),'INSER DATA'!$A:$F,7,0),"")</f>
        <v/>
      </c>
      <c r="AX483" s="270" t="str">
        <f>_xlfn.IFNA(VLOOKUP(CONCATENATE(AX$4,$C483),'INSER DATA'!$A:$F,7,0),"")</f>
        <v/>
      </c>
      <c r="AY483" s="270" t="str">
        <f>_xlfn.IFNA(VLOOKUP(CONCATENATE(AY$4,$C483),'INSER DATA'!$A:$F,7,0),"")</f>
        <v/>
      </c>
      <c r="AZ483" s="270" t="str">
        <f>_xlfn.IFNA(VLOOKUP(CONCATENATE(AZ$4,$C483),'INSER DATA'!$A:$F,7,0),"")</f>
        <v/>
      </c>
      <c r="BA483" s="270" t="str">
        <f>_xlfn.IFNA(VLOOKUP(CONCATENATE(BA$4,$C483),'INSER DATA'!$A:$F,7,0),"")</f>
        <v/>
      </c>
      <c r="BB483" s="270" t="str">
        <f>_xlfn.IFNA(VLOOKUP(CONCATENATE(BB$4,$C483),'INSER DATA'!$A:$F,7,0),"")</f>
        <v/>
      </c>
      <c r="BC483" s="270" t="str">
        <f>_xlfn.IFNA(VLOOKUP(CONCATENATE(BC$4,$C483),'INSER DATA'!$A:$F,7,0),"")</f>
        <v/>
      </c>
      <c r="BD483" s="270" t="str">
        <f>_xlfn.IFNA(VLOOKUP(CONCATENATE(BD$4,$C483),'INSER DATA'!$A:$F,7,0),"")</f>
        <v/>
      </c>
      <c r="BE483" s="270" t="str">
        <f>_xlfn.IFNA(VLOOKUP(CONCATENATE(BE$4,$C483),'INSER DATA'!$A:$F,7,0),"")</f>
        <v/>
      </c>
      <c r="BF483" s="270" t="str">
        <f>_xlfn.IFNA(VLOOKUP(CONCATENATE(BF$4,$C483),'INSER DATA'!$A:$F,7,0),"")</f>
        <v/>
      </c>
      <c r="BG483" s="270" t="str">
        <f>_xlfn.IFNA(VLOOKUP(CONCATENATE(BG$4,$C483),'INSER DATA'!$A:$F,7,0),"")</f>
        <v/>
      </c>
      <c r="BH483" s="270" t="str">
        <f>_xlfn.IFNA(VLOOKUP(CONCATENATE(BH$4,$C483),'INSER DATA'!$A:$F,7,0),"")</f>
        <v/>
      </c>
      <c r="BI483" s="270" t="str">
        <f>_xlfn.IFNA(VLOOKUP(CONCATENATE(BI$4,$C483),'INSER DATA'!$A:$F,7,0),"")</f>
        <v/>
      </c>
      <c r="BJ483" s="270" t="str">
        <f>_xlfn.IFNA(VLOOKUP(CONCATENATE(BJ$4,$C483),'INSER DATA'!$A:$F,7,0),"")</f>
        <v/>
      </c>
      <c r="BK483" s="270" t="str">
        <f>_xlfn.IFNA(VLOOKUP(CONCATENATE(BK$4,$C483),'INSER DATA'!$A:$F,7,0),"")</f>
        <v/>
      </c>
      <c r="BL483" s="272"/>
      <c r="BM483" s="30"/>
      <c r="BN483" s="30"/>
      <c r="BO483" s="30"/>
      <c r="BP483" s="30"/>
      <c r="BQ483" s="30"/>
      <c r="BR483" s="30"/>
      <c r="BS483" s="30"/>
      <c r="BT483" s="30"/>
      <c r="BU483" s="30"/>
      <c r="BV483" s="30"/>
      <c r="BW483" s="30"/>
      <c r="BX483" s="30"/>
      <c r="BY483" s="30"/>
      <c r="BZ483" s="30"/>
      <c r="CA483" s="30"/>
      <c r="CB483" s="30"/>
      <c r="CC483" s="30"/>
      <c r="CD483" s="30"/>
      <c r="CE483" s="30"/>
      <c r="CF483" s="30"/>
      <c r="CG483" s="30"/>
      <c r="CH483" s="30"/>
      <c r="CI483" s="30"/>
      <c r="CJ483" s="30"/>
      <c r="CK483" s="30"/>
      <c r="CL483" s="30"/>
      <c r="CM483" s="30"/>
      <c r="CN483" s="30"/>
      <c r="CO483" s="30"/>
      <c r="CP483" s="30"/>
      <c r="CQ483" s="30"/>
      <c r="CR483" s="30"/>
      <c r="CS483" s="30"/>
      <c r="CT483" s="30"/>
      <c r="CU483" s="30"/>
      <c r="CV483" s="30"/>
      <c r="CW483" s="30"/>
      <c r="CX483" s="30"/>
      <c r="CY483" s="30"/>
      <c r="CZ483" s="30"/>
      <c r="DA483" s="30"/>
    </row>
    <row r="484" spans="1:105" ht="19.2" thickTop="1" thickBot="1" x14ac:dyDescent="0.4">
      <c r="A484" s="30"/>
      <c r="B484" s="30"/>
      <c r="C484" s="356" t="s">
        <v>965</v>
      </c>
      <c r="D484" s="355" t="s">
        <v>950</v>
      </c>
      <c r="E484" s="35" t="str">
        <f>_xlfn.XLOOKUP(Tabella4[[#This Row],[NOME]],'ROSE SQUADRE'!$N$3:$N$253,'ROSE SQUADRE'!$O$3:$O$253,"")</f>
        <v>AC ASPARAGHESE</v>
      </c>
      <c r="F484" s="36" t="s">
        <v>163</v>
      </c>
      <c r="G484" s="43">
        <v>4</v>
      </c>
      <c r="H484" s="43">
        <v>4</v>
      </c>
      <c r="I484" s="44">
        <f t="shared" si="44"/>
        <v>0</v>
      </c>
      <c r="J484" s="37">
        <f t="shared" si="45"/>
        <v>3</v>
      </c>
      <c r="K484" s="38">
        <f t="shared" si="46"/>
        <v>6</v>
      </c>
      <c r="L484" s="38">
        <f t="shared" si="47"/>
        <v>7</v>
      </c>
      <c r="M484" s="39">
        <f t="shared" si="48"/>
        <v>21</v>
      </c>
      <c r="N484" s="45">
        <f t="shared" ca="1" si="49"/>
        <v>0</v>
      </c>
      <c r="O484" s="40">
        <f>SUMIF(Tabella1[Nome],Tabella4[[#This Row],[NOME]],Tabella1[Gf])</f>
        <v>1</v>
      </c>
      <c r="P484" s="40">
        <f>-(SUMIF(Tabella1[Nome],Tabella4[[#This Row],[NOME]],Tabella1[Gs]))</f>
        <v>0</v>
      </c>
      <c r="Q484" s="40">
        <f>SUMIF(Tabella1[Nome],Tabella4[[#This Row],[NOME]],Tabella1[Rp])</f>
        <v>0</v>
      </c>
      <c r="R484" s="40">
        <f>SUMIF(Tabella1[Nome],Tabella4[[#This Row],[NOME]],Tabella1[Rs])</f>
        <v>0</v>
      </c>
      <c r="S484" s="40">
        <f>SUMIF(Tabella1[Nome],Tabella4[[#This Row],[NOME]],Tabella1[Rf])</f>
        <v>0</v>
      </c>
      <c r="T484" s="40">
        <f>SUMIF(Tabella1[Nome],Tabella4[[#This Row],[NOME]],Tabella1[Au])</f>
        <v>0</v>
      </c>
      <c r="U484" s="41">
        <f>SUMIF(Tabella1[Nome],Tabella4[[#This Row],[NOME]],Tabella1[Amm])</f>
        <v>0</v>
      </c>
      <c r="V484" s="42">
        <f>SUMIF(Tabella1[Nome],Tabella4[[#This Row],[NOME]],Tabella1[Esp])</f>
        <v>0</v>
      </c>
      <c r="W484" s="40">
        <f>SUMIF(Tabella1[Nome],Tabella4[[#This Row],[NOME]],Tabella1[Ass])</f>
        <v>0</v>
      </c>
      <c r="X484" s="40">
        <f>SUMIF(Tabella1[Nome],Tabella4[[#This Row],[NOME]],Tabella1[Gdv])</f>
        <v>0</v>
      </c>
      <c r="Y484" s="40">
        <f>SUMIF(Tabella1[Nome],Tabella4[[#This Row],[NOME]],Tabella1[cl sh])</f>
        <v>0</v>
      </c>
      <c r="Z484" s="270">
        <f>_xlfn.IFNA(_xlfn.XLOOKUP(CONCATENATE(Z$4,$C484),Tabella1[CONC X VOTI IN TAB GIOC],Tabella1[Voto],""),"")</f>
        <v>5.5</v>
      </c>
      <c r="AA484" s="270">
        <f>_xlfn.IFNA(_xlfn.XLOOKUP(CONCATENATE(AA$4,$C484),Tabella1[CONC X VOTI IN TAB GIOC],Tabella1[Voto],""),"")</f>
        <v>6</v>
      </c>
      <c r="AB484" s="270" t="str">
        <f>_xlfn.IFNA(_xlfn.XLOOKUP(CONCATENATE(AB$4,$C484),Tabella1[CONC X VOTI IN TAB GIOC],Tabella1[Voto]),"")</f>
        <v/>
      </c>
      <c r="AC484" s="270" cm="1">
        <f t="array" ref="AC484">_xlfn.IFNA(_xlfn.XLOOKUP(CONCATENATE(AC$4,$C484),INDEX(Tabella1[],0,MATCH("CONC X VOTI IN TAB GIOC",Tabella1[#Headers],0)),INDEX(Tabella1[],0,MATCH("Voto",Tabella1[#Headers],0))),"")</f>
        <v>6.5</v>
      </c>
      <c r="AD484" s="270" t="str">
        <f>_xlfn.IFNA(_xlfn.XLOOKUP(CONCATENATE(AD$4,$C484),Tabella1[CONC X VOTI IN TAB GIOC],Tabella1[Voto]),"")</f>
        <v/>
      </c>
      <c r="AE484" s="270" t="str">
        <f>_xlfn.IFNA(VLOOKUP(CONCATENATE(AE$4,$C484),'INSER DATA'!$A:$F,6,0),"")</f>
        <v/>
      </c>
      <c r="AF484" s="270" t="str">
        <f>_xlfn.IFNA(VLOOKUP(CONCATENATE(AF$4,$C484),'INSER DATA'!$A:$F,6,0),"")</f>
        <v/>
      </c>
      <c r="AG484" s="270" t="str">
        <f>_xlfn.IFNA(VLOOKUP(CONCATENATE(AG$4,$C484),'INSER DATA'!$A:$F,6,0),"")</f>
        <v/>
      </c>
      <c r="AH484" s="270" t="str">
        <f>_xlfn.IFNA(VLOOKUP(CONCATENATE(AH$4,$C484),'INSER DATA'!$A:$F,7,0),"")</f>
        <v/>
      </c>
      <c r="AI484" s="270" t="str">
        <f>_xlfn.IFNA(VLOOKUP(CONCATENATE(AI$4,$C484),'INSER DATA'!$A:$F,7,0),"")</f>
        <v/>
      </c>
      <c r="AJ484" s="270" t="str">
        <f>_xlfn.IFNA(VLOOKUP(CONCATENATE(AJ$4,$C484),'INSER DATA'!$A:$F,7,0),"")</f>
        <v/>
      </c>
      <c r="AK484" s="270" t="str">
        <f>_xlfn.IFNA(VLOOKUP(CONCATENATE(AK$4,$C484),'INSER DATA'!$A:$F,7,0),"")</f>
        <v/>
      </c>
      <c r="AL484" s="270" t="str">
        <f>_xlfn.IFNA(VLOOKUP(CONCATENATE(AL$4,$C484),'INSER DATA'!$A:$F,7,0),"")</f>
        <v/>
      </c>
      <c r="AM484" s="270" t="str">
        <f>_xlfn.IFNA(VLOOKUP(CONCATENATE(AM$4,$C484),'INSER DATA'!$A:$F,7,0),"")</f>
        <v/>
      </c>
      <c r="AN484" s="270" t="str">
        <f>_xlfn.IFNA(VLOOKUP(CONCATENATE(AN$4,$C484),'INSER DATA'!$A:$F,7,0),"")</f>
        <v/>
      </c>
      <c r="AO484" s="270" t="str">
        <f>_xlfn.IFNA(VLOOKUP(CONCATENATE(AO$4,$C484),'INSER DATA'!$A:$F,7,0),"")</f>
        <v/>
      </c>
      <c r="AP484" s="270" t="str">
        <f>_xlfn.IFNA(VLOOKUP(CONCATENATE(AP$4,$C484),'INSER DATA'!$A:$F,7,0),"")</f>
        <v/>
      </c>
      <c r="AQ484" s="270" t="str">
        <f>_xlfn.IFNA(VLOOKUP(CONCATENATE(AQ$4,$C484),'INSER DATA'!$A:$F,7,0),"")</f>
        <v/>
      </c>
      <c r="AR484" s="270" t="str">
        <f>_xlfn.IFNA(VLOOKUP(CONCATENATE(AR$4,$C484),'INSER DATA'!$A:$F,7,0),"")</f>
        <v/>
      </c>
      <c r="AS484" s="270" t="str">
        <f>_xlfn.IFNA(VLOOKUP(CONCATENATE(AS$4,$C484),'INSER DATA'!$A:$F,7,0),"")</f>
        <v/>
      </c>
      <c r="AT484" s="270" t="str">
        <f>_xlfn.IFNA(VLOOKUP(CONCATENATE(AT$4,$C484),'INSER DATA'!$A:$F,7,0),"")</f>
        <v/>
      </c>
      <c r="AU484" s="270" t="str">
        <f>_xlfn.IFNA(VLOOKUP(CONCATENATE(AU$4,$C484),'INSER DATA'!$A:$F,7,0),"")</f>
        <v/>
      </c>
      <c r="AV484" s="270" t="str">
        <f>_xlfn.IFNA(VLOOKUP(CONCATENATE(AV$4,$C484),'INSER DATA'!$A:$F,7,0),"")</f>
        <v/>
      </c>
      <c r="AW484" s="270" t="str">
        <f>_xlfn.IFNA(VLOOKUP(CONCATENATE(AW$4,$C484),'INSER DATA'!$A:$F,7,0),"")</f>
        <v/>
      </c>
      <c r="AX484" s="270" t="str">
        <f>_xlfn.IFNA(VLOOKUP(CONCATENATE(AX$4,$C484),'INSER DATA'!$A:$F,7,0),"")</f>
        <v/>
      </c>
      <c r="AY484" s="270" t="str">
        <f>_xlfn.IFNA(VLOOKUP(CONCATENATE(AY$4,$C484),'INSER DATA'!$A:$F,7,0),"")</f>
        <v/>
      </c>
      <c r="AZ484" s="270" t="str">
        <f>_xlfn.IFNA(VLOOKUP(CONCATENATE(AZ$4,$C484),'INSER DATA'!$A:$F,7,0),"")</f>
        <v/>
      </c>
      <c r="BA484" s="270" t="str">
        <f>_xlfn.IFNA(VLOOKUP(CONCATENATE(BA$4,$C484),'INSER DATA'!$A:$F,7,0),"")</f>
        <v/>
      </c>
      <c r="BB484" s="270" t="str">
        <f>_xlfn.IFNA(VLOOKUP(CONCATENATE(BB$4,$C484),'INSER DATA'!$A:$F,7,0),"")</f>
        <v/>
      </c>
      <c r="BC484" s="270" t="str">
        <f>_xlfn.IFNA(VLOOKUP(CONCATENATE(BC$4,$C484),'INSER DATA'!$A:$F,7,0),"")</f>
        <v/>
      </c>
      <c r="BD484" s="270" t="str">
        <f>_xlfn.IFNA(VLOOKUP(CONCATENATE(BD$4,$C484),'INSER DATA'!$A:$F,7,0),"")</f>
        <v/>
      </c>
      <c r="BE484" s="270" t="str">
        <f>_xlfn.IFNA(VLOOKUP(CONCATENATE(BE$4,$C484),'INSER DATA'!$A:$F,7,0),"")</f>
        <v/>
      </c>
      <c r="BF484" s="270" t="str">
        <f>_xlfn.IFNA(VLOOKUP(CONCATENATE(BF$4,$C484),'INSER DATA'!$A:$F,7,0),"")</f>
        <v/>
      </c>
      <c r="BG484" s="270" t="str">
        <f>_xlfn.IFNA(VLOOKUP(CONCATENATE(BG$4,$C484),'INSER DATA'!$A:$F,7,0),"")</f>
        <v/>
      </c>
      <c r="BH484" s="270" t="str">
        <f>_xlfn.IFNA(VLOOKUP(CONCATENATE(BH$4,$C484),'INSER DATA'!$A:$F,7,0),"")</f>
        <v/>
      </c>
      <c r="BI484" s="270" t="str">
        <f>_xlfn.IFNA(VLOOKUP(CONCATENATE(BI$4,$C484),'INSER DATA'!$A:$F,7,0),"")</f>
        <v/>
      </c>
      <c r="BJ484" s="270" t="str">
        <f>_xlfn.IFNA(VLOOKUP(CONCATENATE(BJ$4,$C484),'INSER DATA'!$A:$F,7,0),"")</f>
        <v/>
      </c>
      <c r="BK484" s="270" t="str">
        <f>_xlfn.IFNA(VLOOKUP(CONCATENATE(BK$4,$C484),'INSER DATA'!$A:$F,7,0),"")</f>
        <v/>
      </c>
      <c r="BL484" s="272"/>
      <c r="BM484" s="30"/>
      <c r="BN484" s="30"/>
      <c r="BO484" s="30"/>
      <c r="BP484" s="30"/>
      <c r="BQ484" s="30"/>
      <c r="BR484" s="30"/>
      <c r="BS484" s="30"/>
      <c r="BT484" s="30"/>
      <c r="BU484" s="30"/>
      <c r="BV484" s="30"/>
      <c r="BW484" s="30"/>
      <c r="BX484" s="30"/>
      <c r="BY484" s="30"/>
      <c r="BZ484" s="30"/>
      <c r="CA484" s="30"/>
      <c r="CB484" s="30"/>
      <c r="CC484" s="30"/>
      <c r="CD484" s="30"/>
      <c r="CE484" s="30"/>
      <c r="CF484" s="30"/>
      <c r="CG484" s="30"/>
      <c r="CH484" s="30"/>
      <c r="CI484" s="30"/>
      <c r="CJ484" s="30"/>
      <c r="CK484" s="30"/>
      <c r="CL484" s="30"/>
      <c r="CM484" s="30"/>
      <c r="CN484" s="30"/>
      <c r="CO484" s="30"/>
      <c r="CP484" s="30"/>
      <c r="CQ484" s="30"/>
      <c r="CR484" s="30"/>
      <c r="CS484" s="30"/>
      <c r="CT484" s="30"/>
      <c r="CU484" s="30"/>
      <c r="CV484" s="30"/>
      <c r="CW484" s="30"/>
      <c r="CX484" s="30"/>
      <c r="CY484" s="30"/>
      <c r="CZ484" s="30"/>
      <c r="DA484" s="30"/>
    </row>
    <row r="485" spans="1:105" ht="19.2" thickTop="1" thickBot="1" x14ac:dyDescent="0.4">
      <c r="A485" s="30"/>
      <c r="B485" s="30"/>
      <c r="C485" s="188" t="s">
        <v>964</v>
      </c>
      <c r="D485" s="187" t="s">
        <v>950</v>
      </c>
      <c r="E485" s="35" t="str">
        <f>_xlfn.XLOOKUP(Tabella4[[#This Row],[NOME]],'ROSE SQUADRE'!$N$3:$N$253,'ROSE SQUADRE'!$O$3:$O$253,"")</f>
        <v/>
      </c>
      <c r="F485" s="36" t="s">
        <v>163</v>
      </c>
      <c r="G485" s="43">
        <v>1</v>
      </c>
      <c r="H485" s="43">
        <v>1</v>
      </c>
      <c r="I485" s="44">
        <f t="shared" si="44"/>
        <v>0</v>
      </c>
      <c r="J485" s="37">
        <f t="shared" si="45"/>
        <v>2</v>
      </c>
      <c r="K485" s="178">
        <f t="shared" si="46"/>
        <v>5.25</v>
      </c>
      <c r="L485" s="178">
        <f t="shared" si="47"/>
        <v>5</v>
      </c>
      <c r="M485" s="179">
        <f t="shared" si="48"/>
        <v>10</v>
      </c>
      <c r="N485" s="45">
        <f t="shared" ca="1" si="49"/>
        <v>0</v>
      </c>
      <c r="O485" s="40">
        <f>SUMIF(Tabella1[Nome],Tabella4[[#This Row],[NOME]],Tabella1[Gf])</f>
        <v>0</v>
      </c>
      <c r="P485" s="40">
        <f>-(SUMIF(Tabella1[Nome],Tabella4[[#This Row],[NOME]],Tabella1[Gs]))</f>
        <v>0</v>
      </c>
      <c r="Q485" s="40">
        <f>SUMIF(Tabella1[Nome],Tabella4[[#This Row],[NOME]],Tabella1[Rp])</f>
        <v>0</v>
      </c>
      <c r="R485" s="40">
        <f>SUMIF(Tabella1[Nome],Tabella4[[#This Row],[NOME]],Tabella1[Rs])</f>
        <v>0</v>
      </c>
      <c r="S485" s="40">
        <f>SUMIF(Tabella1[Nome],Tabella4[[#This Row],[NOME]],Tabella1[Rf])</f>
        <v>0</v>
      </c>
      <c r="T485" s="40">
        <f>SUMIF(Tabella1[Nome],Tabella4[[#This Row],[NOME]],Tabella1[Au])</f>
        <v>0</v>
      </c>
      <c r="U485" s="41">
        <f>SUMIF(Tabella1[Nome],Tabella4[[#This Row],[NOME]],Tabella1[Amm])</f>
        <v>1</v>
      </c>
      <c r="V485" s="42">
        <f>SUMIF(Tabella1[Nome],Tabella4[[#This Row],[NOME]],Tabella1[Esp])</f>
        <v>0</v>
      </c>
      <c r="W485" s="40">
        <f>SUMIF(Tabella1[Nome],Tabella4[[#This Row],[NOME]],Tabella1[Ass])</f>
        <v>0</v>
      </c>
      <c r="X485" s="40">
        <f>SUMIF(Tabella1[Nome],Tabella4[[#This Row],[NOME]],Tabella1[Gdv])</f>
        <v>0</v>
      </c>
      <c r="Y485" s="40">
        <f>SUMIF(Tabella1[Nome],Tabella4[[#This Row],[NOME]],Tabella1[cl sh])</f>
        <v>0</v>
      </c>
      <c r="Z485" s="270">
        <f>_xlfn.IFNA(_xlfn.XLOOKUP(CONCATENATE(Z$4,$C485),Tabella1[CONC X VOTI IN TAB GIOC],Tabella1[Voto],""),"")</f>
        <v>5</v>
      </c>
      <c r="AA485" s="270" t="str">
        <f>_xlfn.IFNA(_xlfn.XLOOKUP(CONCATENATE(AA$4,$C485),Tabella1[CONC X VOTI IN TAB GIOC],Tabella1[Voto],""),"")</f>
        <v/>
      </c>
      <c r="AB485" s="270">
        <f>_xlfn.IFNA(_xlfn.XLOOKUP(CONCATENATE(AB$4,$C485),Tabella1[CONC X VOTI IN TAB GIOC],Tabella1[Voto]),"")</f>
        <v>5.5</v>
      </c>
      <c r="AC485" s="270" t="str" cm="1">
        <f t="array" ref="AC485">_xlfn.IFNA(_xlfn.XLOOKUP(CONCATENATE(AC$4,$C485),INDEX(Tabella1[],0,MATCH("CONC X VOTI IN TAB GIOC",Tabella1[#Headers],0)),INDEX(Tabella1[],0,MATCH("Voto",Tabella1[#Headers],0))),"")</f>
        <v/>
      </c>
      <c r="AD485" s="270" t="str">
        <f>_xlfn.IFNA(_xlfn.XLOOKUP(CONCATENATE(AD$4,$C485),Tabella1[CONC X VOTI IN TAB GIOC],Tabella1[Voto]),"")</f>
        <v/>
      </c>
      <c r="AE485" s="270" t="str">
        <f>_xlfn.IFNA(VLOOKUP(CONCATENATE(AE$4,$C485),'INSER DATA'!$A:$F,6,0),"")</f>
        <v/>
      </c>
      <c r="AF485" s="270" t="str">
        <f>_xlfn.IFNA(VLOOKUP(CONCATENATE(AF$4,$C485),'INSER DATA'!$A:$F,6,0),"")</f>
        <v/>
      </c>
      <c r="AG485" s="270" t="str">
        <f>_xlfn.IFNA(VLOOKUP(CONCATENATE(AG$4,$C485),'INSER DATA'!$A:$F,6,0),"")</f>
        <v/>
      </c>
      <c r="AH485" s="270" t="str">
        <f>_xlfn.IFNA(VLOOKUP(CONCATENATE(AH$4,$C485),'INSER DATA'!$A:$F,7,0),"")</f>
        <v/>
      </c>
      <c r="AI485" s="270" t="str">
        <f>_xlfn.IFNA(VLOOKUP(CONCATENATE(AI$4,$C485),'INSER DATA'!$A:$F,7,0),"")</f>
        <v/>
      </c>
      <c r="AJ485" s="270" t="str">
        <f>_xlfn.IFNA(VLOOKUP(CONCATENATE(AJ$4,$C485),'INSER DATA'!$A:$F,7,0),"")</f>
        <v/>
      </c>
      <c r="AK485" s="270" t="str">
        <f>_xlfn.IFNA(VLOOKUP(CONCATENATE(AK$4,$C485),'INSER DATA'!$A:$F,7,0),"")</f>
        <v/>
      </c>
      <c r="AL485" s="270" t="str">
        <f>_xlfn.IFNA(VLOOKUP(CONCATENATE(AL$4,$C485),'INSER DATA'!$A:$F,7,0),"")</f>
        <v/>
      </c>
      <c r="AM485" s="270" t="str">
        <f>_xlfn.IFNA(VLOOKUP(CONCATENATE(AM$4,$C485),'INSER DATA'!$A:$F,7,0),"")</f>
        <v/>
      </c>
      <c r="AN485" s="270" t="str">
        <f>_xlfn.IFNA(VLOOKUP(CONCATENATE(AN$4,$C485),'INSER DATA'!$A:$F,7,0),"")</f>
        <v/>
      </c>
      <c r="AO485" s="270" t="str">
        <f>_xlfn.IFNA(VLOOKUP(CONCATENATE(AO$4,$C485),'INSER DATA'!$A:$F,7,0),"")</f>
        <v/>
      </c>
      <c r="AP485" s="270" t="str">
        <f>_xlfn.IFNA(VLOOKUP(CONCATENATE(AP$4,$C485),'INSER DATA'!$A:$F,7,0),"")</f>
        <v/>
      </c>
      <c r="AQ485" s="270" t="str">
        <f>_xlfn.IFNA(VLOOKUP(CONCATENATE(AQ$4,$C485),'INSER DATA'!$A:$F,7,0),"")</f>
        <v/>
      </c>
      <c r="AR485" s="270" t="str">
        <f>_xlfn.IFNA(VLOOKUP(CONCATENATE(AR$4,$C485),'INSER DATA'!$A:$F,7,0),"")</f>
        <v/>
      </c>
      <c r="AS485" s="270" t="str">
        <f>_xlfn.IFNA(VLOOKUP(CONCATENATE(AS$4,$C485),'INSER DATA'!$A:$F,7,0),"")</f>
        <v/>
      </c>
      <c r="AT485" s="270" t="str">
        <f>_xlfn.IFNA(VLOOKUP(CONCATENATE(AT$4,$C485),'INSER DATA'!$A:$F,7,0),"")</f>
        <v/>
      </c>
      <c r="AU485" s="270" t="str">
        <f>_xlfn.IFNA(VLOOKUP(CONCATENATE(AU$4,$C485),'INSER DATA'!$A:$F,7,0),"")</f>
        <v/>
      </c>
      <c r="AV485" s="270" t="str">
        <f>_xlfn.IFNA(VLOOKUP(CONCATENATE(AV$4,$C485),'INSER DATA'!$A:$F,7,0),"")</f>
        <v/>
      </c>
      <c r="AW485" s="270" t="str">
        <f>_xlfn.IFNA(VLOOKUP(CONCATENATE(AW$4,$C485),'INSER DATA'!$A:$F,7,0),"")</f>
        <v/>
      </c>
      <c r="AX485" s="270" t="str">
        <f>_xlfn.IFNA(VLOOKUP(CONCATENATE(AX$4,$C485),'INSER DATA'!$A:$F,7,0),"")</f>
        <v/>
      </c>
      <c r="AY485" s="270" t="str">
        <f>_xlfn.IFNA(VLOOKUP(CONCATENATE(AY$4,$C485),'INSER DATA'!$A:$F,7,0),"")</f>
        <v/>
      </c>
      <c r="AZ485" s="270" t="str">
        <f>_xlfn.IFNA(VLOOKUP(CONCATENATE(AZ$4,$C485),'INSER DATA'!$A:$F,7,0),"")</f>
        <v/>
      </c>
      <c r="BA485" s="270" t="str">
        <f>_xlfn.IFNA(VLOOKUP(CONCATENATE(BA$4,$C485),'INSER DATA'!$A:$F,7,0),"")</f>
        <v/>
      </c>
      <c r="BB485" s="270" t="str">
        <f>_xlfn.IFNA(VLOOKUP(CONCATENATE(BB$4,$C485),'INSER DATA'!$A:$F,7,0),"")</f>
        <v/>
      </c>
      <c r="BC485" s="270" t="str">
        <f>_xlfn.IFNA(VLOOKUP(CONCATENATE(BC$4,$C485),'INSER DATA'!$A:$F,7,0),"")</f>
        <v/>
      </c>
      <c r="BD485" s="270" t="str">
        <f>_xlfn.IFNA(VLOOKUP(CONCATENATE(BD$4,$C485),'INSER DATA'!$A:$F,7,0),"")</f>
        <v/>
      </c>
      <c r="BE485" s="270" t="str">
        <f>_xlfn.IFNA(VLOOKUP(CONCATENATE(BE$4,$C485),'INSER DATA'!$A:$F,7,0),"")</f>
        <v/>
      </c>
      <c r="BF485" s="270" t="str">
        <f>_xlfn.IFNA(VLOOKUP(CONCATENATE(BF$4,$C485),'INSER DATA'!$A:$F,7,0),"")</f>
        <v/>
      </c>
      <c r="BG485" s="270" t="str">
        <f>_xlfn.IFNA(VLOOKUP(CONCATENATE(BG$4,$C485),'INSER DATA'!$A:$F,7,0),"")</f>
        <v/>
      </c>
      <c r="BH485" s="270" t="str">
        <f>_xlfn.IFNA(VLOOKUP(CONCATENATE(BH$4,$C485),'INSER DATA'!$A:$F,7,0),"")</f>
        <v/>
      </c>
      <c r="BI485" s="270" t="str">
        <f>_xlfn.IFNA(VLOOKUP(CONCATENATE(BI$4,$C485),'INSER DATA'!$A:$F,7,0),"")</f>
        <v/>
      </c>
      <c r="BJ485" s="270" t="str">
        <f>_xlfn.IFNA(VLOOKUP(CONCATENATE(BJ$4,$C485),'INSER DATA'!$A:$F,7,0),"")</f>
        <v/>
      </c>
      <c r="BK485" s="270" t="str">
        <f>_xlfn.IFNA(VLOOKUP(CONCATENATE(BK$4,$C485),'INSER DATA'!$A:$F,7,0),"")</f>
        <v/>
      </c>
      <c r="BL485" s="272"/>
      <c r="BM485" s="30"/>
      <c r="BN485" s="30"/>
      <c r="BO485" s="30"/>
      <c r="BP485" s="30"/>
      <c r="BQ485" s="30"/>
      <c r="BR485" s="30"/>
      <c r="BS485" s="30"/>
      <c r="BT485" s="30"/>
      <c r="BU485" s="30"/>
      <c r="BV485" s="30"/>
      <c r="BW485" s="30"/>
      <c r="BX485" s="30"/>
      <c r="BY485" s="30"/>
      <c r="BZ485" s="30"/>
      <c r="CA485" s="30"/>
      <c r="CB485" s="30"/>
      <c r="CC485" s="30"/>
      <c r="CD485" s="30"/>
      <c r="CE485" s="30"/>
      <c r="CF485" s="30"/>
      <c r="CG485" s="30"/>
      <c r="CH485" s="30"/>
      <c r="CI485" s="30"/>
      <c r="CJ485" s="30"/>
      <c r="CK485" s="30"/>
      <c r="CL485" s="30"/>
      <c r="CM485" s="30"/>
      <c r="CN485" s="30"/>
      <c r="CO485" s="30"/>
      <c r="CP485" s="30"/>
      <c r="CQ485" s="30"/>
      <c r="CR485" s="30"/>
      <c r="CS485" s="30"/>
      <c r="CT485" s="30"/>
      <c r="CU485" s="30"/>
      <c r="CV485" s="30"/>
      <c r="CW485" s="30"/>
      <c r="CX485" s="30"/>
      <c r="CY485" s="30"/>
      <c r="CZ485" s="30"/>
      <c r="DA485" s="30"/>
    </row>
    <row r="486" spans="1:105" ht="19.2" thickTop="1" thickBot="1" x14ac:dyDescent="0.4">
      <c r="A486" s="30"/>
      <c r="B486" s="30"/>
      <c r="C486" s="185" t="s">
        <v>951</v>
      </c>
      <c r="D486" s="46" t="s">
        <v>950</v>
      </c>
      <c r="E486" s="35" t="str">
        <f>_xlfn.XLOOKUP(Tabella4[[#This Row],[NOME]],'ROSE SQUADRE'!$N$3:$N$253,'ROSE SQUADRE'!$O$3:$O$253,"")</f>
        <v/>
      </c>
      <c r="F486" s="36" t="s">
        <v>5</v>
      </c>
      <c r="G486" s="43">
        <v>1</v>
      </c>
      <c r="H486" s="43">
        <v>1</v>
      </c>
      <c r="I486" s="44">
        <f t="shared" si="44"/>
        <v>0</v>
      </c>
      <c r="J486" s="37">
        <f t="shared" si="45"/>
        <v>0</v>
      </c>
      <c r="K486" s="38">
        <f t="shared" si="46"/>
        <v>0</v>
      </c>
      <c r="L486" s="38">
        <f t="shared" si="47"/>
        <v>0</v>
      </c>
      <c r="M486" s="39">
        <f t="shared" si="48"/>
        <v>0</v>
      </c>
      <c r="N486" s="45">
        <f t="shared" ca="1" si="49"/>
        <v>0</v>
      </c>
      <c r="O486" s="40">
        <f>SUMIF(Tabella1[Nome],Tabella4[[#This Row],[NOME]],Tabella1[Gf])</f>
        <v>0</v>
      </c>
      <c r="P486" s="40">
        <f>-(SUMIF(Tabella1[Nome],Tabella4[[#This Row],[NOME]],Tabella1[Gs]))</f>
        <v>0</v>
      </c>
      <c r="Q486" s="40">
        <f>SUMIF(Tabella1[Nome],Tabella4[[#This Row],[NOME]],Tabella1[Rp])</f>
        <v>0</v>
      </c>
      <c r="R486" s="40">
        <f>SUMIF(Tabella1[Nome],Tabella4[[#This Row],[NOME]],Tabella1[Rs])</f>
        <v>0</v>
      </c>
      <c r="S486" s="40">
        <f>SUMIF(Tabella1[Nome],Tabella4[[#This Row],[NOME]],Tabella1[Rf])</f>
        <v>0</v>
      </c>
      <c r="T486" s="40">
        <f>SUMIF(Tabella1[Nome],Tabella4[[#This Row],[NOME]],Tabella1[Au])</f>
        <v>0</v>
      </c>
      <c r="U486" s="41">
        <f>SUMIF(Tabella1[Nome],Tabella4[[#This Row],[NOME]],Tabella1[Amm])</f>
        <v>0</v>
      </c>
      <c r="V486" s="42">
        <f>SUMIF(Tabella1[Nome],Tabella4[[#This Row],[NOME]],Tabella1[Esp])</f>
        <v>0</v>
      </c>
      <c r="W486" s="40">
        <f>SUMIF(Tabella1[Nome],Tabella4[[#This Row],[NOME]],Tabella1[Ass])</f>
        <v>0</v>
      </c>
      <c r="X486" s="40">
        <f>SUMIF(Tabella1[Nome],Tabella4[[#This Row],[NOME]],Tabella1[Gdv])</f>
        <v>0</v>
      </c>
      <c r="Y486" s="40">
        <f>SUMIF(Tabella1[Nome],Tabella4[[#This Row],[NOME]],Tabella1[cl sh])</f>
        <v>0</v>
      </c>
      <c r="Z486" s="270" t="str">
        <f>_xlfn.IFNA(_xlfn.XLOOKUP(CONCATENATE(Z$4,$C486),Tabella1[CONC X VOTI IN TAB GIOC],Tabella1[Voto],""),"")</f>
        <v/>
      </c>
      <c r="AA486" s="270" t="str">
        <f>_xlfn.IFNA(_xlfn.XLOOKUP(CONCATENATE(AA$4,$C486),Tabella1[CONC X VOTI IN TAB GIOC],Tabella1[Voto],""),"")</f>
        <v/>
      </c>
      <c r="AB486" s="270" t="str">
        <f>_xlfn.IFNA(_xlfn.XLOOKUP(CONCATENATE(AB$4,$C486),Tabella1[CONC X VOTI IN TAB GIOC],Tabella1[Voto]),"")</f>
        <v/>
      </c>
      <c r="AC486" s="270" t="str" cm="1">
        <f t="array" ref="AC486">_xlfn.IFNA(_xlfn.XLOOKUP(CONCATENATE(AC$4,$C486),INDEX(Tabella1[],0,MATCH("CONC X VOTI IN TAB GIOC",Tabella1[#Headers],0)),INDEX(Tabella1[],0,MATCH("Voto",Tabella1[#Headers],0))),"")</f>
        <v/>
      </c>
      <c r="AD486" s="270" t="str">
        <f>_xlfn.IFNA(_xlfn.XLOOKUP(CONCATENATE(AD$4,$C486),Tabella1[CONC X VOTI IN TAB GIOC],Tabella1[Voto]),"")</f>
        <v/>
      </c>
      <c r="AE486" s="270" t="str">
        <f>_xlfn.IFNA(VLOOKUP(CONCATENATE(AE$4,$C486),'INSER DATA'!$A:$F,6,0),"")</f>
        <v/>
      </c>
      <c r="AF486" s="270" t="str">
        <f>_xlfn.IFNA(VLOOKUP(CONCATENATE(AF$4,$C486),'INSER DATA'!$A:$F,6,0),"")</f>
        <v/>
      </c>
      <c r="AG486" s="270" t="str">
        <f>_xlfn.IFNA(VLOOKUP(CONCATENATE(AG$4,$C486),'INSER DATA'!$A:$F,6,0),"")</f>
        <v/>
      </c>
      <c r="AH486" s="270" t="str">
        <f>_xlfn.IFNA(VLOOKUP(CONCATENATE(AH$4,$C486),'INSER DATA'!$A:$F,7,0),"")</f>
        <v/>
      </c>
      <c r="AI486" s="270" t="str">
        <f>_xlfn.IFNA(VLOOKUP(CONCATENATE(AI$4,$C486),'INSER DATA'!$A:$F,7,0),"")</f>
        <v/>
      </c>
      <c r="AJ486" s="270" t="str">
        <f>_xlfn.IFNA(VLOOKUP(CONCATENATE(AJ$4,$C486),'INSER DATA'!$A:$F,7,0),"")</f>
        <v/>
      </c>
      <c r="AK486" s="270" t="str">
        <f>_xlfn.IFNA(VLOOKUP(CONCATENATE(AK$4,$C486),'INSER DATA'!$A:$F,7,0),"")</f>
        <v/>
      </c>
      <c r="AL486" s="270" t="str">
        <f>_xlfn.IFNA(VLOOKUP(CONCATENATE(AL$4,$C486),'INSER DATA'!$A:$F,7,0),"")</f>
        <v/>
      </c>
      <c r="AM486" s="270" t="str">
        <f>_xlfn.IFNA(VLOOKUP(CONCATENATE(AM$4,$C486),'INSER DATA'!$A:$F,7,0),"")</f>
        <v/>
      </c>
      <c r="AN486" s="270" t="str">
        <f>_xlfn.IFNA(VLOOKUP(CONCATENATE(AN$4,$C486),'INSER DATA'!$A:$F,7,0),"")</f>
        <v/>
      </c>
      <c r="AO486" s="270" t="str">
        <f>_xlfn.IFNA(VLOOKUP(CONCATENATE(AO$4,$C486),'INSER DATA'!$A:$F,7,0),"")</f>
        <v/>
      </c>
      <c r="AP486" s="270" t="str">
        <f>_xlfn.IFNA(VLOOKUP(CONCATENATE(AP$4,$C486),'INSER DATA'!$A:$F,7,0),"")</f>
        <v/>
      </c>
      <c r="AQ486" s="270" t="str">
        <f>_xlfn.IFNA(VLOOKUP(CONCATENATE(AQ$4,$C486),'INSER DATA'!$A:$F,7,0),"")</f>
        <v/>
      </c>
      <c r="AR486" s="270" t="str">
        <f>_xlfn.IFNA(VLOOKUP(CONCATENATE(AR$4,$C486),'INSER DATA'!$A:$F,7,0),"")</f>
        <v/>
      </c>
      <c r="AS486" s="270" t="str">
        <f>_xlfn.IFNA(VLOOKUP(CONCATENATE(AS$4,$C486),'INSER DATA'!$A:$F,7,0),"")</f>
        <v/>
      </c>
      <c r="AT486" s="270" t="str">
        <f>_xlfn.IFNA(VLOOKUP(CONCATENATE(AT$4,$C486),'INSER DATA'!$A:$F,7,0),"")</f>
        <v/>
      </c>
      <c r="AU486" s="270" t="str">
        <f>_xlfn.IFNA(VLOOKUP(CONCATENATE(AU$4,$C486),'INSER DATA'!$A:$F,7,0),"")</f>
        <v/>
      </c>
      <c r="AV486" s="270" t="str">
        <f>_xlfn.IFNA(VLOOKUP(CONCATENATE(AV$4,$C486),'INSER DATA'!$A:$F,7,0),"")</f>
        <v/>
      </c>
      <c r="AW486" s="270" t="str">
        <f>_xlfn.IFNA(VLOOKUP(CONCATENATE(AW$4,$C486),'INSER DATA'!$A:$F,7,0),"")</f>
        <v/>
      </c>
      <c r="AX486" s="270" t="str">
        <f>_xlfn.IFNA(VLOOKUP(CONCATENATE(AX$4,$C486),'INSER DATA'!$A:$F,7,0),"")</f>
        <v/>
      </c>
      <c r="AY486" s="270" t="str">
        <f>_xlfn.IFNA(VLOOKUP(CONCATENATE(AY$4,$C486),'INSER DATA'!$A:$F,7,0),"")</f>
        <v/>
      </c>
      <c r="AZ486" s="270" t="str">
        <f>_xlfn.IFNA(VLOOKUP(CONCATENATE(AZ$4,$C486),'INSER DATA'!$A:$F,7,0),"")</f>
        <v/>
      </c>
      <c r="BA486" s="270" t="str">
        <f>_xlfn.IFNA(VLOOKUP(CONCATENATE(BA$4,$C486),'INSER DATA'!$A:$F,7,0),"")</f>
        <v/>
      </c>
      <c r="BB486" s="270" t="str">
        <f>_xlfn.IFNA(VLOOKUP(CONCATENATE(BB$4,$C486),'INSER DATA'!$A:$F,7,0),"")</f>
        <v/>
      </c>
      <c r="BC486" s="270" t="str">
        <f>_xlfn.IFNA(VLOOKUP(CONCATENATE(BC$4,$C486),'INSER DATA'!$A:$F,7,0),"")</f>
        <v/>
      </c>
      <c r="BD486" s="270" t="str">
        <f>_xlfn.IFNA(VLOOKUP(CONCATENATE(BD$4,$C486),'INSER DATA'!$A:$F,7,0),"")</f>
        <v/>
      </c>
      <c r="BE486" s="270" t="str">
        <f>_xlfn.IFNA(VLOOKUP(CONCATENATE(BE$4,$C486),'INSER DATA'!$A:$F,7,0),"")</f>
        <v/>
      </c>
      <c r="BF486" s="270" t="str">
        <f>_xlfn.IFNA(VLOOKUP(CONCATENATE(BF$4,$C486),'INSER DATA'!$A:$F,7,0),"")</f>
        <v/>
      </c>
      <c r="BG486" s="270" t="str">
        <f>_xlfn.IFNA(VLOOKUP(CONCATENATE(BG$4,$C486),'INSER DATA'!$A:$F,7,0),"")</f>
        <v/>
      </c>
      <c r="BH486" s="270" t="str">
        <f>_xlfn.IFNA(VLOOKUP(CONCATENATE(BH$4,$C486),'INSER DATA'!$A:$F,7,0),"")</f>
        <v/>
      </c>
      <c r="BI486" s="270" t="str">
        <f>_xlfn.IFNA(VLOOKUP(CONCATENATE(BI$4,$C486),'INSER DATA'!$A:$F,7,0),"")</f>
        <v/>
      </c>
      <c r="BJ486" s="270" t="str">
        <f>_xlfn.IFNA(VLOOKUP(CONCATENATE(BJ$4,$C486),'INSER DATA'!$A:$F,7,0),"")</f>
        <v/>
      </c>
      <c r="BK486" s="270" t="str">
        <f>_xlfn.IFNA(VLOOKUP(CONCATENATE(BK$4,$C486),'INSER DATA'!$A:$F,7,0),"")</f>
        <v/>
      </c>
      <c r="BL486" s="272"/>
      <c r="BM486" s="30"/>
      <c r="BN486" s="30"/>
      <c r="BO486" s="30"/>
      <c r="BP486" s="30"/>
      <c r="BQ486" s="30"/>
      <c r="BR486" s="30"/>
      <c r="BS486" s="30"/>
      <c r="BT486" s="30"/>
      <c r="BU486" s="30"/>
      <c r="BV486" s="30"/>
      <c r="BW486" s="30"/>
      <c r="BX486" s="30"/>
      <c r="BY486" s="30"/>
      <c r="BZ486" s="30"/>
      <c r="CA486" s="30"/>
      <c r="CB486" s="30"/>
      <c r="CC486" s="30"/>
      <c r="CD486" s="30"/>
      <c r="CE486" s="30"/>
      <c r="CF486" s="30"/>
      <c r="CG486" s="30"/>
      <c r="CH486" s="30"/>
      <c r="CI486" s="30"/>
      <c r="CJ486" s="30"/>
      <c r="CK486" s="30"/>
      <c r="CL486" s="30"/>
      <c r="CM486" s="30"/>
      <c r="CN486" s="30"/>
      <c r="CO486" s="30"/>
      <c r="CP486" s="30"/>
      <c r="CQ486" s="30"/>
      <c r="CR486" s="30"/>
      <c r="CS486" s="30"/>
      <c r="CT486" s="30"/>
      <c r="CU486" s="30"/>
      <c r="CV486" s="30"/>
      <c r="CW486" s="30"/>
      <c r="CX486" s="30"/>
      <c r="CY486" s="30"/>
      <c r="CZ486" s="30"/>
      <c r="DA486" s="30"/>
    </row>
    <row r="487" spans="1:105" ht="19.2" thickTop="1" thickBot="1" x14ac:dyDescent="0.4">
      <c r="A487" s="30"/>
      <c r="B487" s="30"/>
      <c r="C487" s="185" t="s">
        <v>952</v>
      </c>
      <c r="D487" s="46" t="s">
        <v>950</v>
      </c>
      <c r="E487" s="35" t="str">
        <f>_xlfn.XLOOKUP(Tabella4[[#This Row],[NOME]],'ROSE SQUADRE'!$N$3:$N$253,'ROSE SQUADRE'!$O$3:$O$253,"")</f>
        <v/>
      </c>
      <c r="F487" s="36" t="s">
        <v>5</v>
      </c>
      <c r="G487" s="43">
        <v>1</v>
      </c>
      <c r="H487" s="43">
        <v>1</v>
      </c>
      <c r="I487" s="44">
        <f t="shared" si="44"/>
        <v>0</v>
      </c>
      <c r="J487" s="37">
        <f t="shared" si="45"/>
        <v>0</v>
      </c>
      <c r="K487" s="178">
        <f t="shared" si="46"/>
        <v>0</v>
      </c>
      <c r="L487" s="178">
        <f t="shared" si="47"/>
        <v>0</v>
      </c>
      <c r="M487" s="179">
        <f t="shared" si="48"/>
        <v>0</v>
      </c>
      <c r="N487" s="45">
        <f t="shared" ca="1" si="49"/>
        <v>0</v>
      </c>
      <c r="O487" s="40">
        <f>SUMIF(Tabella1[Nome],Tabella4[[#This Row],[NOME]],Tabella1[Gf])</f>
        <v>0</v>
      </c>
      <c r="P487" s="40">
        <f>-(SUMIF(Tabella1[Nome],Tabella4[[#This Row],[NOME]],Tabella1[Gs]))</f>
        <v>0</v>
      </c>
      <c r="Q487" s="40">
        <f>SUMIF(Tabella1[Nome],Tabella4[[#This Row],[NOME]],Tabella1[Rp])</f>
        <v>0</v>
      </c>
      <c r="R487" s="40">
        <f>SUMIF(Tabella1[Nome],Tabella4[[#This Row],[NOME]],Tabella1[Rs])</f>
        <v>0</v>
      </c>
      <c r="S487" s="40">
        <f>SUMIF(Tabella1[Nome],Tabella4[[#This Row],[NOME]],Tabella1[Rf])</f>
        <v>0</v>
      </c>
      <c r="T487" s="40">
        <f>SUMIF(Tabella1[Nome],Tabella4[[#This Row],[NOME]],Tabella1[Au])</f>
        <v>0</v>
      </c>
      <c r="U487" s="41">
        <f>SUMIF(Tabella1[Nome],Tabella4[[#This Row],[NOME]],Tabella1[Amm])</f>
        <v>0</v>
      </c>
      <c r="V487" s="42">
        <f>SUMIF(Tabella1[Nome],Tabella4[[#This Row],[NOME]],Tabella1[Esp])</f>
        <v>0</v>
      </c>
      <c r="W487" s="40">
        <f>SUMIF(Tabella1[Nome],Tabella4[[#This Row],[NOME]],Tabella1[Ass])</f>
        <v>0</v>
      </c>
      <c r="X487" s="40">
        <f>SUMIF(Tabella1[Nome],Tabella4[[#This Row],[NOME]],Tabella1[Gdv])</f>
        <v>0</v>
      </c>
      <c r="Y487" s="40">
        <f>SUMIF(Tabella1[Nome],Tabella4[[#This Row],[NOME]],Tabella1[cl sh])</f>
        <v>0</v>
      </c>
      <c r="Z487" s="270" t="str">
        <f>_xlfn.IFNA(_xlfn.XLOOKUP(CONCATENATE(Z$4,$C487),Tabella1[CONC X VOTI IN TAB GIOC],Tabella1[Voto],""),"")</f>
        <v/>
      </c>
      <c r="AA487" s="270" t="str">
        <f>_xlfn.IFNA(_xlfn.XLOOKUP(CONCATENATE(AA$4,$C487),Tabella1[CONC X VOTI IN TAB GIOC],Tabella1[Voto],""),"")</f>
        <v/>
      </c>
      <c r="AB487" s="270" t="str">
        <f>_xlfn.IFNA(_xlfn.XLOOKUP(CONCATENATE(AB$4,$C487),Tabella1[CONC X VOTI IN TAB GIOC],Tabella1[Voto]),"")</f>
        <v/>
      </c>
      <c r="AC487" s="270" t="str" cm="1">
        <f t="array" ref="AC487">_xlfn.IFNA(_xlfn.XLOOKUP(CONCATENATE(AC$4,$C487),INDEX(Tabella1[],0,MATCH("CONC X VOTI IN TAB GIOC",Tabella1[#Headers],0)),INDEX(Tabella1[],0,MATCH("Voto",Tabella1[#Headers],0))),"")</f>
        <v/>
      </c>
      <c r="AD487" s="270" t="str">
        <f>_xlfn.IFNA(_xlfn.XLOOKUP(CONCATENATE(AD$4,$C487),Tabella1[CONC X VOTI IN TAB GIOC],Tabella1[Voto]),"")</f>
        <v/>
      </c>
      <c r="AE487" s="270" t="str">
        <f>_xlfn.IFNA(VLOOKUP(CONCATENATE(AE$4,$C487),'INSER DATA'!$A:$F,6,0),"")</f>
        <v/>
      </c>
      <c r="AF487" s="270" t="str">
        <f>_xlfn.IFNA(VLOOKUP(CONCATENATE(AF$4,$C487),'INSER DATA'!$A:$F,6,0),"")</f>
        <v/>
      </c>
      <c r="AG487" s="270" t="str">
        <f>_xlfn.IFNA(VLOOKUP(CONCATENATE(AG$4,$C487),'INSER DATA'!$A:$F,6,0),"")</f>
        <v/>
      </c>
      <c r="AH487" s="270" t="str">
        <f>_xlfn.IFNA(VLOOKUP(CONCATENATE(AH$4,$C487),'INSER DATA'!$A:$F,7,0),"")</f>
        <v/>
      </c>
      <c r="AI487" s="270" t="str">
        <f>_xlfn.IFNA(VLOOKUP(CONCATENATE(AI$4,$C487),'INSER DATA'!$A:$F,7,0),"")</f>
        <v/>
      </c>
      <c r="AJ487" s="270" t="str">
        <f>_xlfn.IFNA(VLOOKUP(CONCATENATE(AJ$4,$C487),'INSER DATA'!$A:$F,7,0),"")</f>
        <v/>
      </c>
      <c r="AK487" s="270" t="str">
        <f>_xlfn.IFNA(VLOOKUP(CONCATENATE(AK$4,$C487),'INSER DATA'!$A:$F,7,0),"")</f>
        <v/>
      </c>
      <c r="AL487" s="270" t="str">
        <f>_xlfn.IFNA(VLOOKUP(CONCATENATE(AL$4,$C487),'INSER DATA'!$A:$F,7,0),"")</f>
        <v/>
      </c>
      <c r="AM487" s="270" t="str">
        <f>_xlfn.IFNA(VLOOKUP(CONCATENATE(AM$4,$C487),'INSER DATA'!$A:$F,7,0),"")</f>
        <v/>
      </c>
      <c r="AN487" s="270" t="str">
        <f>_xlfn.IFNA(VLOOKUP(CONCATENATE(AN$4,$C487),'INSER DATA'!$A:$F,7,0),"")</f>
        <v/>
      </c>
      <c r="AO487" s="270" t="str">
        <f>_xlfn.IFNA(VLOOKUP(CONCATENATE(AO$4,$C487),'INSER DATA'!$A:$F,7,0),"")</f>
        <v/>
      </c>
      <c r="AP487" s="270" t="str">
        <f>_xlfn.IFNA(VLOOKUP(CONCATENATE(AP$4,$C487),'INSER DATA'!$A:$F,7,0),"")</f>
        <v/>
      </c>
      <c r="AQ487" s="270" t="str">
        <f>_xlfn.IFNA(VLOOKUP(CONCATENATE(AQ$4,$C487),'INSER DATA'!$A:$F,7,0),"")</f>
        <v/>
      </c>
      <c r="AR487" s="270" t="str">
        <f>_xlfn.IFNA(VLOOKUP(CONCATENATE(AR$4,$C487),'INSER DATA'!$A:$F,7,0),"")</f>
        <v/>
      </c>
      <c r="AS487" s="270" t="str">
        <f>_xlfn.IFNA(VLOOKUP(CONCATENATE(AS$4,$C487),'INSER DATA'!$A:$F,7,0),"")</f>
        <v/>
      </c>
      <c r="AT487" s="270" t="str">
        <f>_xlfn.IFNA(VLOOKUP(CONCATENATE(AT$4,$C487),'INSER DATA'!$A:$F,7,0),"")</f>
        <v/>
      </c>
      <c r="AU487" s="270" t="str">
        <f>_xlfn.IFNA(VLOOKUP(CONCATENATE(AU$4,$C487),'INSER DATA'!$A:$F,7,0),"")</f>
        <v/>
      </c>
      <c r="AV487" s="270" t="str">
        <f>_xlfn.IFNA(VLOOKUP(CONCATENATE(AV$4,$C487),'INSER DATA'!$A:$F,7,0),"")</f>
        <v/>
      </c>
      <c r="AW487" s="270" t="str">
        <f>_xlfn.IFNA(VLOOKUP(CONCATENATE(AW$4,$C487),'INSER DATA'!$A:$F,7,0),"")</f>
        <v/>
      </c>
      <c r="AX487" s="270" t="str">
        <f>_xlfn.IFNA(VLOOKUP(CONCATENATE(AX$4,$C487),'INSER DATA'!$A:$F,7,0),"")</f>
        <v/>
      </c>
      <c r="AY487" s="270" t="str">
        <f>_xlfn.IFNA(VLOOKUP(CONCATENATE(AY$4,$C487),'INSER DATA'!$A:$F,7,0),"")</f>
        <v/>
      </c>
      <c r="AZ487" s="270" t="str">
        <f>_xlfn.IFNA(VLOOKUP(CONCATENATE(AZ$4,$C487),'INSER DATA'!$A:$F,7,0),"")</f>
        <v/>
      </c>
      <c r="BA487" s="270" t="str">
        <f>_xlfn.IFNA(VLOOKUP(CONCATENATE(BA$4,$C487),'INSER DATA'!$A:$F,7,0),"")</f>
        <v/>
      </c>
      <c r="BB487" s="270" t="str">
        <f>_xlfn.IFNA(VLOOKUP(CONCATENATE(BB$4,$C487),'INSER DATA'!$A:$F,7,0),"")</f>
        <v/>
      </c>
      <c r="BC487" s="270" t="str">
        <f>_xlfn.IFNA(VLOOKUP(CONCATENATE(BC$4,$C487),'INSER DATA'!$A:$F,7,0),"")</f>
        <v/>
      </c>
      <c r="BD487" s="270" t="str">
        <f>_xlfn.IFNA(VLOOKUP(CONCATENATE(BD$4,$C487),'INSER DATA'!$A:$F,7,0),"")</f>
        <v/>
      </c>
      <c r="BE487" s="270" t="str">
        <f>_xlfn.IFNA(VLOOKUP(CONCATENATE(BE$4,$C487),'INSER DATA'!$A:$F,7,0),"")</f>
        <v/>
      </c>
      <c r="BF487" s="270" t="str">
        <f>_xlfn.IFNA(VLOOKUP(CONCATENATE(BF$4,$C487),'INSER DATA'!$A:$F,7,0),"")</f>
        <v/>
      </c>
      <c r="BG487" s="270" t="str">
        <f>_xlfn.IFNA(VLOOKUP(CONCATENATE(BG$4,$C487),'INSER DATA'!$A:$F,7,0),"")</f>
        <v/>
      </c>
      <c r="BH487" s="270" t="str">
        <f>_xlfn.IFNA(VLOOKUP(CONCATENATE(BH$4,$C487),'INSER DATA'!$A:$F,7,0),"")</f>
        <v/>
      </c>
      <c r="BI487" s="270" t="str">
        <f>_xlfn.IFNA(VLOOKUP(CONCATENATE(BI$4,$C487),'INSER DATA'!$A:$F,7,0),"")</f>
        <v/>
      </c>
      <c r="BJ487" s="270" t="str">
        <f>_xlfn.IFNA(VLOOKUP(CONCATENATE(BJ$4,$C487),'INSER DATA'!$A:$F,7,0),"")</f>
        <v/>
      </c>
      <c r="BK487" s="270" t="str">
        <f>_xlfn.IFNA(VLOOKUP(CONCATENATE(BK$4,$C487),'INSER DATA'!$A:$F,7,0),"")</f>
        <v/>
      </c>
      <c r="BL487" s="272"/>
      <c r="BM487" s="30"/>
      <c r="BN487" s="30"/>
      <c r="BO487" s="30"/>
      <c r="BP487" s="30"/>
      <c r="BQ487" s="30"/>
      <c r="BR487" s="30"/>
      <c r="BS487" s="30"/>
      <c r="BT487" s="30"/>
      <c r="BU487" s="30"/>
      <c r="BV487" s="30"/>
      <c r="BW487" s="30"/>
      <c r="BX487" s="30"/>
      <c r="BY487" s="30"/>
      <c r="BZ487" s="30"/>
      <c r="CA487" s="30"/>
      <c r="CB487" s="30"/>
      <c r="CC487" s="30"/>
      <c r="CD487" s="30"/>
      <c r="CE487" s="30"/>
      <c r="CF487" s="30"/>
      <c r="CG487" s="30"/>
      <c r="CH487" s="30"/>
      <c r="CI487" s="30"/>
      <c r="CJ487" s="30"/>
      <c r="CK487" s="30"/>
      <c r="CL487" s="30"/>
      <c r="CM487" s="30"/>
      <c r="CN487" s="30"/>
      <c r="CO487" s="30"/>
      <c r="CP487" s="30"/>
      <c r="CQ487" s="30"/>
      <c r="CR487" s="30"/>
      <c r="CS487" s="30"/>
      <c r="CT487" s="30"/>
      <c r="CU487" s="30"/>
      <c r="CV487" s="30"/>
      <c r="CW487" s="30"/>
      <c r="CX487" s="30"/>
      <c r="CY487" s="30"/>
      <c r="CZ487" s="30"/>
      <c r="DA487" s="30"/>
    </row>
    <row r="488" spans="1:105" ht="19.2" thickTop="1" thickBot="1" x14ac:dyDescent="0.4">
      <c r="A488" s="30"/>
      <c r="B488" s="30"/>
      <c r="C488" s="188" t="s">
        <v>954</v>
      </c>
      <c r="D488" s="187" t="s">
        <v>950</v>
      </c>
      <c r="E488" s="35" t="str">
        <f>_xlfn.XLOOKUP(Tabella4[[#This Row],[NOME]],'ROSE SQUADRE'!$N$3:$N$253,'ROSE SQUADRE'!$O$3:$O$253,"")</f>
        <v/>
      </c>
      <c r="F488" s="36" t="s">
        <v>161</v>
      </c>
      <c r="G488" s="43">
        <v>4</v>
      </c>
      <c r="H488" s="43">
        <v>4</v>
      </c>
      <c r="I488" s="44">
        <f t="shared" si="44"/>
        <v>0</v>
      </c>
      <c r="J488" s="37">
        <f t="shared" si="45"/>
        <v>0</v>
      </c>
      <c r="K488" s="38">
        <f t="shared" si="46"/>
        <v>0</v>
      </c>
      <c r="L488" s="38">
        <f t="shared" si="47"/>
        <v>0</v>
      </c>
      <c r="M488" s="39">
        <f t="shared" si="48"/>
        <v>0</v>
      </c>
      <c r="N488" s="45">
        <f t="shared" ca="1" si="49"/>
        <v>0</v>
      </c>
      <c r="O488" s="40">
        <f>SUMIF(Tabella1[Nome],Tabella4[[#This Row],[NOME]],Tabella1[Gf])</f>
        <v>0</v>
      </c>
      <c r="P488" s="40">
        <f>-(SUMIF(Tabella1[Nome],Tabella4[[#This Row],[NOME]],Tabella1[Gs]))</f>
        <v>0</v>
      </c>
      <c r="Q488" s="40">
        <f>SUMIF(Tabella1[Nome],Tabella4[[#This Row],[NOME]],Tabella1[Rp])</f>
        <v>0</v>
      </c>
      <c r="R488" s="40">
        <f>SUMIF(Tabella1[Nome],Tabella4[[#This Row],[NOME]],Tabella1[Rs])</f>
        <v>0</v>
      </c>
      <c r="S488" s="40">
        <f>SUMIF(Tabella1[Nome],Tabella4[[#This Row],[NOME]],Tabella1[Rf])</f>
        <v>0</v>
      </c>
      <c r="T488" s="40">
        <f>SUMIF(Tabella1[Nome],Tabella4[[#This Row],[NOME]],Tabella1[Au])</f>
        <v>0</v>
      </c>
      <c r="U488" s="41">
        <f>SUMIF(Tabella1[Nome],Tabella4[[#This Row],[NOME]],Tabella1[Amm])</f>
        <v>0</v>
      </c>
      <c r="V488" s="42">
        <f>SUMIF(Tabella1[Nome],Tabella4[[#This Row],[NOME]],Tabella1[Esp])</f>
        <v>0</v>
      </c>
      <c r="W488" s="40">
        <f>SUMIF(Tabella1[Nome],Tabella4[[#This Row],[NOME]],Tabella1[Ass])</f>
        <v>0</v>
      </c>
      <c r="X488" s="40">
        <f>SUMIF(Tabella1[Nome],Tabella4[[#This Row],[NOME]],Tabella1[Gdv])</f>
        <v>0</v>
      </c>
      <c r="Y488" s="40">
        <f>SUMIF(Tabella1[Nome],Tabella4[[#This Row],[NOME]],Tabella1[cl sh])</f>
        <v>0</v>
      </c>
      <c r="Z488" s="270" t="str">
        <f>_xlfn.IFNA(_xlfn.XLOOKUP(CONCATENATE(Z$4,$C488),Tabella1[CONC X VOTI IN TAB GIOC],Tabella1[Voto],""),"")</f>
        <v/>
      </c>
      <c r="AA488" s="270" t="str">
        <f>_xlfn.IFNA(_xlfn.XLOOKUP(CONCATENATE(AA$4,$C488),Tabella1[CONC X VOTI IN TAB GIOC],Tabella1[Voto],""),"")</f>
        <v/>
      </c>
      <c r="AB488" s="270" t="str">
        <f>_xlfn.IFNA(_xlfn.XLOOKUP(CONCATENATE(AB$4,$C488),Tabella1[CONC X VOTI IN TAB GIOC],Tabella1[Voto]),"")</f>
        <v/>
      </c>
      <c r="AC488" s="270" t="str" cm="1">
        <f t="array" ref="AC488">_xlfn.IFNA(_xlfn.XLOOKUP(CONCATENATE(AC$4,$C488),INDEX(Tabella1[],0,MATCH("CONC X VOTI IN TAB GIOC",Tabella1[#Headers],0)),INDEX(Tabella1[],0,MATCH("Voto",Tabella1[#Headers],0))),"")</f>
        <v/>
      </c>
      <c r="AD488" s="270" t="str">
        <f>_xlfn.IFNA(_xlfn.XLOOKUP(CONCATENATE(AD$4,$C488),Tabella1[CONC X VOTI IN TAB GIOC],Tabella1[Voto]),"")</f>
        <v/>
      </c>
      <c r="AE488" s="270" t="str">
        <f>_xlfn.IFNA(VLOOKUP(CONCATENATE(AE$4,$C488),'INSER DATA'!$A:$F,6,0),"")</f>
        <v/>
      </c>
      <c r="AF488" s="270" t="str">
        <f>_xlfn.IFNA(VLOOKUP(CONCATENATE(AF$4,$C488),'INSER DATA'!$A:$F,6,0),"")</f>
        <v/>
      </c>
      <c r="AG488" s="270" t="str">
        <f>_xlfn.IFNA(VLOOKUP(CONCATENATE(AG$4,$C488),'INSER DATA'!$A:$F,6,0),"")</f>
        <v/>
      </c>
      <c r="AH488" s="270" t="str">
        <f>_xlfn.IFNA(VLOOKUP(CONCATENATE(AH$4,$C488),'INSER DATA'!$A:$F,7,0),"")</f>
        <v/>
      </c>
      <c r="AI488" s="270" t="str">
        <f>_xlfn.IFNA(VLOOKUP(CONCATENATE(AI$4,$C488),'INSER DATA'!$A:$F,7,0),"")</f>
        <v/>
      </c>
      <c r="AJ488" s="270" t="str">
        <f>_xlfn.IFNA(VLOOKUP(CONCATENATE(AJ$4,$C488),'INSER DATA'!$A:$F,7,0),"")</f>
        <v/>
      </c>
      <c r="AK488" s="270" t="str">
        <f>_xlfn.IFNA(VLOOKUP(CONCATENATE(AK$4,$C488),'INSER DATA'!$A:$F,7,0),"")</f>
        <v/>
      </c>
      <c r="AL488" s="270" t="str">
        <f>_xlfn.IFNA(VLOOKUP(CONCATENATE(AL$4,$C488),'INSER DATA'!$A:$F,7,0),"")</f>
        <v/>
      </c>
      <c r="AM488" s="270" t="str">
        <f>_xlfn.IFNA(VLOOKUP(CONCATENATE(AM$4,$C488),'INSER DATA'!$A:$F,7,0),"")</f>
        <v/>
      </c>
      <c r="AN488" s="270" t="str">
        <f>_xlfn.IFNA(VLOOKUP(CONCATENATE(AN$4,$C488),'INSER DATA'!$A:$F,7,0),"")</f>
        <v/>
      </c>
      <c r="AO488" s="270" t="str">
        <f>_xlfn.IFNA(VLOOKUP(CONCATENATE(AO$4,$C488),'INSER DATA'!$A:$F,7,0),"")</f>
        <v/>
      </c>
      <c r="AP488" s="270" t="str">
        <f>_xlfn.IFNA(VLOOKUP(CONCATENATE(AP$4,$C488),'INSER DATA'!$A:$F,7,0),"")</f>
        <v/>
      </c>
      <c r="AQ488" s="270" t="str">
        <f>_xlfn.IFNA(VLOOKUP(CONCATENATE(AQ$4,$C488),'INSER DATA'!$A:$F,7,0),"")</f>
        <v/>
      </c>
      <c r="AR488" s="270" t="str">
        <f>_xlfn.IFNA(VLOOKUP(CONCATENATE(AR$4,$C488),'INSER DATA'!$A:$F,7,0),"")</f>
        <v/>
      </c>
      <c r="AS488" s="270" t="str">
        <f>_xlfn.IFNA(VLOOKUP(CONCATENATE(AS$4,$C488),'INSER DATA'!$A:$F,7,0),"")</f>
        <v/>
      </c>
      <c r="AT488" s="270" t="str">
        <f>_xlfn.IFNA(VLOOKUP(CONCATENATE(AT$4,$C488),'INSER DATA'!$A:$F,7,0),"")</f>
        <v/>
      </c>
      <c r="AU488" s="270" t="str">
        <f>_xlfn.IFNA(VLOOKUP(CONCATENATE(AU$4,$C488),'INSER DATA'!$A:$F,7,0),"")</f>
        <v/>
      </c>
      <c r="AV488" s="270" t="str">
        <f>_xlfn.IFNA(VLOOKUP(CONCATENATE(AV$4,$C488),'INSER DATA'!$A:$F,7,0),"")</f>
        <v/>
      </c>
      <c r="AW488" s="270" t="str">
        <f>_xlfn.IFNA(VLOOKUP(CONCATENATE(AW$4,$C488),'INSER DATA'!$A:$F,7,0),"")</f>
        <v/>
      </c>
      <c r="AX488" s="270" t="str">
        <f>_xlfn.IFNA(VLOOKUP(CONCATENATE(AX$4,$C488),'INSER DATA'!$A:$F,7,0),"")</f>
        <v/>
      </c>
      <c r="AY488" s="270" t="str">
        <f>_xlfn.IFNA(VLOOKUP(CONCATENATE(AY$4,$C488),'INSER DATA'!$A:$F,7,0),"")</f>
        <v/>
      </c>
      <c r="AZ488" s="270" t="str">
        <f>_xlfn.IFNA(VLOOKUP(CONCATENATE(AZ$4,$C488),'INSER DATA'!$A:$F,7,0),"")</f>
        <v/>
      </c>
      <c r="BA488" s="270" t="str">
        <f>_xlfn.IFNA(VLOOKUP(CONCATENATE(BA$4,$C488),'INSER DATA'!$A:$F,7,0),"")</f>
        <v/>
      </c>
      <c r="BB488" s="270" t="str">
        <f>_xlfn.IFNA(VLOOKUP(CONCATENATE(BB$4,$C488),'INSER DATA'!$A:$F,7,0),"")</f>
        <v/>
      </c>
      <c r="BC488" s="270" t="str">
        <f>_xlfn.IFNA(VLOOKUP(CONCATENATE(BC$4,$C488),'INSER DATA'!$A:$F,7,0),"")</f>
        <v/>
      </c>
      <c r="BD488" s="270" t="str">
        <f>_xlfn.IFNA(VLOOKUP(CONCATENATE(BD$4,$C488),'INSER DATA'!$A:$F,7,0),"")</f>
        <v/>
      </c>
      <c r="BE488" s="270" t="str">
        <f>_xlfn.IFNA(VLOOKUP(CONCATENATE(BE$4,$C488),'INSER DATA'!$A:$F,7,0),"")</f>
        <v/>
      </c>
      <c r="BF488" s="270" t="str">
        <f>_xlfn.IFNA(VLOOKUP(CONCATENATE(BF$4,$C488),'INSER DATA'!$A:$F,7,0),"")</f>
        <v/>
      </c>
      <c r="BG488" s="270" t="str">
        <f>_xlfn.IFNA(VLOOKUP(CONCATENATE(BG$4,$C488),'INSER DATA'!$A:$F,7,0),"")</f>
        <v/>
      </c>
      <c r="BH488" s="270" t="str">
        <f>_xlfn.IFNA(VLOOKUP(CONCATENATE(BH$4,$C488),'INSER DATA'!$A:$F,7,0),"")</f>
        <v/>
      </c>
      <c r="BI488" s="270" t="str">
        <f>_xlfn.IFNA(VLOOKUP(CONCATENATE(BI$4,$C488),'INSER DATA'!$A:$F,7,0),"")</f>
        <v/>
      </c>
      <c r="BJ488" s="270" t="str">
        <f>_xlfn.IFNA(VLOOKUP(CONCATENATE(BJ$4,$C488),'INSER DATA'!$A:$F,7,0),"")</f>
        <v/>
      </c>
      <c r="BK488" s="270" t="str">
        <f>_xlfn.IFNA(VLOOKUP(CONCATENATE(BK$4,$C488),'INSER DATA'!$A:$F,7,0),"")</f>
        <v/>
      </c>
      <c r="BL488" s="272"/>
      <c r="BM488" s="30"/>
      <c r="BN488" s="30"/>
      <c r="BO488" s="30"/>
      <c r="BP488" s="30"/>
      <c r="BQ488" s="30"/>
      <c r="BR488" s="30"/>
      <c r="BS488" s="30"/>
      <c r="BT488" s="30"/>
      <c r="BU488" s="30"/>
      <c r="BV488" s="30"/>
      <c r="BW488" s="30"/>
      <c r="BX488" s="30"/>
      <c r="BY488" s="30"/>
      <c r="BZ488" s="30"/>
      <c r="CA488" s="30"/>
      <c r="CB488" s="30"/>
      <c r="CC488" s="30"/>
      <c r="CD488" s="30"/>
      <c r="CE488" s="30"/>
      <c r="CF488" s="30"/>
      <c r="CG488" s="30"/>
      <c r="CH488" s="30"/>
      <c r="CI488" s="30"/>
      <c r="CJ488" s="30"/>
      <c r="CK488" s="30"/>
      <c r="CL488" s="30"/>
      <c r="CM488" s="30"/>
      <c r="CN488" s="30"/>
      <c r="CO488" s="30"/>
      <c r="CP488" s="30"/>
      <c r="CQ488" s="30"/>
      <c r="CR488" s="30"/>
      <c r="CS488" s="30"/>
      <c r="CT488" s="30"/>
      <c r="CU488" s="30"/>
      <c r="CV488" s="30"/>
      <c r="CW488" s="30"/>
      <c r="CX488" s="30"/>
      <c r="CY488" s="30"/>
      <c r="CZ488" s="30"/>
      <c r="DA488" s="30"/>
    </row>
    <row r="489" spans="1:105" ht="19.2" thickTop="1" thickBot="1" x14ac:dyDescent="0.4">
      <c r="A489" s="30"/>
      <c r="B489" s="30"/>
      <c r="C489" s="185" t="s">
        <v>620</v>
      </c>
      <c r="D489" s="46" t="s">
        <v>950</v>
      </c>
      <c r="E489" s="35" t="str">
        <f>_xlfn.XLOOKUP(Tabella4[[#This Row],[NOME]],'ROSE SQUADRE'!$N$3:$N$253,'ROSE SQUADRE'!$O$3:$O$253,"")</f>
        <v/>
      </c>
      <c r="F489" s="36" t="s">
        <v>161</v>
      </c>
      <c r="G489" s="43">
        <v>4</v>
      </c>
      <c r="H489" s="43">
        <v>4</v>
      </c>
      <c r="I489" s="44">
        <f t="shared" si="44"/>
        <v>0</v>
      </c>
      <c r="J489" s="37">
        <f t="shared" si="45"/>
        <v>2</v>
      </c>
      <c r="K489" s="178">
        <f t="shared" si="46"/>
        <v>5</v>
      </c>
      <c r="L489" s="178">
        <f t="shared" si="47"/>
        <v>5</v>
      </c>
      <c r="M489" s="179">
        <f t="shared" si="48"/>
        <v>10</v>
      </c>
      <c r="N489" s="45">
        <f t="shared" ca="1" si="49"/>
        <v>0</v>
      </c>
      <c r="O489" s="40">
        <f>SUMIF(Tabella1[Nome],Tabella4[[#This Row],[NOME]],Tabella1[Gf])</f>
        <v>0</v>
      </c>
      <c r="P489" s="40">
        <f>-(SUMIF(Tabella1[Nome],Tabella4[[#This Row],[NOME]],Tabella1[Gs]))</f>
        <v>0</v>
      </c>
      <c r="Q489" s="40">
        <f>SUMIF(Tabella1[Nome],Tabella4[[#This Row],[NOME]],Tabella1[Rp])</f>
        <v>0</v>
      </c>
      <c r="R489" s="40">
        <f>SUMIF(Tabella1[Nome],Tabella4[[#This Row],[NOME]],Tabella1[Rs])</f>
        <v>0</v>
      </c>
      <c r="S489" s="40">
        <f>SUMIF(Tabella1[Nome],Tabella4[[#This Row],[NOME]],Tabella1[Rf])</f>
        <v>0</v>
      </c>
      <c r="T489" s="40">
        <f>SUMIF(Tabella1[Nome],Tabella4[[#This Row],[NOME]],Tabella1[Au])</f>
        <v>0</v>
      </c>
      <c r="U489" s="41">
        <f>SUMIF(Tabella1[Nome],Tabella4[[#This Row],[NOME]],Tabella1[Amm])</f>
        <v>0</v>
      </c>
      <c r="V489" s="42">
        <f>SUMIF(Tabella1[Nome],Tabella4[[#This Row],[NOME]],Tabella1[Esp])</f>
        <v>0</v>
      </c>
      <c r="W489" s="40">
        <f>SUMIF(Tabella1[Nome],Tabella4[[#This Row],[NOME]],Tabella1[Ass])</f>
        <v>0</v>
      </c>
      <c r="X489" s="40">
        <f>SUMIF(Tabella1[Nome],Tabella4[[#This Row],[NOME]],Tabella1[Gdv])</f>
        <v>0</v>
      </c>
      <c r="Y489" s="40">
        <f>SUMIF(Tabella1[Nome],Tabella4[[#This Row],[NOME]],Tabella1[cl sh])</f>
        <v>0</v>
      </c>
      <c r="Z489" s="270" t="str">
        <f>_xlfn.IFNA(_xlfn.XLOOKUP(CONCATENATE(Z$4,$C489),Tabella1[CONC X VOTI IN TAB GIOC],Tabella1[Voto],""),"")</f>
        <v/>
      </c>
      <c r="AA489" s="270" t="str">
        <f>_xlfn.IFNA(_xlfn.XLOOKUP(CONCATENATE(AA$4,$C489),Tabella1[CONC X VOTI IN TAB GIOC],Tabella1[Voto],""),"")</f>
        <v/>
      </c>
      <c r="AB489" s="270">
        <f>_xlfn.IFNA(_xlfn.XLOOKUP(CONCATENATE(AB$4,$C489),Tabella1[CONC X VOTI IN TAB GIOC],Tabella1[Voto]),"")</f>
        <v>5.5</v>
      </c>
      <c r="AC489" s="270" cm="1">
        <f t="array" ref="AC489">_xlfn.IFNA(_xlfn.XLOOKUP(CONCATENATE(AC$4,$C489),INDEX(Tabella1[],0,MATCH("CONC X VOTI IN TAB GIOC",Tabella1[#Headers],0)),INDEX(Tabella1[],0,MATCH("Voto",Tabella1[#Headers],0))),"")</f>
        <v>4.5</v>
      </c>
      <c r="AD489" s="270" t="str">
        <f>_xlfn.IFNA(_xlfn.XLOOKUP(CONCATENATE(AD$4,$C489),Tabella1[CONC X VOTI IN TAB GIOC],Tabella1[Voto]),"")</f>
        <v/>
      </c>
      <c r="AE489" s="270" t="str">
        <f>_xlfn.IFNA(VLOOKUP(CONCATENATE(AE$4,$C489),'INSER DATA'!$A:$F,6,0),"")</f>
        <v/>
      </c>
      <c r="AF489" s="270" t="str">
        <f>_xlfn.IFNA(VLOOKUP(CONCATENATE(AF$4,$C489),'INSER DATA'!$A:$F,6,0),"")</f>
        <v/>
      </c>
      <c r="AG489" s="270" t="str">
        <f>_xlfn.IFNA(VLOOKUP(CONCATENATE(AG$4,$C489),'INSER DATA'!$A:$F,6,0),"")</f>
        <v/>
      </c>
      <c r="AH489" s="270" t="str">
        <f>_xlfn.IFNA(VLOOKUP(CONCATENATE(AH$4,$C489),'INSER DATA'!$A:$F,7,0),"")</f>
        <v/>
      </c>
      <c r="AI489" s="270" t="str">
        <f>_xlfn.IFNA(VLOOKUP(CONCATENATE(AI$4,$C489),'INSER DATA'!$A:$F,7,0),"")</f>
        <v/>
      </c>
      <c r="AJ489" s="270" t="str">
        <f>_xlfn.IFNA(VLOOKUP(CONCATENATE(AJ$4,$C489),'INSER DATA'!$A:$F,7,0),"")</f>
        <v/>
      </c>
      <c r="AK489" s="270" t="str">
        <f>_xlfn.IFNA(VLOOKUP(CONCATENATE(AK$4,$C489),'INSER DATA'!$A:$F,7,0),"")</f>
        <v/>
      </c>
      <c r="AL489" s="270" t="str">
        <f>_xlfn.IFNA(VLOOKUP(CONCATENATE(AL$4,$C489),'INSER DATA'!$A:$F,7,0),"")</f>
        <v/>
      </c>
      <c r="AM489" s="270" t="str">
        <f>_xlfn.IFNA(VLOOKUP(CONCATENATE(AM$4,$C489),'INSER DATA'!$A:$F,7,0),"")</f>
        <v/>
      </c>
      <c r="AN489" s="270" t="str">
        <f>_xlfn.IFNA(VLOOKUP(CONCATENATE(AN$4,$C489),'INSER DATA'!$A:$F,7,0),"")</f>
        <v/>
      </c>
      <c r="AO489" s="270" t="str">
        <f>_xlfn.IFNA(VLOOKUP(CONCATENATE(AO$4,$C489),'INSER DATA'!$A:$F,7,0),"")</f>
        <v/>
      </c>
      <c r="AP489" s="270" t="str">
        <f>_xlfn.IFNA(VLOOKUP(CONCATENATE(AP$4,$C489),'INSER DATA'!$A:$F,7,0),"")</f>
        <v/>
      </c>
      <c r="AQ489" s="270" t="str">
        <f>_xlfn.IFNA(VLOOKUP(CONCATENATE(AQ$4,$C489),'INSER DATA'!$A:$F,7,0),"")</f>
        <v/>
      </c>
      <c r="AR489" s="270" t="str">
        <f>_xlfn.IFNA(VLOOKUP(CONCATENATE(AR$4,$C489),'INSER DATA'!$A:$F,7,0),"")</f>
        <v/>
      </c>
      <c r="AS489" s="270" t="str">
        <f>_xlfn.IFNA(VLOOKUP(CONCATENATE(AS$4,$C489),'INSER DATA'!$A:$F,7,0),"")</f>
        <v/>
      </c>
      <c r="AT489" s="270" t="str">
        <f>_xlfn.IFNA(VLOOKUP(CONCATENATE(AT$4,$C489),'INSER DATA'!$A:$F,7,0),"")</f>
        <v/>
      </c>
      <c r="AU489" s="270" t="str">
        <f>_xlfn.IFNA(VLOOKUP(CONCATENATE(AU$4,$C489),'INSER DATA'!$A:$F,7,0),"")</f>
        <v/>
      </c>
      <c r="AV489" s="270" t="str">
        <f>_xlfn.IFNA(VLOOKUP(CONCATENATE(AV$4,$C489),'INSER DATA'!$A:$F,7,0),"")</f>
        <v/>
      </c>
      <c r="AW489" s="270" t="str">
        <f>_xlfn.IFNA(VLOOKUP(CONCATENATE(AW$4,$C489),'INSER DATA'!$A:$F,7,0),"")</f>
        <v/>
      </c>
      <c r="AX489" s="270" t="str">
        <f>_xlfn.IFNA(VLOOKUP(CONCATENATE(AX$4,$C489),'INSER DATA'!$A:$F,7,0),"")</f>
        <v/>
      </c>
      <c r="AY489" s="270" t="str">
        <f>_xlfn.IFNA(VLOOKUP(CONCATENATE(AY$4,$C489),'INSER DATA'!$A:$F,7,0),"")</f>
        <v/>
      </c>
      <c r="AZ489" s="270" t="str">
        <f>_xlfn.IFNA(VLOOKUP(CONCATENATE(AZ$4,$C489),'INSER DATA'!$A:$F,7,0),"")</f>
        <v/>
      </c>
      <c r="BA489" s="270" t="str">
        <f>_xlfn.IFNA(VLOOKUP(CONCATENATE(BA$4,$C489),'INSER DATA'!$A:$F,7,0),"")</f>
        <v/>
      </c>
      <c r="BB489" s="270" t="str">
        <f>_xlfn.IFNA(VLOOKUP(CONCATENATE(BB$4,$C489),'INSER DATA'!$A:$F,7,0),"")</f>
        <v/>
      </c>
      <c r="BC489" s="270" t="str">
        <f>_xlfn.IFNA(VLOOKUP(CONCATENATE(BC$4,$C489),'INSER DATA'!$A:$F,7,0),"")</f>
        <v/>
      </c>
      <c r="BD489" s="270" t="str">
        <f>_xlfn.IFNA(VLOOKUP(CONCATENATE(BD$4,$C489),'INSER DATA'!$A:$F,7,0),"")</f>
        <v/>
      </c>
      <c r="BE489" s="270" t="str">
        <f>_xlfn.IFNA(VLOOKUP(CONCATENATE(BE$4,$C489),'INSER DATA'!$A:$F,7,0),"")</f>
        <v/>
      </c>
      <c r="BF489" s="270" t="str">
        <f>_xlfn.IFNA(VLOOKUP(CONCATENATE(BF$4,$C489),'INSER DATA'!$A:$F,7,0),"")</f>
        <v/>
      </c>
      <c r="BG489" s="270" t="str">
        <f>_xlfn.IFNA(VLOOKUP(CONCATENATE(BG$4,$C489),'INSER DATA'!$A:$F,7,0),"")</f>
        <v/>
      </c>
      <c r="BH489" s="270" t="str">
        <f>_xlfn.IFNA(VLOOKUP(CONCATENATE(BH$4,$C489),'INSER DATA'!$A:$F,7,0),"")</f>
        <v/>
      </c>
      <c r="BI489" s="270" t="str">
        <f>_xlfn.IFNA(VLOOKUP(CONCATENATE(BI$4,$C489),'INSER DATA'!$A:$F,7,0),"")</f>
        <v/>
      </c>
      <c r="BJ489" s="270" t="str">
        <f>_xlfn.IFNA(VLOOKUP(CONCATENATE(BJ$4,$C489),'INSER DATA'!$A:$F,7,0),"")</f>
        <v/>
      </c>
      <c r="BK489" s="270" t="str">
        <f>_xlfn.IFNA(VLOOKUP(CONCATENATE(BK$4,$C489),'INSER DATA'!$A:$F,7,0),"")</f>
        <v/>
      </c>
      <c r="BL489" s="272"/>
      <c r="BM489" s="30"/>
      <c r="BN489" s="30"/>
      <c r="BO489" s="30"/>
      <c r="BP489" s="30"/>
      <c r="BQ489" s="30"/>
      <c r="BR489" s="30"/>
      <c r="BS489" s="30"/>
      <c r="BT489" s="30"/>
      <c r="BU489" s="30"/>
      <c r="BV489" s="30"/>
      <c r="BW489" s="30"/>
      <c r="BX489" s="30"/>
      <c r="BY489" s="30"/>
      <c r="BZ489" s="30"/>
      <c r="CA489" s="30"/>
      <c r="CB489" s="30"/>
      <c r="CC489" s="30"/>
      <c r="CD489" s="30"/>
      <c r="CE489" s="30"/>
      <c r="CF489" s="30"/>
      <c r="CG489" s="30"/>
      <c r="CH489" s="30"/>
      <c r="CI489" s="30"/>
      <c r="CJ489" s="30"/>
      <c r="CK489" s="30"/>
      <c r="CL489" s="30"/>
      <c r="CM489" s="30"/>
      <c r="CN489" s="30"/>
      <c r="CO489" s="30"/>
      <c r="CP489" s="30"/>
      <c r="CQ489" s="30"/>
      <c r="CR489" s="30"/>
      <c r="CS489" s="30"/>
      <c r="CT489" s="30"/>
      <c r="CU489" s="30"/>
      <c r="CV489" s="30"/>
      <c r="CW489" s="30"/>
      <c r="CX489" s="30"/>
      <c r="CY489" s="30"/>
      <c r="CZ489" s="30"/>
      <c r="DA489" s="30"/>
    </row>
    <row r="490" spans="1:105" ht="19.2" thickTop="1" thickBot="1" x14ac:dyDescent="0.4">
      <c r="A490" s="30"/>
      <c r="B490" s="30"/>
      <c r="C490" s="188" t="s">
        <v>957</v>
      </c>
      <c r="D490" s="46" t="s">
        <v>950</v>
      </c>
      <c r="E490" s="35" t="str">
        <f>_xlfn.XLOOKUP(Tabella4[[#This Row],[NOME]],'ROSE SQUADRE'!$N$3:$N$253,'ROSE SQUADRE'!$O$3:$O$253,"")</f>
        <v/>
      </c>
      <c r="F490" s="36" t="s">
        <v>161</v>
      </c>
      <c r="G490" s="43">
        <v>1</v>
      </c>
      <c r="H490" s="43">
        <v>1</v>
      </c>
      <c r="I490" s="44">
        <f t="shared" si="44"/>
        <v>0</v>
      </c>
      <c r="J490" s="37">
        <f t="shared" si="45"/>
        <v>0</v>
      </c>
      <c r="K490" s="38">
        <f t="shared" si="46"/>
        <v>0</v>
      </c>
      <c r="L490" s="38">
        <f t="shared" si="47"/>
        <v>0</v>
      </c>
      <c r="M490" s="39">
        <f t="shared" si="48"/>
        <v>0</v>
      </c>
      <c r="N490" s="45">
        <f t="shared" ca="1" si="49"/>
        <v>0</v>
      </c>
      <c r="O490" s="40">
        <f>SUMIF(Tabella1[Nome],Tabella4[[#This Row],[NOME]],Tabella1[Gf])</f>
        <v>0</v>
      </c>
      <c r="P490" s="40">
        <f>-(SUMIF(Tabella1[Nome],Tabella4[[#This Row],[NOME]],Tabella1[Gs]))</f>
        <v>0</v>
      </c>
      <c r="Q490" s="40">
        <f>SUMIF(Tabella1[Nome],Tabella4[[#This Row],[NOME]],Tabella1[Rp])</f>
        <v>0</v>
      </c>
      <c r="R490" s="40">
        <f>SUMIF(Tabella1[Nome],Tabella4[[#This Row],[NOME]],Tabella1[Rs])</f>
        <v>0</v>
      </c>
      <c r="S490" s="40">
        <f>SUMIF(Tabella1[Nome],Tabella4[[#This Row],[NOME]],Tabella1[Rf])</f>
        <v>0</v>
      </c>
      <c r="T490" s="40">
        <f>SUMIF(Tabella1[Nome],Tabella4[[#This Row],[NOME]],Tabella1[Au])</f>
        <v>0</v>
      </c>
      <c r="U490" s="41">
        <f>SUMIF(Tabella1[Nome],Tabella4[[#This Row],[NOME]],Tabella1[Amm])</f>
        <v>0</v>
      </c>
      <c r="V490" s="42">
        <f>SUMIF(Tabella1[Nome],Tabella4[[#This Row],[NOME]],Tabella1[Esp])</f>
        <v>0</v>
      </c>
      <c r="W490" s="40">
        <f>SUMIF(Tabella1[Nome],Tabella4[[#This Row],[NOME]],Tabella1[Ass])</f>
        <v>0</v>
      </c>
      <c r="X490" s="40">
        <f>SUMIF(Tabella1[Nome],Tabella4[[#This Row],[NOME]],Tabella1[Gdv])</f>
        <v>0</v>
      </c>
      <c r="Y490" s="40">
        <f>SUMIF(Tabella1[Nome],Tabella4[[#This Row],[NOME]],Tabella1[cl sh])</f>
        <v>0</v>
      </c>
      <c r="Z490" s="270" t="str">
        <f>_xlfn.IFNA(_xlfn.XLOOKUP(CONCATENATE(Z$4,$C490),Tabella1[CONC X VOTI IN TAB GIOC],Tabella1[Voto],""),"")</f>
        <v/>
      </c>
      <c r="AA490" s="270" t="str">
        <f>_xlfn.IFNA(_xlfn.XLOOKUP(CONCATENATE(AA$4,$C490),Tabella1[CONC X VOTI IN TAB GIOC],Tabella1[Voto],""),"")</f>
        <v/>
      </c>
      <c r="AB490" s="270" t="str">
        <f>_xlfn.IFNA(_xlfn.XLOOKUP(CONCATENATE(AB$4,$C490),Tabella1[CONC X VOTI IN TAB GIOC],Tabella1[Voto]),"")</f>
        <v/>
      </c>
      <c r="AC490" s="270" t="str" cm="1">
        <f t="array" ref="AC490">_xlfn.IFNA(_xlfn.XLOOKUP(CONCATENATE(AC$4,$C490),INDEX(Tabella1[],0,MATCH("CONC X VOTI IN TAB GIOC",Tabella1[#Headers],0)),INDEX(Tabella1[],0,MATCH("Voto",Tabella1[#Headers],0))),"")</f>
        <v/>
      </c>
      <c r="AD490" s="270" t="str">
        <f>_xlfn.IFNA(_xlfn.XLOOKUP(CONCATENATE(AD$4,$C490),Tabella1[CONC X VOTI IN TAB GIOC],Tabella1[Voto]),"")</f>
        <v/>
      </c>
      <c r="AE490" s="270" t="str">
        <f>_xlfn.IFNA(VLOOKUP(CONCATENATE(AE$4,$C490),'INSER DATA'!$A:$F,6,0),"")</f>
        <v/>
      </c>
      <c r="AF490" s="270" t="str">
        <f>_xlfn.IFNA(VLOOKUP(CONCATENATE(AF$4,$C490),'INSER DATA'!$A:$F,6,0),"")</f>
        <v/>
      </c>
      <c r="AG490" s="270" t="str">
        <f>_xlfn.IFNA(VLOOKUP(CONCATENATE(AG$4,$C490),'INSER DATA'!$A:$F,6,0),"")</f>
        <v/>
      </c>
      <c r="AH490" s="270" t="str">
        <f>_xlfn.IFNA(VLOOKUP(CONCATENATE(AH$4,$C490),'INSER DATA'!$A:$F,7,0),"")</f>
        <v/>
      </c>
      <c r="AI490" s="270" t="str">
        <f>_xlfn.IFNA(VLOOKUP(CONCATENATE(AI$4,$C490),'INSER DATA'!$A:$F,7,0),"")</f>
        <v/>
      </c>
      <c r="AJ490" s="270" t="str">
        <f>_xlfn.IFNA(VLOOKUP(CONCATENATE(AJ$4,$C490),'INSER DATA'!$A:$F,7,0),"")</f>
        <v/>
      </c>
      <c r="AK490" s="270" t="str">
        <f>_xlfn.IFNA(VLOOKUP(CONCATENATE(AK$4,$C490),'INSER DATA'!$A:$F,7,0),"")</f>
        <v/>
      </c>
      <c r="AL490" s="270" t="str">
        <f>_xlfn.IFNA(VLOOKUP(CONCATENATE(AL$4,$C490),'INSER DATA'!$A:$F,7,0),"")</f>
        <v/>
      </c>
      <c r="AM490" s="270" t="str">
        <f>_xlfn.IFNA(VLOOKUP(CONCATENATE(AM$4,$C490),'INSER DATA'!$A:$F,7,0),"")</f>
        <v/>
      </c>
      <c r="AN490" s="270" t="str">
        <f>_xlfn.IFNA(VLOOKUP(CONCATENATE(AN$4,$C490),'INSER DATA'!$A:$F,7,0),"")</f>
        <v/>
      </c>
      <c r="AO490" s="270" t="str">
        <f>_xlfn.IFNA(VLOOKUP(CONCATENATE(AO$4,$C490),'INSER DATA'!$A:$F,7,0),"")</f>
        <v/>
      </c>
      <c r="AP490" s="270" t="str">
        <f>_xlfn.IFNA(VLOOKUP(CONCATENATE(AP$4,$C490),'INSER DATA'!$A:$F,7,0),"")</f>
        <v/>
      </c>
      <c r="AQ490" s="270" t="str">
        <f>_xlfn.IFNA(VLOOKUP(CONCATENATE(AQ$4,$C490),'INSER DATA'!$A:$F,7,0),"")</f>
        <v/>
      </c>
      <c r="AR490" s="270" t="str">
        <f>_xlfn.IFNA(VLOOKUP(CONCATENATE(AR$4,$C490),'INSER DATA'!$A:$F,7,0),"")</f>
        <v/>
      </c>
      <c r="AS490" s="270" t="str">
        <f>_xlfn.IFNA(VLOOKUP(CONCATENATE(AS$4,$C490),'INSER DATA'!$A:$F,7,0),"")</f>
        <v/>
      </c>
      <c r="AT490" s="270" t="str">
        <f>_xlfn.IFNA(VLOOKUP(CONCATENATE(AT$4,$C490),'INSER DATA'!$A:$F,7,0),"")</f>
        <v/>
      </c>
      <c r="AU490" s="270" t="str">
        <f>_xlfn.IFNA(VLOOKUP(CONCATENATE(AU$4,$C490),'INSER DATA'!$A:$F,7,0),"")</f>
        <v/>
      </c>
      <c r="AV490" s="270" t="str">
        <f>_xlfn.IFNA(VLOOKUP(CONCATENATE(AV$4,$C490),'INSER DATA'!$A:$F,7,0),"")</f>
        <v/>
      </c>
      <c r="AW490" s="270" t="str">
        <f>_xlfn.IFNA(VLOOKUP(CONCATENATE(AW$4,$C490),'INSER DATA'!$A:$F,7,0),"")</f>
        <v/>
      </c>
      <c r="AX490" s="270" t="str">
        <f>_xlfn.IFNA(VLOOKUP(CONCATENATE(AX$4,$C490),'INSER DATA'!$A:$F,7,0),"")</f>
        <v/>
      </c>
      <c r="AY490" s="270" t="str">
        <f>_xlfn.IFNA(VLOOKUP(CONCATENATE(AY$4,$C490),'INSER DATA'!$A:$F,7,0),"")</f>
        <v/>
      </c>
      <c r="AZ490" s="270" t="str">
        <f>_xlfn.IFNA(VLOOKUP(CONCATENATE(AZ$4,$C490),'INSER DATA'!$A:$F,7,0),"")</f>
        <v/>
      </c>
      <c r="BA490" s="270" t="str">
        <f>_xlfn.IFNA(VLOOKUP(CONCATENATE(BA$4,$C490),'INSER DATA'!$A:$F,7,0),"")</f>
        <v/>
      </c>
      <c r="BB490" s="270" t="str">
        <f>_xlfn.IFNA(VLOOKUP(CONCATENATE(BB$4,$C490),'INSER DATA'!$A:$F,7,0),"")</f>
        <v/>
      </c>
      <c r="BC490" s="270" t="str">
        <f>_xlfn.IFNA(VLOOKUP(CONCATENATE(BC$4,$C490),'INSER DATA'!$A:$F,7,0),"")</f>
        <v/>
      </c>
      <c r="BD490" s="270" t="str">
        <f>_xlfn.IFNA(VLOOKUP(CONCATENATE(BD$4,$C490),'INSER DATA'!$A:$F,7,0),"")</f>
        <v/>
      </c>
      <c r="BE490" s="270" t="str">
        <f>_xlfn.IFNA(VLOOKUP(CONCATENATE(BE$4,$C490),'INSER DATA'!$A:$F,7,0),"")</f>
        <v/>
      </c>
      <c r="BF490" s="270" t="str">
        <f>_xlfn.IFNA(VLOOKUP(CONCATENATE(BF$4,$C490),'INSER DATA'!$A:$F,7,0),"")</f>
        <v/>
      </c>
      <c r="BG490" s="270" t="str">
        <f>_xlfn.IFNA(VLOOKUP(CONCATENATE(BG$4,$C490),'INSER DATA'!$A:$F,7,0),"")</f>
        <v/>
      </c>
      <c r="BH490" s="270" t="str">
        <f>_xlfn.IFNA(VLOOKUP(CONCATENATE(BH$4,$C490),'INSER DATA'!$A:$F,7,0),"")</f>
        <v/>
      </c>
      <c r="BI490" s="270" t="str">
        <f>_xlfn.IFNA(VLOOKUP(CONCATENATE(BI$4,$C490),'INSER DATA'!$A:$F,7,0),"")</f>
        <v/>
      </c>
      <c r="BJ490" s="270" t="str">
        <f>_xlfn.IFNA(VLOOKUP(CONCATENATE(BJ$4,$C490),'INSER DATA'!$A:$F,7,0),"")</f>
        <v/>
      </c>
      <c r="BK490" s="270" t="str">
        <f>_xlfn.IFNA(VLOOKUP(CONCATENATE(BK$4,$C490),'INSER DATA'!$A:$F,7,0),"")</f>
        <v/>
      </c>
      <c r="BL490" s="272"/>
      <c r="BM490" s="30"/>
      <c r="BN490" s="30"/>
      <c r="BO490" s="30"/>
      <c r="BP490" s="30"/>
      <c r="BQ490" s="30"/>
      <c r="BR490" s="30"/>
      <c r="BS490" s="30"/>
      <c r="BT490" s="30"/>
      <c r="BU490" s="30"/>
      <c r="BV490" s="30"/>
      <c r="BW490" s="30"/>
      <c r="BX490" s="30"/>
      <c r="BY490" s="30"/>
      <c r="BZ490" s="30"/>
      <c r="CA490" s="30"/>
      <c r="CB490" s="30"/>
      <c r="CC490" s="30"/>
      <c r="CD490" s="30"/>
      <c r="CE490" s="30"/>
      <c r="CF490" s="30"/>
      <c r="CG490" s="30"/>
      <c r="CH490" s="30"/>
      <c r="CI490" s="30"/>
      <c r="CJ490" s="30"/>
      <c r="CK490" s="30"/>
      <c r="CL490" s="30"/>
      <c r="CM490" s="30"/>
      <c r="CN490" s="30"/>
      <c r="CO490" s="30"/>
      <c r="CP490" s="30"/>
      <c r="CQ490" s="30"/>
      <c r="CR490" s="30"/>
      <c r="CS490" s="30"/>
      <c r="CT490" s="30"/>
      <c r="CU490" s="30"/>
      <c r="CV490" s="30"/>
      <c r="CW490" s="30"/>
      <c r="CX490" s="30"/>
      <c r="CY490" s="30"/>
      <c r="CZ490" s="30"/>
      <c r="DA490" s="30"/>
    </row>
    <row r="491" spans="1:105" ht="19.2" thickTop="1" thickBot="1" x14ac:dyDescent="0.4">
      <c r="A491" s="30"/>
      <c r="B491" s="30"/>
      <c r="C491" s="188" t="s">
        <v>361</v>
      </c>
      <c r="D491" s="187" t="s">
        <v>950</v>
      </c>
      <c r="E491" s="35" t="str">
        <f>_xlfn.XLOOKUP(Tabella4[[#This Row],[NOME]],'ROSE SQUADRE'!$N$3:$N$253,'ROSE SQUADRE'!$O$3:$O$253,"")</f>
        <v/>
      </c>
      <c r="F491" s="36" t="s">
        <v>161</v>
      </c>
      <c r="G491" s="43">
        <v>4</v>
      </c>
      <c r="H491" s="43">
        <v>4</v>
      </c>
      <c r="I491" s="44">
        <f t="shared" si="44"/>
        <v>0</v>
      </c>
      <c r="J491" s="37">
        <f t="shared" si="45"/>
        <v>0</v>
      </c>
      <c r="K491" s="38">
        <f t="shared" si="46"/>
        <v>0</v>
      </c>
      <c r="L491" s="38">
        <f t="shared" si="47"/>
        <v>0</v>
      </c>
      <c r="M491" s="39">
        <f t="shared" si="48"/>
        <v>0</v>
      </c>
      <c r="N491" s="45">
        <f t="shared" ca="1" si="49"/>
        <v>0</v>
      </c>
      <c r="O491" s="40">
        <f>SUMIF(Tabella1[Nome],Tabella4[[#This Row],[NOME]],Tabella1[Gf])</f>
        <v>0</v>
      </c>
      <c r="P491" s="40">
        <f>-(SUMIF(Tabella1[Nome],Tabella4[[#This Row],[NOME]],Tabella1[Gs]))</f>
        <v>0</v>
      </c>
      <c r="Q491" s="40">
        <f>SUMIF(Tabella1[Nome],Tabella4[[#This Row],[NOME]],Tabella1[Rp])</f>
        <v>0</v>
      </c>
      <c r="R491" s="40">
        <f>SUMIF(Tabella1[Nome],Tabella4[[#This Row],[NOME]],Tabella1[Rs])</f>
        <v>0</v>
      </c>
      <c r="S491" s="40">
        <f>SUMIF(Tabella1[Nome],Tabella4[[#This Row],[NOME]],Tabella1[Rf])</f>
        <v>0</v>
      </c>
      <c r="T491" s="40">
        <f>SUMIF(Tabella1[Nome],Tabella4[[#This Row],[NOME]],Tabella1[Au])</f>
        <v>0</v>
      </c>
      <c r="U491" s="41">
        <f>SUMIF(Tabella1[Nome],Tabella4[[#This Row],[NOME]],Tabella1[Amm])</f>
        <v>0</v>
      </c>
      <c r="V491" s="42">
        <f>SUMIF(Tabella1[Nome],Tabella4[[#This Row],[NOME]],Tabella1[Esp])</f>
        <v>0</v>
      </c>
      <c r="W491" s="40">
        <f>SUMIF(Tabella1[Nome],Tabella4[[#This Row],[NOME]],Tabella1[Ass])</f>
        <v>0</v>
      </c>
      <c r="X491" s="40">
        <f>SUMIF(Tabella1[Nome],Tabella4[[#This Row],[NOME]],Tabella1[Gdv])</f>
        <v>0</v>
      </c>
      <c r="Y491" s="40">
        <f>SUMIF(Tabella1[Nome],Tabella4[[#This Row],[NOME]],Tabella1[cl sh])</f>
        <v>0</v>
      </c>
      <c r="Z491" s="270" t="str">
        <f>_xlfn.IFNA(_xlfn.XLOOKUP(CONCATENATE(Z$4,$C491),Tabella1[CONC X VOTI IN TAB GIOC],Tabella1[Voto],""),"")</f>
        <v/>
      </c>
      <c r="AA491" s="270" t="str">
        <f>_xlfn.IFNA(_xlfn.XLOOKUP(CONCATENATE(AA$4,$C491),Tabella1[CONC X VOTI IN TAB GIOC],Tabella1[Voto],""),"")</f>
        <v/>
      </c>
      <c r="AB491" s="270" t="str">
        <f>_xlfn.IFNA(_xlfn.XLOOKUP(CONCATENATE(AB$4,$C491),Tabella1[CONC X VOTI IN TAB GIOC],Tabella1[Voto]),"")</f>
        <v/>
      </c>
      <c r="AC491" s="270" t="str" cm="1">
        <f t="array" ref="AC491">_xlfn.IFNA(_xlfn.XLOOKUP(CONCATENATE(AC$4,$C491),INDEX(Tabella1[],0,MATCH("CONC X VOTI IN TAB GIOC",Tabella1[#Headers],0)),INDEX(Tabella1[],0,MATCH("Voto",Tabella1[#Headers],0))),"")</f>
        <v/>
      </c>
      <c r="AD491" s="270" t="str">
        <f>_xlfn.IFNA(_xlfn.XLOOKUP(CONCATENATE(AD$4,$C491),Tabella1[CONC X VOTI IN TAB GIOC],Tabella1[Voto]),"")</f>
        <v/>
      </c>
      <c r="AE491" s="270" t="str">
        <f>_xlfn.IFNA(VLOOKUP(CONCATENATE(AE$4,$C491),'INSER DATA'!$A:$F,6,0),"")</f>
        <v/>
      </c>
      <c r="AF491" s="270" t="str">
        <f>_xlfn.IFNA(VLOOKUP(CONCATENATE(AF$4,$C491),'INSER DATA'!$A:$F,6,0),"")</f>
        <v/>
      </c>
      <c r="AG491" s="270" t="str">
        <f>_xlfn.IFNA(VLOOKUP(CONCATENATE(AG$4,$C491),'INSER DATA'!$A:$F,6,0),"")</f>
        <v/>
      </c>
      <c r="AH491" s="270" t="str">
        <f>_xlfn.IFNA(VLOOKUP(CONCATENATE(AH$4,$C491),'INSER DATA'!$A:$F,7,0),"")</f>
        <v/>
      </c>
      <c r="AI491" s="270" t="str">
        <f>_xlfn.IFNA(VLOOKUP(CONCATENATE(AI$4,$C491),'INSER DATA'!$A:$F,7,0),"")</f>
        <v/>
      </c>
      <c r="AJ491" s="270" t="str">
        <f>_xlfn.IFNA(VLOOKUP(CONCATENATE(AJ$4,$C491),'INSER DATA'!$A:$F,7,0),"")</f>
        <v/>
      </c>
      <c r="AK491" s="270" t="str">
        <f>_xlfn.IFNA(VLOOKUP(CONCATENATE(AK$4,$C491),'INSER DATA'!$A:$F,7,0),"")</f>
        <v/>
      </c>
      <c r="AL491" s="270" t="str">
        <f>_xlfn.IFNA(VLOOKUP(CONCATENATE(AL$4,$C491),'INSER DATA'!$A:$F,7,0),"")</f>
        <v/>
      </c>
      <c r="AM491" s="270" t="str">
        <f>_xlfn.IFNA(VLOOKUP(CONCATENATE(AM$4,$C491),'INSER DATA'!$A:$F,7,0),"")</f>
        <v/>
      </c>
      <c r="AN491" s="270" t="str">
        <f>_xlfn.IFNA(VLOOKUP(CONCATENATE(AN$4,$C491),'INSER DATA'!$A:$F,7,0),"")</f>
        <v/>
      </c>
      <c r="AO491" s="270" t="str">
        <f>_xlfn.IFNA(VLOOKUP(CONCATENATE(AO$4,$C491),'INSER DATA'!$A:$F,7,0),"")</f>
        <v/>
      </c>
      <c r="AP491" s="270" t="str">
        <f>_xlfn.IFNA(VLOOKUP(CONCATENATE(AP$4,$C491),'INSER DATA'!$A:$F,7,0),"")</f>
        <v/>
      </c>
      <c r="AQ491" s="270" t="str">
        <f>_xlfn.IFNA(VLOOKUP(CONCATENATE(AQ$4,$C491),'INSER DATA'!$A:$F,7,0),"")</f>
        <v/>
      </c>
      <c r="AR491" s="270" t="str">
        <f>_xlfn.IFNA(VLOOKUP(CONCATENATE(AR$4,$C491),'INSER DATA'!$A:$F,7,0),"")</f>
        <v/>
      </c>
      <c r="AS491" s="270" t="str">
        <f>_xlfn.IFNA(VLOOKUP(CONCATENATE(AS$4,$C491),'INSER DATA'!$A:$F,7,0),"")</f>
        <v/>
      </c>
      <c r="AT491" s="270" t="str">
        <f>_xlfn.IFNA(VLOOKUP(CONCATENATE(AT$4,$C491),'INSER DATA'!$A:$F,7,0),"")</f>
        <v/>
      </c>
      <c r="AU491" s="270" t="str">
        <f>_xlfn.IFNA(VLOOKUP(CONCATENATE(AU$4,$C491),'INSER DATA'!$A:$F,7,0),"")</f>
        <v/>
      </c>
      <c r="AV491" s="270" t="str">
        <f>_xlfn.IFNA(VLOOKUP(CONCATENATE(AV$4,$C491),'INSER DATA'!$A:$F,7,0),"")</f>
        <v/>
      </c>
      <c r="AW491" s="270" t="str">
        <f>_xlfn.IFNA(VLOOKUP(CONCATENATE(AW$4,$C491),'INSER DATA'!$A:$F,7,0),"")</f>
        <v/>
      </c>
      <c r="AX491" s="270" t="str">
        <f>_xlfn.IFNA(VLOOKUP(CONCATENATE(AX$4,$C491),'INSER DATA'!$A:$F,7,0),"")</f>
        <v/>
      </c>
      <c r="AY491" s="270" t="str">
        <f>_xlfn.IFNA(VLOOKUP(CONCATENATE(AY$4,$C491),'INSER DATA'!$A:$F,7,0),"")</f>
        <v/>
      </c>
      <c r="AZ491" s="270" t="str">
        <f>_xlfn.IFNA(VLOOKUP(CONCATENATE(AZ$4,$C491),'INSER DATA'!$A:$F,7,0),"")</f>
        <v/>
      </c>
      <c r="BA491" s="270" t="str">
        <f>_xlfn.IFNA(VLOOKUP(CONCATENATE(BA$4,$C491),'INSER DATA'!$A:$F,7,0),"")</f>
        <v/>
      </c>
      <c r="BB491" s="270" t="str">
        <f>_xlfn.IFNA(VLOOKUP(CONCATENATE(BB$4,$C491),'INSER DATA'!$A:$F,7,0),"")</f>
        <v/>
      </c>
      <c r="BC491" s="270" t="str">
        <f>_xlfn.IFNA(VLOOKUP(CONCATENATE(BC$4,$C491),'INSER DATA'!$A:$F,7,0),"")</f>
        <v/>
      </c>
      <c r="BD491" s="270" t="str">
        <f>_xlfn.IFNA(VLOOKUP(CONCATENATE(BD$4,$C491),'INSER DATA'!$A:$F,7,0),"")</f>
        <v/>
      </c>
      <c r="BE491" s="270" t="str">
        <f>_xlfn.IFNA(VLOOKUP(CONCATENATE(BE$4,$C491),'INSER DATA'!$A:$F,7,0),"")</f>
        <v/>
      </c>
      <c r="BF491" s="270" t="str">
        <f>_xlfn.IFNA(VLOOKUP(CONCATENATE(BF$4,$C491),'INSER DATA'!$A:$F,7,0),"")</f>
        <v/>
      </c>
      <c r="BG491" s="270" t="str">
        <f>_xlfn.IFNA(VLOOKUP(CONCATENATE(BG$4,$C491),'INSER DATA'!$A:$F,7,0),"")</f>
        <v/>
      </c>
      <c r="BH491" s="270" t="str">
        <f>_xlfn.IFNA(VLOOKUP(CONCATENATE(BH$4,$C491),'INSER DATA'!$A:$F,7,0),"")</f>
        <v/>
      </c>
      <c r="BI491" s="270" t="str">
        <f>_xlfn.IFNA(VLOOKUP(CONCATENATE(BI$4,$C491),'INSER DATA'!$A:$F,7,0),"")</f>
        <v/>
      </c>
      <c r="BJ491" s="270" t="str">
        <f>_xlfn.IFNA(VLOOKUP(CONCATENATE(BJ$4,$C491),'INSER DATA'!$A:$F,7,0),"")</f>
        <v/>
      </c>
      <c r="BK491" s="270" t="str">
        <f>_xlfn.IFNA(VLOOKUP(CONCATENATE(BK$4,$C491),'INSER DATA'!$A:$F,7,0),"")</f>
        <v/>
      </c>
      <c r="BL491" s="272"/>
      <c r="BM491" s="30"/>
      <c r="BN491" s="30"/>
      <c r="BO491" s="30"/>
      <c r="BP491" s="30"/>
      <c r="BQ491" s="30"/>
      <c r="BR491" s="30"/>
      <c r="BS491" s="30"/>
      <c r="BT491" s="30"/>
      <c r="BU491" s="30"/>
      <c r="BV491" s="30"/>
      <c r="BW491" s="30"/>
      <c r="BX491" s="30"/>
      <c r="BY491" s="30"/>
      <c r="BZ491" s="30"/>
      <c r="CA491" s="30"/>
      <c r="CB491" s="30"/>
      <c r="CC491" s="30"/>
      <c r="CD491" s="30"/>
      <c r="CE491" s="30"/>
      <c r="CF491" s="30"/>
      <c r="CG491" s="30"/>
      <c r="CH491" s="30"/>
      <c r="CI491" s="30"/>
      <c r="CJ491" s="30"/>
      <c r="CK491" s="30"/>
      <c r="CL491" s="30"/>
      <c r="CM491" s="30"/>
      <c r="CN491" s="30"/>
      <c r="CO491" s="30"/>
      <c r="CP491" s="30"/>
      <c r="CQ491" s="30"/>
      <c r="CR491" s="30"/>
      <c r="CS491" s="30"/>
      <c r="CT491" s="30"/>
      <c r="CU491" s="30"/>
      <c r="CV491" s="30"/>
      <c r="CW491" s="30"/>
      <c r="CX491" s="30"/>
      <c r="CY491" s="30"/>
      <c r="CZ491" s="30"/>
      <c r="DA491" s="30"/>
    </row>
    <row r="492" spans="1:105" ht="19.2" thickTop="1" thickBot="1" x14ac:dyDescent="0.4">
      <c r="A492" s="30"/>
      <c r="B492" s="30"/>
      <c r="C492" s="188" t="s">
        <v>960</v>
      </c>
      <c r="D492" s="187" t="s">
        <v>950</v>
      </c>
      <c r="E492" s="35" t="str">
        <f>_xlfn.XLOOKUP(Tabella4[[#This Row],[NOME]],'ROSE SQUADRE'!$N$3:$N$253,'ROSE SQUADRE'!$O$3:$O$253,"")</f>
        <v/>
      </c>
      <c r="F492" s="36" t="s">
        <v>162</v>
      </c>
      <c r="G492" s="43">
        <v>2</v>
      </c>
      <c r="H492" s="43">
        <v>2</v>
      </c>
      <c r="I492" s="44">
        <f t="shared" si="44"/>
        <v>0</v>
      </c>
      <c r="J492" s="37">
        <f t="shared" si="45"/>
        <v>1</v>
      </c>
      <c r="K492" s="38">
        <f t="shared" si="46"/>
        <v>5.5</v>
      </c>
      <c r="L492" s="38">
        <f t="shared" si="47"/>
        <v>5.5</v>
      </c>
      <c r="M492" s="39">
        <f t="shared" si="48"/>
        <v>5.5</v>
      </c>
      <c r="N492" s="45">
        <f t="shared" ca="1" si="49"/>
        <v>0</v>
      </c>
      <c r="O492" s="40">
        <f>SUMIF(Tabella1[Nome],Tabella4[[#This Row],[NOME]],Tabella1[Gf])</f>
        <v>0</v>
      </c>
      <c r="P492" s="40">
        <f>-(SUMIF(Tabella1[Nome],Tabella4[[#This Row],[NOME]],Tabella1[Gs]))</f>
        <v>0</v>
      </c>
      <c r="Q492" s="40">
        <f>SUMIF(Tabella1[Nome],Tabella4[[#This Row],[NOME]],Tabella1[Rp])</f>
        <v>0</v>
      </c>
      <c r="R492" s="40">
        <f>SUMIF(Tabella1[Nome],Tabella4[[#This Row],[NOME]],Tabella1[Rs])</f>
        <v>0</v>
      </c>
      <c r="S492" s="40">
        <f>SUMIF(Tabella1[Nome],Tabella4[[#This Row],[NOME]],Tabella1[Rf])</f>
        <v>0</v>
      </c>
      <c r="T492" s="40">
        <f>SUMIF(Tabella1[Nome],Tabella4[[#This Row],[NOME]],Tabella1[Au])</f>
        <v>0</v>
      </c>
      <c r="U492" s="41">
        <f>SUMIF(Tabella1[Nome],Tabella4[[#This Row],[NOME]],Tabella1[Amm])</f>
        <v>0</v>
      </c>
      <c r="V492" s="42">
        <f>SUMIF(Tabella1[Nome],Tabella4[[#This Row],[NOME]],Tabella1[Esp])</f>
        <v>0</v>
      </c>
      <c r="W492" s="40">
        <f>SUMIF(Tabella1[Nome],Tabella4[[#This Row],[NOME]],Tabella1[Ass])</f>
        <v>0</v>
      </c>
      <c r="X492" s="40">
        <f>SUMIF(Tabella1[Nome],Tabella4[[#This Row],[NOME]],Tabella1[Gdv])</f>
        <v>0</v>
      </c>
      <c r="Y492" s="40">
        <f>SUMIF(Tabella1[Nome],Tabella4[[#This Row],[NOME]],Tabella1[cl sh])</f>
        <v>0</v>
      </c>
      <c r="Z492" s="270" t="str">
        <f>_xlfn.IFNA(_xlfn.XLOOKUP(CONCATENATE(Z$4,$C492),Tabella1[CONC X VOTI IN TAB GIOC],Tabella1[Voto],""),"")</f>
        <v/>
      </c>
      <c r="AA492" s="270" t="str">
        <f>_xlfn.IFNA(_xlfn.XLOOKUP(CONCATENATE(AA$4,$C492),Tabella1[CONC X VOTI IN TAB GIOC],Tabella1[Voto],""),"")</f>
        <v/>
      </c>
      <c r="AB492" s="270" t="str">
        <f>_xlfn.IFNA(_xlfn.XLOOKUP(CONCATENATE(AB$4,$C492),Tabella1[CONC X VOTI IN TAB GIOC],Tabella1[Voto]),"")</f>
        <v/>
      </c>
      <c r="AC492" s="270" cm="1">
        <f t="array" ref="AC492">_xlfn.IFNA(_xlfn.XLOOKUP(CONCATENATE(AC$4,$C492),INDEX(Tabella1[],0,MATCH("CONC X VOTI IN TAB GIOC",Tabella1[#Headers],0)),INDEX(Tabella1[],0,MATCH("Voto",Tabella1[#Headers],0))),"")</f>
        <v>5.5</v>
      </c>
      <c r="AD492" s="270" t="str">
        <f>_xlfn.IFNA(_xlfn.XLOOKUP(CONCATENATE(AD$4,$C492),Tabella1[CONC X VOTI IN TAB GIOC],Tabella1[Voto]),"")</f>
        <v/>
      </c>
      <c r="AE492" s="270" t="str">
        <f>_xlfn.IFNA(VLOOKUP(CONCATENATE(AE$4,$C492),'INSER DATA'!$A:$F,6,0),"")</f>
        <v/>
      </c>
      <c r="AF492" s="270" t="str">
        <f>_xlfn.IFNA(VLOOKUP(CONCATENATE(AF$4,$C492),'INSER DATA'!$A:$F,6,0),"")</f>
        <v/>
      </c>
      <c r="AG492" s="270" t="str">
        <f>_xlfn.IFNA(VLOOKUP(CONCATENATE(AG$4,$C492),'INSER DATA'!$A:$F,6,0),"")</f>
        <v/>
      </c>
      <c r="AH492" s="270" t="str">
        <f>_xlfn.IFNA(VLOOKUP(CONCATENATE(AH$4,$C492),'INSER DATA'!$A:$F,7,0),"")</f>
        <v/>
      </c>
      <c r="AI492" s="270" t="str">
        <f>_xlfn.IFNA(VLOOKUP(CONCATENATE(AI$4,$C492),'INSER DATA'!$A:$F,7,0),"")</f>
        <v/>
      </c>
      <c r="AJ492" s="270" t="str">
        <f>_xlfn.IFNA(VLOOKUP(CONCATENATE(AJ$4,$C492),'INSER DATA'!$A:$F,7,0),"")</f>
        <v/>
      </c>
      <c r="AK492" s="270" t="str">
        <f>_xlfn.IFNA(VLOOKUP(CONCATENATE(AK$4,$C492),'INSER DATA'!$A:$F,7,0),"")</f>
        <v/>
      </c>
      <c r="AL492" s="270" t="str">
        <f>_xlfn.IFNA(VLOOKUP(CONCATENATE(AL$4,$C492),'INSER DATA'!$A:$F,7,0),"")</f>
        <v/>
      </c>
      <c r="AM492" s="270" t="str">
        <f>_xlfn.IFNA(VLOOKUP(CONCATENATE(AM$4,$C492),'INSER DATA'!$A:$F,7,0),"")</f>
        <v/>
      </c>
      <c r="AN492" s="270" t="str">
        <f>_xlfn.IFNA(VLOOKUP(CONCATENATE(AN$4,$C492),'INSER DATA'!$A:$F,7,0),"")</f>
        <v/>
      </c>
      <c r="AO492" s="270" t="str">
        <f>_xlfn.IFNA(VLOOKUP(CONCATENATE(AO$4,$C492),'INSER DATA'!$A:$F,7,0),"")</f>
        <v/>
      </c>
      <c r="AP492" s="270" t="str">
        <f>_xlfn.IFNA(VLOOKUP(CONCATENATE(AP$4,$C492),'INSER DATA'!$A:$F,7,0),"")</f>
        <v/>
      </c>
      <c r="AQ492" s="270" t="str">
        <f>_xlfn.IFNA(VLOOKUP(CONCATENATE(AQ$4,$C492),'INSER DATA'!$A:$F,7,0),"")</f>
        <v/>
      </c>
      <c r="AR492" s="270" t="str">
        <f>_xlfn.IFNA(VLOOKUP(CONCATENATE(AR$4,$C492),'INSER DATA'!$A:$F,7,0),"")</f>
        <v/>
      </c>
      <c r="AS492" s="270" t="str">
        <f>_xlfn.IFNA(VLOOKUP(CONCATENATE(AS$4,$C492),'INSER DATA'!$A:$F,7,0),"")</f>
        <v/>
      </c>
      <c r="AT492" s="270" t="str">
        <f>_xlfn.IFNA(VLOOKUP(CONCATENATE(AT$4,$C492),'INSER DATA'!$A:$F,7,0),"")</f>
        <v/>
      </c>
      <c r="AU492" s="270" t="str">
        <f>_xlfn.IFNA(VLOOKUP(CONCATENATE(AU$4,$C492),'INSER DATA'!$A:$F,7,0),"")</f>
        <v/>
      </c>
      <c r="AV492" s="270" t="str">
        <f>_xlfn.IFNA(VLOOKUP(CONCATENATE(AV$4,$C492),'INSER DATA'!$A:$F,7,0),"")</f>
        <v/>
      </c>
      <c r="AW492" s="270" t="str">
        <f>_xlfn.IFNA(VLOOKUP(CONCATENATE(AW$4,$C492),'INSER DATA'!$A:$F,7,0),"")</f>
        <v/>
      </c>
      <c r="AX492" s="270" t="str">
        <f>_xlfn.IFNA(VLOOKUP(CONCATENATE(AX$4,$C492),'INSER DATA'!$A:$F,7,0),"")</f>
        <v/>
      </c>
      <c r="AY492" s="270" t="str">
        <f>_xlfn.IFNA(VLOOKUP(CONCATENATE(AY$4,$C492),'INSER DATA'!$A:$F,7,0),"")</f>
        <v/>
      </c>
      <c r="AZ492" s="270" t="str">
        <f>_xlfn.IFNA(VLOOKUP(CONCATENATE(AZ$4,$C492),'INSER DATA'!$A:$F,7,0),"")</f>
        <v/>
      </c>
      <c r="BA492" s="270" t="str">
        <f>_xlfn.IFNA(VLOOKUP(CONCATENATE(BA$4,$C492),'INSER DATA'!$A:$F,7,0),"")</f>
        <v/>
      </c>
      <c r="BB492" s="270" t="str">
        <f>_xlfn.IFNA(VLOOKUP(CONCATENATE(BB$4,$C492),'INSER DATA'!$A:$F,7,0),"")</f>
        <v/>
      </c>
      <c r="BC492" s="270" t="str">
        <f>_xlfn.IFNA(VLOOKUP(CONCATENATE(BC$4,$C492),'INSER DATA'!$A:$F,7,0),"")</f>
        <v/>
      </c>
      <c r="BD492" s="270" t="str">
        <f>_xlfn.IFNA(VLOOKUP(CONCATENATE(BD$4,$C492),'INSER DATA'!$A:$F,7,0),"")</f>
        <v/>
      </c>
      <c r="BE492" s="270" t="str">
        <f>_xlfn.IFNA(VLOOKUP(CONCATENATE(BE$4,$C492),'INSER DATA'!$A:$F,7,0),"")</f>
        <v/>
      </c>
      <c r="BF492" s="270" t="str">
        <f>_xlfn.IFNA(VLOOKUP(CONCATENATE(BF$4,$C492),'INSER DATA'!$A:$F,7,0),"")</f>
        <v/>
      </c>
      <c r="BG492" s="270" t="str">
        <f>_xlfn.IFNA(VLOOKUP(CONCATENATE(BG$4,$C492),'INSER DATA'!$A:$F,7,0),"")</f>
        <v/>
      </c>
      <c r="BH492" s="270" t="str">
        <f>_xlfn.IFNA(VLOOKUP(CONCATENATE(BH$4,$C492),'INSER DATA'!$A:$F,7,0),"")</f>
        <v/>
      </c>
      <c r="BI492" s="270" t="str">
        <f>_xlfn.IFNA(VLOOKUP(CONCATENATE(BI$4,$C492),'INSER DATA'!$A:$F,7,0),"")</f>
        <v/>
      </c>
      <c r="BJ492" s="270" t="str">
        <f>_xlfn.IFNA(VLOOKUP(CONCATENATE(BJ$4,$C492),'INSER DATA'!$A:$F,7,0),"")</f>
        <v/>
      </c>
      <c r="BK492" s="270" t="str">
        <f>_xlfn.IFNA(VLOOKUP(CONCATENATE(BK$4,$C492),'INSER DATA'!$A:$F,7,0),"")</f>
        <v/>
      </c>
      <c r="BL492" s="272"/>
      <c r="BM492" s="30"/>
      <c r="BN492" s="30"/>
      <c r="BO492" s="30"/>
      <c r="BP492" s="30"/>
      <c r="BQ492" s="30"/>
      <c r="BR492" s="30"/>
      <c r="BS492" s="30"/>
      <c r="BT492" s="30"/>
      <c r="BU492" s="30"/>
      <c r="BV492" s="30"/>
      <c r="BW492" s="30"/>
      <c r="BX492" s="30"/>
      <c r="BY492" s="30"/>
      <c r="BZ492" s="30"/>
      <c r="CA492" s="30"/>
      <c r="CB492" s="30"/>
      <c r="CC492" s="30"/>
      <c r="CD492" s="30"/>
      <c r="CE492" s="30"/>
      <c r="CF492" s="30"/>
      <c r="CG492" s="30"/>
      <c r="CH492" s="30"/>
      <c r="CI492" s="30"/>
      <c r="CJ492" s="30"/>
      <c r="CK492" s="30"/>
      <c r="CL492" s="30"/>
      <c r="CM492" s="30"/>
      <c r="CN492" s="30"/>
      <c r="CO492" s="30"/>
      <c r="CP492" s="30"/>
      <c r="CQ492" s="30"/>
      <c r="CR492" s="30"/>
      <c r="CS492" s="30"/>
      <c r="CT492" s="30"/>
      <c r="CU492" s="30"/>
      <c r="CV492" s="30"/>
      <c r="CW492" s="30"/>
      <c r="CX492" s="30"/>
      <c r="CY492" s="30"/>
      <c r="CZ492" s="30"/>
      <c r="DA492" s="30"/>
    </row>
    <row r="493" spans="1:105" ht="19.2" thickTop="1" thickBot="1" x14ac:dyDescent="0.4">
      <c r="A493" s="30"/>
      <c r="B493" s="30"/>
      <c r="C493" s="354" t="s">
        <v>972</v>
      </c>
      <c r="D493" s="357" t="s">
        <v>967</v>
      </c>
      <c r="E493" s="35" t="str">
        <f>_xlfn.XLOOKUP(Tabella4[[#This Row],[NOME]],'ROSE SQUADRE'!$N$3:$N$253,'ROSE SQUADRE'!$O$3:$O$253,"")</f>
        <v>SHARK</v>
      </c>
      <c r="F493" s="36" t="s">
        <v>161</v>
      </c>
      <c r="G493" s="43">
        <v>4</v>
      </c>
      <c r="H493" s="43">
        <v>5</v>
      </c>
      <c r="I493" s="44">
        <f t="shared" si="44"/>
        <v>1</v>
      </c>
      <c r="J493" s="37">
        <f t="shared" si="45"/>
        <v>3</v>
      </c>
      <c r="K493" s="38">
        <f t="shared" si="46"/>
        <v>6.166666666666667</v>
      </c>
      <c r="L493" s="38">
        <f t="shared" si="47"/>
        <v>6.166666666666667</v>
      </c>
      <c r="M493" s="39">
        <f t="shared" si="48"/>
        <v>18.5</v>
      </c>
      <c r="N493" s="45">
        <f t="shared" ca="1" si="49"/>
        <v>0</v>
      </c>
      <c r="O493" s="40">
        <f>SUMIF(Tabella1[Nome],Tabella4[[#This Row],[NOME]],Tabella1[Gf])</f>
        <v>0</v>
      </c>
      <c r="P493" s="40">
        <f>-(SUMIF(Tabella1[Nome],Tabella4[[#This Row],[NOME]],Tabella1[Gs]))</f>
        <v>0</v>
      </c>
      <c r="Q493" s="40">
        <f>SUMIF(Tabella1[Nome],Tabella4[[#This Row],[NOME]],Tabella1[Rp])</f>
        <v>0</v>
      </c>
      <c r="R493" s="40">
        <f>SUMIF(Tabella1[Nome],Tabella4[[#This Row],[NOME]],Tabella1[Rs])</f>
        <v>0</v>
      </c>
      <c r="S493" s="40">
        <f>SUMIF(Tabella1[Nome],Tabella4[[#This Row],[NOME]],Tabella1[Rf])</f>
        <v>0</v>
      </c>
      <c r="T493" s="40">
        <f>SUMIF(Tabella1[Nome],Tabella4[[#This Row],[NOME]],Tabella1[Au])</f>
        <v>0</v>
      </c>
      <c r="U493" s="41">
        <f>SUMIF(Tabella1[Nome],Tabella4[[#This Row],[NOME]],Tabella1[Amm])</f>
        <v>0</v>
      </c>
      <c r="V493" s="42">
        <f>SUMIF(Tabella1[Nome],Tabella4[[#This Row],[NOME]],Tabella1[Esp])</f>
        <v>0</v>
      </c>
      <c r="W493" s="40">
        <f>SUMIF(Tabella1[Nome],Tabella4[[#This Row],[NOME]],Tabella1[Ass])</f>
        <v>0</v>
      </c>
      <c r="X493" s="40">
        <f>SUMIF(Tabella1[Nome],Tabella4[[#This Row],[NOME]],Tabella1[Gdv])</f>
        <v>0</v>
      </c>
      <c r="Y493" s="40">
        <f>SUMIF(Tabella1[Nome],Tabella4[[#This Row],[NOME]],Tabella1[cl sh])</f>
        <v>0</v>
      </c>
      <c r="Z493" s="270">
        <f>_xlfn.IFNA(_xlfn.XLOOKUP(CONCATENATE(Z$4,$C493),Tabella1[CONC X VOTI IN TAB GIOC],Tabella1[Voto],""),"")</f>
        <v>6.5</v>
      </c>
      <c r="AA493" s="270">
        <f>_xlfn.IFNA(_xlfn.XLOOKUP(CONCATENATE(AA$4,$C493),Tabella1[CONC X VOTI IN TAB GIOC],Tabella1[Voto],""),"")</f>
        <v>6</v>
      </c>
      <c r="AB493" s="270" t="str">
        <f>_xlfn.IFNA(_xlfn.XLOOKUP(CONCATENATE(AB$4,$C493),Tabella1[CONC X VOTI IN TAB GIOC],Tabella1[Voto]),"")</f>
        <v/>
      </c>
      <c r="AC493" s="270" cm="1">
        <f t="array" ref="AC493">_xlfn.IFNA(_xlfn.XLOOKUP(CONCATENATE(AC$4,$C493),INDEX(Tabella1[],0,MATCH("CONC X VOTI IN TAB GIOC",Tabella1[#Headers],0)),INDEX(Tabella1[],0,MATCH("Voto",Tabella1[#Headers],0))),"")</f>
        <v>6</v>
      </c>
      <c r="AD493" s="270" t="str">
        <f>_xlfn.IFNA(_xlfn.XLOOKUP(CONCATENATE(AD$4,$C493),Tabella1[CONC X VOTI IN TAB GIOC],Tabella1[Voto]),"")</f>
        <v/>
      </c>
      <c r="AE493" s="270" t="str">
        <f>_xlfn.IFNA(VLOOKUP(CONCATENATE(AE$4,$C493),'INSER DATA'!$A:$F,6,0),"")</f>
        <v/>
      </c>
      <c r="AF493" s="270" t="str">
        <f>_xlfn.IFNA(VLOOKUP(CONCATENATE(AF$4,$C493),'INSER DATA'!$A:$F,6,0),"")</f>
        <v/>
      </c>
      <c r="AG493" s="270" t="str">
        <f>_xlfn.IFNA(VLOOKUP(CONCATENATE(AG$4,$C493),'INSER DATA'!$A:$F,6,0),"")</f>
        <v/>
      </c>
      <c r="AH493" s="270" t="str">
        <f>_xlfn.IFNA(VLOOKUP(CONCATENATE(AH$4,$C493),'INSER DATA'!$A:$F,7,0),"")</f>
        <v/>
      </c>
      <c r="AI493" s="270" t="str">
        <f>_xlfn.IFNA(VLOOKUP(CONCATENATE(AI$4,$C493),'INSER DATA'!$A:$F,7,0),"")</f>
        <v/>
      </c>
      <c r="AJ493" s="270" t="str">
        <f>_xlfn.IFNA(VLOOKUP(CONCATENATE(AJ$4,$C493),'INSER DATA'!$A:$F,7,0),"")</f>
        <v/>
      </c>
      <c r="AK493" s="270" t="str">
        <f>_xlfn.IFNA(VLOOKUP(CONCATENATE(AK$4,$C493),'INSER DATA'!$A:$F,7,0),"")</f>
        <v/>
      </c>
      <c r="AL493" s="270" t="str">
        <f>_xlfn.IFNA(VLOOKUP(CONCATENATE(AL$4,$C493),'INSER DATA'!$A:$F,7,0),"")</f>
        <v/>
      </c>
      <c r="AM493" s="270" t="str">
        <f>_xlfn.IFNA(VLOOKUP(CONCATENATE(AM$4,$C493),'INSER DATA'!$A:$F,7,0),"")</f>
        <v/>
      </c>
      <c r="AN493" s="270" t="str">
        <f>_xlfn.IFNA(VLOOKUP(CONCATENATE(AN$4,$C493),'INSER DATA'!$A:$F,7,0),"")</f>
        <v/>
      </c>
      <c r="AO493" s="270" t="str">
        <f>_xlfn.IFNA(VLOOKUP(CONCATENATE(AO$4,$C493),'INSER DATA'!$A:$F,7,0),"")</f>
        <v/>
      </c>
      <c r="AP493" s="270" t="str">
        <f>_xlfn.IFNA(VLOOKUP(CONCATENATE(AP$4,$C493),'INSER DATA'!$A:$F,7,0),"")</f>
        <v/>
      </c>
      <c r="AQ493" s="270" t="str">
        <f>_xlfn.IFNA(VLOOKUP(CONCATENATE(AQ$4,$C493),'INSER DATA'!$A:$F,7,0),"")</f>
        <v/>
      </c>
      <c r="AR493" s="270" t="str">
        <f>_xlfn.IFNA(VLOOKUP(CONCATENATE(AR$4,$C493),'INSER DATA'!$A:$F,7,0),"")</f>
        <v/>
      </c>
      <c r="AS493" s="270" t="str">
        <f>_xlfn.IFNA(VLOOKUP(CONCATENATE(AS$4,$C493),'INSER DATA'!$A:$F,7,0),"")</f>
        <v/>
      </c>
      <c r="AT493" s="270" t="str">
        <f>_xlfn.IFNA(VLOOKUP(CONCATENATE(AT$4,$C493),'INSER DATA'!$A:$F,7,0),"")</f>
        <v/>
      </c>
      <c r="AU493" s="270" t="str">
        <f>_xlfn.IFNA(VLOOKUP(CONCATENATE(AU$4,$C493),'INSER DATA'!$A:$F,7,0),"")</f>
        <v/>
      </c>
      <c r="AV493" s="270" t="str">
        <f>_xlfn.IFNA(VLOOKUP(CONCATENATE(AV$4,$C493),'INSER DATA'!$A:$F,7,0),"")</f>
        <v/>
      </c>
      <c r="AW493" s="270" t="str">
        <f>_xlfn.IFNA(VLOOKUP(CONCATENATE(AW$4,$C493),'INSER DATA'!$A:$F,7,0),"")</f>
        <v/>
      </c>
      <c r="AX493" s="270" t="str">
        <f>_xlfn.IFNA(VLOOKUP(CONCATENATE(AX$4,$C493),'INSER DATA'!$A:$F,7,0),"")</f>
        <v/>
      </c>
      <c r="AY493" s="270" t="str">
        <f>_xlfn.IFNA(VLOOKUP(CONCATENATE(AY$4,$C493),'INSER DATA'!$A:$F,7,0),"")</f>
        <v/>
      </c>
      <c r="AZ493" s="270" t="str">
        <f>_xlfn.IFNA(VLOOKUP(CONCATENATE(AZ$4,$C493),'INSER DATA'!$A:$F,7,0),"")</f>
        <v/>
      </c>
      <c r="BA493" s="270" t="str">
        <f>_xlfn.IFNA(VLOOKUP(CONCATENATE(BA$4,$C493),'INSER DATA'!$A:$F,7,0),"")</f>
        <v/>
      </c>
      <c r="BB493" s="270" t="str">
        <f>_xlfn.IFNA(VLOOKUP(CONCATENATE(BB$4,$C493),'INSER DATA'!$A:$F,7,0),"")</f>
        <v/>
      </c>
      <c r="BC493" s="270" t="str">
        <f>_xlfn.IFNA(VLOOKUP(CONCATENATE(BC$4,$C493),'INSER DATA'!$A:$F,7,0),"")</f>
        <v/>
      </c>
      <c r="BD493" s="270" t="str">
        <f>_xlfn.IFNA(VLOOKUP(CONCATENATE(BD$4,$C493),'INSER DATA'!$A:$F,7,0),"")</f>
        <v/>
      </c>
      <c r="BE493" s="270" t="str">
        <f>_xlfn.IFNA(VLOOKUP(CONCATENATE(BE$4,$C493),'INSER DATA'!$A:$F,7,0),"")</f>
        <v/>
      </c>
      <c r="BF493" s="270" t="str">
        <f>_xlfn.IFNA(VLOOKUP(CONCATENATE(BF$4,$C493),'INSER DATA'!$A:$F,7,0),"")</f>
        <v/>
      </c>
      <c r="BG493" s="270" t="str">
        <f>_xlfn.IFNA(VLOOKUP(CONCATENATE(BG$4,$C493),'INSER DATA'!$A:$F,7,0),"")</f>
        <v/>
      </c>
      <c r="BH493" s="270" t="str">
        <f>_xlfn.IFNA(VLOOKUP(CONCATENATE(BH$4,$C493),'INSER DATA'!$A:$F,7,0),"")</f>
        <v/>
      </c>
      <c r="BI493" s="270" t="str">
        <f>_xlfn.IFNA(VLOOKUP(CONCATENATE(BI$4,$C493),'INSER DATA'!$A:$F,7,0),"")</f>
        <v/>
      </c>
      <c r="BJ493" s="270" t="str">
        <f>_xlfn.IFNA(VLOOKUP(CONCATENATE(BJ$4,$C493),'INSER DATA'!$A:$F,7,0),"")</f>
        <v/>
      </c>
      <c r="BK493" s="270" t="str">
        <f>_xlfn.IFNA(VLOOKUP(CONCATENATE(BK$4,$C493),'INSER DATA'!$A:$F,7,0),"")</f>
        <v/>
      </c>
      <c r="BL493" s="272"/>
      <c r="BM493" s="30"/>
      <c r="BN493" s="30"/>
      <c r="BO493" s="30"/>
      <c r="BP493" s="30"/>
      <c r="BQ493" s="30"/>
      <c r="BR493" s="30"/>
      <c r="BS493" s="30"/>
      <c r="BT493" s="30"/>
      <c r="BU493" s="30"/>
      <c r="BV493" s="30"/>
      <c r="BW493" s="30"/>
      <c r="BX493" s="30"/>
      <c r="BY493" s="30"/>
      <c r="BZ493" s="30"/>
      <c r="CA493" s="30"/>
      <c r="CB493" s="30"/>
      <c r="CC493" s="30"/>
      <c r="CD493" s="30"/>
      <c r="CE493" s="30"/>
      <c r="CF493" s="30"/>
      <c r="CG493" s="30"/>
      <c r="CH493" s="30"/>
      <c r="CI493" s="30"/>
      <c r="CJ493" s="30"/>
      <c r="CK493" s="30"/>
      <c r="CL493" s="30"/>
      <c r="CM493" s="30"/>
      <c r="CN493" s="30"/>
      <c r="CO493" s="30"/>
      <c r="CP493" s="30"/>
      <c r="CQ493" s="30"/>
      <c r="CR493" s="30"/>
      <c r="CS493" s="30"/>
      <c r="CT493" s="30"/>
      <c r="CU493" s="30"/>
      <c r="CV493" s="30"/>
      <c r="CW493" s="30"/>
      <c r="CX493" s="30"/>
      <c r="CY493" s="30"/>
      <c r="CZ493" s="30"/>
      <c r="DA493" s="30"/>
    </row>
    <row r="494" spans="1:105" ht="19.2" thickTop="1" thickBot="1" x14ac:dyDescent="0.4">
      <c r="A494" s="30"/>
      <c r="B494" s="30"/>
      <c r="C494" s="360" t="s">
        <v>988</v>
      </c>
      <c r="D494" s="361" t="s">
        <v>967</v>
      </c>
      <c r="E494" s="35" t="str">
        <f>_xlfn.XLOOKUP(Tabella4[[#This Row],[NOME]],'ROSE SQUADRE'!$N$3:$N$253,'ROSE SQUADRE'!$O$3:$O$253,"")</f>
        <v>TRICCHETRACHT</v>
      </c>
      <c r="F494" s="36" t="s">
        <v>163</v>
      </c>
      <c r="G494" s="43">
        <v>8</v>
      </c>
      <c r="H494" s="43">
        <v>8</v>
      </c>
      <c r="I494" s="44">
        <f t="shared" si="44"/>
        <v>0</v>
      </c>
      <c r="J494" s="37">
        <f t="shared" si="45"/>
        <v>4</v>
      </c>
      <c r="K494" s="178">
        <f t="shared" si="46"/>
        <v>6.25</v>
      </c>
      <c r="L494" s="178">
        <f t="shared" si="47"/>
        <v>7</v>
      </c>
      <c r="M494" s="179">
        <f t="shared" si="48"/>
        <v>28</v>
      </c>
      <c r="N494" s="45">
        <f t="shared" ca="1" si="49"/>
        <v>0</v>
      </c>
      <c r="O494" s="40">
        <f>SUMIF(Tabella1[Nome],Tabella4[[#This Row],[NOME]],Tabella1[Gf])</f>
        <v>1</v>
      </c>
      <c r="P494" s="40">
        <f>-(SUMIF(Tabella1[Nome],Tabella4[[#This Row],[NOME]],Tabella1[Gs]))</f>
        <v>0</v>
      </c>
      <c r="Q494" s="40">
        <f>SUMIF(Tabella1[Nome],Tabella4[[#This Row],[NOME]],Tabella1[Rp])</f>
        <v>0</v>
      </c>
      <c r="R494" s="40">
        <f>SUMIF(Tabella1[Nome],Tabella4[[#This Row],[NOME]],Tabella1[Rs])</f>
        <v>0</v>
      </c>
      <c r="S494" s="40">
        <f>SUMIF(Tabella1[Nome],Tabella4[[#This Row],[NOME]],Tabella1[Rf])</f>
        <v>0</v>
      </c>
      <c r="T494" s="40">
        <f>SUMIF(Tabella1[Nome],Tabella4[[#This Row],[NOME]],Tabella1[Au])</f>
        <v>0</v>
      </c>
      <c r="U494" s="41">
        <f>SUMIF(Tabella1[Nome],Tabella4[[#This Row],[NOME]],Tabella1[Amm])</f>
        <v>0</v>
      </c>
      <c r="V494" s="42">
        <f>SUMIF(Tabella1[Nome],Tabella4[[#This Row],[NOME]],Tabella1[Esp])</f>
        <v>0</v>
      </c>
      <c r="W494" s="40">
        <f>SUMIF(Tabella1[Nome],Tabella4[[#This Row],[NOME]],Tabella1[Ass])</f>
        <v>0</v>
      </c>
      <c r="X494" s="40">
        <f>SUMIF(Tabella1[Nome],Tabella4[[#This Row],[NOME]],Tabella1[Gdv])</f>
        <v>0</v>
      </c>
      <c r="Y494" s="40">
        <f>SUMIF(Tabella1[Nome],Tabella4[[#This Row],[NOME]],Tabella1[cl sh])</f>
        <v>0</v>
      </c>
      <c r="Z494" s="270">
        <f>_xlfn.IFNA(_xlfn.XLOOKUP(CONCATENATE(Z$4,$C494),Tabella1[CONC X VOTI IN TAB GIOC],Tabella1[Voto],""),"")</f>
        <v>6</v>
      </c>
      <c r="AA494" s="270">
        <f>_xlfn.IFNA(_xlfn.XLOOKUP(CONCATENATE(AA$4,$C494),Tabella1[CONC X VOTI IN TAB GIOC],Tabella1[Voto],""),"")</f>
        <v>6.5</v>
      </c>
      <c r="AB494" s="270">
        <f>_xlfn.IFNA(_xlfn.XLOOKUP(CONCATENATE(AB$4,$C494),Tabella1[CONC X VOTI IN TAB GIOC],Tabella1[Voto]),"")</f>
        <v>7</v>
      </c>
      <c r="AC494" s="270" cm="1">
        <f t="array" ref="AC494">_xlfn.IFNA(_xlfn.XLOOKUP(CONCATENATE(AC$4,$C494),INDEX(Tabella1[],0,MATCH("CONC X VOTI IN TAB GIOC",Tabella1[#Headers],0)),INDEX(Tabella1[],0,MATCH("Voto",Tabella1[#Headers],0))),"")</f>
        <v>5.5</v>
      </c>
      <c r="AD494" s="270" t="str">
        <f>_xlfn.IFNA(_xlfn.XLOOKUP(CONCATENATE(AD$4,$C494),Tabella1[CONC X VOTI IN TAB GIOC],Tabella1[Voto]),"")</f>
        <v/>
      </c>
      <c r="AE494" s="270" t="str">
        <f>_xlfn.IFNA(VLOOKUP(CONCATENATE(AE$4,$C494),'INSER DATA'!$A:$F,6,0),"")</f>
        <v/>
      </c>
      <c r="AF494" s="270" t="str">
        <f>_xlfn.IFNA(VLOOKUP(CONCATENATE(AF$4,$C494),'INSER DATA'!$A:$F,6,0),"")</f>
        <v/>
      </c>
      <c r="AG494" s="270" t="str">
        <f>_xlfn.IFNA(VLOOKUP(CONCATENATE(AG$4,$C494),'INSER DATA'!$A:$F,6,0),"")</f>
        <v/>
      </c>
      <c r="AH494" s="270" t="str">
        <f>_xlfn.IFNA(VLOOKUP(CONCATENATE(AH$4,$C494),'INSER DATA'!$A:$F,7,0),"")</f>
        <v/>
      </c>
      <c r="AI494" s="270" t="str">
        <f>_xlfn.IFNA(VLOOKUP(CONCATENATE(AI$4,$C494),'INSER DATA'!$A:$F,7,0),"")</f>
        <v/>
      </c>
      <c r="AJ494" s="270" t="str">
        <f>_xlfn.IFNA(VLOOKUP(CONCATENATE(AJ$4,$C494),'INSER DATA'!$A:$F,7,0),"")</f>
        <v/>
      </c>
      <c r="AK494" s="270" t="str">
        <f>_xlfn.IFNA(VLOOKUP(CONCATENATE(AK$4,$C494),'INSER DATA'!$A:$F,7,0),"")</f>
        <v/>
      </c>
      <c r="AL494" s="270" t="str">
        <f>_xlfn.IFNA(VLOOKUP(CONCATENATE(AL$4,$C494),'INSER DATA'!$A:$F,7,0),"")</f>
        <v/>
      </c>
      <c r="AM494" s="270" t="str">
        <f>_xlfn.IFNA(VLOOKUP(CONCATENATE(AM$4,$C494),'INSER DATA'!$A:$F,7,0),"")</f>
        <v/>
      </c>
      <c r="AN494" s="270" t="str">
        <f>_xlfn.IFNA(VLOOKUP(CONCATENATE(AN$4,$C494),'INSER DATA'!$A:$F,7,0),"")</f>
        <v/>
      </c>
      <c r="AO494" s="270" t="str">
        <f>_xlfn.IFNA(VLOOKUP(CONCATENATE(AO$4,$C494),'INSER DATA'!$A:$F,7,0),"")</f>
        <v/>
      </c>
      <c r="AP494" s="270" t="str">
        <f>_xlfn.IFNA(VLOOKUP(CONCATENATE(AP$4,$C494),'INSER DATA'!$A:$F,7,0),"")</f>
        <v/>
      </c>
      <c r="AQ494" s="270" t="str">
        <f>_xlfn.IFNA(VLOOKUP(CONCATENATE(AQ$4,$C494),'INSER DATA'!$A:$F,7,0),"")</f>
        <v/>
      </c>
      <c r="AR494" s="270" t="str">
        <f>_xlfn.IFNA(VLOOKUP(CONCATENATE(AR$4,$C494),'INSER DATA'!$A:$F,7,0),"")</f>
        <v/>
      </c>
      <c r="AS494" s="270" t="str">
        <f>_xlfn.IFNA(VLOOKUP(CONCATENATE(AS$4,$C494),'INSER DATA'!$A:$F,7,0),"")</f>
        <v/>
      </c>
      <c r="AT494" s="270" t="str">
        <f>_xlfn.IFNA(VLOOKUP(CONCATENATE(AT$4,$C494),'INSER DATA'!$A:$F,7,0),"")</f>
        <v/>
      </c>
      <c r="AU494" s="270" t="str">
        <f>_xlfn.IFNA(VLOOKUP(CONCATENATE(AU$4,$C494),'INSER DATA'!$A:$F,7,0),"")</f>
        <v/>
      </c>
      <c r="AV494" s="270" t="str">
        <f>_xlfn.IFNA(VLOOKUP(CONCATENATE(AV$4,$C494),'INSER DATA'!$A:$F,7,0),"")</f>
        <v/>
      </c>
      <c r="AW494" s="270" t="str">
        <f>_xlfn.IFNA(VLOOKUP(CONCATENATE(AW$4,$C494),'INSER DATA'!$A:$F,7,0),"")</f>
        <v/>
      </c>
      <c r="AX494" s="270" t="str">
        <f>_xlfn.IFNA(VLOOKUP(CONCATENATE(AX$4,$C494),'INSER DATA'!$A:$F,7,0),"")</f>
        <v/>
      </c>
      <c r="AY494" s="270" t="str">
        <f>_xlfn.IFNA(VLOOKUP(CONCATENATE(AY$4,$C494),'INSER DATA'!$A:$F,7,0),"")</f>
        <v/>
      </c>
      <c r="AZ494" s="270" t="str">
        <f>_xlfn.IFNA(VLOOKUP(CONCATENATE(AZ$4,$C494),'INSER DATA'!$A:$F,7,0),"")</f>
        <v/>
      </c>
      <c r="BA494" s="270" t="str">
        <f>_xlfn.IFNA(VLOOKUP(CONCATENATE(BA$4,$C494),'INSER DATA'!$A:$F,7,0),"")</f>
        <v/>
      </c>
      <c r="BB494" s="270" t="str">
        <f>_xlfn.IFNA(VLOOKUP(CONCATENATE(BB$4,$C494),'INSER DATA'!$A:$F,7,0),"")</f>
        <v/>
      </c>
      <c r="BC494" s="270" t="str">
        <f>_xlfn.IFNA(VLOOKUP(CONCATENATE(BC$4,$C494),'INSER DATA'!$A:$F,7,0),"")</f>
        <v/>
      </c>
      <c r="BD494" s="270" t="str">
        <f>_xlfn.IFNA(VLOOKUP(CONCATENATE(BD$4,$C494),'INSER DATA'!$A:$F,7,0),"")</f>
        <v/>
      </c>
      <c r="BE494" s="270" t="str">
        <f>_xlfn.IFNA(VLOOKUP(CONCATENATE(BE$4,$C494),'INSER DATA'!$A:$F,7,0),"")</f>
        <v/>
      </c>
      <c r="BF494" s="270" t="str">
        <f>_xlfn.IFNA(VLOOKUP(CONCATENATE(BF$4,$C494),'INSER DATA'!$A:$F,7,0),"")</f>
        <v/>
      </c>
      <c r="BG494" s="270" t="str">
        <f>_xlfn.IFNA(VLOOKUP(CONCATENATE(BG$4,$C494),'INSER DATA'!$A:$F,7,0),"")</f>
        <v/>
      </c>
      <c r="BH494" s="270" t="str">
        <f>_xlfn.IFNA(VLOOKUP(CONCATENATE(BH$4,$C494),'INSER DATA'!$A:$F,7,0),"")</f>
        <v/>
      </c>
      <c r="BI494" s="270" t="str">
        <f>_xlfn.IFNA(VLOOKUP(CONCATENATE(BI$4,$C494),'INSER DATA'!$A:$F,7,0),"")</f>
        <v/>
      </c>
      <c r="BJ494" s="270" t="str">
        <f>_xlfn.IFNA(VLOOKUP(CONCATENATE(BJ$4,$C494),'INSER DATA'!$A:$F,7,0),"")</f>
        <v/>
      </c>
      <c r="BK494" s="270" t="str">
        <f>_xlfn.IFNA(VLOOKUP(CONCATENATE(BK$4,$C494),'INSER DATA'!$A:$F,7,0),"")</f>
        <v/>
      </c>
      <c r="BL494" s="272"/>
      <c r="BM494" s="30"/>
      <c r="BN494" s="30"/>
      <c r="BO494" s="30"/>
      <c r="BP494" s="30"/>
      <c r="BQ494" s="30"/>
      <c r="BR494" s="30"/>
      <c r="BS494" s="30"/>
      <c r="BT494" s="30"/>
      <c r="BU494" s="30"/>
      <c r="BV494" s="30"/>
      <c r="BW494" s="30"/>
      <c r="BX494" s="30"/>
      <c r="BY494" s="30"/>
      <c r="BZ494" s="30"/>
      <c r="CA494" s="30"/>
      <c r="CB494" s="30"/>
      <c r="CC494" s="30"/>
      <c r="CD494" s="30"/>
      <c r="CE494" s="30"/>
      <c r="CF494" s="30"/>
      <c r="CG494" s="30"/>
      <c r="CH494" s="30"/>
      <c r="CI494" s="30"/>
      <c r="CJ494" s="30"/>
      <c r="CK494" s="30"/>
      <c r="CL494" s="30"/>
      <c r="CM494" s="30"/>
      <c r="CN494" s="30"/>
      <c r="CO494" s="30"/>
      <c r="CP494" s="30"/>
      <c r="CQ494" s="30"/>
      <c r="CR494" s="30"/>
      <c r="CS494" s="30"/>
      <c r="CT494" s="30"/>
      <c r="CU494" s="30"/>
      <c r="CV494" s="30"/>
      <c r="CW494" s="30"/>
      <c r="CX494" s="30"/>
      <c r="CY494" s="30"/>
      <c r="CZ494" s="30"/>
      <c r="DA494" s="30"/>
    </row>
    <row r="495" spans="1:105" ht="19.2" thickTop="1" thickBot="1" x14ac:dyDescent="0.4">
      <c r="A495" s="30"/>
      <c r="B495" s="30"/>
      <c r="C495" s="354" t="s">
        <v>970</v>
      </c>
      <c r="D495" s="357" t="s">
        <v>967</v>
      </c>
      <c r="E495" s="35" t="str">
        <f>_xlfn.XLOOKUP(Tabella4[[#This Row],[NOME]],'ROSE SQUADRE'!$N$3:$N$253,'ROSE SQUADRE'!$O$3:$O$253,"")</f>
        <v>SHARK</v>
      </c>
      <c r="F495" s="36" t="s">
        <v>5</v>
      </c>
      <c r="G495" s="43">
        <v>6</v>
      </c>
      <c r="H495" s="43">
        <v>6</v>
      </c>
      <c r="I495" s="44">
        <f t="shared" si="44"/>
        <v>0</v>
      </c>
      <c r="J495" s="37">
        <f t="shared" si="45"/>
        <v>4</v>
      </c>
      <c r="K495" s="38">
        <f t="shared" si="46"/>
        <v>6</v>
      </c>
      <c r="L495" s="38">
        <f t="shared" si="47"/>
        <v>3.25</v>
      </c>
      <c r="M495" s="39">
        <f t="shared" si="48"/>
        <v>13</v>
      </c>
      <c r="N495" s="45">
        <f t="shared" ca="1" si="49"/>
        <v>0</v>
      </c>
      <c r="O495" s="40">
        <f>SUMIF(Tabella1[Nome],Tabella4[[#This Row],[NOME]],Tabella1[Gf])</f>
        <v>0</v>
      </c>
      <c r="P495" s="40">
        <f>-(SUMIF(Tabella1[Nome],Tabella4[[#This Row],[NOME]],Tabella1[Gs]))</f>
        <v>-11</v>
      </c>
      <c r="Q495" s="40">
        <f>SUMIF(Tabella1[Nome],Tabella4[[#This Row],[NOME]],Tabella1[Rp])</f>
        <v>0</v>
      </c>
      <c r="R495" s="40">
        <f>SUMIF(Tabella1[Nome],Tabella4[[#This Row],[NOME]],Tabella1[Rs])</f>
        <v>0</v>
      </c>
      <c r="S495" s="40">
        <f>SUMIF(Tabella1[Nome],Tabella4[[#This Row],[NOME]],Tabella1[Rf])</f>
        <v>0</v>
      </c>
      <c r="T495" s="40">
        <f>SUMIF(Tabella1[Nome],Tabella4[[#This Row],[NOME]],Tabella1[Au])</f>
        <v>0</v>
      </c>
      <c r="U495" s="41">
        <f>SUMIF(Tabella1[Nome],Tabella4[[#This Row],[NOME]],Tabella1[Amm])</f>
        <v>0</v>
      </c>
      <c r="V495" s="42">
        <f>SUMIF(Tabella1[Nome],Tabella4[[#This Row],[NOME]],Tabella1[Esp])</f>
        <v>0</v>
      </c>
      <c r="W495" s="40">
        <f>SUMIF(Tabella1[Nome],Tabella4[[#This Row],[NOME]],Tabella1[Ass])</f>
        <v>0</v>
      </c>
      <c r="X495" s="40">
        <f>SUMIF(Tabella1[Nome],Tabella4[[#This Row],[NOME]],Tabella1[Gdv])</f>
        <v>0</v>
      </c>
      <c r="Y495" s="40">
        <f>SUMIF(Tabella1[Nome],Tabella4[[#This Row],[NOME]],Tabella1[cl sh])</f>
        <v>0</v>
      </c>
      <c r="Z495" s="270">
        <f>_xlfn.IFNA(_xlfn.XLOOKUP(CONCATENATE(Z$4,$C495),Tabella1[CONC X VOTI IN TAB GIOC],Tabella1[Voto],""),"")</f>
        <v>5.5</v>
      </c>
      <c r="AA495" s="270">
        <f>_xlfn.IFNA(_xlfn.XLOOKUP(CONCATENATE(AA$4,$C495),Tabella1[CONC X VOTI IN TAB GIOC],Tabella1[Voto],""),"")</f>
        <v>6.5</v>
      </c>
      <c r="AB495" s="270">
        <f>_xlfn.IFNA(_xlfn.XLOOKUP(CONCATENATE(AB$4,$C495),Tabella1[CONC X VOTI IN TAB GIOC],Tabella1[Voto]),"")</f>
        <v>6</v>
      </c>
      <c r="AC495" s="270" cm="1">
        <f t="array" ref="AC495">_xlfn.IFNA(_xlfn.XLOOKUP(CONCATENATE(AC$4,$C495),INDEX(Tabella1[],0,MATCH("CONC X VOTI IN TAB GIOC",Tabella1[#Headers],0)),INDEX(Tabella1[],0,MATCH("Voto",Tabella1[#Headers],0))),"")</f>
        <v>6</v>
      </c>
      <c r="AD495" s="270" t="str">
        <f>_xlfn.IFNA(_xlfn.XLOOKUP(CONCATENATE(AD$4,$C495),Tabella1[CONC X VOTI IN TAB GIOC],Tabella1[Voto]),"")</f>
        <v/>
      </c>
      <c r="AE495" s="270" t="str">
        <f>_xlfn.IFNA(VLOOKUP(CONCATENATE(AE$4,$C495),'INSER DATA'!$A:$F,6,0),"")</f>
        <v/>
      </c>
      <c r="AF495" s="270" t="str">
        <f>_xlfn.IFNA(VLOOKUP(CONCATENATE(AF$4,$C495),'INSER DATA'!$A:$F,6,0),"")</f>
        <v/>
      </c>
      <c r="AG495" s="270" t="str">
        <f>_xlfn.IFNA(VLOOKUP(CONCATENATE(AG$4,$C495),'INSER DATA'!$A:$F,6,0),"")</f>
        <v/>
      </c>
      <c r="AH495" s="270" t="str">
        <f>_xlfn.IFNA(VLOOKUP(CONCATENATE(AH$4,$C495),'INSER DATA'!$A:$F,7,0),"")</f>
        <v/>
      </c>
      <c r="AI495" s="270" t="str">
        <f>_xlfn.IFNA(VLOOKUP(CONCATENATE(AI$4,$C495),'INSER DATA'!$A:$F,7,0),"")</f>
        <v/>
      </c>
      <c r="AJ495" s="270" t="str">
        <f>_xlfn.IFNA(VLOOKUP(CONCATENATE(AJ$4,$C495),'INSER DATA'!$A:$F,7,0),"")</f>
        <v/>
      </c>
      <c r="AK495" s="270" t="str">
        <f>_xlfn.IFNA(VLOOKUP(CONCATENATE(AK$4,$C495),'INSER DATA'!$A:$F,7,0),"")</f>
        <v/>
      </c>
      <c r="AL495" s="270" t="str">
        <f>_xlfn.IFNA(VLOOKUP(CONCATENATE(AL$4,$C495),'INSER DATA'!$A:$F,7,0),"")</f>
        <v/>
      </c>
      <c r="AM495" s="270" t="str">
        <f>_xlfn.IFNA(VLOOKUP(CONCATENATE(AM$4,$C495),'INSER DATA'!$A:$F,7,0),"")</f>
        <v/>
      </c>
      <c r="AN495" s="270" t="str">
        <f>_xlfn.IFNA(VLOOKUP(CONCATENATE(AN$4,$C495),'INSER DATA'!$A:$F,7,0),"")</f>
        <v/>
      </c>
      <c r="AO495" s="270" t="str">
        <f>_xlfn.IFNA(VLOOKUP(CONCATENATE(AO$4,$C495),'INSER DATA'!$A:$F,7,0),"")</f>
        <v/>
      </c>
      <c r="AP495" s="270" t="str">
        <f>_xlfn.IFNA(VLOOKUP(CONCATENATE(AP$4,$C495),'INSER DATA'!$A:$F,7,0),"")</f>
        <v/>
      </c>
      <c r="AQ495" s="270" t="str">
        <f>_xlfn.IFNA(VLOOKUP(CONCATENATE(AQ$4,$C495),'INSER DATA'!$A:$F,7,0),"")</f>
        <v/>
      </c>
      <c r="AR495" s="270" t="str">
        <f>_xlfn.IFNA(VLOOKUP(CONCATENATE(AR$4,$C495),'INSER DATA'!$A:$F,7,0),"")</f>
        <v/>
      </c>
      <c r="AS495" s="270" t="str">
        <f>_xlfn.IFNA(VLOOKUP(CONCATENATE(AS$4,$C495),'INSER DATA'!$A:$F,7,0),"")</f>
        <v/>
      </c>
      <c r="AT495" s="270" t="str">
        <f>_xlfn.IFNA(VLOOKUP(CONCATENATE(AT$4,$C495),'INSER DATA'!$A:$F,7,0),"")</f>
        <v/>
      </c>
      <c r="AU495" s="270" t="str">
        <f>_xlfn.IFNA(VLOOKUP(CONCATENATE(AU$4,$C495),'INSER DATA'!$A:$F,7,0),"")</f>
        <v/>
      </c>
      <c r="AV495" s="270" t="str">
        <f>_xlfn.IFNA(VLOOKUP(CONCATENATE(AV$4,$C495),'INSER DATA'!$A:$F,7,0),"")</f>
        <v/>
      </c>
      <c r="AW495" s="270" t="str">
        <f>_xlfn.IFNA(VLOOKUP(CONCATENATE(AW$4,$C495),'INSER DATA'!$A:$F,7,0),"")</f>
        <v/>
      </c>
      <c r="AX495" s="270" t="str">
        <f>_xlfn.IFNA(VLOOKUP(CONCATENATE(AX$4,$C495),'INSER DATA'!$A:$F,7,0),"")</f>
        <v/>
      </c>
      <c r="AY495" s="270" t="str">
        <f>_xlfn.IFNA(VLOOKUP(CONCATENATE(AY$4,$C495),'INSER DATA'!$A:$F,7,0),"")</f>
        <v/>
      </c>
      <c r="AZ495" s="270" t="str">
        <f>_xlfn.IFNA(VLOOKUP(CONCATENATE(AZ$4,$C495),'INSER DATA'!$A:$F,7,0),"")</f>
        <v/>
      </c>
      <c r="BA495" s="270" t="str">
        <f>_xlfn.IFNA(VLOOKUP(CONCATENATE(BA$4,$C495),'INSER DATA'!$A:$F,7,0),"")</f>
        <v/>
      </c>
      <c r="BB495" s="270" t="str">
        <f>_xlfn.IFNA(VLOOKUP(CONCATENATE(BB$4,$C495),'INSER DATA'!$A:$F,7,0),"")</f>
        <v/>
      </c>
      <c r="BC495" s="270" t="str">
        <f>_xlfn.IFNA(VLOOKUP(CONCATENATE(BC$4,$C495),'INSER DATA'!$A:$F,7,0),"")</f>
        <v/>
      </c>
      <c r="BD495" s="270" t="str">
        <f>_xlfn.IFNA(VLOOKUP(CONCATENATE(BD$4,$C495),'INSER DATA'!$A:$F,7,0),"")</f>
        <v/>
      </c>
      <c r="BE495" s="270" t="str">
        <f>_xlfn.IFNA(VLOOKUP(CONCATENATE(BE$4,$C495),'INSER DATA'!$A:$F,7,0),"")</f>
        <v/>
      </c>
      <c r="BF495" s="270" t="str">
        <f>_xlfn.IFNA(VLOOKUP(CONCATENATE(BF$4,$C495),'INSER DATA'!$A:$F,7,0),"")</f>
        <v/>
      </c>
      <c r="BG495" s="270" t="str">
        <f>_xlfn.IFNA(VLOOKUP(CONCATENATE(BG$4,$C495),'INSER DATA'!$A:$F,7,0),"")</f>
        <v/>
      </c>
      <c r="BH495" s="270" t="str">
        <f>_xlfn.IFNA(VLOOKUP(CONCATENATE(BH$4,$C495),'INSER DATA'!$A:$F,7,0),"")</f>
        <v/>
      </c>
      <c r="BI495" s="270" t="str">
        <f>_xlfn.IFNA(VLOOKUP(CONCATENATE(BI$4,$C495),'INSER DATA'!$A:$F,7,0),"")</f>
        <v/>
      </c>
      <c r="BJ495" s="270" t="str">
        <f>_xlfn.IFNA(VLOOKUP(CONCATENATE(BJ$4,$C495),'INSER DATA'!$A:$F,7,0),"")</f>
        <v/>
      </c>
      <c r="BK495" s="270" t="str">
        <f>_xlfn.IFNA(VLOOKUP(CONCATENATE(BK$4,$C495),'INSER DATA'!$A:$F,7,0),"")</f>
        <v/>
      </c>
      <c r="BL495" s="272"/>
      <c r="BM495" s="30"/>
      <c r="BN495" s="30"/>
      <c r="BO495" s="30"/>
      <c r="BP495" s="30"/>
      <c r="BQ495" s="30"/>
      <c r="BR495" s="30"/>
      <c r="BS495" s="30"/>
      <c r="BT495" s="30"/>
      <c r="BU495" s="30"/>
      <c r="BV495" s="30"/>
      <c r="BW495" s="30"/>
      <c r="BX495" s="30"/>
      <c r="BY495" s="30"/>
      <c r="BZ495" s="30"/>
      <c r="CA495" s="30"/>
      <c r="CB495" s="30"/>
      <c r="CC495" s="30"/>
      <c r="CD495" s="30"/>
      <c r="CE495" s="30"/>
      <c r="CF495" s="30"/>
      <c r="CG495" s="30"/>
      <c r="CH495" s="30"/>
      <c r="CI495" s="30"/>
      <c r="CJ495" s="30"/>
      <c r="CK495" s="30"/>
      <c r="CL495" s="30"/>
      <c r="CM495" s="30"/>
      <c r="CN495" s="30"/>
      <c r="CO495" s="30"/>
      <c r="CP495" s="30"/>
      <c r="CQ495" s="30"/>
      <c r="CR495" s="30"/>
      <c r="CS495" s="30"/>
      <c r="CT495" s="30"/>
      <c r="CU495" s="30"/>
      <c r="CV495" s="30"/>
      <c r="CW495" s="30"/>
      <c r="CX495" s="30"/>
      <c r="CY495" s="30"/>
      <c r="CZ495" s="30"/>
      <c r="DA495" s="30"/>
    </row>
    <row r="496" spans="1:105" ht="19.2" thickTop="1" thickBot="1" x14ac:dyDescent="0.4">
      <c r="A496" s="30"/>
      <c r="B496" s="30"/>
      <c r="C496" s="356" t="s">
        <v>584</v>
      </c>
      <c r="D496" s="355" t="s">
        <v>967</v>
      </c>
      <c r="E496" s="35" t="str">
        <f>_xlfn.XLOOKUP(Tabella4[[#This Row],[NOME]],'ROSE SQUADRE'!$N$3:$N$253,'ROSE SQUADRE'!$O$3:$O$253,"")</f>
        <v>FC INTERNAZIOANALE</v>
      </c>
      <c r="F496" s="36" t="s">
        <v>161</v>
      </c>
      <c r="G496" s="43">
        <v>5</v>
      </c>
      <c r="H496" s="43">
        <v>5</v>
      </c>
      <c r="I496" s="44">
        <f t="shared" si="44"/>
        <v>0</v>
      </c>
      <c r="J496" s="37">
        <f t="shared" si="45"/>
        <v>4</v>
      </c>
      <c r="K496" s="38">
        <f t="shared" si="46"/>
        <v>5.5</v>
      </c>
      <c r="L496" s="38">
        <f t="shared" si="47"/>
        <v>5.625</v>
      </c>
      <c r="M496" s="39">
        <f t="shared" si="48"/>
        <v>22.5</v>
      </c>
      <c r="N496" s="45">
        <f t="shared" ca="1" si="49"/>
        <v>0</v>
      </c>
      <c r="O496" s="40">
        <f>SUMIF(Tabella1[Nome],Tabella4[[#This Row],[NOME]],Tabella1[Gf])</f>
        <v>0</v>
      </c>
      <c r="P496" s="40">
        <f>-(SUMIF(Tabella1[Nome],Tabella4[[#This Row],[NOME]],Tabella1[Gs]))</f>
        <v>0</v>
      </c>
      <c r="Q496" s="40">
        <f>SUMIF(Tabella1[Nome],Tabella4[[#This Row],[NOME]],Tabella1[Rp])</f>
        <v>0</v>
      </c>
      <c r="R496" s="40">
        <f>SUMIF(Tabella1[Nome],Tabella4[[#This Row],[NOME]],Tabella1[Rs])</f>
        <v>0</v>
      </c>
      <c r="S496" s="40">
        <f>SUMIF(Tabella1[Nome],Tabella4[[#This Row],[NOME]],Tabella1[Rf])</f>
        <v>0</v>
      </c>
      <c r="T496" s="40">
        <f>SUMIF(Tabella1[Nome],Tabella4[[#This Row],[NOME]],Tabella1[Au])</f>
        <v>0</v>
      </c>
      <c r="U496" s="41">
        <f>SUMIF(Tabella1[Nome],Tabella4[[#This Row],[NOME]],Tabella1[Amm])</f>
        <v>1</v>
      </c>
      <c r="V496" s="42">
        <f>SUMIF(Tabella1[Nome],Tabella4[[#This Row],[NOME]],Tabella1[Esp])</f>
        <v>0</v>
      </c>
      <c r="W496" s="40">
        <f>SUMIF(Tabella1[Nome],Tabella4[[#This Row],[NOME]],Tabella1[Ass])</f>
        <v>1</v>
      </c>
      <c r="X496" s="40">
        <f>SUMIF(Tabella1[Nome],Tabella4[[#This Row],[NOME]],Tabella1[Gdv])</f>
        <v>0</v>
      </c>
      <c r="Y496" s="40">
        <f>SUMIF(Tabella1[Nome],Tabella4[[#This Row],[NOME]],Tabella1[cl sh])</f>
        <v>0</v>
      </c>
      <c r="Z496" s="270">
        <f>_xlfn.IFNA(_xlfn.XLOOKUP(CONCATENATE(Z$4,$C496),Tabella1[CONC X VOTI IN TAB GIOC],Tabella1[Voto],""),"")</f>
        <v>5.5</v>
      </c>
      <c r="AA496" s="270">
        <f>_xlfn.IFNA(_xlfn.XLOOKUP(CONCATENATE(AA$4,$C496),Tabella1[CONC X VOTI IN TAB GIOC],Tabella1[Voto],""),"")</f>
        <v>6.5</v>
      </c>
      <c r="AB496" s="270">
        <f>_xlfn.IFNA(_xlfn.XLOOKUP(CONCATENATE(AB$4,$C496),Tabella1[CONC X VOTI IN TAB GIOC],Tabella1[Voto]),"")</f>
        <v>5.5</v>
      </c>
      <c r="AC496" s="270" cm="1">
        <f t="array" ref="AC496">_xlfn.IFNA(_xlfn.XLOOKUP(CONCATENATE(AC$4,$C496),INDEX(Tabella1[],0,MATCH("CONC X VOTI IN TAB GIOC",Tabella1[#Headers],0)),INDEX(Tabella1[],0,MATCH("Voto",Tabella1[#Headers],0))),"")</f>
        <v>4.5</v>
      </c>
      <c r="AD496" s="270" t="str">
        <f>_xlfn.IFNA(_xlfn.XLOOKUP(CONCATENATE(AD$4,$C496),Tabella1[CONC X VOTI IN TAB GIOC],Tabella1[Voto]),"")</f>
        <v/>
      </c>
      <c r="AE496" s="270" t="str">
        <f>_xlfn.IFNA(VLOOKUP(CONCATENATE(AE$4,$C496),'INSER DATA'!$A:$F,6,0),"")</f>
        <v/>
      </c>
      <c r="AF496" s="270" t="str">
        <f>_xlfn.IFNA(VLOOKUP(CONCATENATE(AF$4,$C496),'INSER DATA'!$A:$F,6,0),"")</f>
        <v/>
      </c>
      <c r="AG496" s="270" t="str">
        <f>_xlfn.IFNA(VLOOKUP(CONCATENATE(AG$4,$C496),'INSER DATA'!$A:$F,6,0),"")</f>
        <v/>
      </c>
      <c r="AH496" s="270" t="str">
        <f>_xlfn.IFNA(VLOOKUP(CONCATENATE(AH$4,$C496),'INSER DATA'!$A:$F,7,0),"")</f>
        <v/>
      </c>
      <c r="AI496" s="270" t="str">
        <f>_xlfn.IFNA(VLOOKUP(CONCATENATE(AI$4,$C496),'INSER DATA'!$A:$F,7,0),"")</f>
        <v/>
      </c>
      <c r="AJ496" s="270" t="str">
        <f>_xlfn.IFNA(VLOOKUP(CONCATENATE(AJ$4,$C496),'INSER DATA'!$A:$F,7,0),"")</f>
        <v/>
      </c>
      <c r="AK496" s="270" t="str">
        <f>_xlfn.IFNA(VLOOKUP(CONCATENATE(AK$4,$C496),'INSER DATA'!$A:$F,7,0),"")</f>
        <v/>
      </c>
      <c r="AL496" s="270" t="str">
        <f>_xlfn.IFNA(VLOOKUP(CONCATENATE(AL$4,$C496),'INSER DATA'!$A:$F,7,0),"")</f>
        <v/>
      </c>
      <c r="AM496" s="270" t="str">
        <f>_xlfn.IFNA(VLOOKUP(CONCATENATE(AM$4,$C496),'INSER DATA'!$A:$F,7,0),"")</f>
        <v/>
      </c>
      <c r="AN496" s="270" t="str">
        <f>_xlfn.IFNA(VLOOKUP(CONCATENATE(AN$4,$C496),'INSER DATA'!$A:$F,7,0),"")</f>
        <v/>
      </c>
      <c r="AO496" s="270" t="str">
        <f>_xlfn.IFNA(VLOOKUP(CONCATENATE(AO$4,$C496),'INSER DATA'!$A:$F,7,0),"")</f>
        <v/>
      </c>
      <c r="AP496" s="270" t="str">
        <f>_xlfn.IFNA(VLOOKUP(CONCATENATE(AP$4,$C496),'INSER DATA'!$A:$F,7,0),"")</f>
        <v/>
      </c>
      <c r="AQ496" s="270" t="str">
        <f>_xlfn.IFNA(VLOOKUP(CONCATENATE(AQ$4,$C496),'INSER DATA'!$A:$F,7,0),"")</f>
        <v/>
      </c>
      <c r="AR496" s="270" t="str">
        <f>_xlfn.IFNA(VLOOKUP(CONCATENATE(AR$4,$C496),'INSER DATA'!$A:$F,7,0),"")</f>
        <v/>
      </c>
      <c r="AS496" s="270" t="str">
        <f>_xlfn.IFNA(VLOOKUP(CONCATENATE(AS$4,$C496),'INSER DATA'!$A:$F,7,0),"")</f>
        <v/>
      </c>
      <c r="AT496" s="270" t="str">
        <f>_xlfn.IFNA(VLOOKUP(CONCATENATE(AT$4,$C496),'INSER DATA'!$A:$F,7,0),"")</f>
        <v/>
      </c>
      <c r="AU496" s="270" t="str">
        <f>_xlfn.IFNA(VLOOKUP(CONCATENATE(AU$4,$C496),'INSER DATA'!$A:$F,7,0),"")</f>
        <v/>
      </c>
      <c r="AV496" s="270" t="str">
        <f>_xlfn.IFNA(VLOOKUP(CONCATENATE(AV$4,$C496),'INSER DATA'!$A:$F,7,0),"")</f>
        <v/>
      </c>
      <c r="AW496" s="270" t="str">
        <f>_xlfn.IFNA(VLOOKUP(CONCATENATE(AW$4,$C496),'INSER DATA'!$A:$F,7,0),"")</f>
        <v/>
      </c>
      <c r="AX496" s="270" t="str">
        <f>_xlfn.IFNA(VLOOKUP(CONCATENATE(AX$4,$C496),'INSER DATA'!$A:$F,7,0),"")</f>
        <v/>
      </c>
      <c r="AY496" s="270" t="str">
        <f>_xlfn.IFNA(VLOOKUP(CONCATENATE(AY$4,$C496),'INSER DATA'!$A:$F,7,0),"")</f>
        <v/>
      </c>
      <c r="AZ496" s="270" t="str">
        <f>_xlfn.IFNA(VLOOKUP(CONCATENATE(AZ$4,$C496),'INSER DATA'!$A:$F,7,0),"")</f>
        <v/>
      </c>
      <c r="BA496" s="270" t="str">
        <f>_xlfn.IFNA(VLOOKUP(CONCATENATE(BA$4,$C496),'INSER DATA'!$A:$F,7,0),"")</f>
        <v/>
      </c>
      <c r="BB496" s="270" t="str">
        <f>_xlfn.IFNA(VLOOKUP(CONCATENATE(BB$4,$C496),'INSER DATA'!$A:$F,7,0),"")</f>
        <v/>
      </c>
      <c r="BC496" s="270" t="str">
        <f>_xlfn.IFNA(VLOOKUP(CONCATENATE(BC$4,$C496),'INSER DATA'!$A:$F,7,0),"")</f>
        <v/>
      </c>
      <c r="BD496" s="270" t="str">
        <f>_xlfn.IFNA(VLOOKUP(CONCATENATE(BD$4,$C496),'INSER DATA'!$A:$F,7,0),"")</f>
        <v/>
      </c>
      <c r="BE496" s="270" t="str">
        <f>_xlfn.IFNA(VLOOKUP(CONCATENATE(BE$4,$C496),'INSER DATA'!$A:$F,7,0),"")</f>
        <v/>
      </c>
      <c r="BF496" s="270" t="str">
        <f>_xlfn.IFNA(VLOOKUP(CONCATENATE(BF$4,$C496),'INSER DATA'!$A:$F,7,0),"")</f>
        <v/>
      </c>
      <c r="BG496" s="270" t="str">
        <f>_xlfn.IFNA(VLOOKUP(CONCATENATE(BG$4,$C496),'INSER DATA'!$A:$F,7,0),"")</f>
        <v/>
      </c>
      <c r="BH496" s="270" t="str">
        <f>_xlfn.IFNA(VLOOKUP(CONCATENATE(BH$4,$C496),'INSER DATA'!$A:$F,7,0),"")</f>
        <v/>
      </c>
      <c r="BI496" s="270" t="str">
        <f>_xlfn.IFNA(VLOOKUP(CONCATENATE(BI$4,$C496),'INSER DATA'!$A:$F,7,0),"")</f>
        <v/>
      </c>
      <c r="BJ496" s="270" t="str">
        <f>_xlfn.IFNA(VLOOKUP(CONCATENATE(BJ$4,$C496),'INSER DATA'!$A:$F,7,0),"")</f>
        <v/>
      </c>
      <c r="BK496" s="270" t="str">
        <f>_xlfn.IFNA(VLOOKUP(CONCATENATE(BK$4,$C496),'INSER DATA'!$A:$F,7,0),"")</f>
        <v/>
      </c>
      <c r="BL496" s="272"/>
      <c r="BM496" s="30"/>
      <c r="BN496" s="30"/>
      <c r="BO496" s="30"/>
      <c r="BP496" s="30"/>
      <c r="BQ496" s="30"/>
      <c r="BR496" s="30"/>
      <c r="BS496" s="30"/>
      <c r="BT496" s="30"/>
      <c r="BU496" s="30"/>
      <c r="BV496" s="30"/>
      <c r="BW496" s="30"/>
      <c r="BX496" s="30"/>
      <c r="BY496" s="30"/>
      <c r="BZ496" s="30"/>
      <c r="CA496" s="30"/>
      <c r="CB496" s="30"/>
      <c r="CC496" s="30"/>
      <c r="CD496" s="30"/>
      <c r="CE496" s="30"/>
      <c r="CF496" s="30"/>
      <c r="CG496" s="30"/>
      <c r="CH496" s="30"/>
      <c r="CI496" s="30"/>
      <c r="CJ496" s="30"/>
      <c r="CK496" s="30"/>
      <c r="CL496" s="30"/>
      <c r="CM496" s="30"/>
      <c r="CN496" s="30"/>
      <c r="CO496" s="30"/>
      <c r="CP496" s="30"/>
      <c r="CQ496" s="30"/>
      <c r="CR496" s="30"/>
      <c r="CS496" s="30"/>
      <c r="CT496" s="30"/>
      <c r="CU496" s="30"/>
      <c r="CV496" s="30"/>
      <c r="CW496" s="30"/>
      <c r="CX496" s="30"/>
      <c r="CY496" s="30"/>
      <c r="CZ496" s="30"/>
      <c r="DA496" s="30"/>
    </row>
    <row r="497" spans="1:105" ht="19.2" thickTop="1" thickBot="1" x14ac:dyDescent="0.4">
      <c r="A497" s="30"/>
      <c r="B497" s="30"/>
      <c r="C497" s="185" t="s">
        <v>559</v>
      </c>
      <c r="D497" s="46" t="s">
        <v>967</v>
      </c>
      <c r="E497" s="35" t="str">
        <f>_xlfn.XLOOKUP(Tabella4[[#This Row],[NOME]],'ROSE SQUADRE'!$N$3:$N$253,'ROSE SQUADRE'!$O$3:$O$253,"")</f>
        <v/>
      </c>
      <c r="F497" s="36" t="s">
        <v>162</v>
      </c>
      <c r="G497" s="43">
        <v>5</v>
      </c>
      <c r="H497" s="43">
        <v>5</v>
      </c>
      <c r="I497" s="44">
        <f t="shared" si="44"/>
        <v>0</v>
      </c>
      <c r="J497" s="37">
        <f t="shared" si="45"/>
        <v>3</v>
      </c>
      <c r="K497" s="38">
        <f t="shared" si="46"/>
        <v>5.5</v>
      </c>
      <c r="L497" s="38">
        <f t="shared" si="47"/>
        <v>5.166666666666667</v>
      </c>
      <c r="M497" s="39">
        <f t="shared" si="48"/>
        <v>15.5</v>
      </c>
      <c r="N497" s="45">
        <f t="shared" ca="1" si="49"/>
        <v>0</v>
      </c>
      <c r="O497" s="40">
        <f>SUMIF(Tabella1[Nome],Tabella4[[#This Row],[NOME]],Tabella1[Gf])</f>
        <v>0</v>
      </c>
      <c r="P497" s="40">
        <f>-(SUMIF(Tabella1[Nome],Tabella4[[#This Row],[NOME]],Tabella1[Gs]))</f>
        <v>0</v>
      </c>
      <c r="Q497" s="40">
        <f>SUMIF(Tabella1[Nome],Tabella4[[#This Row],[NOME]],Tabella1[Rp])</f>
        <v>0</v>
      </c>
      <c r="R497" s="40">
        <f>SUMIF(Tabella1[Nome],Tabella4[[#This Row],[NOME]],Tabella1[Rs])</f>
        <v>0</v>
      </c>
      <c r="S497" s="40">
        <f>SUMIF(Tabella1[Nome],Tabella4[[#This Row],[NOME]],Tabella1[Rf])</f>
        <v>0</v>
      </c>
      <c r="T497" s="40">
        <f>SUMIF(Tabella1[Nome],Tabella4[[#This Row],[NOME]],Tabella1[Au])</f>
        <v>0</v>
      </c>
      <c r="U497" s="41">
        <f>SUMIF(Tabella1[Nome],Tabella4[[#This Row],[NOME]],Tabella1[Amm])</f>
        <v>2</v>
      </c>
      <c r="V497" s="42">
        <f>SUMIF(Tabella1[Nome],Tabella4[[#This Row],[NOME]],Tabella1[Esp])</f>
        <v>0</v>
      </c>
      <c r="W497" s="40">
        <f>SUMIF(Tabella1[Nome],Tabella4[[#This Row],[NOME]],Tabella1[Ass])</f>
        <v>0</v>
      </c>
      <c r="X497" s="40">
        <f>SUMIF(Tabella1[Nome],Tabella4[[#This Row],[NOME]],Tabella1[Gdv])</f>
        <v>0</v>
      </c>
      <c r="Y497" s="40">
        <f>SUMIF(Tabella1[Nome],Tabella4[[#This Row],[NOME]],Tabella1[cl sh])</f>
        <v>0</v>
      </c>
      <c r="Z497" s="270" t="str">
        <f>_xlfn.IFNA(_xlfn.XLOOKUP(CONCATENATE(Z$4,$C497),Tabella1[CONC X VOTI IN TAB GIOC],Tabella1[Voto],""),"")</f>
        <v/>
      </c>
      <c r="AA497" s="270">
        <f>_xlfn.IFNA(_xlfn.XLOOKUP(CONCATENATE(AA$4,$C497),Tabella1[CONC X VOTI IN TAB GIOC],Tabella1[Voto],""),"")</f>
        <v>6</v>
      </c>
      <c r="AB497" s="270">
        <f>_xlfn.IFNA(_xlfn.XLOOKUP(CONCATENATE(AB$4,$C497),Tabella1[CONC X VOTI IN TAB GIOC],Tabella1[Voto]),"")</f>
        <v>5.5</v>
      </c>
      <c r="AC497" s="270" cm="1">
        <f t="array" ref="AC497">_xlfn.IFNA(_xlfn.XLOOKUP(CONCATENATE(AC$4,$C497),INDEX(Tabella1[],0,MATCH("CONC X VOTI IN TAB GIOC",Tabella1[#Headers],0)),INDEX(Tabella1[],0,MATCH("Voto",Tabella1[#Headers],0))),"")</f>
        <v>5</v>
      </c>
      <c r="AD497" s="270" t="str">
        <f>_xlfn.IFNA(_xlfn.XLOOKUP(CONCATENATE(AD$4,$C497),Tabella1[CONC X VOTI IN TAB GIOC],Tabella1[Voto]),"")</f>
        <v/>
      </c>
      <c r="AE497" s="270" t="str">
        <f>_xlfn.IFNA(VLOOKUP(CONCATENATE(AE$4,$C497),'INSER DATA'!$A:$F,6,0),"")</f>
        <v/>
      </c>
      <c r="AF497" s="270" t="str">
        <f>_xlfn.IFNA(VLOOKUP(CONCATENATE(AF$4,$C497),'INSER DATA'!$A:$F,6,0),"")</f>
        <v/>
      </c>
      <c r="AG497" s="270" t="str">
        <f>_xlfn.IFNA(VLOOKUP(CONCATENATE(AG$4,$C497),'INSER DATA'!$A:$F,6,0),"")</f>
        <v/>
      </c>
      <c r="AH497" s="270" t="str">
        <f>_xlfn.IFNA(VLOOKUP(CONCATENATE(AH$4,$C497),'INSER DATA'!$A:$F,7,0),"")</f>
        <v/>
      </c>
      <c r="AI497" s="270" t="str">
        <f>_xlfn.IFNA(VLOOKUP(CONCATENATE(AI$4,$C497),'INSER DATA'!$A:$F,7,0),"")</f>
        <v/>
      </c>
      <c r="AJ497" s="270" t="str">
        <f>_xlfn.IFNA(VLOOKUP(CONCATENATE(AJ$4,$C497),'INSER DATA'!$A:$F,7,0),"")</f>
        <v/>
      </c>
      <c r="AK497" s="270" t="str">
        <f>_xlfn.IFNA(VLOOKUP(CONCATENATE(AK$4,$C497),'INSER DATA'!$A:$F,7,0),"")</f>
        <v/>
      </c>
      <c r="AL497" s="270" t="str">
        <f>_xlfn.IFNA(VLOOKUP(CONCATENATE(AL$4,$C497),'INSER DATA'!$A:$F,7,0),"")</f>
        <v/>
      </c>
      <c r="AM497" s="270" t="str">
        <f>_xlfn.IFNA(VLOOKUP(CONCATENATE(AM$4,$C497),'INSER DATA'!$A:$F,7,0),"")</f>
        <v/>
      </c>
      <c r="AN497" s="270" t="str">
        <f>_xlfn.IFNA(VLOOKUP(CONCATENATE(AN$4,$C497),'INSER DATA'!$A:$F,7,0),"")</f>
        <v/>
      </c>
      <c r="AO497" s="270" t="str">
        <f>_xlfn.IFNA(VLOOKUP(CONCATENATE(AO$4,$C497),'INSER DATA'!$A:$F,7,0),"")</f>
        <v/>
      </c>
      <c r="AP497" s="270" t="str">
        <f>_xlfn.IFNA(VLOOKUP(CONCATENATE(AP$4,$C497),'INSER DATA'!$A:$F,7,0),"")</f>
        <v/>
      </c>
      <c r="AQ497" s="270" t="str">
        <f>_xlfn.IFNA(VLOOKUP(CONCATENATE(AQ$4,$C497),'INSER DATA'!$A:$F,7,0),"")</f>
        <v/>
      </c>
      <c r="AR497" s="270" t="str">
        <f>_xlfn.IFNA(VLOOKUP(CONCATENATE(AR$4,$C497),'INSER DATA'!$A:$F,7,0),"")</f>
        <v/>
      </c>
      <c r="AS497" s="270" t="str">
        <f>_xlfn.IFNA(VLOOKUP(CONCATENATE(AS$4,$C497),'INSER DATA'!$A:$F,7,0),"")</f>
        <v/>
      </c>
      <c r="AT497" s="270" t="str">
        <f>_xlfn.IFNA(VLOOKUP(CONCATENATE(AT$4,$C497),'INSER DATA'!$A:$F,7,0),"")</f>
        <v/>
      </c>
      <c r="AU497" s="270" t="str">
        <f>_xlfn.IFNA(VLOOKUP(CONCATENATE(AU$4,$C497),'INSER DATA'!$A:$F,7,0),"")</f>
        <v/>
      </c>
      <c r="AV497" s="270" t="str">
        <f>_xlfn.IFNA(VLOOKUP(CONCATENATE(AV$4,$C497),'INSER DATA'!$A:$F,7,0),"")</f>
        <v/>
      </c>
      <c r="AW497" s="270" t="str">
        <f>_xlfn.IFNA(VLOOKUP(CONCATENATE(AW$4,$C497),'INSER DATA'!$A:$F,7,0),"")</f>
        <v/>
      </c>
      <c r="AX497" s="270" t="str">
        <f>_xlfn.IFNA(VLOOKUP(CONCATENATE(AX$4,$C497),'INSER DATA'!$A:$F,7,0),"")</f>
        <v/>
      </c>
      <c r="AY497" s="270" t="str">
        <f>_xlfn.IFNA(VLOOKUP(CONCATENATE(AY$4,$C497),'INSER DATA'!$A:$F,7,0),"")</f>
        <v/>
      </c>
      <c r="AZ497" s="270" t="str">
        <f>_xlfn.IFNA(VLOOKUP(CONCATENATE(AZ$4,$C497),'INSER DATA'!$A:$F,7,0),"")</f>
        <v/>
      </c>
      <c r="BA497" s="270" t="str">
        <f>_xlfn.IFNA(VLOOKUP(CONCATENATE(BA$4,$C497),'INSER DATA'!$A:$F,7,0),"")</f>
        <v/>
      </c>
      <c r="BB497" s="270" t="str">
        <f>_xlfn.IFNA(VLOOKUP(CONCATENATE(BB$4,$C497),'INSER DATA'!$A:$F,7,0),"")</f>
        <v/>
      </c>
      <c r="BC497" s="270" t="str">
        <f>_xlfn.IFNA(VLOOKUP(CONCATENATE(BC$4,$C497),'INSER DATA'!$A:$F,7,0),"")</f>
        <v/>
      </c>
      <c r="BD497" s="270" t="str">
        <f>_xlfn.IFNA(VLOOKUP(CONCATENATE(BD$4,$C497),'INSER DATA'!$A:$F,7,0),"")</f>
        <v/>
      </c>
      <c r="BE497" s="270" t="str">
        <f>_xlfn.IFNA(VLOOKUP(CONCATENATE(BE$4,$C497),'INSER DATA'!$A:$F,7,0),"")</f>
        <v/>
      </c>
      <c r="BF497" s="270" t="str">
        <f>_xlfn.IFNA(VLOOKUP(CONCATENATE(BF$4,$C497),'INSER DATA'!$A:$F,7,0),"")</f>
        <v/>
      </c>
      <c r="BG497" s="270" t="str">
        <f>_xlfn.IFNA(VLOOKUP(CONCATENATE(BG$4,$C497),'INSER DATA'!$A:$F,7,0),"")</f>
        <v/>
      </c>
      <c r="BH497" s="270" t="str">
        <f>_xlfn.IFNA(VLOOKUP(CONCATENATE(BH$4,$C497),'INSER DATA'!$A:$F,7,0),"")</f>
        <v/>
      </c>
      <c r="BI497" s="270" t="str">
        <f>_xlfn.IFNA(VLOOKUP(CONCATENATE(BI$4,$C497),'INSER DATA'!$A:$F,7,0),"")</f>
        <v/>
      </c>
      <c r="BJ497" s="270" t="str">
        <f>_xlfn.IFNA(VLOOKUP(CONCATENATE(BJ$4,$C497),'INSER DATA'!$A:$F,7,0),"")</f>
        <v/>
      </c>
      <c r="BK497" s="270" t="str">
        <f>_xlfn.IFNA(VLOOKUP(CONCATENATE(BK$4,$C497),'INSER DATA'!$A:$F,7,0),"")</f>
        <v/>
      </c>
      <c r="BL497" s="272"/>
      <c r="BM497" s="30"/>
      <c r="BN497" s="30"/>
      <c r="BO497" s="30"/>
      <c r="BP497" s="30"/>
      <c r="BQ497" s="30"/>
      <c r="BR497" s="30"/>
      <c r="BS497" s="30"/>
      <c r="BT497" s="30"/>
      <c r="BU497" s="30"/>
      <c r="BV497" s="30"/>
      <c r="BW497" s="30"/>
      <c r="BX497" s="30"/>
      <c r="BY497" s="30"/>
      <c r="BZ497" s="30"/>
      <c r="CA497" s="30"/>
      <c r="CB497" s="30"/>
      <c r="CC497" s="30"/>
      <c r="CD497" s="30"/>
      <c r="CE497" s="30"/>
      <c r="CF497" s="30"/>
      <c r="CG497" s="30"/>
      <c r="CH497" s="30"/>
      <c r="CI497" s="30"/>
      <c r="CJ497" s="30"/>
      <c r="CK497" s="30"/>
      <c r="CL497" s="30"/>
      <c r="CM497" s="30"/>
      <c r="CN497" s="30"/>
      <c r="CO497" s="30"/>
      <c r="CP497" s="30"/>
      <c r="CQ497" s="30"/>
      <c r="CR497" s="30"/>
      <c r="CS497" s="30"/>
      <c r="CT497" s="30"/>
      <c r="CU497" s="30"/>
      <c r="CV497" s="30"/>
      <c r="CW497" s="30"/>
      <c r="CX497" s="30"/>
      <c r="CY497" s="30"/>
      <c r="CZ497" s="30"/>
      <c r="DA497" s="30"/>
    </row>
    <row r="498" spans="1:105" ht="19.2" thickTop="1" thickBot="1" x14ac:dyDescent="0.4">
      <c r="A498" s="30"/>
      <c r="B498" s="30"/>
      <c r="C498" s="188" t="s">
        <v>973</v>
      </c>
      <c r="D498" s="187" t="s">
        <v>967</v>
      </c>
      <c r="E498" s="35" t="str">
        <f>_xlfn.XLOOKUP(Tabella4[[#This Row],[NOME]],'ROSE SQUADRE'!$N$3:$N$253,'ROSE SQUADRE'!$O$3:$O$253,"")</f>
        <v/>
      </c>
      <c r="F498" s="36" t="s">
        <v>161</v>
      </c>
      <c r="G498" s="43">
        <v>2</v>
      </c>
      <c r="H498" s="43">
        <v>2</v>
      </c>
      <c r="I498" s="44">
        <f t="shared" si="44"/>
        <v>0</v>
      </c>
      <c r="J498" s="37">
        <f t="shared" si="45"/>
        <v>2</v>
      </c>
      <c r="K498" s="178">
        <f t="shared" si="46"/>
        <v>5.75</v>
      </c>
      <c r="L498" s="178">
        <f t="shared" si="47"/>
        <v>5.75</v>
      </c>
      <c r="M498" s="179">
        <f t="shared" si="48"/>
        <v>11.5</v>
      </c>
      <c r="N498" s="45">
        <f t="shared" ca="1" si="49"/>
        <v>0</v>
      </c>
      <c r="O498" s="40">
        <f>SUMIF(Tabella1[Nome],Tabella4[[#This Row],[NOME]],Tabella1[Gf])</f>
        <v>0</v>
      </c>
      <c r="P498" s="40">
        <f>-(SUMIF(Tabella1[Nome],Tabella4[[#This Row],[NOME]],Tabella1[Gs]))</f>
        <v>0</v>
      </c>
      <c r="Q498" s="40">
        <f>SUMIF(Tabella1[Nome],Tabella4[[#This Row],[NOME]],Tabella1[Rp])</f>
        <v>0</v>
      </c>
      <c r="R498" s="40">
        <f>SUMIF(Tabella1[Nome],Tabella4[[#This Row],[NOME]],Tabella1[Rs])</f>
        <v>0</v>
      </c>
      <c r="S498" s="40">
        <f>SUMIF(Tabella1[Nome],Tabella4[[#This Row],[NOME]],Tabella1[Rf])</f>
        <v>0</v>
      </c>
      <c r="T498" s="40">
        <f>SUMIF(Tabella1[Nome],Tabella4[[#This Row],[NOME]],Tabella1[Au])</f>
        <v>0</v>
      </c>
      <c r="U498" s="41">
        <f>SUMIF(Tabella1[Nome],Tabella4[[#This Row],[NOME]],Tabella1[Amm])</f>
        <v>0</v>
      </c>
      <c r="V498" s="42">
        <f>SUMIF(Tabella1[Nome],Tabella4[[#This Row],[NOME]],Tabella1[Esp])</f>
        <v>0</v>
      </c>
      <c r="W498" s="40">
        <f>SUMIF(Tabella1[Nome],Tabella4[[#This Row],[NOME]],Tabella1[Ass])</f>
        <v>0</v>
      </c>
      <c r="X498" s="40">
        <f>SUMIF(Tabella1[Nome],Tabella4[[#This Row],[NOME]],Tabella1[Gdv])</f>
        <v>0</v>
      </c>
      <c r="Y498" s="40">
        <f>SUMIF(Tabella1[Nome],Tabella4[[#This Row],[NOME]],Tabella1[cl sh])</f>
        <v>0</v>
      </c>
      <c r="Z498" s="270">
        <f>_xlfn.IFNA(_xlfn.XLOOKUP(CONCATENATE(Z$4,$C498),Tabella1[CONC X VOTI IN TAB GIOC],Tabella1[Voto],""),"")</f>
        <v>5.5</v>
      </c>
      <c r="AA498" s="270">
        <f>_xlfn.IFNA(_xlfn.XLOOKUP(CONCATENATE(AA$4,$C498),Tabella1[CONC X VOTI IN TAB GIOC],Tabella1[Voto],""),"")</f>
        <v>6</v>
      </c>
      <c r="AB498" s="270" t="str">
        <f>_xlfn.IFNA(_xlfn.XLOOKUP(CONCATENATE(AB$4,$C498),Tabella1[CONC X VOTI IN TAB GIOC],Tabella1[Voto]),"")</f>
        <v/>
      </c>
      <c r="AC498" s="270" t="str" cm="1">
        <f t="array" ref="AC498">_xlfn.IFNA(_xlfn.XLOOKUP(CONCATENATE(AC$4,$C498),INDEX(Tabella1[],0,MATCH("CONC X VOTI IN TAB GIOC",Tabella1[#Headers],0)),INDEX(Tabella1[],0,MATCH("Voto",Tabella1[#Headers],0))),"")</f>
        <v/>
      </c>
      <c r="AD498" s="270" t="str">
        <f>_xlfn.IFNA(_xlfn.XLOOKUP(CONCATENATE(AD$4,$C498),Tabella1[CONC X VOTI IN TAB GIOC],Tabella1[Voto]),"")</f>
        <v/>
      </c>
      <c r="AE498" s="270" t="str">
        <f>_xlfn.IFNA(VLOOKUP(CONCATENATE(AE$4,$C498),'INSER DATA'!$A:$F,6,0),"")</f>
        <v/>
      </c>
      <c r="AF498" s="270" t="str">
        <f>_xlfn.IFNA(VLOOKUP(CONCATENATE(AF$4,$C498),'INSER DATA'!$A:$F,6,0),"")</f>
        <v/>
      </c>
      <c r="AG498" s="270" t="str">
        <f>_xlfn.IFNA(VLOOKUP(CONCATENATE(AG$4,$C498),'INSER DATA'!$A:$F,6,0),"")</f>
        <v/>
      </c>
      <c r="AH498" s="270" t="str">
        <f>_xlfn.IFNA(VLOOKUP(CONCATENATE(AH$4,$C498),'INSER DATA'!$A:$F,7,0),"")</f>
        <v/>
      </c>
      <c r="AI498" s="270" t="str">
        <f>_xlfn.IFNA(VLOOKUP(CONCATENATE(AI$4,$C498),'INSER DATA'!$A:$F,7,0),"")</f>
        <v/>
      </c>
      <c r="AJ498" s="270" t="str">
        <f>_xlfn.IFNA(VLOOKUP(CONCATENATE(AJ$4,$C498),'INSER DATA'!$A:$F,7,0),"")</f>
        <v/>
      </c>
      <c r="AK498" s="270" t="str">
        <f>_xlfn.IFNA(VLOOKUP(CONCATENATE(AK$4,$C498),'INSER DATA'!$A:$F,7,0),"")</f>
        <v/>
      </c>
      <c r="AL498" s="270" t="str">
        <f>_xlfn.IFNA(VLOOKUP(CONCATENATE(AL$4,$C498),'INSER DATA'!$A:$F,7,0),"")</f>
        <v/>
      </c>
      <c r="AM498" s="270" t="str">
        <f>_xlfn.IFNA(VLOOKUP(CONCATENATE(AM$4,$C498),'INSER DATA'!$A:$F,7,0),"")</f>
        <v/>
      </c>
      <c r="AN498" s="270" t="str">
        <f>_xlfn.IFNA(VLOOKUP(CONCATENATE(AN$4,$C498),'INSER DATA'!$A:$F,7,0),"")</f>
        <v/>
      </c>
      <c r="AO498" s="270" t="str">
        <f>_xlfn.IFNA(VLOOKUP(CONCATENATE(AO$4,$C498),'INSER DATA'!$A:$F,7,0),"")</f>
        <v/>
      </c>
      <c r="AP498" s="270" t="str">
        <f>_xlfn.IFNA(VLOOKUP(CONCATENATE(AP$4,$C498),'INSER DATA'!$A:$F,7,0),"")</f>
        <v/>
      </c>
      <c r="AQ498" s="270" t="str">
        <f>_xlfn.IFNA(VLOOKUP(CONCATENATE(AQ$4,$C498),'INSER DATA'!$A:$F,7,0),"")</f>
        <v/>
      </c>
      <c r="AR498" s="270" t="str">
        <f>_xlfn.IFNA(VLOOKUP(CONCATENATE(AR$4,$C498),'INSER DATA'!$A:$F,7,0),"")</f>
        <v/>
      </c>
      <c r="AS498" s="270" t="str">
        <f>_xlfn.IFNA(VLOOKUP(CONCATENATE(AS$4,$C498),'INSER DATA'!$A:$F,7,0),"")</f>
        <v/>
      </c>
      <c r="AT498" s="270" t="str">
        <f>_xlfn.IFNA(VLOOKUP(CONCATENATE(AT$4,$C498),'INSER DATA'!$A:$F,7,0),"")</f>
        <v/>
      </c>
      <c r="AU498" s="270" t="str">
        <f>_xlfn.IFNA(VLOOKUP(CONCATENATE(AU$4,$C498),'INSER DATA'!$A:$F,7,0),"")</f>
        <v/>
      </c>
      <c r="AV498" s="270" t="str">
        <f>_xlfn.IFNA(VLOOKUP(CONCATENATE(AV$4,$C498),'INSER DATA'!$A:$F,7,0),"")</f>
        <v/>
      </c>
      <c r="AW498" s="270" t="str">
        <f>_xlfn.IFNA(VLOOKUP(CONCATENATE(AW$4,$C498),'INSER DATA'!$A:$F,7,0),"")</f>
        <v/>
      </c>
      <c r="AX498" s="270" t="str">
        <f>_xlfn.IFNA(VLOOKUP(CONCATENATE(AX$4,$C498),'INSER DATA'!$A:$F,7,0),"")</f>
        <v/>
      </c>
      <c r="AY498" s="270" t="str">
        <f>_xlfn.IFNA(VLOOKUP(CONCATENATE(AY$4,$C498),'INSER DATA'!$A:$F,7,0),"")</f>
        <v/>
      </c>
      <c r="AZ498" s="270" t="str">
        <f>_xlfn.IFNA(VLOOKUP(CONCATENATE(AZ$4,$C498),'INSER DATA'!$A:$F,7,0),"")</f>
        <v/>
      </c>
      <c r="BA498" s="270" t="str">
        <f>_xlfn.IFNA(VLOOKUP(CONCATENATE(BA$4,$C498),'INSER DATA'!$A:$F,7,0),"")</f>
        <v/>
      </c>
      <c r="BB498" s="270" t="str">
        <f>_xlfn.IFNA(VLOOKUP(CONCATENATE(BB$4,$C498),'INSER DATA'!$A:$F,7,0),"")</f>
        <v/>
      </c>
      <c r="BC498" s="270" t="str">
        <f>_xlfn.IFNA(VLOOKUP(CONCATENATE(BC$4,$C498),'INSER DATA'!$A:$F,7,0),"")</f>
        <v/>
      </c>
      <c r="BD498" s="270" t="str">
        <f>_xlfn.IFNA(VLOOKUP(CONCATENATE(BD$4,$C498),'INSER DATA'!$A:$F,7,0),"")</f>
        <v/>
      </c>
      <c r="BE498" s="270" t="str">
        <f>_xlfn.IFNA(VLOOKUP(CONCATENATE(BE$4,$C498),'INSER DATA'!$A:$F,7,0),"")</f>
        <v/>
      </c>
      <c r="BF498" s="270" t="str">
        <f>_xlfn.IFNA(VLOOKUP(CONCATENATE(BF$4,$C498),'INSER DATA'!$A:$F,7,0),"")</f>
        <v/>
      </c>
      <c r="BG498" s="270" t="str">
        <f>_xlfn.IFNA(VLOOKUP(CONCATENATE(BG$4,$C498),'INSER DATA'!$A:$F,7,0),"")</f>
        <v/>
      </c>
      <c r="BH498" s="270" t="str">
        <f>_xlfn.IFNA(VLOOKUP(CONCATENATE(BH$4,$C498),'INSER DATA'!$A:$F,7,0),"")</f>
        <v/>
      </c>
      <c r="BI498" s="270" t="str">
        <f>_xlfn.IFNA(VLOOKUP(CONCATENATE(BI$4,$C498),'INSER DATA'!$A:$F,7,0),"")</f>
        <v/>
      </c>
      <c r="BJ498" s="270" t="str">
        <f>_xlfn.IFNA(VLOOKUP(CONCATENATE(BJ$4,$C498),'INSER DATA'!$A:$F,7,0),"")</f>
        <v/>
      </c>
      <c r="BK498" s="270" t="str">
        <f>_xlfn.IFNA(VLOOKUP(CONCATENATE(BK$4,$C498),'INSER DATA'!$A:$F,7,0),"")</f>
        <v/>
      </c>
      <c r="BL498" s="272"/>
      <c r="BM498" s="30"/>
      <c r="BN498" s="30"/>
      <c r="BO498" s="30"/>
      <c r="BP498" s="30"/>
      <c r="BQ498" s="30"/>
      <c r="BR498" s="30"/>
      <c r="BS498" s="30"/>
      <c r="BT498" s="30"/>
      <c r="BU498" s="30"/>
      <c r="BV498" s="30"/>
      <c r="BW498" s="30"/>
      <c r="BX498" s="30"/>
      <c r="BY498" s="30"/>
      <c r="BZ498" s="30"/>
      <c r="CA498" s="30"/>
      <c r="CB498" s="30"/>
      <c r="CC498" s="30"/>
      <c r="CD498" s="30"/>
      <c r="CE498" s="30"/>
      <c r="CF498" s="30"/>
      <c r="CG498" s="30"/>
      <c r="CH498" s="30"/>
      <c r="CI498" s="30"/>
      <c r="CJ498" s="30"/>
      <c r="CK498" s="30"/>
      <c r="CL498" s="30"/>
      <c r="CM498" s="30"/>
      <c r="CN498" s="30"/>
      <c r="CO498" s="30"/>
      <c r="CP498" s="30"/>
      <c r="CQ498" s="30"/>
      <c r="CR498" s="30"/>
      <c r="CS498" s="30"/>
      <c r="CT498" s="30"/>
      <c r="CU498" s="30"/>
      <c r="CV498" s="30"/>
      <c r="CW498" s="30"/>
      <c r="CX498" s="30"/>
      <c r="CY498" s="30"/>
      <c r="CZ498" s="30"/>
      <c r="DA498" s="30"/>
    </row>
    <row r="499" spans="1:105" ht="19.2" thickTop="1" thickBot="1" x14ac:dyDescent="0.4">
      <c r="A499" s="30"/>
      <c r="B499" s="30"/>
      <c r="C499" s="185" t="s">
        <v>563</v>
      </c>
      <c r="D499" s="46" t="s">
        <v>967</v>
      </c>
      <c r="E499" s="35" t="str">
        <f>_xlfn.XLOOKUP(Tabella4[[#This Row],[NOME]],'ROSE SQUADRE'!$N$3:$N$253,'ROSE SQUADRE'!$O$3:$O$253,"")</f>
        <v/>
      </c>
      <c r="F499" s="36" t="s">
        <v>161</v>
      </c>
      <c r="G499" s="43">
        <v>3</v>
      </c>
      <c r="H499" s="43">
        <v>3</v>
      </c>
      <c r="I499" s="44">
        <f t="shared" si="44"/>
        <v>0</v>
      </c>
      <c r="J499" s="37">
        <f t="shared" si="45"/>
        <v>4</v>
      </c>
      <c r="K499" s="178">
        <f t="shared" si="46"/>
        <v>6.125</v>
      </c>
      <c r="L499" s="178">
        <f t="shared" si="47"/>
        <v>7.125</v>
      </c>
      <c r="M499" s="179">
        <f t="shared" si="48"/>
        <v>28.5</v>
      </c>
      <c r="N499" s="45">
        <f t="shared" ca="1" si="49"/>
        <v>0</v>
      </c>
      <c r="O499" s="40">
        <f>SUMIF(Tabella1[Nome],Tabella4[[#This Row],[NOME]],Tabella1[Gf])</f>
        <v>1</v>
      </c>
      <c r="P499" s="40">
        <f>-(SUMIF(Tabella1[Nome],Tabella4[[#This Row],[NOME]],Tabella1[Gs]))</f>
        <v>0</v>
      </c>
      <c r="Q499" s="40">
        <f>SUMIF(Tabella1[Nome],Tabella4[[#This Row],[NOME]],Tabella1[Rp])</f>
        <v>0</v>
      </c>
      <c r="R499" s="40">
        <f>SUMIF(Tabella1[Nome],Tabella4[[#This Row],[NOME]],Tabella1[Rs])</f>
        <v>0</v>
      </c>
      <c r="S499" s="40">
        <f>SUMIF(Tabella1[Nome],Tabella4[[#This Row],[NOME]],Tabella1[Rf])</f>
        <v>0</v>
      </c>
      <c r="T499" s="40">
        <f>SUMIF(Tabella1[Nome],Tabella4[[#This Row],[NOME]],Tabella1[Au])</f>
        <v>0</v>
      </c>
      <c r="U499" s="41">
        <f>SUMIF(Tabella1[Nome],Tabella4[[#This Row],[NOME]],Tabella1[Amm])</f>
        <v>0</v>
      </c>
      <c r="V499" s="42">
        <f>SUMIF(Tabella1[Nome],Tabella4[[#This Row],[NOME]],Tabella1[Esp])</f>
        <v>0</v>
      </c>
      <c r="W499" s="40">
        <f>SUMIF(Tabella1[Nome],Tabella4[[#This Row],[NOME]],Tabella1[Ass])</f>
        <v>1</v>
      </c>
      <c r="X499" s="40">
        <f>SUMIF(Tabella1[Nome],Tabella4[[#This Row],[NOME]],Tabella1[Gdv])</f>
        <v>0</v>
      </c>
      <c r="Y499" s="40">
        <f>SUMIF(Tabella1[Nome],Tabella4[[#This Row],[NOME]],Tabella1[cl sh])</f>
        <v>0</v>
      </c>
      <c r="Z499" s="270">
        <f>_xlfn.IFNA(_xlfn.XLOOKUP(CONCATENATE(Z$4,$C499),Tabella1[CONC X VOTI IN TAB GIOC],Tabella1[Voto],""),"")</f>
        <v>5.5</v>
      </c>
      <c r="AA499" s="270">
        <f>_xlfn.IFNA(_xlfn.XLOOKUP(CONCATENATE(AA$4,$C499),Tabella1[CONC X VOTI IN TAB GIOC],Tabella1[Voto],""),"")</f>
        <v>6</v>
      </c>
      <c r="AB499" s="270">
        <f>_xlfn.IFNA(_xlfn.XLOOKUP(CONCATENATE(AB$4,$C499),Tabella1[CONC X VOTI IN TAB GIOC],Tabella1[Voto]),"")</f>
        <v>6.5</v>
      </c>
      <c r="AC499" s="270" cm="1">
        <f t="array" ref="AC499">_xlfn.IFNA(_xlfn.XLOOKUP(CONCATENATE(AC$4,$C499),INDEX(Tabella1[],0,MATCH("CONC X VOTI IN TAB GIOC",Tabella1[#Headers],0)),INDEX(Tabella1[],0,MATCH("Voto",Tabella1[#Headers],0))),"")</f>
        <v>6.5</v>
      </c>
      <c r="AD499" s="270" t="str">
        <f>_xlfn.IFNA(_xlfn.XLOOKUP(CONCATENATE(AD$4,$C499),Tabella1[CONC X VOTI IN TAB GIOC],Tabella1[Voto]),"")</f>
        <v/>
      </c>
      <c r="AE499" s="270" t="str">
        <f>_xlfn.IFNA(VLOOKUP(CONCATENATE(AE$4,$C499),'INSER DATA'!$A:$F,6,0),"")</f>
        <v/>
      </c>
      <c r="AF499" s="270" t="str">
        <f>_xlfn.IFNA(VLOOKUP(CONCATENATE(AF$4,$C499),'INSER DATA'!$A:$F,6,0),"")</f>
        <v/>
      </c>
      <c r="AG499" s="270" t="str">
        <f>_xlfn.IFNA(VLOOKUP(CONCATENATE(AG$4,$C499),'INSER DATA'!$A:$F,6,0),"")</f>
        <v/>
      </c>
      <c r="AH499" s="270" t="str">
        <f>_xlfn.IFNA(VLOOKUP(CONCATENATE(AH$4,$C499),'INSER DATA'!$A:$F,7,0),"")</f>
        <v/>
      </c>
      <c r="AI499" s="270" t="str">
        <f>_xlfn.IFNA(VLOOKUP(CONCATENATE(AI$4,$C499),'INSER DATA'!$A:$F,7,0),"")</f>
        <v/>
      </c>
      <c r="AJ499" s="270" t="str">
        <f>_xlfn.IFNA(VLOOKUP(CONCATENATE(AJ$4,$C499),'INSER DATA'!$A:$F,7,0),"")</f>
        <v/>
      </c>
      <c r="AK499" s="270" t="str">
        <f>_xlfn.IFNA(VLOOKUP(CONCATENATE(AK$4,$C499),'INSER DATA'!$A:$F,7,0),"")</f>
        <v/>
      </c>
      <c r="AL499" s="270" t="str">
        <f>_xlfn.IFNA(VLOOKUP(CONCATENATE(AL$4,$C499),'INSER DATA'!$A:$F,7,0),"")</f>
        <v/>
      </c>
      <c r="AM499" s="270" t="str">
        <f>_xlfn.IFNA(VLOOKUP(CONCATENATE(AM$4,$C499),'INSER DATA'!$A:$F,7,0),"")</f>
        <v/>
      </c>
      <c r="AN499" s="270" t="str">
        <f>_xlfn.IFNA(VLOOKUP(CONCATENATE(AN$4,$C499),'INSER DATA'!$A:$F,7,0),"")</f>
        <v/>
      </c>
      <c r="AO499" s="270" t="str">
        <f>_xlfn.IFNA(VLOOKUP(CONCATENATE(AO$4,$C499),'INSER DATA'!$A:$F,7,0),"")</f>
        <v/>
      </c>
      <c r="AP499" s="270" t="str">
        <f>_xlfn.IFNA(VLOOKUP(CONCATENATE(AP$4,$C499),'INSER DATA'!$A:$F,7,0),"")</f>
        <v/>
      </c>
      <c r="AQ499" s="270" t="str">
        <f>_xlfn.IFNA(VLOOKUP(CONCATENATE(AQ$4,$C499),'INSER DATA'!$A:$F,7,0),"")</f>
        <v/>
      </c>
      <c r="AR499" s="270" t="str">
        <f>_xlfn.IFNA(VLOOKUP(CONCATENATE(AR$4,$C499),'INSER DATA'!$A:$F,7,0),"")</f>
        <v/>
      </c>
      <c r="AS499" s="270" t="str">
        <f>_xlfn.IFNA(VLOOKUP(CONCATENATE(AS$4,$C499),'INSER DATA'!$A:$F,7,0),"")</f>
        <v/>
      </c>
      <c r="AT499" s="270" t="str">
        <f>_xlfn.IFNA(VLOOKUP(CONCATENATE(AT$4,$C499),'INSER DATA'!$A:$F,7,0),"")</f>
        <v/>
      </c>
      <c r="AU499" s="270" t="str">
        <f>_xlfn.IFNA(VLOOKUP(CONCATENATE(AU$4,$C499),'INSER DATA'!$A:$F,7,0),"")</f>
        <v/>
      </c>
      <c r="AV499" s="270" t="str">
        <f>_xlfn.IFNA(VLOOKUP(CONCATENATE(AV$4,$C499),'INSER DATA'!$A:$F,7,0),"")</f>
        <v/>
      </c>
      <c r="AW499" s="270" t="str">
        <f>_xlfn.IFNA(VLOOKUP(CONCATENATE(AW$4,$C499),'INSER DATA'!$A:$F,7,0),"")</f>
        <v/>
      </c>
      <c r="AX499" s="270" t="str">
        <f>_xlfn.IFNA(VLOOKUP(CONCATENATE(AX$4,$C499),'INSER DATA'!$A:$F,7,0),"")</f>
        <v/>
      </c>
      <c r="AY499" s="270" t="str">
        <f>_xlfn.IFNA(VLOOKUP(CONCATENATE(AY$4,$C499),'INSER DATA'!$A:$F,7,0),"")</f>
        <v/>
      </c>
      <c r="AZ499" s="270" t="str">
        <f>_xlfn.IFNA(VLOOKUP(CONCATENATE(AZ$4,$C499),'INSER DATA'!$A:$F,7,0),"")</f>
        <v/>
      </c>
      <c r="BA499" s="270" t="str">
        <f>_xlfn.IFNA(VLOOKUP(CONCATENATE(BA$4,$C499),'INSER DATA'!$A:$F,7,0),"")</f>
        <v/>
      </c>
      <c r="BB499" s="270" t="str">
        <f>_xlfn.IFNA(VLOOKUP(CONCATENATE(BB$4,$C499),'INSER DATA'!$A:$F,7,0),"")</f>
        <v/>
      </c>
      <c r="BC499" s="270" t="str">
        <f>_xlfn.IFNA(VLOOKUP(CONCATENATE(BC$4,$C499),'INSER DATA'!$A:$F,7,0),"")</f>
        <v/>
      </c>
      <c r="BD499" s="270" t="str">
        <f>_xlfn.IFNA(VLOOKUP(CONCATENATE(BD$4,$C499),'INSER DATA'!$A:$F,7,0),"")</f>
        <v/>
      </c>
      <c r="BE499" s="270" t="str">
        <f>_xlfn.IFNA(VLOOKUP(CONCATENATE(BE$4,$C499),'INSER DATA'!$A:$F,7,0),"")</f>
        <v/>
      </c>
      <c r="BF499" s="270" t="str">
        <f>_xlfn.IFNA(VLOOKUP(CONCATENATE(BF$4,$C499),'INSER DATA'!$A:$F,7,0),"")</f>
        <v/>
      </c>
      <c r="BG499" s="270" t="str">
        <f>_xlfn.IFNA(VLOOKUP(CONCATENATE(BG$4,$C499),'INSER DATA'!$A:$F,7,0),"")</f>
        <v/>
      </c>
      <c r="BH499" s="270" t="str">
        <f>_xlfn.IFNA(VLOOKUP(CONCATENATE(BH$4,$C499),'INSER DATA'!$A:$F,7,0),"")</f>
        <v/>
      </c>
      <c r="BI499" s="270" t="str">
        <f>_xlfn.IFNA(VLOOKUP(CONCATENATE(BI$4,$C499),'INSER DATA'!$A:$F,7,0),"")</f>
        <v/>
      </c>
      <c r="BJ499" s="270" t="str">
        <f>_xlfn.IFNA(VLOOKUP(CONCATENATE(BJ$4,$C499),'INSER DATA'!$A:$F,7,0),"")</f>
        <v/>
      </c>
      <c r="BK499" s="270" t="str">
        <f>_xlfn.IFNA(VLOOKUP(CONCATENATE(BK$4,$C499),'INSER DATA'!$A:$F,7,0),"")</f>
        <v/>
      </c>
      <c r="BL499" s="272"/>
      <c r="BM499" s="30"/>
      <c r="BN499" s="30"/>
      <c r="BO499" s="30"/>
      <c r="BP499" s="30"/>
      <c r="BQ499" s="30"/>
      <c r="BR499" s="30"/>
      <c r="BS499" s="30"/>
      <c r="BT499" s="30"/>
      <c r="BU499" s="30"/>
      <c r="BV499" s="30"/>
      <c r="BW499" s="30"/>
      <c r="BX499" s="30"/>
      <c r="BY499" s="30"/>
      <c r="BZ499" s="30"/>
      <c r="CA499" s="30"/>
      <c r="CB499" s="30"/>
      <c r="CC499" s="30"/>
      <c r="CD499" s="30"/>
      <c r="CE499" s="30"/>
      <c r="CF499" s="30"/>
      <c r="CG499" s="30"/>
      <c r="CH499" s="30"/>
      <c r="CI499" s="30"/>
      <c r="CJ499" s="30"/>
      <c r="CK499" s="30"/>
      <c r="CL499" s="30"/>
      <c r="CM499" s="30"/>
      <c r="CN499" s="30"/>
      <c r="CO499" s="30"/>
      <c r="CP499" s="30"/>
      <c r="CQ499" s="30"/>
      <c r="CR499" s="30"/>
      <c r="CS499" s="30"/>
      <c r="CT499" s="30"/>
      <c r="CU499" s="30"/>
      <c r="CV499" s="30"/>
      <c r="CW499" s="30"/>
      <c r="CX499" s="30"/>
      <c r="CY499" s="30"/>
      <c r="CZ499" s="30"/>
      <c r="DA499" s="30"/>
    </row>
    <row r="500" spans="1:105" ht="19.2" thickTop="1" thickBot="1" x14ac:dyDescent="0.4">
      <c r="A500" s="30"/>
      <c r="B500" s="30"/>
      <c r="C500" s="188" t="s">
        <v>978</v>
      </c>
      <c r="D500" s="187" t="s">
        <v>967</v>
      </c>
      <c r="E500" s="35" t="str">
        <f>_xlfn.XLOOKUP(Tabella4[[#This Row],[NOME]],'ROSE SQUADRE'!$N$3:$N$253,'ROSE SQUADRE'!$O$3:$O$253,"")</f>
        <v/>
      </c>
      <c r="F500" s="36" t="s">
        <v>162</v>
      </c>
      <c r="G500" s="43">
        <v>6</v>
      </c>
      <c r="H500" s="43">
        <v>6</v>
      </c>
      <c r="I500" s="44">
        <f t="shared" si="44"/>
        <v>0</v>
      </c>
      <c r="J500" s="37">
        <f t="shared" si="45"/>
        <v>2</v>
      </c>
      <c r="K500" s="178">
        <f t="shared" si="46"/>
        <v>5.75</v>
      </c>
      <c r="L500" s="178">
        <f t="shared" si="47"/>
        <v>5.75</v>
      </c>
      <c r="M500" s="179">
        <f t="shared" si="48"/>
        <v>11.5</v>
      </c>
      <c r="N500" s="45">
        <f t="shared" ca="1" si="49"/>
        <v>0</v>
      </c>
      <c r="O500" s="40">
        <f>SUMIF(Tabella1[Nome],Tabella4[[#This Row],[NOME]],Tabella1[Gf])</f>
        <v>0</v>
      </c>
      <c r="P500" s="40">
        <f>-(SUMIF(Tabella1[Nome],Tabella4[[#This Row],[NOME]],Tabella1[Gs]))</f>
        <v>0</v>
      </c>
      <c r="Q500" s="40">
        <f>SUMIF(Tabella1[Nome],Tabella4[[#This Row],[NOME]],Tabella1[Rp])</f>
        <v>0</v>
      </c>
      <c r="R500" s="40">
        <f>SUMIF(Tabella1[Nome],Tabella4[[#This Row],[NOME]],Tabella1[Rs])</f>
        <v>0</v>
      </c>
      <c r="S500" s="40">
        <f>SUMIF(Tabella1[Nome],Tabella4[[#This Row],[NOME]],Tabella1[Rf])</f>
        <v>0</v>
      </c>
      <c r="T500" s="40">
        <f>SUMIF(Tabella1[Nome],Tabella4[[#This Row],[NOME]],Tabella1[Au])</f>
        <v>0</v>
      </c>
      <c r="U500" s="41">
        <f>SUMIF(Tabella1[Nome],Tabella4[[#This Row],[NOME]],Tabella1[Amm])</f>
        <v>0</v>
      </c>
      <c r="V500" s="42">
        <f>SUMIF(Tabella1[Nome],Tabella4[[#This Row],[NOME]],Tabella1[Esp])</f>
        <v>0</v>
      </c>
      <c r="W500" s="40">
        <f>SUMIF(Tabella1[Nome],Tabella4[[#This Row],[NOME]],Tabella1[Ass])</f>
        <v>0</v>
      </c>
      <c r="X500" s="40">
        <f>SUMIF(Tabella1[Nome],Tabella4[[#This Row],[NOME]],Tabella1[Gdv])</f>
        <v>0</v>
      </c>
      <c r="Y500" s="40">
        <f>SUMIF(Tabella1[Nome],Tabella4[[#This Row],[NOME]],Tabella1[cl sh])</f>
        <v>0</v>
      </c>
      <c r="Z500" s="270">
        <f>_xlfn.IFNA(_xlfn.XLOOKUP(CONCATENATE(Z$4,$C500),Tabella1[CONC X VOTI IN TAB GIOC],Tabella1[Voto],""),"")</f>
        <v>5.5</v>
      </c>
      <c r="AA500" s="270">
        <f>_xlfn.IFNA(_xlfn.XLOOKUP(CONCATENATE(AA$4,$C500),Tabella1[CONC X VOTI IN TAB GIOC],Tabella1[Voto],""),"")</f>
        <v>6</v>
      </c>
      <c r="AB500" s="270" t="str">
        <f>_xlfn.IFNA(_xlfn.XLOOKUP(CONCATENATE(AB$4,$C500),Tabella1[CONC X VOTI IN TAB GIOC],Tabella1[Voto]),"")</f>
        <v/>
      </c>
      <c r="AC500" s="270" t="str" cm="1">
        <f t="array" ref="AC500">_xlfn.IFNA(_xlfn.XLOOKUP(CONCATENATE(AC$4,$C500),INDEX(Tabella1[],0,MATCH("CONC X VOTI IN TAB GIOC",Tabella1[#Headers],0)),INDEX(Tabella1[],0,MATCH("Voto",Tabella1[#Headers],0))),"")</f>
        <v/>
      </c>
      <c r="AD500" s="270" t="str">
        <f>_xlfn.IFNA(_xlfn.XLOOKUP(CONCATENATE(AD$4,$C500),Tabella1[CONC X VOTI IN TAB GIOC],Tabella1[Voto]),"")</f>
        <v/>
      </c>
      <c r="AE500" s="270" t="str">
        <f>_xlfn.IFNA(VLOOKUP(CONCATENATE(AE$4,$C500),'INSER DATA'!$A:$F,6,0),"")</f>
        <v/>
      </c>
      <c r="AF500" s="270" t="str">
        <f>_xlfn.IFNA(VLOOKUP(CONCATENATE(AF$4,$C500),'INSER DATA'!$A:$F,6,0),"")</f>
        <v/>
      </c>
      <c r="AG500" s="270" t="str">
        <f>_xlfn.IFNA(VLOOKUP(CONCATENATE(AG$4,$C500),'INSER DATA'!$A:$F,6,0),"")</f>
        <v/>
      </c>
      <c r="AH500" s="270" t="str">
        <f>_xlfn.IFNA(VLOOKUP(CONCATENATE(AH$4,$C500),'INSER DATA'!$A:$F,7,0),"")</f>
        <v/>
      </c>
      <c r="AI500" s="270" t="str">
        <f>_xlfn.IFNA(VLOOKUP(CONCATENATE(AI$4,$C500),'INSER DATA'!$A:$F,7,0),"")</f>
        <v/>
      </c>
      <c r="AJ500" s="270" t="str">
        <f>_xlfn.IFNA(VLOOKUP(CONCATENATE(AJ$4,$C500),'INSER DATA'!$A:$F,7,0),"")</f>
        <v/>
      </c>
      <c r="AK500" s="270" t="str">
        <f>_xlfn.IFNA(VLOOKUP(CONCATENATE(AK$4,$C500),'INSER DATA'!$A:$F,7,0),"")</f>
        <v/>
      </c>
      <c r="AL500" s="270" t="str">
        <f>_xlfn.IFNA(VLOOKUP(CONCATENATE(AL$4,$C500),'INSER DATA'!$A:$F,7,0),"")</f>
        <v/>
      </c>
      <c r="AM500" s="270" t="str">
        <f>_xlfn.IFNA(VLOOKUP(CONCATENATE(AM$4,$C500),'INSER DATA'!$A:$F,7,0),"")</f>
        <v/>
      </c>
      <c r="AN500" s="270" t="str">
        <f>_xlfn.IFNA(VLOOKUP(CONCATENATE(AN$4,$C500),'INSER DATA'!$A:$F,7,0),"")</f>
        <v/>
      </c>
      <c r="AO500" s="270" t="str">
        <f>_xlfn.IFNA(VLOOKUP(CONCATENATE(AO$4,$C500),'INSER DATA'!$A:$F,7,0),"")</f>
        <v/>
      </c>
      <c r="AP500" s="270" t="str">
        <f>_xlfn.IFNA(VLOOKUP(CONCATENATE(AP$4,$C500),'INSER DATA'!$A:$F,7,0),"")</f>
        <v/>
      </c>
      <c r="AQ500" s="270" t="str">
        <f>_xlfn.IFNA(VLOOKUP(CONCATENATE(AQ$4,$C500),'INSER DATA'!$A:$F,7,0),"")</f>
        <v/>
      </c>
      <c r="AR500" s="270" t="str">
        <f>_xlfn.IFNA(VLOOKUP(CONCATENATE(AR$4,$C500),'INSER DATA'!$A:$F,7,0),"")</f>
        <v/>
      </c>
      <c r="AS500" s="270" t="str">
        <f>_xlfn.IFNA(VLOOKUP(CONCATENATE(AS$4,$C500),'INSER DATA'!$A:$F,7,0),"")</f>
        <v/>
      </c>
      <c r="AT500" s="270" t="str">
        <f>_xlfn.IFNA(VLOOKUP(CONCATENATE(AT$4,$C500),'INSER DATA'!$A:$F,7,0),"")</f>
        <v/>
      </c>
      <c r="AU500" s="270" t="str">
        <f>_xlfn.IFNA(VLOOKUP(CONCATENATE(AU$4,$C500),'INSER DATA'!$A:$F,7,0),"")</f>
        <v/>
      </c>
      <c r="AV500" s="270" t="str">
        <f>_xlfn.IFNA(VLOOKUP(CONCATENATE(AV$4,$C500),'INSER DATA'!$A:$F,7,0),"")</f>
        <v/>
      </c>
      <c r="AW500" s="270" t="str">
        <f>_xlfn.IFNA(VLOOKUP(CONCATENATE(AW$4,$C500),'INSER DATA'!$A:$F,7,0),"")</f>
        <v/>
      </c>
      <c r="AX500" s="270" t="str">
        <f>_xlfn.IFNA(VLOOKUP(CONCATENATE(AX$4,$C500),'INSER DATA'!$A:$F,7,0),"")</f>
        <v/>
      </c>
      <c r="AY500" s="270" t="str">
        <f>_xlfn.IFNA(VLOOKUP(CONCATENATE(AY$4,$C500),'INSER DATA'!$A:$F,7,0),"")</f>
        <v/>
      </c>
      <c r="AZ500" s="270" t="str">
        <f>_xlfn.IFNA(VLOOKUP(CONCATENATE(AZ$4,$C500),'INSER DATA'!$A:$F,7,0),"")</f>
        <v/>
      </c>
      <c r="BA500" s="270" t="str">
        <f>_xlfn.IFNA(VLOOKUP(CONCATENATE(BA$4,$C500),'INSER DATA'!$A:$F,7,0),"")</f>
        <v/>
      </c>
      <c r="BB500" s="270" t="str">
        <f>_xlfn.IFNA(VLOOKUP(CONCATENATE(BB$4,$C500),'INSER DATA'!$A:$F,7,0),"")</f>
        <v/>
      </c>
      <c r="BC500" s="270" t="str">
        <f>_xlfn.IFNA(VLOOKUP(CONCATENATE(BC$4,$C500),'INSER DATA'!$A:$F,7,0),"")</f>
        <v/>
      </c>
      <c r="BD500" s="270" t="str">
        <f>_xlfn.IFNA(VLOOKUP(CONCATENATE(BD$4,$C500),'INSER DATA'!$A:$F,7,0),"")</f>
        <v/>
      </c>
      <c r="BE500" s="270" t="str">
        <f>_xlfn.IFNA(VLOOKUP(CONCATENATE(BE$4,$C500),'INSER DATA'!$A:$F,7,0),"")</f>
        <v/>
      </c>
      <c r="BF500" s="270" t="str">
        <f>_xlfn.IFNA(VLOOKUP(CONCATENATE(BF$4,$C500),'INSER DATA'!$A:$F,7,0),"")</f>
        <v/>
      </c>
      <c r="BG500" s="270" t="str">
        <f>_xlfn.IFNA(VLOOKUP(CONCATENATE(BG$4,$C500),'INSER DATA'!$A:$F,7,0),"")</f>
        <v/>
      </c>
      <c r="BH500" s="270" t="str">
        <f>_xlfn.IFNA(VLOOKUP(CONCATENATE(BH$4,$C500),'INSER DATA'!$A:$F,7,0),"")</f>
        <v/>
      </c>
      <c r="BI500" s="270" t="str">
        <f>_xlfn.IFNA(VLOOKUP(CONCATENATE(BI$4,$C500),'INSER DATA'!$A:$F,7,0),"")</f>
        <v/>
      </c>
      <c r="BJ500" s="270" t="str">
        <f>_xlfn.IFNA(VLOOKUP(CONCATENATE(BJ$4,$C500),'INSER DATA'!$A:$F,7,0),"")</f>
        <v/>
      </c>
      <c r="BK500" s="270" t="str">
        <f>_xlfn.IFNA(VLOOKUP(CONCATENATE(BK$4,$C500),'INSER DATA'!$A:$F,7,0),"")</f>
        <v/>
      </c>
      <c r="BL500" s="272"/>
      <c r="BM500" s="30"/>
      <c r="BN500" s="30"/>
      <c r="BO500" s="30"/>
      <c r="BP500" s="30"/>
      <c r="BQ500" s="30"/>
      <c r="BR500" s="30"/>
      <c r="BS500" s="30"/>
      <c r="BT500" s="30"/>
      <c r="BU500" s="30"/>
      <c r="BV500" s="30"/>
      <c r="BW500" s="30"/>
      <c r="BX500" s="30"/>
      <c r="BY500" s="30"/>
      <c r="BZ500" s="30"/>
      <c r="CA500" s="30"/>
      <c r="CB500" s="30"/>
      <c r="CC500" s="30"/>
      <c r="CD500" s="30"/>
      <c r="CE500" s="30"/>
      <c r="CF500" s="30"/>
      <c r="CG500" s="30"/>
      <c r="CH500" s="30"/>
      <c r="CI500" s="30"/>
      <c r="CJ500" s="30"/>
      <c r="CK500" s="30"/>
      <c r="CL500" s="30"/>
      <c r="CM500" s="30"/>
      <c r="CN500" s="30"/>
      <c r="CO500" s="30"/>
      <c r="CP500" s="30"/>
      <c r="CQ500" s="30"/>
      <c r="CR500" s="30"/>
      <c r="CS500" s="30"/>
      <c r="CT500" s="30"/>
      <c r="CU500" s="30"/>
      <c r="CV500" s="30"/>
      <c r="CW500" s="30"/>
      <c r="CX500" s="30"/>
      <c r="CY500" s="30"/>
      <c r="CZ500" s="30"/>
      <c r="DA500" s="30"/>
    </row>
    <row r="501" spans="1:105" ht="19.2" thickTop="1" thickBot="1" x14ac:dyDescent="0.4">
      <c r="A501" s="30"/>
      <c r="B501" s="30"/>
      <c r="C501" s="188" t="s">
        <v>979</v>
      </c>
      <c r="D501" s="187" t="s">
        <v>967</v>
      </c>
      <c r="E501" s="35" t="str">
        <f>_xlfn.XLOOKUP(Tabella4[[#This Row],[NOME]],'ROSE SQUADRE'!$N$3:$N$253,'ROSE SQUADRE'!$O$3:$O$253,"")</f>
        <v/>
      </c>
      <c r="F501" s="36" t="s">
        <v>162</v>
      </c>
      <c r="G501" s="43">
        <v>5</v>
      </c>
      <c r="H501" s="43">
        <v>5</v>
      </c>
      <c r="I501" s="44">
        <f t="shared" si="44"/>
        <v>0</v>
      </c>
      <c r="J501" s="37">
        <f t="shared" si="45"/>
        <v>4</v>
      </c>
      <c r="K501" s="38">
        <f t="shared" si="46"/>
        <v>6.125</v>
      </c>
      <c r="L501" s="38">
        <f t="shared" si="47"/>
        <v>6.5</v>
      </c>
      <c r="M501" s="39">
        <f t="shared" si="48"/>
        <v>26</v>
      </c>
      <c r="N501" s="45">
        <f t="shared" ca="1" si="49"/>
        <v>0</v>
      </c>
      <c r="O501" s="40">
        <f>SUMIF(Tabella1[Nome],Tabella4[[#This Row],[NOME]],Tabella1[Gf])</f>
        <v>0</v>
      </c>
      <c r="P501" s="40">
        <f>-(SUMIF(Tabella1[Nome],Tabella4[[#This Row],[NOME]],Tabella1[Gs]))</f>
        <v>0</v>
      </c>
      <c r="Q501" s="40">
        <f>SUMIF(Tabella1[Nome],Tabella4[[#This Row],[NOME]],Tabella1[Rp])</f>
        <v>0</v>
      </c>
      <c r="R501" s="40">
        <f>SUMIF(Tabella1[Nome],Tabella4[[#This Row],[NOME]],Tabella1[Rs])</f>
        <v>0</v>
      </c>
      <c r="S501" s="40">
        <f>SUMIF(Tabella1[Nome],Tabella4[[#This Row],[NOME]],Tabella1[Rf])</f>
        <v>0</v>
      </c>
      <c r="T501" s="40">
        <f>SUMIF(Tabella1[Nome],Tabella4[[#This Row],[NOME]],Tabella1[Au])</f>
        <v>0</v>
      </c>
      <c r="U501" s="41">
        <f>SUMIF(Tabella1[Nome],Tabella4[[#This Row],[NOME]],Tabella1[Amm])</f>
        <v>1</v>
      </c>
      <c r="V501" s="42">
        <f>SUMIF(Tabella1[Nome],Tabella4[[#This Row],[NOME]],Tabella1[Esp])</f>
        <v>0</v>
      </c>
      <c r="W501" s="40">
        <f>SUMIF(Tabella1[Nome],Tabella4[[#This Row],[NOME]],Tabella1[Ass])</f>
        <v>2</v>
      </c>
      <c r="X501" s="40">
        <f>SUMIF(Tabella1[Nome],Tabella4[[#This Row],[NOME]],Tabella1[Gdv])</f>
        <v>0</v>
      </c>
      <c r="Y501" s="40">
        <f>SUMIF(Tabella1[Nome],Tabella4[[#This Row],[NOME]],Tabella1[cl sh])</f>
        <v>0</v>
      </c>
      <c r="Z501" s="270">
        <f>_xlfn.IFNA(_xlfn.XLOOKUP(CONCATENATE(Z$4,$C501),Tabella1[CONC X VOTI IN TAB GIOC],Tabella1[Voto],""),"")</f>
        <v>6</v>
      </c>
      <c r="AA501" s="270">
        <f>_xlfn.IFNA(_xlfn.XLOOKUP(CONCATENATE(AA$4,$C501),Tabella1[CONC X VOTI IN TAB GIOC],Tabella1[Voto],""),"")</f>
        <v>5.5</v>
      </c>
      <c r="AB501" s="270">
        <f>_xlfn.IFNA(_xlfn.XLOOKUP(CONCATENATE(AB$4,$C501),Tabella1[CONC X VOTI IN TAB GIOC],Tabella1[Voto]),"")</f>
        <v>6.5</v>
      </c>
      <c r="AC501" s="270" cm="1">
        <f t="array" ref="AC501">_xlfn.IFNA(_xlfn.XLOOKUP(CONCATENATE(AC$4,$C501),INDEX(Tabella1[],0,MATCH("CONC X VOTI IN TAB GIOC",Tabella1[#Headers],0)),INDEX(Tabella1[],0,MATCH("Voto",Tabella1[#Headers],0))),"")</f>
        <v>6.5</v>
      </c>
      <c r="AD501" s="270" t="str">
        <f>_xlfn.IFNA(_xlfn.XLOOKUP(CONCATENATE(AD$4,$C501),Tabella1[CONC X VOTI IN TAB GIOC],Tabella1[Voto]),"")</f>
        <v/>
      </c>
      <c r="AE501" s="270" t="str">
        <f>_xlfn.IFNA(VLOOKUP(CONCATENATE(AE$4,$C501),'INSER DATA'!$A:$F,6,0),"")</f>
        <v/>
      </c>
      <c r="AF501" s="270" t="str">
        <f>_xlfn.IFNA(VLOOKUP(CONCATENATE(AF$4,$C501),'INSER DATA'!$A:$F,6,0),"")</f>
        <v/>
      </c>
      <c r="AG501" s="270" t="str">
        <f>_xlfn.IFNA(VLOOKUP(CONCATENATE(AG$4,$C501),'INSER DATA'!$A:$F,6,0),"")</f>
        <v/>
      </c>
      <c r="AH501" s="270" t="str">
        <f>_xlfn.IFNA(VLOOKUP(CONCATENATE(AH$4,$C501),'INSER DATA'!$A:$F,7,0),"")</f>
        <v/>
      </c>
      <c r="AI501" s="270" t="str">
        <f>_xlfn.IFNA(VLOOKUP(CONCATENATE(AI$4,$C501),'INSER DATA'!$A:$F,7,0),"")</f>
        <v/>
      </c>
      <c r="AJ501" s="270" t="str">
        <f>_xlfn.IFNA(VLOOKUP(CONCATENATE(AJ$4,$C501),'INSER DATA'!$A:$F,7,0),"")</f>
        <v/>
      </c>
      <c r="AK501" s="270" t="str">
        <f>_xlfn.IFNA(VLOOKUP(CONCATENATE(AK$4,$C501),'INSER DATA'!$A:$F,7,0),"")</f>
        <v/>
      </c>
      <c r="AL501" s="270" t="str">
        <f>_xlfn.IFNA(VLOOKUP(CONCATENATE(AL$4,$C501),'INSER DATA'!$A:$F,7,0),"")</f>
        <v/>
      </c>
      <c r="AM501" s="270" t="str">
        <f>_xlfn.IFNA(VLOOKUP(CONCATENATE(AM$4,$C501),'INSER DATA'!$A:$F,7,0),"")</f>
        <v/>
      </c>
      <c r="AN501" s="270" t="str">
        <f>_xlfn.IFNA(VLOOKUP(CONCATENATE(AN$4,$C501),'INSER DATA'!$A:$F,7,0),"")</f>
        <v/>
      </c>
      <c r="AO501" s="270" t="str">
        <f>_xlfn.IFNA(VLOOKUP(CONCATENATE(AO$4,$C501),'INSER DATA'!$A:$F,7,0),"")</f>
        <v/>
      </c>
      <c r="AP501" s="270" t="str">
        <f>_xlfn.IFNA(VLOOKUP(CONCATENATE(AP$4,$C501),'INSER DATA'!$A:$F,7,0),"")</f>
        <v/>
      </c>
      <c r="AQ501" s="270" t="str">
        <f>_xlfn.IFNA(VLOOKUP(CONCATENATE(AQ$4,$C501),'INSER DATA'!$A:$F,7,0),"")</f>
        <v/>
      </c>
      <c r="AR501" s="270" t="str">
        <f>_xlfn.IFNA(VLOOKUP(CONCATENATE(AR$4,$C501),'INSER DATA'!$A:$F,7,0),"")</f>
        <v/>
      </c>
      <c r="AS501" s="270" t="str">
        <f>_xlfn.IFNA(VLOOKUP(CONCATENATE(AS$4,$C501),'INSER DATA'!$A:$F,7,0),"")</f>
        <v/>
      </c>
      <c r="AT501" s="270" t="str">
        <f>_xlfn.IFNA(VLOOKUP(CONCATENATE(AT$4,$C501),'INSER DATA'!$A:$F,7,0),"")</f>
        <v/>
      </c>
      <c r="AU501" s="270" t="str">
        <f>_xlfn.IFNA(VLOOKUP(CONCATENATE(AU$4,$C501),'INSER DATA'!$A:$F,7,0),"")</f>
        <v/>
      </c>
      <c r="AV501" s="270" t="str">
        <f>_xlfn.IFNA(VLOOKUP(CONCATENATE(AV$4,$C501),'INSER DATA'!$A:$F,7,0),"")</f>
        <v/>
      </c>
      <c r="AW501" s="270" t="str">
        <f>_xlfn.IFNA(VLOOKUP(CONCATENATE(AW$4,$C501),'INSER DATA'!$A:$F,7,0),"")</f>
        <v/>
      </c>
      <c r="AX501" s="270" t="str">
        <f>_xlfn.IFNA(VLOOKUP(CONCATENATE(AX$4,$C501),'INSER DATA'!$A:$F,7,0),"")</f>
        <v/>
      </c>
      <c r="AY501" s="270" t="str">
        <f>_xlfn.IFNA(VLOOKUP(CONCATENATE(AY$4,$C501),'INSER DATA'!$A:$F,7,0),"")</f>
        <v/>
      </c>
      <c r="AZ501" s="270" t="str">
        <f>_xlfn.IFNA(VLOOKUP(CONCATENATE(AZ$4,$C501),'INSER DATA'!$A:$F,7,0),"")</f>
        <v/>
      </c>
      <c r="BA501" s="270" t="str">
        <f>_xlfn.IFNA(VLOOKUP(CONCATENATE(BA$4,$C501),'INSER DATA'!$A:$F,7,0),"")</f>
        <v/>
      </c>
      <c r="BB501" s="270" t="str">
        <f>_xlfn.IFNA(VLOOKUP(CONCATENATE(BB$4,$C501),'INSER DATA'!$A:$F,7,0),"")</f>
        <v/>
      </c>
      <c r="BC501" s="270" t="str">
        <f>_xlfn.IFNA(VLOOKUP(CONCATENATE(BC$4,$C501),'INSER DATA'!$A:$F,7,0),"")</f>
        <v/>
      </c>
      <c r="BD501" s="270" t="str">
        <f>_xlfn.IFNA(VLOOKUP(CONCATENATE(BD$4,$C501),'INSER DATA'!$A:$F,7,0),"")</f>
        <v/>
      </c>
      <c r="BE501" s="270" t="str">
        <f>_xlfn.IFNA(VLOOKUP(CONCATENATE(BE$4,$C501),'INSER DATA'!$A:$F,7,0),"")</f>
        <v/>
      </c>
      <c r="BF501" s="270" t="str">
        <f>_xlfn.IFNA(VLOOKUP(CONCATENATE(BF$4,$C501),'INSER DATA'!$A:$F,7,0),"")</f>
        <v/>
      </c>
      <c r="BG501" s="270" t="str">
        <f>_xlfn.IFNA(VLOOKUP(CONCATENATE(BG$4,$C501),'INSER DATA'!$A:$F,7,0),"")</f>
        <v/>
      </c>
      <c r="BH501" s="270" t="str">
        <f>_xlfn.IFNA(VLOOKUP(CONCATENATE(BH$4,$C501),'INSER DATA'!$A:$F,7,0),"")</f>
        <v/>
      </c>
      <c r="BI501" s="270" t="str">
        <f>_xlfn.IFNA(VLOOKUP(CONCATENATE(BI$4,$C501),'INSER DATA'!$A:$F,7,0),"")</f>
        <v/>
      </c>
      <c r="BJ501" s="270" t="str">
        <f>_xlfn.IFNA(VLOOKUP(CONCATENATE(BJ$4,$C501),'INSER DATA'!$A:$F,7,0),"")</f>
        <v/>
      </c>
      <c r="BK501" s="270" t="str">
        <f>_xlfn.IFNA(VLOOKUP(CONCATENATE(BK$4,$C501),'INSER DATA'!$A:$F,7,0),"")</f>
        <v/>
      </c>
      <c r="BL501" s="272"/>
      <c r="BM501" s="30"/>
      <c r="BN501" s="30"/>
      <c r="BO501" s="30"/>
      <c r="BP501" s="30"/>
      <c r="BQ501" s="30"/>
      <c r="BR501" s="30"/>
      <c r="BS501" s="30"/>
      <c r="BT501" s="30"/>
      <c r="BU501" s="30"/>
      <c r="BV501" s="30"/>
      <c r="BW501" s="30"/>
      <c r="BX501" s="30"/>
      <c r="BY501" s="30"/>
      <c r="BZ501" s="30"/>
      <c r="CA501" s="30"/>
      <c r="CB501" s="30"/>
      <c r="CC501" s="30"/>
      <c r="CD501" s="30"/>
      <c r="CE501" s="30"/>
      <c r="CF501" s="30"/>
      <c r="CG501" s="30"/>
      <c r="CH501" s="30"/>
      <c r="CI501" s="30"/>
      <c r="CJ501" s="30"/>
      <c r="CK501" s="30"/>
      <c r="CL501" s="30"/>
      <c r="CM501" s="30"/>
      <c r="CN501" s="30"/>
      <c r="CO501" s="30"/>
      <c r="CP501" s="30"/>
      <c r="CQ501" s="30"/>
      <c r="CR501" s="30"/>
      <c r="CS501" s="30"/>
      <c r="CT501" s="30"/>
      <c r="CU501" s="30"/>
      <c r="CV501" s="30"/>
      <c r="CW501" s="30"/>
      <c r="CX501" s="30"/>
      <c r="CY501" s="30"/>
      <c r="CZ501" s="30"/>
      <c r="DA501" s="30"/>
    </row>
    <row r="502" spans="1:105" ht="19.2" thickTop="1" thickBot="1" x14ac:dyDescent="0.4">
      <c r="A502" s="30"/>
      <c r="B502" s="30"/>
      <c r="C502" s="185" t="s">
        <v>982</v>
      </c>
      <c r="D502" s="46" t="s">
        <v>967</v>
      </c>
      <c r="E502" s="35" t="str">
        <f>_xlfn.XLOOKUP(Tabella4[[#This Row],[NOME]],'ROSE SQUADRE'!$N$3:$N$253,'ROSE SQUADRE'!$O$3:$O$253,"")</f>
        <v/>
      </c>
      <c r="F502" s="36" t="s">
        <v>162</v>
      </c>
      <c r="G502" s="43">
        <v>5</v>
      </c>
      <c r="H502" s="43">
        <v>5</v>
      </c>
      <c r="I502" s="44">
        <f t="shared" si="44"/>
        <v>0</v>
      </c>
      <c r="J502" s="37">
        <f t="shared" si="45"/>
        <v>4</v>
      </c>
      <c r="K502" s="178">
        <f t="shared" si="46"/>
        <v>5.875</v>
      </c>
      <c r="L502" s="178">
        <f t="shared" si="47"/>
        <v>5.75</v>
      </c>
      <c r="M502" s="179">
        <f t="shared" si="48"/>
        <v>23</v>
      </c>
      <c r="N502" s="45">
        <f t="shared" ca="1" si="49"/>
        <v>0</v>
      </c>
      <c r="O502" s="40">
        <f>SUMIF(Tabella1[Nome],Tabella4[[#This Row],[NOME]],Tabella1[Gf])</f>
        <v>0</v>
      </c>
      <c r="P502" s="40">
        <f>-(SUMIF(Tabella1[Nome],Tabella4[[#This Row],[NOME]],Tabella1[Gs]))</f>
        <v>0</v>
      </c>
      <c r="Q502" s="40">
        <f>SUMIF(Tabella1[Nome],Tabella4[[#This Row],[NOME]],Tabella1[Rp])</f>
        <v>0</v>
      </c>
      <c r="R502" s="40">
        <f>SUMIF(Tabella1[Nome],Tabella4[[#This Row],[NOME]],Tabella1[Rs])</f>
        <v>0</v>
      </c>
      <c r="S502" s="40">
        <f>SUMIF(Tabella1[Nome],Tabella4[[#This Row],[NOME]],Tabella1[Rf])</f>
        <v>0</v>
      </c>
      <c r="T502" s="40">
        <f>SUMIF(Tabella1[Nome],Tabella4[[#This Row],[NOME]],Tabella1[Au])</f>
        <v>0</v>
      </c>
      <c r="U502" s="41">
        <f>SUMIF(Tabella1[Nome],Tabella4[[#This Row],[NOME]],Tabella1[Amm])</f>
        <v>1</v>
      </c>
      <c r="V502" s="42">
        <f>SUMIF(Tabella1[Nome],Tabella4[[#This Row],[NOME]],Tabella1[Esp])</f>
        <v>0</v>
      </c>
      <c r="W502" s="40">
        <f>SUMIF(Tabella1[Nome],Tabella4[[#This Row],[NOME]],Tabella1[Ass])</f>
        <v>0</v>
      </c>
      <c r="X502" s="40">
        <f>SUMIF(Tabella1[Nome],Tabella4[[#This Row],[NOME]],Tabella1[Gdv])</f>
        <v>0</v>
      </c>
      <c r="Y502" s="40">
        <f>SUMIF(Tabella1[Nome],Tabella4[[#This Row],[NOME]],Tabella1[cl sh])</f>
        <v>0</v>
      </c>
      <c r="Z502" s="270">
        <f>_xlfn.IFNA(_xlfn.XLOOKUP(CONCATENATE(Z$4,$C502),Tabella1[CONC X VOTI IN TAB GIOC],Tabella1[Voto],""),"")</f>
        <v>5.5</v>
      </c>
      <c r="AA502" s="270">
        <f>_xlfn.IFNA(_xlfn.XLOOKUP(CONCATENATE(AA$4,$C502),Tabella1[CONC X VOTI IN TAB GIOC],Tabella1[Voto],""),"")</f>
        <v>6</v>
      </c>
      <c r="AB502" s="270">
        <f>_xlfn.IFNA(_xlfn.XLOOKUP(CONCATENATE(AB$4,$C502),Tabella1[CONC X VOTI IN TAB GIOC],Tabella1[Voto]),"")</f>
        <v>6</v>
      </c>
      <c r="AC502" s="270" cm="1">
        <f t="array" ref="AC502">_xlfn.IFNA(_xlfn.XLOOKUP(CONCATENATE(AC$4,$C502),INDEX(Tabella1[],0,MATCH("CONC X VOTI IN TAB GIOC",Tabella1[#Headers],0)),INDEX(Tabella1[],0,MATCH("Voto",Tabella1[#Headers],0))),"")</f>
        <v>6</v>
      </c>
      <c r="AD502" s="270" t="str">
        <f>_xlfn.IFNA(_xlfn.XLOOKUP(CONCATENATE(AD$4,$C502),Tabella1[CONC X VOTI IN TAB GIOC],Tabella1[Voto]),"")</f>
        <v/>
      </c>
      <c r="AE502" s="270" t="str">
        <f>_xlfn.IFNA(VLOOKUP(CONCATENATE(AE$4,$C502),'INSER DATA'!$A:$F,6,0),"")</f>
        <v/>
      </c>
      <c r="AF502" s="270" t="str">
        <f>_xlfn.IFNA(VLOOKUP(CONCATENATE(AF$4,$C502),'INSER DATA'!$A:$F,6,0),"")</f>
        <v/>
      </c>
      <c r="AG502" s="270" t="str">
        <f>_xlfn.IFNA(VLOOKUP(CONCATENATE(AG$4,$C502),'INSER DATA'!$A:$F,6,0),"")</f>
        <v/>
      </c>
      <c r="AH502" s="270" t="str">
        <f>_xlfn.IFNA(VLOOKUP(CONCATENATE(AH$4,$C502),'INSER DATA'!$A:$F,7,0),"")</f>
        <v/>
      </c>
      <c r="AI502" s="270" t="str">
        <f>_xlfn.IFNA(VLOOKUP(CONCATENATE(AI$4,$C502),'INSER DATA'!$A:$F,7,0),"")</f>
        <v/>
      </c>
      <c r="AJ502" s="270" t="str">
        <f>_xlfn.IFNA(VLOOKUP(CONCATENATE(AJ$4,$C502),'INSER DATA'!$A:$F,7,0),"")</f>
        <v/>
      </c>
      <c r="AK502" s="270" t="str">
        <f>_xlfn.IFNA(VLOOKUP(CONCATENATE(AK$4,$C502),'INSER DATA'!$A:$F,7,0),"")</f>
        <v/>
      </c>
      <c r="AL502" s="270" t="str">
        <f>_xlfn.IFNA(VLOOKUP(CONCATENATE(AL$4,$C502),'INSER DATA'!$A:$F,7,0),"")</f>
        <v/>
      </c>
      <c r="AM502" s="270" t="str">
        <f>_xlfn.IFNA(VLOOKUP(CONCATENATE(AM$4,$C502),'INSER DATA'!$A:$F,7,0),"")</f>
        <v/>
      </c>
      <c r="AN502" s="270" t="str">
        <f>_xlfn.IFNA(VLOOKUP(CONCATENATE(AN$4,$C502),'INSER DATA'!$A:$F,7,0),"")</f>
        <v/>
      </c>
      <c r="AO502" s="270" t="str">
        <f>_xlfn.IFNA(VLOOKUP(CONCATENATE(AO$4,$C502),'INSER DATA'!$A:$F,7,0),"")</f>
        <v/>
      </c>
      <c r="AP502" s="270" t="str">
        <f>_xlfn.IFNA(VLOOKUP(CONCATENATE(AP$4,$C502),'INSER DATA'!$A:$F,7,0),"")</f>
        <v/>
      </c>
      <c r="AQ502" s="270" t="str">
        <f>_xlfn.IFNA(VLOOKUP(CONCATENATE(AQ$4,$C502),'INSER DATA'!$A:$F,7,0),"")</f>
        <v/>
      </c>
      <c r="AR502" s="270" t="str">
        <f>_xlfn.IFNA(VLOOKUP(CONCATENATE(AR$4,$C502),'INSER DATA'!$A:$F,7,0),"")</f>
        <v/>
      </c>
      <c r="AS502" s="270" t="str">
        <f>_xlfn.IFNA(VLOOKUP(CONCATENATE(AS$4,$C502),'INSER DATA'!$A:$F,7,0),"")</f>
        <v/>
      </c>
      <c r="AT502" s="270" t="str">
        <f>_xlfn.IFNA(VLOOKUP(CONCATENATE(AT$4,$C502),'INSER DATA'!$A:$F,7,0),"")</f>
        <v/>
      </c>
      <c r="AU502" s="270" t="str">
        <f>_xlfn.IFNA(VLOOKUP(CONCATENATE(AU$4,$C502),'INSER DATA'!$A:$F,7,0),"")</f>
        <v/>
      </c>
      <c r="AV502" s="270" t="str">
        <f>_xlfn.IFNA(VLOOKUP(CONCATENATE(AV$4,$C502),'INSER DATA'!$A:$F,7,0),"")</f>
        <v/>
      </c>
      <c r="AW502" s="270" t="str">
        <f>_xlfn.IFNA(VLOOKUP(CONCATENATE(AW$4,$C502),'INSER DATA'!$A:$F,7,0),"")</f>
        <v/>
      </c>
      <c r="AX502" s="270" t="str">
        <f>_xlfn.IFNA(VLOOKUP(CONCATENATE(AX$4,$C502),'INSER DATA'!$A:$F,7,0),"")</f>
        <v/>
      </c>
      <c r="AY502" s="270" t="str">
        <f>_xlfn.IFNA(VLOOKUP(CONCATENATE(AY$4,$C502),'INSER DATA'!$A:$F,7,0),"")</f>
        <v/>
      </c>
      <c r="AZ502" s="270" t="str">
        <f>_xlfn.IFNA(VLOOKUP(CONCATENATE(AZ$4,$C502),'INSER DATA'!$A:$F,7,0),"")</f>
        <v/>
      </c>
      <c r="BA502" s="270" t="str">
        <f>_xlfn.IFNA(VLOOKUP(CONCATENATE(BA$4,$C502),'INSER DATA'!$A:$F,7,0),"")</f>
        <v/>
      </c>
      <c r="BB502" s="270" t="str">
        <f>_xlfn.IFNA(VLOOKUP(CONCATENATE(BB$4,$C502),'INSER DATA'!$A:$F,7,0),"")</f>
        <v/>
      </c>
      <c r="BC502" s="270" t="str">
        <f>_xlfn.IFNA(VLOOKUP(CONCATENATE(BC$4,$C502),'INSER DATA'!$A:$F,7,0),"")</f>
        <v/>
      </c>
      <c r="BD502" s="270" t="str">
        <f>_xlfn.IFNA(VLOOKUP(CONCATENATE(BD$4,$C502),'INSER DATA'!$A:$F,7,0),"")</f>
        <v/>
      </c>
      <c r="BE502" s="270" t="str">
        <f>_xlfn.IFNA(VLOOKUP(CONCATENATE(BE$4,$C502),'INSER DATA'!$A:$F,7,0),"")</f>
        <v/>
      </c>
      <c r="BF502" s="270" t="str">
        <f>_xlfn.IFNA(VLOOKUP(CONCATENATE(BF$4,$C502),'INSER DATA'!$A:$F,7,0),"")</f>
        <v/>
      </c>
      <c r="BG502" s="270" t="str">
        <f>_xlfn.IFNA(VLOOKUP(CONCATENATE(BG$4,$C502),'INSER DATA'!$A:$F,7,0),"")</f>
        <v/>
      </c>
      <c r="BH502" s="270" t="str">
        <f>_xlfn.IFNA(VLOOKUP(CONCATENATE(BH$4,$C502),'INSER DATA'!$A:$F,7,0),"")</f>
        <v/>
      </c>
      <c r="BI502" s="270" t="str">
        <f>_xlfn.IFNA(VLOOKUP(CONCATENATE(BI$4,$C502),'INSER DATA'!$A:$F,7,0),"")</f>
        <v/>
      </c>
      <c r="BJ502" s="270" t="str">
        <f>_xlfn.IFNA(VLOOKUP(CONCATENATE(BJ$4,$C502),'INSER DATA'!$A:$F,7,0),"")</f>
        <v/>
      </c>
      <c r="BK502" s="270" t="str">
        <f>_xlfn.IFNA(VLOOKUP(CONCATENATE(BK$4,$C502),'INSER DATA'!$A:$F,7,0),"")</f>
        <v/>
      </c>
      <c r="BL502" s="272"/>
      <c r="BM502" s="30"/>
      <c r="BN502" s="30"/>
      <c r="BO502" s="30"/>
      <c r="BP502" s="30"/>
      <c r="BQ502" s="30"/>
      <c r="BR502" s="30"/>
      <c r="BS502" s="30"/>
      <c r="BT502" s="30"/>
      <c r="BU502" s="30"/>
      <c r="BV502" s="30"/>
      <c r="BW502" s="30"/>
      <c r="BX502" s="30"/>
      <c r="BY502" s="30"/>
      <c r="BZ502" s="30"/>
      <c r="CA502" s="30"/>
      <c r="CB502" s="30"/>
      <c r="CC502" s="30"/>
      <c r="CD502" s="30"/>
      <c r="CE502" s="30"/>
      <c r="CF502" s="30"/>
      <c r="CG502" s="30"/>
      <c r="CH502" s="30"/>
      <c r="CI502" s="30"/>
      <c r="CJ502" s="30"/>
      <c r="CK502" s="30"/>
      <c r="CL502" s="30"/>
      <c r="CM502" s="30"/>
      <c r="CN502" s="30"/>
      <c r="CO502" s="30"/>
      <c r="CP502" s="30"/>
      <c r="CQ502" s="30"/>
      <c r="CR502" s="30"/>
      <c r="CS502" s="30"/>
      <c r="CT502" s="30"/>
      <c r="CU502" s="30"/>
      <c r="CV502" s="30"/>
      <c r="CW502" s="30"/>
      <c r="CX502" s="30"/>
      <c r="CY502" s="30"/>
      <c r="CZ502" s="30"/>
      <c r="DA502" s="30"/>
    </row>
    <row r="503" spans="1:105" ht="19.2" thickTop="1" thickBot="1" x14ac:dyDescent="0.4">
      <c r="A503" s="30"/>
      <c r="B503" s="30"/>
      <c r="C503" s="185" t="s">
        <v>977</v>
      </c>
      <c r="D503" s="46" t="s">
        <v>967</v>
      </c>
      <c r="E503" s="35" t="str">
        <f>_xlfn.XLOOKUP(Tabella4[[#This Row],[NOME]],'ROSE SQUADRE'!$N$3:$N$253,'ROSE SQUADRE'!$O$3:$O$253,"")</f>
        <v/>
      </c>
      <c r="F503" s="36" t="s">
        <v>161</v>
      </c>
      <c r="G503" s="43">
        <v>3</v>
      </c>
      <c r="H503" s="43">
        <v>3</v>
      </c>
      <c r="I503" s="44">
        <f t="shared" si="44"/>
        <v>0</v>
      </c>
      <c r="J503" s="37">
        <f t="shared" si="45"/>
        <v>4</v>
      </c>
      <c r="K503" s="178">
        <f t="shared" si="46"/>
        <v>5.25</v>
      </c>
      <c r="L503" s="178">
        <f t="shared" si="47"/>
        <v>5</v>
      </c>
      <c r="M503" s="179">
        <f t="shared" si="48"/>
        <v>20</v>
      </c>
      <c r="N503" s="45">
        <f t="shared" ca="1" si="49"/>
        <v>0</v>
      </c>
      <c r="O503" s="40">
        <f>SUMIF(Tabella1[Nome],Tabella4[[#This Row],[NOME]],Tabella1[Gf])</f>
        <v>0</v>
      </c>
      <c r="P503" s="40">
        <f>-(SUMIF(Tabella1[Nome],Tabella4[[#This Row],[NOME]],Tabella1[Gs]))</f>
        <v>0</v>
      </c>
      <c r="Q503" s="40">
        <f>SUMIF(Tabella1[Nome],Tabella4[[#This Row],[NOME]],Tabella1[Rp])</f>
        <v>0</v>
      </c>
      <c r="R503" s="40">
        <f>SUMIF(Tabella1[Nome],Tabella4[[#This Row],[NOME]],Tabella1[Rs])</f>
        <v>0</v>
      </c>
      <c r="S503" s="40">
        <f>SUMIF(Tabella1[Nome],Tabella4[[#This Row],[NOME]],Tabella1[Rf])</f>
        <v>0</v>
      </c>
      <c r="T503" s="40">
        <f>SUMIF(Tabella1[Nome],Tabella4[[#This Row],[NOME]],Tabella1[Au])</f>
        <v>0</v>
      </c>
      <c r="U503" s="41">
        <f>SUMIF(Tabella1[Nome],Tabella4[[#This Row],[NOME]],Tabella1[Amm])</f>
        <v>2</v>
      </c>
      <c r="V503" s="42">
        <f>SUMIF(Tabella1[Nome],Tabella4[[#This Row],[NOME]],Tabella1[Esp])</f>
        <v>0</v>
      </c>
      <c r="W503" s="40">
        <f>SUMIF(Tabella1[Nome],Tabella4[[#This Row],[NOME]],Tabella1[Ass])</f>
        <v>0</v>
      </c>
      <c r="X503" s="40">
        <f>SUMIF(Tabella1[Nome],Tabella4[[#This Row],[NOME]],Tabella1[Gdv])</f>
        <v>0</v>
      </c>
      <c r="Y503" s="40">
        <f>SUMIF(Tabella1[Nome],Tabella4[[#This Row],[NOME]],Tabella1[cl sh])</f>
        <v>0</v>
      </c>
      <c r="Z503" s="270">
        <f>_xlfn.IFNA(_xlfn.XLOOKUP(CONCATENATE(Z$4,$C503),Tabella1[CONC X VOTI IN TAB GIOC],Tabella1[Voto],""),"")</f>
        <v>5</v>
      </c>
      <c r="AA503" s="270">
        <f>_xlfn.IFNA(_xlfn.XLOOKUP(CONCATENATE(AA$4,$C503),Tabella1[CONC X VOTI IN TAB GIOC],Tabella1[Voto],""),"")</f>
        <v>6</v>
      </c>
      <c r="AB503" s="270">
        <f>_xlfn.IFNA(_xlfn.XLOOKUP(CONCATENATE(AB$4,$C503),Tabella1[CONC X VOTI IN TAB GIOC],Tabella1[Voto]),"")</f>
        <v>4.5</v>
      </c>
      <c r="AC503" s="270" cm="1">
        <f t="array" ref="AC503">_xlfn.IFNA(_xlfn.XLOOKUP(CONCATENATE(AC$4,$C503),INDEX(Tabella1[],0,MATCH("CONC X VOTI IN TAB GIOC",Tabella1[#Headers],0)),INDEX(Tabella1[],0,MATCH("Voto",Tabella1[#Headers],0))),"")</f>
        <v>5.5</v>
      </c>
      <c r="AD503" s="270" t="str">
        <f>_xlfn.IFNA(_xlfn.XLOOKUP(CONCATENATE(AD$4,$C503),Tabella1[CONC X VOTI IN TAB GIOC],Tabella1[Voto]),"")</f>
        <v/>
      </c>
      <c r="AE503" s="270" t="str">
        <f>_xlfn.IFNA(VLOOKUP(CONCATENATE(AE$4,$C503),'INSER DATA'!$A:$F,6,0),"")</f>
        <v/>
      </c>
      <c r="AF503" s="270" t="str">
        <f>_xlfn.IFNA(VLOOKUP(CONCATENATE(AF$4,$C503),'INSER DATA'!$A:$F,6,0),"")</f>
        <v/>
      </c>
      <c r="AG503" s="270" t="str">
        <f>_xlfn.IFNA(VLOOKUP(CONCATENATE(AG$4,$C503),'INSER DATA'!$A:$F,6,0),"")</f>
        <v/>
      </c>
      <c r="AH503" s="270" t="str">
        <f>_xlfn.IFNA(VLOOKUP(CONCATENATE(AH$4,$C503),'INSER DATA'!$A:$F,7,0),"")</f>
        <v/>
      </c>
      <c r="AI503" s="270" t="str">
        <f>_xlfn.IFNA(VLOOKUP(CONCATENATE(AI$4,$C503),'INSER DATA'!$A:$F,7,0),"")</f>
        <v/>
      </c>
      <c r="AJ503" s="270" t="str">
        <f>_xlfn.IFNA(VLOOKUP(CONCATENATE(AJ$4,$C503),'INSER DATA'!$A:$F,7,0),"")</f>
        <v/>
      </c>
      <c r="AK503" s="270" t="str">
        <f>_xlfn.IFNA(VLOOKUP(CONCATENATE(AK$4,$C503),'INSER DATA'!$A:$F,7,0),"")</f>
        <v/>
      </c>
      <c r="AL503" s="270" t="str">
        <f>_xlfn.IFNA(VLOOKUP(CONCATENATE(AL$4,$C503),'INSER DATA'!$A:$F,7,0),"")</f>
        <v/>
      </c>
      <c r="AM503" s="270" t="str">
        <f>_xlfn.IFNA(VLOOKUP(CONCATENATE(AM$4,$C503),'INSER DATA'!$A:$F,7,0),"")</f>
        <v/>
      </c>
      <c r="AN503" s="270" t="str">
        <f>_xlfn.IFNA(VLOOKUP(CONCATENATE(AN$4,$C503),'INSER DATA'!$A:$F,7,0),"")</f>
        <v/>
      </c>
      <c r="AO503" s="270" t="str">
        <f>_xlfn.IFNA(VLOOKUP(CONCATENATE(AO$4,$C503),'INSER DATA'!$A:$F,7,0),"")</f>
        <v/>
      </c>
      <c r="AP503" s="270" t="str">
        <f>_xlfn.IFNA(VLOOKUP(CONCATENATE(AP$4,$C503),'INSER DATA'!$A:$F,7,0),"")</f>
        <v/>
      </c>
      <c r="AQ503" s="270" t="str">
        <f>_xlfn.IFNA(VLOOKUP(CONCATENATE(AQ$4,$C503),'INSER DATA'!$A:$F,7,0),"")</f>
        <v/>
      </c>
      <c r="AR503" s="270" t="str">
        <f>_xlfn.IFNA(VLOOKUP(CONCATENATE(AR$4,$C503),'INSER DATA'!$A:$F,7,0),"")</f>
        <v/>
      </c>
      <c r="AS503" s="270" t="str">
        <f>_xlfn.IFNA(VLOOKUP(CONCATENATE(AS$4,$C503),'INSER DATA'!$A:$F,7,0),"")</f>
        <v/>
      </c>
      <c r="AT503" s="270" t="str">
        <f>_xlfn.IFNA(VLOOKUP(CONCATENATE(AT$4,$C503),'INSER DATA'!$A:$F,7,0),"")</f>
        <v/>
      </c>
      <c r="AU503" s="270" t="str">
        <f>_xlfn.IFNA(VLOOKUP(CONCATENATE(AU$4,$C503),'INSER DATA'!$A:$F,7,0),"")</f>
        <v/>
      </c>
      <c r="AV503" s="270" t="str">
        <f>_xlfn.IFNA(VLOOKUP(CONCATENATE(AV$4,$C503),'INSER DATA'!$A:$F,7,0),"")</f>
        <v/>
      </c>
      <c r="AW503" s="270" t="str">
        <f>_xlfn.IFNA(VLOOKUP(CONCATENATE(AW$4,$C503),'INSER DATA'!$A:$F,7,0),"")</f>
        <v/>
      </c>
      <c r="AX503" s="270" t="str">
        <f>_xlfn.IFNA(VLOOKUP(CONCATENATE(AX$4,$C503),'INSER DATA'!$A:$F,7,0),"")</f>
        <v/>
      </c>
      <c r="AY503" s="270" t="str">
        <f>_xlfn.IFNA(VLOOKUP(CONCATENATE(AY$4,$C503),'INSER DATA'!$A:$F,7,0),"")</f>
        <v/>
      </c>
      <c r="AZ503" s="270" t="str">
        <f>_xlfn.IFNA(VLOOKUP(CONCATENATE(AZ$4,$C503),'INSER DATA'!$A:$F,7,0),"")</f>
        <v/>
      </c>
      <c r="BA503" s="270" t="str">
        <f>_xlfn.IFNA(VLOOKUP(CONCATENATE(BA$4,$C503),'INSER DATA'!$A:$F,7,0),"")</f>
        <v/>
      </c>
      <c r="BB503" s="270" t="str">
        <f>_xlfn.IFNA(VLOOKUP(CONCATENATE(BB$4,$C503),'INSER DATA'!$A:$F,7,0),"")</f>
        <v/>
      </c>
      <c r="BC503" s="270" t="str">
        <f>_xlfn.IFNA(VLOOKUP(CONCATENATE(BC$4,$C503),'INSER DATA'!$A:$F,7,0),"")</f>
        <v/>
      </c>
      <c r="BD503" s="270" t="str">
        <f>_xlfn.IFNA(VLOOKUP(CONCATENATE(BD$4,$C503),'INSER DATA'!$A:$F,7,0),"")</f>
        <v/>
      </c>
      <c r="BE503" s="270" t="str">
        <f>_xlfn.IFNA(VLOOKUP(CONCATENATE(BE$4,$C503),'INSER DATA'!$A:$F,7,0),"")</f>
        <v/>
      </c>
      <c r="BF503" s="270" t="str">
        <f>_xlfn.IFNA(VLOOKUP(CONCATENATE(BF$4,$C503),'INSER DATA'!$A:$F,7,0),"")</f>
        <v/>
      </c>
      <c r="BG503" s="270" t="str">
        <f>_xlfn.IFNA(VLOOKUP(CONCATENATE(BG$4,$C503),'INSER DATA'!$A:$F,7,0),"")</f>
        <v/>
      </c>
      <c r="BH503" s="270" t="str">
        <f>_xlfn.IFNA(VLOOKUP(CONCATENATE(BH$4,$C503),'INSER DATA'!$A:$F,7,0),"")</f>
        <v/>
      </c>
      <c r="BI503" s="270" t="str">
        <f>_xlfn.IFNA(VLOOKUP(CONCATENATE(BI$4,$C503),'INSER DATA'!$A:$F,7,0),"")</f>
        <v/>
      </c>
      <c r="BJ503" s="270" t="str">
        <f>_xlfn.IFNA(VLOOKUP(CONCATENATE(BJ$4,$C503),'INSER DATA'!$A:$F,7,0),"")</f>
        <v/>
      </c>
      <c r="BK503" s="270" t="str">
        <f>_xlfn.IFNA(VLOOKUP(CONCATENATE(BK$4,$C503),'INSER DATA'!$A:$F,7,0),"")</f>
        <v/>
      </c>
      <c r="BL503" s="272"/>
      <c r="BM503" s="30"/>
      <c r="BN503" s="30"/>
      <c r="BO503" s="30"/>
      <c r="BP503" s="30"/>
      <c r="BQ503" s="30"/>
      <c r="BR503" s="30"/>
      <c r="BS503" s="30"/>
      <c r="BT503" s="30"/>
      <c r="BU503" s="30"/>
      <c r="BV503" s="30"/>
      <c r="BW503" s="30"/>
      <c r="BX503" s="30"/>
      <c r="BY503" s="30"/>
      <c r="BZ503" s="30"/>
      <c r="CA503" s="30"/>
      <c r="CB503" s="30"/>
      <c r="CC503" s="30"/>
      <c r="CD503" s="30"/>
      <c r="CE503" s="30"/>
      <c r="CF503" s="30"/>
      <c r="CG503" s="30"/>
      <c r="CH503" s="30"/>
      <c r="CI503" s="30"/>
      <c r="CJ503" s="30"/>
      <c r="CK503" s="30"/>
      <c r="CL503" s="30"/>
      <c r="CM503" s="30"/>
      <c r="CN503" s="30"/>
      <c r="CO503" s="30"/>
      <c r="CP503" s="30"/>
      <c r="CQ503" s="30"/>
      <c r="CR503" s="30"/>
      <c r="CS503" s="30"/>
      <c r="CT503" s="30"/>
      <c r="CU503" s="30"/>
      <c r="CV503" s="30"/>
      <c r="CW503" s="30"/>
      <c r="CX503" s="30"/>
      <c r="CY503" s="30"/>
      <c r="CZ503" s="30"/>
      <c r="DA503" s="30"/>
    </row>
    <row r="504" spans="1:105" ht="19.2" thickTop="1" thickBot="1" x14ac:dyDescent="0.4">
      <c r="A504" s="30"/>
      <c r="B504" s="30"/>
      <c r="C504" s="354" t="s">
        <v>983</v>
      </c>
      <c r="D504" s="357" t="s">
        <v>967</v>
      </c>
      <c r="E504" s="35" t="str">
        <f>_xlfn.XLOOKUP(Tabella4[[#This Row],[NOME]],'ROSE SQUADRE'!$N$3:$N$253,'ROSE SQUADRE'!$O$3:$O$253,"")</f>
        <v>AS PIPPERIA</v>
      </c>
      <c r="F504" s="36" t="s">
        <v>163</v>
      </c>
      <c r="G504" s="43">
        <v>12</v>
      </c>
      <c r="H504" s="43">
        <v>12</v>
      </c>
      <c r="I504" s="44">
        <f t="shared" si="44"/>
        <v>0</v>
      </c>
      <c r="J504" s="37">
        <f t="shared" si="45"/>
        <v>4</v>
      </c>
      <c r="K504" s="178">
        <f t="shared" si="46"/>
        <v>5.75</v>
      </c>
      <c r="L504" s="178">
        <f t="shared" si="47"/>
        <v>6.5</v>
      </c>
      <c r="M504" s="179">
        <f t="shared" si="48"/>
        <v>26</v>
      </c>
      <c r="N504" s="45">
        <f t="shared" ca="1" si="49"/>
        <v>0</v>
      </c>
      <c r="O504" s="40">
        <f>SUMIF(Tabella1[Nome],Tabella4[[#This Row],[NOME]],Tabella1[Gf])</f>
        <v>1</v>
      </c>
      <c r="P504" s="40">
        <f>-(SUMIF(Tabella1[Nome],Tabella4[[#This Row],[NOME]],Tabella1[Gs]))</f>
        <v>0</v>
      </c>
      <c r="Q504" s="40">
        <f>SUMIF(Tabella1[Nome],Tabella4[[#This Row],[NOME]],Tabella1[Rp])</f>
        <v>0</v>
      </c>
      <c r="R504" s="40">
        <f>SUMIF(Tabella1[Nome],Tabella4[[#This Row],[NOME]],Tabella1[Rs])</f>
        <v>0</v>
      </c>
      <c r="S504" s="40">
        <f>SUMIF(Tabella1[Nome],Tabella4[[#This Row],[NOME]],Tabella1[Rf])</f>
        <v>0</v>
      </c>
      <c r="T504" s="40">
        <f>SUMIF(Tabella1[Nome],Tabella4[[#This Row],[NOME]],Tabella1[Au])</f>
        <v>0</v>
      </c>
      <c r="U504" s="41">
        <f>SUMIF(Tabella1[Nome],Tabella4[[#This Row],[NOME]],Tabella1[Amm])</f>
        <v>0</v>
      </c>
      <c r="V504" s="42">
        <f>SUMIF(Tabella1[Nome],Tabella4[[#This Row],[NOME]],Tabella1[Esp])</f>
        <v>0</v>
      </c>
      <c r="W504" s="40">
        <f>SUMIF(Tabella1[Nome],Tabella4[[#This Row],[NOME]],Tabella1[Ass])</f>
        <v>0</v>
      </c>
      <c r="X504" s="40">
        <f>SUMIF(Tabella1[Nome],Tabella4[[#This Row],[NOME]],Tabella1[Gdv])</f>
        <v>0</v>
      </c>
      <c r="Y504" s="40">
        <f>SUMIF(Tabella1[Nome],Tabella4[[#This Row],[NOME]],Tabella1[cl sh])</f>
        <v>0</v>
      </c>
      <c r="Z504" s="270">
        <f>_xlfn.IFNA(_xlfn.XLOOKUP(CONCATENATE(Z$4,$C504),Tabella1[CONC X VOTI IN TAB GIOC],Tabella1[Voto],""),"")</f>
        <v>5.5</v>
      </c>
      <c r="AA504" s="270">
        <f>_xlfn.IFNA(_xlfn.XLOOKUP(CONCATENATE(AA$4,$C504),Tabella1[CONC X VOTI IN TAB GIOC],Tabella1[Voto],""),"")</f>
        <v>5.5</v>
      </c>
      <c r="AB504" s="270">
        <f>_xlfn.IFNA(_xlfn.XLOOKUP(CONCATENATE(AB$4,$C504),Tabella1[CONC X VOTI IN TAB GIOC],Tabella1[Voto]),"")</f>
        <v>5.5</v>
      </c>
      <c r="AC504" s="270" cm="1">
        <f t="array" ref="AC504">_xlfn.IFNA(_xlfn.XLOOKUP(CONCATENATE(AC$4,$C504),INDEX(Tabella1[],0,MATCH("CONC X VOTI IN TAB GIOC",Tabella1[#Headers],0)),INDEX(Tabella1[],0,MATCH("Voto",Tabella1[#Headers],0))),"")</f>
        <v>6.5</v>
      </c>
      <c r="AD504" s="270" t="str">
        <f>_xlfn.IFNA(_xlfn.XLOOKUP(CONCATENATE(AD$4,$C504),Tabella1[CONC X VOTI IN TAB GIOC],Tabella1[Voto]),"")</f>
        <v/>
      </c>
      <c r="AE504" s="270" t="str">
        <f>_xlfn.IFNA(VLOOKUP(CONCATENATE(AE$4,$C504),'INSER DATA'!$A:$F,6,0),"")</f>
        <v/>
      </c>
      <c r="AF504" s="270" t="str">
        <f>_xlfn.IFNA(VLOOKUP(CONCATENATE(AF$4,$C504),'INSER DATA'!$A:$F,6,0),"")</f>
        <v/>
      </c>
      <c r="AG504" s="270" t="str">
        <f>_xlfn.IFNA(VLOOKUP(CONCATENATE(AG$4,$C504),'INSER DATA'!$A:$F,6,0),"")</f>
        <v/>
      </c>
      <c r="AH504" s="270" t="str">
        <f>_xlfn.IFNA(VLOOKUP(CONCATENATE(AH$4,$C504),'INSER DATA'!$A:$F,7,0),"")</f>
        <v/>
      </c>
      <c r="AI504" s="270" t="str">
        <f>_xlfn.IFNA(VLOOKUP(CONCATENATE(AI$4,$C504),'INSER DATA'!$A:$F,7,0),"")</f>
        <v/>
      </c>
      <c r="AJ504" s="270" t="str">
        <f>_xlfn.IFNA(VLOOKUP(CONCATENATE(AJ$4,$C504),'INSER DATA'!$A:$F,7,0),"")</f>
        <v/>
      </c>
      <c r="AK504" s="270" t="str">
        <f>_xlfn.IFNA(VLOOKUP(CONCATENATE(AK$4,$C504),'INSER DATA'!$A:$F,7,0),"")</f>
        <v/>
      </c>
      <c r="AL504" s="270" t="str">
        <f>_xlfn.IFNA(VLOOKUP(CONCATENATE(AL$4,$C504),'INSER DATA'!$A:$F,7,0),"")</f>
        <v/>
      </c>
      <c r="AM504" s="270" t="str">
        <f>_xlfn.IFNA(VLOOKUP(CONCATENATE(AM$4,$C504),'INSER DATA'!$A:$F,7,0),"")</f>
        <v/>
      </c>
      <c r="AN504" s="270" t="str">
        <f>_xlfn.IFNA(VLOOKUP(CONCATENATE(AN$4,$C504),'INSER DATA'!$A:$F,7,0),"")</f>
        <v/>
      </c>
      <c r="AO504" s="270" t="str">
        <f>_xlfn.IFNA(VLOOKUP(CONCATENATE(AO$4,$C504),'INSER DATA'!$A:$F,7,0),"")</f>
        <v/>
      </c>
      <c r="AP504" s="270" t="str">
        <f>_xlfn.IFNA(VLOOKUP(CONCATENATE(AP$4,$C504),'INSER DATA'!$A:$F,7,0),"")</f>
        <v/>
      </c>
      <c r="AQ504" s="270" t="str">
        <f>_xlfn.IFNA(VLOOKUP(CONCATENATE(AQ$4,$C504),'INSER DATA'!$A:$F,7,0),"")</f>
        <v/>
      </c>
      <c r="AR504" s="270" t="str">
        <f>_xlfn.IFNA(VLOOKUP(CONCATENATE(AR$4,$C504),'INSER DATA'!$A:$F,7,0),"")</f>
        <v/>
      </c>
      <c r="AS504" s="270" t="str">
        <f>_xlfn.IFNA(VLOOKUP(CONCATENATE(AS$4,$C504),'INSER DATA'!$A:$F,7,0),"")</f>
        <v/>
      </c>
      <c r="AT504" s="270" t="str">
        <f>_xlfn.IFNA(VLOOKUP(CONCATENATE(AT$4,$C504),'INSER DATA'!$A:$F,7,0),"")</f>
        <v/>
      </c>
      <c r="AU504" s="270" t="str">
        <f>_xlfn.IFNA(VLOOKUP(CONCATENATE(AU$4,$C504),'INSER DATA'!$A:$F,7,0),"")</f>
        <v/>
      </c>
      <c r="AV504" s="270" t="str">
        <f>_xlfn.IFNA(VLOOKUP(CONCATENATE(AV$4,$C504),'INSER DATA'!$A:$F,7,0),"")</f>
        <v/>
      </c>
      <c r="AW504" s="270" t="str">
        <f>_xlfn.IFNA(VLOOKUP(CONCATENATE(AW$4,$C504),'INSER DATA'!$A:$F,7,0),"")</f>
        <v/>
      </c>
      <c r="AX504" s="270" t="str">
        <f>_xlfn.IFNA(VLOOKUP(CONCATENATE(AX$4,$C504),'INSER DATA'!$A:$F,7,0),"")</f>
        <v/>
      </c>
      <c r="AY504" s="270" t="str">
        <f>_xlfn.IFNA(VLOOKUP(CONCATENATE(AY$4,$C504),'INSER DATA'!$A:$F,7,0),"")</f>
        <v/>
      </c>
      <c r="AZ504" s="270" t="str">
        <f>_xlfn.IFNA(VLOOKUP(CONCATENATE(AZ$4,$C504),'INSER DATA'!$A:$F,7,0),"")</f>
        <v/>
      </c>
      <c r="BA504" s="270" t="str">
        <f>_xlfn.IFNA(VLOOKUP(CONCATENATE(BA$4,$C504),'INSER DATA'!$A:$F,7,0),"")</f>
        <v/>
      </c>
      <c r="BB504" s="270" t="str">
        <f>_xlfn.IFNA(VLOOKUP(CONCATENATE(BB$4,$C504),'INSER DATA'!$A:$F,7,0),"")</f>
        <v/>
      </c>
      <c r="BC504" s="270" t="str">
        <f>_xlfn.IFNA(VLOOKUP(CONCATENATE(BC$4,$C504),'INSER DATA'!$A:$F,7,0),"")</f>
        <v/>
      </c>
      <c r="BD504" s="270" t="str">
        <f>_xlfn.IFNA(VLOOKUP(CONCATENATE(BD$4,$C504),'INSER DATA'!$A:$F,7,0),"")</f>
        <v/>
      </c>
      <c r="BE504" s="270" t="str">
        <f>_xlfn.IFNA(VLOOKUP(CONCATENATE(BE$4,$C504),'INSER DATA'!$A:$F,7,0),"")</f>
        <v/>
      </c>
      <c r="BF504" s="270" t="str">
        <f>_xlfn.IFNA(VLOOKUP(CONCATENATE(BF$4,$C504),'INSER DATA'!$A:$F,7,0),"")</f>
        <v/>
      </c>
      <c r="BG504" s="270" t="str">
        <f>_xlfn.IFNA(VLOOKUP(CONCATENATE(BG$4,$C504),'INSER DATA'!$A:$F,7,0),"")</f>
        <v/>
      </c>
      <c r="BH504" s="270" t="str">
        <f>_xlfn.IFNA(VLOOKUP(CONCATENATE(BH$4,$C504),'INSER DATA'!$A:$F,7,0),"")</f>
        <v/>
      </c>
      <c r="BI504" s="270" t="str">
        <f>_xlfn.IFNA(VLOOKUP(CONCATENATE(BI$4,$C504),'INSER DATA'!$A:$F,7,0),"")</f>
        <v/>
      </c>
      <c r="BJ504" s="270" t="str">
        <f>_xlfn.IFNA(VLOOKUP(CONCATENATE(BJ$4,$C504),'INSER DATA'!$A:$F,7,0),"")</f>
        <v/>
      </c>
      <c r="BK504" s="270" t="str">
        <f>_xlfn.IFNA(VLOOKUP(CONCATENATE(BK$4,$C504),'INSER DATA'!$A:$F,7,0),"")</f>
        <v/>
      </c>
      <c r="BL504" s="272"/>
      <c r="BM504" s="30"/>
      <c r="BN504" s="30"/>
      <c r="BO504" s="30"/>
      <c r="BP504" s="30"/>
      <c r="BQ504" s="30"/>
      <c r="BR504" s="30"/>
      <c r="BS504" s="30"/>
      <c r="BT504" s="30"/>
      <c r="BU504" s="30"/>
      <c r="BV504" s="30"/>
      <c r="BW504" s="30"/>
      <c r="BX504" s="30"/>
      <c r="BY504" s="30"/>
      <c r="BZ504" s="30"/>
      <c r="CA504" s="30"/>
      <c r="CB504" s="30"/>
      <c r="CC504" s="30"/>
      <c r="CD504" s="30"/>
      <c r="CE504" s="30"/>
      <c r="CF504" s="30"/>
      <c r="CG504" s="30"/>
      <c r="CH504" s="30"/>
      <c r="CI504" s="30"/>
      <c r="CJ504" s="30"/>
      <c r="CK504" s="30"/>
      <c r="CL504" s="30"/>
      <c r="CM504" s="30"/>
      <c r="CN504" s="30"/>
      <c r="CO504" s="30"/>
      <c r="CP504" s="30"/>
      <c r="CQ504" s="30"/>
      <c r="CR504" s="30"/>
      <c r="CS504" s="30"/>
      <c r="CT504" s="30"/>
      <c r="CU504" s="30"/>
      <c r="CV504" s="30"/>
      <c r="CW504" s="30"/>
      <c r="CX504" s="30"/>
      <c r="CY504" s="30"/>
      <c r="CZ504" s="30"/>
      <c r="DA504" s="30"/>
    </row>
    <row r="505" spans="1:105" ht="19.2" thickTop="1" thickBot="1" x14ac:dyDescent="0.4">
      <c r="A505" s="30"/>
      <c r="B505" s="30"/>
      <c r="C505" s="354" t="s">
        <v>971</v>
      </c>
      <c r="D505" s="357" t="s">
        <v>967</v>
      </c>
      <c r="E505" s="35" t="str">
        <f>_xlfn.XLOOKUP(Tabella4[[#This Row],[NOME]],'ROSE SQUADRE'!$N$3:$N$253,'ROSE SQUADRE'!$O$3:$O$253,"")</f>
        <v>ATL. IMPROVVISATO</v>
      </c>
      <c r="F505" s="36" t="s">
        <v>161</v>
      </c>
      <c r="G505" s="43">
        <v>6</v>
      </c>
      <c r="H505" s="43">
        <v>6</v>
      </c>
      <c r="I505" s="44">
        <f t="shared" si="44"/>
        <v>0</v>
      </c>
      <c r="J505" s="37">
        <f t="shared" si="45"/>
        <v>2</v>
      </c>
      <c r="K505" s="178">
        <f t="shared" si="46"/>
        <v>5</v>
      </c>
      <c r="L505" s="178">
        <f t="shared" si="47"/>
        <v>5</v>
      </c>
      <c r="M505" s="179">
        <f t="shared" si="48"/>
        <v>10</v>
      </c>
      <c r="N505" s="45">
        <f t="shared" ca="1" si="49"/>
        <v>0</v>
      </c>
      <c r="O505" s="40">
        <f>SUMIF(Tabella1[Nome],Tabella4[[#This Row],[NOME]],Tabella1[Gf])</f>
        <v>0</v>
      </c>
      <c r="P505" s="40">
        <f>-(SUMIF(Tabella1[Nome],Tabella4[[#This Row],[NOME]],Tabella1[Gs]))</f>
        <v>0</v>
      </c>
      <c r="Q505" s="40">
        <f>SUMIF(Tabella1[Nome],Tabella4[[#This Row],[NOME]],Tabella1[Rp])</f>
        <v>0</v>
      </c>
      <c r="R505" s="40">
        <f>SUMIF(Tabella1[Nome],Tabella4[[#This Row],[NOME]],Tabella1[Rs])</f>
        <v>0</v>
      </c>
      <c r="S505" s="40">
        <f>SUMIF(Tabella1[Nome],Tabella4[[#This Row],[NOME]],Tabella1[Rf])</f>
        <v>0</v>
      </c>
      <c r="T505" s="40">
        <f>SUMIF(Tabella1[Nome],Tabella4[[#This Row],[NOME]],Tabella1[Au])</f>
        <v>0</v>
      </c>
      <c r="U505" s="41">
        <f>SUMIF(Tabella1[Nome],Tabella4[[#This Row],[NOME]],Tabella1[Amm])</f>
        <v>0</v>
      </c>
      <c r="V505" s="42">
        <f>SUMIF(Tabella1[Nome],Tabella4[[#This Row],[NOME]],Tabella1[Esp])</f>
        <v>0</v>
      </c>
      <c r="W505" s="40">
        <f>SUMIF(Tabella1[Nome],Tabella4[[#This Row],[NOME]],Tabella1[Ass])</f>
        <v>0</v>
      </c>
      <c r="X505" s="40">
        <f>SUMIF(Tabella1[Nome],Tabella4[[#This Row],[NOME]],Tabella1[Gdv])</f>
        <v>0</v>
      </c>
      <c r="Y505" s="40">
        <f>SUMIF(Tabella1[Nome],Tabella4[[#This Row],[NOME]],Tabella1[cl sh])</f>
        <v>0</v>
      </c>
      <c r="Z505" s="270">
        <f>_xlfn.IFNA(_xlfn.XLOOKUP(CONCATENATE(Z$4,$C505),Tabella1[CONC X VOTI IN TAB GIOC],Tabella1[Voto],""),"")</f>
        <v>5</v>
      </c>
      <c r="AA505" s="270">
        <f>_xlfn.IFNA(_xlfn.XLOOKUP(CONCATENATE(AA$4,$C505),Tabella1[CONC X VOTI IN TAB GIOC],Tabella1[Voto],""),"")</f>
        <v>5</v>
      </c>
      <c r="AB505" s="270" t="str">
        <f>_xlfn.IFNA(_xlfn.XLOOKUP(CONCATENATE(AB$4,$C505),Tabella1[CONC X VOTI IN TAB GIOC],Tabella1[Voto]),"")</f>
        <v/>
      </c>
      <c r="AC505" s="270" t="str" cm="1">
        <f t="array" ref="AC505">_xlfn.IFNA(_xlfn.XLOOKUP(CONCATENATE(AC$4,$C505),INDEX(Tabella1[],0,MATCH("CONC X VOTI IN TAB GIOC",Tabella1[#Headers],0)),INDEX(Tabella1[],0,MATCH("Voto",Tabella1[#Headers],0))),"")</f>
        <v/>
      </c>
      <c r="AD505" s="270" t="str">
        <f>_xlfn.IFNA(_xlfn.XLOOKUP(CONCATENATE(AD$4,$C505),Tabella1[CONC X VOTI IN TAB GIOC],Tabella1[Voto]),"")</f>
        <v/>
      </c>
      <c r="AE505" s="270" t="str">
        <f>_xlfn.IFNA(VLOOKUP(CONCATENATE(AE$4,$C505),'INSER DATA'!$A:$F,6,0),"")</f>
        <v/>
      </c>
      <c r="AF505" s="270" t="str">
        <f>_xlfn.IFNA(VLOOKUP(CONCATENATE(AF$4,$C505),'INSER DATA'!$A:$F,6,0),"")</f>
        <v/>
      </c>
      <c r="AG505" s="270" t="str">
        <f>_xlfn.IFNA(VLOOKUP(CONCATENATE(AG$4,$C505),'INSER DATA'!$A:$F,6,0),"")</f>
        <v/>
      </c>
      <c r="AH505" s="270" t="str">
        <f>_xlfn.IFNA(VLOOKUP(CONCATENATE(AH$4,$C505),'INSER DATA'!$A:$F,7,0),"")</f>
        <v/>
      </c>
      <c r="AI505" s="270" t="str">
        <f>_xlfn.IFNA(VLOOKUP(CONCATENATE(AI$4,$C505),'INSER DATA'!$A:$F,7,0),"")</f>
        <v/>
      </c>
      <c r="AJ505" s="270" t="str">
        <f>_xlfn.IFNA(VLOOKUP(CONCATENATE(AJ$4,$C505),'INSER DATA'!$A:$F,7,0),"")</f>
        <v/>
      </c>
      <c r="AK505" s="270" t="str">
        <f>_xlfn.IFNA(VLOOKUP(CONCATENATE(AK$4,$C505),'INSER DATA'!$A:$F,7,0),"")</f>
        <v/>
      </c>
      <c r="AL505" s="270" t="str">
        <f>_xlfn.IFNA(VLOOKUP(CONCATENATE(AL$4,$C505),'INSER DATA'!$A:$F,7,0),"")</f>
        <v/>
      </c>
      <c r="AM505" s="270" t="str">
        <f>_xlfn.IFNA(VLOOKUP(CONCATENATE(AM$4,$C505),'INSER DATA'!$A:$F,7,0),"")</f>
        <v/>
      </c>
      <c r="AN505" s="270" t="str">
        <f>_xlfn.IFNA(VLOOKUP(CONCATENATE(AN$4,$C505),'INSER DATA'!$A:$F,7,0),"")</f>
        <v/>
      </c>
      <c r="AO505" s="270" t="str">
        <f>_xlfn.IFNA(VLOOKUP(CONCATENATE(AO$4,$C505),'INSER DATA'!$A:$F,7,0),"")</f>
        <v/>
      </c>
      <c r="AP505" s="270" t="str">
        <f>_xlfn.IFNA(VLOOKUP(CONCATENATE(AP$4,$C505),'INSER DATA'!$A:$F,7,0),"")</f>
        <v/>
      </c>
      <c r="AQ505" s="270" t="str">
        <f>_xlfn.IFNA(VLOOKUP(CONCATENATE(AQ$4,$C505),'INSER DATA'!$A:$F,7,0),"")</f>
        <v/>
      </c>
      <c r="AR505" s="270" t="str">
        <f>_xlfn.IFNA(VLOOKUP(CONCATENATE(AR$4,$C505),'INSER DATA'!$A:$F,7,0),"")</f>
        <v/>
      </c>
      <c r="AS505" s="270" t="str">
        <f>_xlfn.IFNA(VLOOKUP(CONCATENATE(AS$4,$C505),'INSER DATA'!$A:$F,7,0),"")</f>
        <v/>
      </c>
      <c r="AT505" s="270" t="str">
        <f>_xlfn.IFNA(VLOOKUP(CONCATENATE(AT$4,$C505),'INSER DATA'!$A:$F,7,0),"")</f>
        <v/>
      </c>
      <c r="AU505" s="270" t="str">
        <f>_xlfn.IFNA(VLOOKUP(CONCATENATE(AU$4,$C505),'INSER DATA'!$A:$F,7,0),"")</f>
        <v/>
      </c>
      <c r="AV505" s="270" t="str">
        <f>_xlfn.IFNA(VLOOKUP(CONCATENATE(AV$4,$C505),'INSER DATA'!$A:$F,7,0),"")</f>
        <v/>
      </c>
      <c r="AW505" s="270" t="str">
        <f>_xlfn.IFNA(VLOOKUP(CONCATENATE(AW$4,$C505),'INSER DATA'!$A:$F,7,0),"")</f>
        <v/>
      </c>
      <c r="AX505" s="270" t="str">
        <f>_xlfn.IFNA(VLOOKUP(CONCATENATE(AX$4,$C505),'INSER DATA'!$A:$F,7,0),"")</f>
        <v/>
      </c>
      <c r="AY505" s="270" t="str">
        <f>_xlfn.IFNA(VLOOKUP(CONCATENATE(AY$4,$C505),'INSER DATA'!$A:$F,7,0),"")</f>
        <v/>
      </c>
      <c r="AZ505" s="270" t="str">
        <f>_xlfn.IFNA(VLOOKUP(CONCATENATE(AZ$4,$C505),'INSER DATA'!$A:$F,7,0),"")</f>
        <v/>
      </c>
      <c r="BA505" s="270" t="str">
        <f>_xlfn.IFNA(VLOOKUP(CONCATENATE(BA$4,$C505),'INSER DATA'!$A:$F,7,0),"")</f>
        <v/>
      </c>
      <c r="BB505" s="270" t="str">
        <f>_xlfn.IFNA(VLOOKUP(CONCATENATE(BB$4,$C505),'INSER DATA'!$A:$F,7,0),"")</f>
        <v/>
      </c>
      <c r="BC505" s="270" t="str">
        <f>_xlfn.IFNA(VLOOKUP(CONCATENATE(BC$4,$C505),'INSER DATA'!$A:$F,7,0),"")</f>
        <v/>
      </c>
      <c r="BD505" s="270" t="str">
        <f>_xlfn.IFNA(VLOOKUP(CONCATENATE(BD$4,$C505),'INSER DATA'!$A:$F,7,0),"")</f>
        <v/>
      </c>
      <c r="BE505" s="270" t="str">
        <f>_xlfn.IFNA(VLOOKUP(CONCATENATE(BE$4,$C505),'INSER DATA'!$A:$F,7,0),"")</f>
        <v/>
      </c>
      <c r="BF505" s="270" t="str">
        <f>_xlfn.IFNA(VLOOKUP(CONCATENATE(BF$4,$C505),'INSER DATA'!$A:$F,7,0),"")</f>
        <v/>
      </c>
      <c r="BG505" s="270" t="str">
        <f>_xlfn.IFNA(VLOOKUP(CONCATENATE(BG$4,$C505),'INSER DATA'!$A:$F,7,0),"")</f>
        <v/>
      </c>
      <c r="BH505" s="270" t="str">
        <f>_xlfn.IFNA(VLOOKUP(CONCATENATE(BH$4,$C505),'INSER DATA'!$A:$F,7,0),"")</f>
        <v/>
      </c>
      <c r="BI505" s="270" t="str">
        <f>_xlfn.IFNA(VLOOKUP(CONCATENATE(BI$4,$C505),'INSER DATA'!$A:$F,7,0),"")</f>
        <v/>
      </c>
      <c r="BJ505" s="270" t="str">
        <f>_xlfn.IFNA(VLOOKUP(CONCATENATE(BJ$4,$C505),'INSER DATA'!$A:$F,7,0),"")</f>
        <v/>
      </c>
      <c r="BK505" s="270" t="str">
        <f>_xlfn.IFNA(VLOOKUP(CONCATENATE(BK$4,$C505),'INSER DATA'!$A:$F,7,0),"")</f>
        <v/>
      </c>
      <c r="BL505" s="272"/>
      <c r="BM505" s="30"/>
      <c r="BN505" s="30"/>
      <c r="BO505" s="30"/>
      <c r="BP505" s="30"/>
      <c r="BQ505" s="30"/>
      <c r="BR505" s="30"/>
      <c r="BS505" s="30"/>
      <c r="BT505" s="30"/>
      <c r="BU505" s="30"/>
      <c r="BV505" s="30"/>
      <c r="BW505" s="30"/>
      <c r="BX505" s="30"/>
      <c r="BY505" s="30"/>
      <c r="BZ505" s="30"/>
      <c r="CA505" s="30"/>
      <c r="CB505" s="30"/>
      <c r="CC505" s="30"/>
      <c r="CD505" s="30"/>
      <c r="CE505" s="30"/>
      <c r="CF505" s="30"/>
      <c r="CG505" s="30"/>
      <c r="CH505" s="30"/>
      <c r="CI505" s="30"/>
      <c r="CJ505" s="30"/>
      <c r="CK505" s="30"/>
      <c r="CL505" s="30"/>
      <c r="CM505" s="30"/>
      <c r="CN505" s="30"/>
      <c r="CO505" s="30"/>
      <c r="CP505" s="30"/>
      <c r="CQ505" s="30"/>
      <c r="CR505" s="30"/>
      <c r="CS505" s="30"/>
      <c r="CT505" s="30"/>
      <c r="CU505" s="30"/>
      <c r="CV505" s="30"/>
      <c r="CW505" s="30"/>
      <c r="CX505" s="30"/>
      <c r="CY505" s="30"/>
      <c r="CZ505" s="30"/>
      <c r="DA505" s="30"/>
    </row>
    <row r="506" spans="1:105" ht="19.2" thickTop="1" thickBot="1" x14ac:dyDescent="0.4">
      <c r="A506" s="30"/>
      <c r="B506" s="30"/>
      <c r="C506" s="188" t="s">
        <v>975</v>
      </c>
      <c r="D506" s="187" t="s">
        <v>967</v>
      </c>
      <c r="E506" s="35" t="str">
        <f>_xlfn.XLOOKUP(Tabella4[[#This Row],[NOME]],'ROSE SQUADRE'!$N$3:$N$253,'ROSE SQUADRE'!$O$3:$O$253,"")</f>
        <v/>
      </c>
      <c r="F506" s="36" t="s">
        <v>161</v>
      </c>
      <c r="G506" s="43">
        <v>4</v>
      </c>
      <c r="H506" s="43">
        <v>4</v>
      </c>
      <c r="I506" s="44">
        <f t="shared" si="44"/>
        <v>0</v>
      </c>
      <c r="J506" s="37">
        <f t="shared" si="45"/>
        <v>2</v>
      </c>
      <c r="K506" s="178">
        <f t="shared" si="46"/>
        <v>4.75</v>
      </c>
      <c r="L506" s="178">
        <f t="shared" si="47"/>
        <v>3.5</v>
      </c>
      <c r="M506" s="179">
        <f t="shared" si="48"/>
        <v>7</v>
      </c>
      <c r="N506" s="45">
        <f t="shared" ca="1" si="49"/>
        <v>0</v>
      </c>
      <c r="O506" s="40">
        <f>SUMIF(Tabella1[Nome],Tabella4[[#This Row],[NOME]],Tabella1[Gf])</f>
        <v>0</v>
      </c>
      <c r="P506" s="40">
        <f>-(SUMIF(Tabella1[Nome],Tabella4[[#This Row],[NOME]],Tabella1[Gs]))</f>
        <v>0</v>
      </c>
      <c r="Q506" s="40">
        <f>SUMIF(Tabella1[Nome],Tabella4[[#This Row],[NOME]],Tabella1[Rp])</f>
        <v>0</v>
      </c>
      <c r="R506" s="40">
        <f>SUMIF(Tabella1[Nome],Tabella4[[#This Row],[NOME]],Tabella1[Rs])</f>
        <v>0</v>
      </c>
      <c r="S506" s="40">
        <f>SUMIF(Tabella1[Nome],Tabella4[[#This Row],[NOME]],Tabella1[Rf])</f>
        <v>0</v>
      </c>
      <c r="T506" s="40">
        <f>SUMIF(Tabella1[Nome],Tabella4[[#This Row],[NOME]],Tabella1[Au])</f>
        <v>1</v>
      </c>
      <c r="U506" s="41">
        <f>SUMIF(Tabella1[Nome],Tabella4[[#This Row],[NOME]],Tabella1[Amm])</f>
        <v>1</v>
      </c>
      <c r="V506" s="42">
        <f>SUMIF(Tabella1[Nome],Tabella4[[#This Row],[NOME]],Tabella1[Esp])</f>
        <v>0</v>
      </c>
      <c r="W506" s="40">
        <f>SUMIF(Tabella1[Nome],Tabella4[[#This Row],[NOME]],Tabella1[Ass])</f>
        <v>0</v>
      </c>
      <c r="X506" s="40">
        <f>SUMIF(Tabella1[Nome],Tabella4[[#This Row],[NOME]],Tabella1[Gdv])</f>
        <v>0</v>
      </c>
      <c r="Y506" s="40">
        <f>SUMIF(Tabella1[Nome],Tabella4[[#This Row],[NOME]],Tabella1[cl sh])</f>
        <v>0</v>
      </c>
      <c r="Z506" s="270" t="str">
        <f>_xlfn.IFNA(_xlfn.XLOOKUP(CONCATENATE(Z$4,$C506),Tabella1[CONC X VOTI IN TAB GIOC],Tabella1[Voto],""),"")</f>
        <v/>
      </c>
      <c r="AA506" s="270">
        <f>_xlfn.IFNA(_xlfn.XLOOKUP(CONCATENATE(AA$4,$C506),Tabella1[CONC X VOTI IN TAB GIOC],Tabella1[Voto],""),"")</f>
        <v>5</v>
      </c>
      <c r="AB506" s="270">
        <f>_xlfn.IFNA(_xlfn.XLOOKUP(CONCATENATE(AB$4,$C506),Tabella1[CONC X VOTI IN TAB GIOC],Tabella1[Voto]),"")</f>
        <v>4.5</v>
      </c>
      <c r="AC506" s="270" t="str" cm="1">
        <f t="array" ref="AC506">_xlfn.IFNA(_xlfn.XLOOKUP(CONCATENATE(AC$4,$C506),INDEX(Tabella1[],0,MATCH("CONC X VOTI IN TAB GIOC",Tabella1[#Headers],0)),INDEX(Tabella1[],0,MATCH("Voto",Tabella1[#Headers],0))),"")</f>
        <v/>
      </c>
      <c r="AD506" s="270" t="str">
        <f>_xlfn.IFNA(_xlfn.XLOOKUP(CONCATENATE(AD$4,$C506),Tabella1[CONC X VOTI IN TAB GIOC],Tabella1[Voto]),"")</f>
        <v/>
      </c>
      <c r="AE506" s="270" t="str">
        <f>_xlfn.IFNA(VLOOKUP(CONCATENATE(AE$4,$C506),'INSER DATA'!$A:$F,6,0),"")</f>
        <v/>
      </c>
      <c r="AF506" s="270" t="str">
        <f>_xlfn.IFNA(VLOOKUP(CONCATENATE(AF$4,$C506),'INSER DATA'!$A:$F,6,0),"")</f>
        <v/>
      </c>
      <c r="AG506" s="270" t="str">
        <f>_xlfn.IFNA(VLOOKUP(CONCATENATE(AG$4,$C506),'INSER DATA'!$A:$F,6,0),"")</f>
        <v/>
      </c>
      <c r="AH506" s="270" t="str">
        <f>_xlfn.IFNA(VLOOKUP(CONCATENATE(AH$4,$C506),'INSER DATA'!$A:$F,7,0),"")</f>
        <v/>
      </c>
      <c r="AI506" s="270" t="str">
        <f>_xlfn.IFNA(VLOOKUP(CONCATENATE(AI$4,$C506),'INSER DATA'!$A:$F,7,0),"")</f>
        <v/>
      </c>
      <c r="AJ506" s="270" t="str">
        <f>_xlfn.IFNA(VLOOKUP(CONCATENATE(AJ$4,$C506),'INSER DATA'!$A:$F,7,0),"")</f>
        <v/>
      </c>
      <c r="AK506" s="270" t="str">
        <f>_xlfn.IFNA(VLOOKUP(CONCATENATE(AK$4,$C506),'INSER DATA'!$A:$F,7,0),"")</f>
        <v/>
      </c>
      <c r="AL506" s="270" t="str">
        <f>_xlfn.IFNA(VLOOKUP(CONCATENATE(AL$4,$C506),'INSER DATA'!$A:$F,7,0),"")</f>
        <v/>
      </c>
      <c r="AM506" s="270" t="str">
        <f>_xlfn.IFNA(VLOOKUP(CONCATENATE(AM$4,$C506),'INSER DATA'!$A:$F,7,0),"")</f>
        <v/>
      </c>
      <c r="AN506" s="270" t="str">
        <f>_xlfn.IFNA(VLOOKUP(CONCATENATE(AN$4,$C506),'INSER DATA'!$A:$F,7,0),"")</f>
        <v/>
      </c>
      <c r="AO506" s="270" t="str">
        <f>_xlfn.IFNA(VLOOKUP(CONCATENATE(AO$4,$C506),'INSER DATA'!$A:$F,7,0),"")</f>
        <v/>
      </c>
      <c r="AP506" s="270" t="str">
        <f>_xlfn.IFNA(VLOOKUP(CONCATENATE(AP$4,$C506),'INSER DATA'!$A:$F,7,0),"")</f>
        <v/>
      </c>
      <c r="AQ506" s="270" t="str">
        <f>_xlfn.IFNA(VLOOKUP(CONCATENATE(AQ$4,$C506),'INSER DATA'!$A:$F,7,0),"")</f>
        <v/>
      </c>
      <c r="AR506" s="270" t="str">
        <f>_xlfn.IFNA(VLOOKUP(CONCATENATE(AR$4,$C506),'INSER DATA'!$A:$F,7,0),"")</f>
        <v/>
      </c>
      <c r="AS506" s="270" t="str">
        <f>_xlfn.IFNA(VLOOKUP(CONCATENATE(AS$4,$C506),'INSER DATA'!$A:$F,7,0),"")</f>
        <v/>
      </c>
      <c r="AT506" s="270" t="str">
        <f>_xlfn.IFNA(VLOOKUP(CONCATENATE(AT$4,$C506),'INSER DATA'!$A:$F,7,0),"")</f>
        <v/>
      </c>
      <c r="AU506" s="270" t="str">
        <f>_xlfn.IFNA(VLOOKUP(CONCATENATE(AU$4,$C506),'INSER DATA'!$A:$F,7,0),"")</f>
        <v/>
      </c>
      <c r="AV506" s="270" t="str">
        <f>_xlfn.IFNA(VLOOKUP(CONCATENATE(AV$4,$C506),'INSER DATA'!$A:$F,7,0),"")</f>
        <v/>
      </c>
      <c r="AW506" s="270" t="str">
        <f>_xlfn.IFNA(VLOOKUP(CONCATENATE(AW$4,$C506),'INSER DATA'!$A:$F,7,0),"")</f>
        <v/>
      </c>
      <c r="AX506" s="270" t="str">
        <f>_xlfn.IFNA(VLOOKUP(CONCATENATE(AX$4,$C506),'INSER DATA'!$A:$F,7,0),"")</f>
        <v/>
      </c>
      <c r="AY506" s="270" t="str">
        <f>_xlfn.IFNA(VLOOKUP(CONCATENATE(AY$4,$C506),'INSER DATA'!$A:$F,7,0),"")</f>
        <v/>
      </c>
      <c r="AZ506" s="270" t="str">
        <f>_xlfn.IFNA(VLOOKUP(CONCATENATE(AZ$4,$C506),'INSER DATA'!$A:$F,7,0),"")</f>
        <v/>
      </c>
      <c r="BA506" s="270" t="str">
        <f>_xlfn.IFNA(VLOOKUP(CONCATENATE(BA$4,$C506),'INSER DATA'!$A:$F,7,0),"")</f>
        <v/>
      </c>
      <c r="BB506" s="270" t="str">
        <f>_xlfn.IFNA(VLOOKUP(CONCATENATE(BB$4,$C506),'INSER DATA'!$A:$F,7,0),"")</f>
        <v/>
      </c>
      <c r="BC506" s="270" t="str">
        <f>_xlfn.IFNA(VLOOKUP(CONCATENATE(BC$4,$C506),'INSER DATA'!$A:$F,7,0),"")</f>
        <v/>
      </c>
      <c r="BD506" s="270" t="str">
        <f>_xlfn.IFNA(VLOOKUP(CONCATENATE(BD$4,$C506),'INSER DATA'!$A:$F,7,0),"")</f>
        <v/>
      </c>
      <c r="BE506" s="270" t="str">
        <f>_xlfn.IFNA(VLOOKUP(CONCATENATE(BE$4,$C506),'INSER DATA'!$A:$F,7,0),"")</f>
        <v/>
      </c>
      <c r="BF506" s="270" t="str">
        <f>_xlfn.IFNA(VLOOKUP(CONCATENATE(BF$4,$C506),'INSER DATA'!$A:$F,7,0),"")</f>
        <v/>
      </c>
      <c r="BG506" s="270" t="str">
        <f>_xlfn.IFNA(VLOOKUP(CONCATENATE(BG$4,$C506),'INSER DATA'!$A:$F,7,0),"")</f>
        <v/>
      </c>
      <c r="BH506" s="270" t="str">
        <f>_xlfn.IFNA(VLOOKUP(CONCATENATE(BH$4,$C506),'INSER DATA'!$A:$F,7,0),"")</f>
        <v/>
      </c>
      <c r="BI506" s="270" t="str">
        <f>_xlfn.IFNA(VLOOKUP(CONCATENATE(BI$4,$C506),'INSER DATA'!$A:$F,7,0),"")</f>
        <v/>
      </c>
      <c r="BJ506" s="270" t="str">
        <f>_xlfn.IFNA(VLOOKUP(CONCATENATE(BJ$4,$C506),'INSER DATA'!$A:$F,7,0),"")</f>
        <v/>
      </c>
      <c r="BK506" s="270" t="str">
        <f>_xlfn.IFNA(VLOOKUP(CONCATENATE(BK$4,$C506),'INSER DATA'!$A:$F,7,0),"")</f>
        <v/>
      </c>
      <c r="BL506" s="272"/>
      <c r="BM506" s="30"/>
      <c r="BN506" s="30"/>
      <c r="BO506" s="30"/>
      <c r="BP506" s="30"/>
      <c r="BQ506" s="30"/>
      <c r="BR506" s="30"/>
      <c r="BS506" s="30"/>
      <c r="BT506" s="30"/>
      <c r="BU506" s="30"/>
      <c r="BV506" s="30"/>
      <c r="BW506" s="30"/>
      <c r="BX506" s="30"/>
      <c r="BY506" s="30"/>
      <c r="BZ506" s="30"/>
      <c r="CA506" s="30"/>
      <c r="CB506" s="30"/>
      <c r="CC506" s="30"/>
      <c r="CD506" s="30"/>
      <c r="CE506" s="30"/>
      <c r="CF506" s="30"/>
      <c r="CG506" s="30"/>
      <c r="CH506" s="30"/>
      <c r="CI506" s="30"/>
      <c r="CJ506" s="30"/>
      <c r="CK506" s="30"/>
      <c r="CL506" s="30"/>
      <c r="CM506" s="30"/>
      <c r="CN506" s="30"/>
      <c r="CO506" s="30"/>
      <c r="CP506" s="30"/>
      <c r="CQ506" s="30"/>
      <c r="CR506" s="30"/>
      <c r="CS506" s="30"/>
      <c r="CT506" s="30"/>
      <c r="CU506" s="30"/>
      <c r="CV506" s="30"/>
      <c r="CW506" s="30"/>
      <c r="CX506" s="30"/>
      <c r="CY506" s="30"/>
      <c r="CZ506" s="30"/>
      <c r="DA506" s="30"/>
    </row>
    <row r="507" spans="1:105" ht="19.2" thickTop="1" thickBot="1" x14ac:dyDescent="0.4">
      <c r="A507" s="30"/>
      <c r="B507" s="30"/>
      <c r="C507" s="188" t="s">
        <v>980</v>
      </c>
      <c r="D507" s="187" t="s">
        <v>967</v>
      </c>
      <c r="E507" s="35" t="str">
        <f>_xlfn.XLOOKUP(Tabella4[[#This Row],[NOME]],'ROSE SQUADRE'!$N$3:$N$253,'ROSE SQUADRE'!$O$3:$O$253,"")</f>
        <v/>
      </c>
      <c r="F507" s="36" t="s">
        <v>162</v>
      </c>
      <c r="G507" s="43">
        <v>1</v>
      </c>
      <c r="H507" s="43">
        <v>1</v>
      </c>
      <c r="I507" s="44">
        <f t="shared" si="44"/>
        <v>0</v>
      </c>
      <c r="J507" s="37">
        <f t="shared" si="45"/>
        <v>1</v>
      </c>
      <c r="K507" s="178">
        <f t="shared" si="46"/>
        <v>5</v>
      </c>
      <c r="L507" s="178">
        <f t="shared" si="47"/>
        <v>4.5</v>
      </c>
      <c r="M507" s="179">
        <f t="shared" si="48"/>
        <v>4.5</v>
      </c>
      <c r="N507" s="45">
        <f t="shared" ca="1" si="49"/>
        <v>0</v>
      </c>
      <c r="O507" s="40">
        <f>SUMIF(Tabella1[Nome],Tabella4[[#This Row],[NOME]],Tabella1[Gf])</f>
        <v>0</v>
      </c>
      <c r="P507" s="40">
        <f>-(SUMIF(Tabella1[Nome],Tabella4[[#This Row],[NOME]],Tabella1[Gs]))</f>
        <v>0</v>
      </c>
      <c r="Q507" s="40">
        <f>SUMIF(Tabella1[Nome],Tabella4[[#This Row],[NOME]],Tabella1[Rp])</f>
        <v>0</v>
      </c>
      <c r="R507" s="40">
        <f>SUMIF(Tabella1[Nome],Tabella4[[#This Row],[NOME]],Tabella1[Rs])</f>
        <v>0</v>
      </c>
      <c r="S507" s="40">
        <f>SUMIF(Tabella1[Nome],Tabella4[[#This Row],[NOME]],Tabella1[Rf])</f>
        <v>0</v>
      </c>
      <c r="T507" s="40">
        <f>SUMIF(Tabella1[Nome],Tabella4[[#This Row],[NOME]],Tabella1[Au])</f>
        <v>0</v>
      </c>
      <c r="U507" s="41">
        <f>SUMIF(Tabella1[Nome],Tabella4[[#This Row],[NOME]],Tabella1[Amm])</f>
        <v>1</v>
      </c>
      <c r="V507" s="42">
        <f>SUMIF(Tabella1[Nome],Tabella4[[#This Row],[NOME]],Tabella1[Esp])</f>
        <v>0</v>
      </c>
      <c r="W507" s="40">
        <f>SUMIF(Tabella1[Nome],Tabella4[[#This Row],[NOME]],Tabella1[Ass])</f>
        <v>0</v>
      </c>
      <c r="X507" s="40">
        <f>SUMIF(Tabella1[Nome],Tabella4[[#This Row],[NOME]],Tabella1[Gdv])</f>
        <v>0</v>
      </c>
      <c r="Y507" s="40">
        <f>SUMIF(Tabella1[Nome],Tabella4[[#This Row],[NOME]],Tabella1[cl sh])</f>
        <v>0</v>
      </c>
      <c r="Z507" s="270">
        <f>_xlfn.IFNA(_xlfn.XLOOKUP(CONCATENATE(Z$4,$C507),Tabella1[CONC X VOTI IN TAB GIOC],Tabella1[Voto],""),"")</f>
        <v>5</v>
      </c>
      <c r="AA507" s="270" t="str">
        <f>_xlfn.IFNA(_xlfn.XLOOKUP(CONCATENATE(AA$4,$C507),Tabella1[CONC X VOTI IN TAB GIOC],Tabella1[Voto],""),"")</f>
        <v/>
      </c>
      <c r="AB507" s="270" t="str">
        <f>_xlfn.IFNA(_xlfn.XLOOKUP(CONCATENATE(AB$4,$C507),Tabella1[CONC X VOTI IN TAB GIOC],Tabella1[Voto]),"")</f>
        <v/>
      </c>
      <c r="AC507" s="270" t="str" cm="1">
        <f t="array" ref="AC507">_xlfn.IFNA(_xlfn.XLOOKUP(CONCATENATE(AC$4,$C507),INDEX(Tabella1[],0,MATCH("CONC X VOTI IN TAB GIOC",Tabella1[#Headers],0)),INDEX(Tabella1[],0,MATCH("Voto",Tabella1[#Headers],0))),"")</f>
        <v/>
      </c>
      <c r="AD507" s="270" t="str">
        <f>_xlfn.IFNA(_xlfn.XLOOKUP(CONCATENATE(AD$4,$C507),Tabella1[CONC X VOTI IN TAB GIOC],Tabella1[Voto]),"")</f>
        <v/>
      </c>
      <c r="AE507" s="270" t="str">
        <f>_xlfn.IFNA(VLOOKUP(CONCATENATE(AE$4,$C507),'INSER DATA'!$A:$F,6,0),"")</f>
        <v/>
      </c>
      <c r="AF507" s="270" t="str">
        <f>_xlfn.IFNA(VLOOKUP(CONCATENATE(AF$4,$C507),'INSER DATA'!$A:$F,6,0),"")</f>
        <v/>
      </c>
      <c r="AG507" s="270" t="str">
        <f>_xlfn.IFNA(VLOOKUP(CONCATENATE(AG$4,$C507),'INSER DATA'!$A:$F,6,0),"")</f>
        <v/>
      </c>
      <c r="AH507" s="270" t="str">
        <f>_xlfn.IFNA(VLOOKUP(CONCATENATE(AH$4,$C507),'INSER DATA'!$A:$F,7,0),"")</f>
        <v/>
      </c>
      <c r="AI507" s="270" t="str">
        <f>_xlfn.IFNA(VLOOKUP(CONCATENATE(AI$4,$C507),'INSER DATA'!$A:$F,7,0),"")</f>
        <v/>
      </c>
      <c r="AJ507" s="270" t="str">
        <f>_xlfn.IFNA(VLOOKUP(CONCATENATE(AJ$4,$C507),'INSER DATA'!$A:$F,7,0),"")</f>
        <v/>
      </c>
      <c r="AK507" s="270" t="str">
        <f>_xlfn.IFNA(VLOOKUP(CONCATENATE(AK$4,$C507),'INSER DATA'!$A:$F,7,0),"")</f>
        <v/>
      </c>
      <c r="AL507" s="270" t="str">
        <f>_xlfn.IFNA(VLOOKUP(CONCATENATE(AL$4,$C507),'INSER DATA'!$A:$F,7,0),"")</f>
        <v/>
      </c>
      <c r="AM507" s="270" t="str">
        <f>_xlfn.IFNA(VLOOKUP(CONCATENATE(AM$4,$C507),'INSER DATA'!$A:$F,7,0),"")</f>
        <v/>
      </c>
      <c r="AN507" s="270" t="str">
        <f>_xlfn.IFNA(VLOOKUP(CONCATENATE(AN$4,$C507),'INSER DATA'!$A:$F,7,0),"")</f>
        <v/>
      </c>
      <c r="AO507" s="270" t="str">
        <f>_xlfn.IFNA(VLOOKUP(CONCATENATE(AO$4,$C507),'INSER DATA'!$A:$F,7,0),"")</f>
        <v/>
      </c>
      <c r="AP507" s="270" t="str">
        <f>_xlfn.IFNA(VLOOKUP(CONCATENATE(AP$4,$C507),'INSER DATA'!$A:$F,7,0),"")</f>
        <v/>
      </c>
      <c r="AQ507" s="270" t="str">
        <f>_xlfn.IFNA(VLOOKUP(CONCATENATE(AQ$4,$C507),'INSER DATA'!$A:$F,7,0),"")</f>
        <v/>
      </c>
      <c r="AR507" s="270" t="str">
        <f>_xlfn.IFNA(VLOOKUP(CONCATENATE(AR$4,$C507),'INSER DATA'!$A:$F,7,0),"")</f>
        <v/>
      </c>
      <c r="AS507" s="270" t="str">
        <f>_xlfn.IFNA(VLOOKUP(CONCATENATE(AS$4,$C507),'INSER DATA'!$A:$F,7,0),"")</f>
        <v/>
      </c>
      <c r="AT507" s="270" t="str">
        <f>_xlfn.IFNA(VLOOKUP(CONCATENATE(AT$4,$C507),'INSER DATA'!$A:$F,7,0),"")</f>
        <v/>
      </c>
      <c r="AU507" s="270" t="str">
        <f>_xlfn.IFNA(VLOOKUP(CONCATENATE(AU$4,$C507),'INSER DATA'!$A:$F,7,0),"")</f>
        <v/>
      </c>
      <c r="AV507" s="270" t="str">
        <f>_xlfn.IFNA(VLOOKUP(CONCATENATE(AV$4,$C507),'INSER DATA'!$A:$F,7,0),"")</f>
        <v/>
      </c>
      <c r="AW507" s="270" t="str">
        <f>_xlfn.IFNA(VLOOKUP(CONCATENATE(AW$4,$C507),'INSER DATA'!$A:$F,7,0),"")</f>
        <v/>
      </c>
      <c r="AX507" s="270" t="str">
        <f>_xlfn.IFNA(VLOOKUP(CONCATENATE(AX$4,$C507),'INSER DATA'!$A:$F,7,0),"")</f>
        <v/>
      </c>
      <c r="AY507" s="270" t="str">
        <f>_xlfn.IFNA(VLOOKUP(CONCATENATE(AY$4,$C507),'INSER DATA'!$A:$F,7,0),"")</f>
        <v/>
      </c>
      <c r="AZ507" s="270" t="str">
        <f>_xlfn.IFNA(VLOOKUP(CONCATENATE(AZ$4,$C507),'INSER DATA'!$A:$F,7,0),"")</f>
        <v/>
      </c>
      <c r="BA507" s="270" t="str">
        <f>_xlfn.IFNA(VLOOKUP(CONCATENATE(BA$4,$C507),'INSER DATA'!$A:$F,7,0),"")</f>
        <v/>
      </c>
      <c r="BB507" s="270" t="str">
        <f>_xlfn.IFNA(VLOOKUP(CONCATENATE(BB$4,$C507),'INSER DATA'!$A:$F,7,0),"")</f>
        <v/>
      </c>
      <c r="BC507" s="270" t="str">
        <f>_xlfn.IFNA(VLOOKUP(CONCATENATE(BC$4,$C507),'INSER DATA'!$A:$F,7,0),"")</f>
        <v/>
      </c>
      <c r="BD507" s="270" t="str">
        <f>_xlfn.IFNA(VLOOKUP(CONCATENATE(BD$4,$C507),'INSER DATA'!$A:$F,7,0),"")</f>
        <v/>
      </c>
      <c r="BE507" s="270" t="str">
        <f>_xlfn.IFNA(VLOOKUP(CONCATENATE(BE$4,$C507),'INSER DATA'!$A:$F,7,0),"")</f>
        <v/>
      </c>
      <c r="BF507" s="270" t="str">
        <f>_xlfn.IFNA(VLOOKUP(CONCATENATE(BF$4,$C507),'INSER DATA'!$A:$F,7,0),"")</f>
        <v/>
      </c>
      <c r="BG507" s="270" t="str">
        <f>_xlfn.IFNA(VLOOKUP(CONCATENATE(BG$4,$C507),'INSER DATA'!$A:$F,7,0),"")</f>
        <v/>
      </c>
      <c r="BH507" s="270" t="str">
        <f>_xlfn.IFNA(VLOOKUP(CONCATENATE(BH$4,$C507),'INSER DATA'!$A:$F,7,0),"")</f>
        <v/>
      </c>
      <c r="BI507" s="270" t="str">
        <f>_xlfn.IFNA(VLOOKUP(CONCATENATE(BI$4,$C507),'INSER DATA'!$A:$F,7,0),"")</f>
        <v/>
      </c>
      <c r="BJ507" s="270" t="str">
        <f>_xlfn.IFNA(VLOOKUP(CONCATENATE(BJ$4,$C507),'INSER DATA'!$A:$F,7,0),"")</f>
        <v/>
      </c>
      <c r="BK507" s="270" t="str">
        <f>_xlfn.IFNA(VLOOKUP(CONCATENATE(BK$4,$C507),'INSER DATA'!$A:$F,7,0),"")</f>
        <v/>
      </c>
      <c r="BL507" s="272"/>
      <c r="BM507" s="30"/>
      <c r="BN507" s="30"/>
      <c r="BO507" s="30"/>
      <c r="BP507" s="30"/>
      <c r="BQ507" s="30"/>
      <c r="BR507" s="30"/>
      <c r="BS507" s="30"/>
      <c r="BT507" s="30"/>
      <c r="BU507" s="30"/>
      <c r="BV507" s="30"/>
      <c r="BW507" s="30"/>
      <c r="BX507" s="30"/>
      <c r="BY507" s="30"/>
      <c r="BZ507" s="30"/>
      <c r="CA507" s="30"/>
      <c r="CB507" s="30"/>
      <c r="CC507" s="30"/>
      <c r="CD507" s="30"/>
      <c r="CE507" s="30"/>
      <c r="CF507" s="30"/>
      <c r="CG507" s="30"/>
      <c r="CH507" s="30"/>
      <c r="CI507" s="30"/>
      <c r="CJ507" s="30"/>
      <c r="CK507" s="30"/>
      <c r="CL507" s="30"/>
      <c r="CM507" s="30"/>
      <c r="CN507" s="30"/>
      <c r="CO507" s="30"/>
      <c r="CP507" s="30"/>
      <c r="CQ507" s="30"/>
      <c r="CR507" s="30"/>
      <c r="CS507" s="30"/>
      <c r="CT507" s="30"/>
      <c r="CU507" s="30"/>
      <c r="CV507" s="30"/>
      <c r="CW507" s="30"/>
      <c r="CX507" s="30"/>
      <c r="CY507" s="30"/>
      <c r="CZ507" s="30"/>
      <c r="DA507" s="30"/>
    </row>
    <row r="508" spans="1:105" ht="19.2" thickTop="1" thickBot="1" x14ac:dyDescent="0.4">
      <c r="A508" s="30"/>
      <c r="B508" s="30"/>
      <c r="C508" s="188" t="s">
        <v>966</v>
      </c>
      <c r="D508" s="187" t="s">
        <v>967</v>
      </c>
      <c r="E508" s="35" t="str">
        <f>_xlfn.XLOOKUP(Tabella4[[#This Row],[NOME]],'ROSE SQUADRE'!$N$3:$N$253,'ROSE SQUADRE'!$O$3:$O$253,"")</f>
        <v/>
      </c>
      <c r="F508" s="36" t="s">
        <v>5</v>
      </c>
      <c r="G508" s="43">
        <v>1</v>
      </c>
      <c r="H508" s="43">
        <v>1</v>
      </c>
      <c r="I508" s="44">
        <f t="shared" si="44"/>
        <v>0</v>
      </c>
      <c r="J508" s="37">
        <f t="shared" si="45"/>
        <v>0</v>
      </c>
      <c r="K508" s="178">
        <f t="shared" si="46"/>
        <v>0</v>
      </c>
      <c r="L508" s="178">
        <f t="shared" si="47"/>
        <v>0</v>
      </c>
      <c r="M508" s="179">
        <f t="shared" si="48"/>
        <v>0</v>
      </c>
      <c r="N508" s="45">
        <f t="shared" ca="1" si="49"/>
        <v>0</v>
      </c>
      <c r="O508" s="40">
        <f>SUMIF(Tabella1[Nome],Tabella4[[#This Row],[NOME]],Tabella1[Gf])</f>
        <v>0</v>
      </c>
      <c r="P508" s="40">
        <f>-(SUMIF(Tabella1[Nome],Tabella4[[#This Row],[NOME]],Tabella1[Gs]))</f>
        <v>0</v>
      </c>
      <c r="Q508" s="40">
        <f>SUMIF(Tabella1[Nome],Tabella4[[#This Row],[NOME]],Tabella1[Rp])</f>
        <v>0</v>
      </c>
      <c r="R508" s="40">
        <f>SUMIF(Tabella1[Nome],Tabella4[[#This Row],[NOME]],Tabella1[Rs])</f>
        <v>0</v>
      </c>
      <c r="S508" s="40">
        <f>SUMIF(Tabella1[Nome],Tabella4[[#This Row],[NOME]],Tabella1[Rf])</f>
        <v>0</v>
      </c>
      <c r="T508" s="40">
        <f>SUMIF(Tabella1[Nome],Tabella4[[#This Row],[NOME]],Tabella1[Au])</f>
        <v>0</v>
      </c>
      <c r="U508" s="41">
        <f>SUMIF(Tabella1[Nome],Tabella4[[#This Row],[NOME]],Tabella1[Amm])</f>
        <v>0</v>
      </c>
      <c r="V508" s="42">
        <f>SUMIF(Tabella1[Nome],Tabella4[[#This Row],[NOME]],Tabella1[Esp])</f>
        <v>0</v>
      </c>
      <c r="W508" s="40">
        <f>SUMIF(Tabella1[Nome],Tabella4[[#This Row],[NOME]],Tabella1[Ass])</f>
        <v>0</v>
      </c>
      <c r="X508" s="40">
        <f>SUMIF(Tabella1[Nome],Tabella4[[#This Row],[NOME]],Tabella1[Gdv])</f>
        <v>0</v>
      </c>
      <c r="Y508" s="40">
        <f>SUMIF(Tabella1[Nome],Tabella4[[#This Row],[NOME]],Tabella1[cl sh])</f>
        <v>0</v>
      </c>
      <c r="Z508" s="270" t="str">
        <f>_xlfn.IFNA(_xlfn.XLOOKUP(CONCATENATE(Z$4,$C508),Tabella1[CONC X VOTI IN TAB GIOC],Tabella1[Voto],""),"")</f>
        <v/>
      </c>
      <c r="AA508" s="270" t="str">
        <f>_xlfn.IFNA(_xlfn.XLOOKUP(CONCATENATE(AA$4,$C508),Tabella1[CONC X VOTI IN TAB GIOC],Tabella1[Voto],""),"")</f>
        <v/>
      </c>
      <c r="AB508" s="270" t="str">
        <f>_xlfn.IFNA(_xlfn.XLOOKUP(CONCATENATE(AB$4,$C508),Tabella1[CONC X VOTI IN TAB GIOC],Tabella1[Voto]),"")</f>
        <v/>
      </c>
      <c r="AC508" s="270" t="str" cm="1">
        <f t="array" ref="AC508">_xlfn.IFNA(_xlfn.XLOOKUP(CONCATENATE(AC$4,$C508),INDEX(Tabella1[],0,MATCH("CONC X VOTI IN TAB GIOC",Tabella1[#Headers],0)),INDEX(Tabella1[],0,MATCH("Voto",Tabella1[#Headers],0))),"")</f>
        <v/>
      </c>
      <c r="AD508" s="270" t="str">
        <f>_xlfn.IFNA(_xlfn.XLOOKUP(CONCATENATE(AD$4,$C508),Tabella1[CONC X VOTI IN TAB GIOC],Tabella1[Voto]),"")</f>
        <v/>
      </c>
      <c r="AE508" s="270" t="str">
        <f>_xlfn.IFNA(VLOOKUP(CONCATENATE(AE$4,$C508),'INSER DATA'!$A:$F,6,0),"")</f>
        <v/>
      </c>
      <c r="AF508" s="270" t="str">
        <f>_xlfn.IFNA(VLOOKUP(CONCATENATE(AF$4,$C508),'INSER DATA'!$A:$F,6,0),"")</f>
        <v/>
      </c>
      <c r="AG508" s="270" t="str">
        <f>_xlfn.IFNA(VLOOKUP(CONCATENATE(AG$4,$C508),'INSER DATA'!$A:$F,6,0),"")</f>
        <v/>
      </c>
      <c r="AH508" s="270" t="str">
        <f>_xlfn.IFNA(VLOOKUP(CONCATENATE(AH$4,$C508),'INSER DATA'!$A:$F,7,0),"")</f>
        <v/>
      </c>
      <c r="AI508" s="270" t="str">
        <f>_xlfn.IFNA(VLOOKUP(CONCATENATE(AI$4,$C508),'INSER DATA'!$A:$F,7,0),"")</f>
        <v/>
      </c>
      <c r="AJ508" s="270" t="str">
        <f>_xlfn.IFNA(VLOOKUP(CONCATENATE(AJ$4,$C508),'INSER DATA'!$A:$F,7,0),"")</f>
        <v/>
      </c>
      <c r="AK508" s="270" t="str">
        <f>_xlfn.IFNA(VLOOKUP(CONCATENATE(AK$4,$C508),'INSER DATA'!$A:$F,7,0),"")</f>
        <v/>
      </c>
      <c r="AL508" s="270" t="str">
        <f>_xlfn.IFNA(VLOOKUP(CONCATENATE(AL$4,$C508),'INSER DATA'!$A:$F,7,0),"")</f>
        <v/>
      </c>
      <c r="AM508" s="270" t="str">
        <f>_xlfn.IFNA(VLOOKUP(CONCATENATE(AM$4,$C508),'INSER DATA'!$A:$F,7,0),"")</f>
        <v/>
      </c>
      <c r="AN508" s="270" t="str">
        <f>_xlfn.IFNA(VLOOKUP(CONCATENATE(AN$4,$C508),'INSER DATA'!$A:$F,7,0),"")</f>
        <v/>
      </c>
      <c r="AO508" s="270" t="str">
        <f>_xlfn.IFNA(VLOOKUP(CONCATENATE(AO$4,$C508),'INSER DATA'!$A:$F,7,0),"")</f>
        <v/>
      </c>
      <c r="AP508" s="270" t="str">
        <f>_xlfn.IFNA(VLOOKUP(CONCATENATE(AP$4,$C508),'INSER DATA'!$A:$F,7,0),"")</f>
        <v/>
      </c>
      <c r="AQ508" s="270" t="str">
        <f>_xlfn.IFNA(VLOOKUP(CONCATENATE(AQ$4,$C508),'INSER DATA'!$A:$F,7,0),"")</f>
        <v/>
      </c>
      <c r="AR508" s="270" t="str">
        <f>_xlfn.IFNA(VLOOKUP(CONCATENATE(AR$4,$C508),'INSER DATA'!$A:$F,7,0),"")</f>
        <v/>
      </c>
      <c r="AS508" s="270" t="str">
        <f>_xlfn.IFNA(VLOOKUP(CONCATENATE(AS$4,$C508),'INSER DATA'!$A:$F,7,0),"")</f>
        <v/>
      </c>
      <c r="AT508" s="270" t="str">
        <f>_xlfn.IFNA(VLOOKUP(CONCATENATE(AT$4,$C508),'INSER DATA'!$A:$F,7,0),"")</f>
        <v/>
      </c>
      <c r="AU508" s="270" t="str">
        <f>_xlfn.IFNA(VLOOKUP(CONCATENATE(AU$4,$C508),'INSER DATA'!$A:$F,7,0),"")</f>
        <v/>
      </c>
      <c r="AV508" s="270" t="str">
        <f>_xlfn.IFNA(VLOOKUP(CONCATENATE(AV$4,$C508),'INSER DATA'!$A:$F,7,0),"")</f>
        <v/>
      </c>
      <c r="AW508" s="270" t="str">
        <f>_xlfn.IFNA(VLOOKUP(CONCATENATE(AW$4,$C508),'INSER DATA'!$A:$F,7,0),"")</f>
        <v/>
      </c>
      <c r="AX508" s="270" t="str">
        <f>_xlfn.IFNA(VLOOKUP(CONCATENATE(AX$4,$C508),'INSER DATA'!$A:$F,7,0),"")</f>
        <v/>
      </c>
      <c r="AY508" s="270" t="str">
        <f>_xlfn.IFNA(VLOOKUP(CONCATENATE(AY$4,$C508),'INSER DATA'!$A:$F,7,0),"")</f>
        <v/>
      </c>
      <c r="AZ508" s="270" t="str">
        <f>_xlfn.IFNA(VLOOKUP(CONCATENATE(AZ$4,$C508),'INSER DATA'!$A:$F,7,0),"")</f>
        <v/>
      </c>
      <c r="BA508" s="270" t="str">
        <f>_xlfn.IFNA(VLOOKUP(CONCATENATE(BA$4,$C508),'INSER DATA'!$A:$F,7,0),"")</f>
        <v/>
      </c>
      <c r="BB508" s="270" t="str">
        <f>_xlfn.IFNA(VLOOKUP(CONCATENATE(BB$4,$C508),'INSER DATA'!$A:$F,7,0),"")</f>
        <v/>
      </c>
      <c r="BC508" s="270" t="str">
        <f>_xlfn.IFNA(VLOOKUP(CONCATENATE(BC$4,$C508),'INSER DATA'!$A:$F,7,0),"")</f>
        <v/>
      </c>
      <c r="BD508" s="270" t="str">
        <f>_xlfn.IFNA(VLOOKUP(CONCATENATE(BD$4,$C508),'INSER DATA'!$A:$F,7,0),"")</f>
        <v/>
      </c>
      <c r="BE508" s="270" t="str">
        <f>_xlfn.IFNA(VLOOKUP(CONCATENATE(BE$4,$C508),'INSER DATA'!$A:$F,7,0),"")</f>
        <v/>
      </c>
      <c r="BF508" s="270" t="str">
        <f>_xlfn.IFNA(VLOOKUP(CONCATENATE(BF$4,$C508),'INSER DATA'!$A:$F,7,0),"")</f>
        <v/>
      </c>
      <c r="BG508" s="270" t="str">
        <f>_xlfn.IFNA(VLOOKUP(CONCATENATE(BG$4,$C508),'INSER DATA'!$A:$F,7,0),"")</f>
        <v/>
      </c>
      <c r="BH508" s="270" t="str">
        <f>_xlfn.IFNA(VLOOKUP(CONCATENATE(BH$4,$C508),'INSER DATA'!$A:$F,7,0),"")</f>
        <v/>
      </c>
      <c r="BI508" s="270" t="str">
        <f>_xlfn.IFNA(VLOOKUP(CONCATENATE(BI$4,$C508),'INSER DATA'!$A:$F,7,0),"")</f>
        <v/>
      </c>
      <c r="BJ508" s="270" t="str">
        <f>_xlfn.IFNA(VLOOKUP(CONCATENATE(BJ$4,$C508),'INSER DATA'!$A:$F,7,0),"")</f>
        <v/>
      </c>
      <c r="BK508" s="270" t="str">
        <f>_xlfn.IFNA(VLOOKUP(CONCATENATE(BK$4,$C508),'INSER DATA'!$A:$F,7,0),"")</f>
        <v/>
      </c>
      <c r="BL508" s="272"/>
      <c r="BM508" s="30"/>
      <c r="BN508" s="30"/>
      <c r="BO508" s="30"/>
      <c r="BP508" s="30"/>
      <c r="BQ508" s="30"/>
      <c r="BR508" s="30"/>
      <c r="BS508" s="30"/>
      <c r="BT508" s="30"/>
      <c r="BU508" s="30"/>
      <c r="BV508" s="30"/>
      <c r="BW508" s="30"/>
      <c r="BX508" s="30"/>
      <c r="BY508" s="30"/>
      <c r="BZ508" s="30"/>
      <c r="CA508" s="30"/>
      <c r="CB508" s="30"/>
      <c r="CC508" s="30"/>
      <c r="CD508" s="30"/>
      <c r="CE508" s="30"/>
      <c r="CF508" s="30"/>
      <c r="CG508" s="30"/>
      <c r="CH508" s="30"/>
      <c r="CI508" s="30"/>
      <c r="CJ508" s="30"/>
      <c r="CK508" s="30"/>
      <c r="CL508" s="30"/>
      <c r="CM508" s="30"/>
      <c r="CN508" s="30"/>
      <c r="CO508" s="30"/>
      <c r="CP508" s="30"/>
      <c r="CQ508" s="30"/>
      <c r="CR508" s="30"/>
      <c r="CS508" s="30"/>
      <c r="CT508" s="30"/>
      <c r="CU508" s="30"/>
      <c r="CV508" s="30"/>
      <c r="CW508" s="30"/>
      <c r="CX508" s="30"/>
      <c r="CY508" s="30"/>
      <c r="CZ508" s="30"/>
      <c r="DA508" s="30"/>
    </row>
    <row r="509" spans="1:105" ht="19.2" thickTop="1" thickBot="1" x14ac:dyDescent="0.4">
      <c r="A509" s="30"/>
      <c r="B509" s="30"/>
      <c r="C509" s="354" t="s">
        <v>968</v>
      </c>
      <c r="D509" s="357" t="s">
        <v>967</v>
      </c>
      <c r="E509" s="35" t="str">
        <f>_xlfn.XLOOKUP(Tabella4[[#This Row],[NOME]],'ROSE SQUADRE'!$N$3:$N$253,'ROSE SQUADRE'!$O$3:$O$253,"")</f>
        <v>SHARK</v>
      </c>
      <c r="F509" s="36" t="s">
        <v>5</v>
      </c>
      <c r="G509" s="43">
        <v>1</v>
      </c>
      <c r="H509" s="43">
        <v>1</v>
      </c>
      <c r="I509" s="44">
        <f t="shared" si="44"/>
        <v>0</v>
      </c>
      <c r="J509" s="37">
        <f t="shared" si="45"/>
        <v>0</v>
      </c>
      <c r="K509" s="178">
        <f t="shared" si="46"/>
        <v>0</v>
      </c>
      <c r="L509" s="178">
        <f t="shared" si="47"/>
        <v>0</v>
      </c>
      <c r="M509" s="179">
        <f t="shared" si="48"/>
        <v>0</v>
      </c>
      <c r="N509" s="45">
        <f t="shared" ca="1" si="49"/>
        <v>0</v>
      </c>
      <c r="O509" s="40">
        <f>SUMIF(Tabella1[Nome],Tabella4[[#This Row],[NOME]],Tabella1[Gf])</f>
        <v>0</v>
      </c>
      <c r="P509" s="40">
        <f>-(SUMIF(Tabella1[Nome],Tabella4[[#This Row],[NOME]],Tabella1[Gs]))</f>
        <v>0</v>
      </c>
      <c r="Q509" s="40">
        <f>SUMIF(Tabella1[Nome],Tabella4[[#This Row],[NOME]],Tabella1[Rp])</f>
        <v>0</v>
      </c>
      <c r="R509" s="40">
        <f>SUMIF(Tabella1[Nome],Tabella4[[#This Row],[NOME]],Tabella1[Rs])</f>
        <v>0</v>
      </c>
      <c r="S509" s="40">
        <f>SUMIF(Tabella1[Nome],Tabella4[[#This Row],[NOME]],Tabella1[Rf])</f>
        <v>0</v>
      </c>
      <c r="T509" s="40">
        <f>SUMIF(Tabella1[Nome],Tabella4[[#This Row],[NOME]],Tabella1[Au])</f>
        <v>0</v>
      </c>
      <c r="U509" s="41">
        <f>SUMIF(Tabella1[Nome],Tabella4[[#This Row],[NOME]],Tabella1[Amm])</f>
        <v>0</v>
      </c>
      <c r="V509" s="42">
        <f>SUMIF(Tabella1[Nome],Tabella4[[#This Row],[NOME]],Tabella1[Esp])</f>
        <v>0</v>
      </c>
      <c r="W509" s="40">
        <f>SUMIF(Tabella1[Nome],Tabella4[[#This Row],[NOME]],Tabella1[Ass])</f>
        <v>0</v>
      </c>
      <c r="X509" s="40">
        <f>SUMIF(Tabella1[Nome],Tabella4[[#This Row],[NOME]],Tabella1[Gdv])</f>
        <v>0</v>
      </c>
      <c r="Y509" s="40">
        <f>SUMIF(Tabella1[Nome],Tabella4[[#This Row],[NOME]],Tabella1[cl sh])</f>
        <v>0</v>
      </c>
      <c r="Z509" s="270" t="str">
        <f>_xlfn.IFNA(_xlfn.XLOOKUP(CONCATENATE(Z$4,$C509),Tabella1[CONC X VOTI IN TAB GIOC],Tabella1[Voto],""),"")</f>
        <v/>
      </c>
      <c r="AA509" s="270" t="str">
        <f>_xlfn.IFNA(_xlfn.XLOOKUP(CONCATENATE(AA$4,$C509),Tabella1[CONC X VOTI IN TAB GIOC],Tabella1[Voto],""),"")</f>
        <v/>
      </c>
      <c r="AB509" s="270" t="str">
        <f>_xlfn.IFNA(_xlfn.XLOOKUP(CONCATENATE(AB$4,$C509),Tabella1[CONC X VOTI IN TAB GIOC],Tabella1[Voto]),"")</f>
        <v/>
      </c>
      <c r="AC509" s="270" t="str" cm="1">
        <f t="array" ref="AC509">_xlfn.IFNA(_xlfn.XLOOKUP(CONCATENATE(AC$4,$C509),INDEX(Tabella1[],0,MATCH("CONC X VOTI IN TAB GIOC",Tabella1[#Headers],0)),INDEX(Tabella1[],0,MATCH("Voto",Tabella1[#Headers],0))),"")</f>
        <v/>
      </c>
      <c r="AD509" s="270" t="str">
        <f>_xlfn.IFNA(_xlfn.XLOOKUP(CONCATENATE(AD$4,$C509),Tabella1[CONC X VOTI IN TAB GIOC],Tabella1[Voto]),"")</f>
        <v/>
      </c>
      <c r="AE509" s="270" t="str">
        <f>_xlfn.IFNA(VLOOKUP(CONCATENATE(AE$4,$C509),'INSER DATA'!$A:$F,6,0),"")</f>
        <v/>
      </c>
      <c r="AF509" s="270" t="str">
        <f>_xlfn.IFNA(VLOOKUP(CONCATENATE(AF$4,$C509),'INSER DATA'!$A:$F,6,0),"")</f>
        <v/>
      </c>
      <c r="AG509" s="270" t="str">
        <f>_xlfn.IFNA(VLOOKUP(CONCATENATE(AG$4,$C509),'INSER DATA'!$A:$F,6,0),"")</f>
        <v/>
      </c>
      <c r="AH509" s="270" t="str">
        <f>_xlfn.IFNA(VLOOKUP(CONCATENATE(AH$4,$C509),'INSER DATA'!$A:$F,7,0),"")</f>
        <v/>
      </c>
      <c r="AI509" s="270" t="str">
        <f>_xlfn.IFNA(VLOOKUP(CONCATENATE(AI$4,$C509),'INSER DATA'!$A:$F,7,0),"")</f>
        <v/>
      </c>
      <c r="AJ509" s="270" t="str">
        <f>_xlfn.IFNA(VLOOKUP(CONCATENATE(AJ$4,$C509),'INSER DATA'!$A:$F,7,0),"")</f>
        <v/>
      </c>
      <c r="AK509" s="270" t="str">
        <f>_xlfn.IFNA(VLOOKUP(CONCATENATE(AK$4,$C509),'INSER DATA'!$A:$F,7,0),"")</f>
        <v/>
      </c>
      <c r="AL509" s="270" t="str">
        <f>_xlfn.IFNA(VLOOKUP(CONCATENATE(AL$4,$C509),'INSER DATA'!$A:$F,7,0),"")</f>
        <v/>
      </c>
      <c r="AM509" s="270" t="str">
        <f>_xlfn.IFNA(VLOOKUP(CONCATENATE(AM$4,$C509),'INSER DATA'!$A:$F,7,0),"")</f>
        <v/>
      </c>
      <c r="AN509" s="270" t="str">
        <f>_xlfn.IFNA(VLOOKUP(CONCATENATE(AN$4,$C509),'INSER DATA'!$A:$F,7,0),"")</f>
        <v/>
      </c>
      <c r="AO509" s="270" t="str">
        <f>_xlfn.IFNA(VLOOKUP(CONCATENATE(AO$4,$C509),'INSER DATA'!$A:$F,7,0),"")</f>
        <v/>
      </c>
      <c r="AP509" s="270" t="str">
        <f>_xlfn.IFNA(VLOOKUP(CONCATENATE(AP$4,$C509),'INSER DATA'!$A:$F,7,0),"")</f>
        <v/>
      </c>
      <c r="AQ509" s="270" t="str">
        <f>_xlfn.IFNA(VLOOKUP(CONCATENATE(AQ$4,$C509),'INSER DATA'!$A:$F,7,0),"")</f>
        <v/>
      </c>
      <c r="AR509" s="270" t="str">
        <f>_xlfn.IFNA(VLOOKUP(CONCATENATE(AR$4,$C509),'INSER DATA'!$A:$F,7,0),"")</f>
        <v/>
      </c>
      <c r="AS509" s="270" t="str">
        <f>_xlfn.IFNA(VLOOKUP(CONCATENATE(AS$4,$C509),'INSER DATA'!$A:$F,7,0),"")</f>
        <v/>
      </c>
      <c r="AT509" s="270" t="str">
        <f>_xlfn.IFNA(VLOOKUP(CONCATENATE(AT$4,$C509),'INSER DATA'!$A:$F,7,0),"")</f>
        <v/>
      </c>
      <c r="AU509" s="270" t="str">
        <f>_xlfn.IFNA(VLOOKUP(CONCATENATE(AU$4,$C509),'INSER DATA'!$A:$F,7,0),"")</f>
        <v/>
      </c>
      <c r="AV509" s="270" t="str">
        <f>_xlfn.IFNA(VLOOKUP(CONCATENATE(AV$4,$C509),'INSER DATA'!$A:$F,7,0),"")</f>
        <v/>
      </c>
      <c r="AW509" s="270" t="str">
        <f>_xlfn.IFNA(VLOOKUP(CONCATENATE(AW$4,$C509),'INSER DATA'!$A:$F,7,0),"")</f>
        <v/>
      </c>
      <c r="AX509" s="270" t="str">
        <f>_xlfn.IFNA(VLOOKUP(CONCATENATE(AX$4,$C509),'INSER DATA'!$A:$F,7,0),"")</f>
        <v/>
      </c>
      <c r="AY509" s="270" t="str">
        <f>_xlfn.IFNA(VLOOKUP(CONCATENATE(AY$4,$C509),'INSER DATA'!$A:$F,7,0),"")</f>
        <v/>
      </c>
      <c r="AZ509" s="270" t="str">
        <f>_xlfn.IFNA(VLOOKUP(CONCATENATE(AZ$4,$C509),'INSER DATA'!$A:$F,7,0),"")</f>
        <v/>
      </c>
      <c r="BA509" s="270" t="str">
        <f>_xlfn.IFNA(VLOOKUP(CONCATENATE(BA$4,$C509),'INSER DATA'!$A:$F,7,0),"")</f>
        <v/>
      </c>
      <c r="BB509" s="270" t="str">
        <f>_xlfn.IFNA(VLOOKUP(CONCATENATE(BB$4,$C509),'INSER DATA'!$A:$F,7,0),"")</f>
        <v/>
      </c>
      <c r="BC509" s="270" t="str">
        <f>_xlfn.IFNA(VLOOKUP(CONCATENATE(BC$4,$C509),'INSER DATA'!$A:$F,7,0),"")</f>
        <v/>
      </c>
      <c r="BD509" s="270" t="str">
        <f>_xlfn.IFNA(VLOOKUP(CONCATENATE(BD$4,$C509),'INSER DATA'!$A:$F,7,0),"")</f>
        <v/>
      </c>
      <c r="BE509" s="270" t="str">
        <f>_xlfn.IFNA(VLOOKUP(CONCATENATE(BE$4,$C509),'INSER DATA'!$A:$F,7,0),"")</f>
        <v/>
      </c>
      <c r="BF509" s="270" t="str">
        <f>_xlfn.IFNA(VLOOKUP(CONCATENATE(BF$4,$C509),'INSER DATA'!$A:$F,7,0),"")</f>
        <v/>
      </c>
      <c r="BG509" s="270" t="str">
        <f>_xlfn.IFNA(VLOOKUP(CONCATENATE(BG$4,$C509),'INSER DATA'!$A:$F,7,0),"")</f>
        <v/>
      </c>
      <c r="BH509" s="270" t="str">
        <f>_xlfn.IFNA(VLOOKUP(CONCATENATE(BH$4,$C509),'INSER DATA'!$A:$F,7,0),"")</f>
        <v/>
      </c>
      <c r="BI509" s="270" t="str">
        <f>_xlfn.IFNA(VLOOKUP(CONCATENATE(BI$4,$C509),'INSER DATA'!$A:$F,7,0),"")</f>
        <v/>
      </c>
      <c r="BJ509" s="270" t="str">
        <f>_xlfn.IFNA(VLOOKUP(CONCATENATE(BJ$4,$C509),'INSER DATA'!$A:$F,7,0),"")</f>
        <v/>
      </c>
      <c r="BK509" s="270" t="str">
        <f>_xlfn.IFNA(VLOOKUP(CONCATENATE(BK$4,$C509),'INSER DATA'!$A:$F,7,0),"")</f>
        <v/>
      </c>
      <c r="BL509" s="272"/>
      <c r="BM509" s="30"/>
      <c r="BN509" s="30"/>
      <c r="BO509" s="30"/>
      <c r="BP509" s="30"/>
      <c r="BQ509" s="30"/>
      <c r="BR509" s="30"/>
      <c r="BS509" s="30"/>
      <c r="BT509" s="30"/>
      <c r="BU509" s="30"/>
      <c r="BV509" s="30"/>
      <c r="BW509" s="30"/>
      <c r="BX509" s="30"/>
      <c r="BY509" s="30"/>
      <c r="BZ509" s="30"/>
      <c r="CA509" s="30"/>
      <c r="CB509" s="30"/>
      <c r="CC509" s="30"/>
      <c r="CD509" s="30"/>
      <c r="CE509" s="30"/>
      <c r="CF509" s="30"/>
      <c r="CG509" s="30"/>
      <c r="CH509" s="30"/>
      <c r="CI509" s="30"/>
      <c r="CJ509" s="30"/>
      <c r="CK509" s="30"/>
      <c r="CL509" s="30"/>
      <c r="CM509" s="30"/>
      <c r="CN509" s="30"/>
      <c r="CO509" s="30"/>
      <c r="CP509" s="30"/>
      <c r="CQ509" s="30"/>
      <c r="CR509" s="30"/>
      <c r="CS509" s="30"/>
      <c r="CT509" s="30"/>
      <c r="CU509" s="30"/>
      <c r="CV509" s="30"/>
      <c r="CW509" s="30"/>
      <c r="CX509" s="30"/>
      <c r="CY509" s="30"/>
      <c r="CZ509" s="30"/>
      <c r="DA509" s="30"/>
    </row>
    <row r="510" spans="1:105" ht="19.2" thickTop="1" thickBot="1" x14ac:dyDescent="0.4">
      <c r="A510" s="30"/>
      <c r="B510" s="30"/>
      <c r="C510" s="188" t="s">
        <v>969</v>
      </c>
      <c r="D510" s="187" t="s">
        <v>967</v>
      </c>
      <c r="E510" s="35" t="str">
        <f>_xlfn.XLOOKUP(Tabella4[[#This Row],[NOME]],'ROSE SQUADRE'!$N$3:$N$253,'ROSE SQUADRE'!$O$3:$O$253,"")</f>
        <v/>
      </c>
      <c r="F510" s="36" t="s">
        <v>5</v>
      </c>
      <c r="G510" s="43">
        <v>1</v>
      </c>
      <c r="H510" s="43">
        <v>1</v>
      </c>
      <c r="I510" s="44">
        <f t="shared" si="44"/>
        <v>0</v>
      </c>
      <c r="J510" s="37">
        <f t="shared" si="45"/>
        <v>0</v>
      </c>
      <c r="K510" s="178">
        <f t="shared" si="46"/>
        <v>0</v>
      </c>
      <c r="L510" s="178">
        <f t="shared" si="47"/>
        <v>0</v>
      </c>
      <c r="M510" s="179">
        <f t="shared" si="48"/>
        <v>0</v>
      </c>
      <c r="N510" s="45">
        <f t="shared" ca="1" si="49"/>
        <v>0</v>
      </c>
      <c r="O510" s="40">
        <f>SUMIF(Tabella1[Nome],Tabella4[[#This Row],[NOME]],Tabella1[Gf])</f>
        <v>0</v>
      </c>
      <c r="P510" s="40">
        <f>-(SUMIF(Tabella1[Nome],Tabella4[[#This Row],[NOME]],Tabella1[Gs]))</f>
        <v>0</v>
      </c>
      <c r="Q510" s="40">
        <f>SUMIF(Tabella1[Nome],Tabella4[[#This Row],[NOME]],Tabella1[Rp])</f>
        <v>0</v>
      </c>
      <c r="R510" s="40">
        <f>SUMIF(Tabella1[Nome],Tabella4[[#This Row],[NOME]],Tabella1[Rs])</f>
        <v>0</v>
      </c>
      <c r="S510" s="40">
        <f>SUMIF(Tabella1[Nome],Tabella4[[#This Row],[NOME]],Tabella1[Rf])</f>
        <v>0</v>
      </c>
      <c r="T510" s="40">
        <f>SUMIF(Tabella1[Nome],Tabella4[[#This Row],[NOME]],Tabella1[Au])</f>
        <v>0</v>
      </c>
      <c r="U510" s="41">
        <f>SUMIF(Tabella1[Nome],Tabella4[[#This Row],[NOME]],Tabella1[Amm])</f>
        <v>0</v>
      </c>
      <c r="V510" s="42">
        <f>SUMIF(Tabella1[Nome],Tabella4[[#This Row],[NOME]],Tabella1[Esp])</f>
        <v>0</v>
      </c>
      <c r="W510" s="40">
        <f>SUMIF(Tabella1[Nome],Tabella4[[#This Row],[NOME]],Tabella1[Ass])</f>
        <v>0</v>
      </c>
      <c r="X510" s="40">
        <f>SUMIF(Tabella1[Nome],Tabella4[[#This Row],[NOME]],Tabella1[Gdv])</f>
        <v>0</v>
      </c>
      <c r="Y510" s="40">
        <f>SUMIF(Tabella1[Nome],Tabella4[[#This Row],[NOME]],Tabella1[cl sh])</f>
        <v>0</v>
      </c>
      <c r="Z510" s="270" t="str">
        <f>_xlfn.IFNA(_xlfn.XLOOKUP(CONCATENATE(Z$4,$C510),Tabella1[CONC X VOTI IN TAB GIOC],Tabella1[Voto],""),"")</f>
        <v/>
      </c>
      <c r="AA510" s="270" t="str">
        <f>_xlfn.IFNA(_xlfn.XLOOKUP(CONCATENATE(AA$4,$C510),Tabella1[CONC X VOTI IN TAB GIOC],Tabella1[Voto],""),"")</f>
        <v/>
      </c>
      <c r="AB510" s="270" t="str">
        <f>_xlfn.IFNA(_xlfn.XLOOKUP(CONCATENATE(AB$4,$C510),Tabella1[CONC X VOTI IN TAB GIOC],Tabella1[Voto]),"")</f>
        <v/>
      </c>
      <c r="AC510" s="270" t="str" cm="1">
        <f t="array" ref="AC510">_xlfn.IFNA(_xlfn.XLOOKUP(CONCATENATE(AC$4,$C510),INDEX(Tabella1[],0,MATCH("CONC X VOTI IN TAB GIOC",Tabella1[#Headers],0)),INDEX(Tabella1[],0,MATCH("Voto",Tabella1[#Headers],0))),"")</f>
        <v/>
      </c>
      <c r="AD510" s="270" t="str">
        <f>_xlfn.IFNA(_xlfn.XLOOKUP(CONCATENATE(AD$4,$C510),Tabella1[CONC X VOTI IN TAB GIOC],Tabella1[Voto]),"")</f>
        <v/>
      </c>
      <c r="AE510" s="270" t="str">
        <f>_xlfn.IFNA(VLOOKUP(CONCATENATE(AE$4,$C510),'INSER DATA'!$A:$F,6,0),"")</f>
        <v/>
      </c>
      <c r="AF510" s="270" t="str">
        <f>_xlfn.IFNA(VLOOKUP(CONCATENATE(AF$4,$C510),'INSER DATA'!$A:$F,6,0),"")</f>
        <v/>
      </c>
      <c r="AG510" s="270" t="str">
        <f>_xlfn.IFNA(VLOOKUP(CONCATENATE(AG$4,$C510),'INSER DATA'!$A:$F,6,0),"")</f>
        <v/>
      </c>
      <c r="AH510" s="270" t="str">
        <f>_xlfn.IFNA(VLOOKUP(CONCATENATE(AH$4,$C510),'INSER DATA'!$A:$F,7,0),"")</f>
        <v/>
      </c>
      <c r="AI510" s="270" t="str">
        <f>_xlfn.IFNA(VLOOKUP(CONCATENATE(AI$4,$C510),'INSER DATA'!$A:$F,7,0),"")</f>
        <v/>
      </c>
      <c r="AJ510" s="270" t="str">
        <f>_xlfn.IFNA(VLOOKUP(CONCATENATE(AJ$4,$C510),'INSER DATA'!$A:$F,7,0),"")</f>
        <v/>
      </c>
      <c r="AK510" s="270" t="str">
        <f>_xlfn.IFNA(VLOOKUP(CONCATENATE(AK$4,$C510),'INSER DATA'!$A:$F,7,0),"")</f>
        <v/>
      </c>
      <c r="AL510" s="270" t="str">
        <f>_xlfn.IFNA(VLOOKUP(CONCATENATE(AL$4,$C510),'INSER DATA'!$A:$F,7,0),"")</f>
        <v/>
      </c>
      <c r="AM510" s="270" t="str">
        <f>_xlfn.IFNA(VLOOKUP(CONCATENATE(AM$4,$C510),'INSER DATA'!$A:$F,7,0),"")</f>
        <v/>
      </c>
      <c r="AN510" s="270" t="str">
        <f>_xlfn.IFNA(VLOOKUP(CONCATENATE(AN$4,$C510),'INSER DATA'!$A:$F,7,0),"")</f>
        <v/>
      </c>
      <c r="AO510" s="270" t="str">
        <f>_xlfn.IFNA(VLOOKUP(CONCATENATE(AO$4,$C510),'INSER DATA'!$A:$F,7,0),"")</f>
        <v/>
      </c>
      <c r="AP510" s="270" t="str">
        <f>_xlfn.IFNA(VLOOKUP(CONCATENATE(AP$4,$C510),'INSER DATA'!$A:$F,7,0),"")</f>
        <v/>
      </c>
      <c r="AQ510" s="270" t="str">
        <f>_xlfn.IFNA(VLOOKUP(CONCATENATE(AQ$4,$C510),'INSER DATA'!$A:$F,7,0),"")</f>
        <v/>
      </c>
      <c r="AR510" s="270" t="str">
        <f>_xlfn.IFNA(VLOOKUP(CONCATENATE(AR$4,$C510),'INSER DATA'!$A:$F,7,0),"")</f>
        <v/>
      </c>
      <c r="AS510" s="270" t="str">
        <f>_xlfn.IFNA(VLOOKUP(CONCATENATE(AS$4,$C510),'INSER DATA'!$A:$F,7,0),"")</f>
        <v/>
      </c>
      <c r="AT510" s="270" t="str">
        <f>_xlfn.IFNA(VLOOKUP(CONCATENATE(AT$4,$C510),'INSER DATA'!$A:$F,7,0),"")</f>
        <v/>
      </c>
      <c r="AU510" s="270" t="str">
        <f>_xlfn.IFNA(VLOOKUP(CONCATENATE(AU$4,$C510),'INSER DATA'!$A:$F,7,0),"")</f>
        <v/>
      </c>
      <c r="AV510" s="270" t="str">
        <f>_xlfn.IFNA(VLOOKUP(CONCATENATE(AV$4,$C510),'INSER DATA'!$A:$F,7,0),"")</f>
        <v/>
      </c>
      <c r="AW510" s="270" t="str">
        <f>_xlfn.IFNA(VLOOKUP(CONCATENATE(AW$4,$C510),'INSER DATA'!$A:$F,7,0),"")</f>
        <v/>
      </c>
      <c r="AX510" s="270" t="str">
        <f>_xlfn.IFNA(VLOOKUP(CONCATENATE(AX$4,$C510),'INSER DATA'!$A:$F,7,0),"")</f>
        <v/>
      </c>
      <c r="AY510" s="270" t="str">
        <f>_xlfn.IFNA(VLOOKUP(CONCATENATE(AY$4,$C510),'INSER DATA'!$A:$F,7,0),"")</f>
        <v/>
      </c>
      <c r="AZ510" s="270" t="str">
        <f>_xlfn.IFNA(VLOOKUP(CONCATENATE(AZ$4,$C510),'INSER DATA'!$A:$F,7,0),"")</f>
        <v/>
      </c>
      <c r="BA510" s="270" t="str">
        <f>_xlfn.IFNA(VLOOKUP(CONCATENATE(BA$4,$C510),'INSER DATA'!$A:$F,7,0),"")</f>
        <v/>
      </c>
      <c r="BB510" s="270" t="str">
        <f>_xlfn.IFNA(VLOOKUP(CONCATENATE(BB$4,$C510),'INSER DATA'!$A:$F,7,0),"")</f>
        <v/>
      </c>
      <c r="BC510" s="270" t="str">
        <f>_xlfn.IFNA(VLOOKUP(CONCATENATE(BC$4,$C510),'INSER DATA'!$A:$F,7,0),"")</f>
        <v/>
      </c>
      <c r="BD510" s="270" t="str">
        <f>_xlfn.IFNA(VLOOKUP(CONCATENATE(BD$4,$C510),'INSER DATA'!$A:$F,7,0),"")</f>
        <v/>
      </c>
      <c r="BE510" s="270" t="str">
        <f>_xlfn.IFNA(VLOOKUP(CONCATENATE(BE$4,$C510),'INSER DATA'!$A:$F,7,0),"")</f>
        <v/>
      </c>
      <c r="BF510" s="270" t="str">
        <f>_xlfn.IFNA(VLOOKUP(CONCATENATE(BF$4,$C510),'INSER DATA'!$A:$F,7,0),"")</f>
        <v/>
      </c>
      <c r="BG510" s="270" t="str">
        <f>_xlfn.IFNA(VLOOKUP(CONCATENATE(BG$4,$C510),'INSER DATA'!$A:$F,7,0),"")</f>
        <v/>
      </c>
      <c r="BH510" s="270" t="str">
        <f>_xlfn.IFNA(VLOOKUP(CONCATENATE(BH$4,$C510),'INSER DATA'!$A:$F,7,0),"")</f>
        <v/>
      </c>
      <c r="BI510" s="270" t="str">
        <f>_xlfn.IFNA(VLOOKUP(CONCATENATE(BI$4,$C510),'INSER DATA'!$A:$F,7,0),"")</f>
        <v/>
      </c>
      <c r="BJ510" s="270" t="str">
        <f>_xlfn.IFNA(VLOOKUP(CONCATENATE(BJ$4,$C510),'INSER DATA'!$A:$F,7,0),"")</f>
        <v/>
      </c>
      <c r="BK510" s="270" t="str">
        <f>_xlfn.IFNA(VLOOKUP(CONCATENATE(BK$4,$C510),'INSER DATA'!$A:$F,7,0),"")</f>
        <v/>
      </c>
      <c r="BL510" s="272"/>
      <c r="BM510" s="30"/>
      <c r="BN510" s="30"/>
      <c r="BO510" s="30"/>
      <c r="BP510" s="30"/>
      <c r="BQ510" s="30"/>
      <c r="BR510" s="30"/>
      <c r="BS510" s="30"/>
      <c r="BT510" s="30"/>
      <c r="BU510" s="30"/>
      <c r="BV510" s="30"/>
      <c r="BW510" s="30"/>
      <c r="BX510" s="30"/>
      <c r="BY510" s="30"/>
      <c r="BZ510" s="30"/>
      <c r="CA510" s="30"/>
      <c r="CB510" s="30"/>
      <c r="CC510" s="30"/>
      <c r="CD510" s="30"/>
      <c r="CE510" s="30"/>
      <c r="CF510" s="30"/>
      <c r="CG510" s="30"/>
      <c r="CH510" s="30"/>
      <c r="CI510" s="30"/>
      <c r="CJ510" s="30"/>
      <c r="CK510" s="30"/>
      <c r="CL510" s="30"/>
      <c r="CM510" s="30"/>
      <c r="CN510" s="30"/>
      <c r="CO510" s="30"/>
      <c r="CP510" s="30"/>
      <c r="CQ510" s="30"/>
      <c r="CR510" s="30"/>
      <c r="CS510" s="30"/>
      <c r="CT510" s="30"/>
      <c r="CU510" s="30"/>
      <c r="CV510" s="30"/>
      <c r="CW510" s="30"/>
      <c r="CX510" s="30"/>
      <c r="CY510" s="30"/>
      <c r="CZ510" s="30"/>
      <c r="DA510" s="30"/>
    </row>
    <row r="511" spans="1:105" ht="19.2" thickTop="1" thickBot="1" x14ac:dyDescent="0.4">
      <c r="A511" s="30"/>
      <c r="B511" s="30"/>
      <c r="C511" s="185" t="s">
        <v>974</v>
      </c>
      <c r="D511" s="46" t="s">
        <v>967</v>
      </c>
      <c r="E511" s="35" t="str">
        <f>_xlfn.XLOOKUP(Tabella4[[#This Row],[NOME]],'ROSE SQUADRE'!$N$3:$N$253,'ROSE SQUADRE'!$O$3:$O$253,"")</f>
        <v/>
      </c>
      <c r="F511" s="36" t="s">
        <v>161</v>
      </c>
      <c r="G511" s="43">
        <v>1</v>
      </c>
      <c r="H511" s="43">
        <v>1</v>
      </c>
      <c r="I511" s="44">
        <f t="shared" si="44"/>
        <v>0</v>
      </c>
      <c r="J511" s="37">
        <f t="shared" si="45"/>
        <v>0</v>
      </c>
      <c r="K511" s="178">
        <f t="shared" si="46"/>
        <v>0</v>
      </c>
      <c r="L511" s="178">
        <f t="shared" si="47"/>
        <v>0</v>
      </c>
      <c r="M511" s="179">
        <f t="shared" si="48"/>
        <v>0</v>
      </c>
      <c r="N511" s="45">
        <f t="shared" ca="1" si="49"/>
        <v>0</v>
      </c>
      <c r="O511" s="40">
        <f>SUMIF(Tabella1[Nome],Tabella4[[#This Row],[NOME]],Tabella1[Gf])</f>
        <v>0</v>
      </c>
      <c r="P511" s="40">
        <f>-(SUMIF(Tabella1[Nome],Tabella4[[#This Row],[NOME]],Tabella1[Gs]))</f>
        <v>0</v>
      </c>
      <c r="Q511" s="40">
        <f>SUMIF(Tabella1[Nome],Tabella4[[#This Row],[NOME]],Tabella1[Rp])</f>
        <v>0</v>
      </c>
      <c r="R511" s="40">
        <f>SUMIF(Tabella1[Nome],Tabella4[[#This Row],[NOME]],Tabella1[Rs])</f>
        <v>0</v>
      </c>
      <c r="S511" s="40">
        <f>SUMIF(Tabella1[Nome],Tabella4[[#This Row],[NOME]],Tabella1[Rf])</f>
        <v>0</v>
      </c>
      <c r="T511" s="40">
        <f>SUMIF(Tabella1[Nome],Tabella4[[#This Row],[NOME]],Tabella1[Au])</f>
        <v>0</v>
      </c>
      <c r="U511" s="41">
        <f>SUMIF(Tabella1[Nome],Tabella4[[#This Row],[NOME]],Tabella1[Amm])</f>
        <v>0</v>
      </c>
      <c r="V511" s="42">
        <f>SUMIF(Tabella1[Nome],Tabella4[[#This Row],[NOME]],Tabella1[Esp])</f>
        <v>0</v>
      </c>
      <c r="W511" s="40">
        <f>SUMIF(Tabella1[Nome],Tabella4[[#This Row],[NOME]],Tabella1[Ass])</f>
        <v>0</v>
      </c>
      <c r="X511" s="40">
        <f>SUMIF(Tabella1[Nome],Tabella4[[#This Row],[NOME]],Tabella1[Gdv])</f>
        <v>0</v>
      </c>
      <c r="Y511" s="40">
        <f>SUMIF(Tabella1[Nome],Tabella4[[#This Row],[NOME]],Tabella1[cl sh])</f>
        <v>0</v>
      </c>
      <c r="Z511" s="270" t="str">
        <f>_xlfn.IFNA(_xlfn.XLOOKUP(CONCATENATE(Z$4,$C511),Tabella1[CONC X VOTI IN TAB GIOC],Tabella1[Voto],""),"")</f>
        <v/>
      </c>
      <c r="AA511" s="270" t="str">
        <f>_xlfn.IFNA(_xlfn.XLOOKUP(CONCATENATE(AA$4,$C511),Tabella1[CONC X VOTI IN TAB GIOC],Tabella1[Voto],""),"")</f>
        <v/>
      </c>
      <c r="AB511" s="270" t="str">
        <f>_xlfn.IFNA(_xlfn.XLOOKUP(CONCATENATE(AB$4,$C511),Tabella1[CONC X VOTI IN TAB GIOC],Tabella1[Voto]),"")</f>
        <v/>
      </c>
      <c r="AC511" s="270" t="str" cm="1">
        <f t="array" ref="AC511">_xlfn.IFNA(_xlfn.XLOOKUP(CONCATENATE(AC$4,$C511),INDEX(Tabella1[],0,MATCH("CONC X VOTI IN TAB GIOC",Tabella1[#Headers],0)),INDEX(Tabella1[],0,MATCH("Voto",Tabella1[#Headers],0))),"")</f>
        <v/>
      </c>
      <c r="AD511" s="270" t="str">
        <f>_xlfn.IFNA(_xlfn.XLOOKUP(CONCATENATE(AD$4,$C511),Tabella1[CONC X VOTI IN TAB GIOC],Tabella1[Voto]),"")</f>
        <v/>
      </c>
      <c r="AE511" s="270" t="str">
        <f>_xlfn.IFNA(VLOOKUP(CONCATENATE(AE$4,$C511),'INSER DATA'!$A:$F,6,0),"")</f>
        <v/>
      </c>
      <c r="AF511" s="270" t="str">
        <f>_xlfn.IFNA(VLOOKUP(CONCATENATE(AF$4,$C511),'INSER DATA'!$A:$F,6,0),"")</f>
        <v/>
      </c>
      <c r="AG511" s="270" t="str">
        <f>_xlfn.IFNA(VLOOKUP(CONCATENATE(AG$4,$C511),'INSER DATA'!$A:$F,6,0),"")</f>
        <v/>
      </c>
      <c r="AH511" s="270" t="str">
        <f>_xlfn.IFNA(VLOOKUP(CONCATENATE(AH$4,$C511),'INSER DATA'!$A:$F,7,0),"")</f>
        <v/>
      </c>
      <c r="AI511" s="270" t="str">
        <f>_xlfn.IFNA(VLOOKUP(CONCATENATE(AI$4,$C511),'INSER DATA'!$A:$F,7,0),"")</f>
        <v/>
      </c>
      <c r="AJ511" s="270" t="str">
        <f>_xlfn.IFNA(VLOOKUP(CONCATENATE(AJ$4,$C511),'INSER DATA'!$A:$F,7,0),"")</f>
        <v/>
      </c>
      <c r="AK511" s="270" t="str">
        <f>_xlfn.IFNA(VLOOKUP(CONCATENATE(AK$4,$C511),'INSER DATA'!$A:$F,7,0),"")</f>
        <v/>
      </c>
      <c r="AL511" s="270" t="str">
        <f>_xlfn.IFNA(VLOOKUP(CONCATENATE(AL$4,$C511),'INSER DATA'!$A:$F,7,0),"")</f>
        <v/>
      </c>
      <c r="AM511" s="270" t="str">
        <f>_xlfn.IFNA(VLOOKUP(CONCATENATE(AM$4,$C511),'INSER DATA'!$A:$F,7,0),"")</f>
        <v/>
      </c>
      <c r="AN511" s="270" t="str">
        <f>_xlfn.IFNA(VLOOKUP(CONCATENATE(AN$4,$C511),'INSER DATA'!$A:$F,7,0),"")</f>
        <v/>
      </c>
      <c r="AO511" s="270" t="str">
        <f>_xlfn.IFNA(VLOOKUP(CONCATENATE(AO$4,$C511),'INSER DATA'!$A:$F,7,0),"")</f>
        <v/>
      </c>
      <c r="AP511" s="270" t="str">
        <f>_xlfn.IFNA(VLOOKUP(CONCATENATE(AP$4,$C511),'INSER DATA'!$A:$F,7,0),"")</f>
        <v/>
      </c>
      <c r="AQ511" s="270" t="str">
        <f>_xlfn.IFNA(VLOOKUP(CONCATENATE(AQ$4,$C511),'INSER DATA'!$A:$F,7,0),"")</f>
        <v/>
      </c>
      <c r="AR511" s="270" t="str">
        <f>_xlfn.IFNA(VLOOKUP(CONCATENATE(AR$4,$C511),'INSER DATA'!$A:$F,7,0),"")</f>
        <v/>
      </c>
      <c r="AS511" s="270" t="str">
        <f>_xlfn.IFNA(VLOOKUP(CONCATENATE(AS$4,$C511),'INSER DATA'!$A:$F,7,0),"")</f>
        <v/>
      </c>
      <c r="AT511" s="270" t="str">
        <f>_xlfn.IFNA(VLOOKUP(CONCATENATE(AT$4,$C511),'INSER DATA'!$A:$F,7,0),"")</f>
        <v/>
      </c>
      <c r="AU511" s="270" t="str">
        <f>_xlfn.IFNA(VLOOKUP(CONCATENATE(AU$4,$C511),'INSER DATA'!$A:$F,7,0),"")</f>
        <v/>
      </c>
      <c r="AV511" s="270" t="str">
        <f>_xlfn.IFNA(VLOOKUP(CONCATENATE(AV$4,$C511),'INSER DATA'!$A:$F,7,0),"")</f>
        <v/>
      </c>
      <c r="AW511" s="270" t="str">
        <f>_xlfn.IFNA(VLOOKUP(CONCATENATE(AW$4,$C511),'INSER DATA'!$A:$F,7,0),"")</f>
        <v/>
      </c>
      <c r="AX511" s="270" t="str">
        <f>_xlfn.IFNA(VLOOKUP(CONCATENATE(AX$4,$C511),'INSER DATA'!$A:$F,7,0),"")</f>
        <v/>
      </c>
      <c r="AY511" s="270" t="str">
        <f>_xlfn.IFNA(VLOOKUP(CONCATENATE(AY$4,$C511),'INSER DATA'!$A:$F,7,0),"")</f>
        <v/>
      </c>
      <c r="AZ511" s="270" t="str">
        <f>_xlfn.IFNA(VLOOKUP(CONCATENATE(AZ$4,$C511),'INSER DATA'!$A:$F,7,0),"")</f>
        <v/>
      </c>
      <c r="BA511" s="270" t="str">
        <f>_xlfn.IFNA(VLOOKUP(CONCATENATE(BA$4,$C511),'INSER DATA'!$A:$F,7,0),"")</f>
        <v/>
      </c>
      <c r="BB511" s="270" t="str">
        <f>_xlfn.IFNA(VLOOKUP(CONCATENATE(BB$4,$C511),'INSER DATA'!$A:$F,7,0),"")</f>
        <v/>
      </c>
      <c r="BC511" s="270" t="str">
        <f>_xlfn.IFNA(VLOOKUP(CONCATENATE(BC$4,$C511),'INSER DATA'!$A:$F,7,0),"")</f>
        <v/>
      </c>
      <c r="BD511" s="270" t="str">
        <f>_xlfn.IFNA(VLOOKUP(CONCATENATE(BD$4,$C511),'INSER DATA'!$A:$F,7,0),"")</f>
        <v/>
      </c>
      <c r="BE511" s="270" t="str">
        <f>_xlfn.IFNA(VLOOKUP(CONCATENATE(BE$4,$C511),'INSER DATA'!$A:$F,7,0),"")</f>
        <v/>
      </c>
      <c r="BF511" s="270" t="str">
        <f>_xlfn.IFNA(VLOOKUP(CONCATENATE(BF$4,$C511),'INSER DATA'!$A:$F,7,0),"")</f>
        <v/>
      </c>
      <c r="BG511" s="270" t="str">
        <f>_xlfn.IFNA(VLOOKUP(CONCATENATE(BG$4,$C511),'INSER DATA'!$A:$F,7,0),"")</f>
        <v/>
      </c>
      <c r="BH511" s="270" t="str">
        <f>_xlfn.IFNA(VLOOKUP(CONCATENATE(BH$4,$C511),'INSER DATA'!$A:$F,7,0),"")</f>
        <v/>
      </c>
      <c r="BI511" s="270" t="str">
        <f>_xlfn.IFNA(VLOOKUP(CONCATENATE(BI$4,$C511),'INSER DATA'!$A:$F,7,0),"")</f>
        <v/>
      </c>
      <c r="BJ511" s="270" t="str">
        <f>_xlfn.IFNA(VLOOKUP(CONCATENATE(BJ$4,$C511),'INSER DATA'!$A:$F,7,0),"")</f>
        <v/>
      </c>
      <c r="BK511" s="270" t="str">
        <f>_xlfn.IFNA(VLOOKUP(CONCATENATE(BK$4,$C511),'INSER DATA'!$A:$F,7,0),"")</f>
        <v/>
      </c>
      <c r="BL511" s="272"/>
      <c r="BM511" s="30"/>
      <c r="BN511" s="30"/>
      <c r="BO511" s="30"/>
      <c r="BP511" s="30"/>
      <c r="BQ511" s="30"/>
      <c r="BR511" s="30"/>
      <c r="BS511" s="30"/>
      <c r="BT511" s="30"/>
      <c r="BU511" s="30"/>
      <c r="BV511" s="30"/>
      <c r="BW511" s="30"/>
      <c r="BX511" s="30"/>
      <c r="BY511" s="30"/>
      <c r="BZ511" s="30"/>
      <c r="CA511" s="30"/>
      <c r="CB511" s="30"/>
      <c r="CC511" s="30"/>
      <c r="CD511" s="30"/>
      <c r="CE511" s="30"/>
      <c r="CF511" s="30"/>
      <c r="CG511" s="30"/>
      <c r="CH511" s="30"/>
      <c r="CI511" s="30"/>
      <c r="CJ511" s="30"/>
      <c r="CK511" s="30"/>
      <c r="CL511" s="30"/>
      <c r="CM511" s="30"/>
      <c r="CN511" s="30"/>
      <c r="CO511" s="30"/>
      <c r="CP511" s="30"/>
      <c r="CQ511" s="30"/>
      <c r="CR511" s="30"/>
      <c r="CS511" s="30"/>
      <c r="CT511" s="30"/>
      <c r="CU511" s="30"/>
      <c r="CV511" s="30"/>
      <c r="CW511" s="30"/>
      <c r="CX511" s="30"/>
      <c r="CY511" s="30"/>
      <c r="CZ511" s="30"/>
      <c r="DA511" s="30"/>
    </row>
    <row r="512" spans="1:105" ht="19.2" thickTop="1" thickBot="1" x14ac:dyDescent="0.4">
      <c r="A512" s="30"/>
      <c r="B512" s="30"/>
      <c r="C512" s="185" t="s">
        <v>976</v>
      </c>
      <c r="D512" s="46" t="s">
        <v>967</v>
      </c>
      <c r="E512" s="35" t="str">
        <f>_xlfn.XLOOKUP(Tabella4[[#This Row],[NOME]],'ROSE SQUADRE'!$N$3:$N$253,'ROSE SQUADRE'!$O$3:$O$253,"")</f>
        <v/>
      </c>
      <c r="F512" s="36" t="s">
        <v>161</v>
      </c>
      <c r="G512" s="43">
        <v>5</v>
      </c>
      <c r="H512" s="43">
        <v>5</v>
      </c>
      <c r="I512" s="44">
        <f t="shared" si="44"/>
        <v>0</v>
      </c>
      <c r="J512" s="37">
        <f t="shared" si="45"/>
        <v>2</v>
      </c>
      <c r="K512" s="178">
        <f t="shared" si="46"/>
        <v>5.25</v>
      </c>
      <c r="L512" s="178">
        <f t="shared" si="47"/>
        <v>5</v>
      </c>
      <c r="M512" s="179">
        <f t="shared" si="48"/>
        <v>10</v>
      </c>
      <c r="N512" s="45">
        <f t="shared" ca="1" si="49"/>
        <v>0</v>
      </c>
      <c r="O512" s="40">
        <f>SUMIF(Tabella1[Nome],Tabella4[[#This Row],[NOME]],Tabella1[Gf])</f>
        <v>0</v>
      </c>
      <c r="P512" s="40">
        <f>-(SUMIF(Tabella1[Nome],Tabella4[[#This Row],[NOME]],Tabella1[Gs]))</f>
        <v>0</v>
      </c>
      <c r="Q512" s="40">
        <f>SUMIF(Tabella1[Nome],Tabella4[[#This Row],[NOME]],Tabella1[Rp])</f>
        <v>0</v>
      </c>
      <c r="R512" s="40">
        <f>SUMIF(Tabella1[Nome],Tabella4[[#This Row],[NOME]],Tabella1[Rs])</f>
        <v>0</v>
      </c>
      <c r="S512" s="40">
        <f>SUMIF(Tabella1[Nome],Tabella4[[#This Row],[NOME]],Tabella1[Rf])</f>
        <v>0</v>
      </c>
      <c r="T512" s="40">
        <f>SUMIF(Tabella1[Nome],Tabella4[[#This Row],[NOME]],Tabella1[Au])</f>
        <v>0</v>
      </c>
      <c r="U512" s="41">
        <f>SUMIF(Tabella1[Nome],Tabella4[[#This Row],[NOME]],Tabella1[Amm])</f>
        <v>1</v>
      </c>
      <c r="V512" s="42">
        <f>SUMIF(Tabella1[Nome],Tabella4[[#This Row],[NOME]],Tabella1[Esp])</f>
        <v>0</v>
      </c>
      <c r="W512" s="40">
        <f>SUMIF(Tabella1[Nome],Tabella4[[#This Row],[NOME]],Tabella1[Ass])</f>
        <v>0</v>
      </c>
      <c r="X512" s="40">
        <f>SUMIF(Tabella1[Nome],Tabella4[[#This Row],[NOME]],Tabella1[Gdv])</f>
        <v>0</v>
      </c>
      <c r="Y512" s="40">
        <f>SUMIF(Tabella1[Nome],Tabella4[[#This Row],[NOME]],Tabella1[cl sh])</f>
        <v>0</v>
      </c>
      <c r="Z512" s="270" t="str">
        <f>_xlfn.IFNA(_xlfn.XLOOKUP(CONCATENATE(Z$4,$C512),Tabella1[CONC X VOTI IN TAB GIOC],Tabella1[Voto],""),"")</f>
        <v/>
      </c>
      <c r="AA512" s="270" t="str">
        <f>_xlfn.IFNA(_xlfn.XLOOKUP(CONCATENATE(AA$4,$C512),Tabella1[CONC X VOTI IN TAB GIOC],Tabella1[Voto],""),"")</f>
        <v/>
      </c>
      <c r="AB512" s="270">
        <f>_xlfn.IFNA(_xlfn.XLOOKUP(CONCATENATE(AB$4,$C512),Tabella1[CONC X VOTI IN TAB GIOC],Tabella1[Voto]),"")</f>
        <v>5.5</v>
      </c>
      <c r="AC512" s="270" cm="1">
        <f t="array" ref="AC512">_xlfn.IFNA(_xlfn.XLOOKUP(CONCATENATE(AC$4,$C512),INDEX(Tabella1[],0,MATCH("CONC X VOTI IN TAB GIOC",Tabella1[#Headers],0)),INDEX(Tabella1[],0,MATCH("Voto",Tabella1[#Headers],0))),"")</f>
        <v>5</v>
      </c>
      <c r="AD512" s="270" t="str">
        <f>_xlfn.IFNA(_xlfn.XLOOKUP(CONCATENATE(AD$4,$C512),Tabella1[CONC X VOTI IN TAB GIOC],Tabella1[Voto]),"")</f>
        <v/>
      </c>
      <c r="AE512" s="270" t="str">
        <f>_xlfn.IFNA(VLOOKUP(CONCATENATE(AE$4,$C512),'INSER DATA'!$A:$F,6,0),"")</f>
        <v/>
      </c>
      <c r="AF512" s="270" t="str">
        <f>_xlfn.IFNA(VLOOKUP(CONCATENATE(AF$4,$C512),'INSER DATA'!$A:$F,6,0),"")</f>
        <v/>
      </c>
      <c r="AG512" s="270" t="str">
        <f>_xlfn.IFNA(VLOOKUP(CONCATENATE(AG$4,$C512),'INSER DATA'!$A:$F,6,0),"")</f>
        <v/>
      </c>
      <c r="AH512" s="270" t="str">
        <f>_xlfn.IFNA(VLOOKUP(CONCATENATE(AH$4,$C512),'INSER DATA'!$A:$F,7,0),"")</f>
        <v/>
      </c>
      <c r="AI512" s="270" t="str">
        <f>_xlfn.IFNA(VLOOKUP(CONCATENATE(AI$4,$C512),'INSER DATA'!$A:$F,7,0),"")</f>
        <v/>
      </c>
      <c r="AJ512" s="270" t="str">
        <f>_xlfn.IFNA(VLOOKUP(CONCATENATE(AJ$4,$C512),'INSER DATA'!$A:$F,7,0),"")</f>
        <v/>
      </c>
      <c r="AK512" s="270" t="str">
        <f>_xlfn.IFNA(VLOOKUP(CONCATENATE(AK$4,$C512),'INSER DATA'!$A:$F,7,0),"")</f>
        <v/>
      </c>
      <c r="AL512" s="270" t="str">
        <f>_xlfn.IFNA(VLOOKUP(CONCATENATE(AL$4,$C512),'INSER DATA'!$A:$F,7,0),"")</f>
        <v/>
      </c>
      <c r="AM512" s="270" t="str">
        <f>_xlfn.IFNA(VLOOKUP(CONCATENATE(AM$4,$C512),'INSER DATA'!$A:$F,7,0),"")</f>
        <v/>
      </c>
      <c r="AN512" s="270" t="str">
        <f>_xlfn.IFNA(VLOOKUP(CONCATENATE(AN$4,$C512),'INSER DATA'!$A:$F,7,0),"")</f>
        <v/>
      </c>
      <c r="AO512" s="270" t="str">
        <f>_xlfn.IFNA(VLOOKUP(CONCATENATE(AO$4,$C512),'INSER DATA'!$A:$F,7,0),"")</f>
        <v/>
      </c>
      <c r="AP512" s="270" t="str">
        <f>_xlfn.IFNA(VLOOKUP(CONCATENATE(AP$4,$C512),'INSER DATA'!$A:$F,7,0),"")</f>
        <v/>
      </c>
      <c r="AQ512" s="270" t="str">
        <f>_xlfn.IFNA(VLOOKUP(CONCATENATE(AQ$4,$C512),'INSER DATA'!$A:$F,7,0),"")</f>
        <v/>
      </c>
      <c r="AR512" s="270" t="str">
        <f>_xlfn.IFNA(VLOOKUP(CONCATENATE(AR$4,$C512),'INSER DATA'!$A:$F,7,0),"")</f>
        <v/>
      </c>
      <c r="AS512" s="270" t="str">
        <f>_xlfn.IFNA(VLOOKUP(CONCATENATE(AS$4,$C512),'INSER DATA'!$A:$F,7,0),"")</f>
        <v/>
      </c>
      <c r="AT512" s="270" t="str">
        <f>_xlfn.IFNA(VLOOKUP(CONCATENATE(AT$4,$C512),'INSER DATA'!$A:$F,7,0),"")</f>
        <v/>
      </c>
      <c r="AU512" s="270" t="str">
        <f>_xlfn.IFNA(VLOOKUP(CONCATENATE(AU$4,$C512),'INSER DATA'!$A:$F,7,0),"")</f>
        <v/>
      </c>
      <c r="AV512" s="270" t="str">
        <f>_xlfn.IFNA(VLOOKUP(CONCATENATE(AV$4,$C512),'INSER DATA'!$A:$F,7,0),"")</f>
        <v/>
      </c>
      <c r="AW512" s="270" t="str">
        <f>_xlfn.IFNA(VLOOKUP(CONCATENATE(AW$4,$C512),'INSER DATA'!$A:$F,7,0),"")</f>
        <v/>
      </c>
      <c r="AX512" s="270" t="str">
        <f>_xlfn.IFNA(VLOOKUP(CONCATENATE(AX$4,$C512),'INSER DATA'!$A:$F,7,0),"")</f>
        <v/>
      </c>
      <c r="AY512" s="270" t="str">
        <f>_xlfn.IFNA(VLOOKUP(CONCATENATE(AY$4,$C512),'INSER DATA'!$A:$F,7,0),"")</f>
        <v/>
      </c>
      <c r="AZ512" s="270" t="str">
        <f>_xlfn.IFNA(VLOOKUP(CONCATENATE(AZ$4,$C512),'INSER DATA'!$A:$F,7,0),"")</f>
        <v/>
      </c>
      <c r="BA512" s="270" t="str">
        <f>_xlfn.IFNA(VLOOKUP(CONCATENATE(BA$4,$C512),'INSER DATA'!$A:$F,7,0),"")</f>
        <v/>
      </c>
      <c r="BB512" s="270" t="str">
        <f>_xlfn.IFNA(VLOOKUP(CONCATENATE(BB$4,$C512),'INSER DATA'!$A:$F,7,0),"")</f>
        <v/>
      </c>
      <c r="BC512" s="270" t="str">
        <f>_xlfn.IFNA(VLOOKUP(CONCATENATE(BC$4,$C512),'INSER DATA'!$A:$F,7,0),"")</f>
        <v/>
      </c>
      <c r="BD512" s="270" t="str">
        <f>_xlfn.IFNA(VLOOKUP(CONCATENATE(BD$4,$C512),'INSER DATA'!$A:$F,7,0),"")</f>
        <v/>
      </c>
      <c r="BE512" s="270" t="str">
        <f>_xlfn.IFNA(VLOOKUP(CONCATENATE(BE$4,$C512),'INSER DATA'!$A:$F,7,0),"")</f>
        <v/>
      </c>
      <c r="BF512" s="270" t="str">
        <f>_xlfn.IFNA(VLOOKUP(CONCATENATE(BF$4,$C512),'INSER DATA'!$A:$F,7,0),"")</f>
        <v/>
      </c>
      <c r="BG512" s="270" t="str">
        <f>_xlfn.IFNA(VLOOKUP(CONCATENATE(BG$4,$C512),'INSER DATA'!$A:$F,7,0),"")</f>
        <v/>
      </c>
      <c r="BH512" s="270" t="str">
        <f>_xlfn.IFNA(VLOOKUP(CONCATENATE(BH$4,$C512),'INSER DATA'!$A:$F,7,0),"")</f>
        <v/>
      </c>
      <c r="BI512" s="270" t="str">
        <f>_xlfn.IFNA(VLOOKUP(CONCATENATE(BI$4,$C512),'INSER DATA'!$A:$F,7,0),"")</f>
        <v/>
      </c>
      <c r="BJ512" s="270" t="str">
        <f>_xlfn.IFNA(VLOOKUP(CONCATENATE(BJ$4,$C512),'INSER DATA'!$A:$F,7,0),"")</f>
        <v/>
      </c>
      <c r="BK512" s="270" t="str">
        <f>_xlfn.IFNA(VLOOKUP(CONCATENATE(BK$4,$C512),'INSER DATA'!$A:$F,7,0),"")</f>
        <v/>
      </c>
      <c r="BL512" s="272"/>
      <c r="BM512" s="30"/>
      <c r="BN512" s="30"/>
      <c r="BO512" s="30"/>
      <c r="BP512" s="30"/>
      <c r="BQ512" s="30"/>
      <c r="BR512" s="30"/>
      <c r="BS512" s="30"/>
      <c r="BT512" s="30"/>
      <c r="BU512" s="30"/>
      <c r="BV512" s="30"/>
      <c r="BW512" s="30"/>
      <c r="BX512" s="30"/>
      <c r="BY512" s="30"/>
      <c r="BZ512" s="30"/>
      <c r="CA512" s="30"/>
      <c r="CB512" s="30"/>
      <c r="CC512" s="30"/>
      <c r="CD512" s="30"/>
      <c r="CE512" s="30"/>
      <c r="CF512" s="30"/>
      <c r="CG512" s="30"/>
      <c r="CH512" s="30"/>
      <c r="CI512" s="30"/>
      <c r="CJ512" s="30"/>
      <c r="CK512" s="30"/>
      <c r="CL512" s="30"/>
      <c r="CM512" s="30"/>
      <c r="CN512" s="30"/>
      <c r="CO512" s="30"/>
      <c r="CP512" s="30"/>
      <c r="CQ512" s="30"/>
      <c r="CR512" s="30"/>
      <c r="CS512" s="30"/>
      <c r="CT512" s="30"/>
      <c r="CU512" s="30"/>
      <c r="CV512" s="30"/>
      <c r="CW512" s="30"/>
      <c r="CX512" s="30"/>
      <c r="CY512" s="30"/>
      <c r="CZ512" s="30"/>
      <c r="DA512" s="30"/>
    </row>
    <row r="513" spans="1:105" ht="19.2" thickTop="1" thickBot="1" x14ac:dyDescent="0.4">
      <c r="A513" s="30"/>
      <c r="B513" s="30"/>
      <c r="C513" s="188" t="s">
        <v>586</v>
      </c>
      <c r="D513" s="187" t="s">
        <v>967</v>
      </c>
      <c r="E513" s="35" t="str">
        <f>_xlfn.XLOOKUP(Tabella4[[#This Row],[NOME]],'ROSE SQUADRE'!$N$3:$N$253,'ROSE SQUADRE'!$O$3:$O$253,"")</f>
        <v/>
      </c>
      <c r="F513" s="36" t="s">
        <v>161</v>
      </c>
      <c r="G513" s="43">
        <v>2</v>
      </c>
      <c r="H513" s="43">
        <v>2</v>
      </c>
      <c r="I513" s="44">
        <f t="shared" si="44"/>
        <v>0</v>
      </c>
      <c r="J513" s="37">
        <f t="shared" si="45"/>
        <v>2</v>
      </c>
      <c r="K513" s="178">
        <f t="shared" si="46"/>
        <v>6</v>
      </c>
      <c r="L513" s="178">
        <f t="shared" si="47"/>
        <v>7.5</v>
      </c>
      <c r="M513" s="179">
        <f t="shared" si="48"/>
        <v>15</v>
      </c>
      <c r="N513" s="45">
        <f t="shared" ref="N513:N533" ca="1" si="50">ContaCellePerColore(Z513:BK513,$C$3)</f>
        <v>0</v>
      </c>
      <c r="O513" s="40">
        <f>SUMIF(Tabella1[Nome],Tabella4[[#This Row],[NOME]],Tabella1[Gf])</f>
        <v>1</v>
      </c>
      <c r="P513" s="40">
        <f>-(SUMIF(Tabella1[Nome],Tabella4[[#This Row],[NOME]],Tabella1[Gs]))</f>
        <v>0</v>
      </c>
      <c r="Q513" s="40">
        <f>SUMIF(Tabella1[Nome],Tabella4[[#This Row],[NOME]],Tabella1[Rp])</f>
        <v>0</v>
      </c>
      <c r="R513" s="40">
        <f>SUMIF(Tabella1[Nome],Tabella4[[#This Row],[NOME]],Tabella1[Rs])</f>
        <v>0</v>
      </c>
      <c r="S513" s="40">
        <f>SUMIF(Tabella1[Nome],Tabella4[[#This Row],[NOME]],Tabella1[Rf])</f>
        <v>0</v>
      </c>
      <c r="T513" s="40">
        <f>SUMIF(Tabella1[Nome],Tabella4[[#This Row],[NOME]],Tabella1[Au])</f>
        <v>0</v>
      </c>
      <c r="U513" s="41">
        <f>SUMIF(Tabella1[Nome],Tabella4[[#This Row],[NOME]],Tabella1[Amm])</f>
        <v>0</v>
      </c>
      <c r="V513" s="42">
        <f>SUMIF(Tabella1[Nome],Tabella4[[#This Row],[NOME]],Tabella1[Esp])</f>
        <v>0</v>
      </c>
      <c r="W513" s="40">
        <f>SUMIF(Tabella1[Nome],Tabella4[[#This Row],[NOME]],Tabella1[Ass])</f>
        <v>0</v>
      </c>
      <c r="X513" s="40">
        <f>SUMIF(Tabella1[Nome],Tabella4[[#This Row],[NOME]],Tabella1[Gdv])</f>
        <v>0</v>
      </c>
      <c r="Y513" s="40">
        <f>SUMIF(Tabella1[Nome],Tabella4[[#This Row],[NOME]],Tabella1[cl sh])</f>
        <v>0</v>
      </c>
      <c r="Z513" s="270" t="str">
        <f>_xlfn.IFNA(_xlfn.XLOOKUP(CONCATENATE(Z$4,$C513),Tabella1[CONC X VOTI IN TAB GIOC],Tabella1[Voto],""),"")</f>
        <v/>
      </c>
      <c r="AA513" s="270" t="str">
        <f>_xlfn.IFNA(_xlfn.XLOOKUP(CONCATENATE(AA$4,$C513),Tabella1[CONC X VOTI IN TAB GIOC],Tabella1[Voto],""),"")</f>
        <v/>
      </c>
      <c r="AB513" s="270">
        <f>_xlfn.IFNA(_xlfn.XLOOKUP(CONCATENATE(AB$4,$C513),Tabella1[CONC X VOTI IN TAB GIOC],Tabella1[Voto]),"")</f>
        <v>7</v>
      </c>
      <c r="AC513" s="270" cm="1">
        <f t="array" ref="AC513">_xlfn.IFNA(_xlfn.XLOOKUP(CONCATENATE(AC$4,$C513),INDEX(Tabella1[],0,MATCH("CONC X VOTI IN TAB GIOC",Tabella1[#Headers],0)),INDEX(Tabella1[],0,MATCH("Voto",Tabella1[#Headers],0))),"")</f>
        <v>5</v>
      </c>
      <c r="AD513" s="270" t="str">
        <f>_xlfn.IFNA(_xlfn.XLOOKUP(CONCATENATE(AD$4,$C513),Tabella1[CONC X VOTI IN TAB GIOC],Tabella1[Voto]),"")</f>
        <v/>
      </c>
      <c r="AE513" s="270" t="str">
        <f>_xlfn.IFNA(VLOOKUP(CONCATENATE(AE$4,$C513),'INSER DATA'!$A:$F,6,0),"")</f>
        <v/>
      </c>
      <c r="AF513" s="270" t="str">
        <f>_xlfn.IFNA(VLOOKUP(CONCATENATE(AF$4,$C513),'INSER DATA'!$A:$F,6,0),"")</f>
        <v/>
      </c>
      <c r="AG513" s="270" t="str">
        <f>_xlfn.IFNA(VLOOKUP(CONCATENATE(AG$4,$C513),'INSER DATA'!$A:$F,6,0),"")</f>
        <v/>
      </c>
      <c r="AH513" s="270" t="str">
        <f>_xlfn.IFNA(VLOOKUP(CONCATENATE(AH$4,$C513),'INSER DATA'!$A:$F,7,0),"")</f>
        <v/>
      </c>
      <c r="AI513" s="270" t="str">
        <f>_xlfn.IFNA(VLOOKUP(CONCATENATE(AI$4,$C513),'INSER DATA'!$A:$F,7,0),"")</f>
        <v/>
      </c>
      <c r="AJ513" s="270" t="str">
        <f>_xlfn.IFNA(VLOOKUP(CONCATENATE(AJ$4,$C513),'INSER DATA'!$A:$F,7,0),"")</f>
        <v/>
      </c>
      <c r="AK513" s="270" t="str">
        <f>_xlfn.IFNA(VLOOKUP(CONCATENATE(AK$4,$C513),'INSER DATA'!$A:$F,7,0),"")</f>
        <v/>
      </c>
      <c r="AL513" s="270" t="str">
        <f>_xlfn.IFNA(VLOOKUP(CONCATENATE(AL$4,$C513),'INSER DATA'!$A:$F,7,0),"")</f>
        <v/>
      </c>
      <c r="AM513" s="270" t="str">
        <f>_xlfn.IFNA(VLOOKUP(CONCATENATE(AM$4,$C513),'INSER DATA'!$A:$F,7,0),"")</f>
        <v/>
      </c>
      <c r="AN513" s="270" t="str">
        <f>_xlfn.IFNA(VLOOKUP(CONCATENATE(AN$4,$C513),'INSER DATA'!$A:$F,7,0),"")</f>
        <v/>
      </c>
      <c r="AO513" s="270" t="str">
        <f>_xlfn.IFNA(VLOOKUP(CONCATENATE(AO$4,$C513),'INSER DATA'!$A:$F,7,0),"")</f>
        <v/>
      </c>
      <c r="AP513" s="270" t="str">
        <f>_xlfn.IFNA(VLOOKUP(CONCATENATE(AP$4,$C513),'INSER DATA'!$A:$F,7,0),"")</f>
        <v/>
      </c>
      <c r="AQ513" s="270" t="str">
        <f>_xlfn.IFNA(VLOOKUP(CONCATENATE(AQ$4,$C513),'INSER DATA'!$A:$F,7,0),"")</f>
        <v/>
      </c>
      <c r="AR513" s="270" t="str">
        <f>_xlfn.IFNA(VLOOKUP(CONCATENATE(AR$4,$C513),'INSER DATA'!$A:$F,7,0),"")</f>
        <v/>
      </c>
      <c r="AS513" s="270" t="str">
        <f>_xlfn.IFNA(VLOOKUP(CONCATENATE(AS$4,$C513),'INSER DATA'!$A:$F,7,0),"")</f>
        <v/>
      </c>
      <c r="AT513" s="270" t="str">
        <f>_xlfn.IFNA(VLOOKUP(CONCATENATE(AT$4,$C513),'INSER DATA'!$A:$F,7,0),"")</f>
        <v/>
      </c>
      <c r="AU513" s="270" t="str">
        <f>_xlfn.IFNA(VLOOKUP(CONCATENATE(AU$4,$C513),'INSER DATA'!$A:$F,7,0),"")</f>
        <v/>
      </c>
      <c r="AV513" s="270" t="str">
        <f>_xlfn.IFNA(VLOOKUP(CONCATENATE(AV$4,$C513),'INSER DATA'!$A:$F,7,0),"")</f>
        <v/>
      </c>
      <c r="AW513" s="270" t="str">
        <f>_xlfn.IFNA(VLOOKUP(CONCATENATE(AW$4,$C513),'INSER DATA'!$A:$F,7,0),"")</f>
        <v/>
      </c>
      <c r="AX513" s="270" t="str">
        <f>_xlfn.IFNA(VLOOKUP(CONCATENATE(AX$4,$C513),'INSER DATA'!$A:$F,7,0),"")</f>
        <v/>
      </c>
      <c r="AY513" s="270" t="str">
        <f>_xlfn.IFNA(VLOOKUP(CONCATENATE(AY$4,$C513),'INSER DATA'!$A:$F,7,0),"")</f>
        <v/>
      </c>
      <c r="AZ513" s="270" t="str">
        <f>_xlfn.IFNA(VLOOKUP(CONCATENATE(AZ$4,$C513),'INSER DATA'!$A:$F,7,0),"")</f>
        <v/>
      </c>
      <c r="BA513" s="270" t="str">
        <f>_xlfn.IFNA(VLOOKUP(CONCATENATE(BA$4,$C513),'INSER DATA'!$A:$F,7,0),"")</f>
        <v/>
      </c>
      <c r="BB513" s="270" t="str">
        <f>_xlfn.IFNA(VLOOKUP(CONCATENATE(BB$4,$C513),'INSER DATA'!$A:$F,7,0),"")</f>
        <v/>
      </c>
      <c r="BC513" s="270" t="str">
        <f>_xlfn.IFNA(VLOOKUP(CONCATENATE(BC$4,$C513),'INSER DATA'!$A:$F,7,0),"")</f>
        <v/>
      </c>
      <c r="BD513" s="270" t="str">
        <f>_xlfn.IFNA(VLOOKUP(CONCATENATE(BD$4,$C513),'INSER DATA'!$A:$F,7,0),"")</f>
        <v/>
      </c>
      <c r="BE513" s="270" t="str">
        <f>_xlfn.IFNA(VLOOKUP(CONCATENATE(BE$4,$C513),'INSER DATA'!$A:$F,7,0),"")</f>
        <v/>
      </c>
      <c r="BF513" s="270" t="str">
        <f>_xlfn.IFNA(VLOOKUP(CONCATENATE(BF$4,$C513),'INSER DATA'!$A:$F,7,0),"")</f>
        <v/>
      </c>
      <c r="BG513" s="270" t="str">
        <f>_xlfn.IFNA(VLOOKUP(CONCATENATE(BG$4,$C513),'INSER DATA'!$A:$F,7,0),"")</f>
        <v/>
      </c>
      <c r="BH513" s="270" t="str">
        <f>_xlfn.IFNA(VLOOKUP(CONCATENATE(BH$4,$C513),'INSER DATA'!$A:$F,7,0),"")</f>
        <v/>
      </c>
      <c r="BI513" s="270" t="str">
        <f>_xlfn.IFNA(VLOOKUP(CONCATENATE(BI$4,$C513),'INSER DATA'!$A:$F,7,0),"")</f>
        <v/>
      </c>
      <c r="BJ513" s="270" t="str">
        <f>_xlfn.IFNA(VLOOKUP(CONCATENATE(BJ$4,$C513),'INSER DATA'!$A:$F,7,0),"")</f>
        <v/>
      </c>
      <c r="BK513" s="270" t="str">
        <f>_xlfn.IFNA(VLOOKUP(CONCATENATE(BK$4,$C513),'INSER DATA'!$A:$F,7,0),"")</f>
        <v/>
      </c>
      <c r="BL513" s="272"/>
      <c r="BM513" s="30"/>
      <c r="BN513" s="30"/>
      <c r="BO513" s="30"/>
      <c r="BP513" s="30"/>
      <c r="BQ513" s="30"/>
      <c r="BR513" s="30"/>
      <c r="BS513" s="30"/>
      <c r="BT513" s="30"/>
      <c r="BU513" s="30"/>
      <c r="BV513" s="30"/>
      <c r="BW513" s="30"/>
      <c r="BX513" s="30"/>
      <c r="BY513" s="30"/>
      <c r="BZ513" s="30"/>
      <c r="CA513" s="30"/>
      <c r="CB513" s="30"/>
      <c r="CC513" s="30"/>
      <c r="CD513" s="30"/>
      <c r="CE513" s="30"/>
      <c r="CF513" s="30"/>
      <c r="CG513" s="30"/>
      <c r="CH513" s="30"/>
      <c r="CI513" s="30"/>
      <c r="CJ513" s="30"/>
      <c r="CK513" s="30"/>
      <c r="CL513" s="30"/>
      <c r="CM513" s="30"/>
      <c r="CN513" s="30"/>
      <c r="CO513" s="30"/>
      <c r="CP513" s="30"/>
      <c r="CQ513" s="30"/>
      <c r="CR513" s="30"/>
      <c r="CS513" s="30"/>
      <c r="CT513" s="30"/>
      <c r="CU513" s="30"/>
      <c r="CV513" s="30"/>
      <c r="CW513" s="30"/>
      <c r="CX513" s="30"/>
      <c r="CY513" s="30"/>
      <c r="CZ513" s="30"/>
      <c r="DA513" s="30"/>
    </row>
    <row r="514" spans="1:105" ht="19.2" thickTop="1" thickBot="1" x14ac:dyDescent="0.4">
      <c r="A514" s="30"/>
      <c r="B514" s="30"/>
      <c r="C514" s="185" t="s">
        <v>585</v>
      </c>
      <c r="D514" s="46" t="s">
        <v>967</v>
      </c>
      <c r="E514" s="35" t="str">
        <f>_xlfn.XLOOKUP(Tabella4[[#This Row],[NOME]],'ROSE SQUADRE'!$N$3:$N$253,'ROSE SQUADRE'!$O$3:$O$253,"")</f>
        <v/>
      </c>
      <c r="F514" s="36" t="s">
        <v>161</v>
      </c>
      <c r="G514" s="43">
        <v>3</v>
      </c>
      <c r="H514" s="43">
        <v>3</v>
      </c>
      <c r="I514" s="44">
        <f t="shared" si="44"/>
        <v>0</v>
      </c>
      <c r="J514" s="37">
        <f t="shared" si="45"/>
        <v>0</v>
      </c>
      <c r="K514" s="178">
        <f t="shared" si="46"/>
        <v>0</v>
      </c>
      <c r="L514" s="178">
        <f t="shared" si="47"/>
        <v>0</v>
      </c>
      <c r="M514" s="179">
        <f t="shared" si="48"/>
        <v>0</v>
      </c>
      <c r="N514" s="45">
        <f t="shared" ca="1" si="50"/>
        <v>0</v>
      </c>
      <c r="O514" s="40">
        <f>SUMIF(Tabella1[Nome],Tabella4[[#This Row],[NOME]],Tabella1[Gf])</f>
        <v>0</v>
      </c>
      <c r="P514" s="40">
        <f>-(SUMIF(Tabella1[Nome],Tabella4[[#This Row],[NOME]],Tabella1[Gs]))</f>
        <v>0</v>
      </c>
      <c r="Q514" s="40">
        <f>SUMIF(Tabella1[Nome],Tabella4[[#This Row],[NOME]],Tabella1[Rp])</f>
        <v>0</v>
      </c>
      <c r="R514" s="40">
        <f>SUMIF(Tabella1[Nome],Tabella4[[#This Row],[NOME]],Tabella1[Rs])</f>
        <v>0</v>
      </c>
      <c r="S514" s="40">
        <f>SUMIF(Tabella1[Nome],Tabella4[[#This Row],[NOME]],Tabella1[Rf])</f>
        <v>0</v>
      </c>
      <c r="T514" s="40">
        <f>SUMIF(Tabella1[Nome],Tabella4[[#This Row],[NOME]],Tabella1[Au])</f>
        <v>0</v>
      </c>
      <c r="U514" s="41">
        <f>SUMIF(Tabella1[Nome],Tabella4[[#This Row],[NOME]],Tabella1[Amm])</f>
        <v>0</v>
      </c>
      <c r="V514" s="42">
        <f>SUMIF(Tabella1[Nome],Tabella4[[#This Row],[NOME]],Tabella1[Esp])</f>
        <v>0</v>
      </c>
      <c r="W514" s="40">
        <f>SUMIF(Tabella1[Nome],Tabella4[[#This Row],[NOME]],Tabella1[Ass])</f>
        <v>0</v>
      </c>
      <c r="X514" s="40">
        <f>SUMIF(Tabella1[Nome],Tabella4[[#This Row],[NOME]],Tabella1[Gdv])</f>
        <v>0</v>
      </c>
      <c r="Y514" s="40">
        <f>SUMIF(Tabella1[Nome],Tabella4[[#This Row],[NOME]],Tabella1[cl sh])</f>
        <v>0</v>
      </c>
      <c r="Z514" s="270" t="str">
        <f>_xlfn.IFNA(_xlfn.XLOOKUP(CONCATENATE(Z$4,$C514),Tabella1[CONC X VOTI IN TAB GIOC],Tabella1[Voto],""),"")</f>
        <v/>
      </c>
      <c r="AA514" s="270" t="str">
        <f>_xlfn.IFNA(_xlfn.XLOOKUP(CONCATENATE(AA$4,$C514),Tabella1[CONC X VOTI IN TAB GIOC],Tabella1[Voto],""),"")</f>
        <v/>
      </c>
      <c r="AB514" s="270" t="str">
        <f>_xlfn.IFNA(_xlfn.XLOOKUP(CONCATENATE(AB$4,$C514),Tabella1[CONC X VOTI IN TAB GIOC],Tabella1[Voto]),"")</f>
        <v/>
      </c>
      <c r="AC514" s="270" t="str" cm="1">
        <f t="array" ref="AC514">_xlfn.IFNA(_xlfn.XLOOKUP(CONCATENATE(AC$4,$C514),INDEX(Tabella1[],0,MATCH("CONC X VOTI IN TAB GIOC",Tabella1[#Headers],0)),INDEX(Tabella1[],0,MATCH("Voto",Tabella1[#Headers],0))),"")</f>
        <v/>
      </c>
      <c r="AD514" s="270" t="str">
        <f>_xlfn.IFNA(_xlfn.XLOOKUP(CONCATENATE(AD$4,$C514),Tabella1[CONC X VOTI IN TAB GIOC],Tabella1[Voto]),"")</f>
        <v/>
      </c>
      <c r="AE514" s="270" t="str">
        <f>_xlfn.IFNA(VLOOKUP(CONCATENATE(AE$4,$C514),'INSER DATA'!$A:$F,6,0),"")</f>
        <v/>
      </c>
      <c r="AF514" s="270" t="str">
        <f>_xlfn.IFNA(VLOOKUP(CONCATENATE(AF$4,$C514),'INSER DATA'!$A:$F,6,0),"")</f>
        <v/>
      </c>
      <c r="AG514" s="270" t="str">
        <f>_xlfn.IFNA(VLOOKUP(CONCATENATE(AG$4,$C514),'INSER DATA'!$A:$F,6,0),"")</f>
        <v/>
      </c>
      <c r="AH514" s="270" t="str">
        <f>_xlfn.IFNA(VLOOKUP(CONCATENATE(AH$4,$C514),'INSER DATA'!$A:$F,7,0),"")</f>
        <v/>
      </c>
      <c r="AI514" s="270" t="str">
        <f>_xlfn.IFNA(VLOOKUP(CONCATENATE(AI$4,$C514),'INSER DATA'!$A:$F,7,0),"")</f>
        <v/>
      </c>
      <c r="AJ514" s="270" t="str">
        <f>_xlfn.IFNA(VLOOKUP(CONCATENATE(AJ$4,$C514),'INSER DATA'!$A:$F,7,0),"")</f>
        <v/>
      </c>
      <c r="AK514" s="270" t="str">
        <f>_xlfn.IFNA(VLOOKUP(CONCATENATE(AK$4,$C514),'INSER DATA'!$A:$F,7,0),"")</f>
        <v/>
      </c>
      <c r="AL514" s="270" t="str">
        <f>_xlfn.IFNA(VLOOKUP(CONCATENATE(AL$4,$C514),'INSER DATA'!$A:$F,7,0),"")</f>
        <v/>
      </c>
      <c r="AM514" s="270" t="str">
        <f>_xlfn.IFNA(VLOOKUP(CONCATENATE(AM$4,$C514),'INSER DATA'!$A:$F,7,0),"")</f>
        <v/>
      </c>
      <c r="AN514" s="270" t="str">
        <f>_xlfn.IFNA(VLOOKUP(CONCATENATE(AN$4,$C514),'INSER DATA'!$A:$F,7,0),"")</f>
        <v/>
      </c>
      <c r="AO514" s="270" t="str">
        <f>_xlfn.IFNA(VLOOKUP(CONCATENATE(AO$4,$C514),'INSER DATA'!$A:$F,7,0),"")</f>
        <v/>
      </c>
      <c r="AP514" s="270" t="str">
        <f>_xlfn.IFNA(VLOOKUP(CONCATENATE(AP$4,$C514),'INSER DATA'!$A:$F,7,0),"")</f>
        <v/>
      </c>
      <c r="AQ514" s="270" t="str">
        <f>_xlfn.IFNA(VLOOKUP(CONCATENATE(AQ$4,$C514),'INSER DATA'!$A:$F,7,0),"")</f>
        <v/>
      </c>
      <c r="AR514" s="270" t="str">
        <f>_xlfn.IFNA(VLOOKUP(CONCATENATE(AR$4,$C514),'INSER DATA'!$A:$F,7,0),"")</f>
        <v/>
      </c>
      <c r="AS514" s="270" t="str">
        <f>_xlfn.IFNA(VLOOKUP(CONCATENATE(AS$4,$C514),'INSER DATA'!$A:$F,7,0),"")</f>
        <v/>
      </c>
      <c r="AT514" s="270" t="str">
        <f>_xlfn.IFNA(VLOOKUP(CONCATENATE(AT$4,$C514),'INSER DATA'!$A:$F,7,0),"")</f>
        <v/>
      </c>
      <c r="AU514" s="270" t="str">
        <f>_xlfn.IFNA(VLOOKUP(CONCATENATE(AU$4,$C514),'INSER DATA'!$A:$F,7,0),"")</f>
        <v/>
      </c>
      <c r="AV514" s="270" t="str">
        <f>_xlfn.IFNA(VLOOKUP(CONCATENATE(AV$4,$C514),'INSER DATA'!$A:$F,7,0),"")</f>
        <v/>
      </c>
      <c r="AW514" s="270" t="str">
        <f>_xlfn.IFNA(VLOOKUP(CONCATENATE(AW$4,$C514),'INSER DATA'!$A:$F,7,0),"")</f>
        <v/>
      </c>
      <c r="AX514" s="270" t="str">
        <f>_xlfn.IFNA(VLOOKUP(CONCATENATE(AX$4,$C514),'INSER DATA'!$A:$F,7,0),"")</f>
        <v/>
      </c>
      <c r="AY514" s="270" t="str">
        <f>_xlfn.IFNA(VLOOKUP(CONCATENATE(AY$4,$C514),'INSER DATA'!$A:$F,7,0),"")</f>
        <v/>
      </c>
      <c r="AZ514" s="270" t="str">
        <f>_xlfn.IFNA(VLOOKUP(CONCATENATE(AZ$4,$C514),'INSER DATA'!$A:$F,7,0),"")</f>
        <v/>
      </c>
      <c r="BA514" s="270" t="str">
        <f>_xlfn.IFNA(VLOOKUP(CONCATENATE(BA$4,$C514),'INSER DATA'!$A:$F,7,0),"")</f>
        <v/>
      </c>
      <c r="BB514" s="270" t="str">
        <f>_xlfn.IFNA(VLOOKUP(CONCATENATE(BB$4,$C514),'INSER DATA'!$A:$F,7,0),"")</f>
        <v/>
      </c>
      <c r="BC514" s="270" t="str">
        <f>_xlfn.IFNA(VLOOKUP(CONCATENATE(BC$4,$C514),'INSER DATA'!$A:$F,7,0),"")</f>
        <v/>
      </c>
      <c r="BD514" s="270" t="str">
        <f>_xlfn.IFNA(VLOOKUP(CONCATENATE(BD$4,$C514),'INSER DATA'!$A:$F,7,0),"")</f>
        <v/>
      </c>
      <c r="BE514" s="270" t="str">
        <f>_xlfn.IFNA(VLOOKUP(CONCATENATE(BE$4,$C514),'INSER DATA'!$A:$F,7,0),"")</f>
        <v/>
      </c>
      <c r="BF514" s="270" t="str">
        <f>_xlfn.IFNA(VLOOKUP(CONCATENATE(BF$4,$C514),'INSER DATA'!$A:$F,7,0),"")</f>
        <v/>
      </c>
      <c r="BG514" s="270" t="str">
        <f>_xlfn.IFNA(VLOOKUP(CONCATENATE(BG$4,$C514),'INSER DATA'!$A:$F,7,0),"")</f>
        <v/>
      </c>
      <c r="BH514" s="270" t="str">
        <f>_xlfn.IFNA(VLOOKUP(CONCATENATE(BH$4,$C514),'INSER DATA'!$A:$F,7,0),"")</f>
        <v/>
      </c>
      <c r="BI514" s="270" t="str">
        <f>_xlfn.IFNA(VLOOKUP(CONCATENATE(BI$4,$C514),'INSER DATA'!$A:$F,7,0),"")</f>
        <v/>
      </c>
      <c r="BJ514" s="270" t="str">
        <f>_xlfn.IFNA(VLOOKUP(CONCATENATE(BJ$4,$C514),'INSER DATA'!$A:$F,7,0),"")</f>
        <v/>
      </c>
      <c r="BK514" s="270" t="str">
        <f>_xlfn.IFNA(VLOOKUP(CONCATENATE(BK$4,$C514),'INSER DATA'!$A:$F,7,0),"")</f>
        <v/>
      </c>
      <c r="BL514" s="272"/>
      <c r="BM514" s="30"/>
      <c r="BN514" s="30"/>
      <c r="BO514" s="30"/>
      <c r="BP514" s="30"/>
      <c r="BQ514" s="30"/>
      <c r="BR514" s="30"/>
      <c r="BS514" s="30"/>
      <c r="BT514" s="30"/>
      <c r="BU514" s="30"/>
      <c r="BV514" s="30"/>
      <c r="BW514" s="30"/>
      <c r="BX514" s="30"/>
      <c r="BY514" s="30"/>
      <c r="BZ514" s="30"/>
      <c r="CA514" s="30"/>
      <c r="CB514" s="30"/>
      <c r="CC514" s="30"/>
      <c r="CD514" s="30"/>
      <c r="CE514" s="30"/>
      <c r="CF514" s="30"/>
      <c r="CG514" s="30"/>
      <c r="CH514" s="30"/>
      <c r="CI514" s="30"/>
      <c r="CJ514" s="30"/>
      <c r="CK514" s="30"/>
      <c r="CL514" s="30"/>
      <c r="CM514" s="30"/>
      <c r="CN514" s="30"/>
      <c r="CO514" s="30"/>
      <c r="CP514" s="30"/>
      <c r="CQ514" s="30"/>
      <c r="CR514" s="30"/>
      <c r="CS514" s="30"/>
      <c r="CT514" s="30"/>
      <c r="CU514" s="30"/>
      <c r="CV514" s="30"/>
      <c r="CW514" s="30"/>
      <c r="CX514" s="30"/>
      <c r="CY514" s="30"/>
      <c r="CZ514" s="30"/>
      <c r="DA514" s="30"/>
    </row>
    <row r="515" spans="1:105" ht="19.2" thickTop="1" thickBot="1" x14ac:dyDescent="0.4">
      <c r="A515" s="30"/>
      <c r="B515" s="30"/>
      <c r="C515" s="185" t="s">
        <v>304</v>
      </c>
      <c r="D515" s="46" t="s">
        <v>967</v>
      </c>
      <c r="E515" s="35" t="str">
        <f>_xlfn.XLOOKUP(Tabella4[[#This Row],[NOME]],'ROSE SQUADRE'!$N$3:$N$253,'ROSE SQUADRE'!$O$3:$O$253,"")</f>
        <v/>
      </c>
      <c r="F515" s="36" t="s">
        <v>162</v>
      </c>
      <c r="G515" s="43">
        <v>2</v>
      </c>
      <c r="H515" s="43">
        <v>2</v>
      </c>
      <c r="I515" s="44">
        <f t="shared" si="44"/>
        <v>0</v>
      </c>
      <c r="J515" s="37">
        <f t="shared" si="45"/>
        <v>0</v>
      </c>
      <c r="K515" s="178">
        <f t="shared" si="46"/>
        <v>0</v>
      </c>
      <c r="L515" s="178">
        <f t="shared" si="47"/>
        <v>0</v>
      </c>
      <c r="M515" s="179">
        <f t="shared" si="48"/>
        <v>0</v>
      </c>
      <c r="N515" s="45">
        <f t="shared" ca="1" si="50"/>
        <v>0</v>
      </c>
      <c r="O515" s="40">
        <f>SUMIF(Tabella1[Nome],Tabella4[[#This Row],[NOME]],Tabella1[Gf])</f>
        <v>0</v>
      </c>
      <c r="P515" s="40">
        <f>-(SUMIF(Tabella1[Nome],Tabella4[[#This Row],[NOME]],Tabella1[Gs]))</f>
        <v>0</v>
      </c>
      <c r="Q515" s="40">
        <f>SUMIF(Tabella1[Nome],Tabella4[[#This Row],[NOME]],Tabella1[Rp])</f>
        <v>0</v>
      </c>
      <c r="R515" s="40">
        <f>SUMIF(Tabella1[Nome],Tabella4[[#This Row],[NOME]],Tabella1[Rs])</f>
        <v>0</v>
      </c>
      <c r="S515" s="40">
        <f>SUMIF(Tabella1[Nome],Tabella4[[#This Row],[NOME]],Tabella1[Rf])</f>
        <v>0</v>
      </c>
      <c r="T515" s="40">
        <f>SUMIF(Tabella1[Nome],Tabella4[[#This Row],[NOME]],Tabella1[Au])</f>
        <v>0</v>
      </c>
      <c r="U515" s="41">
        <f>SUMIF(Tabella1[Nome],Tabella4[[#This Row],[NOME]],Tabella1[Amm])</f>
        <v>0</v>
      </c>
      <c r="V515" s="42">
        <f>SUMIF(Tabella1[Nome],Tabella4[[#This Row],[NOME]],Tabella1[Esp])</f>
        <v>0</v>
      </c>
      <c r="W515" s="40">
        <f>SUMIF(Tabella1[Nome],Tabella4[[#This Row],[NOME]],Tabella1[Ass])</f>
        <v>0</v>
      </c>
      <c r="X515" s="40">
        <f>SUMIF(Tabella1[Nome],Tabella4[[#This Row],[NOME]],Tabella1[Gdv])</f>
        <v>0</v>
      </c>
      <c r="Y515" s="40">
        <f>SUMIF(Tabella1[Nome],Tabella4[[#This Row],[NOME]],Tabella1[cl sh])</f>
        <v>0</v>
      </c>
      <c r="Z515" s="270" t="str">
        <f>_xlfn.IFNA(_xlfn.XLOOKUP(CONCATENATE(Z$4,$C515),Tabella1[CONC X VOTI IN TAB GIOC],Tabella1[Voto],""),"")</f>
        <v/>
      </c>
      <c r="AA515" s="270" t="str">
        <f>_xlfn.IFNA(_xlfn.XLOOKUP(CONCATENATE(AA$4,$C515),Tabella1[CONC X VOTI IN TAB GIOC],Tabella1[Voto],""),"")</f>
        <v/>
      </c>
      <c r="AB515" s="270" t="str">
        <f>_xlfn.IFNA(_xlfn.XLOOKUP(CONCATENATE(AB$4,$C515),Tabella1[CONC X VOTI IN TAB GIOC],Tabella1[Voto]),"")</f>
        <v/>
      </c>
      <c r="AC515" s="270" t="str" cm="1">
        <f t="array" ref="AC515">_xlfn.IFNA(_xlfn.XLOOKUP(CONCATENATE(AC$4,$C515),INDEX(Tabella1[],0,MATCH("CONC X VOTI IN TAB GIOC",Tabella1[#Headers],0)),INDEX(Tabella1[],0,MATCH("Voto",Tabella1[#Headers],0))),"")</f>
        <v/>
      </c>
      <c r="AD515" s="270" t="str">
        <f>_xlfn.IFNA(_xlfn.XLOOKUP(CONCATENATE(AD$4,$C515),Tabella1[CONC X VOTI IN TAB GIOC],Tabella1[Voto]),"")</f>
        <v/>
      </c>
      <c r="AE515" s="270" t="str">
        <f>_xlfn.IFNA(VLOOKUP(CONCATENATE(AE$4,$C515),'INSER DATA'!$A:$F,6,0),"")</f>
        <v/>
      </c>
      <c r="AF515" s="270" t="str">
        <f>_xlfn.IFNA(VLOOKUP(CONCATENATE(AF$4,$C515),'INSER DATA'!$A:$F,6,0),"")</f>
        <v/>
      </c>
      <c r="AG515" s="270" t="str">
        <f>_xlfn.IFNA(VLOOKUP(CONCATENATE(AG$4,$C515),'INSER DATA'!$A:$F,6,0),"")</f>
        <v/>
      </c>
      <c r="AH515" s="270" t="str">
        <f>_xlfn.IFNA(VLOOKUP(CONCATENATE(AH$4,$C515),'INSER DATA'!$A:$F,7,0),"")</f>
        <v/>
      </c>
      <c r="AI515" s="270" t="str">
        <f>_xlfn.IFNA(VLOOKUP(CONCATENATE(AI$4,$C515),'INSER DATA'!$A:$F,7,0),"")</f>
        <v/>
      </c>
      <c r="AJ515" s="270" t="str">
        <f>_xlfn.IFNA(VLOOKUP(CONCATENATE(AJ$4,$C515),'INSER DATA'!$A:$F,7,0),"")</f>
        <v/>
      </c>
      <c r="AK515" s="270" t="str">
        <f>_xlfn.IFNA(VLOOKUP(CONCATENATE(AK$4,$C515),'INSER DATA'!$A:$F,7,0),"")</f>
        <v/>
      </c>
      <c r="AL515" s="270" t="str">
        <f>_xlfn.IFNA(VLOOKUP(CONCATENATE(AL$4,$C515),'INSER DATA'!$A:$F,7,0),"")</f>
        <v/>
      </c>
      <c r="AM515" s="270" t="str">
        <f>_xlfn.IFNA(VLOOKUP(CONCATENATE(AM$4,$C515),'INSER DATA'!$A:$F,7,0),"")</f>
        <v/>
      </c>
      <c r="AN515" s="270" t="str">
        <f>_xlfn.IFNA(VLOOKUP(CONCATENATE(AN$4,$C515),'INSER DATA'!$A:$F,7,0),"")</f>
        <v/>
      </c>
      <c r="AO515" s="270" t="str">
        <f>_xlfn.IFNA(VLOOKUP(CONCATENATE(AO$4,$C515),'INSER DATA'!$A:$F,7,0),"")</f>
        <v/>
      </c>
      <c r="AP515" s="270" t="str">
        <f>_xlfn.IFNA(VLOOKUP(CONCATENATE(AP$4,$C515),'INSER DATA'!$A:$F,7,0),"")</f>
        <v/>
      </c>
      <c r="AQ515" s="270" t="str">
        <f>_xlfn.IFNA(VLOOKUP(CONCATENATE(AQ$4,$C515),'INSER DATA'!$A:$F,7,0),"")</f>
        <v/>
      </c>
      <c r="AR515" s="270" t="str">
        <f>_xlfn.IFNA(VLOOKUP(CONCATENATE(AR$4,$C515),'INSER DATA'!$A:$F,7,0),"")</f>
        <v/>
      </c>
      <c r="AS515" s="270" t="str">
        <f>_xlfn.IFNA(VLOOKUP(CONCATENATE(AS$4,$C515),'INSER DATA'!$A:$F,7,0),"")</f>
        <v/>
      </c>
      <c r="AT515" s="270" t="str">
        <f>_xlfn.IFNA(VLOOKUP(CONCATENATE(AT$4,$C515),'INSER DATA'!$A:$F,7,0),"")</f>
        <v/>
      </c>
      <c r="AU515" s="270" t="str">
        <f>_xlfn.IFNA(VLOOKUP(CONCATENATE(AU$4,$C515),'INSER DATA'!$A:$F,7,0),"")</f>
        <v/>
      </c>
      <c r="AV515" s="270" t="str">
        <f>_xlfn.IFNA(VLOOKUP(CONCATENATE(AV$4,$C515),'INSER DATA'!$A:$F,7,0),"")</f>
        <v/>
      </c>
      <c r="AW515" s="270" t="str">
        <f>_xlfn.IFNA(VLOOKUP(CONCATENATE(AW$4,$C515),'INSER DATA'!$A:$F,7,0),"")</f>
        <v/>
      </c>
      <c r="AX515" s="270" t="str">
        <f>_xlfn.IFNA(VLOOKUP(CONCATENATE(AX$4,$C515),'INSER DATA'!$A:$F,7,0),"")</f>
        <v/>
      </c>
      <c r="AY515" s="270" t="str">
        <f>_xlfn.IFNA(VLOOKUP(CONCATENATE(AY$4,$C515),'INSER DATA'!$A:$F,7,0),"")</f>
        <v/>
      </c>
      <c r="AZ515" s="270" t="str">
        <f>_xlfn.IFNA(VLOOKUP(CONCATENATE(AZ$4,$C515),'INSER DATA'!$A:$F,7,0),"")</f>
        <v/>
      </c>
      <c r="BA515" s="270" t="str">
        <f>_xlfn.IFNA(VLOOKUP(CONCATENATE(BA$4,$C515),'INSER DATA'!$A:$F,7,0),"")</f>
        <v/>
      </c>
      <c r="BB515" s="270" t="str">
        <f>_xlfn.IFNA(VLOOKUP(CONCATENATE(BB$4,$C515),'INSER DATA'!$A:$F,7,0),"")</f>
        <v/>
      </c>
      <c r="BC515" s="270" t="str">
        <f>_xlfn.IFNA(VLOOKUP(CONCATENATE(BC$4,$C515),'INSER DATA'!$A:$F,7,0),"")</f>
        <v/>
      </c>
      <c r="BD515" s="270" t="str">
        <f>_xlfn.IFNA(VLOOKUP(CONCATENATE(BD$4,$C515),'INSER DATA'!$A:$F,7,0),"")</f>
        <v/>
      </c>
      <c r="BE515" s="270" t="str">
        <f>_xlfn.IFNA(VLOOKUP(CONCATENATE(BE$4,$C515),'INSER DATA'!$A:$F,7,0),"")</f>
        <v/>
      </c>
      <c r="BF515" s="270" t="str">
        <f>_xlfn.IFNA(VLOOKUP(CONCATENATE(BF$4,$C515),'INSER DATA'!$A:$F,7,0),"")</f>
        <v/>
      </c>
      <c r="BG515" s="270" t="str">
        <f>_xlfn.IFNA(VLOOKUP(CONCATENATE(BG$4,$C515),'INSER DATA'!$A:$F,7,0),"")</f>
        <v/>
      </c>
      <c r="BH515" s="270" t="str">
        <f>_xlfn.IFNA(VLOOKUP(CONCATENATE(BH$4,$C515),'INSER DATA'!$A:$F,7,0),"")</f>
        <v/>
      </c>
      <c r="BI515" s="270" t="str">
        <f>_xlfn.IFNA(VLOOKUP(CONCATENATE(BI$4,$C515),'INSER DATA'!$A:$F,7,0),"")</f>
        <v/>
      </c>
      <c r="BJ515" s="270" t="str">
        <f>_xlfn.IFNA(VLOOKUP(CONCATENATE(BJ$4,$C515),'INSER DATA'!$A:$F,7,0),"")</f>
        <v/>
      </c>
      <c r="BK515" s="270" t="str">
        <f>_xlfn.IFNA(VLOOKUP(CONCATENATE(BK$4,$C515),'INSER DATA'!$A:$F,7,0),"")</f>
        <v/>
      </c>
      <c r="BL515" s="272"/>
      <c r="BM515" s="30"/>
      <c r="BN515" s="30"/>
      <c r="BO515" s="30"/>
      <c r="BP515" s="30"/>
      <c r="BQ515" s="30"/>
      <c r="BR515" s="30"/>
      <c r="BS515" s="30"/>
      <c r="BT515" s="30"/>
      <c r="BU515" s="30"/>
      <c r="BV515" s="30"/>
      <c r="BW515" s="30"/>
      <c r="BX515" s="30"/>
      <c r="BY515" s="30"/>
      <c r="BZ515" s="30"/>
      <c r="CA515" s="30"/>
      <c r="CB515" s="30"/>
      <c r="CC515" s="30"/>
      <c r="CD515" s="30"/>
      <c r="CE515" s="30"/>
      <c r="CF515" s="30"/>
      <c r="CG515" s="30"/>
      <c r="CH515" s="30"/>
      <c r="CI515" s="30"/>
      <c r="CJ515" s="30"/>
      <c r="CK515" s="30"/>
      <c r="CL515" s="30"/>
      <c r="CM515" s="30"/>
      <c r="CN515" s="30"/>
      <c r="CO515" s="30"/>
      <c r="CP515" s="30"/>
      <c r="CQ515" s="30"/>
      <c r="CR515" s="30"/>
      <c r="CS515" s="30"/>
      <c r="CT515" s="30"/>
      <c r="CU515" s="30"/>
      <c r="CV515" s="30"/>
      <c r="CW515" s="30"/>
      <c r="CX515" s="30"/>
      <c r="CY515" s="30"/>
      <c r="CZ515" s="30"/>
      <c r="DA515" s="30"/>
    </row>
    <row r="516" spans="1:105" ht="19.2" thickTop="1" thickBot="1" x14ac:dyDescent="0.4">
      <c r="A516" s="30"/>
      <c r="B516" s="30"/>
      <c r="C516" s="188" t="s">
        <v>981</v>
      </c>
      <c r="D516" s="187" t="s">
        <v>967</v>
      </c>
      <c r="E516" s="35" t="str">
        <f>_xlfn.XLOOKUP(Tabella4[[#This Row],[NOME]],'ROSE SQUADRE'!$N$3:$N$253,'ROSE SQUADRE'!$O$3:$O$253,"")</f>
        <v/>
      </c>
      <c r="F516" s="36" t="s">
        <v>162</v>
      </c>
      <c r="G516" s="43">
        <v>3</v>
      </c>
      <c r="H516" s="43">
        <v>3</v>
      </c>
      <c r="I516" s="44">
        <f t="shared" si="44"/>
        <v>0</v>
      </c>
      <c r="J516" s="37">
        <f t="shared" si="45"/>
        <v>1</v>
      </c>
      <c r="K516" s="178">
        <f t="shared" si="46"/>
        <v>5.5</v>
      </c>
      <c r="L516" s="178">
        <f t="shared" si="47"/>
        <v>5.5</v>
      </c>
      <c r="M516" s="179">
        <f t="shared" si="48"/>
        <v>5.5</v>
      </c>
      <c r="N516" s="45">
        <f t="shared" ca="1" si="50"/>
        <v>0</v>
      </c>
      <c r="O516" s="40">
        <f>SUMIF(Tabella1[Nome],Tabella4[[#This Row],[NOME]],Tabella1[Gf])</f>
        <v>0</v>
      </c>
      <c r="P516" s="40">
        <f>-(SUMIF(Tabella1[Nome],Tabella4[[#This Row],[NOME]],Tabella1[Gs]))</f>
        <v>0</v>
      </c>
      <c r="Q516" s="40">
        <f>SUMIF(Tabella1[Nome],Tabella4[[#This Row],[NOME]],Tabella1[Rp])</f>
        <v>0</v>
      </c>
      <c r="R516" s="40">
        <f>SUMIF(Tabella1[Nome],Tabella4[[#This Row],[NOME]],Tabella1[Rs])</f>
        <v>0</v>
      </c>
      <c r="S516" s="40">
        <f>SUMIF(Tabella1[Nome],Tabella4[[#This Row],[NOME]],Tabella1[Rf])</f>
        <v>0</v>
      </c>
      <c r="T516" s="40">
        <f>SUMIF(Tabella1[Nome],Tabella4[[#This Row],[NOME]],Tabella1[Au])</f>
        <v>0</v>
      </c>
      <c r="U516" s="41">
        <f>SUMIF(Tabella1[Nome],Tabella4[[#This Row],[NOME]],Tabella1[Amm])</f>
        <v>0</v>
      </c>
      <c r="V516" s="42">
        <f>SUMIF(Tabella1[Nome],Tabella4[[#This Row],[NOME]],Tabella1[Esp])</f>
        <v>0</v>
      </c>
      <c r="W516" s="40">
        <f>SUMIF(Tabella1[Nome],Tabella4[[#This Row],[NOME]],Tabella1[Ass])</f>
        <v>0</v>
      </c>
      <c r="X516" s="40">
        <f>SUMIF(Tabella1[Nome],Tabella4[[#This Row],[NOME]],Tabella1[Gdv])</f>
        <v>0</v>
      </c>
      <c r="Y516" s="40">
        <f>SUMIF(Tabella1[Nome],Tabella4[[#This Row],[NOME]],Tabella1[cl sh])</f>
        <v>0</v>
      </c>
      <c r="Z516" s="270" t="str">
        <f>_xlfn.IFNA(_xlfn.XLOOKUP(CONCATENATE(Z$4,$C516),Tabella1[CONC X VOTI IN TAB GIOC],Tabella1[Voto],""),"")</f>
        <v/>
      </c>
      <c r="AA516" s="270" t="str">
        <f>_xlfn.IFNA(_xlfn.XLOOKUP(CONCATENATE(AA$4,$C516),Tabella1[CONC X VOTI IN TAB GIOC],Tabella1[Voto],""),"")</f>
        <v/>
      </c>
      <c r="AB516" s="270" t="str">
        <f>_xlfn.IFNA(_xlfn.XLOOKUP(CONCATENATE(AB$4,$C516),Tabella1[CONC X VOTI IN TAB GIOC],Tabella1[Voto]),"")</f>
        <v/>
      </c>
      <c r="AC516" s="270" cm="1">
        <f t="array" ref="AC516">_xlfn.IFNA(_xlfn.XLOOKUP(CONCATENATE(AC$4,$C516),INDEX(Tabella1[],0,MATCH("CONC X VOTI IN TAB GIOC",Tabella1[#Headers],0)),INDEX(Tabella1[],0,MATCH("Voto",Tabella1[#Headers],0))),"")</f>
        <v>5.5</v>
      </c>
      <c r="AD516" s="270" t="str">
        <f>_xlfn.IFNA(_xlfn.XLOOKUP(CONCATENATE(AD$4,$C516),Tabella1[CONC X VOTI IN TAB GIOC],Tabella1[Voto]),"")</f>
        <v/>
      </c>
      <c r="AE516" s="270" t="str">
        <f>_xlfn.IFNA(VLOOKUP(CONCATENATE(AE$4,$C516),'INSER DATA'!$A:$F,6,0),"")</f>
        <v/>
      </c>
      <c r="AF516" s="270" t="str">
        <f>_xlfn.IFNA(VLOOKUP(CONCATENATE(AF$4,$C516),'INSER DATA'!$A:$F,6,0),"")</f>
        <v/>
      </c>
      <c r="AG516" s="270" t="str">
        <f>_xlfn.IFNA(VLOOKUP(CONCATENATE(AG$4,$C516),'INSER DATA'!$A:$F,6,0),"")</f>
        <v/>
      </c>
      <c r="AH516" s="270" t="str">
        <f>_xlfn.IFNA(VLOOKUP(CONCATENATE(AH$4,$C516),'INSER DATA'!$A:$F,7,0),"")</f>
        <v/>
      </c>
      <c r="AI516" s="270" t="str">
        <f>_xlfn.IFNA(VLOOKUP(CONCATENATE(AI$4,$C516),'INSER DATA'!$A:$F,7,0),"")</f>
        <v/>
      </c>
      <c r="AJ516" s="270" t="str">
        <f>_xlfn.IFNA(VLOOKUP(CONCATENATE(AJ$4,$C516),'INSER DATA'!$A:$F,7,0),"")</f>
        <v/>
      </c>
      <c r="AK516" s="270" t="str">
        <f>_xlfn.IFNA(VLOOKUP(CONCATENATE(AK$4,$C516),'INSER DATA'!$A:$F,7,0),"")</f>
        <v/>
      </c>
      <c r="AL516" s="270" t="str">
        <f>_xlfn.IFNA(VLOOKUP(CONCATENATE(AL$4,$C516),'INSER DATA'!$A:$F,7,0),"")</f>
        <v/>
      </c>
      <c r="AM516" s="270" t="str">
        <f>_xlfn.IFNA(VLOOKUP(CONCATENATE(AM$4,$C516),'INSER DATA'!$A:$F,7,0),"")</f>
        <v/>
      </c>
      <c r="AN516" s="270" t="str">
        <f>_xlfn.IFNA(VLOOKUP(CONCATENATE(AN$4,$C516),'INSER DATA'!$A:$F,7,0),"")</f>
        <v/>
      </c>
      <c r="AO516" s="270" t="str">
        <f>_xlfn.IFNA(VLOOKUP(CONCATENATE(AO$4,$C516),'INSER DATA'!$A:$F,7,0),"")</f>
        <v/>
      </c>
      <c r="AP516" s="270" t="str">
        <f>_xlfn.IFNA(VLOOKUP(CONCATENATE(AP$4,$C516),'INSER DATA'!$A:$F,7,0),"")</f>
        <v/>
      </c>
      <c r="AQ516" s="270" t="str">
        <f>_xlfn.IFNA(VLOOKUP(CONCATENATE(AQ$4,$C516),'INSER DATA'!$A:$F,7,0),"")</f>
        <v/>
      </c>
      <c r="AR516" s="270" t="str">
        <f>_xlfn.IFNA(VLOOKUP(CONCATENATE(AR$4,$C516),'INSER DATA'!$A:$F,7,0),"")</f>
        <v/>
      </c>
      <c r="AS516" s="270" t="str">
        <f>_xlfn.IFNA(VLOOKUP(CONCATENATE(AS$4,$C516),'INSER DATA'!$A:$F,7,0),"")</f>
        <v/>
      </c>
      <c r="AT516" s="270" t="str">
        <f>_xlfn.IFNA(VLOOKUP(CONCATENATE(AT$4,$C516),'INSER DATA'!$A:$F,7,0),"")</f>
        <v/>
      </c>
      <c r="AU516" s="270" t="str">
        <f>_xlfn.IFNA(VLOOKUP(CONCATENATE(AU$4,$C516),'INSER DATA'!$A:$F,7,0),"")</f>
        <v/>
      </c>
      <c r="AV516" s="270" t="str">
        <f>_xlfn.IFNA(VLOOKUP(CONCATENATE(AV$4,$C516),'INSER DATA'!$A:$F,7,0),"")</f>
        <v/>
      </c>
      <c r="AW516" s="270" t="str">
        <f>_xlfn.IFNA(VLOOKUP(CONCATENATE(AW$4,$C516),'INSER DATA'!$A:$F,7,0),"")</f>
        <v/>
      </c>
      <c r="AX516" s="270" t="str">
        <f>_xlfn.IFNA(VLOOKUP(CONCATENATE(AX$4,$C516),'INSER DATA'!$A:$F,7,0),"")</f>
        <v/>
      </c>
      <c r="AY516" s="270" t="str">
        <f>_xlfn.IFNA(VLOOKUP(CONCATENATE(AY$4,$C516),'INSER DATA'!$A:$F,7,0),"")</f>
        <v/>
      </c>
      <c r="AZ516" s="270" t="str">
        <f>_xlfn.IFNA(VLOOKUP(CONCATENATE(AZ$4,$C516),'INSER DATA'!$A:$F,7,0),"")</f>
        <v/>
      </c>
      <c r="BA516" s="270" t="str">
        <f>_xlfn.IFNA(VLOOKUP(CONCATENATE(BA$4,$C516),'INSER DATA'!$A:$F,7,0),"")</f>
        <v/>
      </c>
      <c r="BB516" s="270" t="str">
        <f>_xlfn.IFNA(VLOOKUP(CONCATENATE(BB$4,$C516),'INSER DATA'!$A:$F,7,0),"")</f>
        <v/>
      </c>
      <c r="BC516" s="270" t="str">
        <f>_xlfn.IFNA(VLOOKUP(CONCATENATE(BC$4,$C516),'INSER DATA'!$A:$F,7,0),"")</f>
        <v/>
      </c>
      <c r="BD516" s="270" t="str">
        <f>_xlfn.IFNA(VLOOKUP(CONCATENATE(BD$4,$C516),'INSER DATA'!$A:$F,7,0),"")</f>
        <v/>
      </c>
      <c r="BE516" s="270" t="str">
        <f>_xlfn.IFNA(VLOOKUP(CONCATENATE(BE$4,$C516),'INSER DATA'!$A:$F,7,0),"")</f>
        <v/>
      </c>
      <c r="BF516" s="270" t="str">
        <f>_xlfn.IFNA(VLOOKUP(CONCATENATE(BF$4,$C516),'INSER DATA'!$A:$F,7,0),"")</f>
        <v/>
      </c>
      <c r="BG516" s="270" t="str">
        <f>_xlfn.IFNA(VLOOKUP(CONCATENATE(BG$4,$C516),'INSER DATA'!$A:$F,7,0),"")</f>
        <v/>
      </c>
      <c r="BH516" s="270" t="str">
        <f>_xlfn.IFNA(VLOOKUP(CONCATENATE(BH$4,$C516),'INSER DATA'!$A:$F,7,0),"")</f>
        <v/>
      </c>
      <c r="BI516" s="270" t="str">
        <f>_xlfn.IFNA(VLOOKUP(CONCATENATE(BI$4,$C516),'INSER DATA'!$A:$F,7,0),"")</f>
        <v/>
      </c>
      <c r="BJ516" s="270" t="str">
        <f>_xlfn.IFNA(VLOOKUP(CONCATENATE(BJ$4,$C516),'INSER DATA'!$A:$F,7,0),"")</f>
        <v/>
      </c>
      <c r="BK516" s="270" t="str">
        <f>_xlfn.IFNA(VLOOKUP(CONCATENATE(BK$4,$C516),'INSER DATA'!$A:$F,7,0),"")</f>
        <v/>
      </c>
      <c r="BL516" s="272"/>
      <c r="BM516" s="30"/>
      <c r="BN516" s="30"/>
      <c r="BO516" s="30"/>
      <c r="BP516" s="30"/>
      <c r="BQ516" s="30"/>
      <c r="BR516" s="30"/>
      <c r="BS516" s="30"/>
      <c r="BT516" s="30"/>
      <c r="BU516" s="30"/>
      <c r="BV516" s="30"/>
      <c r="BW516" s="30"/>
      <c r="BX516" s="30"/>
      <c r="BY516" s="30"/>
      <c r="BZ516" s="30"/>
      <c r="CA516" s="30"/>
      <c r="CB516" s="30"/>
      <c r="CC516" s="30"/>
      <c r="CD516" s="30"/>
      <c r="CE516" s="30"/>
      <c r="CF516" s="30"/>
      <c r="CG516" s="30"/>
      <c r="CH516" s="30"/>
      <c r="CI516" s="30"/>
      <c r="CJ516" s="30"/>
      <c r="CK516" s="30"/>
      <c r="CL516" s="30"/>
      <c r="CM516" s="30"/>
      <c r="CN516" s="30"/>
      <c r="CO516" s="30"/>
      <c r="CP516" s="30"/>
      <c r="CQ516" s="30"/>
      <c r="CR516" s="30"/>
      <c r="CS516" s="30"/>
      <c r="CT516" s="30"/>
      <c r="CU516" s="30"/>
      <c r="CV516" s="30"/>
      <c r="CW516" s="30"/>
      <c r="CX516" s="30"/>
      <c r="CY516" s="30"/>
      <c r="CZ516" s="30"/>
      <c r="DA516" s="30"/>
    </row>
    <row r="517" spans="1:105" ht="19.2" thickTop="1" thickBot="1" x14ac:dyDescent="0.4">
      <c r="A517" s="30"/>
      <c r="B517" s="30"/>
      <c r="C517" s="185" t="s">
        <v>984</v>
      </c>
      <c r="D517" s="46" t="s">
        <v>967</v>
      </c>
      <c r="E517" s="35" t="str">
        <f>_xlfn.XLOOKUP(Tabella4[[#This Row],[NOME]],'ROSE SQUADRE'!$N$3:$N$253,'ROSE SQUADRE'!$O$3:$O$253,"")</f>
        <v/>
      </c>
      <c r="F517" s="36" t="s">
        <v>163</v>
      </c>
      <c r="G517" s="43">
        <v>5</v>
      </c>
      <c r="H517" s="43">
        <v>5</v>
      </c>
      <c r="I517" s="44">
        <f t="shared" ref="I517:I533" si="51">SUM(H517-G517)</f>
        <v>0</v>
      </c>
      <c r="J517" s="37">
        <f t="shared" ref="J517:J533" si="52">COUNT(Z517:CJ517)</f>
        <v>0</v>
      </c>
      <c r="K517" s="178">
        <f t="shared" ref="K517:K533" si="53">IF(J517=0,0,AVERAGE(Z517:CJ517))</f>
        <v>0</v>
      </c>
      <c r="L517" s="178">
        <f t="shared" ref="L517:L533" si="54">IF(J517=0,0,M517/J517)</f>
        <v>0</v>
      </c>
      <c r="M517" s="179">
        <f t="shared" ref="M517:M533" si="55">SUM(Z517:CJ517)+(O517*3)+P517+(Q517*3)-(R517*3)-(T517*2)-(U517/2)-V517+W517+X517+Y517</f>
        <v>0</v>
      </c>
      <c r="N517" s="45">
        <f t="shared" ca="1" si="50"/>
        <v>0</v>
      </c>
      <c r="O517" s="40">
        <f>SUMIF(Tabella1[Nome],Tabella4[[#This Row],[NOME]],Tabella1[Gf])</f>
        <v>0</v>
      </c>
      <c r="P517" s="40">
        <f>-(SUMIF(Tabella1[Nome],Tabella4[[#This Row],[NOME]],Tabella1[Gs]))</f>
        <v>0</v>
      </c>
      <c r="Q517" s="40">
        <f>SUMIF(Tabella1[Nome],Tabella4[[#This Row],[NOME]],Tabella1[Rp])</f>
        <v>0</v>
      </c>
      <c r="R517" s="40">
        <f>SUMIF(Tabella1[Nome],Tabella4[[#This Row],[NOME]],Tabella1[Rs])</f>
        <v>0</v>
      </c>
      <c r="S517" s="40">
        <f>SUMIF(Tabella1[Nome],Tabella4[[#This Row],[NOME]],Tabella1[Rf])</f>
        <v>0</v>
      </c>
      <c r="T517" s="40">
        <f>SUMIF(Tabella1[Nome],Tabella4[[#This Row],[NOME]],Tabella1[Au])</f>
        <v>0</v>
      </c>
      <c r="U517" s="41">
        <f>SUMIF(Tabella1[Nome],Tabella4[[#This Row],[NOME]],Tabella1[Amm])</f>
        <v>0</v>
      </c>
      <c r="V517" s="42">
        <f>SUMIF(Tabella1[Nome],Tabella4[[#This Row],[NOME]],Tabella1[Esp])</f>
        <v>0</v>
      </c>
      <c r="W517" s="40">
        <f>SUMIF(Tabella1[Nome],Tabella4[[#This Row],[NOME]],Tabella1[Ass])</f>
        <v>0</v>
      </c>
      <c r="X517" s="40">
        <f>SUMIF(Tabella1[Nome],Tabella4[[#This Row],[NOME]],Tabella1[Gdv])</f>
        <v>0</v>
      </c>
      <c r="Y517" s="40">
        <f>SUMIF(Tabella1[Nome],Tabella4[[#This Row],[NOME]],Tabella1[cl sh])</f>
        <v>0</v>
      </c>
      <c r="Z517" s="270" t="str">
        <f>_xlfn.IFNA(_xlfn.XLOOKUP(CONCATENATE(Z$4,$C517),Tabella1[CONC X VOTI IN TAB GIOC],Tabella1[Voto],""),"")</f>
        <v/>
      </c>
      <c r="AA517" s="270" t="str">
        <f>_xlfn.IFNA(_xlfn.XLOOKUP(CONCATENATE(AA$4,$C517),Tabella1[CONC X VOTI IN TAB GIOC],Tabella1[Voto],""),"")</f>
        <v/>
      </c>
      <c r="AB517" s="270" t="str">
        <f>_xlfn.IFNA(_xlfn.XLOOKUP(CONCATENATE(AB$4,$C517),Tabella1[CONC X VOTI IN TAB GIOC],Tabella1[Voto]),"")</f>
        <v/>
      </c>
      <c r="AC517" s="270" t="str" cm="1">
        <f t="array" ref="AC517">_xlfn.IFNA(_xlfn.XLOOKUP(CONCATENATE(AC$4,$C517),INDEX(Tabella1[],0,MATCH("CONC X VOTI IN TAB GIOC",Tabella1[#Headers],0)),INDEX(Tabella1[],0,MATCH("Voto",Tabella1[#Headers],0))),"")</f>
        <v/>
      </c>
      <c r="AD517" s="270" t="str">
        <f>_xlfn.IFNA(_xlfn.XLOOKUP(CONCATENATE(AD$4,$C517),Tabella1[CONC X VOTI IN TAB GIOC],Tabella1[Voto]),"")</f>
        <v/>
      </c>
      <c r="AE517" s="270" t="str">
        <f>_xlfn.IFNA(VLOOKUP(CONCATENATE(AE$4,$C517),'INSER DATA'!$A:$F,6,0),"")</f>
        <v/>
      </c>
      <c r="AF517" s="270" t="str">
        <f>_xlfn.IFNA(VLOOKUP(CONCATENATE(AF$4,$C517),'INSER DATA'!$A:$F,6,0),"")</f>
        <v/>
      </c>
      <c r="AG517" s="270" t="str">
        <f>_xlfn.IFNA(VLOOKUP(CONCATENATE(AG$4,$C517),'INSER DATA'!$A:$F,6,0),"")</f>
        <v/>
      </c>
      <c r="AH517" s="270" t="str">
        <f>_xlfn.IFNA(VLOOKUP(CONCATENATE(AH$4,$C517),'INSER DATA'!$A:$F,7,0),"")</f>
        <v/>
      </c>
      <c r="AI517" s="270" t="str">
        <f>_xlfn.IFNA(VLOOKUP(CONCATENATE(AI$4,$C517),'INSER DATA'!$A:$F,7,0),"")</f>
        <v/>
      </c>
      <c r="AJ517" s="270" t="str">
        <f>_xlfn.IFNA(VLOOKUP(CONCATENATE(AJ$4,$C517),'INSER DATA'!$A:$F,7,0),"")</f>
        <v/>
      </c>
      <c r="AK517" s="270" t="str">
        <f>_xlfn.IFNA(VLOOKUP(CONCATENATE(AK$4,$C517),'INSER DATA'!$A:$F,7,0),"")</f>
        <v/>
      </c>
      <c r="AL517" s="270" t="str">
        <f>_xlfn.IFNA(VLOOKUP(CONCATENATE(AL$4,$C517),'INSER DATA'!$A:$F,7,0),"")</f>
        <v/>
      </c>
      <c r="AM517" s="270" t="str">
        <f>_xlfn.IFNA(VLOOKUP(CONCATENATE(AM$4,$C517),'INSER DATA'!$A:$F,7,0),"")</f>
        <v/>
      </c>
      <c r="AN517" s="270" t="str">
        <f>_xlfn.IFNA(VLOOKUP(CONCATENATE(AN$4,$C517),'INSER DATA'!$A:$F,7,0),"")</f>
        <v/>
      </c>
      <c r="AO517" s="270" t="str">
        <f>_xlfn.IFNA(VLOOKUP(CONCATENATE(AO$4,$C517),'INSER DATA'!$A:$F,7,0),"")</f>
        <v/>
      </c>
      <c r="AP517" s="270" t="str">
        <f>_xlfn.IFNA(VLOOKUP(CONCATENATE(AP$4,$C517),'INSER DATA'!$A:$F,7,0),"")</f>
        <v/>
      </c>
      <c r="AQ517" s="270" t="str">
        <f>_xlfn.IFNA(VLOOKUP(CONCATENATE(AQ$4,$C517),'INSER DATA'!$A:$F,7,0),"")</f>
        <v/>
      </c>
      <c r="AR517" s="270" t="str">
        <f>_xlfn.IFNA(VLOOKUP(CONCATENATE(AR$4,$C517),'INSER DATA'!$A:$F,7,0),"")</f>
        <v/>
      </c>
      <c r="AS517" s="270" t="str">
        <f>_xlfn.IFNA(VLOOKUP(CONCATENATE(AS$4,$C517),'INSER DATA'!$A:$F,7,0),"")</f>
        <v/>
      </c>
      <c r="AT517" s="270" t="str">
        <f>_xlfn.IFNA(VLOOKUP(CONCATENATE(AT$4,$C517),'INSER DATA'!$A:$F,7,0),"")</f>
        <v/>
      </c>
      <c r="AU517" s="270" t="str">
        <f>_xlfn.IFNA(VLOOKUP(CONCATENATE(AU$4,$C517),'INSER DATA'!$A:$F,7,0),"")</f>
        <v/>
      </c>
      <c r="AV517" s="270" t="str">
        <f>_xlfn.IFNA(VLOOKUP(CONCATENATE(AV$4,$C517),'INSER DATA'!$A:$F,7,0),"")</f>
        <v/>
      </c>
      <c r="AW517" s="270" t="str">
        <f>_xlfn.IFNA(VLOOKUP(CONCATENATE(AW$4,$C517),'INSER DATA'!$A:$F,7,0),"")</f>
        <v/>
      </c>
      <c r="AX517" s="270" t="str">
        <f>_xlfn.IFNA(VLOOKUP(CONCATENATE(AX$4,$C517),'INSER DATA'!$A:$F,7,0),"")</f>
        <v/>
      </c>
      <c r="AY517" s="270" t="str">
        <f>_xlfn.IFNA(VLOOKUP(CONCATENATE(AY$4,$C517),'INSER DATA'!$A:$F,7,0),"")</f>
        <v/>
      </c>
      <c r="AZ517" s="270" t="str">
        <f>_xlfn.IFNA(VLOOKUP(CONCATENATE(AZ$4,$C517),'INSER DATA'!$A:$F,7,0),"")</f>
        <v/>
      </c>
      <c r="BA517" s="270" t="str">
        <f>_xlfn.IFNA(VLOOKUP(CONCATENATE(BA$4,$C517),'INSER DATA'!$A:$F,7,0),"")</f>
        <v/>
      </c>
      <c r="BB517" s="270" t="str">
        <f>_xlfn.IFNA(VLOOKUP(CONCATENATE(BB$4,$C517),'INSER DATA'!$A:$F,7,0),"")</f>
        <v/>
      </c>
      <c r="BC517" s="270" t="str">
        <f>_xlfn.IFNA(VLOOKUP(CONCATENATE(BC$4,$C517),'INSER DATA'!$A:$F,7,0),"")</f>
        <v/>
      </c>
      <c r="BD517" s="270" t="str">
        <f>_xlfn.IFNA(VLOOKUP(CONCATENATE(BD$4,$C517),'INSER DATA'!$A:$F,7,0),"")</f>
        <v/>
      </c>
      <c r="BE517" s="270" t="str">
        <f>_xlfn.IFNA(VLOOKUP(CONCATENATE(BE$4,$C517),'INSER DATA'!$A:$F,7,0),"")</f>
        <v/>
      </c>
      <c r="BF517" s="270" t="str">
        <f>_xlfn.IFNA(VLOOKUP(CONCATENATE(BF$4,$C517),'INSER DATA'!$A:$F,7,0),"")</f>
        <v/>
      </c>
      <c r="BG517" s="270" t="str">
        <f>_xlfn.IFNA(VLOOKUP(CONCATENATE(BG$4,$C517),'INSER DATA'!$A:$F,7,0),"")</f>
        <v/>
      </c>
      <c r="BH517" s="270" t="str">
        <f>_xlfn.IFNA(VLOOKUP(CONCATENATE(BH$4,$C517),'INSER DATA'!$A:$F,7,0),"")</f>
        <v/>
      </c>
      <c r="BI517" s="270" t="str">
        <f>_xlfn.IFNA(VLOOKUP(CONCATENATE(BI$4,$C517),'INSER DATA'!$A:$F,7,0),"")</f>
        <v/>
      </c>
      <c r="BJ517" s="270" t="str">
        <f>_xlfn.IFNA(VLOOKUP(CONCATENATE(BJ$4,$C517),'INSER DATA'!$A:$F,7,0),"")</f>
        <v/>
      </c>
      <c r="BK517" s="270" t="str">
        <f>_xlfn.IFNA(VLOOKUP(CONCATENATE(BK$4,$C517),'INSER DATA'!$A:$F,7,0),"")</f>
        <v/>
      </c>
      <c r="BL517" s="272"/>
      <c r="BM517" s="30"/>
      <c r="BN517" s="30"/>
      <c r="BO517" s="30"/>
      <c r="BP517" s="30"/>
      <c r="BQ517" s="30"/>
      <c r="BR517" s="30"/>
      <c r="BS517" s="30"/>
      <c r="BT517" s="30"/>
      <c r="BU517" s="30"/>
      <c r="BV517" s="30"/>
      <c r="BW517" s="30"/>
      <c r="BX517" s="30"/>
      <c r="BY517" s="30"/>
      <c r="BZ517" s="30"/>
      <c r="CA517" s="30"/>
      <c r="CB517" s="30"/>
      <c r="CC517" s="30"/>
      <c r="CD517" s="30"/>
      <c r="CE517" s="30"/>
      <c r="CF517" s="30"/>
      <c r="CG517" s="30"/>
      <c r="CH517" s="30"/>
      <c r="CI517" s="30"/>
      <c r="CJ517" s="30"/>
      <c r="CK517" s="30"/>
      <c r="CL517" s="30"/>
      <c r="CM517" s="30"/>
      <c r="CN517" s="30"/>
      <c r="CO517" s="30"/>
      <c r="CP517" s="30"/>
      <c r="CQ517" s="30"/>
      <c r="CR517" s="30"/>
      <c r="CS517" s="30"/>
      <c r="CT517" s="30"/>
      <c r="CU517" s="30"/>
      <c r="CV517" s="30"/>
      <c r="CW517" s="30"/>
      <c r="CX517" s="30"/>
      <c r="CY517" s="30"/>
      <c r="CZ517" s="30"/>
      <c r="DA517" s="30"/>
    </row>
    <row r="518" spans="1:105" ht="19.2" thickTop="1" thickBot="1" x14ac:dyDescent="0.4">
      <c r="A518" s="30"/>
      <c r="B518" s="30"/>
      <c r="C518" s="356" t="s">
        <v>985</v>
      </c>
      <c r="D518" s="355" t="s">
        <v>967</v>
      </c>
      <c r="E518" s="35" t="str">
        <f>_xlfn.XLOOKUP(Tabella4[[#This Row],[NOME]],'ROSE SQUADRE'!$N$3:$N$253,'ROSE SQUADRE'!$O$3:$O$253,"")</f>
        <v>SAN GRIA</v>
      </c>
      <c r="F518" s="36" t="s">
        <v>163</v>
      </c>
      <c r="G518" s="43">
        <v>1</v>
      </c>
      <c r="H518" s="43">
        <v>1</v>
      </c>
      <c r="I518" s="44">
        <f t="shared" si="51"/>
        <v>0</v>
      </c>
      <c r="J518" s="37">
        <f t="shared" si="52"/>
        <v>1</v>
      </c>
      <c r="K518" s="178">
        <f t="shared" si="53"/>
        <v>5.5</v>
      </c>
      <c r="L518" s="178">
        <f t="shared" si="54"/>
        <v>5.5</v>
      </c>
      <c r="M518" s="179">
        <f t="shared" si="55"/>
        <v>5.5</v>
      </c>
      <c r="N518" s="45">
        <f t="shared" ca="1" si="50"/>
        <v>0</v>
      </c>
      <c r="O518" s="40">
        <f>SUMIF(Tabella1[Nome],Tabella4[[#This Row],[NOME]],Tabella1[Gf])</f>
        <v>0</v>
      </c>
      <c r="P518" s="40">
        <f>-(SUMIF(Tabella1[Nome],Tabella4[[#This Row],[NOME]],Tabella1[Gs]))</f>
        <v>0</v>
      </c>
      <c r="Q518" s="40">
        <f>SUMIF(Tabella1[Nome],Tabella4[[#This Row],[NOME]],Tabella1[Rp])</f>
        <v>0</v>
      </c>
      <c r="R518" s="40">
        <f>SUMIF(Tabella1[Nome],Tabella4[[#This Row],[NOME]],Tabella1[Rs])</f>
        <v>0</v>
      </c>
      <c r="S518" s="40">
        <f>SUMIF(Tabella1[Nome],Tabella4[[#This Row],[NOME]],Tabella1[Rf])</f>
        <v>0</v>
      </c>
      <c r="T518" s="40">
        <f>SUMIF(Tabella1[Nome],Tabella4[[#This Row],[NOME]],Tabella1[Au])</f>
        <v>0</v>
      </c>
      <c r="U518" s="41">
        <f>SUMIF(Tabella1[Nome],Tabella4[[#This Row],[NOME]],Tabella1[Amm])</f>
        <v>0</v>
      </c>
      <c r="V518" s="42">
        <f>SUMIF(Tabella1[Nome],Tabella4[[#This Row],[NOME]],Tabella1[Esp])</f>
        <v>0</v>
      </c>
      <c r="W518" s="40">
        <f>SUMIF(Tabella1[Nome],Tabella4[[#This Row],[NOME]],Tabella1[Ass])</f>
        <v>0</v>
      </c>
      <c r="X518" s="40">
        <f>SUMIF(Tabella1[Nome],Tabella4[[#This Row],[NOME]],Tabella1[Gdv])</f>
        <v>0</v>
      </c>
      <c r="Y518" s="40">
        <f>SUMIF(Tabella1[Nome],Tabella4[[#This Row],[NOME]],Tabella1[cl sh])</f>
        <v>0</v>
      </c>
      <c r="Z518" s="270" t="str">
        <f>_xlfn.IFNA(_xlfn.XLOOKUP(CONCATENATE(Z$4,$C518),Tabella1[CONC X VOTI IN TAB GIOC],Tabella1[Voto],""),"")</f>
        <v/>
      </c>
      <c r="AA518" s="270" t="str">
        <f>_xlfn.IFNA(_xlfn.XLOOKUP(CONCATENATE(AA$4,$C518),Tabella1[CONC X VOTI IN TAB GIOC],Tabella1[Voto],""),"")</f>
        <v/>
      </c>
      <c r="AB518" s="270">
        <f>_xlfn.IFNA(_xlfn.XLOOKUP(CONCATENATE(AB$4,$C518),Tabella1[CONC X VOTI IN TAB GIOC],Tabella1[Voto]),"")</f>
        <v>5.5</v>
      </c>
      <c r="AC518" s="270" t="str" cm="1">
        <f t="array" ref="AC518">_xlfn.IFNA(_xlfn.XLOOKUP(CONCATENATE(AC$4,$C518),INDEX(Tabella1[],0,MATCH("CONC X VOTI IN TAB GIOC",Tabella1[#Headers],0)),INDEX(Tabella1[],0,MATCH("Voto",Tabella1[#Headers],0))),"")</f>
        <v/>
      </c>
      <c r="AD518" s="270" t="str">
        <f>_xlfn.IFNA(_xlfn.XLOOKUP(CONCATENATE(AD$4,$C518),Tabella1[CONC X VOTI IN TAB GIOC],Tabella1[Voto]),"")</f>
        <v/>
      </c>
      <c r="AE518" s="270" t="str">
        <f>_xlfn.IFNA(VLOOKUP(CONCATENATE(AE$4,$C518),'INSER DATA'!$A:$F,6,0),"")</f>
        <v/>
      </c>
      <c r="AF518" s="270" t="str">
        <f>_xlfn.IFNA(VLOOKUP(CONCATENATE(AF$4,$C518),'INSER DATA'!$A:$F,6,0),"")</f>
        <v/>
      </c>
      <c r="AG518" s="270" t="str">
        <f>_xlfn.IFNA(VLOOKUP(CONCATENATE(AG$4,$C518),'INSER DATA'!$A:$F,6,0),"")</f>
        <v/>
      </c>
      <c r="AH518" s="270" t="str">
        <f>_xlfn.IFNA(VLOOKUP(CONCATENATE(AH$4,$C518),'INSER DATA'!$A:$F,7,0),"")</f>
        <v/>
      </c>
      <c r="AI518" s="270" t="str">
        <f>_xlfn.IFNA(VLOOKUP(CONCATENATE(AI$4,$C518),'INSER DATA'!$A:$F,7,0),"")</f>
        <v/>
      </c>
      <c r="AJ518" s="270" t="str">
        <f>_xlfn.IFNA(VLOOKUP(CONCATENATE(AJ$4,$C518),'INSER DATA'!$A:$F,7,0),"")</f>
        <v/>
      </c>
      <c r="AK518" s="270" t="str">
        <f>_xlfn.IFNA(VLOOKUP(CONCATENATE(AK$4,$C518),'INSER DATA'!$A:$F,7,0),"")</f>
        <v/>
      </c>
      <c r="AL518" s="270" t="str">
        <f>_xlfn.IFNA(VLOOKUP(CONCATENATE(AL$4,$C518),'INSER DATA'!$A:$F,7,0),"")</f>
        <v/>
      </c>
      <c r="AM518" s="270" t="str">
        <f>_xlfn.IFNA(VLOOKUP(CONCATENATE(AM$4,$C518),'INSER DATA'!$A:$F,7,0),"")</f>
        <v/>
      </c>
      <c r="AN518" s="270" t="str">
        <f>_xlfn.IFNA(VLOOKUP(CONCATENATE(AN$4,$C518),'INSER DATA'!$A:$F,7,0),"")</f>
        <v/>
      </c>
      <c r="AO518" s="270" t="str">
        <f>_xlfn.IFNA(VLOOKUP(CONCATENATE(AO$4,$C518),'INSER DATA'!$A:$F,7,0),"")</f>
        <v/>
      </c>
      <c r="AP518" s="270" t="str">
        <f>_xlfn.IFNA(VLOOKUP(CONCATENATE(AP$4,$C518),'INSER DATA'!$A:$F,7,0),"")</f>
        <v/>
      </c>
      <c r="AQ518" s="270" t="str">
        <f>_xlfn.IFNA(VLOOKUP(CONCATENATE(AQ$4,$C518),'INSER DATA'!$A:$F,7,0),"")</f>
        <v/>
      </c>
      <c r="AR518" s="270" t="str">
        <f>_xlfn.IFNA(VLOOKUP(CONCATENATE(AR$4,$C518),'INSER DATA'!$A:$F,7,0),"")</f>
        <v/>
      </c>
      <c r="AS518" s="270" t="str">
        <f>_xlfn.IFNA(VLOOKUP(CONCATENATE(AS$4,$C518),'INSER DATA'!$A:$F,7,0),"")</f>
        <v/>
      </c>
      <c r="AT518" s="270" t="str">
        <f>_xlfn.IFNA(VLOOKUP(CONCATENATE(AT$4,$C518),'INSER DATA'!$A:$F,7,0),"")</f>
        <v/>
      </c>
      <c r="AU518" s="270" t="str">
        <f>_xlfn.IFNA(VLOOKUP(CONCATENATE(AU$4,$C518),'INSER DATA'!$A:$F,7,0),"")</f>
        <v/>
      </c>
      <c r="AV518" s="270" t="str">
        <f>_xlfn.IFNA(VLOOKUP(CONCATENATE(AV$4,$C518),'INSER DATA'!$A:$F,7,0),"")</f>
        <v/>
      </c>
      <c r="AW518" s="270" t="str">
        <f>_xlfn.IFNA(VLOOKUP(CONCATENATE(AW$4,$C518),'INSER DATA'!$A:$F,7,0),"")</f>
        <v/>
      </c>
      <c r="AX518" s="270" t="str">
        <f>_xlfn.IFNA(VLOOKUP(CONCATENATE(AX$4,$C518),'INSER DATA'!$A:$F,7,0),"")</f>
        <v/>
      </c>
      <c r="AY518" s="270" t="str">
        <f>_xlfn.IFNA(VLOOKUP(CONCATENATE(AY$4,$C518),'INSER DATA'!$A:$F,7,0),"")</f>
        <v/>
      </c>
      <c r="AZ518" s="270" t="str">
        <f>_xlfn.IFNA(VLOOKUP(CONCATENATE(AZ$4,$C518),'INSER DATA'!$A:$F,7,0),"")</f>
        <v/>
      </c>
      <c r="BA518" s="270" t="str">
        <f>_xlfn.IFNA(VLOOKUP(CONCATENATE(BA$4,$C518),'INSER DATA'!$A:$F,7,0),"")</f>
        <v/>
      </c>
      <c r="BB518" s="270" t="str">
        <f>_xlfn.IFNA(VLOOKUP(CONCATENATE(BB$4,$C518),'INSER DATA'!$A:$F,7,0),"")</f>
        <v/>
      </c>
      <c r="BC518" s="270" t="str">
        <f>_xlfn.IFNA(VLOOKUP(CONCATENATE(BC$4,$C518),'INSER DATA'!$A:$F,7,0),"")</f>
        <v/>
      </c>
      <c r="BD518" s="270" t="str">
        <f>_xlfn.IFNA(VLOOKUP(CONCATENATE(BD$4,$C518),'INSER DATA'!$A:$F,7,0),"")</f>
        <v/>
      </c>
      <c r="BE518" s="270" t="str">
        <f>_xlfn.IFNA(VLOOKUP(CONCATENATE(BE$4,$C518),'INSER DATA'!$A:$F,7,0),"")</f>
        <v/>
      </c>
      <c r="BF518" s="270" t="str">
        <f>_xlfn.IFNA(VLOOKUP(CONCATENATE(BF$4,$C518),'INSER DATA'!$A:$F,7,0),"")</f>
        <v/>
      </c>
      <c r="BG518" s="270" t="str">
        <f>_xlfn.IFNA(VLOOKUP(CONCATENATE(BG$4,$C518),'INSER DATA'!$A:$F,7,0),"")</f>
        <v/>
      </c>
      <c r="BH518" s="270" t="str">
        <f>_xlfn.IFNA(VLOOKUP(CONCATENATE(BH$4,$C518),'INSER DATA'!$A:$F,7,0),"")</f>
        <v/>
      </c>
      <c r="BI518" s="270" t="str">
        <f>_xlfn.IFNA(VLOOKUP(CONCATENATE(BI$4,$C518),'INSER DATA'!$A:$F,7,0),"")</f>
        <v/>
      </c>
      <c r="BJ518" s="270" t="str">
        <f>_xlfn.IFNA(VLOOKUP(CONCATENATE(BJ$4,$C518),'INSER DATA'!$A:$F,7,0),"")</f>
        <v/>
      </c>
      <c r="BK518" s="270" t="str">
        <f>_xlfn.IFNA(VLOOKUP(CONCATENATE(BK$4,$C518),'INSER DATA'!$A:$F,7,0),"")</f>
        <v/>
      </c>
      <c r="BL518" s="272"/>
      <c r="BM518" s="30"/>
      <c r="BN518" s="30"/>
      <c r="BO518" s="30"/>
      <c r="BP518" s="30"/>
      <c r="BQ518" s="30"/>
      <c r="BR518" s="30"/>
      <c r="BS518" s="30"/>
      <c r="BT518" s="30"/>
      <c r="BU518" s="30"/>
      <c r="BV518" s="30"/>
      <c r="BW518" s="30"/>
      <c r="BX518" s="30"/>
      <c r="BY518" s="30"/>
      <c r="BZ518" s="30"/>
      <c r="CA518" s="30"/>
      <c r="CB518" s="30"/>
      <c r="CC518" s="30"/>
      <c r="CD518" s="30"/>
      <c r="CE518" s="30"/>
      <c r="CF518" s="30"/>
      <c r="CG518" s="30"/>
      <c r="CH518" s="30"/>
      <c r="CI518" s="30"/>
      <c r="CJ518" s="30"/>
      <c r="CK518" s="30"/>
      <c r="CL518" s="30"/>
      <c r="CM518" s="30"/>
      <c r="CN518" s="30"/>
      <c r="CO518" s="30"/>
      <c r="CP518" s="30"/>
      <c r="CQ518" s="30"/>
      <c r="CR518" s="30"/>
      <c r="CS518" s="30"/>
      <c r="CT518" s="30"/>
      <c r="CU518" s="30"/>
      <c r="CV518" s="30"/>
      <c r="CW518" s="30"/>
      <c r="CX518" s="30"/>
      <c r="CY518" s="30"/>
      <c r="CZ518" s="30"/>
      <c r="DA518" s="30"/>
    </row>
    <row r="519" spans="1:105" ht="19.2" thickTop="1" thickBot="1" x14ac:dyDescent="0.4">
      <c r="A519" s="30"/>
      <c r="B519" s="30"/>
      <c r="C519" s="188" t="s">
        <v>986</v>
      </c>
      <c r="D519" s="187" t="s">
        <v>967</v>
      </c>
      <c r="E519" s="35" t="str">
        <f>_xlfn.XLOOKUP(Tabella4[[#This Row],[NOME]],'ROSE SQUADRE'!$N$3:$N$253,'ROSE SQUADRE'!$O$3:$O$253,"")</f>
        <v/>
      </c>
      <c r="F519" s="36" t="s">
        <v>163</v>
      </c>
      <c r="G519" s="43">
        <v>1</v>
      </c>
      <c r="H519" s="43">
        <v>1</v>
      </c>
      <c r="I519" s="44">
        <f t="shared" si="51"/>
        <v>0</v>
      </c>
      <c r="J519" s="37">
        <f t="shared" si="52"/>
        <v>0</v>
      </c>
      <c r="K519" s="178">
        <f t="shared" si="53"/>
        <v>0</v>
      </c>
      <c r="L519" s="178">
        <f t="shared" si="54"/>
        <v>0</v>
      </c>
      <c r="M519" s="179">
        <f t="shared" si="55"/>
        <v>0</v>
      </c>
      <c r="N519" s="45">
        <f t="shared" ca="1" si="50"/>
        <v>0</v>
      </c>
      <c r="O519" s="40">
        <f>SUMIF(Tabella1[Nome],Tabella4[[#This Row],[NOME]],Tabella1[Gf])</f>
        <v>0</v>
      </c>
      <c r="P519" s="40">
        <f>-(SUMIF(Tabella1[Nome],Tabella4[[#This Row],[NOME]],Tabella1[Gs]))</f>
        <v>0</v>
      </c>
      <c r="Q519" s="40">
        <f>SUMIF(Tabella1[Nome],Tabella4[[#This Row],[NOME]],Tabella1[Rp])</f>
        <v>0</v>
      </c>
      <c r="R519" s="40">
        <f>SUMIF(Tabella1[Nome],Tabella4[[#This Row],[NOME]],Tabella1[Rs])</f>
        <v>0</v>
      </c>
      <c r="S519" s="40">
        <f>SUMIF(Tabella1[Nome],Tabella4[[#This Row],[NOME]],Tabella1[Rf])</f>
        <v>0</v>
      </c>
      <c r="T519" s="40">
        <f>SUMIF(Tabella1[Nome],Tabella4[[#This Row],[NOME]],Tabella1[Au])</f>
        <v>0</v>
      </c>
      <c r="U519" s="41">
        <f>SUMIF(Tabella1[Nome],Tabella4[[#This Row],[NOME]],Tabella1[Amm])</f>
        <v>0</v>
      </c>
      <c r="V519" s="42">
        <f>SUMIF(Tabella1[Nome],Tabella4[[#This Row],[NOME]],Tabella1[Esp])</f>
        <v>0</v>
      </c>
      <c r="W519" s="40">
        <f>SUMIF(Tabella1[Nome],Tabella4[[#This Row],[NOME]],Tabella1[Ass])</f>
        <v>0</v>
      </c>
      <c r="X519" s="40">
        <f>SUMIF(Tabella1[Nome],Tabella4[[#This Row],[NOME]],Tabella1[Gdv])</f>
        <v>0</v>
      </c>
      <c r="Y519" s="40">
        <f>SUMIF(Tabella1[Nome],Tabella4[[#This Row],[NOME]],Tabella1[cl sh])</f>
        <v>0</v>
      </c>
      <c r="Z519" s="270" t="str">
        <f>_xlfn.IFNA(_xlfn.XLOOKUP(CONCATENATE(Z$4,$C519),Tabella1[CONC X VOTI IN TAB GIOC],Tabella1[Voto],""),"")</f>
        <v/>
      </c>
      <c r="AA519" s="270" t="str">
        <f>_xlfn.IFNA(_xlfn.XLOOKUP(CONCATENATE(AA$4,$C519),Tabella1[CONC X VOTI IN TAB GIOC],Tabella1[Voto],""),"")</f>
        <v/>
      </c>
      <c r="AB519" s="270" t="str">
        <f>_xlfn.IFNA(_xlfn.XLOOKUP(CONCATENATE(AB$4,$C519),Tabella1[CONC X VOTI IN TAB GIOC],Tabella1[Voto]),"")</f>
        <v/>
      </c>
      <c r="AC519" s="270" t="str" cm="1">
        <f t="array" ref="AC519">_xlfn.IFNA(_xlfn.XLOOKUP(CONCATENATE(AC$4,$C519),INDEX(Tabella1[],0,MATCH("CONC X VOTI IN TAB GIOC",Tabella1[#Headers],0)),INDEX(Tabella1[],0,MATCH("Voto",Tabella1[#Headers],0))),"")</f>
        <v/>
      </c>
      <c r="AD519" s="270" t="str">
        <f>_xlfn.IFNA(_xlfn.XLOOKUP(CONCATENATE(AD$4,$C519),Tabella1[CONC X VOTI IN TAB GIOC],Tabella1[Voto]),"")</f>
        <v/>
      </c>
      <c r="AE519" s="270" t="str">
        <f>_xlfn.IFNA(VLOOKUP(CONCATENATE(AE$4,$C519),'INSER DATA'!$A:$F,6,0),"")</f>
        <v/>
      </c>
      <c r="AF519" s="270" t="str">
        <f>_xlfn.IFNA(VLOOKUP(CONCATENATE(AF$4,$C519),'INSER DATA'!$A:$F,6,0),"")</f>
        <v/>
      </c>
      <c r="AG519" s="270" t="str">
        <f>_xlfn.IFNA(VLOOKUP(CONCATENATE(AG$4,$C519),'INSER DATA'!$A:$F,6,0),"")</f>
        <v/>
      </c>
      <c r="AH519" s="270" t="str">
        <f>_xlfn.IFNA(VLOOKUP(CONCATENATE(AH$4,$C519),'INSER DATA'!$A:$F,7,0),"")</f>
        <v/>
      </c>
      <c r="AI519" s="270" t="str">
        <f>_xlfn.IFNA(VLOOKUP(CONCATENATE(AI$4,$C519),'INSER DATA'!$A:$F,7,0),"")</f>
        <v/>
      </c>
      <c r="AJ519" s="270" t="str">
        <f>_xlfn.IFNA(VLOOKUP(CONCATENATE(AJ$4,$C519),'INSER DATA'!$A:$F,7,0),"")</f>
        <v/>
      </c>
      <c r="AK519" s="270" t="str">
        <f>_xlfn.IFNA(VLOOKUP(CONCATENATE(AK$4,$C519),'INSER DATA'!$A:$F,7,0),"")</f>
        <v/>
      </c>
      <c r="AL519" s="270" t="str">
        <f>_xlfn.IFNA(VLOOKUP(CONCATENATE(AL$4,$C519),'INSER DATA'!$A:$F,7,0),"")</f>
        <v/>
      </c>
      <c r="AM519" s="270" t="str">
        <f>_xlfn.IFNA(VLOOKUP(CONCATENATE(AM$4,$C519),'INSER DATA'!$A:$F,7,0),"")</f>
        <v/>
      </c>
      <c r="AN519" s="270" t="str">
        <f>_xlfn.IFNA(VLOOKUP(CONCATENATE(AN$4,$C519),'INSER DATA'!$A:$F,7,0),"")</f>
        <v/>
      </c>
      <c r="AO519" s="270" t="str">
        <f>_xlfn.IFNA(VLOOKUP(CONCATENATE(AO$4,$C519),'INSER DATA'!$A:$F,7,0),"")</f>
        <v/>
      </c>
      <c r="AP519" s="270" t="str">
        <f>_xlfn.IFNA(VLOOKUP(CONCATENATE(AP$4,$C519),'INSER DATA'!$A:$F,7,0),"")</f>
        <v/>
      </c>
      <c r="AQ519" s="270" t="str">
        <f>_xlfn.IFNA(VLOOKUP(CONCATENATE(AQ$4,$C519),'INSER DATA'!$A:$F,7,0),"")</f>
        <v/>
      </c>
      <c r="AR519" s="270" t="str">
        <f>_xlfn.IFNA(VLOOKUP(CONCATENATE(AR$4,$C519),'INSER DATA'!$A:$F,7,0),"")</f>
        <v/>
      </c>
      <c r="AS519" s="270" t="str">
        <f>_xlfn.IFNA(VLOOKUP(CONCATENATE(AS$4,$C519),'INSER DATA'!$A:$F,7,0),"")</f>
        <v/>
      </c>
      <c r="AT519" s="270" t="str">
        <f>_xlfn.IFNA(VLOOKUP(CONCATENATE(AT$4,$C519),'INSER DATA'!$A:$F,7,0),"")</f>
        <v/>
      </c>
      <c r="AU519" s="270" t="str">
        <f>_xlfn.IFNA(VLOOKUP(CONCATENATE(AU$4,$C519),'INSER DATA'!$A:$F,7,0),"")</f>
        <v/>
      </c>
      <c r="AV519" s="270" t="str">
        <f>_xlfn.IFNA(VLOOKUP(CONCATENATE(AV$4,$C519),'INSER DATA'!$A:$F,7,0),"")</f>
        <v/>
      </c>
      <c r="AW519" s="270" t="str">
        <f>_xlfn.IFNA(VLOOKUP(CONCATENATE(AW$4,$C519),'INSER DATA'!$A:$F,7,0),"")</f>
        <v/>
      </c>
      <c r="AX519" s="270" t="str">
        <f>_xlfn.IFNA(VLOOKUP(CONCATENATE(AX$4,$C519),'INSER DATA'!$A:$F,7,0),"")</f>
        <v/>
      </c>
      <c r="AY519" s="270" t="str">
        <f>_xlfn.IFNA(VLOOKUP(CONCATENATE(AY$4,$C519),'INSER DATA'!$A:$F,7,0),"")</f>
        <v/>
      </c>
      <c r="AZ519" s="270" t="str">
        <f>_xlfn.IFNA(VLOOKUP(CONCATENATE(AZ$4,$C519),'INSER DATA'!$A:$F,7,0),"")</f>
        <v/>
      </c>
      <c r="BA519" s="270" t="str">
        <f>_xlfn.IFNA(VLOOKUP(CONCATENATE(BA$4,$C519),'INSER DATA'!$A:$F,7,0),"")</f>
        <v/>
      </c>
      <c r="BB519" s="270" t="str">
        <f>_xlfn.IFNA(VLOOKUP(CONCATENATE(BB$4,$C519),'INSER DATA'!$A:$F,7,0),"")</f>
        <v/>
      </c>
      <c r="BC519" s="270" t="str">
        <f>_xlfn.IFNA(VLOOKUP(CONCATENATE(BC$4,$C519),'INSER DATA'!$A:$F,7,0),"")</f>
        <v/>
      </c>
      <c r="BD519" s="270" t="str">
        <f>_xlfn.IFNA(VLOOKUP(CONCATENATE(BD$4,$C519),'INSER DATA'!$A:$F,7,0),"")</f>
        <v/>
      </c>
      <c r="BE519" s="270" t="str">
        <f>_xlfn.IFNA(VLOOKUP(CONCATENATE(BE$4,$C519),'INSER DATA'!$A:$F,7,0),"")</f>
        <v/>
      </c>
      <c r="BF519" s="270" t="str">
        <f>_xlfn.IFNA(VLOOKUP(CONCATENATE(BF$4,$C519),'INSER DATA'!$A:$F,7,0),"")</f>
        <v/>
      </c>
      <c r="BG519" s="270" t="str">
        <f>_xlfn.IFNA(VLOOKUP(CONCATENATE(BG$4,$C519),'INSER DATA'!$A:$F,7,0),"")</f>
        <v/>
      </c>
      <c r="BH519" s="270" t="str">
        <f>_xlfn.IFNA(VLOOKUP(CONCATENATE(BH$4,$C519),'INSER DATA'!$A:$F,7,0),"")</f>
        <v/>
      </c>
      <c r="BI519" s="270" t="str">
        <f>_xlfn.IFNA(VLOOKUP(CONCATENATE(BI$4,$C519),'INSER DATA'!$A:$F,7,0),"")</f>
        <v/>
      </c>
      <c r="BJ519" s="270" t="str">
        <f>_xlfn.IFNA(VLOOKUP(CONCATENATE(BJ$4,$C519),'INSER DATA'!$A:$F,7,0),"")</f>
        <v/>
      </c>
      <c r="BK519" s="270" t="str">
        <f>_xlfn.IFNA(VLOOKUP(CONCATENATE(BK$4,$C519),'INSER DATA'!$A:$F,7,0),"")</f>
        <v/>
      </c>
      <c r="BL519" s="272"/>
      <c r="BM519" s="30"/>
      <c r="BN519" s="30"/>
      <c r="BO519" s="30"/>
      <c r="BP519" s="30"/>
      <c r="BQ519" s="30"/>
      <c r="BR519" s="30"/>
      <c r="BS519" s="30"/>
      <c r="BT519" s="30"/>
      <c r="BU519" s="30"/>
      <c r="BV519" s="30"/>
      <c r="BW519" s="30"/>
      <c r="BX519" s="30"/>
      <c r="BY519" s="30"/>
      <c r="BZ519" s="30"/>
      <c r="CA519" s="30"/>
      <c r="CB519" s="30"/>
      <c r="CC519" s="30"/>
      <c r="CD519" s="30"/>
      <c r="CE519" s="30"/>
      <c r="CF519" s="30"/>
      <c r="CG519" s="30"/>
      <c r="CH519" s="30"/>
      <c r="CI519" s="30"/>
      <c r="CJ519" s="30"/>
      <c r="CK519" s="30"/>
      <c r="CL519" s="30"/>
      <c r="CM519" s="30"/>
      <c r="CN519" s="30"/>
      <c r="CO519" s="30"/>
      <c r="CP519" s="30"/>
      <c r="CQ519" s="30"/>
      <c r="CR519" s="30"/>
      <c r="CS519" s="30"/>
      <c r="CT519" s="30"/>
      <c r="CU519" s="30"/>
      <c r="CV519" s="30"/>
      <c r="CW519" s="30"/>
      <c r="CX519" s="30"/>
      <c r="CY519" s="30"/>
      <c r="CZ519" s="30"/>
      <c r="DA519" s="30"/>
    </row>
    <row r="520" spans="1:105" ht="19.2" thickTop="1" thickBot="1" x14ac:dyDescent="0.4">
      <c r="A520" s="30"/>
      <c r="B520" s="30"/>
      <c r="C520" s="188" t="s">
        <v>987</v>
      </c>
      <c r="D520" s="187" t="s">
        <v>967</v>
      </c>
      <c r="E520" s="35" t="str">
        <f>_xlfn.XLOOKUP(Tabella4[[#This Row],[NOME]],'ROSE SQUADRE'!$N$3:$N$253,'ROSE SQUADRE'!$O$3:$O$253,"")</f>
        <v/>
      </c>
      <c r="F520" s="36" t="s">
        <v>163</v>
      </c>
      <c r="G520" s="43">
        <v>8</v>
      </c>
      <c r="H520" s="43">
        <v>8</v>
      </c>
      <c r="I520" s="44">
        <f t="shared" si="51"/>
        <v>0</v>
      </c>
      <c r="J520" s="37">
        <f t="shared" si="52"/>
        <v>1</v>
      </c>
      <c r="K520" s="178">
        <f t="shared" si="53"/>
        <v>5.5</v>
      </c>
      <c r="L520" s="178">
        <f t="shared" si="54"/>
        <v>5.5</v>
      </c>
      <c r="M520" s="179">
        <f t="shared" si="55"/>
        <v>5.5</v>
      </c>
      <c r="N520" s="45">
        <f t="shared" ca="1" si="50"/>
        <v>0</v>
      </c>
      <c r="O520" s="40">
        <f>SUMIF(Tabella1[Nome],Tabella4[[#This Row],[NOME]],Tabella1[Gf])</f>
        <v>0</v>
      </c>
      <c r="P520" s="40">
        <f>-(SUMIF(Tabella1[Nome],Tabella4[[#This Row],[NOME]],Tabella1[Gs]))</f>
        <v>0</v>
      </c>
      <c r="Q520" s="40">
        <f>SUMIF(Tabella1[Nome],Tabella4[[#This Row],[NOME]],Tabella1[Rp])</f>
        <v>0</v>
      </c>
      <c r="R520" s="40">
        <f>SUMIF(Tabella1[Nome],Tabella4[[#This Row],[NOME]],Tabella1[Rs])</f>
        <v>0</v>
      </c>
      <c r="S520" s="40">
        <f>SUMIF(Tabella1[Nome],Tabella4[[#This Row],[NOME]],Tabella1[Rf])</f>
        <v>0</v>
      </c>
      <c r="T520" s="40">
        <f>SUMIF(Tabella1[Nome],Tabella4[[#This Row],[NOME]],Tabella1[Au])</f>
        <v>0</v>
      </c>
      <c r="U520" s="41">
        <f>SUMIF(Tabella1[Nome],Tabella4[[#This Row],[NOME]],Tabella1[Amm])</f>
        <v>0</v>
      </c>
      <c r="V520" s="42">
        <f>SUMIF(Tabella1[Nome],Tabella4[[#This Row],[NOME]],Tabella1[Esp])</f>
        <v>0</v>
      </c>
      <c r="W520" s="40">
        <f>SUMIF(Tabella1[Nome],Tabella4[[#This Row],[NOME]],Tabella1[Ass])</f>
        <v>0</v>
      </c>
      <c r="X520" s="40">
        <f>SUMIF(Tabella1[Nome],Tabella4[[#This Row],[NOME]],Tabella1[Gdv])</f>
        <v>0</v>
      </c>
      <c r="Y520" s="40">
        <f>SUMIF(Tabella1[Nome],Tabella4[[#This Row],[NOME]],Tabella1[cl sh])</f>
        <v>0</v>
      </c>
      <c r="Z520" s="270" t="str">
        <f>_xlfn.IFNA(_xlfn.XLOOKUP(CONCATENATE(Z$4,$C520),Tabella1[CONC X VOTI IN TAB GIOC],Tabella1[Voto],""),"")</f>
        <v/>
      </c>
      <c r="AA520" s="270" t="str">
        <f>_xlfn.IFNA(_xlfn.XLOOKUP(CONCATENATE(AA$4,$C520),Tabella1[CONC X VOTI IN TAB GIOC],Tabella1[Voto],""),"")</f>
        <v/>
      </c>
      <c r="AB520" s="270">
        <f>_xlfn.IFNA(_xlfn.XLOOKUP(CONCATENATE(AB$4,$C520),Tabella1[CONC X VOTI IN TAB GIOC],Tabella1[Voto]),"")</f>
        <v>5.5</v>
      </c>
      <c r="AC520" s="270" t="str" cm="1">
        <f t="array" ref="AC520">_xlfn.IFNA(_xlfn.XLOOKUP(CONCATENATE(AC$4,$C520),INDEX(Tabella1[],0,MATCH("CONC X VOTI IN TAB GIOC",Tabella1[#Headers],0)),INDEX(Tabella1[],0,MATCH("Voto",Tabella1[#Headers],0))),"")</f>
        <v/>
      </c>
      <c r="AD520" s="270" t="str">
        <f>_xlfn.IFNA(_xlfn.XLOOKUP(CONCATENATE(AD$4,$C520),Tabella1[CONC X VOTI IN TAB GIOC],Tabella1[Voto]),"")</f>
        <v/>
      </c>
      <c r="AE520" s="270" t="str">
        <f>_xlfn.IFNA(VLOOKUP(CONCATENATE(AE$4,$C520),'INSER DATA'!$A:$F,6,0),"")</f>
        <v/>
      </c>
      <c r="AF520" s="270" t="str">
        <f>_xlfn.IFNA(VLOOKUP(CONCATENATE(AF$4,$C520),'INSER DATA'!$A:$F,6,0),"")</f>
        <v/>
      </c>
      <c r="AG520" s="270" t="str">
        <f>_xlfn.IFNA(VLOOKUP(CONCATENATE(AG$4,$C520),'INSER DATA'!$A:$F,6,0),"")</f>
        <v/>
      </c>
      <c r="AH520" s="270" t="str">
        <f>_xlfn.IFNA(VLOOKUP(CONCATENATE(AH$4,$C520),'INSER DATA'!$A:$F,7,0),"")</f>
        <v/>
      </c>
      <c r="AI520" s="270" t="str">
        <f>_xlfn.IFNA(VLOOKUP(CONCATENATE(AI$4,$C520),'INSER DATA'!$A:$F,7,0),"")</f>
        <v/>
      </c>
      <c r="AJ520" s="270" t="str">
        <f>_xlfn.IFNA(VLOOKUP(CONCATENATE(AJ$4,$C520),'INSER DATA'!$A:$F,7,0),"")</f>
        <v/>
      </c>
      <c r="AK520" s="270" t="str">
        <f>_xlfn.IFNA(VLOOKUP(CONCATENATE(AK$4,$C520),'INSER DATA'!$A:$F,7,0),"")</f>
        <v/>
      </c>
      <c r="AL520" s="270" t="str">
        <f>_xlfn.IFNA(VLOOKUP(CONCATENATE(AL$4,$C520),'INSER DATA'!$A:$F,7,0),"")</f>
        <v/>
      </c>
      <c r="AM520" s="270" t="str">
        <f>_xlfn.IFNA(VLOOKUP(CONCATENATE(AM$4,$C520),'INSER DATA'!$A:$F,7,0),"")</f>
        <v/>
      </c>
      <c r="AN520" s="270" t="str">
        <f>_xlfn.IFNA(VLOOKUP(CONCATENATE(AN$4,$C520),'INSER DATA'!$A:$F,7,0),"")</f>
        <v/>
      </c>
      <c r="AO520" s="270" t="str">
        <f>_xlfn.IFNA(VLOOKUP(CONCATENATE(AO$4,$C520),'INSER DATA'!$A:$F,7,0),"")</f>
        <v/>
      </c>
      <c r="AP520" s="270" t="str">
        <f>_xlfn.IFNA(VLOOKUP(CONCATENATE(AP$4,$C520),'INSER DATA'!$A:$F,7,0),"")</f>
        <v/>
      </c>
      <c r="AQ520" s="270" t="str">
        <f>_xlfn.IFNA(VLOOKUP(CONCATENATE(AQ$4,$C520),'INSER DATA'!$A:$F,7,0),"")</f>
        <v/>
      </c>
      <c r="AR520" s="270" t="str">
        <f>_xlfn.IFNA(VLOOKUP(CONCATENATE(AR$4,$C520),'INSER DATA'!$A:$F,7,0),"")</f>
        <v/>
      </c>
      <c r="AS520" s="270" t="str">
        <f>_xlfn.IFNA(VLOOKUP(CONCATENATE(AS$4,$C520),'INSER DATA'!$A:$F,7,0),"")</f>
        <v/>
      </c>
      <c r="AT520" s="270" t="str">
        <f>_xlfn.IFNA(VLOOKUP(CONCATENATE(AT$4,$C520),'INSER DATA'!$A:$F,7,0),"")</f>
        <v/>
      </c>
      <c r="AU520" s="270" t="str">
        <f>_xlfn.IFNA(VLOOKUP(CONCATENATE(AU$4,$C520),'INSER DATA'!$A:$F,7,0),"")</f>
        <v/>
      </c>
      <c r="AV520" s="270" t="str">
        <f>_xlfn.IFNA(VLOOKUP(CONCATENATE(AV$4,$C520),'INSER DATA'!$A:$F,7,0),"")</f>
        <v/>
      </c>
      <c r="AW520" s="270" t="str">
        <f>_xlfn.IFNA(VLOOKUP(CONCATENATE(AW$4,$C520),'INSER DATA'!$A:$F,7,0),"")</f>
        <v/>
      </c>
      <c r="AX520" s="270" t="str">
        <f>_xlfn.IFNA(VLOOKUP(CONCATENATE(AX$4,$C520),'INSER DATA'!$A:$F,7,0),"")</f>
        <v/>
      </c>
      <c r="AY520" s="270" t="str">
        <f>_xlfn.IFNA(VLOOKUP(CONCATENATE(AY$4,$C520),'INSER DATA'!$A:$F,7,0),"")</f>
        <v/>
      </c>
      <c r="AZ520" s="270" t="str">
        <f>_xlfn.IFNA(VLOOKUP(CONCATENATE(AZ$4,$C520),'INSER DATA'!$A:$F,7,0),"")</f>
        <v/>
      </c>
      <c r="BA520" s="270" t="str">
        <f>_xlfn.IFNA(VLOOKUP(CONCATENATE(BA$4,$C520),'INSER DATA'!$A:$F,7,0),"")</f>
        <v/>
      </c>
      <c r="BB520" s="270" t="str">
        <f>_xlfn.IFNA(VLOOKUP(CONCATENATE(BB$4,$C520),'INSER DATA'!$A:$F,7,0),"")</f>
        <v/>
      </c>
      <c r="BC520" s="270" t="str">
        <f>_xlfn.IFNA(VLOOKUP(CONCATENATE(BC$4,$C520),'INSER DATA'!$A:$F,7,0),"")</f>
        <v/>
      </c>
      <c r="BD520" s="270" t="str">
        <f>_xlfn.IFNA(VLOOKUP(CONCATENATE(BD$4,$C520),'INSER DATA'!$A:$F,7,0),"")</f>
        <v/>
      </c>
      <c r="BE520" s="270" t="str">
        <f>_xlfn.IFNA(VLOOKUP(CONCATENATE(BE$4,$C520),'INSER DATA'!$A:$F,7,0),"")</f>
        <v/>
      </c>
      <c r="BF520" s="270" t="str">
        <f>_xlfn.IFNA(VLOOKUP(CONCATENATE(BF$4,$C520),'INSER DATA'!$A:$F,7,0),"")</f>
        <v/>
      </c>
      <c r="BG520" s="270" t="str">
        <f>_xlfn.IFNA(VLOOKUP(CONCATENATE(BG$4,$C520),'INSER DATA'!$A:$F,7,0),"")</f>
        <v/>
      </c>
      <c r="BH520" s="270" t="str">
        <f>_xlfn.IFNA(VLOOKUP(CONCATENATE(BH$4,$C520),'INSER DATA'!$A:$F,7,0),"")</f>
        <v/>
      </c>
      <c r="BI520" s="270" t="str">
        <f>_xlfn.IFNA(VLOOKUP(CONCATENATE(BI$4,$C520),'INSER DATA'!$A:$F,7,0),"")</f>
        <v/>
      </c>
      <c r="BJ520" s="270" t="str">
        <f>_xlfn.IFNA(VLOOKUP(CONCATENATE(BJ$4,$C520),'INSER DATA'!$A:$F,7,0),"")</f>
        <v/>
      </c>
      <c r="BK520" s="270" t="str">
        <f>_xlfn.IFNA(VLOOKUP(CONCATENATE(BK$4,$C520),'INSER DATA'!$A:$F,7,0),"")</f>
        <v/>
      </c>
      <c r="BL520" s="272"/>
      <c r="BM520" s="30"/>
      <c r="BN520" s="30"/>
      <c r="BO520" s="30"/>
      <c r="BP520" s="30"/>
      <c r="BQ520" s="30"/>
      <c r="BR520" s="30"/>
      <c r="BS520" s="30"/>
      <c r="BT520" s="30"/>
      <c r="BU520" s="30"/>
      <c r="BV520" s="30"/>
      <c r="BW520" s="30"/>
      <c r="BX520" s="30"/>
      <c r="BY520" s="30"/>
      <c r="BZ520" s="30"/>
      <c r="CA520" s="30"/>
      <c r="CB520" s="30"/>
      <c r="CC520" s="30"/>
      <c r="CD520" s="30"/>
      <c r="CE520" s="30"/>
      <c r="CF520" s="30"/>
      <c r="CG520" s="30"/>
      <c r="CH520" s="30"/>
      <c r="CI520" s="30"/>
      <c r="CJ520" s="30"/>
      <c r="CK520" s="30"/>
      <c r="CL520" s="30"/>
      <c r="CM520" s="30"/>
      <c r="CN520" s="30"/>
      <c r="CO520" s="30"/>
      <c r="CP520" s="30"/>
      <c r="CQ520" s="30"/>
      <c r="CR520" s="30"/>
      <c r="CS520" s="30"/>
      <c r="CT520" s="30"/>
      <c r="CU520" s="30"/>
      <c r="CV520" s="30"/>
      <c r="CW520" s="30"/>
      <c r="CX520" s="30"/>
      <c r="CY520" s="30"/>
      <c r="CZ520" s="30"/>
      <c r="DA520" s="30"/>
    </row>
    <row r="521" spans="1:105" ht="19.2" thickTop="1" thickBot="1" x14ac:dyDescent="0.4">
      <c r="A521" s="30"/>
      <c r="B521" s="30"/>
      <c r="C521" s="342" t="s">
        <v>755</v>
      </c>
      <c r="D521" s="343"/>
      <c r="E521" s="344" t="str">
        <f>_xlfn.XLOOKUP(Tabella4[[#This Row],[NOME]],'ROSE SQUADRE'!$N$3:$N$253,'ROSE SQUADRE'!$O$3:$O$253,"")</f>
        <v/>
      </c>
      <c r="F521" s="345" t="s">
        <v>161</v>
      </c>
      <c r="G521" s="43">
        <v>8</v>
      </c>
      <c r="H521" s="43">
        <v>8</v>
      </c>
      <c r="I521" s="44">
        <f t="shared" si="51"/>
        <v>0</v>
      </c>
      <c r="J521" s="37">
        <f t="shared" si="52"/>
        <v>2</v>
      </c>
      <c r="K521" s="178">
        <f t="shared" si="53"/>
        <v>5.75</v>
      </c>
      <c r="L521" s="178">
        <f t="shared" si="54"/>
        <v>5.75</v>
      </c>
      <c r="M521" s="179">
        <f t="shared" si="55"/>
        <v>11.5</v>
      </c>
      <c r="N521" s="45">
        <f t="shared" ca="1" si="50"/>
        <v>0</v>
      </c>
      <c r="O521" s="40">
        <f>SUMIF(Tabella1[Nome],Tabella4[[#This Row],[NOME]],Tabella1[Gf])</f>
        <v>0</v>
      </c>
      <c r="P521" s="40">
        <f>-(SUMIF(Tabella1[Nome],Tabella4[[#This Row],[NOME]],Tabella1[Gs]))</f>
        <v>0</v>
      </c>
      <c r="Q521" s="40">
        <f>SUMIF(Tabella1[Nome],Tabella4[[#This Row],[NOME]],Tabella1[Rp])</f>
        <v>0</v>
      </c>
      <c r="R521" s="40">
        <f>SUMIF(Tabella1[Nome],Tabella4[[#This Row],[NOME]],Tabella1[Rs])</f>
        <v>0</v>
      </c>
      <c r="S521" s="40">
        <f>SUMIF(Tabella1[Nome],Tabella4[[#This Row],[NOME]],Tabella1[Rf])</f>
        <v>0</v>
      </c>
      <c r="T521" s="40">
        <f>SUMIF(Tabella1[Nome],Tabella4[[#This Row],[NOME]],Tabella1[Au])</f>
        <v>0</v>
      </c>
      <c r="U521" s="41">
        <f>SUMIF(Tabella1[Nome],Tabella4[[#This Row],[NOME]],Tabella1[Amm])</f>
        <v>0</v>
      </c>
      <c r="V521" s="42">
        <f>SUMIF(Tabella1[Nome],Tabella4[[#This Row],[NOME]],Tabella1[Esp])</f>
        <v>0</v>
      </c>
      <c r="W521" s="40">
        <f>SUMIF(Tabella1[Nome],Tabella4[[#This Row],[NOME]],Tabella1[Ass])</f>
        <v>0</v>
      </c>
      <c r="X521" s="40">
        <f>SUMIF(Tabella1[Nome],Tabella4[[#This Row],[NOME]],Tabella1[Gdv])</f>
        <v>0</v>
      </c>
      <c r="Y521" s="40">
        <f>SUMIF(Tabella1[Nome],Tabella4[[#This Row],[NOME]],Tabella1[cl sh])</f>
        <v>0</v>
      </c>
      <c r="Z521" s="270">
        <f>_xlfn.IFNA(_xlfn.XLOOKUP(CONCATENATE(Z$4,$C521),Tabella1[CONC X VOTI IN TAB GIOC],Tabella1[Voto],""),"")</f>
        <v>6</v>
      </c>
      <c r="AA521" s="270">
        <f>_xlfn.IFNA(_xlfn.XLOOKUP(CONCATENATE(AA$4,$C521),Tabella1[CONC X VOTI IN TAB GIOC],Tabella1[Voto],""),"")</f>
        <v>5.5</v>
      </c>
      <c r="AB521" s="270" t="str">
        <f>_xlfn.IFNA(_xlfn.XLOOKUP(CONCATENATE(AB$4,$C521),Tabella1[CONC X VOTI IN TAB GIOC],Tabella1[Voto]),"")</f>
        <v/>
      </c>
      <c r="AC521" s="270" t="str" cm="1">
        <f t="array" ref="AC521">_xlfn.IFNA(_xlfn.XLOOKUP(CONCATENATE(AC$4,$C521),INDEX(Tabella1[],0,MATCH("CONC X VOTI IN TAB GIOC",Tabella1[#Headers],0)),INDEX(Tabella1[],0,MATCH("Voto",Tabella1[#Headers],0))),"")</f>
        <v/>
      </c>
      <c r="AD521" s="270" t="str">
        <f>_xlfn.IFNA(_xlfn.XLOOKUP(CONCATENATE(AD$4,$C521),Tabella1[CONC X VOTI IN TAB GIOC],Tabella1[Voto]),"")</f>
        <v/>
      </c>
      <c r="AE521" s="270" t="str">
        <f>_xlfn.IFNA(VLOOKUP(CONCATENATE(AE$4,$C521),'INSER DATA'!$A:$F,6,0),"")</f>
        <v/>
      </c>
      <c r="AF521" s="270" t="str">
        <f>_xlfn.IFNA(VLOOKUP(CONCATENATE(AF$4,$C521),'INSER DATA'!$A:$F,6,0),"")</f>
        <v/>
      </c>
      <c r="AG521" s="270" t="str">
        <f>_xlfn.IFNA(VLOOKUP(CONCATENATE(AG$4,$C521),'INSER DATA'!$A:$F,6,0),"")</f>
        <v/>
      </c>
      <c r="AH521" s="270" t="str">
        <f>_xlfn.IFNA(VLOOKUP(CONCATENATE(AH$4,$C521),'INSER DATA'!$A:$F,7,0),"")</f>
        <v/>
      </c>
      <c r="AI521" s="270" t="str">
        <f>_xlfn.IFNA(VLOOKUP(CONCATENATE(AI$4,$C521),'INSER DATA'!$A:$F,7,0),"")</f>
        <v/>
      </c>
      <c r="AJ521" s="270" t="str">
        <f>_xlfn.IFNA(VLOOKUP(CONCATENATE(AJ$4,$C521),'INSER DATA'!$A:$F,7,0),"")</f>
        <v/>
      </c>
      <c r="AK521" s="270" t="str">
        <f>_xlfn.IFNA(VLOOKUP(CONCATENATE(AK$4,$C521),'INSER DATA'!$A:$F,7,0),"")</f>
        <v/>
      </c>
      <c r="AL521" s="270" t="str">
        <f>_xlfn.IFNA(VLOOKUP(CONCATENATE(AL$4,$C521),'INSER DATA'!$A:$F,7,0),"")</f>
        <v/>
      </c>
      <c r="AM521" s="270" t="str">
        <f>_xlfn.IFNA(VLOOKUP(CONCATENATE(AM$4,$C521),'INSER DATA'!$A:$F,7,0),"")</f>
        <v/>
      </c>
      <c r="AN521" s="270" t="str">
        <f>_xlfn.IFNA(VLOOKUP(CONCATENATE(AN$4,$C521),'INSER DATA'!$A:$F,7,0),"")</f>
        <v/>
      </c>
      <c r="AO521" s="270" t="str">
        <f>_xlfn.IFNA(VLOOKUP(CONCATENATE(AO$4,$C521),'INSER DATA'!$A:$F,7,0),"")</f>
        <v/>
      </c>
      <c r="AP521" s="270" t="str">
        <f>_xlfn.IFNA(VLOOKUP(CONCATENATE(AP$4,$C521),'INSER DATA'!$A:$F,7,0),"")</f>
        <v/>
      </c>
      <c r="AQ521" s="270" t="str">
        <f>_xlfn.IFNA(VLOOKUP(CONCATENATE(AQ$4,$C521),'INSER DATA'!$A:$F,7,0),"")</f>
        <v/>
      </c>
      <c r="AR521" s="270" t="str">
        <f>_xlfn.IFNA(VLOOKUP(CONCATENATE(AR$4,$C521),'INSER DATA'!$A:$F,7,0),"")</f>
        <v/>
      </c>
      <c r="AS521" s="270" t="str">
        <f>_xlfn.IFNA(VLOOKUP(CONCATENATE(AS$4,$C521),'INSER DATA'!$A:$F,7,0),"")</f>
        <v/>
      </c>
      <c r="AT521" s="270" t="str">
        <f>_xlfn.IFNA(VLOOKUP(CONCATENATE(AT$4,$C521),'INSER DATA'!$A:$F,7,0),"")</f>
        <v/>
      </c>
      <c r="AU521" s="270" t="str">
        <f>_xlfn.IFNA(VLOOKUP(CONCATENATE(AU$4,$C521),'INSER DATA'!$A:$F,7,0),"")</f>
        <v/>
      </c>
      <c r="AV521" s="270" t="str">
        <f>_xlfn.IFNA(VLOOKUP(CONCATENATE(AV$4,$C521),'INSER DATA'!$A:$F,7,0),"")</f>
        <v/>
      </c>
      <c r="AW521" s="270" t="str">
        <f>_xlfn.IFNA(VLOOKUP(CONCATENATE(AW$4,$C521),'INSER DATA'!$A:$F,7,0),"")</f>
        <v/>
      </c>
      <c r="AX521" s="270" t="str">
        <f>_xlfn.IFNA(VLOOKUP(CONCATENATE(AX$4,$C521),'INSER DATA'!$A:$F,7,0),"")</f>
        <v/>
      </c>
      <c r="AY521" s="270" t="str">
        <f>_xlfn.IFNA(VLOOKUP(CONCATENATE(AY$4,$C521),'INSER DATA'!$A:$F,7,0),"")</f>
        <v/>
      </c>
      <c r="AZ521" s="270" t="str">
        <f>_xlfn.IFNA(VLOOKUP(CONCATENATE(AZ$4,$C521),'INSER DATA'!$A:$F,7,0),"")</f>
        <v/>
      </c>
      <c r="BA521" s="270" t="str">
        <f>_xlfn.IFNA(VLOOKUP(CONCATENATE(BA$4,$C521),'INSER DATA'!$A:$F,7,0),"")</f>
        <v/>
      </c>
      <c r="BB521" s="270" t="str">
        <f>_xlfn.IFNA(VLOOKUP(CONCATENATE(BB$4,$C521),'INSER DATA'!$A:$F,7,0),"")</f>
        <v/>
      </c>
      <c r="BC521" s="270" t="str">
        <f>_xlfn.IFNA(VLOOKUP(CONCATENATE(BC$4,$C521),'INSER DATA'!$A:$F,7,0),"")</f>
        <v/>
      </c>
      <c r="BD521" s="270" t="str">
        <f>_xlfn.IFNA(VLOOKUP(CONCATENATE(BD$4,$C521),'INSER DATA'!$A:$F,7,0),"")</f>
        <v/>
      </c>
      <c r="BE521" s="270" t="str">
        <f>_xlfn.IFNA(VLOOKUP(CONCATENATE(BE$4,$C521),'INSER DATA'!$A:$F,7,0),"")</f>
        <v/>
      </c>
      <c r="BF521" s="270" t="str">
        <f>_xlfn.IFNA(VLOOKUP(CONCATENATE(BF$4,$C521),'INSER DATA'!$A:$F,7,0),"")</f>
        <v/>
      </c>
      <c r="BG521" s="270" t="str">
        <f>_xlfn.IFNA(VLOOKUP(CONCATENATE(BG$4,$C521),'INSER DATA'!$A:$F,7,0),"")</f>
        <v/>
      </c>
      <c r="BH521" s="270" t="str">
        <f>_xlfn.IFNA(VLOOKUP(CONCATENATE(BH$4,$C521),'INSER DATA'!$A:$F,7,0),"")</f>
        <v/>
      </c>
      <c r="BI521" s="270" t="str">
        <f>_xlfn.IFNA(VLOOKUP(CONCATENATE(BI$4,$C521),'INSER DATA'!$A:$F,7,0),"")</f>
        <v/>
      </c>
      <c r="BJ521" s="270" t="str">
        <f>_xlfn.IFNA(VLOOKUP(CONCATENATE(BJ$4,$C521),'INSER DATA'!$A:$F,7,0),"")</f>
        <v/>
      </c>
      <c r="BK521" s="270" t="str">
        <f>_xlfn.IFNA(VLOOKUP(CONCATENATE(BK$4,$C521),'INSER DATA'!$A:$F,7,0),"")</f>
        <v/>
      </c>
      <c r="BL521" s="272"/>
      <c r="BM521" s="30"/>
      <c r="BN521" s="30"/>
      <c r="BO521" s="30"/>
      <c r="BP521" s="30"/>
      <c r="BQ521" s="30"/>
      <c r="BR521" s="30"/>
      <c r="BS521" s="30"/>
      <c r="BT521" s="30"/>
      <c r="BU521" s="30"/>
      <c r="BV521" s="30"/>
      <c r="BW521" s="30"/>
      <c r="BX521" s="30"/>
      <c r="BY521" s="30"/>
      <c r="BZ521" s="30"/>
      <c r="CA521" s="30"/>
      <c r="CB521" s="30"/>
      <c r="CC521" s="30"/>
      <c r="CD521" s="30"/>
      <c r="CE521" s="30"/>
      <c r="CF521" s="30"/>
      <c r="CG521" s="30"/>
      <c r="CH521" s="30"/>
      <c r="CI521" s="30"/>
      <c r="CJ521" s="30"/>
      <c r="CK521" s="30"/>
      <c r="CL521" s="30"/>
      <c r="CM521" s="30"/>
      <c r="CN521" s="30"/>
      <c r="CO521" s="30"/>
      <c r="CP521" s="30"/>
      <c r="CQ521" s="30"/>
      <c r="CR521" s="30"/>
      <c r="CS521" s="30"/>
      <c r="CT521" s="30"/>
      <c r="CU521" s="30"/>
      <c r="CV521" s="30"/>
      <c r="CW521" s="30"/>
      <c r="CX521" s="30"/>
      <c r="CY521" s="30"/>
      <c r="CZ521" s="30"/>
      <c r="DA521" s="30"/>
    </row>
    <row r="522" spans="1:105" ht="19.2" thickTop="1" thickBot="1" x14ac:dyDescent="0.4">
      <c r="A522" s="30"/>
      <c r="B522" s="30"/>
      <c r="C522" s="362" t="s">
        <v>1041</v>
      </c>
      <c r="D522" s="365" t="s">
        <v>705</v>
      </c>
      <c r="E522" s="35" t="str">
        <f>_xlfn.XLOOKUP(Tabella4[[#This Row],[NOME]],'ROSE SQUADRE'!$N$3:$N$253,'ROSE SQUADRE'!$O$3:$O$253,"")</f>
        <v>SAN GRIA</v>
      </c>
      <c r="F522" s="36" t="s">
        <v>163</v>
      </c>
      <c r="G522" s="43"/>
      <c r="H522" s="43"/>
      <c r="I522" s="44">
        <f t="shared" si="51"/>
        <v>0</v>
      </c>
      <c r="J522" s="37">
        <f t="shared" si="52"/>
        <v>2</v>
      </c>
      <c r="K522" s="178">
        <f t="shared" si="53"/>
        <v>5.75</v>
      </c>
      <c r="L522" s="178">
        <f t="shared" si="54"/>
        <v>5.75</v>
      </c>
      <c r="M522" s="179">
        <f t="shared" si="55"/>
        <v>11.5</v>
      </c>
      <c r="N522" s="45">
        <f t="shared" ca="1" si="50"/>
        <v>1</v>
      </c>
      <c r="O522" s="40">
        <f>SUMIF(Tabella1[Nome],Tabella4[[#This Row],[NOME]],Tabella1[Gf])</f>
        <v>0</v>
      </c>
      <c r="P522" s="40">
        <f>-(SUMIF(Tabella1[Nome],Tabella4[[#This Row],[NOME]],Tabella1[Gs]))</f>
        <v>0</v>
      </c>
      <c r="Q522" s="40">
        <f>SUMIF(Tabella1[Nome],Tabella4[[#This Row],[NOME]],Tabella1[Rp])</f>
        <v>0</v>
      </c>
      <c r="R522" s="40">
        <f>SUMIF(Tabella1[Nome],Tabella4[[#This Row],[NOME]],Tabella1[Rs])</f>
        <v>0</v>
      </c>
      <c r="S522" s="40">
        <f>SUMIF(Tabella1[Nome],Tabella4[[#This Row],[NOME]],Tabella1[Rf])</f>
        <v>0</v>
      </c>
      <c r="T522" s="40">
        <f>SUMIF(Tabella1[Nome],Tabella4[[#This Row],[NOME]],Tabella1[Au])</f>
        <v>0</v>
      </c>
      <c r="U522" s="41">
        <f>SUMIF(Tabella1[Nome],Tabella4[[#This Row],[NOME]],Tabella1[Amm])</f>
        <v>0</v>
      </c>
      <c r="V522" s="42">
        <f>SUMIF(Tabella1[Nome],Tabella4[[#This Row],[NOME]],Tabella1[Esp])</f>
        <v>0</v>
      </c>
      <c r="W522" s="40">
        <f>SUMIF(Tabella1[Nome],Tabella4[[#This Row],[NOME]],Tabella1[Ass])</f>
        <v>0</v>
      </c>
      <c r="X522" s="40">
        <f>SUMIF(Tabella1[Nome],Tabella4[[#This Row],[NOME]],Tabella1[Gdv])</f>
        <v>0</v>
      </c>
      <c r="Y522" s="40">
        <f>SUMIF(Tabella1[Nome],Tabella4[[#This Row],[NOME]],Tabella1[cl sh])</f>
        <v>0</v>
      </c>
      <c r="Z522" s="270" t="str">
        <f>_xlfn.IFNA(_xlfn.XLOOKUP(CONCATENATE(Z$4,$C522),Tabella1[CONC X VOTI IN TAB GIOC],Tabella1[Voto],""),"")</f>
        <v/>
      </c>
      <c r="AA522" s="270" t="str">
        <f>_xlfn.IFNA(_xlfn.XLOOKUP(CONCATENATE(AA$4,$C522),Tabella1[CONC X VOTI IN TAB GIOC],Tabella1[Voto],""),"")</f>
        <v/>
      </c>
      <c r="AB522" s="400">
        <f>_xlfn.IFNA(_xlfn.XLOOKUP(CONCATENATE(AB$4,$C522),Tabella1[CONC X VOTI IN TAB GIOC],Tabella1[Voto]),"")</f>
        <v>5.5</v>
      </c>
      <c r="AC522" s="270" cm="1">
        <f t="array" ref="AC522">_xlfn.IFNA(_xlfn.XLOOKUP(CONCATENATE(AC$4,$C522),INDEX(Tabella1[],0,MATCH("CONC X VOTI IN TAB GIOC",Tabella1[#Headers],0)),INDEX(Tabella1[],0,MATCH("Voto",Tabella1[#Headers],0))),"")</f>
        <v>6</v>
      </c>
      <c r="AD522" s="270" t="str">
        <f>_xlfn.IFNA(_xlfn.XLOOKUP(CONCATENATE(AD$4,$C522),Tabella1[CONC X VOTI IN TAB GIOC],Tabella1[Voto]),"")</f>
        <v/>
      </c>
      <c r="AE522" s="270" t="str">
        <f>_xlfn.IFNA(VLOOKUP(CONCATENATE(AE$4,$C522),'INSER DATA'!$A:$F,6,0),"")</f>
        <v/>
      </c>
      <c r="AF522" s="270" t="str">
        <f>_xlfn.IFNA(VLOOKUP(CONCATENATE(AF$4,$C522),'INSER DATA'!$A:$F,6,0),"")</f>
        <v/>
      </c>
      <c r="AG522" s="270" t="str">
        <f>_xlfn.IFNA(VLOOKUP(CONCATENATE(AG$4,$C522),'INSER DATA'!$A:$F,6,0),"")</f>
        <v/>
      </c>
      <c r="AH522" s="270" t="str">
        <f>_xlfn.IFNA(VLOOKUP(CONCATENATE(AH$4,$C522),'INSER DATA'!$A:$F,7,0),"")</f>
        <v/>
      </c>
      <c r="AI522" s="270" t="str">
        <f>_xlfn.IFNA(VLOOKUP(CONCATENATE(AI$4,$C522),'INSER DATA'!$A:$F,7,0),"")</f>
        <v/>
      </c>
      <c r="AJ522" s="270" t="str">
        <f>_xlfn.IFNA(VLOOKUP(CONCATENATE(AJ$4,$C522),'INSER DATA'!$A:$F,7,0),"")</f>
        <v/>
      </c>
      <c r="AK522" s="270" t="str">
        <f>_xlfn.IFNA(VLOOKUP(CONCATENATE(AK$4,$C522),'INSER DATA'!$A:$F,7,0),"")</f>
        <v/>
      </c>
      <c r="AL522" s="270" t="str">
        <f>_xlfn.IFNA(VLOOKUP(CONCATENATE(AL$4,$C522),'INSER DATA'!$A:$F,7,0),"")</f>
        <v/>
      </c>
      <c r="AM522" s="270" t="str">
        <f>_xlfn.IFNA(VLOOKUP(CONCATENATE(AM$4,$C522),'INSER DATA'!$A:$F,7,0),"")</f>
        <v/>
      </c>
      <c r="AN522" s="270" t="str">
        <f>_xlfn.IFNA(VLOOKUP(CONCATENATE(AN$4,$C522),'INSER DATA'!$A:$F,7,0),"")</f>
        <v/>
      </c>
      <c r="AO522" s="270" t="str">
        <f>_xlfn.IFNA(VLOOKUP(CONCATENATE(AO$4,$C522),'INSER DATA'!$A:$F,7,0),"")</f>
        <v/>
      </c>
      <c r="AP522" s="270" t="str">
        <f>_xlfn.IFNA(VLOOKUP(CONCATENATE(AP$4,$C522),'INSER DATA'!$A:$F,7,0),"")</f>
        <v/>
      </c>
      <c r="AQ522" s="270" t="str">
        <f>_xlfn.IFNA(VLOOKUP(CONCATENATE(AQ$4,$C522),'INSER DATA'!$A:$F,7,0),"")</f>
        <v/>
      </c>
      <c r="AR522" s="270" t="str">
        <f>_xlfn.IFNA(VLOOKUP(CONCATENATE(AR$4,$C522),'INSER DATA'!$A:$F,7,0),"")</f>
        <v/>
      </c>
      <c r="AS522" s="270" t="str">
        <f>_xlfn.IFNA(VLOOKUP(CONCATENATE(AS$4,$C522),'INSER DATA'!$A:$F,7,0),"")</f>
        <v/>
      </c>
      <c r="AT522" s="270" t="str">
        <f>_xlfn.IFNA(VLOOKUP(CONCATENATE(AT$4,$C522),'INSER DATA'!$A:$F,7,0),"")</f>
        <v/>
      </c>
      <c r="AU522" s="270" t="str">
        <f>_xlfn.IFNA(VLOOKUP(CONCATENATE(AU$4,$C522),'INSER DATA'!$A:$F,7,0),"")</f>
        <v/>
      </c>
      <c r="AV522" s="270" t="str">
        <f>_xlfn.IFNA(VLOOKUP(CONCATENATE(AV$4,$C522),'INSER DATA'!$A:$F,7,0),"")</f>
        <v/>
      </c>
      <c r="AW522" s="270" t="str">
        <f>_xlfn.IFNA(VLOOKUP(CONCATENATE(AW$4,$C522),'INSER DATA'!$A:$F,7,0),"")</f>
        <v/>
      </c>
      <c r="AX522" s="270" t="str">
        <f>_xlfn.IFNA(VLOOKUP(CONCATENATE(AX$4,$C522),'INSER DATA'!$A:$F,7,0),"")</f>
        <v/>
      </c>
      <c r="AY522" s="270" t="str">
        <f>_xlfn.IFNA(VLOOKUP(CONCATENATE(AY$4,$C522),'INSER DATA'!$A:$F,7,0),"")</f>
        <v/>
      </c>
      <c r="AZ522" s="270" t="str">
        <f>_xlfn.IFNA(VLOOKUP(CONCATENATE(AZ$4,$C522),'INSER DATA'!$A:$F,7,0),"")</f>
        <v/>
      </c>
      <c r="BA522" s="270" t="str">
        <f>_xlfn.IFNA(VLOOKUP(CONCATENATE(BA$4,$C522),'INSER DATA'!$A:$F,7,0),"")</f>
        <v/>
      </c>
      <c r="BB522" s="270" t="str">
        <f>_xlfn.IFNA(VLOOKUP(CONCATENATE(BB$4,$C522),'INSER DATA'!$A:$F,7,0),"")</f>
        <v/>
      </c>
      <c r="BC522" s="270" t="str">
        <f>_xlfn.IFNA(VLOOKUP(CONCATENATE(BC$4,$C522),'INSER DATA'!$A:$F,7,0),"")</f>
        <v/>
      </c>
      <c r="BD522" s="270" t="str">
        <f>_xlfn.IFNA(VLOOKUP(CONCATENATE(BD$4,$C522),'INSER DATA'!$A:$F,7,0),"")</f>
        <v/>
      </c>
      <c r="BE522" s="270" t="str">
        <f>_xlfn.IFNA(VLOOKUP(CONCATENATE(BE$4,$C522),'INSER DATA'!$A:$F,7,0),"")</f>
        <v/>
      </c>
      <c r="BF522" s="270" t="str">
        <f>_xlfn.IFNA(VLOOKUP(CONCATENATE(BF$4,$C522),'INSER DATA'!$A:$F,7,0),"")</f>
        <v/>
      </c>
      <c r="BG522" s="270" t="str">
        <f>_xlfn.IFNA(VLOOKUP(CONCATENATE(BG$4,$C522),'INSER DATA'!$A:$F,7,0),"")</f>
        <v/>
      </c>
      <c r="BH522" s="270" t="str">
        <f>_xlfn.IFNA(VLOOKUP(CONCATENATE(BH$4,$C522),'INSER DATA'!$A:$F,7,0),"")</f>
        <v/>
      </c>
      <c r="BI522" s="270" t="str">
        <f>_xlfn.IFNA(VLOOKUP(CONCATENATE(BI$4,$C522),'INSER DATA'!$A:$F,7,0),"")</f>
        <v/>
      </c>
      <c r="BJ522" s="270" t="str">
        <f>_xlfn.IFNA(VLOOKUP(CONCATENATE(BJ$4,$C522),'INSER DATA'!$A:$F,7,0),"")</f>
        <v/>
      </c>
      <c r="BK522" s="270" t="str">
        <f>_xlfn.IFNA(VLOOKUP(CONCATENATE(BK$4,$C522),'INSER DATA'!$A:$F,7,0),"")</f>
        <v/>
      </c>
      <c r="BL522" s="272"/>
      <c r="BM522" s="30"/>
      <c r="BN522" s="30"/>
      <c r="BO522" s="30"/>
      <c r="BP522" s="30"/>
      <c r="BQ522" s="30"/>
      <c r="BR522" s="30"/>
      <c r="BS522" s="30"/>
      <c r="BT522" s="30"/>
      <c r="BU522" s="30"/>
      <c r="BV522" s="30"/>
      <c r="BW522" s="30"/>
      <c r="BX522" s="30"/>
      <c r="BY522" s="30"/>
      <c r="BZ522" s="30"/>
      <c r="CA522" s="30"/>
      <c r="CB522" s="30"/>
      <c r="CC522" s="30"/>
      <c r="CD522" s="30"/>
      <c r="CE522" s="30"/>
      <c r="CF522" s="30"/>
      <c r="CG522" s="30"/>
      <c r="CH522" s="30"/>
      <c r="CI522" s="30"/>
      <c r="CJ522" s="30"/>
      <c r="CK522" s="30"/>
      <c r="CL522" s="30"/>
      <c r="CM522" s="30"/>
      <c r="CN522" s="30"/>
      <c r="CO522" s="30"/>
      <c r="CP522" s="30"/>
      <c r="CQ522" s="30"/>
      <c r="CR522" s="30"/>
      <c r="CS522" s="30"/>
      <c r="CT522" s="30"/>
      <c r="CU522" s="30"/>
      <c r="CV522" s="30"/>
      <c r="CW522" s="30"/>
      <c r="CX522" s="30"/>
      <c r="CY522" s="30"/>
      <c r="CZ522" s="30"/>
      <c r="DA522" s="30"/>
    </row>
    <row r="523" spans="1:105" ht="19.2" thickTop="1" thickBot="1" x14ac:dyDescent="0.4">
      <c r="A523" s="30"/>
      <c r="B523" s="30"/>
      <c r="C523" s="362" t="s">
        <v>1042</v>
      </c>
      <c r="D523" s="365" t="s">
        <v>705</v>
      </c>
      <c r="E523" s="35" t="str">
        <f>_xlfn.XLOOKUP(Tabella4[[#This Row],[NOME]],'ROSE SQUADRE'!$N$3:$N$253,'ROSE SQUADRE'!$O$3:$O$253,"")</f>
        <v>SAN GRIA</v>
      </c>
      <c r="F523" s="36" t="s">
        <v>163</v>
      </c>
      <c r="G523" s="43"/>
      <c r="H523" s="43"/>
      <c r="I523" s="44">
        <f t="shared" si="51"/>
        <v>0</v>
      </c>
      <c r="J523" s="37">
        <f t="shared" si="52"/>
        <v>2</v>
      </c>
      <c r="K523" s="178">
        <f t="shared" si="53"/>
        <v>5.75</v>
      </c>
      <c r="L523" s="178">
        <f t="shared" si="54"/>
        <v>5.75</v>
      </c>
      <c r="M523" s="179">
        <f t="shared" si="55"/>
        <v>11.5</v>
      </c>
      <c r="N523" s="45">
        <f t="shared" ca="1" si="50"/>
        <v>0</v>
      </c>
      <c r="O523" s="40">
        <f>SUMIF(Tabella1[Nome],Tabella4[[#This Row],[NOME]],Tabella1[Gf])</f>
        <v>0</v>
      </c>
      <c r="P523" s="40">
        <f>-(SUMIF(Tabella1[Nome],Tabella4[[#This Row],[NOME]],Tabella1[Gs]))</f>
        <v>0</v>
      </c>
      <c r="Q523" s="40">
        <f>SUMIF(Tabella1[Nome],Tabella4[[#This Row],[NOME]],Tabella1[Rp])</f>
        <v>0</v>
      </c>
      <c r="R523" s="40">
        <f>SUMIF(Tabella1[Nome],Tabella4[[#This Row],[NOME]],Tabella1[Rs])</f>
        <v>0</v>
      </c>
      <c r="S523" s="40">
        <f>SUMIF(Tabella1[Nome],Tabella4[[#This Row],[NOME]],Tabella1[Rf])</f>
        <v>0</v>
      </c>
      <c r="T523" s="40">
        <f>SUMIF(Tabella1[Nome],Tabella4[[#This Row],[NOME]],Tabella1[Au])</f>
        <v>0</v>
      </c>
      <c r="U523" s="41">
        <f>SUMIF(Tabella1[Nome],Tabella4[[#This Row],[NOME]],Tabella1[Amm])</f>
        <v>0</v>
      </c>
      <c r="V523" s="42">
        <f>SUMIF(Tabella1[Nome],Tabella4[[#This Row],[NOME]],Tabella1[Esp])</f>
        <v>0</v>
      </c>
      <c r="W523" s="40">
        <f>SUMIF(Tabella1[Nome],Tabella4[[#This Row],[NOME]],Tabella1[Ass])</f>
        <v>0</v>
      </c>
      <c r="X523" s="40">
        <f>SUMIF(Tabella1[Nome],Tabella4[[#This Row],[NOME]],Tabella1[Gdv])</f>
        <v>0</v>
      </c>
      <c r="Y523" s="40">
        <f>SUMIF(Tabella1[Nome],Tabella4[[#This Row],[NOME]],Tabella1[cl sh])</f>
        <v>0</v>
      </c>
      <c r="Z523" s="270" t="str">
        <f>_xlfn.IFNA(_xlfn.XLOOKUP(CONCATENATE(Z$4,$C523),Tabella1[CONC X VOTI IN TAB GIOC],Tabella1[Voto],""),"")</f>
        <v/>
      </c>
      <c r="AA523" s="270" t="str">
        <f>_xlfn.IFNA(_xlfn.XLOOKUP(CONCATENATE(AA$4,$C523),Tabella1[CONC X VOTI IN TAB GIOC],Tabella1[Voto],""),"")</f>
        <v/>
      </c>
      <c r="AB523" s="270">
        <f>_xlfn.IFNA(_xlfn.XLOOKUP(CONCATENATE(AB$4,$C523),Tabella1[CONC X VOTI IN TAB GIOC],Tabella1[Voto]),"")</f>
        <v>5.5</v>
      </c>
      <c r="AC523" s="270" cm="1">
        <f t="array" ref="AC523">_xlfn.IFNA(_xlfn.XLOOKUP(CONCATENATE(AC$4,$C523),INDEX(Tabella1[],0,MATCH("CONC X VOTI IN TAB GIOC",Tabella1[#Headers],0)),INDEX(Tabella1[],0,MATCH("Voto",Tabella1[#Headers],0))),"")</f>
        <v>6</v>
      </c>
      <c r="AD523" s="270" t="str">
        <f>_xlfn.IFNA(_xlfn.XLOOKUP(CONCATENATE(AD$4,$C523),Tabella1[CONC X VOTI IN TAB GIOC],Tabella1[Voto]),"")</f>
        <v/>
      </c>
      <c r="AE523" s="270" t="str">
        <f>_xlfn.IFNA(VLOOKUP(CONCATENATE(AE$4,$C523),'INSER DATA'!$A:$F,6,0),"")</f>
        <v/>
      </c>
      <c r="AF523" s="270" t="str">
        <f>_xlfn.IFNA(VLOOKUP(CONCATENATE(AF$4,$C523),'INSER DATA'!$A:$F,6,0),"")</f>
        <v/>
      </c>
      <c r="AG523" s="270" t="str">
        <f>_xlfn.IFNA(VLOOKUP(CONCATENATE(AG$4,$C523),'INSER DATA'!$A:$F,6,0),"")</f>
        <v/>
      </c>
      <c r="AH523" s="270" t="str">
        <f>_xlfn.IFNA(VLOOKUP(CONCATENATE(AH$4,$C523),'INSER DATA'!$A:$F,7,0),"")</f>
        <v/>
      </c>
      <c r="AI523" s="270" t="str">
        <f>_xlfn.IFNA(VLOOKUP(CONCATENATE(AI$4,$C523),'INSER DATA'!$A:$F,7,0),"")</f>
        <v/>
      </c>
      <c r="AJ523" s="270" t="str">
        <f>_xlfn.IFNA(VLOOKUP(CONCATENATE(AJ$4,$C523),'INSER DATA'!$A:$F,7,0),"")</f>
        <v/>
      </c>
      <c r="AK523" s="270" t="str">
        <f>_xlfn.IFNA(VLOOKUP(CONCATENATE(AK$4,$C523),'INSER DATA'!$A:$F,7,0),"")</f>
        <v/>
      </c>
      <c r="AL523" s="270" t="str">
        <f>_xlfn.IFNA(VLOOKUP(CONCATENATE(AL$4,$C523),'INSER DATA'!$A:$F,7,0),"")</f>
        <v/>
      </c>
      <c r="AM523" s="270" t="str">
        <f>_xlfn.IFNA(VLOOKUP(CONCATENATE(AM$4,$C523),'INSER DATA'!$A:$F,7,0),"")</f>
        <v/>
      </c>
      <c r="AN523" s="270" t="str">
        <f>_xlfn.IFNA(VLOOKUP(CONCATENATE(AN$4,$C523),'INSER DATA'!$A:$F,7,0),"")</f>
        <v/>
      </c>
      <c r="AO523" s="270" t="str">
        <f>_xlfn.IFNA(VLOOKUP(CONCATENATE(AO$4,$C523),'INSER DATA'!$A:$F,7,0),"")</f>
        <v/>
      </c>
      <c r="AP523" s="270" t="str">
        <f>_xlfn.IFNA(VLOOKUP(CONCATENATE(AP$4,$C523),'INSER DATA'!$A:$F,7,0),"")</f>
        <v/>
      </c>
      <c r="AQ523" s="270" t="str">
        <f>_xlfn.IFNA(VLOOKUP(CONCATENATE(AQ$4,$C523),'INSER DATA'!$A:$F,7,0),"")</f>
        <v/>
      </c>
      <c r="AR523" s="270" t="str">
        <f>_xlfn.IFNA(VLOOKUP(CONCATENATE(AR$4,$C523),'INSER DATA'!$A:$F,7,0),"")</f>
        <v/>
      </c>
      <c r="AS523" s="270" t="str">
        <f>_xlfn.IFNA(VLOOKUP(CONCATENATE(AS$4,$C523),'INSER DATA'!$A:$F,7,0),"")</f>
        <v/>
      </c>
      <c r="AT523" s="270" t="str">
        <f>_xlfn.IFNA(VLOOKUP(CONCATENATE(AT$4,$C523),'INSER DATA'!$A:$F,7,0),"")</f>
        <v/>
      </c>
      <c r="AU523" s="270" t="str">
        <f>_xlfn.IFNA(VLOOKUP(CONCATENATE(AU$4,$C523),'INSER DATA'!$A:$F,7,0),"")</f>
        <v/>
      </c>
      <c r="AV523" s="270" t="str">
        <f>_xlfn.IFNA(VLOOKUP(CONCATENATE(AV$4,$C523),'INSER DATA'!$A:$F,7,0),"")</f>
        <v/>
      </c>
      <c r="AW523" s="270" t="str">
        <f>_xlfn.IFNA(VLOOKUP(CONCATENATE(AW$4,$C523),'INSER DATA'!$A:$F,7,0),"")</f>
        <v/>
      </c>
      <c r="AX523" s="270" t="str">
        <f>_xlfn.IFNA(VLOOKUP(CONCATENATE(AX$4,$C523),'INSER DATA'!$A:$F,7,0),"")</f>
        <v/>
      </c>
      <c r="AY523" s="270" t="str">
        <f>_xlfn.IFNA(VLOOKUP(CONCATENATE(AY$4,$C523),'INSER DATA'!$A:$F,7,0),"")</f>
        <v/>
      </c>
      <c r="AZ523" s="270" t="str">
        <f>_xlfn.IFNA(VLOOKUP(CONCATENATE(AZ$4,$C523),'INSER DATA'!$A:$F,7,0),"")</f>
        <v/>
      </c>
      <c r="BA523" s="270" t="str">
        <f>_xlfn.IFNA(VLOOKUP(CONCATENATE(BA$4,$C523),'INSER DATA'!$A:$F,7,0),"")</f>
        <v/>
      </c>
      <c r="BB523" s="270" t="str">
        <f>_xlfn.IFNA(VLOOKUP(CONCATENATE(BB$4,$C523),'INSER DATA'!$A:$F,7,0),"")</f>
        <v/>
      </c>
      <c r="BC523" s="270" t="str">
        <f>_xlfn.IFNA(VLOOKUP(CONCATENATE(BC$4,$C523),'INSER DATA'!$A:$F,7,0),"")</f>
        <v/>
      </c>
      <c r="BD523" s="270" t="str">
        <f>_xlfn.IFNA(VLOOKUP(CONCATENATE(BD$4,$C523),'INSER DATA'!$A:$F,7,0),"")</f>
        <v/>
      </c>
      <c r="BE523" s="270" t="str">
        <f>_xlfn.IFNA(VLOOKUP(CONCATENATE(BE$4,$C523),'INSER DATA'!$A:$F,7,0),"")</f>
        <v/>
      </c>
      <c r="BF523" s="270" t="str">
        <f>_xlfn.IFNA(VLOOKUP(CONCATENATE(BF$4,$C523),'INSER DATA'!$A:$F,7,0),"")</f>
        <v/>
      </c>
      <c r="BG523" s="270" t="str">
        <f>_xlfn.IFNA(VLOOKUP(CONCATENATE(BG$4,$C523),'INSER DATA'!$A:$F,7,0),"")</f>
        <v/>
      </c>
      <c r="BH523" s="270" t="str">
        <f>_xlfn.IFNA(VLOOKUP(CONCATENATE(BH$4,$C523),'INSER DATA'!$A:$F,7,0),"")</f>
        <v/>
      </c>
      <c r="BI523" s="270" t="str">
        <f>_xlfn.IFNA(VLOOKUP(CONCATENATE(BI$4,$C523),'INSER DATA'!$A:$F,7,0),"")</f>
        <v/>
      </c>
      <c r="BJ523" s="270" t="str">
        <f>_xlfn.IFNA(VLOOKUP(CONCATENATE(BJ$4,$C523),'INSER DATA'!$A:$F,7,0),"")</f>
        <v/>
      </c>
      <c r="BK523" s="270" t="str">
        <f>_xlfn.IFNA(VLOOKUP(CONCATENATE(BK$4,$C523),'INSER DATA'!$A:$F,7,0),"")</f>
        <v/>
      </c>
      <c r="BL523" s="272"/>
      <c r="BM523" s="30"/>
      <c r="BN523" s="30"/>
      <c r="BO523" s="30"/>
      <c r="BP523" s="30"/>
      <c r="BQ523" s="30"/>
      <c r="BR523" s="30"/>
      <c r="BS523" s="30"/>
      <c r="BT523" s="30"/>
      <c r="BU523" s="30"/>
      <c r="BV523" s="30"/>
      <c r="BW523" s="30"/>
      <c r="BX523" s="30"/>
      <c r="BY523" s="30"/>
      <c r="BZ523" s="30"/>
      <c r="CA523" s="30"/>
      <c r="CB523" s="30"/>
      <c r="CC523" s="30"/>
      <c r="CD523" s="30"/>
      <c r="CE523" s="30"/>
      <c r="CF523" s="30"/>
      <c r="CG523" s="30"/>
      <c r="CH523" s="30"/>
      <c r="CI523" s="30"/>
      <c r="CJ523" s="30"/>
      <c r="CK523" s="30"/>
      <c r="CL523" s="30"/>
      <c r="CM523" s="30"/>
      <c r="CN523" s="30"/>
      <c r="CO523" s="30"/>
      <c r="CP523" s="30"/>
      <c r="CQ523" s="30"/>
      <c r="CR523" s="30"/>
      <c r="CS523" s="30"/>
      <c r="CT523" s="30"/>
      <c r="CU523" s="30"/>
      <c r="CV523" s="30"/>
      <c r="CW523" s="30"/>
      <c r="CX523" s="30"/>
      <c r="CY523" s="30"/>
      <c r="CZ523" s="30"/>
      <c r="DA523" s="30"/>
    </row>
    <row r="524" spans="1:105" ht="19.2" thickTop="1" thickBot="1" x14ac:dyDescent="0.4">
      <c r="A524" s="30"/>
      <c r="B524" s="30"/>
      <c r="C524" s="188" t="s">
        <v>343</v>
      </c>
      <c r="D524" s="187" t="s">
        <v>749</v>
      </c>
      <c r="E524" s="35" t="str">
        <f>_xlfn.XLOOKUP(Tabella4[[#This Row],[NOME]],'ROSE SQUADRE'!$N$3:$N$253,'ROSE SQUADRE'!$O$3:$O$253,"")</f>
        <v/>
      </c>
      <c r="F524" s="36" t="s">
        <v>161</v>
      </c>
      <c r="G524" s="43"/>
      <c r="H524" s="43"/>
      <c r="I524" s="44">
        <f t="shared" si="51"/>
        <v>0</v>
      </c>
      <c r="J524" s="37">
        <f t="shared" si="52"/>
        <v>2</v>
      </c>
      <c r="K524" s="178">
        <f t="shared" si="53"/>
        <v>5.75</v>
      </c>
      <c r="L524" s="178">
        <f t="shared" si="54"/>
        <v>5.5</v>
      </c>
      <c r="M524" s="179">
        <f t="shared" si="55"/>
        <v>11</v>
      </c>
      <c r="N524" s="45">
        <f t="shared" ca="1" si="50"/>
        <v>0</v>
      </c>
      <c r="O524" s="40">
        <f>SUMIF(Tabella1[Nome],Tabella4[[#This Row],[NOME]],Tabella1[Gf])</f>
        <v>0</v>
      </c>
      <c r="P524" s="40">
        <f>-(SUMIF(Tabella1[Nome],Tabella4[[#This Row],[NOME]],Tabella1[Gs]))</f>
        <v>0</v>
      </c>
      <c r="Q524" s="40">
        <f>SUMIF(Tabella1[Nome],Tabella4[[#This Row],[NOME]],Tabella1[Rp])</f>
        <v>0</v>
      </c>
      <c r="R524" s="40">
        <f>SUMIF(Tabella1[Nome],Tabella4[[#This Row],[NOME]],Tabella1[Rs])</f>
        <v>0</v>
      </c>
      <c r="S524" s="40">
        <f>SUMIF(Tabella1[Nome],Tabella4[[#This Row],[NOME]],Tabella1[Rf])</f>
        <v>0</v>
      </c>
      <c r="T524" s="40">
        <f>SUMIF(Tabella1[Nome],Tabella4[[#This Row],[NOME]],Tabella1[Au])</f>
        <v>0</v>
      </c>
      <c r="U524" s="41">
        <f>SUMIF(Tabella1[Nome],Tabella4[[#This Row],[NOME]],Tabella1[Amm])</f>
        <v>1</v>
      </c>
      <c r="V524" s="42">
        <f>SUMIF(Tabella1[Nome],Tabella4[[#This Row],[NOME]],Tabella1[Esp])</f>
        <v>0</v>
      </c>
      <c r="W524" s="40">
        <f>SUMIF(Tabella1[Nome],Tabella4[[#This Row],[NOME]],Tabella1[Ass])</f>
        <v>0</v>
      </c>
      <c r="X524" s="40">
        <f>SUMIF(Tabella1[Nome],Tabella4[[#This Row],[NOME]],Tabella1[Gdv])</f>
        <v>0</v>
      </c>
      <c r="Y524" s="40">
        <f>SUMIF(Tabella1[Nome],Tabella4[[#This Row],[NOME]],Tabella1[cl sh])</f>
        <v>0</v>
      </c>
      <c r="Z524" s="270" t="str">
        <f>_xlfn.IFNA(_xlfn.XLOOKUP(CONCATENATE(Z$4,$C524),Tabella1[CONC X VOTI IN TAB GIOC],Tabella1[Voto],""),"")</f>
        <v/>
      </c>
      <c r="AA524" s="270" t="str">
        <f>_xlfn.IFNA(_xlfn.XLOOKUP(CONCATENATE(AA$4,$C524),Tabella1[CONC X VOTI IN TAB GIOC],Tabella1[Voto],""),"")</f>
        <v/>
      </c>
      <c r="AB524" s="270">
        <f>_xlfn.IFNA(_xlfn.XLOOKUP(CONCATENATE(AB$4,$C524),Tabella1[CONC X VOTI IN TAB GIOC],Tabella1[Voto]),"")</f>
        <v>5.5</v>
      </c>
      <c r="AC524" s="270" cm="1">
        <f t="array" ref="AC524">_xlfn.IFNA(_xlfn.XLOOKUP(CONCATENATE(AC$4,$C524),INDEX(Tabella1[],0,MATCH("CONC X VOTI IN TAB GIOC",Tabella1[#Headers],0)),INDEX(Tabella1[],0,MATCH("Voto",Tabella1[#Headers],0))),"")</f>
        <v>6</v>
      </c>
      <c r="AD524" s="270" t="str">
        <f>_xlfn.IFNA(_xlfn.XLOOKUP(CONCATENATE(AD$4,$C524),Tabella1[CONC X VOTI IN TAB GIOC],Tabella1[Voto]),"")</f>
        <v/>
      </c>
      <c r="AE524" s="270" t="str">
        <f>_xlfn.IFNA(VLOOKUP(CONCATENATE(AE$4,$C524),'INSER DATA'!$A:$F,6,0),"")</f>
        <v/>
      </c>
      <c r="AF524" s="270" t="str">
        <f>_xlfn.IFNA(VLOOKUP(CONCATENATE(AF$4,$C524),'INSER DATA'!$A:$F,6,0),"")</f>
        <v/>
      </c>
      <c r="AG524" s="270" t="str">
        <f>_xlfn.IFNA(VLOOKUP(CONCATENATE(AG$4,$C524),'INSER DATA'!$A:$F,6,0),"")</f>
        <v/>
      </c>
      <c r="AH524" s="270" t="str">
        <f>_xlfn.IFNA(VLOOKUP(CONCATENATE(AH$4,$C524),'INSER DATA'!$A:$F,7,0),"")</f>
        <v/>
      </c>
      <c r="AI524" s="270" t="str">
        <f>_xlfn.IFNA(VLOOKUP(CONCATENATE(AI$4,$C524),'INSER DATA'!$A:$F,7,0),"")</f>
        <v/>
      </c>
      <c r="AJ524" s="270" t="str">
        <f>_xlfn.IFNA(VLOOKUP(CONCATENATE(AJ$4,$C524),'INSER DATA'!$A:$F,7,0),"")</f>
        <v/>
      </c>
      <c r="AK524" s="270" t="str">
        <f>_xlfn.IFNA(VLOOKUP(CONCATENATE(AK$4,$C524),'INSER DATA'!$A:$F,7,0),"")</f>
        <v/>
      </c>
      <c r="AL524" s="270" t="str">
        <f>_xlfn.IFNA(VLOOKUP(CONCATENATE(AL$4,$C524),'INSER DATA'!$A:$F,7,0),"")</f>
        <v/>
      </c>
      <c r="AM524" s="270" t="str">
        <f>_xlfn.IFNA(VLOOKUP(CONCATENATE(AM$4,$C524),'INSER DATA'!$A:$F,7,0),"")</f>
        <v/>
      </c>
      <c r="AN524" s="270" t="str">
        <f>_xlfn.IFNA(VLOOKUP(CONCATENATE(AN$4,$C524),'INSER DATA'!$A:$F,7,0),"")</f>
        <v/>
      </c>
      <c r="AO524" s="270" t="str">
        <f>_xlfn.IFNA(VLOOKUP(CONCATENATE(AO$4,$C524),'INSER DATA'!$A:$F,7,0),"")</f>
        <v/>
      </c>
      <c r="AP524" s="270" t="str">
        <f>_xlfn.IFNA(VLOOKUP(CONCATENATE(AP$4,$C524),'INSER DATA'!$A:$F,7,0),"")</f>
        <v/>
      </c>
      <c r="AQ524" s="270" t="str">
        <f>_xlfn.IFNA(VLOOKUP(CONCATENATE(AQ$4,$C524),'INSER DATA'!$A:$F,7,0),"")</f>
        <v/>
      </c>
      <c r="AR524" s="270" t="str">
        <f>_xlfn.IFNA(VLOOKUP(CONCATENATE(AR$4,$C524),'INSER DATA'!$A:$F,7,0),"")</f>
        <v/>
      </c>
      <c r="AS524" s="270" t="str">
        <f>_xlfn.IFNA(VLOOKUP(CONCATENATE(AS$4,$C524),'INSER DATA'!$A:$F,7,0),"")</f>
        <v/>
      </c>
      <c r="AT524" s="270" t="str">
        <f>_xlfn.IFNA(VLOOKUP(CONCATENATE(AT$4,$C524),'INSER DATA'!$A:$F,7,0),"")</f>
        <v/>
      </c>
      <c r="AU524" s="270" t="str">
        <f>_xlfn.IFNA(VLOOKUP(CONCATENATE(AU$4,$C524),'INSER DATA'!$A:$F,7,0),"")</f>
        <v/>
      </c>
      <c r="AV524" s="270" t="str">
        <f>_xlfn.IFNA(VLOOKUP(CONCATENATE(AV$4,$C524),'INSER DATA'!$A:$F,7,0),"")</f>
        <v/>
      </c>
      <c r="AW524" s="270" t="str">
        <f>_xlfn.IFNA(VLOOKUP(CONCATENATE(AW$4,$C524),'INSER DATA'!$A:$F,7,0),"")</f>
        <v/>
      </c>
      <c r="AX524" s="270" t="str">
        <f>_xlfn.IFNA(VLOOKUP(CONCATENATE(AX$4,$C524),'INSER DATA'!$A:$F,7,0),"")</f>
        <v/>
      </c>
      <c r="AY524" s="270" t="str">
        <f>_xlfn.IFNA(VLOOKUP(CONCATENATE(AY$4,$C524),'INSER DATA'!$A:$F,7,0),"")</f>
        <v/>
      </c>
      <c r="AZ524" s="270" t="str">
        <f>_xlfn.IFNA(VLOOKUP(CONCATENATE(AZ$4,$C524),'INSER DATA'!$A:$F,7,0),"")</f>
        <v/>
      </c>
      <c r="BA524" s="270" t="str">
        <f>_xlfn.IFNA(VLOOKUP(CONCATENATE(BA$4,$C524),'INSER DATA'!$A:$F,7,0),"")</f>
        <v/>
      </c>
      <c r="BB524" s="270" t="str">
        <f>_xlfn.IFNA(VLOOKUP(CONCATENATE(BB$4,$C524),'INSER DATA'!$A:$F,7,0),"")</f>
        <v/>
      </c>
      <c r="BC524" s="270" t="str">
        <f>_xlfn.IFNA(VLOOKUP(CONCATENATE(BC$4,$C524),'INSER DATA'!$A:$F,7,0),"")</f>
        <v/>
      </c>
      <c r="BD524" s="270" t="str">
        <f>_xlfn.IFNA(VLOOKUP(CONCATENATE(BD$4,$C524),'INSER DATA'!$A:$F,7,0),"")</f>
        <v/>
      </c>
      <c r="BE524" s="270" t="str">
        <f>_xlfn.IFNA(VLOOKUP(CONCATENATE(BE$4,$C524),'INSER DATA'!$A:$F,7,0),"")</f>
        <v/>
      </c>
      <c r="BF524" s="270" t="str">
        <f>_xlfn.IFNA(VLOOKUP(CONCATENATE(BF$4,$C524),'INSER DATA'!$A:$F,7,0),"")</f>
        <v/>
      </c>
      <c r="BG524" s="270" t="str">
        <f>_xlfn.IFNA(VLOOKUP(CONCATENATE(BG$4,$C524),'INSER DATA'!$A:$F,7,0),"")</f>
        <v/>
      </c>
      <c r="BH524" s="270" t="str">
        <f>_xlfn.IFNA(VLOOKUP(CONCATENATE(BH$4,$C524),'INSER DATA'!$A:$F,7,0),"")</f>
        <v/>
      </c>
      <c r="BI524" s="270" t="str">
        <f>_xlfn.IFNA(VLOOKUP(CONCATENATE(BI$4,$C524),'INSER DATA'!$A:$F,7,0),"")</f>
        <v/>
      </c>
      <c r="BJ524" s="270" t="str">
        <f>_xlfn.IFNA(VLOOKUP(CONCATENATE(BJ$4,$C524),'INSER DATA'!$A:$F,7,0),"")</f>
        <v/>
      </c>
      <c r="BK524" s="270" t="str">
        <f>_xlfn.IFNA(VLOOKUP(CONCATENATE(BK$4,$C524),'INSER DATA'!$A:$F,7,0),"")</f>
        <v/>
      </c>
      <c r="BL524" s="272"/>
      <c r="BM524" s="30"/>
      <c r="BN524" s="30"/>
      <c r="BO524" s="30"/>
      <c r="BP524" s="30"/>
      <c r="BQ524" s="30"/>
      <c r="BR524" s="30"/>
      <c r="BS524" s="30"/>
      <c r="BT524" s="30"/>
      <c r="BU524" s="30"/>
      <c r="BV524" s="30"/>
      <c r="BW524" s="30"/>
      <c r="BX524" s="30"/>
      <c r="BY524" s="30"/>
      <c r="BZ524" s="30"/>
      <c r="CA524" s="30"/>
      <c r="CB524" s="30"/>
      <c r="CC524" s="30"/>
      <c r="CD524" s="30"/>
      <c r="CE524" s="30"/>
      <c r="CF524" s="30"/>
      <c r="CG524" s="30"/>
      <c r="CH524" s="30"/>
      <c r="CI524" s="30"/>
      <c r="CJ524" s="30"/>
      <c r="CK524" s="30"/>
      <c r="CL524" s="30"/>
      <c r="CM524" s="30"/>
      <c r="CN524" s="30"/>
      <c r="CO524" s="30"/>
      <c r="CP524" s="30"/>
      <c r="CQ524" s="30"/>
      <c r="CR524" s="30"/>
      <c r="CS524" s="30"/>
      <c r="CT524" s="30"/>
      <c r="CU524" s="30"/>
      <c r="CV524" s="30"/>
      <c r="CW524" s="30"/>
      <c r="CX524" s="30"/>
      <c r="CY524" s="30"/>
      <c r="CZ524" s="30"/>
      <c r="DA524" s="30"/>
    </row>
    <row r="525" spans="1:105" ht="19.2" thickTop="1" thickBot="1" x14ac:dyDescent="0.4">
      <c r="A525" s="30"/>
      <c r="B525" s="30"/>
      <c r="C525" s="188" t="s">
        <v>1044</v>
      </c>
      <c r="D525" s="187" t="s">
        <v>777</v>
      </c>
      <c r="E525" s="35" t="str">
        <f>_xlfn.XLOOKUP(Tabella4[[#This Row],[NOME]],'ROSE SQUADRE'!$N$3:$N$253,'ROSE SQUADRE'!$O$3:$O$253,"")</f>
        <v>ATL. IMPROVVISATO</v>
      </c>
      <c r="F525" s="36" t="s">
        <v>163</v>
      </c>
      <c r="G525" s="43"/>
      <c r="H525" s="43"/>
      <c r="I525" s="44">
        <f t="shared" si="51"/>
        <v>0</v>
      </c>
      <c r="J525" s="37">
        <f t="shared" si="52"/>
        <v>2</v>
      </c>
      <c r="K525" s="178">
        <f t="shared" si="53"/>
        <v>5.75</v>
      </c>
      <c r="L525" s="178">
        <f t="shared" si="54"/>
        <v>5.75</v>
      </c>
      <c r="M525" s="179">
        <f t="shared" si="55"/>
        <v>11.5</v>
      </c>
      <c r="N525" s="45">
        <f t="shared" ca="1" si="50"/>
        <v>0</v>
      </c>
      <c r="O525" s="40">
        <f>SUMIF(Tabella1[Nome],Tabella4[[#This Row],[NOME]],Tabella1[Gf])</f>
        <v>0</v>
      </c>
      <c r="P525" s="40">
        <f>-(SUMIF(Tabella1[Nome],Tabella4[[#This Row],[NOME]],Tabella1[Gs]))</f>
        <v>0</v>
      </c>
      <c r="Q525" s="40">
        <f>SUMIF(Tabella1[Nome],Tabella4[[#This Row],[NOME]],Tabella1[Rp])</f>
        <v>0</v>
      </c>
      <c r="R525" s="40">
        <f>SUMIF(Tabella1[Nome],Tabella4[[#This Row],[NOME]],Tabella1[Rs])</f>
        <v>0</v>
      </c>
      <c r="S525" s="40">
        <f>SUMIF(Tabella1[Nome],Tabella4[[#This Row],[NOME]],Tabella1[Rf])</f>
        <v>0</v>
      </c>
      <c r="T525" s="40">
        <f>SUMIF(Tabella1[Nome],Tabella4[[#This Row],[NOME]],Tabella1[Au])</f>
        <v>0</v>
      </c>
      <c r="U525" s="41">
        <f>SUMIF(Tabella1[Nome],Tabella4[[#This Row],[NOME]],Tabella1[Amm])</f>
        <v>0</v>
      </c>
      <c r="V525" s="42">
        <f>SUMIF(Tabella1[Nome],Tabella4[[#This Row],[NOME]],Tabella1[Esp])</f>
        <v>0</v>
      </c>
      <c r="W525" s="40">
        <f>SUMIF(Tabella1[Nome],Tabella4[[#This Row],[NOME]],Tabella1[Ass])</f>
        <v>0</v>
      </c>
      <c r="X525" s="40">
        <f>SUMIF(Tabella1[Nome],Tabella4[[#This Row],[NOME]],Tabella1[Gdv])</f>
        <v>0</v>
      </c>
      <c r="Y525" s="40">
        <f>SUMIF(Tabella1[Nome],Tabella4[[#This Row],[NOME]],Tabella1[cl sh])</f>
        <v>0</v>
      </c>
      <c r="Z525" s="270" t="str">
        <f>_xlfn.IFNA(_xlfn.XLOOKUP(CONCATENATE(Z$4,$C525),Tabella1[CONC X VOTI IN TAB GIOC],Tabella1[Voto],""),"")</f>
        <v/>
      </c>
      <c r="AA525" s="270" t="str">
        <f>_xlfn.IFNA(_xlfn.XLOOKUP(CONCATENATE(AA$4,$C525),Tabella1[CONC X VOTI IN TAB GIOC],Tabella1[Voto],""),"")</f>
        <v/>
      </c>
      <c r="AB525" s="270">
        <f>_xlfn.IFNA(_xlfn.XLOOKUP(CONCATENATE(AB$4,$C525),Tabella1[CONC X VOTI IN TAB GIOC],Tabella1[Voto]),"")</f>
        <v>6</v>
      </c>
      <c r="AC525" s="270" cm="1">
        <f t="array" ref="AC525">_xlfn.IFNA(_xlfn.XLOOKUP(CONCATENATE(AC$4,$C525),INDEX(Tabella1[],0,MATCH("CONC X VOTI IN TAB GIOC",Tabella1[#Headers],0)),INDEX(Tabella1[],0,MATCH("Voto",Tabella1[#Headers],0))),"")</f>
        <v>5.5</v>
      </c>
      <c r="AD525" s="270" t="str">
        <f>_xlfn.IFNA(_xlfn.XLOOKUP(CONCATENATE(AD$4,$C525),Tabella1[CONC X VOTI IN TAB GIOC],Tabella1[Voto]),"")</f>
        <v/>
      </c>
      <c r="AE525" s="270" t="str">
        <f>_xlfn.IFNA(VLOOKUP(CONCATENATE(AE$4,$C525),'INSER DATA'!$A:$F,6,0),"")</f>
        <v/>
      </c>
      <c r="AF525" s="270" t="str">
        <f>_xlfn.IFNA(VLOOKUP(CONCATENATE(AF$4,$C525),'INSER DATA'!$A:$F,6,0),"")</f>
        <v/>
      </c>
      <c r="AG525" s="270" t="str">
        <f>_xlfn.IFNA(VLOOKUP(CONCATENATE(AG$4,$C525),'INSER DATA'!$A:$F,6,0),"")</f>
        <v/>
      </c>
      <c r="AH525" s="270" t="str">
        <f>_xlfn.IFNA(VLOOKUP(CONCATENATE(AH$4,$C525),'INSER DATA'!$A:$F,7,0),"")</f>
        <v/>
      </c>
      <c r="AI525" s="270" t="str">
        <f>_xlfn.IFNA(VLOOKUP(CONCATENATE(AI$4,$C525),'INSER DATA'!$A:$F,7,0),"")</f>
        <v/>
      </c>
      <c r="AJ525" s="270" t="str">
        <f>_xlfn.IFNA(VLOOKUP(CONCATENATE(AJ$4,$C525),'INSER DATA'!$A:$F,7,0),"")</f>
        <v/>
      </c>
      <c r="AK525" s="270" t="str">
        <f>_xlfn.IFNA(VLOOKUP(CONCATENATE(AK$4,$C525),'INSER DATA'!$A:$F,7,0),"")</f>
        <v/>
      </c>
      <c r="AL525" s="270" t="str">
        <f>_xlfn.IFNA(VLOOKUP(CONCATENATE(AL$4,$C525),'INSER DATA'!$A:$F,7,0),"")</f>
        <v/>
      </c>
      <c r="AM525" s="270" t="str">
        <f>_xlfn.IFNA(VLOOKUP(CONCATENATE(AM$4,$C525),'INSER DATA'!$A:$F,7,0),"")</f>
        <v/>
      </c>
      <c r="AN525" s="270" t="str">
        <f>_xlfn.IFNA(VLOOKUP(CONCATENATE(AN$4,$C525),'INSER DATA'!$A:$F,7,0),"")</f>
        <v/>
      </c>
      <c r="AO525" s="270" t="str">
        <f>_xlfn.IFNA(VLOOKUP(CONCATENATE(AO$4,$C525),'INSER DATA'!$A:$F,7,0),"")</f>
        <v/>
      </c>
      <c r="AP525" s="270" t="str">
        <f>_xlfn.IFNA(VLOOKUP(CONCATENATE(AP$4,$C525),'INSER DATA'!$A:$F,7,0),"")</f>
        <v/>
      </c>
      <c r="AQ525" s="270" t="str">
        <f>_xlfn.IFNA(VLOOKUP(CONCATENATE(AQ$4,$C525),'INSER DATA'!$A:$F,7,0),"")</f>
        <v/>
      </c>
      <c r="AR525" s="270" t="str">
        <f>_xlfn.IFNA(VLOOKUP(CONCATENATE(AR$4,$C525),'INSER DATA'!$A:$F,7,0),"")</f>
        <v/>
      </c>
      <c r="AS525" s="270" t="str">
        <f>_xlfn.IFNA(VLOOKUP(CONCATENATE(AS$4,$C525),'INSER DATA'!$A:$F,7,0),"")</f>
        <v/>
      </c>
      <c r="AT525" s="270" t="str">
        <f>_xlfn.IFNA(VLOOKUP(CONCATENATE(AT$4,$C525),'INSER DATA'!$A:$F,7,0),"")</f>
        <v/>
      </c>
      <c r="AU525" s="270" t="str">
        <f>_xlfn.IFNA(VLOOKUP(CONCATENATE(AU$4,$C525),'INSER DATA'!$A:$F,7,0),"")</f>
        <v/>
      </c>
      <c r="AV525" s="270" t="str">
        <f>_xlfn.IFNA(VLOOKUP(CONCATENATE(AV$4,$C525),'INSER DATA'!$A:$F,7,0),"")</f>
        <v/>
      </c>
      <c r="AW525" s="270" t="str">
        <f>_xlfn.IFNA(VLOOKUP(CONCATENATE(AW$4,$C525),'INSER DATA'!$A:$F,7,0),"")</f>
        <v/>
      </c>
      <c r="AX525" s="270" t="str">
        <f>_xlfn.IFNA(VLOOKUP(CONCATENATE(AX$4,$C525),'INSER DATA'!$A:$F,7,0),"")</f>
        <v/>
      </c>
      <c r="AY525" s="270" t="str">
        <f>_xlfn.IFNA(VLOOKUP(CONCATENATE(AY$4,$C525),'INSER DATA'!$A:$F,7,0),"")</f>
        <v/>
      </c>
      <c r="AZ525" s="270" t="str">
        <f>_xlfn.IFNA(VLOOKUP(CONCATENATE(AZ$4,$C525),'INSER DATA'!$A:$F,7,0),"")</f>
        <v/>
      </c>
      <c r="BA525" s="270" t="str">
        <f>_xlfn.IFNA(VLOOKUP(CONCATENATE(BA$4,$C525),'INSER DATA'!$A:$F,7,0),"")</f>
        <v/>
      </c>
      <c r="BB525" s="270" t="str">
        <f>_xlfn.IFNA(VLOOKUP(CONCATENATE(BB$4,$C525),'INSER DATA'!$A:$F,7,0),"")</f>
        <v/>
      </c>
      <c r="BC525" s="270" t="str">
        <f>_xlfn.IFNA(VLOOKUP(CONCATENATE(BC$4,$C525),'INSER DATA'!$A:$F,7,0),"")</f>
        <v/>
      </c>
      <c r="BD525" s="270" t="str">
        <f>_xlfn.IFNA(VLOOKUP(CONCATENATE(BD$4,$C525),'INSER DATA'!$A:$F,7,0),"")</f>
        <v/>
      </c>
      <c r="BE525" s="270" t="str">
        <f>_xlfn.IFNA(VLOOKUP(CONCATENATE(BE$4,$C525),'INSER DATA'!$A:$F,7,0),"")</f>
        <v/>
      </c>
      <c r="BF525" s="270" t="str">
        <f>_xlfn.IFNA(VLOOKUP(CONCATENATE(BF$4,$C525),'INSER DATA'!$A:$F,7,0),"")</f>
        <v/>
      </c>
      <c r="BG525" s="270" t="str">
        <f>_xlfn.IFNA(VLOOKUP(CONCATENATE(BG$4,$C525),'INSER DATA'!$A:$F,7,0),"")</f>
        <v/>
      </c>
      <c r="BH525" s="270" t="str">
        <f>_xlfn.IFNA(VLOOKUP(CONCATENATE(BH$4,$C525),'INSER DATA'!$A:$F,7,0),"")</f>
        <v/>
      </c>
      <c r="BI525" s="270" t="str">
        <f>_xlfn.IFNA(VLOOKUP(CONCATENATE(BI$4,$C525),'INSER DATA'!$A:$F,7,0),"")</f>
        <v/>
      </c>
      <c r="BJ525" s="270" t="str">
        <f>_xlfn.IFNA(VLOOKUP(CONCATENATE(BJ$4,$C525),'INSER DATA'!$A:$F,7,0),"")</f>
        <v/>
      </c>
      <c r="BK525" s="270" t="str">
        <f>_xlfn.IFNA(VLOOKUP(CONCATENATE(BK$4,$C525),'INSER DATA'!$A:$F,7,0),"")</f>
        <v/>
      </c>
      <c r="BL525" s="272"/>
      <c r="BM525" s="30"/>
      <c r="BN525" s="30"/>
      <c r="BO525" s="30"/>
      <c r="BP525" s="30"/>
      <c r="BQ525" s="30"/>
      <c r="BR525" s="30"/>
      <c r="BS525" s="30"/>
      <c r="BT525" s="30"/>
      <c r="BU525" s="30"/>
      <c r="BV525" s="30"/>
      <c r="BW525" s="30"/>
      <c r="BX525" s="30"/>
      <c r="BY525" s="30"/>
      <c r="BZ525" s="30"/>
      <c r="CA525" s="30"/>
      <c r="CB525" s="30"/>
      <c r="CC525" s="30"/>
      <c r="CD525" s="30"/>
      <c r="CE525" s="30"/>
      <c r="CF525" s="30"/>
      <c r="CG525" s="30"/>
      <c r="CH525" s="30"/>
      <c r="CI525" s="30"/>
      <c r="CJ525" s="30"/>
      <c r="CK525" s="30"/>
      <c r="CL525" s="30"/>
      <c r="CM525" s="30"/>
      <c r="CN525" s="30"/>
      <c r="CO525" s="30"/>
      <c r="CP525" s="30"/>
      <c r="CQ525" s="30"/>
      <c r="CR525" s="30"/>
      <c r="CS525" s="30"/>
      <c r="CT525" s="30"/>
      <c r="CU525" s="30"/>
      <c r="CV525" s="30"/>
      <c r="CW525" s="30"/>
      <c r="CX525" s="30"/>
      <c r="CY525" s="30"/>
      <c r="CZ525" s="30"/>
      <c r="DA525" s="30"/>
    </row>
    <row r="526" spans="1:105" ht="19.2" thickTop="1" thickBot="1" x14ac:dyDescent="0.4">
      <c r="A526" s="30"/>
      <c r="B526" s="30"/>
      <c r="C526" s="188" t="s">
        <v>1053</v>
      </c>
      <c r="D526" s="187" t="s">
        <v>810</v>
      </c>
      <c r="E526" s="35" t="str">
        <f>_xlfn.XLOOKUP(Tabella4[[#This Row],[NOME]],'ROSE SQUADRE'!$N$3:$N$253,'ROSE SQUADRE'!$O$3:$O$253,"")</f>
        <v/>
      </c>
      <c r="F526" s="36" t="s">
        <v>162</v>
      </c>
      <c r="G526" s="43"/>
      <c r="H526" s="43"/>
      <c r="I526" s="44">
        <f t="shared" si="51"/>
        <v>0</v>
      </c>
      <c r="J526" s="37">
        <f t="shared" si="52"/>
        <v>2</v>
      </c>
      <c r="K526" s="178">
        <f t="shared" si="53"/>
        <v>5.5</v>
      </c>
      <c r="L526" s="178">
        <f t="shared" si="54"/>
        <v>5.5</v>
      </c>
      <c r="M526" s="179">
        <f t="shared" si="55"/>
        <v>11</v>
      </c>
      <c r="N526" s="45">
        <f t="shared" ca="1" si="50"/>
        <v>0</v>
      </c>
      <c r="O526" s="40">
        <f>SUMIF(Tabella1[Nome],Tabella4[[#This Row],[NOME]],Tabella1[Gf])</f>
        <v>0</v>
      </c>
      <c r="P526" s="40">
        <f>-(SUMIF(Tabella1[Nome],Tabella4[[#This Row],[NOME]],Tabella1[Gs]))</f>
        <v>0</v>
      </c>
      <c r="Q526" s="40">
        <f>SUMIF(Tabella1[Nome],Tabella4[[#This Row],[NOME]],Tabella1[Rp])</f>
        <v>0</v>
      </c>
      <c r="R526" s="40">
        <f>SUMIF(Tabella1[Nome],Tabella4[[#This Row],[NOME]],Tabella1[Rs])</f>
        <v>0</v>
      </c>
      <c r="S526" s="40">
        <f>SUMIF(Tabella1[Nome],Tabella4[[#This Row],[NOME]],Tabella1[Rf])</f>
        <v>0</v>
      </c>
      <c r="T526" s="40">
        <f>SUMIF(Tabella1[Nome],Tabella4[[#This Row],[NOME]],Tabella1[Au])</f>
        <v>0</v>
      </c>
      <c r="U526" s="41">
        <f>SUMIF(Tabella1[Nome],Tabella4[[#This Row],[NOME]],Tabella1[Amm])</f>
        <v>0</v>
      </c>
      <c r="V526" s="42">
        <f>SUMIF(Tabella1[Nome],Tabella4[[#This Row],[NOME]],Tabella1[Esp])</f>
        <v>0</v>
      </c>
      <c r="W526" s="40">
        <f>SUMIF(Tabella1[Nome],Tabella4[[#This Row],[NOME]],Tabella1[Ass])</f>
        <v>0</v>
      </c>
      <c r="X526" s="40">
        <f>SUMIF(Tabella1[Nome],Tabella4[[#This Row],[NOME]],Tabella1[Gdv])</f>
        <v>0</v>
      </c>
      <c r="Y526" s="40">
        <f>SUMIF(Tabella1[Nome],Tabella4[[#This Row],[NOME]],Tabella1[cl sh])</f>
        <v>0</v>
      </c>
      <c r="Z526" s="270" t="str">
        <f>_xlfn.IFNA(_xlfn.XLOOKUP(CONCATENATE(Z$4,$C526),Tabella1[CONC X VOTI IN TAB GIOC],Tabella1[Voto],""),"")</f>
        <v/>
      </c>
      <c r="AA526" s="270" t="str">
        <f>_xlfn.IFNA(_xlfn.XLOOKUP(CONCATENATE(AA$4,$C526),Tabella1[CONC X VOTI IN TAB GIOC],Tabella1[Voto],""),"")</f>
        <v/>
      </c>
      <c r="AB526" s="270">
        <f>_xlfn.IFNA(_xlfn.XLOOKUP(CONCATENATE(AB$4,$C526),Tabella1[CONC X VOTI IN TAB GIOC],Tabella1[Voto]),"")</f>
        <v>5.5</v>
      </c>
      <c r="AC526" s="270" cm="1">
        <f t="array" ref="AC526">_xlfn.IFNA(_xlfn.XLOOKUP(CONCATENATE(AC$4,$C526),INDEX(Tabella1[],0,MATCH("CONC X VOTI IN TAB GIOC",Tabella1[#Headers],0)),INDEX(Tabella1[],0,MATCH("Voto",Tabella1[#Headers],0))),"")</f>
        <v>5.5</v>
      </c>
      <c r="AD526" s="270" t="str">
        <f>_xlfn.IFNA(_xlfn.XLOOKUP(CONCATENATE(AD$4,$C526),Tabella1[CONC X VOTI IN TAB GIOC],Tabella1[Voto]),"")</f>
        <v/>
      </c>
      <c r="AE526" s="270" t="str">
        <f>_xlfn.IFNA(VLOOKUP(CONCATENATE(AE$4,$C526),'INSER DATA'!$A:$F,6,0),"")</f>
        <v/>
      </c>
      <c r="AF526" s="270" t="str">
        <f>_xlfn.IFNA(VLOOKUP(CONCATENATE(AF$4,$C526),'INSER DATA'!$A:$F,6,0),"")</f>
        <v/>
      </c>
      <c r="AG526" s="270" t="str">
        <f>_xlfn.IFNA(VLOOKUP(CONCATENATE(AG$4,$C526),'INSER DATA'!$A:$F,6,0),"")</f>
        <v/>
      </c>
      <c r="AH526" s="270" t="str">
        <f>_xlfn.IFNA(VLOOKUP(CONCATENATE(AH$4,$C526),'INSER DATA'!$A:$F,7,0),"")</f>
        <v/>
      </c>
      <c r="AI526" s="270" t="str">
        <f>_xlfn.IFNA(VLOOKUP(CONCATENATE(AI$4,$C526),'INSER DATA'!$A:$F,7,0),"")</f>
        <v/>
      </c>
      <c r="AJ526" s="270" t="str">
        <f>_xlfn.IFNA(VLOOKUP(CONCATENATE(AJ$4,$C526),'INSER DATA'!$A:$F,7,0),"")</f>
        <v/>
      </c>
      <c r="AK526" s="270" t="str">
        <f>_xlfn.IFNA(VLOOKUP(CONCATENATE(AK$4,$C526),'INSER DATA'!$A:$F,7,0),"")</f>
        <v/>
      </c>
      <c r="AL526" s="270" t="str">
        <f>_xlfn.IFNA(VLOOKUP(CONCATENATE(AL$4,$C526),'INSER DATA'!$A:$F,7,0),"")</f>
        <v/>
      </c>
      <c r="AM526" s="270" t="str">
        <f>_xlfn.IFNA(VLOOKUP(CONCATENATE(AM$4,$C526),'INSER DATA'!$A:$F,7,0),"")</f>
        <v/>
      </c>
      <c r="AN526" s="270" t="str">
        <f>_xlfn.IFNA(VLOOKUP(CONCATENATE(AN$4,$C526),'INSER DATA'!$A:$F,7,0),"")</f>
        <v/>
      </c>
      <c r="AO526" s="270" t="str">
        <f>_xlfn.IFNA(VLOOKUP(CONCATENATE(AO$4,$C526),'INSER DATA'!$A:$F,7,0),"")</f>
        <v/>
      </c>
      <c r="AP526" s="270" t="str">
        <f>_xlfn.IFNA(VLOOKUP(CONCATENATE(AP$4,$C526),'INSER DATA'!$A:$F,7,0),"")</f>
        <v/>
      </c>
      <c r="AQ526" s="270" t="str">
        <f>_xlfn.IFNA(VLOOKUP(CONCATENATE(AQ$4,$C526),'INSER DATA'!$A:$F,7,0),"")</f>
        <v/>
      </c>
      <c r="AR526" s="270" t="str">
        <f>_xlfn.IFNA(VLOOKUP(CONCATENATE(AR$4,$C526),'INSER DATA'!$A:$F,7,0),"")</f>
        <v/>
      </c>
      <c r="AS526" s="270" t="str">
        <f>_xlfn.IFNA(VLOOKUP(CONCATENATE(AS$4,$C526),'INSER DATA'!$A:$F,7,0),"")</f>
        <v/>
      </c>
      <c r="AT526" s="270" t="str">
        <f>_xlfn.IFNA(VLOOKUP(CONCATENATE(AT$4,$C526),'INSER DATA'!$A:$F,7,0),"")</f>
        <v/>
      </c>
      <c r="AU526" s="270" t="str">
        <f>_xlfn.IFNA(VLOOKUP(CONCATENATE(AU$4,$C526),'INSER DATA'!$A:$F,7,0),"")</f>
        <v/>
      </c>
      <c r="AV526" s="270" t="str">
        <f>_xlfn.IFNA(VLOOKUP(CONCATENATE(AV$4,$C526),'INSER DATA'!$A:$F,7,0),"")</f>
        <v/>
      </c>
      <c r="AW526" s="270" t="str">
        <f>_xlfn.IFNA(VLOOKUP(CONCATENATE(AW$4,$C526),'INSER DATA'!$A:$F,7,0),"")</f>
        <v/>
      </c>
      <c r="AX526" s="270" t="str">
        <f>_xlfn.IFNA(VLOOKUP(CONCATENATE(AX$4,$C526),'INSER DATA'!$A:$F,7,0),"")</f>
        <v/>
      </c>
      <c r="AY526" s="270" t="str">
        <f>_xlfn.IFNA(VLOOKUP(CONCATENATE(AY$4,$C526),'INSER DATA'!$A:$F,7,0),"")</f>
        <v/>
      </c>
      <c r="AZ526" s="270" t="str">
        <f>_xlfn.IFNA(VLOOKUP(CONCATENATE(AZ$4,$C526),'INSER DATA'!$A:$F,7,0),"")</f>
        <v/>
      </c>
      <c r="BA526" s="270" t="str">
        <f>_xlfn.IFNA(VLOOKUP(CONCATENATE(BA$4,$C526),'INSER DATA'!$A:$F,7,0),"")</f>
        <v/>
      </c>
      <c r="BB526" s="270" t="str">
        <f>_xlfn.IFNA(VLOOKUP(CONCATENATE(BB$4,$C526),'INSER DATA'!$A:$F,7,0),"")</f>
        <v/>
      </c>
      <c r="BC526" s="270" t="str">
        <f>_xlfn.IFNA(VLOOKUP(CONCATENATE(BC$4,$C526),'INSER DATA'!$A:$F,7,0),"")</f>
        <v/>
      </c>
      <c r="BD526" s="270" t="str">
        <f>_xlfn.IFNA(VLOOKUP(CONCATENATE(BD$4,$C526),'INSER DATA'!$A:$F,7,0),"")</f>
        <v/>
      </c>
      <c r="BE526" s="270" t="str">
        <f>_xlfn.IFNA(VLOOKUP(CONCATENATE(BE$4,$C526),'INSER DATA'!$A:$F,7,0),"")</f>
        <v/>
      </c>
      <c r="BF526" s="270" t="str">
        <f>_xlfn.IFNA(VLOOKUP(CONCATENATE(BF$4,$C526),'INSER DATA'!$A:$F,7,0),"")</f>
        <v/>
      </c>
      <c r="BG526" s="270" t="str">
        <f>_xlfn.IFNA(VLOOKUP(CONCATENATE(BG$4,$C526),'INSER DATA'!$A:$F,7,0),"")</f>
        <v/>
      </c>
      <c r="BH526" s="270" t="str">
        <f>_xlfn.IFNA(VLOOKUP(CONCATENATE(BH$4,$C526),'INSER DATA'!$A:$F,7,0),"")</f>
        <v/>
      </c>
      <c r="BI526" s="270" t="str">
        <f>_xlfn.IFNA(VLOOKUP(CONCATENATE(BI$4,$C526),'INSER DATA'!$A:$F,7,0),"")</f>
        <v/>
      </c>
      <c r="BJ526" s="270" t="str">
        <f>_xlfn.IFNA(VLOOKUP(CONCATENATE(BJ$4,$C526),'INSER DATA'!$A:$F,7,0),"")</f>
        <v/>
      </c>
      <c r="BK526" s="270" t="str">
        <f>_xlfn.IFNA(VLOOKUP(CONCATENATE(BK$4,$C526),'INSER DATA'!$A:$F,7,0),"")</f>
        <v/>
      </c>
      <c r="BL526" s="272"/>
      <c r="BM526" s="30"/>
      <c r="BN526" s="30"/>
      <c r="BO526" s="30"/>
      <c r="BP526" s="30"/>
      <c r="BQ526" s="30"/>
      <c r="BR526" s="30"/>
      <c r="BS526" s="30"/>
      <c r="BT526" s="30"/>
      <c r="BU526" s="30"/>
      <c r="BV526" s="30"/>
      <c r="BW526" s="30"/>
      <c r="BX526" s="30"/>
      <c r="BY526" s="30"/>
      <c r="BZ526" s="30"/>
      <c r="CA526" s="30"/>
      <c r="CB526" s="30"/>
      <c r="CC526" s="30"/>
      <c r="CD526" s="30"/>
      <c r="CE526" s="30"/>
      <c r="CF526" s="30"/>
      <c r="CG526" s="30"/>
      <c r="CH526" s="30"/>
      <c r="CI526" s="30"/>
      <c r="CJ526" s="30"/>
      <c r="CK526" s="30"/>
      <c r="CL526" s="30"/>
      <c r="CM526" s="30"/>
      <c r="CN526" s="30"/>
      <c r="CO526" s="30"/>
      <c r="CP526" s="30"/>
      <c r="CQ526" s="30"/>
      <c r="CR526" s="30"/>
      <c r="CS526" s="30"/>
      <c r="CT526" s="30"/>
      <c r="CU526" s="30"/>
      <c r="CV526" s="30"/>
      <c r="CW526" s="30"/>
      <c r="CX526" s="30"/>
      <c r="CY526" s="30"/>
      <c r="CZ526" s="30"/>
      <c r="DA526" s="30"/>
    </row>
    <row r="527" spans="1:105" ht="19.2" thickTop="1" thickBot="1" x14ac:dyDescent="0.4">
      <c r="A527" s="30"/>
      <c r="B527" s="30"/>
      <c r="C527" s="188" t="s">
        <v>1038</v>
      </c>
      <c r="D527" s="187" t="s">
        <v>860</v>
      </c>
      <c r="E527" s="35" t="str">
        <f>_xlfn.XLOOKUP(Tabella4[[#This Row],[NOME]],'ROSE SQUADRE'!$N$3:$N$253,'ROSE SQUADRE'!$O$3:$O$253,"")</f>
        <v>AC ASPARAGHESE</v>
      </c>
      <c r="F527" s="36" t="s">
        <v>161</v>
      </c>
      <c r="G527" s="43"/>
      <c r="H527" s="43"/>
      <c r="I527" s="44">
        <f t="shared" si="51"/>
        <v>0</v>
      </c>
      <c r="J527" s="37">
        <f t="shared" si="52"/>
        <v>1</v>
      </c>
      <c r="K527" s="178">
        <f t="shared" si="53"/>
        <v>5</v>
      </c>
      <c r="L527" s="178">
        <f t="shared" si="54"/>
        <v>5</v>
      </c>
      <c r="M527" s="179">
        <f t="shared" si="55"/>
        <v>5</v>
      </c>
      <c r="N527" s="45">
        <f t="shared" ca="1" si="50"/>
        <v>0</v>
      </c>
      <c r="O527" s="40">
        <f>SUMIF(Tabella1[Nome],Tabella4[[#This Row],[NOME]],Tabella1[Gf])</f>
        <v>0</v>
      </c>
      <c r="P527" s="40">
        <f>-(SUMIF(Tabella1[Nome],Tabella4[[#This Row],[NOME]],Tabella1[Gs]))</f>
        <v>0</v>
      </c>
      <c r="Q527" s="40">
        <f>SUMIF(Tabella1[Nome],Tabella4[[#This Row],[NOME]],Tabella1[Rp])</f>
        <v>0</v>
      </c>
      <c r="R527" s="40">
        <f>SUMIF(Tabella1[Nome],Tabella4[[#This Row],[NOME]],Tabella1[Rs])</f>
        <v>0</v>
      </c>
      <c r="S527" s="40">
        <f>SUMIF(Tabella1[Nome],Tabella4[[#This Row],[NOME]],Tabella1[Rf])</f>
        <v>0</v>
      </c>
      <c r="T527" s="40">
        <f>SUMIF(Tabella1[Nome],Tabella4[[#This Row],[NOME]],Tabella1[Au])</f>
        <v>0</v>
      </c>
      <c r="U527" s="41">
        <f>SUMIF(Tabella1[Nome],Tabella4[[#This Row],[NOME]],Tabella1[Amm])</f>
        <v>0</v>
      </c>
      <c r="V527" s="42">
        <f>SUMIF(Tabella1[Nome],Tabella4[[#This Row],[NOME]],Tabella1[Esp])</f>
        <v>0</v>
      </c>
      <c r="W527" s="40">
        <f>SUMIF(Tabella1[Nome],Tabella4[[#This Row],[NOME]],Tabella1[Ass])</f>
        <v>0</v>
      </c>
      <c r="X527" s="40">
        <f>SUMIF(Tabella1[Nome],Tabella4[[#This Row],[NOME]],Tabella1[Gdv])</f>
        <v>0</v>
      </c>
      <c r="Y527" s="40">
        <f>SUMIF(Tabella1[Nome],Tabella4[[#This Row],[NOME]],Tabella1[cl sh])</f>
        <v>0</v>
      </c>
      <c r="Z527" s="270" t="str">
        <f>_xlfn.IFNA(_xlfn.XLOOKUP(CONCATENATE(Z$4,$C527),Tabella1[CONC X VOTI IN TAB GIOC],Tabella1[Voto],""),"")</f>
        <v/>
      </c>
      <c r="AA527" s="270" t="str">
        <f>_xlfn.IFNA(_xlfn.XLOOKUP(CONCATENATE(AA$4,$C527),Tabella1[CONC X VOTI IN TAB GIOC],Tabella1[Voto],""),"")</f>
        <v/>
      </c>
      <c r="AB527" s="270">
        <f>_xlfn.IFNA(_xlfn.XLOOKUP(CONCATENATE(AB$4,$C527),Tabella1[CONC X VOTI IN TAB GIOC],Tabella1[Voto]),"")</f>
        <v>5</v>
      </c>
      <c r="AC527" s="270" t="str" cm="1">
        <f t="array" ref="AC527">_xlfn.IFNA(_xlfn.XLOOKUP(CONCATENATE(AC$4,$C527),INDEX(Tabella1[],0,MATCH("CONC X VOTI IN TAB GIOC",Tabella1[#Headers],0)),INDEX(Tabella1[],0,MATCH("Voto",Tabella1[#Headers],0))),"")</f>
        <v/>
      </c>
      <c r="AD527" s="270" t="str">
        <f>_xlfn.IFNA(_xlfn.XLOOKUP(CONCATENATE(AD$4,$C527),Tabella1[CONC X VOTI IN TAB GIOC],Tabella1[Voto]),"")</f>
        <v/>
      </c>
      <c r="AE527" s="270" t="str">
        <f>_xlfn.IFNA(VLOOKUP(CONCATENATE(AE$4,$C527),'INSER DATA'!$A:$F,6,0),"")</f>
        <v/>
      </c>
      <c r="AF527" s="270" t="str">
        <f>_xlfn.IFNA(VLOOKUP(CONCATENATE(AF$4,$C527),'INSER DATA'!$A:$F,6,0),"")</f>
        <v/>
      </c>
      <c r="AG527" s="270" t="str">
        <f>_xlfn.IFNA(VLOOKUP(CONCATENATE(AG$4,$C527),'INSER DATA'!$A:$F,6,0),"")</f>
        <v/>
      </c>
      <c r="AH527" s="270" t="str">
        <f>_xlfn.IFNA(VLOOKUP(CONCATENATE(AH$4,$C527),'INSER DATA'!$A:$F,7,0),"")</f>
        <v/>
      </c>
      <c r="AI527" s="270" t="str">
        <f>_xlfn.IFNA(VLOOKUP(CONCATENATE(AI$4,$C527),'INSER DATA'!$A:$F,7,0),"")</f>
        <v/>
      </c>
      <c r="AJ527" s="270" t="str">
        <f>_xlfn.IFNA(VLOOKUP(CONCATENATE(AJ$4,$C527),'INSER DATA'!$A:$F,7,0),"")</f>
        <v/>
      </c>
      <c r="AK527" s="270" t="str">
        <f>_xlfn.IFNA(VLOOKUP(CONCATENATE(AK$4,$C527),'INSER DATA'!$A:$F,7,0),"")</f>
        <v/>
      </c>
      <c r="AL527" s="270" t="str">
        <f>_xlfn.IFNA(VLOOKUP(CONCATENATE(AL$4,$C527),'INSER DATA'!$A:$F,7,0),"")</f>
        <v/>
      </c>
      <c r="AM527" s="270" t="str">
        <f>_xlfn.IFNA(VLOOKUP(CONCATENATE(AM$4,$C527),'INSER DATA'!$A:$F,7,0),"")</f>
        <v/>
      </c>
      <c r="AN527" s="270" t="str">
        <f>_xlfn.IFNA(VLOOKUP(CONCATENATE(AN$4,$C527),'INSER DATA'!$A:$F,7,0),"")</f>
        <v/>
      </c>
      <c r="AO527" s="270" t="str">
        <f>_xlfn.IFNA(VLOOKUP(CONCATENATE(AO$4,$C527),'INSER DATA'!$A:$F,7,0),"")</f>
        <v/>
      </c>
      <c r="AP527" s="270" t="str">
        <f>_xlfn.IFNA(VLOOKUP(CONCATENATE(AP$4,$C527),'INSER DATA'!$A:$F,7,0),"")</f>
        <v/>
      </c>
      <c r="AQ527" s="270" t="str">
        <f>_xlfn.IFNA(VLOOKUP(CONCATENATE(AQ$4,$C527),'INSER DATA'!$A:$F,7,0),"")</f>
        <v/>
      </c>
      <c r="AR527" s="270" t="str">
        <f>_xlfn.IFNA(VLOOKUP(CONCATENATE(AR$4,$C527),'INSER DATA'!$A:$F,7,0),"")</f>
        <v/>
      </c>
      <c r="AS527" s="270" t="str">
        <f>_xlfn.IFNA(VLOOKUP(CONCATENATE(AS$4,$C527),'INSER DATA'!$A:$F,7,0),"")</f>
        <v/>
      </c>
      <c r="AT527" s="270" t="str">
        <f>_xlfn.IFNA(VLOOKUP(CONCATENATE(AT$4,$C527),'INSER DATA'!$A:$F,7,0),"")</f>
        <v/>
      </c>
      <c r="AU527" s="270" t="str">
        <f>_xlfn.IFNA(VLOOKUP(CONCATENATE(AU$4,$C527),'INSER DATA'!$A:$F,7,0),"")</f>
        <v/>
      </c>
      <c r="AV527" s="270" t="str">
        <f>_xlfn.IFNA(VLOOKUP(CONCATENATE(AV$4,$C527),'INSER DATA'!$A:$F,7,0),"")</f>
        <v/>
      </c>
      <c r="AW527" s="270" t="str">
        <f>_xlfn.IFNA(VLOOKUP(CONCATENATE(AW$4,$C527),'INSER DATA'!$A:$F,7,0),"")</f>
        <v/>
      </c>
      <c r="AX527" s="270" t="str">
        <f>_xlfn.IFNA(VLOOKUP(CONCATENATE(AX$4,$C527),'INSER DATA'!$A:$F,7,0),"")</f>
        <v/>
      </c>
      <c r="AY527" s="270" t="str">
        <f>_xlfn.IFNA(VLOOKUP(CONCATENATE(AY$4,$C527),'INSER DATA'!$A:$F,7,0),"")</f>
        <v/>
      </c>
      <c r="AZ527" s="270" t="str">
        <f>_xlfn.IFNA(VLOOKUP(CONCATENATE(AZ$4,$C527),'INSER DATA'!$A:$F,7,0),"")</f>
        <v/>
      </c>
      <c r="BA527" s="270" t="str">
        <f>_xlfn.IFNA(VLOOKUP(CONCATENATE(BA$4,$C527),'INSER DATA'!$A:$F,7,0),"")</f>
        <v/>
      </c>
      <c r="BB527" s="270" t="str">
        <f>_xlfn.IFNA(VLOOKUP(CONCATENATE(BB$4,$C527),'INSER DATA'!$A:$F,7,0),"")</f>
        <v/>
      </c>
      <c r="BC527" s="270" t="str">
        <f>_xlfn.IFNA(VLOOKUP(CONCATENATE(BC$4,$C527),'INSER DATA'!$A:$F,7,0),"")</f>
        <v/>
      </c>
      <c r="BD527" s="270" t="str">
        <f>_xlfn.IFNA(VLOOKUP(CONCATENATE(BD$4,$C527),'INSER DATA'!$A:$F,7,0),"")</f>
        <v/>
      </c>
      <c r="BE527" s="270" t="str">
        <f>_xlfn.IFNA(VLOOKUP(CONCATENATE(BE$4,$C527),'INSER DATA'!$A:$F,7,0),"")</f>
        <v/>
      </c>
      <c r="BF527" s="270" t="str">
        <f>_xlfn.IFNA(VLOOKUP(CONCATENATE(BF$4,$C527),'INSER DATA'!$A:$F,7,0),"")</f>
        <v/>
      </c>
      <c r="BG527" s="270" t="str">
        <f>_xlfn.IFNA(VLOOKUP(CONCATENATE(BG$4,$C527),'INSER DATA'!$A:$F,7,0),"")</f>
        <v/>
      </c>
      <c r="BH527" s="270" t="str">
        <f>_xlfn.IFNA(VLOOKUP(CONCATENATE(BH$4,$C527),'INSER DATA'!$A:$F,7,0),"")</f>
        <v/>
      </c>
      <c r="BI527" s="270" t="str">
        <f>_xlfn.IFNA(VLOOKUP(CONCATENATE(BI$4,$C527),'INSER DATA'!$A:$F,7,0),"")</f>
        <v/>
      </c>
      <c r="BJ527" s="270" t="str">
        <f>_xlfn.IFNA(VLOOKUP(CONCATENATE(BJ$4,$C527),'INSER DATA'!$A:$F,7,0),"")</f>
        <v/>
      </c>
      <c r="BK527" s="270" t="str">
        <f>_xlfn.IFNA(VLOOKUP(CONCATENATE(BK$4,$C527),'INSER DATA'!$A:$F,7,0),"")</f>
        <v/>
      </c>
      <c r="BL527" s="272"/>
      <c r="BM527" s="30"/>
      <c r="BN527" s="30"/>
      <c r="BO527" s="30"/>
      <c r="BP527" s="30"/>
      <c r="BQ527" s="30"/>
      <c r="BR527" s="30"/>
      <c r="BS527" s="30"/>
      <c r="BT527" s="30"/>
      <c r="BU527" s="30"/>
      <c r="BV527" s="30"/>
      <c r="BW527" s="30"/>
      <c r="BX527" s="30"/>
      <c r="BY527" s="30"/>
      <c r="BZ527" s="30"/>
      <c r="CA527" s="30"/>
      <c r="CB527" s="30"/>
      <c r="CC527" s="30"/>
      <c r="CD527" s="30"/>
      <c r="CE527" s="30"/>
      <c r="CF527" s="30"/>
      <c r="CG527" s="30"/>
      <c r="CH527" s="30"/>
      <c r="CI527" s="30"/>
      <c r="CJ527" s="30"/>
      <c r="CK527" s="30"/>
      <c r="CL527" s="30"/>
      <c r="CM527" s="30"/>
      <c r="CN527" s="30"/>
      <c r="CO527" s="30"/>
      <c r="CP527" s="30"/>
      <c r="CQ527" s="30"/>
      <c r="CR527" s="30"/>
      <c r="CS527" s="30"/>
      <c r="CT527" s="30"/>
      <c r="CU527" s="30"/>
      <c r="CV527" s="30"/>
      <c r="CW527" s="30"/>
      <c r="CX527" s="30"/>
      <c r="CY527" s="30"/>
      <c r="CZ527" s="30"/>
      <c r="DA527" s="30"/>
    </row>
    <row r="528" spans="1:105" ht="19.2" thickTop="1" thickBot="1" x14ac:dyDescent="0.4">
      <c r="A528" s="30"/>
      <c r="B528" s="30"/>
      <c r="C528" s="188" t="s">
        <v>1054</v>
      </c>
      <c r="D528" s="187" t="s">
        <v>874</v>
      </c>
      <c r="E528" s="35" t="str">
        <f>_xlfn.XLOOKUP(Tabella4[[#This Row],[NOME]],'ROSE SQUADRE'!$N$3:$N$253,'ROSE SQUADRE'!$O$3:$O$253,"")</f>
        <v/>
      </c>
      <c r="F528" s="36" t="s">
        <v>161</v>
      </c>
      <c r="G528" s="43"/>
      <c r="H528" s="43"/>
      <c r="I528" s="44">
        <f t="shared" si="51"/>
        <v>0</v>
      </c>
      <c r="J528" s="37">
        <f t="shared" si="52"/>
        <v>2</v>
      </c>
      <c r="K528" s="178">
        <f t="shared" si="53"/>
        <v>5.5</v>
      </c>
      <c r="L528" s="178">
        <f t="shared" si="54"/>
        <v>5.5</v>
      </c>
      <c r="M528" s="179">
        <f t="shared" si="55"/>
        <v>11</v>
      </c>
      <c r="N528" s="45">
        <f t="shared" ca="1" si="50"/>
        <v>0</v>
      </c>
      <c r="O528" s="40">
        <f>SUMIF(Tabella1[Nome],Tabella4[[#This Row],[NOME]],Tabella1[Gf])</f>
        <v>0</v>
      </c>
      <c r="P528" s="40">
        <f>-(SUMIF(Tabella1[Nome],Tabella4[[#This Row],[NOME]],Tabella1[Gs]))</f>
        <v>0</v>
      </c>
      <c r="Q528" s="40">
        <f>SUMIF(Tabella1[Nome],Tabella4[[#This Row],[NOME]],Tabella1[Rp])</f>
        <v>0</v>
      </c>
      <c r="R528" s="40">
        <f>SUMIF(Tabella1[Nome],Tabella4[[#This Row],[NOME]],Tabella1[Rs])</f>
        <v>0</v>
      </c>
      <c r="S528" s="40">
        <f>SUMIF(Tabella1[Nome],Tabella4[[#This Row],[NOME]],Tabella1[Rf])</f>
        <v>0</v>
      </c>
      <c r="T528" s="40">
        <f>SUMIF(Tabella1[Nome],Tabella4[[#This Row],[NOME]],Tabella1[Au])</f>
        <v>0</v>
      </c>
      <c r="U528" s="41">
        <f>SUMIF(Tabella1[Nome],Tabella4[[#This Row],[NOME]],Tabella1[Amm])</f>
        <v>0</v>
      </c>
      <c r="V528" s="42">
        <f>SUMIF(Tabella1[Nome],Tabella4[[#This Row],[NOME]],Tabella1[Esp])</f>
        <v>0</v>
      </c>
      <c r="W528" s="40">
        <f>SUMIF(Tabella1[Nome],Tabella4[[#This Row],[NOME]],Tabella1[Ass])</f>
        <v>0</v>
      </c>
      <c r="X528" s="40">
        <f>SUMIF(Tabella1[Nome],Tabella4[[#This Row],[NOME]],Tabella1[Gdv])</f>
        <v>0</v>
      </c>
      <c r="Y528" s="40">
        <f>SUMIF(Tabella1[Nome],Tabella4[[#This Row],[NOME]],Tabella1[cl sh])</f>
        <v>0</v>
      </c>
      <c r="Z528" s="270" t="str">
        <f>_xlfn.IFNA(_xlfn.XLOOKUP(CONCATENATE(Z$4,$C528),Tabella1[CONC X VOTI IN TAB GIOC],Tabella1[Voto],""),"")</f>
        <v/>
      </c>
      <c r="AA528" s="270" t="str">
        <f>_xlfn.IFNA(_xlfn.XLOOKUP(CONCATENATE(AA$4,$C528),Tabella1[CONC X VOTI IN TAB GIOC],Tabella1[Voto],""),"")</f>
        <v/>
      </c>
      <c r="AB528" s="270">
        <f>_xlfn.IFNA(_xlfn.XLOOKUP(CONCATENATE(AB$4,$C528),Tabella1[CONC X VOTI IN TAB GIOC],Tabella1[Voto]),"")</f>
        <v>5.5</v>
      </c>
      <c r="AC528" s="270" cm="1">
        <f t="array" ref="AC528">_xlfn.IFNA(_xlfn.XLOOKUP(CONCATENATE(AC$4,$C528),INDEX(Tabella1[],0,MATCH("CONC X VOTI IN TAB GIOC",Tabella1[#Headers],0)),INDEX(Tabella1[],0,MATCH("Voto",Tabella1[#Headers],0))),"")</f>
        <v>5.5</v>
      </c>
      <c r="AD528" s="270" t="str">
        <f>_xlfn.IFNA(_xlfn.XLOOKUP(CONCATENATE(AD$4,$C528),Tabella1[CONC X VOTI IN TAB GIOC],Tabella1[Voto]),"")</f>
        <v/>
      </c>
      <c r="AE528" s="270" t="str">
        <f>_xlfn.IFNA(VLOOKUP(CONCATENATE(AE$4,$C528),'INSER DATA'!$A:$F,6,0),"")</f>
        <v/>
      </c>
      <c r="AF528" s="270" t="str">
        <f>_xlfn.IFNA(VLOOKUP(CONCATENATE(AF$4,$C528),'INSER DATA'!$A:$F,6,0),"")</f>
        <v/>
      </c>
      <c r="AG528" s="270" t="str">
        <f>_xlfn.IFNA(VLOOKUP(CONCATENATE(AG$4,$C528),'INSER DATA'!$A:$F,6,0),"")</f>
        <v/>
      </c>
      <c r="AH528" s="270" t="str">
        <f>_xlfn.IFNA(VLOOKUP(CONCATENATE(AH$4,$C528),'INSER DATA'!$A:$F,7,0),"")</f>
        <v/>
      </c>
      <c r="AI528" s="270" t="str">
        <f>_xlfn.IFNA(VLOOKUP(CONCATENATE(AI$4,$C528),'INSER DATA'!$A:$F,7,0),"")</f>
        <v/>
      </c>
      <c r="AJ528" s="270" t="str">
        <f>_xlfn.IFNA(VLOOKUP(CONCATENATE(AJ$4,$C528),'INSER DATA'!$A:$F,7,0),"")</f>
        <v/>
      </c>
      <c r="AK528" s="270" t="str">
        <f>_xlfn.IFNA(VLOOKUP(CONCATENATE(AK$4,$C528),'INSER DATA'!$A:$F,7,0),"")</f>
        <v/>
      </c>
      <c r="AL528" s="270" t="str">
        <f>_xlfn.IFNA(VLOOKUP(CONCATENATE(AL$4,$C528),'INSER DATA'!$A:$F,7,0),"")</f>
        <v/>
      </c>
      <c r="AM528" s="270" t="str">
        <f>_xlfn.IFNA(VLOOKUP(CONCATENATE(AM$4,$C528),'INSER DATA'!$A:$F,7,0),"")</f>
        <v/>
      </c>
      <c r="AN528" s="270" t="str">
        <f>_xlfn.IFNA(VLOOKUP(CONCATENATE(AN$4,$C528),'INSER DATA'!$A:$F,7,0),"")</f>
        <v/>
      </c>
      <c r="AO528" s="270" t="str">
        <f>_xlfn.IFNA(VLOOKUP(CONCATENATE(AO$4,$C528),'INSER DATA'!$A:$F,7,0),"")</f>
        <v/>
      </c>
      <c r="AP528" s="270" t="str">
        <f>_xlfn.IFNA(VLOOKUP(CONCATENATE(AP$4,$C528),'INSER DATA'!$A:$F,7,0),"")</f>
        <v/>
      </c>
      <c r="AQ528" s="270" t="str">
        <f>_xlfn.IFNA(VLOOKUP(CONCATENATE(AQ$4,$C528),'INSER DATA'!$A:$F,7,0),"")</f>
        <v/>
      </c>
      <c r="AR528" s="270" t="str">
        <f>_xlfn.IFNA(VLOOKUP(CONCATENATE(AR$4,$C528),'INSER DATA'!$A:$F,7,0),"")</f>
        <v/>
      </c>
      <c r="AS528" s="270" t="str">
        <f>_xlfn.IFNA(VLOOKUP(CONCATENATE(AS$4,$C528),'INSER DATA'!$A:$F,7,0),"")</f>
        <v/>
      </c>
      <c r="AT528" s="270" t="str">
        <f>_xlfn.IFNA(VLOOKUP(CONCATENATE(AT$4,$C528),'INSER DATA'!$A:$F,7,0),"")</f>
        <v/>
      </c>
      <c r="AU528" s="270" t="str">
        <f>_xlfn.IFNA(VLOOKUP(CONCATENATE(AU$4,$C528),'INSER DATA'!$A:$F,7,0),"")</f>
        <v/>
      </c>
      <c r="AV528" s="270" t="str">
        <f>_xlfn.IFNA(VLOOKUP(CONCATENATE(AV$4,$C528),'INSER DATA'!$A:$F,7,0),"")</f>
        <v/>
      </c>
      <c r="AW528" s="270" t="str">
        <f>_xlfn.IFNA(VLOOKUP(CONCATENATE(AW$4,$C528),'INSER DATA'!$A:$F,7,0),"")</f>
        <v/>
      </c>
      <c r="AX528" s="270" t="str">
        <f>_xlfn.IFNA(VLOOKUP(CONCATENATE(AX$4,$C528),'INSER DATA'!$A:$F,7,0),"")</f>
        <v/>
      </c>
      <c r="AY528" s="270" t="str">
        <f>_xlfn.IFNA(VLOOKUP(CONCATENATE(AY$4,$C528),'INSER DATA'!$A:$F,7,0),"")</f>
        <v/>
      </c>
      <c r="AZ528" s="270" t="str">
        <f>_xlfn.IFNA(VLOOKUP(CONCATENATE(AZ$4,$C528),'INSER DATA'!$A:$F,7,0),"")</f>
        <v/>
      </c>
      <c r="BA528" s="270" t="str">
        <f>_xlfn.IFNA(VLOOKUP(CONCATENATE(BA$4,$C528),'INSER DATA'!$A:$F,7,0),"")</f>
        <v/>
      </c>
      <c r="BB528" s="270" t="str">
        <f>_xlfn.IFNA(VLOOKUP(CONCATENATE(BB$4,$C528),'INSER DATA'!$A:$F,7,0),"")</f>
        <v/>
      </c>
      <c r="BC528" s="270" t="str">
        <f>_xlfn.IFNA(VLOOKUP(CONCATENATE(BC$4,$C528),'INSER DATA'!$A:$F,7,0),"")</f>
        <v/>
      </c>
      <c r="BD528" s="270" t="str">
        <f>_xlfn.IFNA(VLOOKUP(CONCATENATE(BD$4,$C528),'INSER DATA'!$A:$F,7,0),"")</f>
        <v/>
      </c>
      <c r="BE528" s="270" t="str">
        <f>_xlfn.IFNA(VLOOKUP(CONCATENATE(BE$4,$C528),'INSER DATA'!$A:$F,7,0),"")</f>
        <v/>
      </c>
      <c r="BF528" s="270" t="str">
        <f>_xlfn.IFNA(VLOOKUP(CONCATENATE(BF$4,$C528),'INSER DATA'!$A:$F,7,0),"")</f>
        <v/>
      </c>
      <c r="BG528" s="270" t="str">
        <f>_xlfn.IFNA(VLOOKUP(CONCATENATE(BG$4,$C528),'INSER DATA'!$A:$F,7,0),"")</f>
        <v/>
      </c>
      <c r="BH528" s="270" t="str">
        <f>_xlfn.IFNA(VLOOKUP(CONCATENATE(BH$4,$C528),'INSER DATA'!$A:$F,7,0),"")</f>
        <v/>
      </c>
      <c r="BI528" s="270" t="str">
        <f>_xlfn.IFNA(VLOOKUP(CONCATENATE(BI$4,$C528),'INSER DATA'!$A:$F,7,0),"")</f>
        <v/>
      </c>
      <c r="BJ528" s="270" t="str">
        <f>_xlfn.IFNA(VLOOKUP(CONCATENATE(BJ$4,$C528),'INSER DATA'!$A:$F,7,0),"")</f>
        <v/>
      </c>
      <c r="BK528" s="270" t="str">
        <f>_xlfn.IFNA(VLOOKUP(CONCATENATE(BK$4,$C528),'INSER DATA'!$A:$F,7,0),"")</f>
        <v/>
      </c>
      <c r="BL528" s="272"/>
      <c r="BM528" s="30"/>
      <c r="BN528" s="30"/>
      <c r="BO528" s="30"/>
      <c r="BP528" s="30"/>
      <c r="BQ528" s="30"/>
      <c r="BR528" s="30"/>
      <c r="BS528" s="30"/>
      <c r="BT528" s="30"/>
      <c r="BU528" s="30"/>
      <c r="BV528" s="30"/>
      <c r="BW528" s="30"/>
      <c r="BX528" s="30"/>
      <c r="BY528" s="30"/>
      <c r="BZ528" s="30"/>
      <c r="CA528" s="30"/>
      <c r="CB528" s="30"/>
      <c r="CC528" s="30"/>
      <c r="CD528" s="30"/>
      <c r="CE528" s="30"/>
      <c r="CF528" s="30"/>
      <c r="CG528" s="30"/>
      <c r="CH528" s="30"/>
      <c r="CI528" s="30"/>
      <c r="CJ528" s="30"/>
      <c r="CK528" s="30"/>
      <c r="CL528" s="30"/>
      <c r="CM528" s="30"/>
      <c r="CN528" s="30"/>
      <c r="CO528" s="30"/>
      <c r="CP528" s="30"/>
      <c r="CQ528" s="30"/>
      <c r="CR528" s="30"/>
      <c r="CS528" s="30"/>
      <c r="CT528" s="30"/>
      <c r="CU528" s="30"/>
      <c r="CV528" s="30"/>
      <c r="CW528" s="30"/>
      <c r="CX528" s="30"/>
      <c r="CY528" s="30"/>
      <c r="CZ528" s="30"/>
      <c r="DA528" s="30"/>
    </row>
    <row r="529" spans="1:105" ht="19.2" thickTop="1" thickBot="1" x14ac:dyDescent="0.4">
      <c r="A529" s="30"/>
      <c r="B529" s="30"/>
      <c r="C529" s="188" t="s">
        <v>1055</v>
      </c>
      <c r="D529" s="187" t="s">
        <v>874</v>
      </c>
      <c r="E529" s="35" t="str">
        <f>_xlfn.XLOOKUP(Tabella4[[#This Row],[NOME]],'ROSE SQUADRE'!$N$3:$N$253,'ROSE SQUADRE'!$O$3:$O$253,"")</f>
        <v/>
      </c>
      <c r="F529" s="36" t="s">
        <v>162</v>
      </c>
      <c r="G529" s="43"/>
      <c r="H529" s="43"/>
      <c r="I529" s="44">
        <f t="shared" si="51"/>
        <v>0</v>
      </c>
      <c r="J529" s="37">
        <f t="shared" si="52"/>
        <v>2</v>
      </c>
      <c r="K529" s="178">
        <f t="shared" si="53"/>
        <v>5.75</v>
      </c>
      <c r="L529" s="178">
        <f t="shared" si="54"/>
        <v>5.75</v>
      </c>
      <c r="M529" s="179">
        <f t="shared" si="55"/>
        <v>11.5</v>
      </c>
      <c r="N529" s="45">
        <f t="shared" ca="1" si="50"/>
        <v>0</v>
      </c>
      <c r="O529" s="40">
        <f>SUMIF(Tabella1[Nome],Tabella4[[#This Row],[NOME]],Tabella1[Gf])</f>
        <v>0</v>
      </c>
      <c r="P529" s="40">
        <f>-(SUMIF(Tabella1[Nome],Tabella4[[#This Row],[NOME]],Tabella1[Gs]))</f>
        <v>0</v>
      </c>
      <c r="Q529" s="40">
        <f>SUMIF(Tabella1[Nome],Tabella4[[#This Row],[NOME]],Tabella1[Rp])</f>
        <v>0</v>
      </c>
      <c r="R529" s="40">
        <f>SUMIF(Tabella1[Nome],Tabella4[[#This Row],[NOME]],Tabella1[Rs])</f>
        <v>0</v>
      </c>
      <c r="S529" s="40">
        <f>SUMIF(Tabella1[Nome],Tabella4[[#This Row],[NOME]],Tabella1[Rf])</f>
        <v>0</v>
      </c>
      <c r="T529" s="40">
        <f>SUMIF(Tabella1[Nome],Tabella4[[#This Row],[NOME]],Tabella1[Au])</f>
        <v>0</v>
      </c>
      <c r="U529" s="41">
        <f>SUMIF(Tabella1[Nome],Tabella4[[#This Row],[NOME]],Tabella1[Amm])</f>
        <v>0</v>
      </c>
      <c r="V529" s="42">
        <f>SUMIF(Tabella1[Nome],Tabella4[[#This Row],[NOME]],Tabella1[Esp])</f>
        <v>0</v>
      </c>
      <c r="W529" s="40">
        <f>SUMIF(Tabella1[Nome],Tabella4[[#This Row],[NOME]],Tabella1[Ass])</f>
        <v>0</v>
      </c>
      <c r="X529" s="40">
        <f>SUMIF(Tabella1[Nome],Tabella4[[#This Row],[NOME]],Tabella1[Gdv])</f>
        <v>0</v>
      </c>
      <c r="Y529" s="40">
        <f>SUMIF(Tabella1[Nome],Tabella4[[#This Row],[NOME]],Tabella1[cl sh])</f>
        <v>0</v>
      </c>
      <c r="Z529" s="270" t="str">
        <f>_xlfn.IFNA(_xlfn.XLOOKUP(CONCATENATE(Z$4,$C529),Tabella1[CONC X VOTI IN TAB GIOC],Tabella1[Voto],""),"")</f>
        <v/>
      </c>
      <c r="AA529" s="270" t="str">
        <f>_xlfn.IFNA(_xlfn.XLOOKUP(CONCATENATE(AA$4,$C529),Tabella1[CONC X VOTI IN TAB GIOC],Tabella1[Voto],""),"")</f>
        <v/>
      </c>
      <c r="AB529" s="270">
        <f>_xlfn.IFNA(_xlfn.XLOOKUP(CONCATENATE(AB$4,$C529),Tabella1[CONC X VOTI IN TAB GIOC],Tabella1[Voto]),"")</f>
        <v>6</v>
      </c>
      <c r="AC529" s="270" cm="1">
        <f t="array" ref="AC529">_xlfn.IFNA(_xlfn.XLOOKUP(CONCATENATE(AC$4,$C529),INDEX(Tabella1[],0,MATCH("CONC X VOTI IN TAB GIOC",Tabella1[#Headers],0)),INDEX(Tabella1[],0,MATCH("Voto",Tabella1[#Headers],0))),"")</f>
        <v>5.5</v>
      </c>
      <c r="AD529" s="270" t="str">
        <f>_xlfn.IFNA(_xlfn.XLOOKUP(CONCATENATE(AD$4,$C529),Tabella1[CONC X VOTI IN TAB GIOC],Tabella1[Voto]),"")</f>
        <v/>
      </c>
      <c r="AE529" s="270" t="str">
        <f>_xlfn.IFNA(VLOOKUP(CONCATENATE(AE$4,$C529),'INSER DATA'!$A:$F,6,0),"")</f>
        <v/>
      </c>
      <c r="AF529" s="270" t="str">
        <f>_xlfn.IFNA(VLOOKUP(CONCATENATE(AF$4,$C529),'INSER DATA'!$A:$F,6,0),"")</f>
        <v/>
      </c>
      <c r="AG529" s="270" t="str">
        <f>_xlfn.IFNA(VLOOKUP(CONCATENATE(AG$4,$C529),'INSER DATA'!$A:$F,6,0),"")</f>
        <v/>
      </c>
      <c r="AH529" s="270" t="str">
        <f>_xlfn.IFNA(VLOOKUP(CONCATENATE(AH$4,$C529),'INSER DATA'!$A:$F,7,0),"")</f>
        <v/>
      </c>
      <c r="AI529" s="270" t="str">
        <f>_xlfn.IFNA(VLOOKUP(CONCATENATE(AI$4,$C529),'INSER DATA'!$A:$F,7,0),"")</f>
        <v/>
      </c>
      <c r="AJ529" s="270" t="str">
        <f>_xlfn.IFNA(VLOOKUP(CONCATENATE(AJ$4,$C529),'INSER DATA'!$A:$F,7,0),"")</f>
        <v/>
      </c>
      <c r="AK529" s="270" t="str">
        <f>_xlfn.IFNA(VLOOKUP(CONCATENATE(AK$4,$C529),'INSER DATA'!$A:$F,7,0),"")</f>
        <v/>
      </c>
      <c r="AL529" s="270" t="str">
        <f>_xlfn.IFNA(VLOOKUP(CONCATENATE(AL$4,$C529),'INSER DATA'!$A:$F,7,0),"")</f>
        <v/>
      </c>
      <c r="AM529" s="270" t="str">
        <f>_xlfn.IFNA(VLOOKUP(CONCATENATE(AM$4,$C529),'INSER DATA'!$A:$F,7,0),"")</f>
        <v/>
      </c>
      <c r="AN529" s="270" t="str">
        <f>_xlfn.IFNA(VLOOKUP(CONCATENATE(AN$4,$C529),'INSER DATA'!$A:$F,7,0),"")</f>
        <v/>
      </c>
      <c r="AO529" s="270" t="str">
        <f>_xlfn.IFNA(VLOOKUP(CONCATENATE(AO$4,$C529),'INSER DATA'!$A:$F,7,0),"")</f>
        <v/>
      </c>
      <c r="AP529" s="270" t="str">
        <f>_xlfn.IFNA(VLOOKUP(CONCATENATE(AP$4,$C529),'INSER DATA'!$A:$F,7,0),"")</f>
        <v/>
      </c>
      <c r="AQ529" s="270" t="str">
        <f>_xlfn.IFNA(VLOOKUP(CONCATENATE(AQ$4,$C529),'INSER DATA'!$A:$F,7,0),"")</f>
        <v/>
      </c>
      <c r="AR529" s="270" t="str">
        <f>_xlfn.IFNA(VLOOKUP(CONCATENATE(AR$4,$C529),'INSER DATA'!$A:$F,7,0),"")</f>
        <v/>
      </c>
      <c r="AS529" s="270" t="str">
        <f>_xlfn.IFNA(VLOOKUP(CONCATENATE(AS$4,$C529),'INSER DATA'!$A:$F,7,0),"")</f>
        <v/>
      </c>
      <c r="AT529" s="270" t="str">
        <f>_xlfn.IFNA(VLOOKUP(CONCATENATE(AT$4,$C529),'INSER DATA'!$A:$F,7,0),"")</f>
        <v/>
      </c>
      <c r="AU529" s="270" t="str">
        <f>_xlfn.IFNA(VLOOKUP(CONCATENATE(AU$4,$C529),'INSER DATA'!$A:$F,7,0),"")</f>
        <v/>
      </c>
      <c r="AV529" s="270" t="str">
        <f>_xlfn.IFNA(VLOOKUP(CONCATENATE(AV$4,$C529),'INSER DATA'!$A:$F,7,0),"")</f>
        <v/>
      </c>
      <c r="AW529" s="270" t="str">
        <f>_xlfn.IFNA(VLOOKUP(CONCATENATE(AW$4,$C529),'INSER DATA'!$A:$F,7,0),"")</f>
        <v/>
      </c>
      <c r="AX529" s="270" t="str">
        <f>_xlfn.IFNA(VLOOKUP(CONCATENATE(AX$4,$C529),'INSER DATA'!$A:$F,7,0),"")</f>
        <v/>
      </c>
      <c r="AY529" s="270" t="str">
        <f>_xlfn.IFNA(VLOOKUP(CONCATENATE(AY$4,$C529),'INSER DATA'!$A:$F,7,0),"")</f>
        <v/>
      </c>
      <c r="AZ529" s="270" t="str">
        <f>_xlfn.IFNA(VLOOKUP(CONCATENATE(AZ$4,$C529),'INSER DATA'!$A:$F,7,0),"")</f>
        <v/>
      </c>
      <c r="BA529" s="270" t="str">
        <f>_xlfn.IFNA(VLOOKUP(CONCATENATE(BA$4,$C529),'INSER DATA'!$A:$F,7,0),"")</f>
        <v/>
      </c>
      <c r="BB529" s="270" t="str">
        <f>_xlfn.IFNA(VLOOKUP(CONCATENATE(BB$4,$C529),'INSER DATA'!$A:$F,7,0),"")</f>
        <v/>
      </c>
      <c r="BC529" s="270" t="str">
        <f>_xlfn.IFNA(VLOOKUP(CONCATENATE(BC$4,$C529),'INSER DATA'!$A:$F,7,0),"")</f>
        <v/>
      </c>
      <c r="BD529" s="270" t="str">
        <f>_xlfn.IFNA(VLOOKUP(CONCATENATE(BD$4,$C529),'INSER DATA'!$A:$F,7,0),"")</f>
        <v/>
      </c>
      <c r="BE529" s="270" t="str">
        <f>_xlfn.IFNA(VLOOKUP(CONCATENATE(BE$4,$C529),'INSER DATA'!$A:$F,7,0),"")</f>
        <v/>
      </c>
      <c r="BF529" s="270" t="str">
        <f>_xlfn.IFNA(VLOOKUP(CONCATENATE(BF$4,$C529),'INSER DATA'!$A:$F,7,0),"")</f>
        <v/>
      </c>
      <c r="BG529" s="270" t="str">
        <f>_xlfn.IFNA(VLOOKUP(CONCATENATE(BG$4,$C529),'INSER DATA'!$A:$F,7,0),"")</f>
        <v/>
      </c>
      <c r="BH529" s="270" t="str">
        <f>_xlfn.IFNA(VLOOKUP(CONCATENATE(BH$4,$C529),'INSER DATA'!$A:$F,7,0),"")</f>
        <v/>
      </c>
      <c r="BI529" s="270" t="str">
        <f>_xlfn.IFNA(VLOOKUP(CONCATENATE(BI$4,$C529),'INSER DATA'!$A:$F,7,0),"")</f>
        <v/>
      </c>
      <c r="BJ529" s="270" t="str">
        <f>_xlfn.IFNA(VLOOKUP(CONCATENATE(BJ$4,$C529),'INSER DATA'!$A:$F,7,0),"")</f>
        <v/>
      </c>
      <c r="BK529" s="270" t="str">
        <f>_xlfn.IFNA(VLOOKUP(CONCATENATE(BK$4,$C529),'INSER DATA'!$A:$F,7,0),"")</f>
        <v/>
      </c>
      <c r="BL529" s="272"/>
      <c r="BM529" s="30"/>
      <c r="BN529" s="30"/>
      <c r="BO529" s="30"/>
      <c r="BP529" s="30"/>
      <c r="BQ529" s="30"/>
      <c r="BR529" s="30"/>
      <c r="BS529" s="30"/>
      <c r="BT529" s="30"/>
      <c r="BU529" s="30"/>
      <c r="BV529" s="30"/>
      <c r="BW529" s="30"/>
      <c r="BX529" s="30"/>
      <c r="BY529" s="30"/>
      <c r="BZ529" s="30"/>
      <c r="CA529" s="30"/>
      <c r="CB529" s="30"/>
      <c r="CC529" s="30"/>
      <c r="CD529" s="30"/>
      <c r="CE529" s="30"/>
      <c r="CF529" s="30"/>
      <c r="CG529" s="30"/>
      <c r="CH529" s="30"/>
      <c r="CI529" s="30"/>
      <c r="CJ529" s="30"/>
      <c r="CK529" s="30"/>
      <c r="CL529" s="30"/>
      <c r="CM529" s="30"/>
      <c r="CN529" s="30"/>
      <c r="CO529" s="30"/>
      <c r="CP529" s="30"/>
      <c r="CQ529" s="30"/>
      <c r="CR529" s="30"/>
      <c r="CS529" s="30"/>
      <c r="CT529" s="30"/>
      <c r="CU529" s="30"/>
      <c r="CV529" s="30"/>
      <c r="CW529" s="30"/>
      <c r="CX529" s="30"/>
      <c r="CY529" s="30"/>
      <c r="CZ529" s="30"/>
      <c r="DA529" s="30"/>
    </row>
    <row r="530" spans="1:105" ht="19.2" thickTop="1" thickBot="1" x14ac:dyDescent="0.4">
      <c r="A530" s="30"/>
      <c r="B530" s="30"/>
      <c r="C530" s="188" t="s">
        <v>1056</v>
      </c>
      <c r="D530" s="187" t="s">
        <v>894</v>
      </c>
      <c r="E530" s="35" t="str">
        <f>_xlfn.XLOOKUP(Tabella4[[#This Row],[NOME]],'ROSE SQUADRE'!$N$3:$N$253,'ROSE SQUADRE'!$O$3:$O$253,"")</f>
        <v/>
      </c>
      <c r="F530" s="36" t="s">
        <v>161</v>
      </c>
      <c r="G530" s="43"/>
      <c r="H530" s="43"/>
      <c r="I530" s="44">
        <f t="shared" si="51"/>
        <v>0</v>
      </c>
      <c r="J530" s="37">
        <f t="shared" si="52"/>
        <v>2</v>
      </c>
      <c r="K530" s="178">
        <f t="shared" si="53"/>
        <v>6.75</v>
      </c>
      <c r="L530" s="178">
        <f t="shared" si="54"/>
        <v>6.75</v>
      </c>
      <c r="M530" s="179">
        <f t="shared" si="55"/>
        <v>13.5</v>
      </c>
      <c r="N530" s="45">
        <f t="shared" ca="1" si="50"/>
        <v>0</v>
      </c>
      <c r="O530" s="40">
        <f>SUMIF(Tabella1[Nome],Tabella4[[#This Row],[NOME]],Tabella1[Gf])</f>
        <v>0</v>
      </c>
      <c r="P530" s="40">
        <f>-(SUMIF(Tabella1[Nome],Tabella4[[#This Row],[NOME]],Tabella1[Gs]))</f>
        <v>0</v>
      </c>
      <c r="Q530" s="40">
        <f>SUMIF(Tabella1[Nome],Tabella4[[#This Row],[NOME]],Tabella1[Rp])</f>
        <v>0</v>
      </c>
      <c r="R530" s="40">
        <f>SUMIF(Tabella1[Nome],Tabella4[[#This Row],[NOME]],Tabella1[Rs])</f>
        <v>0</v>
      </c>
      <c r="S530" s="40">
        <f>SUMIF(Tabella1[Nome],Tabella4[[#This Row],[NOME]],Tabella1[Rf])</f>
        <v>0</v>
      </c>
      <c r="T530" s="40">
        <f>SUMIF(Tabella1[Nome],Tabella4[[#This Row],[NOME]],Tabella1[Au])</f>
        <v>0</v>
      </c>
      <c r="U530" s="41">
        <f>SUMIF(Tabella1[Nome],Tabella4[[#This Row],[NOME]],Tabella1[Amm])</f>
        <v>0</v>
      </c>
      <c r="V530" s="42">
        <f>SUMIF(Tabella1[Nome],Tabella4[[#This Row],[NOME]],Tabella1[Esp])</f>
        <v>0</v>
      </c>
      <c r="W530" s="40">
        <f>SUMIF(Tabella1[Nome],Tabella4[[#This Row],[NOME]],Tabella1[Ass])</f>
        <v>0</v>
      </c>
      <c r="X530" s="40">
        <f>SUMIF(Tabella1[Nome],Tabella4[[#This Row],[NOME]],Tabella1[Gdv])</f>
        <v>0</v>
      </c>
      <c r="Y530" s="40">
        <f>SUMIF(Tabella1[Nome],Tabella4[[#This Row],[NOME]],Tabella1[cl sh])</f>
        <v>0</v>
      </c>
      <c r="Z530" s="270" t="str">
        <f>_xlfn.IFNA(_xlfn.XLOOKUP(CONCATENATE(Z$4,$C530),Tabella1[CONC X VOTI IN TAB GIOC],Tabella1[Voto],""),"")</f>
        <v/>
      </c>
      <c r="AA530" s="270" t="str">
        <f>_xlfn.IFNA(_xlfn.XLOOKUP(CONCATENATE(AA$4,$C530),Tabella1[CONC X VOTI IN TAB GIOC],Tabella1[Voto],""),"")</f>
        <v/>
      </c>
      <c r="AB530" s="270">
        <f>_xlfn.IFNA(_xlfn.XLOOKUP(CONCATENATE(AB$4,$C530),Tabella1[CONC X VOTI IN TAB GIOC],Tabella1[Voto]),"")</f>
        <v>6.5</v>
      </c>
      <c r="AC530" s="270" cm="1">
        <f t="array" ref="AC530">_xlfn.IFNA(_xlfn.XLOOKUP(CONCATENATE(AC$4,$C530),INDEX(Tabella1[],0,MATCH("CONC X VOTI IN TAB GIOC",Tabella1[#Headers],0)),INDEX(Tabella1[],0,MATCH("Voto",Tabella1[#Headers],0))),"")</f>
        <v>7</v>
      </c>
      <c r="AD530" s="270" t="str">
        <f>_xlfn.IFNA(_xlfn.XLOOKUP(CONCATENATE(AD$4,$C530),Tabella1[CONC X VOTI IN TAB GIOC],Tabella1[Voto]),"")</f>
        <v/>
      </c>
      <c r="AE530" s="270" t="str">
        <f>_xlfn.IFNA(VLOOKUP(CONCATENATE(AE$4,$C530),'INSER DATA'!$A:$F,6,0),"")</f>
        <v/>
      </c>
      <c r="AF530" s="270" t="str">
        <f>_xlfn.IFNA(VLOOKUP(CONCATENATE(AF$4,$C530),'INSER DATA'!$A:$F,6,0),"")</f>
        <v/>
      </c>
      <c r="AG530" s="270" t="str">
        <f>_xlfn.IFNA(VLOOKUP(CONCATENATE(AG$4,$C530),'INSER DATA'!$A:$F,6,0),"")</f>
        <v/>
      </c>
      <c r="AH530" s="270" t="str">
        <f>_xlfn.IFNA(VLOOKUP(CONCATENATE(AH$4,$C530),'INSER DATA'!$A:$F,7,0),"")</f>
        <v/>
      </c>
      <c r="AI530" s="270" t="str">
        <f>_xlfn.IFNA(VLOOKUP(CONCATENATE(AI$4,$C530),'INSER DATA'!$A:$F,7,0),"")</f>
        <v/>
      </c>
      <c r="AJ530" s="270" t="str">
        <f>_xlfn.IFNA(VLOOKUP(CONCATENATE(AJ$4,$C530),'INSER DATA'!$A:$F,7,0),"")</f>
        <v/>
      </c>
      <c r="AK530" s="270" t="str">
        <f>_xlfn.IFNA(VLOOKUP(CONCATENATE(AK$4,$C530),'INSER DATA'!$A:$F,7,0),"")</f>
        <v/>
      </c>
      <c r="AL530" s="270" t="str">
        <f>_xlfn.IFNA(VLOOKUP(CONCATENATE(AL$4,$C530),'INSER DATA'!$A:$F,7,0),"")</f>
        <v/>
      </c>
      <c r="AM530" s="270" t="str">
        <f>_xlfn.IFNA(VLOOKUP(CONCATENATE(AM$4,$C530),'INSER DATA'!$A:$F,7,0),"")</f>
        <v/>
      </c>
      <c r="AN530" s="270" t="str">
        <f>_xlfn.IFNA(VLOOKUP(CONCATENATE(AN$4,$C530),'INSER DATA'!$A:$F,7,0),"")</f>
        <v/>
      </c>
      <c r="AO530" s="270" t="str">
        <f>_xlfn.IFNA(VLOOKUP(CONCATENATE(AO$4,$C530),'INSER DATA'!$A:$F,7,0),"")</f>
        <v/>
      </c>
      <c r="AP530" s="270" t="str">
        <f>_xlfn.IFNA(VLOOKUP(CONCATENATE(AP$4,$C530),'INSER DATA'!$A:$F,7,0),"")</f>
        <v/>
      </c>
      <c r="AQ530" s="270" t="str">
        <f>_xlfn.IFNA(VLOOKUP(CONCATENATE(AQ$4,$C530),'INSER DATA'!$A:$F,7,0),"")</f>
        <v/>
      </c>
      <c r="AR530" s="270" t="str">
        <f>_xlfn.IFNA(VLOOKUP(CONCATENATE(AR$4,$C530),'INSER DATA'!$A:$F,7,0),"")</f>
        <v/>
      </c>
      <c r="AS530" s="270" t="str">
        <f>_xlfn.IFNA(VLOOKUP(CONCATENATE(AS$4,$C530),'INSER DATA'!$A:$F,7,0),"")</f>
        <v/>
      </c>
      <c r="AT530" s="270" t="str">
        <f>_xlfn.IFNA(VLOOKUP(CONCATENATE(AT$4,$C530),'INSER DATA'!$A:$F,7,0),"")</f>
        <v/>
      </c>
      <c r="AU530" s="270" t="str">
        <f>_xlfn.IFNA(VLOOKUP(CONCATENATE(AU$4,$C530),'INSER DATA'!$A:$F,7,0),"")</f>
        <v/>
      </c>
      <c r="AV530" s="270" t="str">
        <f>_xlfn.IFNA(VLOOKUP(CONCATENATE(AV$4,$C530),'INSER DATA'!$A:$F,7,0),"")</f>
        <v/>
      </c>
      <c r="AW530" s="270" t="str">
        <f>_xlfn.IFNA(VLOOKUP(CONCATENATE(AW$4,$C530),'INSER DATA'!$A:$F,7,0),"")</f>
        <v/>
      </c>
      <c r="AX530" s="270" t="str">
        <f>_xlfn.IFNA(VLOOKUP(CONCATENATE(AX$4,$C530),'INSER DATA'!$A:$F,7,0),"")</f>
        <v/>
      </c>
      <c r="AY530" s="270" t="str">
        <f>_xlfn.IFNA(VLOOKUP(CONCATENATE(AY$4,$C530),'INSER DATA'!$A:$F,7,0),"")</f>
        <v/>
      </c>
      <c r="AZ530" s="270" t="str">
        <f>_xlfn.IFNA(VLOOKUP(CONCATENATE(AZ$4,$C530),'INSER DATA'!$A:$F,7,0),"")</f>
        <v/>
      </c>
      <c r="BA530" s="270" t="str">
        <f>_xlfn.IFNA(VLOOKUP(CONCATENATE(BA$4,$C530),'INSER DATA'!$A:$F,7,0),"")</f>
        <v/>
      </c>
      <c r="BB530" s="270" t="str">
        <f>_xlfn.IFNA(VLOOKUP(CONCATENATE(BB$4,$C530),'INSER DATA'!$A:$F,7,0),"")</f>
        <v/>
      </c>
      <c r="BC530" s="270" t="str">
        <f>_xlfn.IFNA(VLOOKUP(CONCATENATE(BC$4,$C530),'INSER DATA'!$A:$F,7,0),"")</f>
        <v/>
      </c>
      <c r="BD530" s="270" t="str">
        <f>_xlfn.IFNA(VLOOKUP(CONCATENATE(BD$4,$C530),'INSER DATA'!$A:$F,7,0),"")</f>
        <v/>
      </c>
      <c r="BE530" s="270" t="str">
        <f>_xlfn.IFNA(VLOOKUP(CONCATENATE(BE$4,$C530),'INSER DATA'!$A:$F,7,0),"")</f>
        <v/>
      </c>
      <c r="BF530" s="270" t="str">
        <f>_xlfn.IFNA(VLOOKUP(CONCATENATE(BF$4,$C530),'INSER DATA'!$A:$F,7,0),"")</f>
        <v/>
      </c>
      <c r="BG530" s="270" t="str">
        <f>_xlfn.IFNA(VLOOKUP(CONCATENATE(BG$4,$C530),'INSER DATA'!$A:$F,7,0),"")</f>
        <v/>
      </c>
      <c r="BH530" s="270" t="str">
        <f>_xlfn.IFNA(VLOOKUP(CONCATENATE(BH$4,$C530),'INSER DATA'!$A:$F,7,0),"")</f>
        <v/>
      </c>
      <c r="BI530" s="270" t="str">
        <f>_xlfn.IFNA(VLOOKUP(CONCATENATE(BI$4,$C530),'INSER DATA'!$A:$F,7,0),"")</f>
        <v/>
      </c>
      <c r="BJ530" s="270" t="str">
        <f>_xlfn.IFNA(VLOOKUP(CONCATENATE(BJ$4,$C530),'INSER DATA'!$A:$F,7,0),"")</f>
        <v/>
      </c>
      <c r="BK530" s="270" t="str">
        <f>_xlfn.IFNA(VLOOKUP(CONCATENATE(BK$4,$C530),'INSER DATA'!$A:$F,7,0),"")</f>
        <v/>
      </c>
      <c r="BL530" s="272"/>
      <c r="BM530" s="30"/>
      <c r="BN530" s="30"/>
      <c r="BO530" s="30"/>
      <c r="BP530" s="30"/>
      <c r="BQ530" s="30"/>
      <c r="BR530" s="30"/>
      <c r="BS530" s="30"/>
      <c r="BT530" s="30"/>
      <c r="BU530" s="30"/>
      <c r="BV530" s="30"/>
      <c r="BW530" s="30"/>
      <c r="BX530" s="30"/>
      <c r="BY530" s="30"/>
      <c r="BZ530" s="30"/>
      <c r="CA530" s="30"/>
      <c r="CB530" s="30"/>
      <c r="CC530" s="30"/>
      <c r="CD530" s="30"/>
      <c r="CE530" s="30"/>
      <c r="CF530" s="30"/>
      <c r="CG530" s="30"/>
      <c r="CH530" s="30"/>
      <c r="CI530" s="30"/>
      <c r="CJ530" s="30"/>
      <c r="CK530" s="30"/>
      <c r="CL530" s="30"/>
      <c r="CM530" s="30"/>
      <c r="CN530" s="30"/>
      <c r="CO530" s="30"/>
      <c r="CP530" s="30"/>
      <c r="CQ530" s="30"/>
      <c r="CR530" s="30"/>
      <c r="CS530" s="30"/>
      <c r="CT530" s="30"/>
      <c r="CU530" s="30"/>
      <c r="CV530" s="30"/>
      <c r="CW530" s="30"/>
      <c r="CX530" s="30"/>
      <c r="CY530" s="30"/>
      <c r="CZ530" s="30"/>
      <c r="DA530" s="30"/>
    </row>
    <row r="531" spans="1:105" ht="19.2" thickTop="1" thickBot="1" x14ac:dyDescent="0.4">
      <c r="A531" s="30"/>
      <c r="B531" s="30"/>
      <c r="C531" s="188" t="s">
        <v>1046</v>
      </c>
      <c r="D531" s="187" t="s">
        <v>934</v>
      </c>
      <c r="E531" s="35" t="str">
        <f>_xlfn.XLOOKUP(Tabella4[[#This Row],[NOME]],'ROSE SQUADRE'!$N$3:$N$253,'ROSE SQUADRE'!$O$3:$O$253,"")</f>
        <v>AS PIPPERIA</v>
      </c>
      <c r="F531" s="36" t="s">
        <v>5</v>
      </c>
      <c r="G531" s="43"/>
      <c r="H531" s="43"/>
      <c r="I531" s="44">
        <f t="shared" si="51"/>
        <v>0</v>
      </c>
      <c r="J531" s="37">
        <f t="shared" si="52"/>
        <v>2</v>
      </c>
      <c r="K531" s="178">
        <f t="shared" si="53"/>
        <v>5.5</v>
      </c>
      <c r="L531" s="178">
        <f t="shared" si="54"/>
        <v>4</v>
      </c>
      <c r="M531" s="179">
        <f t="shared" si="55"/>
        <v>8</v>
      </c>
      <c r="N531" s="45">
        <f t="shared" ca="1" si="50"/>
        <v>0</v>
      </c>
      <c r="O531" s="40">
        <f>SUMIF(Tabella1[Nome],Tabella4[[#This Row],[NOME]],Tabella1[Gf])</f>
        <v>0</v>
      </c>
      <c r="P531" s="40">
        <f>-(SUMIF(Tabella1[Nome],Tabella4[[#This Row],[NOME]],Tabella1[Gs]))</f>
        <v>-3</v>
      </c>
      <c r="Q531" s="40">
        <f>SUMIF(Tabella1[Nome],Tabella4[[#This Row],[NOME]],Tabella1[Rp])</f>
        <v>0</v>
      </c>
      <c r="R531" s="40">
        <f>SUMIF(Tabella1[Nome],Tabella4[[#This Row],[NOME]],Tabella1[Rs])</f>
        <v>0</v>
      </c>
      <c r="S531" s="40">
        <f>SUMIF(Tabella1[Nome],Tabella4[[#This Row],[NOME]],Tabella1[Rf])</f>
        <v>0</v>
      </c>
      <c r="T531" s="40">
        <f>SUMIF(Tabella1[Nome],Tabella4[[#This Row],[NOME]],Tabella1[Au])</f>
        <v>0</v>
      </c>
      <c r="U531" s="41">
        <f>SUMIF(Tabella1[Nome],Tabella4[[#This Row],[NOME]],Tabella1[Amm])</f>
        <v>0</v>
      </c>
      <c r="V531" s="42">
        <f>SUMIF(Tabella1[Nome],Tabella4[[#This Row],[NOME]],Tabella1[Esp])</f>
        <v>0</v>
      </c>
      <c r="W531" s="40">
        <f>SUMIF(Tabella1[Nome],Tabella4[[#This Row],[NOME]],Tabella1[Ass])</f>
        <v>0</v>
      </c>
      <c r="X531" s="40">
        <f>SUMIF(Tabella1[Nome],Tabella4[[#This Row],[NOME]],Tabella1[Gdv])</f>
        <v>0</v>
      </c>
      <c r="Y531" s="40">
        <f>SUMIF(Tabella1[Nome],Tabella4[[#This Row],[NOME]],Tabella1[cl sh])</f>
        <v>0</v>
      </c>
      <c r="Z531" s="270" t="str">
        <f>_xlfn.IFNA(_xlfn.XLOOKUP(CONCATENATE(Z$4,$C531),Tabella1[CONC X VOTI IN TAB GIOC],Tabella1[Voto],""),"")</f>
        <v/>
      </c>
      <c r="AA531" s="270" t="str">
        <f>_xlfn.IFNA(_xlfn.XLOOKUP(CONCATENATE(AA$4,$C531),Tabella1[CONC X VOTI IN TAB GIOC],Tabella1[Voto],""),"")</f>
        <v/>
      </c>
      <c r="AB531" s="270">
        <f>_xlfn.IFNA(_xlfn.XLOOKUP(CONCATENATE(AB$4,$C531),Tabella1[CONC X VOTI IN TAB GIOC],Tabella1[Voto]),"")</f>
        <v>5.5</v>
      </c>
      <c r="AC531" s="270" cm="1">
        <f t="array" ref="AC531">_xlfn.IFNA(_xlfn.XLOOKUP(CONCATENATE(AC$4,$C531),INDEX(Tabella1[],0,MATCH("CONC X VOTI IN TAB GIOC",Tabella1[#Headers],0)),INDEX(Tabella1[],0,MATCH("Voto",Tabella1[#Headers],0))),"")</f>
        <v>5.5</v>
      </c>
      <c r="AD531" s="270" t="str">
        <f>_xlfn.IFNA(_xlfn.XLOOKUP(CONCATENATE(AD$4,$C531),Tabella1[CONC X VOTI IN TAB GIOC],Tabella1[Voto]),"")</f>
        <v/>
      </c>
      <c r="AE531" s="270" t="str">
        <f>_xlfn.IFNA(VLOOKUP(CONCATENATE(AE$4,$C531),'INSER DATA'!$A:$F,6,0),"")</f>
        <v/>
      </c>
      <c r="AF531" s="270" t="str">
        <f>_xlfn.IFNA(VLOOKUP(CONCATENATE(AF$4,$C531),'INSER DATA'!$A:$F,6,0),"")</f>
        <v/>
      </c>
      <c r="AG531" s="270" t="str">
        <f>_xlfn.IFNA(VLOOKUP(CONCATENATE(AG$4,$C531),'INSER DATA'!$A:$F,6,0),"")</f>
        <v/>
      </c>
      <c r="AH531" s="270" t="str">
        <f>_xlfn.IFNA(VLOOKUP(CONCATENATE(AH$4,$C531),'INSER DATA'!$A:$F,7,0),"")</f>
        <v/>
      </c>
      <c r="AI531" s="270" t="str">
        <f>_xlfn.IFNA(VLOOKUP(CONCATENATE(AI$4,$C531),'INSER DATA'!$A:$F,7,0),"")</f>
        <v/>
      </c>
      <c r="AJ531" s="270" t="str">
        <f>_xlfn.IFNA(VLOOKUP(CONCATENATE(AJ$4,$C531),'INSER DATA'!$A:$F,7,0),"")</f>
        <v/>
      </c>
      <c r="AK531" s="270" t="str">
        <f>_xlfn.IFNA(VLOOKUP(CONCATENATE(AK$4,$C531),'INSER DATA'!$A:$F,7,0),"")</f>
        <v/>
      </c>
      <c r="AL531" s="270" t="str">
        <f>_xlfn.IFNA(VLOOKUP(CONCATENATE(AL$4,$C531),'INSER DATA'!$A:$F,7,0),"")</f>
        <v/>
      </c>
      <c r="AM531" s="270" t="str">
        <f>_xlfn.IFNA(VLOOKUP(CONCATENATE(AM$4,$C531),'INSER DATA'!$A:$F,7,0),"")</f>
        <v/>
      </c>
      <c r="AN531" s="270" t="str">
        <f>_xlfn.IFNA(VLOOKUP(CONCATENATE(AN$4,$C531),'INSER DATA'!$A:$F,7,0),"")</f>
        <v/>
      </c>
      <c r="AO531" s="270" t="str">
        <f>_xlfn.IFNA(VLOOKUP(CONCATENATE(AO$4,$C531),'INSER DATA'!$A:$F,7,0),"")</f>
        <v/>
      </c>
      <c r="AP531" s="270" t="str">
        <f>_xlfn.IFNA(VLOOKUP(CONCATENATE(AP$4,$C531),'INSER DATA'!$A:$F,7,0),"")</f>
        <v/>
      </c>
      <c r="AQ531" s="270" t="str">
        <f>_xlfn.IFNA(VLOOKUP(CONCATENATE(AQ$4,$C531),'INSER DATA'!$A:$F,7,0),"")</f>
        <v/>
      </c>
      <c r="AR531" s="270" t="str">
        <f>_xlfn.IFNA(VLOOKUP(CONCATENATE(AR$4,$C531),'INSER DATA'!$A:$F,7,0),"")</f>
        <v/>
      </c>
      <c r="AS531" s="270" t="str">
        <f>_xlfn.IFNA(VLOOKUP(CONCATENATE(AS$4,$C531),'INSER DATA'!$A:$F,7,0),"")</f>
        <v/>
      </c>
      <c r="AT531" s="270" t="str">
        <f>_xlfn.IFNA(VLOOKUP(CONCATENATE(AT$4,$C531),'INSER DATA'!$A:$F,7,0),"")</f>
        <v/>
      </c>
      <c r="AU531" s="270" t="str">
        <f>_xlfn.IFNA(VLOOKUP(CONCATENATE(AU$4,$C531),'INSER DATA'!$A:$F,7,0),"")</f>
        <v/>
      </c>
      <c r="AV531" s="270" t="str">
        <f>_xlfn.IFNA(VLOOKUP(CONCATENATE(AV$4,$C531),'INSER DATA'!$A:$F,7,0),"")</f>
        <v/>
      </c>
      <c r="AW531" s="270" t="str">
        <f>_xlfn.IFNA(VLOOKUP(CONCATENATE(AW$4,$C531),'INSER DATA'!$A:$F,7,0),"")</f>
        <v/>
      </c>
      <c r="AX531" s="270" t="str">
        <f>_xlfn.IFNA(VLOOKUP(CONCATENATE(AX$4,$C531),'INSER DATA'!$A:$F,7,0),"")</f>
        <v/>
      </c>
      <c r="AY531" s="270" t="str">
        <f>_xlfn.IFNA(VLOOKUP(CONCATENATE(AY$4,$C531),'INSER DATA'!$A:$F,7,0),"")</f>
        <v/>
      </c>
      <c r="AZ531" s="270" t="str">
        <f>_xlfn.IFNA(VLOOKUP(CONCATENATE(AZ$4,$C531),'INSER DATA'!$A:$F,7,0),"")</f>
        <v/>
      </c>
      <c r="BA531" s="270" t="str">
        <f>_xlfn.IFNA(VLOOKUP(CONCATENATE(BA$4,$C531),'INSER DATA'!$A:$F,7,0),"")</f>
        <v/>
      </c>
      <c r="BB531" s="270" t="str">
        <f>_xlfn.IFNA(VLOOKUP(CONCATENATE(BB$4,$C531),'INSER DATA'!$A:$F,7,0),"")</f>
        <v/>
      </c>
      <c r="BC531" s="270" t="str">
        <f>_xlfn.IFNA(VLOOKUP(CONCATENATE(BC$4,$C531),'INSER DATA'!$A:$F,7,0),"")</f>
        <v/>
      </c>
      <c r="BD531" s="270" t="str">
        <f>_xlfn.IFNA(VLOOKUP(CONCATENATE(BD$4,$C531),'INSER DATA'!$A:$F,7,0),"")</f>
        <v/>
      </c>
      <c r="BE531" s="270" t="str">
        <f>_xlfn.IFNA(VLOOKUP(CONCATENATE(BE$4,$C531),'INSER DATA'!$A:$F,7,0),"")</f>
        <v/>
      </c>
      <c r="BF531" s="270" t="str">
        <f>_xlfn.IFNA(VLOOKUP(CONCATENATE(BF$4,$C531),'INSER DATA'!$A:$F,7,0),"")</f>
        <v/>
      </c>
      <c r="BG531" s="270" t="str">
        <f>_xlfn.IFNA(VLOOKUP(CONCATENATE(BG$4,$C531),'INSER DATA'!$A:$F,7,0),"")</f>
        <v/>
      </c>
      <c r="BH531" s="270" t="str">
        <f>_xlfn.IFNA(VLOOKUP(CONCATENATE(BH$4,$C531),'INSER DATA'!$A:$F,7,0),"")</f>
        <v/>
      </c>
      <c r="BI531" s="270" t="str">
        <f>_xlfn.IFNA(VLOOKUP(CONCATENATE(BI$4,$C531),'INSER DATA'!$A:$F,7,0),"")</f>
        <v/>
      </c>
      <c r="BJ531" s="270" t="str">
        <f>_xlfn.IFNA(VLOOKUP(CONCATENATE(BJ$4,$C531),'INSER DATA'!$A:$F,7,0),"")</f>
        <v/>
      </c>
      <c r="BK531" s="270" t="str">
        <f>_xlfn.IFNA(VLOOKUP(CONCATENATE(BK$4,$C531),'INSER DATA'!$A:$F,7,0),"")</f>
        <v/>
      </c>
      <c r="BL531" s="272"/>
      <c r="BM531" s="30"/>
      <c r="BN531" s="30"/>
      <c r="BO531" s="30"/>
      <c r="BP531" s="30"/>
      <c r="BQ531" s="30"/>
      <c r="BR531" s="30"/>
      <c r="BS531" s="30"/>
      <c r="BT531" s="30"/>
      <c r="BU531" s="30"/>
      <c r="BV531" s="30"/>
      <c r="BW531" s="30"/>
      <c r="BX531" s="30"/>
      <c r="BY531" s="30"/>
      <c r="BZ531" s="30"/>
      <c r="CA531" s="30"/>
      <c r="CB531" s="30"/>
      <c r="CC531" s="30"/>
      <c r="CD531" s="30"/>
      <c r="CE531" s="30"/>
      <c r="CF531" s="30"/>
      <c r="CG531" s="30"/>
      <c r="CH531" s="30"/>
      <c r="CI531" s="30"/>
      <c r="CJ531" s="30"/>
      <c r="CK531" s="30"/>
      <c r="CL531" s="30"/>
      <c r="CM531" s="30"/>
      <c r="CN531" s="30"/>
      <c r="CO531" s="30"/>
      <c r="CP531" s="30"/>
      <c r="CQ531" s="30"/>
      <c r="CR531" s="30"/>
      <c r="CS531" s="30"/>
      <c r="CT531" s="30"/>
      <c r="CU531" s="30"/>
      <c r="CV531" s="30"/>
      <c r="CW531" s="30"/>
      <c r="CX531" s="30"/>
      <c r="CY531" s="30"/>
      <c r="CZ531" s="30"/>
      <c r="DA531" s="30"/>
    </row>
    <row r="532" spans="1:105" ht="19.2" thickTop="1" thickBot="1" x14ac:dyDescent="0.4">
      <c r="A532" s="30"/>
      <c r="B532" s="30"/>
      <c r="C532" s="188" t="s">
        <v>1057</v>
      </c>
      <c r="D532" s="187" t="s">
        <v>934</v>
      </c>
      <c r="E532" s="35" t="str">
        <f>_xlfn.XLOOKUP(Tabella4[[#This Row],[NOME]],'ROSE SQUADRE'!$N$3:$N$253,'ROSE SQUADRE'!$O$3:$O$253,"")</f>
        <v/>
      </c>
      <c r="F532" s="36" t="s">
        <v>161</v>
      </c>
      <c r="G532" s="43"/>
      <c r="H532" s="43"/>
      <c r="I532" s="44">
        <f t="shared" si="51"/>
        <v>0</v>
      </c>
      <c r="J532" s="37">
        <f t="shared" si="52"/>
        <v>1</v>
      </c>
      <c r="K532" s="178">
        <f t="shared" si="53"/>
        <v>6</v>
      </c>
      <c r="L532" s="178">
        <f t="shared" si="54"/>
        <v>6</v>
      </c>
      <c r="M532" s="179">
        <f t="shared" si="55"/>
        <v>6</v>
      </c>
      <c r="N532" s="45">
        <f t="shared" ca="1" si="50"/>
        <v>0</v>
      </c>
      <c r="O532" s="40">
        <f>SUMIF(Tabella1[Nome],Tabella4[[#This Row],[NOME]],Tabella1[Gf])</f>
        <v>0</v>
      </c>
      <c r="P532" s="40">
        <f>-(SUMIF(Tabella1[Nome],Tabella4[[#This Row],[NOME]],Tabella1[Gs]))</f>
        <v>0</v>
      </c>
      <c r="Q532" s="40">
        <f>SUMIF(Tabella1[Nome],Tabella4[[#This Row],[NOME]],Tabella1[Rp])</f>
        <v>0</v>
      </c>
      <c r="R532" s="40">
        <f>SUMIF(Tabella1[Nome],Tabella4[[#This Row],[NOME]],Tabella1[Rs])</f>
        <v>0</v>
      </c>
      <c r="S532" s="40">
        <f>SUMIF(Tabella1[Nome],Tabella4[[#This Row],[NOME]],Tabella1[Rf])</f>
        <v>0</v>
      </c>
      <c r="T532" s="40">
        <f>SUMIF(Tabella1[Nome],Tabella4[[#This Row],[NOME]],Tabella1[Au])</f>
        <v>0</v>
      </c>
      <c r="U532" s="41">
        <f>SUMIF(Tabella1[Nome],Tabella4[[#This Row],[NOME]],Tabella1[Amm])</f>
        <v>0</v>
      </c>
      <c r="V532" s="42">
        <f>SUMIF(Tabella1[Nome],Tabella4[[#This Row],[NOME]],Tabella1[Esp])</f>
        <v>0</v>
      </c>
      <c r="W532" s="40">
        <f>SUMIF(Tabella1[Nome],Tabella4[[#This Row],[NOME]],Tabella1[Ass])</f>
        <v>0</v>
      </c>
      <c r="X532" s="40">
        <f>SUMIF(Tabella1[Nome],Tabella4[[#This Row],[NOME]],Tabella1[Gdv])</f>
        <v>0</v>
      </c>
      <c r="Y532" s="40">
        <f>SUMIF(Tabella1[Nome],Tabella4[[#This Row],[NOME]],Tabella1[cl sh])</f>
        <v>0</v>
      </c>
      <c r="Z532" s="270" t="str">
        <f>_xlfn.IFNA(_xlfn.XLOOKUP(CONCATENATE(Z$4,$C532),Tabella1[CONC X VOTI IN TAB GIOC],Tabella1[Voto],""),"")</f>
        <v/>
      </c>
      <c r="AA532" s="270" t="str">
        <f>_xlfn.IFNA(_xlfn.XLOOKUP(CONCATENATE(AA$4,$C532),Tabella1[CONC X VOTI IN TAB GIOC],Tabella1[Voto],""),"")</f>
        <v/>
      </c>
      <c r="AB532" s="270">
        <f>_xlfn.IFNA(_xlfn.XLOOKUP(CONCATENATE(AB$4,$C532),Tabella1[CONC X VOTI IN TAB GIOC],Tabella1[Voto]),"")</f>
        <v>6</v>
      </c>
      <c r="AC532" s="270" t="str" cm="1">
        <f t="array" ref="AC532">_xlfn.IFNA(_xlfn.XLOOKUP(CONCATENATE(AC$4,$C532),INDEX(Tabella1[],0,MATCH("CONC X VOTI IN TAB GIOC",Tabella1[#Headers],0)),INDEX(Tabella1[],0,MATCH("Voto",Tabella1[#Headers],0))),"")</f>
        <v/>
      </c>
      <c r="AD532" s="270" t="str">
        <f>_xlfn.IFNA(_xlfn.XLOOKUP(CONCATENATE(AD$4,$C532),Tabella1[CONC X VOTI IN TAB GIOC],Tabella1[Voto]),"")</f>
        <v/>
      </c>
      <c r="AE532" s="270" t="str">
        <f>_xlfn.IFNA(VLOOKUP(CONCATENATE(AE$4,$C532),'INSER DATA'!$A:$F,6,0),"")</f>
        <v/>
      </c>
      <c r="AF532" s="270" t="str">
        <f>_xlfn.IFNA(VLOOKUP(CONCATENATE(AF$4,$C532),'INSER DATA'!$A:$F,6,0),"")</f>
        <v/>
      </c>
      <c r="AG532" s="270" t="str">
        <f>_xlfn.IFNA(VLOOKUP(CONCATENATE(AG$4,$C532),'INSER DATA'!$A:$F,6,0),"")</f>
        <v/>
      </c>
      <c r="AH532" s="270" t="str">
        <f>_xlfn.IFNA(VLOOKUP(CONCATENATE(AH$4,$C532),'INSER DATA'!$A:$F,7,0),"")</f>
        <v/>
      </c>
      <c r="AI532" s="270" t="str">
        <f>_xlfn.IFNA(VLOOKUP(CONCATENATE(AI$4,$C532),'INSER DATA'!$A:$F,7,0),"")</f>
        <v/>
      </c>
      <c r="AJ532" s="270" t="str">
        <f>_xlfn.IFNA(VLOOKUP(CONCATENATE(AJ$4,$C532),'INSER DATA'!$A:$F,7,0),"")</f>
        <v/>
      </c>
      <c r="AK532" s="270" t="str">
        <f>_xlfn.IFNA(VLOOKUP(CONCATENATE(AK$4,$C532),'INSER DATA'!$A:$F,7,0),"")</f>
        <v/>
      </c>
      <c r="AL532" s="270" t="str">
        <f>_xlfn.IFNA(VLOOKUP(CONCATENATE(AL$4,$C532),'INSER DATA'!$A:$F,7,0),"")</f>
        <v/>
      </c>
      <c r="AM532" s="270" t="str">
        <f>_xlfn.IFNA(VLOOKUP(CONCATENATE(AM$4,$C532),'INSER DATA'!$A:$F,7,0),"")</f>
        <v/>
      </c>
      <c r="AN532" s="270" t="str">
        <f>_xlfn.IFNA(VLOOKUP(CONCATENATE(AN$4,$C532),'INSER DATA'!$A:$F,7,0),"")</f>
        <v/>
      </c>
      <c r="AO532" s="270" t="str">
        <f>_xlfn.IFNA(VLOOKUP(CONCATENATE(AO$4,$C532),'INSER DATA'!$A:$F,7,0),"")</f>
        <v/>
      </c>
      <c r="AP532" s="270" t="str">
        <f>_xlfn.IFNA(VLOOKUP(CONCATENATE(AP$4,$C532),'INSER DATA'!$A:$F,7,0),"")</f>
        <v/>
      </c>
      <c r="AQ532" s="270" t="str">
        <f>_xlfn.IFNA(VLOOKUP(CONCATENATE(AQ$4,$C532),'INSER DATA'!$A:$F,7,0),"")</f>
        <v/>
      </c>
      <c r="AR532" s="270" t="str">
        <f>_xlfn.IFNA(VLOOKUP(CONCATENATE(AR$4,$C532),'INSER DATA'!$A:$F,7,0),"")</f>
        <v/>
      </c>
      <c r="AS532" s="270" t="str">
        <f>_xlfn.IFNA(VLOOKUP(CONCATENATE(AS$4,$C532),'INSER DATA'!$A:$F,7,0),"")</f>
        <v/>
      </c>
      <c r="AT532" s="270" t="str">
        <f>_xlfn.IFNA(VLOOKUP(CONCATENATE(AT$4,$C532),'INSER DATA'!$A:$F,7,0),"")</f>
        <v/>
      </c>
      <c r="AU532" s="270" t="str">
        <f>_xlfn.IFNA(VLOOKUP(CONCATENATE(AU$4,$C532),'INSER DATA'!$A:$F,7,0),"")</f>
        <v/>
      </c>
      <c r="AV532" s="270" t="str">
        <f>_xlfn.IFNA(VLOOKUP(CONCATENATE(AV$4,$C532),'INSER DATA'!$A:$F,7,0),"")</f>
        <v/>
      </c>
      <c r="AW532" s="270" t="str">
        <f>_xlfn.IFNA(VLOOKUP(CONCATENATE(AW$4,$C532),'INSER DATA'!$A:$F,7,0),"")</f>
        <v/>
      </c>
      <c r="AX532" s="270" t="str">
        <f>_xlfn.IFNA(VLOOKUP(CONCATENATE(AX$4,$C532),'INSER DATA'!$A:$F,7,0),"")</f>
        <v/>
      </c>
      <c r="AY532" s="270" t="str">
        <f>_xlfn.IFNA(VLOOKUP(CONCATENATE(AY$4,$C532),'INSER DATA'!$A:$F,7,0),"")</f>
        <v/>
      </c>
      <c r="AZ532" s="270" t="str">
        <f>_xlfn.IFNA(VLOOKUP(CONCATENATE(AZ$4,$C532),'INSER DATA'!$A:$F,7,0),"")</f>
        <v/>
      </c>
      <c r="BA532" s="270" t="str">
        <f>_xlfn.IFNA(VLOOKUP(CONCATENATE(BA$4,$C532),'INSER DATA'!$A:$F,7,0),"")</f>
        <v/>
      </c>
      <c r="BB532" s="270" t="str">
        <f>_xlfn.IFNA(VLOOKUP(CONCATENATE(BB$4,$C532),'INSER DATA'!$A:$F,7,0),"")</f>
        <v/>
      </c>
      <c r="BC532" s="270" t="str">
        <f>_xlfn.IFNA(VLOOKUP(CONCATENATE(BC$4,$C532),'INSER DATA'!$A:$F,7,0),"")</f>
        <v/>
      </c>
      <c r="BD532" s="270" t="str">
        <f>_xlfn.IFNA(VLOOKUP(CONCATENATE(BD$4,$C532),'INSER DATA'!$A:$F,7,0),"")</f>
        <v/>
      </c>
      <c r="BE532" s="270" t="str">
        <f>_xlfn.IFNA(VLOOKUP(CONCATENATE(BE$4,$C532),'INSER DATA'!$A:$F,7,0),"")</f>
        <v/>
      </c>
      <c r="BF532" s="270" t="str">
        <f>_xlfn.IFNA(VLOOKUP(CONCATENATE(BF$4,$C532),'INSER DATA'!$A:$F,7,0),"")</f>
        <v/>
      </c>
      <c r="BG532" s="270" t="str">
        <f>_xlfn.IFNA(VLOOKUP(CONCATENATE(BG$4,$C532),'INSER DATA'!$A:$F,7,0),"")</f>
        <v/>
      </c>
      <c r="BH532" s="270" t="str">
        <f>_xlfn.IFNA(VLOOKUP(CONCATENATE(BH$4,$C532),'INSER DATA'!$A:$F,7,0),"")</f>
        <v/>
      </c>
      <c r="BI532" s="270" t="str">
        <f>_xlfn.IFNA(VLOOKUP(CONCATENATE(BI$4,$C532),'INSER DATA'!$A:$F,7,0),"")</f>
        <v/>
      </c>
      <c r="BJ532" s="270" t="str">
        <f>_xlfn.IFNA(VLOOKUP(CONCATENATE(BJ$4,$C532),'INSER DATA'!$A:$F,7,0),"")</f>
        <v/>
      </c>
      <c r="BK532" s="270" t="str">
        <f>_xlfn.IFNA(VLOOKUP(CONCATENATE(BK$4,$C532),'INSER DATA'!$A:$F,7,0),"")</f>
        <v/>
      </c>
      <c r="BL532" s="272"/>
      <c r="BM532" s="30"/>
      <c r="BN532" s="30"/>
      <c r="BO532" s="30"/>
      <c r="BP532" s="30"/>
      <c r="BQ532" s="30"/>
      <c r="BR532" s="30"/>
      <c r="BS532" s="30"/>
      <c r="BT532" s="30"/>
      <c r="BU532" s="30"/>
      <c r="BV532" s="30"/>
      <c r="BW532" s="30"/>
      <c r="BX532" s="30"/>
      <c r="BY532" s="30"/>
      <c r="BZ532" s="30"/>
      <c r="CA532" s="30"/>
      <c r="CB532" s="30"/>
      <c r="CC532" s="30"/>
      <c r="CD532" s="30"/>
      <c r="CE532" s="30"/>
      <c r="CF532" s="30"/>
      <c r="CG532" s="30"/>
      <c r="CH532" s="30"/>
      <c r="CI532" s="30"/>
      <c r="CJ532" s="30"/>
      <c r="CK532" s="30"/>
      <c r="CL532" s="30"/>
      <c r="CM532" s="30"/>
      <c r="CN532" s="30"/>
      <c r="CO532" s="30"/>
      <c r="CP532" s="30"/>
      <c r="CQ532" s="30"/>
      <c r="CR532" s="30"/>
      <c r="CS532" s="30"/>
      <c r="CT532" s="30"/>
      <c r="CU532" s="30"/>
      <c r="CV532" s="30"/>
      <c r="CW532" s="30"/>
      <c r="CX532" s="30"/>
      <c r="CY532" s="30"/>
      <c r="CZ532" s="30"/>
      <c r="DA532" s="30"/>
    </row>
    <row r="533" spans="1:105" ht="19.2" thickTop="1" thickBot="1" x14ac:dyDescent="0.4">
      <c r="A533" s="30"/>
      <c r="B533" s="30"/>
      <c r="C533" s="188" t="s">
        <v>1049</v>
      </c>
      <c r="D533" s="187" t="s">
        <v>934</v>
      </c>
      <c r="E533" s="35" t="str">
        <f>_xlfn.XLOOKUP(Tabella4[[#This Row],[NOME]],'ROSE SQUADRE'!$N$3:$N$253,'ROSE SQUADRE'!$O$3:$O$253,"")</f>
        <v>FC INTERNAZIOANALE</v>
      </c>
      <c r="F533" s="36" t="s">
        <v>161</v>
      </c>
      <c r="G533" s="43"/>
      <c r="H533" s="43"/>
      <c r="I533" s="44">
        <f t="shared" si="51"/>
        <v>0</v>
      </c>
      <c r="J533" s="37">
        <f t="shared" si="52"/>
        <v>2</v>
      </c>
      <c r="K533" s="178">
        <f t="shared" si="53"/>
        <v>6</v>
      </c>
      <c r="L533" s="178">
        <f t="shared" si="54"/>
        <v>6.5</v>
      </c>
      <c r="M533" s="179">
        <f t="shared" si="55"/>
        <v>13</v>
      </c>
      <c r="N533" s="45">
        <f t="shared" ca="1" si="50"/>
        <v>0</v>
      </c>
      <c r="O533" s="40">
        <f>SUMIF(Tabella1[Nome],Tabella4[[#This Row],[NOME]],Tabella1[Gf])</f>
        <v>0</v>
      </c>
      <c r="P533" s="40">
        <f>-(SUMIF(Tabella1[Nome],Tabella4[[#This Row],[NOME]],Tabella1[Gs]))</f>
        <v>0</v>
      </c>
      <c r="Q533" s="40">
        <f>SUMIF(Tabella1[Nome],Tabella4[[#This Row],[NOME]],Tabella1[Rp])</f>
        <v>0</v>
      </c>
      <c r="R533" s="40">
        <f>SUMIF(Tabella1[Nome],Tabella4[[#This Row],[NOME]],Tabella1[Rs])</f>
        <v>0</v>
      </c>
      <c r="S533" s="40">
        <f>SUMIF(Tabella1[Nome],Tabella4[[#This Row],[NOME]],Tabella1[Rf])</f>
        <v>0</v>
      </c>
      <c r="T533" s="40">
        <f>SUMIF(Tabella1[Nome],Tabella4[[#This Row],[NOME]],Tabella1[Au])</f>
        <v>0</v>
      </c>
      <c r="U533" s="41">
        <f>SUMIF(Tabella1[Nome],Tabella4[[#This Row],[NOME]],Tabella1[Amm])</f>
        <v>0</v>
      </c>
      <c r="V533" s="42">
        <f>SUMIF(Tabella1[Nome],Tabella4[[#This Row],[NOME]],Tabella1[Esp])</f>
        <v>0</v>
      </c>
      <c r="W533" s="40">
        <f>SUMIF(Tabella1[Nome],Tabella4[[#This Row],[NOME]],Tabella1[Ass])</f>
        <v>1</v>
      </c>
      <c r="X533" s="40">
        <f>SUMIF(Tabella1[Nome],Tabella4[[#This Row],[NOME]],Tabella1[Gdv])</f>
        <v>0</v>
      </c>
      <c r="Y533" s="40">
        <f>SUMIF(Tabella1[Nome],Tabella4[[#This Row],[NOME]],Tabella1[cl sh])</f>
        <v>0</v>
      </c>
      <c r="Z533" s="270" t="str">
        <f>_xlfn.IFNA(_xlfn.XLOOKUP(CONCATENATE(Z$4,$C533),Tabella1[CONC X VOTI IN TAB GIOC],Tabella1[Voto],""),"")</f>
        <v/>
      </c>
      <c r="AA533" s="270" t="str">
        <f>_xlfn.IFNA(_xlfn.XLOOKUP(CONCATENATE(AA$4,$C533),Tabella1[CONC X VOTI IN TAB GIOC],Tabella1[Voto],""),"")</f>
        <v/>
      </c>
      <c r="AB533" s="270">
        <f>_xlfn.IFNA(_xlfn.XLOOKUP(CONCATENATE(AB$4,$C533),Tabella1[CONC X VOTI IN TAB GIOC],Tabella1[Voto]),"")</f>
        <v>6.5</v>
      </c>
      <c r="AC533" s="270" cm="1">
        <f t="array" ref="AC533">_xlfn.IFNA(_xlfn.XLOOKUP(CONCATENATE(AC$4,$C533),INDEX(Tabella1[],0,MATCH("CONC X VOTI IN TAB GIOC",Tabella1[#Headers],0)),INDEX(Tabella1[],0,MATCH("Voto",Tabella1[#Headers],0))),"")</f>
        <v>5.5</v>
      </c>
      <c r="AD533" s="270" t="str">
        <f>_xlfn.IFNA(_xlfn.XLOOKUP(CONCATENATE(AD$4,$C533),Tabella1[CONC X VOTI IN TAB GIOC],Tabella1[Voto]),"")</f>
        <v/>
      </c>
      <c r="AE533" s="270" t="str">
        <f>_xlfn.IFNA(VLOOKUP(CONCATENATE(AE$4,$C533),'INSER DATA'!$A:$F,6,0),"")</f>
        <v/>
      </c>
      <c r="AF533" s="270" t="str">
        <f>_xlfn.IFNA(VLOOKUP(CONCATENATE(AF$4,$C533),'INSER DATA'!$A:$F,6,0),"")</f>
        <v/>
      </c>
      <c r="AG533" s="270" t="str">
        <f>_xlfn.IFNA(VLOOKUP(CONCATENATE(AG$4,$C533),'INSER DATA'!$A:$F,6,0),"")</f>
        <v/>
      </c>
      <c r="AH533" s="270" t="str">
        <f>_xlfn.IFNA(VLOOKUP(CONCATENATE(AH$4,$C533),'INSER DATA'!$A:$F,7,0),"")</f>
        <v/>
      </c>
      <c r="AI533" s="270" t="str">
        <f>_xlfn.IFNA(VLOOKUP(CONCATENATE(AI$4,$C533),'INSER DATA'!$A:$F,7,0),"")</f>
        <v/>
      </c>
      <c r="AJ533" s="270" t="str">
        <f>_xlfn.IFNA(VLOOKUP(CONCATENATE(AJ$4,$C533),'INSER DATA'!$A:$F,7,0),"")</f>
        <v/>
      </c>
      <c r="AK533" s="270" t="str">
        <f>_xlfn.IFNA(VLOOKUP(CONCATENATE(AK$4,$C533),'INSER DATA'!$A:$F,7,0),"")</f>
        <v/>
      </c>
      <c r="AL533" s="270" t="str">
        <f>_xlfn.IFNA(VLOOKUP(CONCATENATE(AL$4,$C533),'INSER DATA'!$A:$F,7,0),"")</f>
        <v/>
      </c>
      <c r="AM533" s="270" t="str">
        <f>_xlfn.IFNA(VLOOKUP(CONCATENATE(AM$4,$C533),'INSER DATA'!$A:$F,7,0),"")</f>
        <v/>
      </c>
      <c r="AN533" s="270" t="str">
        <f>_xlfn.IFNA(VLOOKUP(CONCATENATE(AN$4,$C533),'INSER DATA'!$A:$F,7,0),"")</f>
        <v/>
      </c>
      <c r="AO533" s="270" t="str">
        <f>_xlfn.IFNA(VLOOKUP(CONCATENATE(AO$4,$C533),'INSER DATA'!$A:$F,7,0),"")</f>
        <v/>
      </c>
      <c r="AP533" s="270" t="str">
        <f>_xlfn.IFNA(VLOOKUP(CONCATENATE(AP$4,$C533),'INSER DATA'!$A:$F,7,0),"")</f>
        <v/>
      </c>
      <c r="AQ533" s="270" t="str">
        <f>_xlfn.IFNA(VLOOKUP(CONCATENATE(AQ$4,$C533),'INSER DATA'!$A:$F,7,0),"")</f>
        <v/>
      </c>
      <c r="AR533" s="270" t="str">
        <f>_xlfn.IFNA(VLOOKUP(CONCATENATE(AR$4,$C533),'INSER DATA'!$A:$F,7,0),"")</f>
        <v/>
      </c>
      <c r="AS533" s="270" t="str">
        <f>_xlfn.IFNA(VLOOKUP(CONCATENATE(AS$4,$C533),'INSER DATA'!$A:$F,7,0),"")</f>
        <v/>
      </c>
      <c r="AT533" s="270" t="str">
        <f>_xlfn.IFNA(VLOOKUP(CONCATENATE(AT$4,$C533),'INSER DATA'!$A:$F,7,0),"")</f>
        <v/>
      </c>
      <c r="AU533" s="270" t="str">
        <f>_xlfn.IFNA(VLOOKUP(CONCATENATE(AU$4,$C533),'INSER DATA'!$A:$F,7,0),"")</f>
        <v/>
      </c>
      <c r="AV533" s="270" t="str">
        <f>_xlfn.IFNA(VLOOKUP(CONCATENATE(AV$4,$C533),'INSER DATA'!$A:$F,7,0),"")</f>
        <v/>
      </c>
      <c r="AW533" s="270" t="str">
        <f>_xlfn.IFNA(VLOOKUP(CONCATENATE(AW$4,$C533),'INSER DATA'!$A:$F,7,0),"")</f>
        <v/>
      </c>
      <c r="AX533" s="270" t="str">
        <f>_xlfn.IFNA(VLOOKUP(CONCATENATE(AX$4,$C533),'INSER DATA'!$A:$F,7,0),"")</f>
        <v/>
      </c>
      <c r="AY533" s="270" t="str">
        <f>_xlfn.IFNA(VLOOKUP(CONCATENATE(AY$4,$C533),'INSER DATA'!$A:$F,7,0),"")</f>
        <v/>
      </c>
      <c r="AZ533" s="270" t="str">
        <f>_xlfn.IFNA(VLOOKUP(CONCATENATE(AZ$4,$C533),'INSER DATA'!$A:$F,7,0),"")</f>
        <v/>
      </c>
      <c r="BA533" s="270" t="str">
        <f>_xlfn.IFNA(VLOOKUP(CONCATENATE(BA$4,$C533),'INSER DATA'!$A:$F,7,0),"")</f>
        <v/>
      </c>
      <c r="BB533" s="270" t="str">
        <f>_xlfn.IFNA(VLOOKUP(CONCATENATE(BB$4,$C533),'INSER DATA'!$A:$F,7,0),"")</f>
        <v/>
      </c>
      <c r="BC533" s="270" t="str">
        <f>_xlfn.IFNA(VLOOKUP(CONCATENATE(BC$4,$C533),'INSER DATA'!$A:$F,7,0),"")</f>
        <v/>
      </c>
      <c r="BD533" s="270" t="str">
        <f>_xlfn.IFNA(VLOOKUP(CONCATENATE(BD$4,$C533),'INSER DATA'!$A:$F,7,0),"")</f>
        <v/>
      </c>
      <c r="BE533" s="270" t="str">
        <f>_xlfn.IFNA(VLOOKUP(CONCATENATE(BE$4,$C533),'INSER DATA'!$A:$F,7,0),"")</f>
        <v/>
      </c>
      <c r="BF533" s="270" t="str">
        <f>_xlfn.IFNA(VLOOKUP(CONCATENATE(BF$4,$C533),'INSER DATA'!$A:$F,7,0),"")</f>
        <v/>
      </c>
      <c r="BG533" s="270" t="str">
        <f>_xlfn.IFNA(VLOOKUP(CONCATENATE(BG$4,$C533),'INSER DATA'!$A:$F,7,0),"")</f>
        <v/>
      </c>
      <c r="BH533" s="270" t="str">
        <f>_xlfn.IFNA(VLOOKUP(CONCATENATE(BH$4,$C533),'INSER DATA'!$A:$F,7,0),"")</f>
        <v/>
      </c>
      <c r="BI533" s="270" t="str">
        <f>_xlfn.IFNA(VLOOKUP(CONCATENATE(BI$4,$C533),'INSER DATA'!$A:$F,7,0),"")</f>
        <v/>
      </c>
      <c r="BJ533" s="270" t="str">
        <f>_xlfn.IFNA(VLOOKUP(CONCATENATE(BJ$4,$C533),'INSER DATA'!$A:$F,7,0),"")</f>
        <v/>
      </c>
      <c r="BK533" s="270" t="str">
        <f>_xlfn.IFNA(VLOOKUP(CONCATENATE(BK$4,$C533),'INSER DATA'!$A:$F,7,0),"")</f>
        <v/>
      </c>
      <c r="BL533" s="272"/>
      <c r="BM533" s="30"/>
      <c r="BN533" s="30"/>
      <c r="BO533" s="30"/>
      <c r="BP533" s="30"/>
      <c r="BQ533" s="30"/>
      <c r="BR533" s="30"/>
      <c r="BS533" s="30"/>
      <c r="BT533" s="30"/>
      <c r="BU533" s="30"/>
      <c r="BV533" s="30"/>
      <c r="BW533" s="30"/>
      <c r="BX533" s="30"/>
      <c r="BY533" s="30"/>
      <c r="BZ533" s="30"/>
      <c r="CA533" s="30"/>
      <c r="CB533" s="30"/>
      <c r="CC533" s="30"/>
      <c r="CD533" s="30"/>
      <c r="CE533" s="30"/>
      <c r="CF533" s="30"/>
      <c r="CG533" s="30"/>
      <c r="CH533" s="30"/>
      <c r="CI533" s="30"/>
      <c r="CJ533" s="30"/>
      <c r="CK533" s="30"/>
      <c r="CL533" s="30"/>
      <c r="CM533" s="30"/>
      <c r="CN533" s="30"/>
      <c r="CO533" s="30"/>
      <c r="CP533" s="30"/>
      <c r="CQ533" s="30"/>
      <c r="CR533" s="30"/>
      <c r="CS533" s="30"/>
      <c r="CT533" s="30"/>
      <c r="CU533" s="30"/>
      <c r="CV533" s="30"/>
      <c r="CW533" s="30"/>
      <c r="CX533" s="30"/>
      <c r="CY533" s="30"/>
      <c r="CZ533" s="30"/>
      <c r="DA533" s="30"/>
    </row>
    <row r="534" spans="1:105" ht="19.2" thickTop="1" thickBot="1" x14ac:dyDescent="0.4">
      <c r="A534" s="30"/>
      <c r="B534" s="30"/>
      <c r="C534" s="188" t="s">
        <v>1058</v>
      </c>
      <c r="D534" s="187" t="s">
        <v>934</v>
      </c>
      <c r="E534" s="35" t="str">
        <f>_xlfn.XLOOKUP(Tabella4[[#This Row],[NOME]],'ROSE SQUADRE'!$N$3:$N$253,'ROSE SQUADRE'!$O$3:$O$253,"")</f>
        <v/>
      </c>
      <c r="F534" s="36" t="s">
        <v>162</v>
      </c>
      <c r="G534" s="43"/>
      <c r="H534" s="43"/>
      <c r="I534" s="44">
        <f>SUM(H534-G534)</f>
        <v>0</v>
      </c>
      <c r="J534" s="37">
        <f>COUNT(Z534:CJ534)</f>
        <v>2</v>
      </c>
      <c r="K534" s="178">
        <f>IF(J534=0,0,AVERAGE(Z534:CJ534))</f>
        <v>6.25</v>
      </c>
      <c r="L534" s="178">
        <f>IF(J534=0,0,M534/J534)</f>
        <v>6.25</v>
      </c>
      <c r="M534" s="179">
        <f>SUM(Z534:CJ534)+(O534*3)+P534+(Q534*3)-(R534*3)-(T534*2)-(U534/2)-V534+W534+X534+Y534</f>
        <v>12.5</v>
      </c>
      <c r="N534" s="45">
        <f ca="1">ContaCellePerColore(Z534:BK534,$C$3)</f>
        <v>0</v>
      </c>
      <c r="O534" s="40">
        <f>SUMIF(Tabella1[Nome],Tabella4[[#This Row],[NOME]],Tabella1[Gf])</f>
        <v>0</v>
      </c>
      <c r="P534" s="40">
        <f>-(SUMIF(Tabella1[Nome],Tabella4[[#This Row],[NOME]],Tabella1[Gs]))</f>
        <v>0</v>
      </c>
      <c r="Q534" s="40">
        <f>SUMIF(Tabella1[Nome],Tabella4[[#This Row],[NOME]],Tabella1[Rp])</f>
        <v>0</v>
      </c>
      <c r="R534" s="40">
        <f>SUMIF(Tabella1[Nome],Tabella4[[#This Row],[NOME]],Tabella1[Rs])</f>
        <v>0</v>
      </c>
      <c r="S534" s="40">
        <f>SUMIF(Tabella1[Nome],Tabella4[[#This Row],[NOME]],Tabella1[Rf])</f>
        <v>0</v>
      </c>
      <c r="T534" s="40">
        <f>SUMIF(Tabella1[Nome],Tabella4[[#This Row],[NOME]],Tabella1[Au])</f>
        <v>0</v>
      </c>
      <c r="U534" s="41">
        <f>SUMIF(Tabella1[Nome],Tabella4[[#This Row],[NOME]],Tabella1[Amm])</f>
        <v>0</v>
      </c>
      <c r="V534" s="42">
        <f>SUMIF(Tabella1[Nome],Tabella4[[#This Row],[NOME]],Tabella1[Esp])</f>
        <v>0</v>
      </c>
      <c r="W534" s="40">
        <f>SUMIF(Tabella1[Nome],Tabella4[[#This Row],[NOME]],Tabella1[Ass])</f>
        <v>0</v>
      </c>
      <c r="X534" s="40">
        <f>SUMIF(Tabella1[Nome],Tabella4[[#This Row],[NOME]],Tabella1[Gdv])</f>
        <v>0</v>
      </c>
      <c r="Y534" s="40">
        <f>SUMIF(Tabella1[Nome],Tabella4[[#This Row],[NOME]],Tabella1[cl sh])</f>
        <v>0</v>
      </c>
      <c r="Z534" s="270" t="str">
        <f>_xlfn.IFNA(_xlfn.XLOOKUP(CONCATENATE(Z$4,$C534),Tabella1[CONC X VOTI IN TAB GIOC],Tabella1[Voto],""),"")</f>
        <v/>
      </c>
      <c r="AA534" s="270" t="str">
        <f>_xlfn.IFNA(_xlfn.XLOOKUP(CONCATENATE(AA$4,$C534),Tabella1[CONC X VOTI IN TAB GIOC],Tabella1[Voto],""),"")</f>
        <v/>
      </c>
      <c r="AB534" s="270">
        <f>_xlfn.IFNA(_xlfn.XLOOKUP(CONCATENATE(AB$4,$C534),Tabella1[CONC X VOTI IN TAB GIOC],Tabella1[Voto]),"")</f>
        <v>6</v>
      </c>
      <c r="AC534" s="270" cm="1">
        <f t="array" ref="AC534">_xlfn.IFNA(_xlfn.XLOOKUP(CONCATENATE(AC$4,$C534),INDEX(Tabella1[],0,MATCH("CONC X VOTI IN TAB GIOC",Tabella1[#Headers],0)),INDEX(Tabella1[],0,MATCH("Voto",Tabella1[#Headers],0))),"")</f>
        <v>6.5</v>
      </c>
      <c r="AD534" s="270" t="str">
        <f>_xlfn.IFNA(_xlfn.XLOOKUP(CONCATENATE(AD$4,$C534),Tabella1[CONC X VOTI IN TAB GIOC],Tabella1[Voto]),"")</f>
        <v/>
      </c>
      <c r="AE534" s="270" t="str">
        <f>_xlfn.IFNA(VLOOKUP(CONCATENATE(AE$4,$C534),'INSER DATA'!$A:$F,6,0),"")</f>
        <v/>
      </c>
      <c r="AF534" s="270" t="str">
        <f>_xlfn.IFNA(VLOOKUP(CONCATENATE(AF$4,$C534),'INSER DATA'!$A:$F,6,0),"")</f>
        <v/>
      </c>
      <c r="AG534" s="270" t="str">
        <f>_xlfn.IFNA(VLOOKUP(CONCATENATE(AG$4,$C534),'INSER DATA'!$A:$F,6,0),"")</f>
        <v/>
      </c>
      <c r="AH534" s="270" t="str">
        <f>_xlfn.IFNA(VLOOKUP(CONCATENATE(AH$4,$C534),'INSER DATA'!$A:$F,7,0),"")</f>
        <v/>
      </c>
      <c r="AI534" s="270" t="str">
        <f>_xlfn.IFNA(VLOOKUP(CONCATENATE(AI$4,$C534),'INSER DATA'!$A:$F,7,0),"")</f>
        <v/>
      </c>
      <c r="AJ534" s="270" t="str">
        <f>_xlfn.IFNA(VLOOKUP(CONCATENATE(AJ$4,$C534),'INSER DATA'!$A:$F,7,0),"")</f>
        <v/>
      </c>
      <c r="AK534" s="270" t="str">
        <f>_xlfn.IFNA(VLOOKUP(CONCATENATE(AK$4,$C534),'INSER DATA'!$A:$F,7,0),"")</f>
        <v/>
      </c>
      <c r="AL534" s="270" t="str">
        <f>_xlfn.IFNA(VLOOKUP(CONCATENATE(AL$4,$C534),'INSER DATA'!$A:$F,7,0),"")</f>
        <v/>
      </c>
      <c r="AM534" s="270" t="str">
        <f>_xlfn.IFNA(VLOOKUP(CONCATENATE(AM$4,$C534),'INSER DATA'!$A:$F,7,0),"")</f>
        <v/>
      </c>
      <c r="AN534" s="270" t="str">
        <f>_xlfn.IFNA(VLOOKUP(CONCATENATE(AN$4,$C534),'INSER DATA'!$A:$F,7,0),"")</f>
        <v/>
      </c>
      <c r="AO534" s="270" t="str">
        <f>_xlfn.IFNA(VLOOKUP(CONCATENATE(AO$4,$C534),'INSER DATA'!$A:$F,7,0),"")</f>
        <v/>
      </c>
      <c r="AP534" s="270" t="str">
        <f>_xlfn.IFNA(VLOOKUP(CONCATENATE(AP$4,$C534),'INSER DATA'!$A:$F,7,0),"")</f>
        <v/>
      </c>
      <c r="AQ534" s="270" t="str">
        <f>_xlfn.IFNA(VLOOKUP(CONCATENATE(AQ$4,$C534),'INSER DATA'!$A:$F,7,0),"")</f>
        <v/>
      </c>
      <c r="AR534" s="270" t="str">
        <f>_xlfn.IFNA(VLOOKUP(CONCATENATE(AR$4,$C534),'INSER DATA'!$A:$F,7,0),"")</f>
        <v/>
      </c>
      <c r="AS534" s="270" t="str">
        <f>_xlfn.IFNA(VLOOKUP(CONCATENATE(AS$4,$C534),'INSER DATA'!$A:$F,7,0),"")</f>
        <v/>
      </c>
      <c r="AT534" s="270" t="str">
        <f>_xlfn.IFNA(VLOOKUP(CONCATENATE(AT$4,$C534),'INSER DATA'!$A:$F,7,0),"")</f>
        <v/>
      </c>
      <c r="AU534" s="270" t="str">
        <f>_xlfn.IFNA(VLOOKUP(CONCATENATE(AU$4,$C534),'INSER DATA'!$A:$F,7,0),"")</f>
        <v/>
      </c>
      <c r="AV534" s="270" t="str">
        <f>_xlfn.IFNA(VLOOKUP(CONCATENATE(AV$4,$C534),'INSER DATA'!$A:$F,7,0),"")</f>
        <v/>
      </c>
      <c r="AW534" s="270" t="str">
        <f>_xlfn.IFNA(VLOOKUP(CONCATENATE(AW$4,$C534),'INSER DATA'!$A:$F,7,0),"")</f>
        <v/>
      </c>
      <c r="AX534" s="270" t="str">
        <f>_xlfn.IFNA(VLOOKUP(CONCATENATE(AX$4,$C534),'INSER DATA'!$A:$F,7,0),"")</f>
        <v/>
      </c>
      <c r="AY534" s="270" t="str">
        <f>_xlfn.IFNA(VLOOKUP(CONCATENATE(AY$4,$C534),'INSER DATA'!$A:$F,7,0),"")</f>
        <v/>
      </c>
      <c r="AZ534" s="270" t="str">
        <f>_xlfn.IFNA(VLOOKUP(CONCATENATE(AZ$4,$C534),'INSER DATA'!$A:$F,7,0),"")</f>
        <v/>
      </c>
      <c r="BA534" s="270" t="str">
        <f>_xlfn.IFNA(VLOOKUP(CONCATENATE(BA$4,$C534),'INSER DATA'!$A:$F,7,0),"")</f>
        <v/>
      </c>
      <c r="BB534" s="270" t="str">
        <f>_xlfn.IFNA(VLOOKUP(CONCATENATE(BB$4,$C534),'INSER DATA'!$A:$F,7,0),"")</f>
        <v/>
      </c>
      <c r="BC534" s="270" t="str">
        <f>_xlfn.IFNA(VLOOKUP(CONCATENATE(BC$4,$C534),'INSER DATA'!$A:$F,7,0),"")</f>
        <v/>
      </c>
      <c r="BD534" s="270" t="str">
        <f>_xlfn.IFNA(VLOOKUP(CONCATENATE(BD$4,$C534),'INSER DATA'!$A:$F,7,0),"")</f>
        <v/>
      </c>
      <c r="BE534" s="270" t="str">
        <f>_xlfn.IFNA(VLOOKUP(CONCATENATE(BE$4,$C534),'INSER DATA'!$A:$F,7,0),"")</f>
        <v/>
      </c>
      <c r="BF534" s="270" t="str">
        <f>_xlfn.IFNA(VLOOKUP(CONCATENATE(BF$4,$C534),'INSER DATA'!$A:$F,7,0),"")</f>
        <v/>
      </c>
      <c r="BG534" s="270" t="str">
        <f>_xlfn.IFNA(VLOOKUP(CONCATENATE(BG$4,$C534),'INSER DATA'!$A:$F,7,0),"")</f>
        <v/>
      </c>
      <c r="BH534" s="270" t="str">
        <f>_xlfn.IFNA(VLOOKUP(CONCATENATE(BH$4,$C534),'INSER DATA'!$A:$F,7,0),"")</f>
        <v/>
      </c>
      <c r="BI534" s="270" t="str">
        <f>_xlfn.IFNA(VLOOKUP(CONCATENATE(BI$4,$C534),'INSER DATA'!$A:$F,7,0),"")</f>
        <v/>
      </c>
      <c r="BJ534" s="270" t="str">
        <f>_xlfn.IFNA(VLOOKUP(CONCATENATE(BJ$4,$C534),'INSER DATA'!$A:$F,7,0),"")</f>
        <v/>
      </c>
      <c r="BK534" s="270" t="str">
        <f>_xlfn.IFNA(VLOOKUP(CONCATENATE(BK$4,$C534),'INSER DATA'!$A:$F,7,0),"")</f>
        <v/>
      </c>
      <c r="BL534" s="272"/>
      <c r="BM534" s="30"/>
      <c r="BN534" s="30"/>
      <c r="BO534" s="30"/>
      <c r="BP534" s="30"/>
      <c r="BQ534" s="30"/>
      <c r="BR534" s="30"/>
      <c r="BS534" s="30"/>
      <c r="BT534" s="30"/>
      <c r="BU534" s="30"/>
      <c r="BV534" s="30"/>
      <c r="BW534" s="30"/>
      <c r="BX534" s="30"/>
      <c r="BY534" s="30"/>
      <c r="BZ534" s="30"/>
      <c r="CA534" s="30"/>
      <c r="CB534" s="30"/>
      <c r="CC534" s="30"/>
      <c r="CD534" s="30"/>
      <c r="CE534" s="30"/>
      <c r="CF534" s="30"/>
      <c r="CG534" s="30"/>
      <c r="CH534" s="30"/>
      <c r="CI534" s="30"/>
      <c r="CJ534" s="30"/>
      <c r="CK534" s="30"/>
      <c r="CL534" s="30"/>
      <c r="CM534" s="30"/>
      <c r="CN534" s="30"/>
      <c r="CO534" s="30"/>
      <c r="CP534" s="30"/>
      <c r="CQ534" s="30"/>
      <c r="CR534" s="30"/>
      <c r="CS534" s="30"/>
      <c r="CT534" s="30"/>
      <c r="CU534" s="30"/>
      <c r="CV534" s="30"/>
      <c r="CW534" s="30"/>
      <c r="CX534" s="30"/>
      <c r="CY534" s="30"/>
      <c r="CZ534" s="30"/>
      <c r="DA534" s="30"/>
    </row>
    <row r="535" spans="1:105" ht="19.2" thickTop="1" thickBot="1" x14ac:dyDescent="0.4">
      <c r="A535" s="30"/>
      <c r="B535" s="30"/>
      <c r="C535" s="188" t="s">
        <v>1059</v>
      </c>
      <c r="D535" s="187" t="s">
        <v>967</v>
      </c>
      <c r="E535" s="35" t="str">
        <f>_xlfn.XLOOKUP(Tabella4[[#This Row],[NOME]],'ROSE SQUADRE'!$N$3:$N$253,'ROSE SQUADRE'!$O$3:$O$253,"")</f>
        <v/>
      </c>
      <c r="F535" s="36" t="s">
        <v>162</v>
      </c>
      <c r="G535" s="43"/>
      <c r="H535" s="43"/>
      <c r="I535" s="44">
        <f>SUM(H535-G535)</f>
        <v>0</v>
      </c>
      <c r="J535" s="37">
        <f>COUNT(Z535:CJ535)</f>
        <v>1</v>
      </c>
      <c r="K535" s="178">
        <f>IF(J535=0,0,AVERAGE(Z535:CJ535))</f>
        <v>6</v>
      </c>
      <c r="L535" s="178">
        <f>IF(J535=0,0,M535/J535)</f>
        <v>6</v>
      </c>
      <c r="M535" s="179">
        <f>SUM(Z535:CJ535)+(O535*3)+P535+(Q535*3)-(R535*3)-(T535*2)-(U535/2)-V535+W535+X535+Y535</f>
        <v>6</v>
      </c>
      <c r="N535" s="45">
        <f ca="1">ContaCellePerColore(Z535:BK535,$C$3)</f>
        <v>0</v>
      </c>
      <c r="O535" s="40">
        <f>SUMIF(Tabella1[Nome],Tabella4[[#This Row],[NOME]],Tabella1[Gf])</f>
        <v>0</v>
      </c>
      <c r="P535" s="40">
        <f>-(SUMIF(Tabella1[Nome],Tabella4[[#This Row],[NOME]],Tabella1[Gs]))</f>
        <v>0</v>
      </c>
      <c r="Q535" s="40">
        <f>SUMIF(Tabella1[Nome],Tabella4[[#This Row],[NOME]],Tabella1[Rp])</f>
        <v>0</v>
      </c>
      <c r="R535" s="40">
        <f>SUMIF(Tabella1[Nome],Tabella4[[#This Row],[NOME]],Tabella1[Rs])</f>
        <v>0</v>
      </c>
      <c r="S535" s="40">
        <f>SUMIF(Tabella1[Nome],Tabella4[[#This Row],[NOME]],Tabella1[Rf])</f>
        <v>0</v>
      </c>
      <c r="T535" s="40">
        <f>SUMIF(Tabella1[Nome],Tabella4[[#This Row],[NOME]],Tabella1[Au])</f>
        <v>0</v>
      </c>
      <c r="U535" s="41">
        <f>SUMIF(Tabella1[Nome],Tabella4[[#This Row],[NOME]],Tabella1[Amm])</f>
        <v>0</v>
      </c>
      <c r="V535" s="42">
        <f>SUMIF(Tabella1[Nome],Tabella4[[#This Row],[NOME]],Tabella1[Esp])</f>
        <v>0</v>
      </c>
      <c r="W535" s="40">
        <f>SUMIF(Tabella1[Nome],Tabella4[[#This Row],[NOME]],Tabella1[Ass])</f>
        <v>0</v>
      </c>
      <c r="X535" s="40">
        <f>SUMIF(Tabella1[Nome],Tabella4[[#This Row],[NOME]],Tabella1[Gdv])</f>
        <v>0</v>
      </c>
      <c r="Y535" s="40">
        <f>SUMIF(Tabella1[Nome],Tabella4[[#This Row],[NOME]],Tabella1[cl sh])</f>
        <v>0</v>
      </c>
      <c r="Z535" s="270" t="str">
        <f>_xlfn.IFNA(_xlfn.XLOOKUP(CONCATENATE(Z$4,$C535),Tabella1[CONC X VOTI IN TAB GIOC],Tabella1[Voto],""),"")</f>
        <v/>
      </c>
      <c r="AA535" s="270" t="str">
        <f>_xlfn.IFNA(_xlfn.XLOOKUP(CONCATENATE(AA$4,$C535),Tabella1[CONC X VOTI IN TAB GIOC],Tabella1[Voto],""),"")</f>
        <v/>
      </c>
      <c r="AB535" s="270">
        <f>_xlfn.IFNA(_xlfn.XLOOKUP(CONCATENATE(AB$4,$C535),Tabella1[CONC X VOTI IN TAB GIOC],Tabella1[Voto]),"")</f>
        <v>6</v>
      </c>
      <c r="AC535" s="270" t="str" cm="1">
        <f t="array" ref="AC535">_xlfn.IFNA(_xlfn.XLOOKUP(CONCATENATE(AC$4,$C535),INDEX(Tabella1[],0,MATCH("CONC X VOTI IN TAB GIOC",Tabella1[#Headers],0)),INDEX(Tabella1[],0,MATCH("Voto",Tabella1[#Headers],0))),"")</f>
        <v/>
      </c>
      <c r="AD535" s="270" t="str">
        <f>_xlfn.IFNA(_xlfn.XLOOKUP(CONCATENATE(AD$4,$C535),Tabella1[CONC X VOTI IN TAB GIOC],Tabella1[Voto]),"")</f>
        <v/>
      </c>
      <c r="AE535" s="270" t="str">
        <f>_xlfn.IFNA(VLOOKUP(CONCATENATE(AE$4,$C535),'INSER DATA'!$A:$F,6,0),"")</f>
        <v/>
      </c>
      <c r="AF535" s="270" t="str">
        <f>_xlfn.IFNA(VLOOKUP(CONCATENATE(AF$4,$C535),'INSER DATA'!$A:$F,6,0),"")</f>
        <v/>
      </c>
      <c r="AG535" s="270" t="str">
        <f>_xlfn.IFNA(VLOOKUP(CONCATENATE(AG$4,$C535),'INSER DATA'!$A:$F,6,0),"")</f>
        <v/>
      </c>
      <c r="AH535" s="270" t="str">
        <f>_xlfn.IFNA(VLOOKUP(CONCATENATE(AH$4,$C535),'INSER DATA'!$A:$F,7,0),"")</f>
        <v/>
      </c>
      <c r="AI535" s="270" t="str">
        <f>_xlfn.IFNA(VLOOKUP(CONCATENATE(AI$4,$C535),'INSER DATA'!$A:$F,7,0),"")</f>
        <v/>
      </c>
      <c r="AJ535" s="270" t="str">
        <f>_xlfn.IFNA(VLOOKUP(CONCATENATE(AJ$4,$C535),'INSER DATA'!$A:$F,7,0),"")</f>
        <v/>
      </c>
      <c r="AK535" s="270" t="str">
        <f>_xlfn.IFNA(VLOOKUP(CONCATENATE(AK$4,$C535),'INSER DATA'!$A:$F,7,0),"")</f>
        <v/>
      </c>
      <c r="AL535" s="270" t="str">
        <f>_xlfn.IFNA(VLOOKUP(CONCATENATE(AL$4,$C535),'INSER DATA'!$A:$F,7,0),"")</f>
        <v/>
      </c>
      <c r="AM535" s="270" t="str">
        <f>_xlfn.IFNA(VLOOKUP(CONCATENATE(AM$4,$C535),'INSER DATA'!$A:$F,7,0),"")</f>
        <v/>
      </c>
      <c r="AN535" s="270" t="str">
        <f>_xlfn.IFNA(VLOOKUP(CONCATENATE(AN$4,$C535),'INSER DATA'!$A:$F,7,0),"")</f>
        <v/>
      </c>
      <c r="AO535" s="270" t="str">
        <f>_xlfn.IFNA(VLOOKUP(CONCATENATE(AO$4,$C535),'INSER DATA'!$A:$F,7,0),"")</f>
        <v/>
      </c>
      <c r="AP535" s="270" t="str">
        <f>_xlfn.IFNA(VLOOKUP(CONCATENATE(AP$4,$C535),'INSER DATA'!$A:$F,7,0),"")</f>
        <v/>
      </c>
      <c r="AQ535" s="270" t="str">
        <f>_xlfn.IFNA(VLOOKUP(CONCATENATE(AQ$4,$C535),'INSER DATA'!$A:$F,7,0),"")</f>
        <v/>
      </c>
      <c r="AR535" s="270" t="str">
        <f>_xlfn.IFNA(VLOOKUP(CONCATENATE(AR$4,$C535),'INSER DATA'!$A:$F,7,0),"")</f>
        <v/>
      </c>
      <c r="AS535" s="270" t="str">
        <f>_xlfn.IFNA(VLOOKUP(CONCATENATE(AS$4,$C535),'INSER DATA'!$A:$F,7,0),"")</f>
        <v/>
      </c>
      <c r="AT535" s="270" t="str">
        <f>_xlfn.IFNA(VLOOKUP(CONCATENATE(AT$4,$C535),'INSER DATA'!$A:$F,7,0),"")</f>
        <v/>
      </c>
      <c r="AU535" s="270" t="str">
        <f>_xlfn.IFNA(VLOOKUP(CONCATENATE(AU$4,$C535),'INSER DATA'!$A:$F,7,0),"")</f>
        <v/>
      </c>
      <c r="AV535" s="270" t="str">
        <f>_xlfn.IFNA(VLOOKUP(CONCATENATE(AV$4,$C535),'INSER DATA'!$A:$F,7,0),"")</f>
        <v/>
      </c>
      <c r="AW535" s="270" t="str">
        <f>_xlfn.IFNA(VLOOKUP(CONCATENATE(AW$4,$C535),'INSER DATA'!$A:$F,7,0),"")</f>
        <v/>
      </c>
      <c r="AX535" s="270" t="str">
        <f>_xlfn.IFNA(VLOOKUP(CONCATENATE(AX$4,$C535),'INSER DATA'!$A:$F,7,0),"")</f>
        <v/>
      </c>
      <c r="AY535" s="270" t="str">
        <f>_xlfn.IFNA(VLOOKUP(CONCATENATE(AY$4,$C535),'INSER DATA'!$A:$F,7,0),"")</f>
        <v/>
      </c>
      <c r="AZ535" s="270" t="str">
        <f>_xlfn.IFNA(VLOOKUP(CONCATENATE(AZ$4,$C535),'INSER DATA'!$A:$F,7,0),"")</f>
        <v/>
      </c>
      <c r="BA535" s="270" t="str">
        <f>_xlfn.IFNA(VLOOKUP(CONCATENATE(BA$4,$C535),'INSER DATA'!$A:$F,7,0),"")</f>
        <v/>
      </c>
      <c r="BB535" s="270" t="str">
        <f>_xlfn.IFNA(VLOOKUP(CONCATENATE(BB$4,$C535),'INSER DATA'!$A:$F,7,0),"")</f>
        <v/>
      </c>
      <c r="BC535" s="270" t="str">
        <f>_xlfn.IFNA(VLOOKUP(CONCATENATE(BC$4,$C535),'INSER DATA'!$A:$F,7,0),"")</f>
        <v/>
      </c>
      <c r="BD535" s="270" t="str">
        <f>_xlfn.IFNA(VLOOKUP(CONCATENATE(BD$4,$C535),'INSER DATA'!$A:$F,7,0),"")</f>
        <v/>
      </c>
      <c r="BE535" s="270" t="str">
        <f>_xlfn.IFNA(VLOOKUP(CONCATENATE(BE$4,$C535),'INSER DATA'!$A:$F,7,0),"")</f>
        <v/>
      </c>
      <c r="BF535" s="270" t="str">
        <f>_xlfn.IFNA(VLOOKUP(CONCATENATE(BF$4,$C535),'INSER DATA'!$A:$F,7,0),"")</f>
        <v/>
      </c>
      <c r="BG535" s="270" t="str">
        <f>_xlfn.IFNA(VLOOKUP(CONCATENATE(BG$4,$C535),'INSER DATA'!$A:$F,7,0),"")</f>
        <v/>
      </c>
      <c r="BH535" s="270" t="str">
        <f>_xlfn.IFNA(VLOOKUP(CONCATENATE(BH$4,$C535),'INSER DATA'!$A:$F,7,0),"")</f>
        <v/>
      </c>
      <c r="BI535" s="270" t="str">
        <f>_xlfn.IFNA(VLOOKUP(CONCATENATE(BI$4,$C535),'INSER DATA'!$A:$F,7,0),"")</f>
        <v/>
      </c>
      <c r="BJ535" s="270" t="str">
        <f>_xlfn.IFNA(VLOOKUP(CONCATENATE(BJ$4,$C535),'INSER DATA'!$A:$F,7,0),"")</f>
        <v/>
      </c>
      <c r="BK535" s="270" t="str">
        <f>_xlfn.IFNA(VLOOKUP(CONCATENATE(BK$4,$C535),'INSER DATA'!$A:$F,7,0),"")</f>
        <v/>
      </c>
      <c r="BL535" s="272"/>
      <c r="BM535" s="30"/>
      <c r="BN535" s="30"/>
      <c r="BO535" s="30"/>
      <c r="BP535" s="30"/>
      <c r="BQ535" s="30"/>
      <c r="BR535" s="30"/>
      <c r="BS535" s="30"/>
      <c r="BT535" s="30"/>
      <c r="BU535" s="30"/>
      <c r="BV535" s="30"/>
      <c r="BW535" s="30"/>
      <c r="BX535" s="30"/>
      <c r="BY535" s="30"/>
      <c r="BZ535" s="30"/>
      <c r="CA535" s="30"/>
      <c r="CB535" s="30"/>
      <c r="CC535" s="30"/>
      <c r="CD535" s="30"/>
      <c r="CE535" s="30"/>
      <c r="CF535" s="30"/>
      <c r="CG535" s="30"/>
      <c r="CH535" s="30"/>
      <c r="CI535" s="30"/>
      <c r="CJ535" s="30"/>
      <c r="CK535" s="30"/>
      <c r="CL535" s="30"/>
      <c r="CM535" s="30"/>
      <c r="CN535" s="30"/>
      <c r="CO535" s="30"/>
      <c r="CP535" s="30"/>
      <c r="CQ535" s="30"/>
      <c r="CR535" s="30"/>
      <c r="CS535" s="30"/>
      <c r="CT535" s="30"/>
      <c r="CU535" s="30"/>
      <c r="CV535" s="30"/>
      <c r="CW535" s="30"/>
      <c r="CX535" s="30"/>
      <c r="CY535" s="30"/>
      <c r="CZ535" s="30"/>
      <c r="DA535" s="30"/>
    </row>
    <row r="536" spans="1:105" ht="19.2" thickTop="1" thickBot="1" x14ac:dyDescent="0.4">
      <c r="A536" s="30"/>
      <c r="B536" s="30"/>
      <c r="C536" s="406" t="s">
        <v>1039</v>
      </c>
      <c r="D536" s="407" t="s">
        <v>642</v>
      </c>
      <c r="E536" s="35" t="str">
        <f>_xlfn.XLOOKUP(Tabella4[[#This Row],[NOME]],'ROSE SQUADRE'!$N$3:$N$253,'ROSE SQUADRE'!$O$3:$O$253,"")</f>
        <v>AC ASPARAGHESE</v>
      </c>
      <c r="F536" s="36" t="s">
        <v>162</v>
      </c>
      <c r="G536" s="43"/>
      <c r="H536" s="43"/>
      <c r="I536" s="44">
        <f t="shared" ref="I536:I551" si="56">SUM(H536-G536)</f>
        <v>0</v>
      </c>
      <c r="J536" s="408">
        <f t="shared" ref="J536:J551" si="57">COUNT(Z536:CJ536)</f>
        <v>1</v>
      </c>
      <c r="K536" s="178">
        <f t="shared" ref="K536:K551" si="58">IF(J536=0,0,AVERAGE(Z536:CJ536))</f>
        <v>5.5</v>
      </c>
      <c r="L536" s="178">
        <f t="shared" ref="L536:L551" si="59">IF(J536=0,0,M536/J536)</f>
        <v>5.5</v>
      </c>
      <c r="M536" s="179">
        <f t="shared" ref="M536:M551" si="60">SUM(Z536:CJ536)+(O536*3)+P536+(Q536*3)-(R536*3)-(T536*2)-(U536/2)-V536+W536+X536+Y536</f>
        <v>5.5</v>
      </c>
      <c r="N536" s="45">
        <f t="shared" ref="N536:N551" ca="1" si="61">ContaCellePerColore(Z536:BK536,$C$3)</f>
        <v>0</v>
      </c>
      <c r="O536" s="40">
        <f>SUMIF(Tabella1[Nome],Tabella4[[#This Row],[NOME]],Tabella1[Gf])</f>
        <v>0</v>
      </c>
      <c r="P536" s="40">
        <f>-(SUMIF(Tabella1[Nome],Tabella4[[#This Row],[NOME]],Tabella1[Gs]))</f>
        <v>0</v>
      </c>
      <c r="Q536" s="40">
        <f>SUMIF(Tabella1[Nome],Tabella4[[#This Row],[NOME]],Tabella1[Rp])</f>
        <v>0</v>
      </c>
      <c r="R536" s="40">
        <f>SUMIF(Tabella1[Nome],Tabella4[[#This Row],[NOME]],Tabella1[Rs])</f>
        <v>0</v>
      </c>
      <c r="S536" s="40">
        <f>SUMIF(Tabella1[Nome],Tabella4[[#This Row],[NOME]],Tabella1[Rf])</f>
        <v>0</v>
      </c>
      <c r="T536" s="40">
        <f>SUMIF(Tabella1[Nome],Tabella4[[#This Row],[NOME]],Tabella1[Au])</f>
        <v>0</v>
      </c>
      <c r="U536" s="41">
        <f>SUMIF(Tabella1[Nome],Tabella4[[#This Row],[NOME]],Tabella1[Amm])</f>
        <v>0</v>
      </c>
      <c r="V536" s="42">
        <f>SUMIF(Tabella1[Nome],Tabella4[[#This Row],[NOME]],Tabella1[Esp])</f>
        <v>0</v>
      </c>
      <c r="W536" s="40">
        <f>SUMIF(Tabella1[Nome],Tabella4[[#This Row],[NOME]],Tabella1[Ass])</f>
        <v>0</v>
      </c>
      <c r="X536" s="40">
        <f>SUMIF(Tabella1[Nome],Tabella4[[#This Row],[NOME]],Tabella1[Gdv])</f>
        <v>0</v>
      </c>
      <c r="Y536" s="40">
        <f>SUMIF(Tabella1[Nome],Tabella4[[#This Row],[NOME]],Tabella1[cl sh])</f>
        <v>0</v>
      </c>
      <c r="Z536" s="270" t="str">
        <f>_xlfn.IFNA(_xlfn.XLOOKUP(CONCATENATE(Z$4,$C536),Tabella1[CONC X VOTI IN TAB GIOC],Tabella1[Voto],""),"")</f>
        <v/>
      </c>
      <c r="AA536" s="270" t="str">
        <f>_xlfn.IFNA(_xlfn.XLOOKUP(CONCATENATE(AA$4,$C536),Tabella1[CONC X VOTI IN TAB GIOC],Tabella1[Voto],""),"")</f>
        <v/>
      </c>
      <c r="AB536" s="270" t="str">
        <f>_xlfn.IFNA(_xlfn.XLOOKUP(CONCATENATE(AB$4,$C536),Tabella1[CONC X VOTI IN TAB GIOC],Tabella1[Voto]),"")</f>
        <v/>
      </c>
      <c r="AC536" s="270" cm="1">
        <f t="array" ref="AC536">_xlfn.IFNA(_xlfn.XLOOKUP(CONCATENATE(AC$4,$C536),INDEX(Tabella1[],0,MATCH("CONC X VOTI IN TAB GIOC",Tabella1[#Headers],0)),INDEX(Tabella1[],0,MATCH("Voto",Tabella1[#Headers],0))),"")</f>
        <v>5.5</v>
      </c>
      <c r="AD536" s="270" t="str">
        <f>_xlfn.IFNA(_xlfn.XLOOKUP(CONCATENATE(AD$4,$C536),Tabella1[CONC X VOTI IN TAB GIOC],Tabella1[Voto]),"")</f>
        <v/>
      </c>
      <c r="AE536" s="270" t="str">
        <f>_xlfn.IFNA(VLOOKUP(CONCATENATE(AE$4,$C536),'INSER DATA'!$A:$F,6,0),"")</f>
        <v/>
      </c>
      <c r="AF536" s="270" t="str">
        <f>_xlfn.IFNA(VLOOKUP(CONCATENATE(AF$4,$C536),'INSER DATA'!$A:$F,6,0),"")</f>
        <v/>
      </c>
      <c r="AG536" s="270" t="str">
        <f>_xlfn.IFNA(VLOOKUP(CONCATENATE(AG$4,$C536),'INSER DATA'!$A:$F,6,0),"")</f>
        <v/>
      </c>
      <c r="AH536" s="270" t="str">
        <f>_xlfn.IFNA(VLOOKUP(CONCATENATE(AH$4,$C536),'INSER DATA'!$A:$F,7,0),"")</f>
        <v/>
      </c>
      <c r="AI536" s="270" t="str">
        <f>_xlfn.IFNA(VLOOKUP(CONCATENATE(AI$4,$C536),'INSER DATA'!$A:$F,7,0),"")</f>
        <v/>
      </c>
      <c r="AJ536" s="270" t="str">
        <f>_xlfn.IFNA(VLOOKUP(CONCATENATE(AJ$4,$C536),'INSER DATA'!$A:$F,7,0),"")</f>
        <v/>
      </c>
      <c r="AK536" s="270" t="str">
        <f>_xlfn.IFNA(VLOOKUP(CONCATENATE(AK$4,$C536),'INSER DATA'!$A:$F,7,0),"")</f>
        <v/>
      </c>
      <c r="AL536" s="270" t="str">
        <f>_xlfn.IFNA(VLOOKUP(CONCATENATE(AL$4,$C536),'INSER DATA'!$A:$F,7,0),"")</f>
        <v/>
      </c>
      <c r="AM536" s="270" t="str">
        <f>_xlfn.IFNA(VLOOKUP(CONCATENATE(AM$4,$C536),'INSER DATA'!$A:$F,7,0),"")</f>
        <v/>
      </c>
      <c r="AN536" s="270" t="str">
        <f>_xlfn.IFNA(VLOOKUP(CONCATENATE(AN$4,$C536),'INSER DATA'!$A:$F,7,0),"")</f>
        <v/>
      </c>
      <c r="AO536" s="270" t="str">
        <f>_xlfn.IFNA(VLOOKUP(CONCATENATE(AO$4,$C536),'INSER DATA'!$A:$F,7,0),"")</f>
        <v/>
      </c>
      <c r="AP536" s="270" t="str">
        <f>_xlfn.IFNA(VLOOKUP(CONCATENATE(AP$4,$C536),'INSER DATA'!$A:$F,7,0),"")</f>
        <v/>
      </c>
      <c r="AQ536" s="270" t="str">
        <f>_xlfn.IFNA(VLOOKUP(CONCATENATE(AQ$4,$C536),'INSER DATA'!$A:$F,7,0),"")</f>
        <v/>
      </c>
      <c r="AR536" s="270" t="str">
        <f>_xlfn.IFNA(VLOOKUP(CONCATENATE(AR$4,$C536),'INSER DATA'!$A:$F,7,0),"")</f>
        <v/>
      </c>
      <c r="AS536" s="270" t="str">
        <f>_xlfn.IFNA(VLOOKUP(CONCATENATE(AS$4,$C536),'INSER DATA'!$A:$F,7,0),"")</f>
        <v/>
      </c>
      <c r="AT536" s="270" t="str">
        <f>_xlfn.IFNA(VLOOKUP(CONCATENATE(AT$4,$C536),'INSER DATA'!$A:$F,7,0),"")</f>
        <v/>
      </c>
      <c r="AU536" s="270" t="str">
        <f>_xlfn.IFNA(VLOOKUP(CONCATENATE(AU$4,$C536),'INSER DATA'!$A:$F,7,0),"")</f>
        <v/>
      </c>
      <c r="AV536" s="270" t="str">
        <f>_xlfn.IFNA(VLOOKUP(CONCATENATE(AV$4,$C536),'INSER DATA'!$A:$F,7,0),"")</f>
        <v/>
      </c>
      <c r="AW536" s="270" t="str">
        <f>_xlfn.IFNA(VLOOKUP(CONCATENATE(AW$4,$C536),'INSER DATA'!$A:$F,7,0),"")</f>
        <v/>
      </c>
      <c r="AX536" s="270" t="str">
        <f>_xlfn.IFNA(VLOOKUP(CONCATENATE(AX$4,$C536),'INSER DATA'!$A:$F,7,0),"")</f>
        <v/>
      </c>
      <c r="AY536" s="270" t="str">
        <f>_xlfn.IFNA(VLOOKUP(CONCATENATE(AY$4,$C536),'INSER DATA'!$A:$F,7,0),"")</f>
        <v/>
      </c>
      <c r="AZ536" s="270" t="str">
        <f>_xlfn.IFNA(VLOOKUP(CONCATENATE(AZ$4,$C536),'INSER DATA'!$A:$F,7,0),"")</f>
        <v/>
      </c>
      <c r="BA536" s="270" t="str">
        <f>_xlfn.IFNA(VLOOKUP(CONCATENATE(BA$4,$C536),'INSER DATA'!$A:$F,7,0),"")</f>
        <v/>
      </c>
      <c r="BB536" s="270" t="str">
        <f>_xlfn.IFNA(VLOOKUP(CONCATENATE(BB$4,$C536),'INSER DATA'!$A:$F,7,0),"")</f>
        <v/>
      </c>
      <c r="BC536" s="270" t="str">
        <f>_xlfn.IFNA(VLOOKUP(CONCATENATE(BC$4,$C536),'INSER DATA'!$A:$F,7,0),"")</f>
        <v/>
      </c>
      <c r="BD536" s="270" t="str">
        <f>_xlfn.IFNA(VLOOKUP(CONCATENATE(BD$4,$C536),'INSER DATA'!$A:$F,7,0),"")</f>
        <v/>
      </c>
      <c r="BE536" s="270" t="str">
        <f>_xlfn.IFNA(VLOOKUP(CONCATENATE(BE$4,$C536),'INSER DATA'!$A:$F,7,0),"")</f>
        <v/>
      </c>
      <c r="BF536" s="270" t="str">
        <f>_xlfn.IFNA(VLOOKUP(CONCATENATE(BF$4,$C536),'INSER DATA'!$A:$F,7,0),"")</f>
        <v/>
      </c>
      <c r="BG536" s="270" t="str">
        <f>_xlfn.IFNA(VLOOKUP(CONCATENATE(BG$4,$C536),'INSER DATA'!$A:$F,7,0),"")</f>
        <v/>
      </c>
      <c r="BH536" s="270" t="str">
        <f>_xlfn.IFNA(VLOOKUP(CONCATENATE(BH$4,$C536),'INSER DATA'!$A:$F,7,0),"")</f>
        <v/>
      </c>
      <c r="BI536" s="270" t="str">
        <f>_xlfn.IFNA(VLOOKUP(CONCATENATE(BI$4,$C536),'INSER DATA'!$A:$F,7,0),"")</f>
        <v/>
      </c>
      <c r="BJ536" s="270" t="str">
        <f>_xlfn.IFNA(VLOOKUP(CONCATENATE(BJ$4,$C536),'INSER DATA'!$A:$F,7,0),"")</f>
        <v/>
      </c>
      <c r="BK536" s="270" t="str">
        <f>_xlfn.IFNA(VLOOKUP(CONCATENATE(BK$4,$C536),'INSER DATA'!$A:$F,7,0),"")</f>
        <v/>
      </c>
      <c r="BL536" s="272"/>
      <c r="BM536" s="30"/>
      <c r="BN536" s="30"/>
      <c r="BO536" s="30"/>
      <c r="BP536" s="30"/>
      <c r="BQ536" s="30"/>
      <c r="BR536" s="30"/>
      <c r="BS536" s="30"/>
      <c r="BT536" s="30"/>
      <c r="BU536" s="30"/>
      <c r="BV536" s="30"/>
      <c r="BW536" s="30"/>
      <c r="BX536" s="30"/>
      <c r="BY536" s="30"/>
      <c r="BZ536" s="30"/>
      <c r="CA536" s="30"/>
      <c r="CB536" s="30"/>
      <c r="CC536" s="30"/>
      <c r="CD536" s="30"/>
      <c r="CE536" s="30"/>
      <c r="CF536" s="30"/>
      <c r="CG536" s="30"/>
      <c r="CH536" s="30"/>
      <c r="CI536" s="30"/>
      <c r="CJ536" s="30"/>
      <c r="CK536" s="30"/>
      <c r="CL536" s="30"/>
      <c r="CM536" s="30"/>
      <c r="CN536" s="30"/>
      <c r="CO536" s="30"/>
      <c r="CP536" s="30"/>
      <c r="CQ536" s="30"/>
      <c r="CR536" s="30"/>
      <c r="CS536" s="30"/>
      <c r="CT536" s="30"/>
      <c r="CU536" s="30"/>
      <c r="CV536" s="30"/>
      <c r="CW536" s="30"/>
      <c r="CX536" s="30"/>
      <c r="CY536" s="30"/>
      <c r="CZ536" s="30"/>
      <c r="DA536" s="30"/>
    </row>
    <row r="537" spans="1:105" ht="19.2" thickTop="1" thickBot="1" x14ac:dyDescent="0.4">
      <c r="A537" s="30"/>
      <c r="B537" s="30"/>
      <c r="C537" s="406" t="s">
        <v>1086</v>
      </c>
      <c r="D537" s="407" t="s">
        <v>662</v>
      </c>
      <c r="E537" s="35" t="str">
        <f>_xlfn.XLOOKUP(Tabella4[[#This Row],[NOME]],'ROSE SQUADRE'!$N$3:$N$253,'ROSE SQUADRE'!$O$3:$O$253,"")</f>
        <v/>
      </c>
      <c r="F537" s="36" t="s">
        <v>161</v>
      </c>
      <c r="G537" s="43"/>
      <c r="H537" s="43"/>
      <c r="I537" s="44">
        <f t="shared" si="56"/>
        <v>0</v>
      </c>
      <c r="J537" s="408">
        <f t="shared" si="57"/>
        <v>1</v>
      </c>
      <c r="K537" s="178">
        <f t="shared" si="58"/>
        <v>6</v>
      </c>
      <c r="L537" s="178">
        <f t="shared" si="59"/>
        <v>6</v>
      </c>
      <c r="M537" s="179">
        <f t="shared" si="60"/>
        <v>6</v>
      </c>
      <c r="N537" s="45">
        <f t="shared" ca="1" si="61"/>
        <v>0</v>
      </c>
      <c r="O537" s="40">
        <f>SUMIF(Tabella1[Nome],Tabella4[[#This Row],[NOME]],Tabella1[Gf])</f>
        <v>0</v>
      </c>
      <c r="P537" s="40">
        <f>-(SUMIF(Tabella1[Nome],Tabella4[[#This Row],[NOME]],Tabella1[Gs]))</f>
        <v>0</v>
      </c>
      <c r="Q537" s="40">
        <f>SUMIF(Tabella1[Nome],Tabella4[[#This Row],[NOME]],Tabella1[Rp])</f>
        <v>0</v>
      </c>
      <c r="R537" s="40">
        <f>SUMIF(Tabella1[Nome],Tabella4[[#This Row],[NOME]],Tabella1[Rs])</f>
        <v>0</v>
      </c>
      <c r="S537" s="40">
        <f>SUMIF(Tabella1[Nome],Tabella4[[#This Row],[NOME]],Tabella1[Rf])</f>
        <v>0</v>
      </c>
      <c r="T537" s="40">
        <f>SUMIF(Tabella1[Nome],Tabella4[[#This Row],[NOME]],Tabella1[Au])</f>
        <v>0</v>
      </c>
      <c r="U537" s="41">
        <f>SUMIF(Tabella1[Nome],Tabella4[[#This Row],[NOME]],Tabella1[Amm])</f>
        <v>0</v>
      </c>
      <c r="V537" s="42">
        <f>SUMIF(Tabella1[Nome],Tabella4[[#This Row],[NOME]],Tabella1[Esp])</f>
        <v>0</v>
      </c>
      <c r="W537" s="40">
        <f>SUMIF(Tabella1[Nome],Tabella4[[#This Row],[NOME]],Tabella1[Ass])</f>
        <v>0</v>
      </c>
      <c r="X537" s="40">
        <f>SUMIF(Tabella1[Nome],Tabella4[[#This Row],[NOME]],Tabella1[Gdv])</f>
        <v>0</v>
      </c>
      <c r="Y537" s="40">
        <f>SUMIF(Tabella1[Nome],Tabella4[[#This Row],[NOME]],Tabella1[cl sh])</f>
        <v>0</v>
      </c>
      <c r="Z537" s="270" t="str">
        <f>_xlfn.IFNA(_xlfn.XLOOKUP(CONCATENATE(Z$4,$C537),Tabella1[CONC X VOTI IN TAB GIOC],Tabella1[Voto],""),"")</f>
        <v/>
      </c>
      <c r="AA537" s="270" t="str">
        <f>_xlfn.IFNA(_xlfn.XLOOKUP(CONCATENATE(AA$4,$C537),Tabella1[CONC X VOTI IN TAB GIOC],Tabella1[Voto],""),"")</f>
        <v/>
      </c>
      <c r="AB537" s="270" t="str">
        <f>_xlfn.IFNA(_xlfn.XLOOKUP(CONCATENATE(AB$4,$C537),Tabella1[CONC X VOTI IN TAB GIOC],Tabella1[Voto]),"")</f>
        <v/>
      </c>
      <c r="AC537" s="270" cm="1">
        <f t="array" ref="AC537">_xlfn.IFNA(_xlfn.XLOOKUP(CONCATENATE(AC$4,$C537),INDEX(Tabella1[],0,MATCH("CONC X VOTI IN TAB GIOC",Tabella1[#Headers],0)),INDEX(Tabella1[],0,MATCH("Voto",Tabella1[#Headers],0))),"")</f>
        <v>6</v>
      </c>
      <c r="AD537" s="270" t="str">
        <f>_xlfn.IFNA(_xlfn.XLOOKUP(CONCATENATE(AD$4,$C537),Tabella1[CONC X VOTI IN TAB GIOC],Tabella1[Voto]),"")</f>
        <v/>
      </c>
      <c r="AE537" s="270" t="str">
        <f>_xlfn.IFNA(VLOOKUP(CONCATENATE(AE$4,$C537),'INSER DATA'!$A:$F,6,0),"")</f>
        <v/>
      </c>
      <c r="AF537" s="270" t="str">
        <f>_xlfn.IFNA(VLOOKUP(CONCATENATE(AF$4,$C537),'INSER DATA'!$A:$F,6,0),"")</f>
        <v/>
      </c>
      <c r="AG537" s="270" t="str">
        <f>_xlfn.IFNA(VLOOKUP(CONCATENATE(AG$4,$C537),'INSER DATA'!$A:$F,6,0),"")</f>
        <v/>
      </c>
      <c r="AH537" s="270" t="str">
        <f>_xlfn.IFNA(VLOOKUP(CONCATENATE(AH$4,$C537),'INSER DATA'!$A:$F,7,0),"")</f>
        <v/>
      </c>
      <c r="AI537" s="270" t="str">
        <f>_xlfn.IFNA(VLOOKUP(CONCATENATE(AI$4,$C537),'INSER DATA'!$A:$F,7,0),"")</f>
        <v/>
      </c>
      <c r="AJ537" s="270" t="str">
        <f>_xlfn.IFNA(VLOOKUP(CONCATENATE(AJ$4,$C537),'INSER DATA'!$A:$F,7,0),"")</f>
        <v/>
      </c>
      <c r="AK537" s="270" t="str">
        <f>_xlfn.IFNA(VLOOKUP(CONCATENATE(AK$4,$C537),'INSER DATA'!$A:$F,7,0),"")</f>
        <v/>
      </c>
      <c r="AL537" s="270" t="str">
        <f>_xlfn.IFNA(VLOOKUP(CONCATENATE(AL$4,$C537),'INSER DATA'!$A:$F,7,0),"")</f>
        <v/>
      </c>
      <c r="AM537" s="270" t="str">
        <f>_xlfn.IFNA(VLOOKUP(CONCATENATE(AM$4,$C537),'INSER DATA'!$A:$F,7,0),"")</f>
        <v/>
      </c>
      <c r="AN537" s="270" t="str">
        <f>_xlfn.IFNA(VLOOKUP(CONCATENATE(AN$4,$C537),'INSER DATA'!$A:$F,7,0),"")</f>
        <v/>
      </c>
      <c r="AO537" s="270" t="str">
        <f>_xlfn.IFNA(VLOOKUP(CONCATENATE(AO$4,$C537),'INSER DATA'!$A:$F,7,0),"")</f>
        <v/>
      </c>
      <c r="AP537" s="270" t="str">
        <f>_xlfn.IFNA(VLOOKUP(CONCATENATE(AP$4,$C537),'INSER DATA'!$A:$F,7,0),"")</f>
        <v/>
      </c>
      <c r="AQ537" s="270" t="str">
        <f>_xlfn.IFNA(VLOOKUP(CONCATENATE(AQ$4,$C537),'INSER DATA'!$A:$F,7,0),"")</f>
        <v/>
      </c>
      <c r="AR537" s="270" t="str">
        <f>_xlfn.IFNA(VLOOKUP(CONCATENATE(AR$4,$C537),'INSER DATA'!$A:$F,7,0),"")</f>
        <v/>
      </c>
      <c r="AS537" s="270" t="str">
        <f>_xlfn.IFNA(VLOOKUP(CONCATENATE(AS$4,$C537),'INSER DATA'!$A:$F,7,0),"")</f>
        <v/>
      </c>
      <c r="AT537" s="270" t="str">
        <f>_xlfn.IFNA(VLOOKUP(CONCATENATE(AT$4,$C537),'INSER DATA'!$A:$F,7,0),"")</f>
        <v/>
      </c>
      <c r="AU537" s="270" t="str">
        <f>_xlfn.IFNA(VLOOKUP(CONCATENATE(AU$4,$C537),'INSER DATA'!$A:$F,7,0),"")</f>
        <v/>
      </c>
      <c r="AV537" s="270" t="str">
        <f>_xlfn.IFNA(VLOOKUP(CONCATENATE(AV$4,$C537),'INSER DATA'!$A:$F,7,0),"")</f>
        <v/>
      </c>
      <c r="AW537" s="270" t="str">
        <f>_xlfn.IFNA(VLOOKUP(CONCATENATE(AW$4,$C537),'INSER DATA'!$A:$F,7,0),"")</f>
        <v/>
      </c>
      <c r="AX537" s="270" t="str">
        <f>_xlfn.IFNA(VLOOKUP(CONCATENATE(AX$4,$C537),'INSER DATA'!$A:$F,7,0),"")</f>
        <v/>
      </c>
      <c r="AY537" s="270" t="str">
        <f>_xlfn.IFNA(VLOOKUP(CONCATENATE(AY$4,$C537),'INSER DATA'!$A:$F,7,0),"")</f>
        <v/>
      </c>
      <c r="AZ537" s="270" t="str">
        <f>_xlfn.IFNA(VLOOKUP(CONCATENATE(AZ$4,$C537),'INSER DATA'!$A:$F,7,0),"")</f>
        <v/>
      </c>
      <c r="BA537" s="270" t="str">
        <f>_xlfn.IFNA(VLOOKUP(CONCATENATE(BA$4,$C537),'INSER DATA'!$A:$F,7,0),"")</f>
        <v/>
      </c>
      <c r="BB537" s="270" t="str">
        <f>_xlfn.IFNA(VLOOKUP(CONCATENATE(BB$4,$C537),'INSER DATA'!$A:$F,7,0),"")</f>
        <v/>
      </c>
      <c r="BC537" s="270" t="str">
        <f>_xlfn.IFNA(VLOOKUP(CONCATENATE(BC$4,$C537),'INSER DATA'!$A:$F,7,0),"")</f>
        <v/>
      </c>
      <c r="BD537" s="270" t="str">
        <f>_xlfn.IFNA(VLOOKUP(CONCATENATE(BD$4,$C537),'INSER DATA'!$A:$F,7,0),"")</f>
        <v/>
      </c>
      <c r="BE537" s="270" t="str">
        <f>_xlfn.IFNA(VLOOKUP(CONCATENATE(BE$4,$C537),'INSER DATA'!$A:$F,7,0),"")</f>
        <v/>
      </c>
      <c r="BF537" s="270" t="str">
        <f>_xlfn.IFNA(VLOOKUP(CONCATENATE(BF$4,$C537),'INSER DATA'!$A:$F,7,0),"")</f>
        <v/>
      </c>
      <c r="BG537" s="270" t="str">
        <f>_xlfn.IFNA(VLOOKUP(CONCATENATE(BG$4,$C537),'INSER DATA'!$A:$F,7,0),"")</f>
        <v/>
      </c>
      <c r="BH537" s="270" t="str">
        <f>_xlfn.IFNA(VLOOKUP(CONCATENATE(BH$4,$C537),'INSER DATA'!$A:$F,7,0),"")</f>
        <v/>
      </c>
      <c r="BI537" s="270" t="str">
        <f>_xlfn.IFNA(VLOOKUP(CONCATENATE(BI$4,$C537),'INSER DATA'!$A:$F,7,0),"")</f>
        <v/>
      </c>
      <c r="BJ537" s="270" t="str">
        <f>_xlfn.IFNA(VLOOKUP(CONCATENATE(BJ$4,$C537),'INSER DATA'!$A:$F,7,0),"")</f>
        <v/>
      </c>
      <c r="BK537" s="270" t="str">
        <f>_xlfn.IFNA(VLOOKUP(CONCATENATE(BK$4,$C537),'INSER DATA'!$A:$F,7,0),"")</f>
        <v/>
      </c>
      <c r="BL537" s="272"/>
      <c r="BM537" s="30"/>
      <c r="BN537" s="30"/>
      <c r="BO537" s="30"/>
      <c r="BP537" s="30"/>
      <c r="BQ537" s="30"/>
      <c r="BR537" s="30"/>
      <c r="BS537" s="30"/>
      <c r="BT537" s="30"/>
      <c r="BU537" s="30"/>
      <c r="BV537" s="30"/>
      <c r="BW537" s="30"/>
      <c r="BX537" s="30"/>
      <c r="BY537" s="30"/>
      <c r="BZ537" s="30"/>
      <c r="CA537" s="30"/>
      <c r="CB537" s="30"/>
      <c r="CC537" s="30"/>
      <c r="CD537" s="30"/>
      <c r="CE537" s="30"/>
      <c r="CF537" s="30"/>
      <c r="CG537" s="30"/>
      <c r="CH537" s="30"/>
      <c r="CI537" s="30"/>
      <c r="CJ537" s="30"/>
      <c r="CK537" s="30"/>
      <c r="CL537" s="30"/>
      <c r="CM537" s="30"/>
      <c r="CN537" s="30"/>
      <c r="CO537" s="30"/>
      <c r="CP537" s="30"/>
      <c r="CQ537" s="30"/>
      <c r="CR537" s="30"/>
      <c r="CS537" s="30"/>
      <c r="CT537" s="30"/>
      <c r="CU537" s="30"/>
      <c r="CV537" s="30"/>
      <c r="CW537" s="30"/>
      <c r="CX537" s="30"/>
      <c r="CY537" s="30"/>
      <c r="CZ537" s="30"/>
      <c r="DA537" s="30"/>
    </row>
    <row r="538" spans="1:105" ht="19.2" thickTop="1" thickBot="1" x14ac:dyDescent="0.4">
      <c r="A538" s="30"/>
      <c r="B538" s="30"/>
      <c r="C538" s="406" t="s">
        <v>1087</v>
      </c>
      <c r="D538" s="407" t="s">
        <v>721</v>
      </c>
      <c r="E538" s="35" t="str">
        <f>_xlfn.XLOOKUP(Tabella4[[#This Row],[NOME]],'ROSE SQUADRE'!$N$3:$N$253,'ROSE SQUADRE'!$O$3:$O$253,"")</f>
        <v/>
      </c>
      <c r="F538" s="36" t="s">
        <v>163</v>
      </c>
      <c r="G538" s="43"/>
      <c r="H538" s="43"/>
      <c r="I538" s="44">
        <f t="shared" si="56"/>
        <v>0</v>
      </c>
      <c r="J538" s="408">
        <f t="shared" si="57"/>
        <v>1</v>
      </c>
      <c r="K538" s="178">
        <f t="shared" si="58"/>
        <v>6</v>
      </c>
      <c r="L538" s="178">
        <f t="shared" si="59"/>
        <v>6</v>
      </c>
      <c r="M538" s="179">
        <f t="shared" si="60"/>
        <v>6</v>
      </c>
      <c r="N538" s="45">
        <f t="shared" ca="1" si="61"/>
        <v>0</v>
      </c>
      <c r="O538" s="40">
        <f>SUMIF(Tabella1[Nome],Tabella4[[#This Row],[NOME]],Tabella1[Gf])</f>
        <v>0</v>
      </c>
      <c r="P538" s="40">
        <f>-(SUMIF(Tabella1[Nome],Tabella4[[#This Row],[NOME]],Tabella1[Gs]))</f>
        <v>0</v>
      </c>
      <c r="Q538" s="40">
        <f>SUMIF(Tabella1[Nome],Tabella4[[#This Row],[NOME]],Tabella1[Rp])</f>
        <v>0</v>
      </c>
      <c r="R538" s="40">
        <f>SUMIF(Tabella1[Nome],Tabella4[[#This Row],[NOME]],Tabella1[Rs])</f>
        <v>0</v>
      </c>
      <c r="S538" s="40">
        <f>SUMIF(Tabella1[Nome],Tabella4[[#This Row],[NOME]],Tabella1[Rf])</f>
        <v>0</v>
      </c>
      <c r="T538" s="40">
        <f>SUMIF(Tabella1[Nome],Tabella4[[#This Row],[NOME]],Tabella1[Au])</f>
        <v>0</v>
      </c>
      <c r="U538" s="41">
        <f>SUMIF(Tabella1[Nome],Tabella4[[#This Row],[NOME]],Tabella1[Amm])</f>
        <v>0</v>
      </c>
      <c r="V538" s="42">
        <f>SUMIF(Tabella1[Nome],Tabella4[[#This Row],[NOME]],Tabella1[Esp])</f>
        <v>0</v>
      </c>
      <c r="W538" s="40">
        <f>SUMIF(Tabella1[Nome],Tabella4[[#This Row],[NOME]],Tabella1[Ass])</f>
        <v>0</v>
      </c>
      <c r="X538" s="40">
        <f>SUMIF(Tabella1[Nome],Tabella4[[#This Row],[NOME]],Tabella1[Gdv])</f>
        <v>0</v>
      </c>
      <c r="Y538" s="40">
        <f>SUMIF(Tabella1[Nome],Tabella4[[#This Row],[NOME]],Tabella1[cl sh])</f>
        <v>0</v>
      </c>
      <c r="Z538" s="270" t="str">
        <f>_xlfn.IFNA(_xlfn.XLOOKUP(CONCATENATE(Z$4,$C538),Tabella1[CONC X VOTI IN TAB GIOC],Tabella1[Voto],""),"")</f>
        <v/>
      </c>
      <c r="AA538" s="270" t="str">
        <f>_xlfn.IFNA(_xlfn.XLOOKUP(CONCATENATE(AA$4,$C538),Tabella1[CONC X VOTI IN TAB GIOC],Tabella1[Voto],""),"")</f>
        <v/>
      </c>
      <c r="AB538" s="270" t="str">
        <f>_xlfn.IFNA(_xlfn.XLOOKUP(CONCATENATE(AB$4,$C538),Tabella1[CONC X VOTI IN TAB GIOC],Tabella1[Voto]),"")</f>
        <v/>
      </c>
      <c r="AC538" s="270" cm="1">
        <f t="array" ref="AC538">_xlfn.IFNA(_xlfn.XLOOKUP(CONCATENATE(AC$4,$C538),INDEX(Tabella1[],0,MATCH("CONC X VOTI IN TAB GIOC",Tabella1[#Headers],0)),INDEX(Tabella1[],0,MATCH("Voto",Tabella1[#Headers],0))),"")</f>
        <v>6</v>
      </c>
      <c r="AD538" s="270" t="str">
        <f>_xlfn.IFNA(_xlfn.XLOOKUP(CONCATENATE(AD$4,$C538),Tabella1[CONC X VOTI IN TAB GIOC],Tabella1[Voto]),"")</f>
        <v/>
      </c>
      <c r="AE538" s="270" t="str">
        <f>_xlfn.IFNA(VLOOKUP(CONCATENATE(AE$4,$C538),'INSER DATA'!$A:$F,6,0),"")</f>
        <v/>
      </c>
      <c r="AF538" s="270" t="str">
        <f>_xlfn.IFNA(VLOOKUP(CONCATENATE(AF$4,$C538),'INSER DATA'!$A:$F,6,0),"")</f>
        <v/>
      </c>
      <c r="AG538" s="270" t="str">
        <f>_xlfn.IFNA(VLOOKUP(CONCATENATE(AG$4,$C538),'INSER DATA'!$A:$F,6,0),"")</f>
        <v/>
      </c>
      <c r="AH538" s="270" t="str">
        <f>_xlfn.IFNA(VLOOKUP(CONCATENATE(AH$4,$C538),'INSER DATA'!$A:$F,7,0),"")</f>
        <v/>
      </c>
      <c r="AI538" s="270" t="str">
        <f>_xlfn.IFNA(VLOOKUP(CONCATENATE(AI$4,$C538),'INSER DATA'!$A:$F,7,0),"")</f>
        <v/>
      </c>
      <c r="AJ538" s="270" t="str">
        <f>_xlfn.IFNA(VLOOKUP(CONCATENATE(AJ$4,$C538),'INSER DATA'!$A:$F,7,0),"")</f>
        <v/>
      </c>
      <c r="AK538" s="270" t="str">
        <f>_xlfn.IFNA(VLOOKUP(CONCATENATE(AK$4,$C538),'INSER DATA'!$A:$F,7,0),"")</f>
        <v/>
      </c>
      <c r="AL538" s="270" t="str">
        <f>_xlfn.IFNA(VLOOKUP(CONCATENATE(AL$4,$C538),'INSER DATA'!$A:$F,7,0),"")</f>
        <v/>
      </c>
      <c r="AM538" s="270" t="str">
        <f>_xlfn.IFNA(VLOOKUP(CONCATENATE(AM$4,$C538),'INSER DATA'!$A:$F,7,0),"")</f>
        <v/>
      </c>
      <c r="AN538" s="270" t="str">
        <f>_xlfn.IFNA(VLOOKUP(CONCATENATE(AN$4,$C538),'INSER DATA'!$A:$F,7,0),"")</f>
        <v/>
      </c>
      <c r="AO538" s="270" t="str">
        <f>_xlfn.IFNA(VLOOKUP(CONCATENATE(AO$4,$C538),'INSER DATA'!$A:$F,7,0),"")</f>
        <v/>
      </c>
      <c r="AP538" s="270" t="str">
        <f>_xlfn.IFNA(VLOOKUP(CONCATENATE(AP$4,$C538),'INSER DATA'!$A:$F,7,0),"")</f>
        <v/>
      </c>
      <c r="AQ538" s="270" t="str">
        <f>_xlfn.IFNA(VLOOKUP(CONCATENATE(AQ$4,$C538),'INSER DATA'!$A:$F,7,0),"")</f>
        <v/>
      </c>
      <c r="AR538" s="270" t="str">
        <f>_xlfn.IFNA(VLOOKUP(CONCATENATE(AR$4,$C538),'INSER DATA'!$A:$F,7,0),"")</f>
        <v/>
      </c>
      <c r="AS538" s="270" t="str">
        <f>_xlfn.IFNA(VLOOKUP(CONCATENATE(AS$4,$C538),'INSER DATA'!$A:$F,7,0),"")</f>
        <v/>
      </c>
      <c r="AT538" s="270" t="str">
        <f>_xlfn.IFNA(VLOOKUP(CONCATENATE(AT$4,$C538),'INSER DATA'!$A:$F,7,0),"")</f>
        <v/>
      </c>
      <c r="AU538" s="270" t="str">
        <f>_xlfn.IFNA(VLOOKUP(CONCATENATE(AU$4,$C538),'INSER DATA'!$A:$F,7,0),"")</f>
        <v/>
      </c>
      <c r="AV538" s="270" t="str">
        <f>_xlfn.IFNA(VLOOKUP(CONCATENATE(AV$4,$C538),'INSER DATA'!$A:$F,7,0),"")</f>
        <v/>
      </c>
      <c r="AW538" s="270" t="str">
        <f>_xlfn.IFNA(VLOOKUP(CONCATENATE(AW$4,$C538),'INSER DATA'!$A:$F,7,0),"")</f>
        <v/>
      </c>
      <c r="AX538" s="270" t="str">
        <f>_xlfn.IFNA(VLOOKUP(CONCATENATE(AX$4,$C538),'INSER DATA'!$A:$F,7,0),"")</f>
        <v/>
      </c>
      <c r="AY538" s="270" t="str">
        <f>_xlfn.IFNA(VLOOKUP(CONCATENATE(AY$4,$C538),'INSER DATA'!$A:$F,7,0),"")</f>
        <v/>
      </c>
      <c r="AZ538" s="270" t="str">
        <f>_xlfn.IFNA(VLOOKUP(CONCATENATE(AZ$4,$C538),'INSER DATA'!$A:$F,7,0),"")</f>
        <v/>
      </c>
      <c r="BA538" s="270" t="str">
        <f>_xlfn.IFNA(VLOOKUP(CONCATENATE(BA$4,$C538),'INSER DATA'!$A:$F,7,0),"")</f>
        <v/>
      </c>
      <c r="BB538" s="270" t="str">
        <f>_xlfn.IFNA(VLOOKUP(CONCATENATE(BB$4,$C538),'INSER DATA'!$A:$F,7,0),"")</f>
        <v/>
      </c>
      <c r="BC538" s="270" t="str">
        <f>_xlfn.IFNA(VLOOKUP(CONCATENATE(BC$4,$C538),'INSER DATA'!$A:$F,7,0),"")</f>
        <v/>
      </c>
      <c r="BD538" s="270" t="str">
        <f>_xlfn.IFNA(VLOOKUP(CONCATENATE(BD$4,$C538),'INSER DATA'!$A:$F,7,0),"")</f>
        <v/>
      </c>
      <c r="BE538" s="270" t="str">
        <f>_xlfn.IFNA(VLOOKUP(CONCATENATE(BE$4,$C538),'INSER DATA'!$A:$F,7,0),"")</f>
        <v/>
      </c>
      <c r="BF538" s="270" t="str">
        <f>_xlfn.IFNA(VLOOKUP(CONCATENATE(BF$4,$C538),'INSER DATA'!$A:$F,7,0),"")</f>
        <v/>
      </c>
      <c r="BG538" s="270" t="str">
        <f>_xlfn.IFNA(VLOOKUP(CONCATENATE(BG$4,$C538),'INSER DATA'!$A:$F,7,0),"")</f>
        <v/>
      </c>
      <c r="BH538" s="270" t="str">
        <f>_xlfn.IFNA(VLOOKUP(CONCATENATE(BH$4,$C538),'INSER DATA'!$A:$F,7,0),"")</f>
        <v/>
      </c>
      <c r="BI538" s="270" t="str">
        <f>_xlfn.IFNA(VLOOKUP(CONCATENATE(BI$4,$C538),'INSER DATA'!$A:$F,7,0),"")</f>
        <v/>
      </c>
      <c r="BJ538" s="270" t="str">
        <f>_xlfn.IFNA(VLOOKUP(CONCATENATE(BJ$4,$C538),'INSER DATA'!$A:$F,7,0),"")</f>
        <v/>
      </c>
      <c r="BK538" s="270" t="str">
        <f>_xlfn.IFNA(VLOOKUP(CONCATENATE(BK$4,$C538),'INSER DATA'!$A:$F,7,0),"")</f>
        <v/>
      </c>
      <c r="BL538" s="272"/>
      <c r="BM538" s="30"/>
      <c r="BN538" s="30"/>
      <c r="BO538" s="30"/>
      <c r="BP538" s="30"/>
      <c r="BQ538" s="30"/>
      <c r="BR538" s="30"/>
      <c r="BS538" s="30"/>
      <c r="BT538" s="30"/>
      <c r="BU538" s="30"/>
      <c r="BV538" s="30"/>
      <c r="BW538" s="30"/>
      <c r="BX538" s="30"/>
      <c r="BY538" s="30"/>
      <c r="BZ538" s="30"/>
      <c r="CA538" s="30"/>
      <c r="CB538" s="30"/>
      <c r="CC538" s="30"/>
      <c r="CD538" s="30"/>
      <c r="CE538" s="30"/>
      <c r="CF538" s="30"/>
      <c r="CG538" s="30"/>
      <c r="CH538" s="30"/>
      <c r="CI538" s="30"/>
      <c r="CJ538" s="30"/>
      <c r="CK538" s="30"/>
      <c r="CL538" s="30"/>
      <c r="CM538" s="30"/>
      <c r="CN538" s="30"/>
      <c r="CO538" s="30"/>
      <c r="CP538" s="30"/>
      <c r="CQ538" s="30"/>
      <c r="CR538" s="30"/>
      <c r="CS538" s="30"/>
      <c r="CT538" s="30"/>
      <c r="CU538" s="30"/>
      <c r="CV538" s="30"/>
      <c r="CW538" s="30"/>
      <c r="CX538" s="30"/>
      <c r="CY538" s="30"/>
      <c r="CZ538" s="30"/>
      <c r="DA538" s="30"/>
    </row>
    <row r="539" spans="1:105" ht="19.2" thickTop="1" thickBot="1" x14ac:dyDescent="0.4">
      <c r="A539" s="30"/>
      <c r="B539" s="30"/>
      <c r="C539" s="406" t="s">
        <v>314</v>
      </c>
      <c r="D539" s="407" t="s">
        <v>749</v>
      </c>
      <c r="E539" s="35" t="str">
        <f>_xlfn.XLOOKUP(Tabella4[[#This Row],[NOME]],'ROSE SQUADRE'!$N$3:$N$253,'ROSE SQUADRE'!$O$3:$O$253,"")</f>
        <v/>
      </c>
      <c r="F539" s="36" t="s">
        <v>162</v>
      </c>
      <c r="G539" s="43"/>
      <c r="H539" s="43"/>
      <c r="I539" s="44">
        <f t="shared" si="56"/>
        <v>0</v>
      </c>
      <c r="J539" s="408">
        <f t="shared" si="57"/>
        <v>1</v>
      </c>
      <c r="K539" s="178">
        <f t="shared" si="58"/>
        <v>6</v>
      </c>
      <c r="L539" s="178">
        <f t="shared" si="59"/>
        <v>6</v>
      </c>
      <c r="M539" s="179">
        <f t="shared" si="60"/>
        <v>6</v>
      </c>
      <c r="N539" s="45">
        <f t="shared" ca="1" si="61"/>
        <v>0</v>
      </c>
      <c r="O539" s="40">
        <f>SUMIF(Tabella1[Nome],Tabella4[[#This Row],[NOME]],Tabella1[Gf])</f>
        <v>0</v>
      </c>
      <c r="P539" s="40">
        <f>-(SUMIF(Tabella1[Nome],Tabella4[[#This Row],[NOME]],Tabella1[Gs]))</f>
        <v>0</v>
      </c>
      <c r="Q539" s="40">
        <f>SUMIF(Tabella1[Nome],Tabella4[[#This Row],[NOME]],Tabella1[Rp])</f>
        <v>0</v>
      </c>
      <c r="R539" s="40">
        <f>SUMIF(Tabella1[Nome],Tabella4[[#This Row],[NOME]],Tabella1[Rs])</f>
        <v>0</v>
      </c>
      <c r="S539" s="40">
        <f>SUMIF(Tabella1[Nome],Tabella4[[#This Row],[NOME]],Tabella1[Rf])</f>
        <v>0</v>
      </c>
      <c r="T539" s="40">
        <f>SUMIF(Tabella1[Nome],Tabella4[[#This Row],[NOME]],Tabella1[Au])</f>
        <v>0</v>
      </c>
      <c r="U539" s="41">
        <f>SUMIF(Tabella1[Nome],Tabella4[[#This Row],[NOME]],Tabella1[Amm])</f>
        <v>0</v>
      </c>
      <c r="V539" s="42">
        <f>SUMIF(Tabella1[Nome],Tabella4[[#This Row],[NOME]],Tabella1[Esp])</f>
        <v>0</v>
      </c>
      <c r="W539" s="40">
        <f>SUMIF(Tabella1[Nome],Tabella4[[#This Row],[NOME]],Tabella1[Ass])</f>
        <v>0</v>
      </c>
      <c r="X539" s="40">
        <f>SUMIF(Tabella1[Nome],Tabella4[[#This Row],[NOME]],Tabella1[Gdv])</f>
        <v>0</v>
      </c>
      <c r="Y539" s="40">
        <f>SUMIF(Tabella1[Nome],Tabella4[[#This Row],[NOME]],Tabella1[cl sh])</f>
        <v>0</v>
      </c>
      <c r="Z539" s="270" t="str">
        <f>_xlfn.IFNA(_xlfn.XLOOKUP(CONCATENATE(Z$4,$C539),Tabella1[CONC X VOTI IN TAB GIOC],Tabella1[Voto],""),"")</f>
        <v/>
      </c>
      <c r="AA539" s="270" t="str">
        <f>_xlfn.IFNA(_xlfn.XLOOKUP(CONCATENATE(AA$4,$C539),Tabella1[CONC X VOTI IN TAB GIOC],Tabella1[Voto],""),"")</f>
        <v/>
      </c>
      <c r="AB539" s="270" t="str">
        <f>_xlfn.IFNA(_xlfn.XLOOKUP(CONCATENATE(AB$4,$C539),Tabella1[CONC X VOTI IN TAB GIOC],Tabella1[Voto]),"")</f>
        <v/>
      </c>
      <c r="AC539" s="270" cm="1">
        <f t="array" ref="AC539">_xlfn.IFNA(_xlfn.XLOOKUP(CONCATENATE(AC$4,$C539),INDEX(Tabella1[],0,MATCH("CONC X VOTI IN TAB GIOC",Tabella1[#Headers],0)),INDEX(Tabella1[],0,MATCH("Voto",Tabella1[#Headers],0))),"")</f>
        <v>6</v>
      </c>
      <c r="AD539" s="270" t="str">
        <f>_xlfn.IFNA(_xlfn.XLOOKUP(CONCATENATE(AD$4,$C539),Tabella1[CONC X VOTI IN TAB GIOC],Tabella1[Voto]),"")</f>
        <v/>
      </c>
      <c r="AE539" s="270" t="str">
        <f>_xlfn.IFNA(VLOOKUP(CONCATENATE(AE$4,$C539),'INSER DATA'!$A:$F,6,0),"")</f>
        <v/>
      </c>
      <c r="AF539" s="270" t="str">
        <f>_xlfn.IFNA(VLOOKUP(CONCATENATE(AF$4,$C539),'INSER DATA'!$A:$F,6,0),"")</f>
        <v/>
      </c>
      <c r="AG539" s="270" t="str">
        <f>_xlfn.IFNA(VLOOKUP(CONCATENATE(AG$4,$C539),'INSER DATA'!$A:$F,6,0),"")</f>
        <v/>
      </c>
      <c r="AH539" s="270" t="str">
        <f>_xlfn.IFNA(VLOOKUP(CONCATENATE(AH$4,$C539),'INSER DATA'!$A:$F,7,0),"")</f>
        <v/>
      </c>
      <c r="AI539" s="270" t="str">
        <f>_xlfn.IFNA(VLOOKUP(CONCATENATE(AI$4,$C539),'INSER DATA'!$A:$F,7,0),"")</f>
        <v/>
      </c>
      <c r="AJ539" s="270" t="str">
        <f>_xlfn.IFNA(VLOOKUP(CONCATENATE(AJ$4,$C539),'INSER DATA'!$A:$F,7,0),"")</f>
        <v/>
      </c>
      <c r="AK539" s="270" t="str">
        <f>_xlfn.IFNA(VLOOKUP(CONCATENATE(AK$4,$C539),'INSER DATA'!$A:$F,7,0),"")</f>
        <v/>
      </c>
      <c r="AL539" s="270" t="str">
        <f>_xlfn.IFNA(VLOOKUP(CONCATENATE(AL$4,$C539),'INSER DATA'!$A:$F,7,0),"")</f>
        <v/>
      </c>
      <c r="AM539" s="270" t="str">
        <f>_xlfn.IFNA(VLOOKUP(CONCATENATE(AM$4,$C539),'INSER DATA'!$A:$F,7,0),"")</f>
        <v/>
      </c>
      <c r="AN539" s="270" t="str">
        <f>_xlfn.IFNA(VLOOKUP(CONCATENATE(AN$4,$C539),'INSER DATA'!$A:$F,7,0),"")</f>
        <v/>
      </c>
      <c r="AO539" s="270" t="str">
        <f>_xlfn.IFNA(VLOOKUP(CONCATENATE(AO$4,$C539),'INSER DATA'!$A:$F,7,0),"")</f>
        <v/>
      </c>
      <c r="AP539" s="270" t="str">
        <f>_xlfn.IFNA(VLOOKUP(CONCATENATE(AP$4,$C539),'INSER DATA'!$A:$F,7,0),"")</f>
        <v/>
      </c>
      <c r="AQ539" s="270" t="str">
        <f>_xlfn.IFNA(VLOOKUP(CONCATENATE(AQ$4,$C539),'INSER DATA'!$A:$F,7,0),"")</f>
        <v/>
      </c>
      <c r="AR539" s="270" t="str">
        <f>_xlfn.IFNA(VLOOKUP(CONCATENATE(AR$4,$C539),'INSER DATA'!$A:$F,7,0),"")</f>
        <v/>
      </c>
      <c r="AS539" s="270" t="str">
        <f>_xlfn.IFNA(VLOOKUP(CONCATENATE(AS$4,$C539),'INSER DATA'!$A:$F,7,0),"")</f>
        <v/>
      </c>
      <c r="AT539" s="270" t="str">
        <f>_xlfn.IFNA(VLOOKUP(CONCATENATE(AT$4,$C539),'INSER DATA'!$A:$F,7,0),"")</f>
        <v/>
      </c>
      <c r="AU539" s="270" t="str">
        <f>_xlfn.IFNA(VLOOKUP(CONCATENATE(AU$4,$C539),'INSER DATA'!$A:$F,7,0),"")</f>
        <v/>
      </c>
      <c r="AV539" s="270" t="str">
        <f>_xlfn.IFNA(VLOOKUP(CONCATENATE(AV$4,$C539),'INSER DATA'!$A:$F,7,0),"")</f>
        <v/>
      </c>
      <c r="AW539" s="270" t="str">
        <f>_xlfn.IFNA(VLOOKUP(CONCATENATE(AW$4,$C539),'INSER DATA'!$A:$F,7,0),"")</f>
        <v/>
      </c>
      <c r="AX539" s="270" t="str">
        <f>_xlfn.IFNA(VLOOKUP(CONCATENATE(AX$4,$C539),'INSER DATA'!$A:$F,7,0),"")</f>
        <v/>
      </c>
      <c r="AY539" s="270" t="str">
        <f>_xlfn.IFNA(VLOOKUP(CONCATENATE(AY$4,$C539),'INSER DATA'!$A:$F,7,0),"")</f>
        <v/>
      </c>
      <c r="AZ539" s="270" t="str">
        <f>_xlfn.IFNA(VLOOKUP(CONCATENATE(AZ$4,$C539),'INSER DATA'!$A:$F,7,0),"")</f>
        <v/>
      </c>
      <c r="BA539" s="270" t="str">
        <f>_xlfn.IFNA(VLOOKUP(CONCATENATE(BA$4,$C539),'INSER DATA'!$A:$F,7,0),"")</f>
        <v/>
      </c>
      <c r="BB539" s="270" t="str">
        <f>_xlfn.IFNA(VLOOKUP(CONCATENATE(BB$4,$C539),'INSER DATA'!$A:$F,7,0),"")</f>
        <v/>
      </c>
      <c r="BC539" s="270" t="str">
        <f>_xlfn.IFNA(VLOOKUP(CONCATENATE(BC$4,$C539),'INSER DATA'!$A:$F,7,0),"")</f>
        <v/>
      </c>
      <c r="BD539" s="270" t="str">
        <f>_xlfn.IFNA(VLOOKUP(CONCATENATE(BD$4,$C539),'INSER DATA'!$A:$F,7,0),"")</f>
        <v/>
      </c>
      <c r="BE539" s="270" t="str">
        <f>_xlfn.IFNA(VLOOKUP(CONCATENATE(BE$4,$C539),'INSER DATA'!$A:$F,7,0),"")</f>
        <v/>
      </c>
      <c r="BF539" s="270" t="str">
        <f>_xlfn.IFNA(VLOOKUP(CONCATENATE(BF$4,$C539),'INSER DATA'!$A:$F,7,0),"")</f>
        <v/>
      </c>
      <c r="BG539" s="270" t="str">
        <f>_xlfn.IFNA(VLOOKUP(CONCATENATE(BG$4,$C539),'INSER DATA'!$A:$F,7,0),"")</f>
        <v/>
      </c>
      <c r="BH539" s="270" t="str">
        <f>_xlfn.IFNA(VLOOKUP(CONCATENATE(BH$4,$C539),'INSER DATA'!$A:$F,7,0),"")</f>
        <v/>
      </c>
      <c r="BI539" s="270" t="str">
        <f>_xlfn.IFNA(VLOOKUP(CONCATENATE(BI$4,$C539),'INSER DATA'!$A:$F,7,0),"")</f>
        <v/>
      </c>
      <c r="BJ539" s="270" t="str">
        <f>_xlfn.IFNA(VLOOKUP(CONCATENATE(BJ$4,$C539),'INSER DATA'!$A:$F,7,0),"")</f>
        <v/>
      </c>
      <c r="BK539" s="270" t="str">
        <f>_xlfn.IFNA(VLOOKUP(CONCATENATE(BK$4,$C539),'INSER DATA'!$A:$F,7,0),"")</f>
        <v/>
      </c>
      <c r="BL539" s="272"/>
      <c r="BM539" s="30"/>
      <c r="BN539" s="30"/>
      <c r="BO539" s="30"/>
      <c r="BP539" s="30"/>
      <c r="BQ539" s="30"/>
      <c r="BR539" s="30"/>
      <c r="BS539" s="30"/>
      <c r="BT539" s="30"/>
      <c r="BU539" s="30"/>
      <c r="BV539" s="30"/>
      <c r="BW539" s="30"/>
      <c r="BX539" s="30"/>
      <c r="BY539" s="30"/>
      <c r="BZ539" s="30"/>
      <c r="CA539" s="30"/>
      <c r="CB539" s="30"/>
      <c r="CC539" s="30"/>
      <c r="CD539" s="30"/>
      <c r="CE539" s="30"/>
      <c r="CF539" s="30"/>
      <c r="CG539" s="30"/>
      <c r="CH539" s="30"/>
      <c r="CI539" s="30"/>
      <c r="CJ539" s="30"/>
      <c r="CK539" s="30"/>
      <c r="CL539" s="30"/>
      <c r="CM539" s="30"/>
      <c r="CN539" s="30"/>
      <c r="CO539" s="30"/>
      <c r="CP539" s="30"/>
      <c r="CQ539" s="30"/>
      <c r="CR539" s="30"/>
      <c r="CS539" s="30"/>
      <c r="CT539" s="30"/>
      <c r="CU539" s="30"/>
      <c r="CV539" s="30"/>
      <c r="CW539" s="30"/>
      <c r="CX539" s="30"/>
      <c r="CY539" s="30"/>
      <c r="CZ539" s="30"/>
      <c r="DA539" s="30"/>
    </row>
    <row r="540" spans="1:105" ht="19.2" thickTop="1" thickBot="1" x14ac:dyDescent="0.4">
      <c r="A540" s="30"/>
      <c r="B540" s="30"/>
      <c r="C540" s="406" t="s">
        <v>1088</v>
      </c>
      <c r="D540" s="407" t="s">
        <v>796</v>
      </c>
      <c r="E540" s="35" t="str">
        <f>_xlfn.XLOOKUP(Tabella4[[#This Row],[NOME]],'ROSE SQUADRE'!$N$3:$N$253,'ROSE SQUADRE'!$O$3:$O$253,"")</f>
        <v/>
      </c>
      <c r="F540" s="36" t="s">
        <v>161</v>
      </c>
      <c r="G540" s="43"/>
      <c r="H540" s="43"/>
      <c r="I540" s="44">
        <f t="shared" si="56"/>
        <v>0</v>
      </c>
      <c r="J540" s="408">
        <f t="shared" si="57"/>
        <v>1</v>
      </c>
      <c r="K540" s="178">
        <f t="shared" si="58"/>
        <v>5.5</v>
      </c>
      <c r="L540" s="178">
        <f t="shared" si="59"/>
        <v>5.5</v>
      </c>
      <c r="M540" s="179">
        <f t="shared" si="60"/>
        <v>5.5</v>
      </c>
      <c r="N540" s="45">
        <f t="shared" ca="1" si="61"/>
        <v>0</v>
      </c>
      <c r="O540" s="40">
        <f>SUMIF(Tabella1[Nome],Tabella4[[#This Row],[NOME]],Tabella1[Gf])</f>
        <v>0</v>
      </c>
      <c r="P540" s="40">
        <f>-(SUMIF(Tabella1[Nome],Tabella4[[#This Row],[NOME]],Tabella1[Gs]))</f>
        <v>0</v>
      </c>
      <c r="Q540" s="40">
        <f>SUMIF(Tabella1[Nome],Tabella4[[#This Row],[NOME]],Tabella1[Rp])</f>
        <v>0</v>
      </c>
      <c r="R540" s="40">
        <f>SUMIF(Tabella1[Nome],Tabella4[[#This Row],[NOME]],Tabella1[Rs])</f>
        <v>0</v>
      </c>
      <c r="S540" s="40">
        <f>SUMIF(Tabella1[Nome],Tabella4[[#This Row],[NOME]],Tabella1[Rf])</f>
        <v>0</v>
      </c>
      <c r="T540" s="40">
        <f>SUMIF(Tabella1[Nome],Tabella4[[#This Row],[NOME]],Tabella1[Au])</f>
        <v>0</v>
      </c>
      <c r="U540" s="41">
        <f>SUMIF(Tabella1[Nome],Tabella4[[#This Row],[NOME]],Tabella1[Amm])</f>
        <v>0</v>
      </c>
      <c r="V540" s="42">
        <f>SUMIF(Tabella1[Nome],Tabella4[[#This Row],[NOME]],Tabella1[Esp])</f>
        <v>0</v>
      </c>
      <c r="W540" s="40">
        <f>SUMIF(Tabella1[Nome],Tabella4[[#This Row],[NOME]],Tabella1[Ass])</f>
        <v>0</v>
      </c>
      <c r="X540" s="40">
        <f>SUMIF(Tabella1[Nome],Tabella4[[#This Row],[NOME]],Tabella1[Gdv])</f>
        <v>0</v>
      </c>
      <c r="Y540" s="40">
        <f>SUMIF(Tabella1[Nome],Tabella4[[#This Row],[NOME]],Tabella1[cl sh])</f>
        <v>0</v>
      </c>
      <c r="Z540" s="270" t="str">
        <f>_xlfn.IFNA(_xlfn.XLOOKUP(CONCATENATE(Z$4,$C540),Tabella1[CONC X VOTI IN TAB GIOC],Tabella1[Voto],""),"")</f>
        <v/>
      </c>
      <c r="AA540" s="270" t="str">
        <f>_xlfn.IFNA(_xlfn.XLOOKUP(CONCATENATE(AA$4,$C540),Tabella1[CONC X VOTI IN TAB GIOC],Tabella1[Voto],""),"")</f>
        <v/>
      </c>
      <c r="AB540" s="270" t="str">
        <f>_xlfn.IFNA(_xlfn.XLOOKUP(CONCATENATE(AB$4,$C540),Tabella1[CONC X VOTI IN TAB GIOC],Tabella1[Voto]),"")</f>
        <v/>
      </c>
      <c r="AC540" s="270" cm="1">
        <f t="array" ref="AC540">_xlfn.IFNA(_xlfn.XLOOKUP(CONCATENATE(AC$4,$C540),INDEX(Tabella1[],0,MATCH("CONC X VOTI IN TAB GIOC",Tabella1[#Headers],0)),INDEX(Tabella1[],0,MATCH("Voto",Tabella1[#Headers],0))),"")</f>
        <v>5.5</v>
      </c>
      <c r="AD540" s="270" t="str">
        <f>_xlfn.IFNA(_xlfn.XLOOKUP(CONCATENATE(AD$4,$C540),Tabella1[CONC X VOTI IN TAB GIOC],Tabella1[Voto]),"")</f>
        <v/>
      </c>
      <c r="AE540" s="270" t="str">
        <f>_xlfn.IFNA(VLOOKUP(CONCATENATE(AE$4,$C540),'INSER DATA'!$A:$F,6,0),"")</f>
        <v/>
      </c>
      <c r="AF540" s="270" t="str">
        <f>_xlfn.IFNA(VLOOKUP(CONCATENATE(AF$4,$C540),'INSER DATA'!$A:$F,6,0),"")</f>
        <v/>
      </c>
      <c r="AG540" s="270" t="str">
        <f>_xlfn.IFNA(VLOOKUP(CONCATENATE(AG$4,$C540),'INSER DATA'!$A:$F,6,0),"")</f>
        <v/>
      </c>
      <c r="AH540" s="270" t="str">
        <f>_xlfn.IFNA(VLOOKUP(CONCATENATE(AH$4,$C540),'INSER DATA'!$A:$F,7,0),"")</f>
        <v/>
      </c>
      <c r="AI540" s="270" t="str">
        <f>_xlfn.IFNA(VLOOKUP(CONCATENATE(AI$4,$C540),'INSER DATA'!$A:$F,7,0),"")</f>
        <v/>
      </c>
      <c r="AJ540" s="270" t="str">
        <f>_xlfn.IFNA(VLOOKUP(CONCATENATE(AJ$4,$C540),'INSER DATA'!$A:$F,7,0),"")</f>
        <v/>
      </c>
      <c r="AK540" s="270" t="str">
        <f>_xlfn.IFNA(VLOOKUP(CONCATENATE(AK$4,$C540),'INSER DATA'!$A:$F,7,0),"")</f>
        <v/>
      </c>
      <c r="AL540" s="270" t="str">
        <f>_xlfn.IFNA(VLOOKUP(CONCATENATE(AL$4,$C540),'INSER DATA'!$A:$F,7,0),"")</f>
        <v/>
      </c>
      <c r="AM540" s="270" t="str">
        <f>_xlfn.IFNA(VLOOKUP(CONCATENATE(AM$4,$C540),'INSER DATA'!$A:$F,7,0),"")</f>
        <v/>
      </c>
      <c r="AN540" s="270" t="str">
        <f>_xlfn.IFNA(VLOOKUP(CONCATENATE(AN$4,$C540),'INSER DATA'!$A:$F,7,0),"")</f>
        <v/>
      </c>
      <c r="AO540" s="270" t="str">
        <f>_xlfn.IFNA(VLOOKUP(CONCATENATE(AO$4,$C540),'INSER DATA'!$A:$F,7,0),"")</f>
        <v/>
      </c>
      <c r="AP540" s="270" t="str">
        <f>_xlfn.IFNA(VLOOKUP(CONCATENATE(AP$4,$C540),'INSER DATA'!$A:$F,7,0),"")</f>
        <v/>
      </c>
      <c r="AQ540" s="270" t="str">
        <f>_xlfn.IFNA(VLOOKUP(CONCATENATE(AQ$4,$C540),'INSER DATA'!$A:$F,7,0),"")</f>
        <v/>
      </c>
      <c r="AR540" s="270" t="str">
        <f>_xlfn.IFNA(VLOOKUP(CONCATENATE(AR$4,$C540),'INSER DATA'!$A:$F,7,0),"")</f>
        <v/>
      </c>
      <c r="AS540" s="270" t="str">
        <f>_xlfn.IFNA(VLOOKUP(CONCATENATE(AS$4,$C540),'INSER DATA'!$A:$F,7,0),"")</f>
        <v/>
      </c>
      <c r="AT540" s="270" t="str">
        <f>_xlfn.IFNA(VLOOKUP(CONCATENATE(AT$4,$C540),'INSER DATA'!$A:$F,7,0),"")</f>
        <v/>
      </c>
      <c r="AU540" s="270" t="str">
        <f>_xlfn.IFNA(VLOOKUP(CONCATENATE(AU$4,$C540),'INSER DATA'!$A:$F,7,0),"")</f>
        <v/>
      </c>
      <c r="AV540" s="270" t="str">
        <f>_xlfn.IFNA(VLOOKUP(CONCATENATE(AV$4,$C540),'INSER DATA'!$A:$F,7,0),"")</f>
        <v/>
      </c>
      <c r="AW540" s="270" t="str">
        <f>_xlfn.IFNA(VLOOKUP(CONCATENATE(AW$4,$C540),'INSER DATA'!$A:$F,7,0),"")</f>
        <v/>
      </c>
      <c r="AX540" s="270" t="str">
        <f>_xlfn.IFNA(VLOOKUP(CONCATENATE(AX$4,$C540),'INSER DATA'!$A:$F,7,0),"")</f>
        <v/>
      </c>
      <c r="AY540" s="270" t="str">
        <f>_xlfn.IFNA(VLOOKUP(CONCATENATE(AY$4,$C540),'INSER DATA'!$A:$F,7,0),"")</f>
        <v/>
      </c>
      <c r="AZ540" s="270" t="str">
        <f>_xlfn.IFNA(VLOOKUP(CONCATENATE(AZ$4,$C540),'INSER DATA'!$A:$F,7,0),"")</f>
        <v/>
      </c>
      <c r="BA540" s="270" t="str">
        <f>_xlfn.IFNA(VLOOKUP(CONCATENATE(BA$4,$C540),'INSER DATA'!$A:$F,7,0),"")</f>
        <v/>
      </c>
      <c r="BB540" s="270" t="str">
        <f>_xlfn.IFNA(VLOOKUP(CONCATENATE(BB$4,$C540),'INSER DATA'!$A:$F,7,0),"")</f>
        <v/>
      </c>
      <c r="BC540" s="270" t="str">
        <f>_xlfn.IFNA(VLOOKUP(CONCATENATE(BC$4,$C540),'INSER DATA'!$A:$F,7,0),"")</f>
        <v/>
      </c>
      <c r="BD540" s="270" t="str">
        <f>_xlfn.IFNA(VLOOKUP(CONCATENATE(BD$4,$C540),'INSER DATA'!$A:$F,7,0),"")</f>
        <v/>
      </c>
      <c r="BE540" s="270" t="str">
        <f>_xlfn.IFNA(VLOOKUP(CONCATENATE(BE$4,$C540),'INSER DATA'!$A:$F,7,0),"")</f>
        <v/>
      </c>
      <c r="BF540" s="270" t="str">
        <f>_xlfn.IFNA(VLOOKUP(CONCATENATE(BF$4,$C540),'INSER DATA'!$A:$F,7,0),"")</f>
        <v/>
      </c>
      <c r="BG540" s="270" t="str">
        <f>_xlfn.IFNA(VLOOKUP(CONCATENATE(BG$4,$C540),'INSER DATA'!$A:$F,7,0),"")</f>
        <v/>
      </c>
      <c r="BH540" s="270" t="str">
        <f>_xlfn.IFNA(VLOOKUP(CONCATENATE(BH$4,$C540),'INSER DATA'!$A:$F,7,0),"")</f>
        <v/>
      </c>
      <c r="BI540" s="270" t="str">
        <f>_xlfn.IFNA(VLOOKUP(CONCATENATE(BI$4,$C540),'INSER DATA'!$A:$F,7,0),"")</f>
        <v/>
      </c>
      <c r="BJ540" s="270" t="str">
        <f>_xlfn.IFNA(VLOOKUP(CONCATENATE(BJ$4,$C540),'INSER DATA'!$A:$F,7,0),"")</f>
        <v/>
      </c>
      <c r="BK540" s="270" t="str">
        <f>_xlfn.IFNA(VLOOKUP(CONCATENATE(BK$4,$C540),'INSER DATA'!$A:$F,7,0),"")</f>
        <v/>
      </c>
      <c r="BL540" s="272"/>
      <c r="BM540" s="30"/>
      <c r="BN540" s="30"/>
      <c r="BO540" s="30"/>
      <c r="BP540" s="30"/>
      <c r="BQ540" s="30"/>
      <c r="BR540" s="30"/>
      <c r="BS540" s="30"/>
      <c r="BT540" s="30"/>
      <c r="BU540" s="30"/>
      <c r="BV540" s="30"/>
      <c r="BW540" s="30"/>
      <c r="BX540" s="30"/>
      <c r="BY540" s="30"/>
      <c r="BZ540" s="30"/>
      <c r="CA540" s="30"/>
      <c r="CB540" s="30"/>
      <c r="CC540" s="30"/>
      <c r="CD540" s="30"/>
      <c r="CE540" s="30"/>
      <c r="CF540" s="30"/>
      <c r="CG540" s="30"/>
      <c r="CH540" s="30"/>
      <c r="CI540" s="30"/>
      <c r="CJ540" s="30"/>
      <c r="CK540" s="30"/>
      <c r="CL540" s="30"/>
      <c r="CM540" s="30"/>
      <c r="CN540" s="30"/>
      <c r="CO540" s="30"/>
      <c r="CP540" s="30"/>
      <c r="CQ540" s="30"/>
      <c r="CR540" s="30"/>
      <c r="CS540" s="30"/>
      <c r="CT540" s="30"/>
      <c r="CU540" s="30"/>
      <c r="CV540" s="30"/>
      <c r="CW540" s="30"/>
      <c r="CX540" s="30"/>
      <c r="CY540" s="30"/>
      <c r="CZ540" s="30"/>
      <c r="DA540" s="30"/>
    </row>
    <row r="541" spans="1:105" ht="19.2" thickTop="1" thickBot="1" x14ac:dyDescent="0.4">
      <c r="A541" s="30"/>
      <c r="B541" s="30"/>
      <c r="C541" s="406" t="s">
        <v>349</v>
      </c>
      <c r="D541" s="407" t="s">
        <v>967</v>
      </c>
      <c r="E541" s="35" t="str">
        <f>_xlfn.XLOOKUP(Tabella4[[#This Row],[NOME]],'ROSE SQUADRE'!$N$3:$N$253,'ROSE SQUADRE'!$O$3:$O$253,"")</f>
        <v/>
      </c>
      <c r="F541" s="36" t="s">
        <v>161</v>
      </c>
      <c r="G541" s="43"/>
      <c r="H541" s="43"/>
      <c r="I541" s="44">
        <f t="shared" si="56"/>
        <v>0</v>
      </c>
      <c r="J541" s="408">
        <f t="shared" si="57"/>
        <v>1</v>
      </c>
      <c r="K541" s="178">
        <f t="shared" si="58"/>
        <v>6</v>
      </c>
      <c r="L541" s="178">
        <f t="shared" si="59"/>
        <v>6</v>
      </c>
      <c r="M541" s="179">
        <f t="shared" si="60"/>
        <v>6</v>
      </c>
      <c r="N541" s="45">
        <f t="shared" ca="1" si="61"/>
        <v>0</v>
      </c>
      <c r="O541" s="40">
        <f>SUMIF(Tabella1[Nome],Tabella4[[#This Row],[NOME]],Tabella1[Gf])</f>
        <v>0</v>
      </c>
      <c r="P541" s="40">
        <f>-(SUMIF(Tabella1[Nome],Tabella4[[#This Row],[NOME]],Tabella1[Gs]))</f>
        <v>0</v>
      </c>
      <c r="Q541" s="40">
        <f>SUMIF(Tabella1[Nome],Tabella4[[#This Row],[NOME]],Tabella1[Rp])</f>
        <v>0</v>
      </c>
      <c r="R541" s="40">
        <f>SUMIF(Tabella1[Nome],Tabella4[[#This Row],[NOME]],Tabella1[Rs])</f>
        <v>0</v>
      </c>
      <c r="S541" s="40">
        <f>SUMIF(Tabella1[Nome],Tabella4[[#This Row],[NOME]],Tabella1[Rf])</f>
        <v>0</v>
      </c>
      <c r="T541" s="40">
        <f>SUMIF(Tabella1[Nome],Tabella4[[#This Row],[NOME]],Tabella1[Au])</f>
        <v>0</v>
      </c>
      <c r="U541" s="41">
        <f>SUMIF(Tabella1[Nome],Tabella4[[#This Row],[NOME]],Tabella1[Amm])</f>
        <v>0</v>
      </c>
      <c r="V541" s="42">
        <f>SUMIF(Tabella1[Nome],Tabella4[[#This Row],[NOME]],Tabella1[Esp])</f>
        <v>0</v>
      </c>
      <c r="W541" s="40">
        <f>SUMIF(Tabella1[Nome],Tabella4[[#This Row],[NOME]],Tabella1[Ass])</f>
        <v>0</v>
      </c>
      <c r="X541" s="40">
        <f>SUMIF(Tabella1[Nome],Tabella4[[#This Row],[NOME]],Tabella1[Gdv])</f>
        <v>0</v>
      </c>
      <c r="Y541" s="40">
        <f>SUMIF(Tabella1[Nome],Tabella4[[#This Row],[NOME]],Tabella1[cl sh])</f>
        <v>0</v>
      </c>
      <c r="Z541" s="270" t="str">
        <f>_xlfn.IFNA(_xlfn.XLOOKUP(CONCATENATE(Z$4,$C541),Tabella1[CONC X VOTI IN TAB GIOC],Tabella1[Voto],""),"")</f>
        <v/>
      </c>
      <c r="AA541" s="270" t="str">
        <f>_xlfn.IFNA(_xlfn.XLOOKUP(CONCATENATE(AA$4,$C541),Tabella1[CONC X VOTI IN TAB GIOC],Tabella1[Voto],""),"")</f>
        <v/>
      </c>
      <c r="AB541" s="270" t="str">
        <f>_xlfn.IFNA(_xlfn.XLOOKUP(CONCATENATE(AB$4,$C541),Tabella1[CONC X VOTI IN TAB GIOC],Tabella1[Voto]),"")</f>
        <v/>
      </c>
      <c r="AC541" s="270" cm="1">
        <f t="array" ref="AC541">_xlfn.IFNA(_xlfn.XLOOKUP(CONCATENATE(AC$4,$C541),INDEX(Tabella1[],0,MATCH("CONC X VOTI IN TAB GIOC",Tabella1[#Headers],0)),INDEX(Tabella1[],0,MATCH("Voto",Tabella1[#Headers],0))),"")</f>
        <v>6</v>
      </c>
      <c r="AD541" s="270" t="str">
        <f>_xlfn.IFNA(_xlfn.XLOOKUP(CONCATENATE(AD$4,$C541),Tabella1[CONC X VOTI IN TAB GIOC],Tabella1[Voto]),"")</f>
        <v/>
      </c>
      <c r="AE541" s="270" t="str">
        <f>_xlfn.IFNA(VLOOKUP(CONCATENATE(AE$4,$C541),'INSER DATA'!$A:$F,6,0),"")</f>
        <v/>
      </c>
      <c r="AF541" s="270" t="str">
        <f>_xlfn.IFNA(VLOOKUP(CONCATENATE(AF$4,$C541),'INSER DATA'!$A:$F,6,0),"")</f>
        <v/>
      </c>
      <c r="AG541" s="270" t="str">
        <f>_xlfn.IFNA(VLOOKUP(CONCATENATE(AG$4,$C541),'INSER DATA'!$A:$F,6,0),"")</f>
        <v/>
      </c>
      <c r="AH541" s="270" t="str">
        <f>_xlfn.IFNA(VLOOKUP(CONCATENATE(AH$4,$C541),'INSER DATA'!$A:$F,7,0),"")</f>
        <v/>
      </c>
      <c r="AI541" s="270" t="str">
        <f>_xlfn.IFNA(VLOOKUP(CONCATENATE(AI$4,$C541),'INSER DATA'!$A:$F,7,0),"")</f>
        <v/>
      </c>
      <c r="AJ541" s="270" t="str">
        <f>_xlfn.IFNA(VLOOKUP(CONCATENATE(AJ$4,$C541),'INSER DATA'!$A:$F,7,0),"")</f>
        <v/>
      </c>
      <c r="AK541" s="270" t="str">
        <f>_xlfn.IFNA(VLOOKUP(CONCATENATE(AK$4,$C541),'INSER DATA'!$A:$F,7,0),"")</f>
        <v/>
      </c>
      <c r="AL541" s="270" t="str">
        <f>_xlfn.IFNA(VLOOKUP(CONCATENATE(AL$4,$C541),'INSER DATA'!$A:$F,7,0),"")</f>
        <v/>
      </c>
      <c r="AM541" s="270" t="str">
        <f>_xlfn.IFNA(VLOOKUP(CONCATENATE(AM$4,$C541),'INSER DATA'!$A:$F,7,0),"")</f>
        <v/>
      </c>
      <c r="AN541" s="270" t="str">
        <f>_xlfn.IFNA(VLOOKUP(CONCATENATE(AN$4,$C541),'INSER DATA'!$A:$F,7,0),"")</f>
        <v/>
      </c>
      <c r="AO541" s="270" t="str">
        <f>_xlfn.IFNA(VLOOKUP(CONCATENATE(AO$4,$C541),'INSER DATA'!$A:$F,7,0),"")</f>
        <v/>
      </c>
      <c r="AP541" s="270" t="str">
        <f>_xlfn.IFNA(VLOOKUP(CONCATENATE(AP$4,$C541),'INSER DATA'!$A:$F,7,0),"")</f>
        <v/>
      </c>
      <c r="AQ541" s="270" t="str">
        <f>_xlfn.IFNA(VLOOKUP(CONCATENATE(AQ$4,$C541),'INSER DATA'!$A:$F,7,0),"")</f>
        <v/>
      </c>
      <c r="AR541" s="270" t="str">
        <f>_xlfn.IFNA(VLOOKUP(CONCATENATE(AR$4,$C541),'INSER DATA'!$A:$F,7,0),"")</f>
        <v/>
      </c>
      <c r="AS541" s="270" t="str">
        <f>_xlfn.IFNA(VLOOKUP(CONCATENATE(AS$4,$C541),'INSER DATA'!$A:$F,7,0),"")</f>
        <v/>
      </c>
      <c r="AT541" s="270" t="str">
        <f>_xlfn.IFNA(VLOOKUP(CONCATENATE(AT$4,$C541),'INSER DATA'!$A:$F,7,0),"")</f>
        <v/>
      </c>
      <c r="AU541" s="270" t="str">
        <f>_xlfn.IFNA(VLOOKUP(CONCATENATE(AU$4,$C541),'INSER DATA'!$A:$F,7,0),"")</f>
        <v/>
      </c>
      <c r="AV541" s="270" t="str">
        <f>_xlfn.IFNA(VLOOKUP(CONCATENATE(AV$4,$C541),'INSER DATA'!$A:$F,7,0),"")</f>
        <v/>
      </c>
      <c r="AW541" s="270" t="str">
        <f>_xlfn.IFNA(VLOOKUP(CONCATENATE(AW$4,$C541),'INSER DATA'!$A:$F,7,0),"")</f>
        <v/>
      </c>
      <c r="AX541" s="270" t="str">
        <f>_xlfn.IFNA(VLOOKUP(CONCATENATE(AX$4,$C541),'INSER DATA'!$A:$F,7,0),"")</f>
        <v/>
      </c>
      <c r="AY541" s="270" t="str">
        <f>_xlfn.IFNA(VLOOKUP(CONCATENATE(AY$4,$C541),'INSER DATA'!$A:$F,7,0),"")</f>
        <v/>
      </c>
      <c r="AZ541" s="270" t="str">
        <f>_xlfn.IFNA(VLOOKUP(CONCATENATE(AZ$4,$C541),'INSER DATA'!$A:$F,7,0),"")</f>
        <v/>
      </c>
      <c r="BA541" s="270" t="str">
        <f>_xlfn.IFNA(VLOOKUP(CONCATENATE(BA$4,$C541),'INSER DATA'!$A:$F,7,0),"")</f>
        <v/>
      </c>
      <c r="BB541" s="270" t="str">
        <f>_xlfn.IFNA(VLOOKUP(CONCATENATE(BB$4,$C541),'INSER DATA'!$A:$F,7,0),"")</f>
        <v/>
      </c>
      <c r="BC541" s="270" t="str">
        <f>_xlfn.IFNA(VLOOKUP(CONCATENATE(BC$4,$C541),'INSER DATA'!$A:$F,7,0),"")</f>
        <v/>
      </c>
      <c r="BD541" s="270" t="str">
        <f>_xlfn.IFNA(VLOOKUP(CONCATENATE(BD$4,$C541),'INSER DATA'!$A:$F,7,0),"")</f>
        <v/>
      </c>
      <c r="BE541" s="270" t="str">
        <f>_xlfn.IFNA(VLOOKUP(CONCATENATE(BE$4,$C541),'INSER DATA'!$A:$F,7,0),"")</f>
        <v/>
      </c>
      <c r="BF541" s="270" t="str">
        <f>_xlfn.IFNA(VLOOKUP(CONCATENATE(BF$4,$C541),'INSER DATA'!$A:$F,7,0),"")</f>
        <v/>
      </c>
      <c r="BG541" s="270" t="str">
        <f>_xlfn.IFNA(VLOOKUP(CONCATENATE(BG$4,$C541),'INSER DATA'!$A:$F,7,0),"")</f>
        <v/>
      </c>
      <c r="BH541" s="270" t="str">
        <f>_xlfn.IFNA(VLOOKUP(CONCATENATE(BH$4,$C541),'INSER DATA'!$A:$F,7,0),"")</f>
        <v/>
      </c>
      <c r="BI541" s="270" t="str">
        <f>_xlfn.IFNA(VLOOKUP(CONCATENATE(BI$4,$C541),'INSER DATA'!$A:$F,7,0),"")</f>
        <v/>
      </c>
      <c r="BJ541" s="270" t="str">
        <f>_xlfn.IFNA(VLOOKUP(CONCATENATE(BJ$4,$C541),'INSER DATA'!$A:$F,7,0),"")</f>
        <v/>
      </c>
      <c r="BK541" s="270" t="str">
        <f>_xlfn.IFNA(VLOOKUP(CONCATENATE(BK$4,$C541),'INSER DATA'!$A:$F,7,0),"")</f>
        <v/>
      </c>
      <c r="BL541" s="272"/>
      <c r="BM541" s="30"/>
      <c r="BN541" s="30"/>
      <c r="BO541" s="30"/>
      <c r="BP541" s="30"/>
      <c r="BQ541" s="30"/>
      <c r="BR541" s="30"/>
      <c r="BS541" s="30"/>
      <c r="BT541" s="30"/>
      <c r="BU541" s="30"/>
      <c r="BV541" s="30"/>
      <c r="BW541" s="30"/>
      <c r="BX541" s="30"/>
      <c r="BY541" s="30"/>
      <c r="BZ541" s="30"/>
      <c r="CA541" s="30"/>
      <c r="CB541" s="30"/>
      <c r="CC541" s="30"/>
      <c r="CD541" s="30"/>
      <c r="CE541" s="30"/>
      <c r="CF541" s="30"/>
      <c r="CG541" s="30"/>
      <c r="CH541" s="30"/>
      <c r="CI541" s="30"/>
      <c r="CJ541" s="30"/>
      <c r="CK541" s="30"/>
      <c r="CL541" s="30"/>
      <c r="CM541" s="30"/>
      <c r="CN541" s="30"/>
      <c r="CO541" s="30"/>
      <c r="CP541" s="30"/>
      <c r="CQ541" s="30"/>
      <c r="CR541" s="30"/>
      <c r="CS541" s="30"/>
      <c r="CT541" s="30"/>
      <c r="CU541" s="30"/>
      <c r="CV541" s="30"/>
      <c r="CW541" s="30"/>
      <c r="CX541" s="30"/>
      <c r="CY541" s="30"/>
      <c r="CZ541" s="30"/>
      <c r="DA541" s="30"/>
    </row>
    <row r="542" spans="1:105" ht="19.2" thickTop="1" thickBot="1" x14ac:dyDescent="0.4">
      <c r="A542" s="30"/>
      <c r="B542" s="30"/>
      <c r="C542" s="406"/>
      <c r="D542" s="407"/>
      <c r="E542" s="35">
        <f>_xlfn.XLOOKUP(Tabella4[[#This Row],[NOME]],'ROSE SQUADRE'!$N$3:$N$253,'ROSE SQUADRE'!$O$3:$O$253,"")</f>
        <v>0</v>
      </c>
      <c r="F542" s="36"/>
      <c r="G542" s="43"/>
      <c r="H542" s="43"/>
      <c r="I542" s="44">
        <f t="shared" si="56"/>
        <v>0</v>
      </c>
      <c r="J542" s="408">
        <f t="shared" si="57"/>
        <v>0</v>
      </c>
      <c r="K542" s="178">
        <f t="shared" si="58"/>
        <v>0</v>
      </c>
      <c r="L542" s="178">
        <f t="shared" si="59"/>
        <v>0</v>
      </c>
      <c r="M542" s="179">
        <f t="shared" si="60"/>
        <v>0</v>
      </c>
      <c r="N542" s="45">
        <f t="shared" ca="1" si="61"/>
        <v>0</v>
      </c>
      <c r="O542" s="40">
        <f>SUMIF(Tabella1[Nome],Tabella4[[#This Row],[NOME]],Tabella1[Gf])</f>
        <v>0</v>
      </c>
      <c r="P542" s="40">
        <f>-(SUMIF(Tabella1[Nome],Tabella4[[#This Row],[NOME]],Tabella1[Gs]))</f>
        <v>0</v>
      </c>
      <c r="Q542" s="40">
        <f>SUMIF(Tabella1[Nome],Tabella4[[#This Row],[NOME]],Tabella1[Rp])</f>
        <v>0</v>
      </c>
      <c r="R542" s="40">
        <f>SUMIF(Tabella1[Nome],Tabella4[[#This Row],[NOME]],Tabella1[Rs])</f>
        <v>0</v>
      </c>
      <c r="S542" s="40">
        <f>SUMIF(Tabella1[Nome],Tabella4[[#This Row],[NOME]],Tabella1[Rf])</f>
        <v>0</v>
      </c>
      <c r="T542" s="40">
        <f>SUMIF(Tabella1[Nome],Tabella4[[#This Row],[NOME]],Tabella1[Au])</f>
        <v>0</v>
      </c>
      <c r="U542" s="41">
        <f>SUMIF(Tabella1[Nome],Tabella4[[#This Row],[NOME]],Tabella1[Amm])</f>
        <v>0</v>
      </c>
      <c r="V542" s="42">
        <f>SUMIF(Tabella1[Nome],Tabella4[[#This Row],[NOME]],Tabella1[Esp])</f>
        <v>0</v>
      </c>
      <c r="W542" s="40">
        <f>SUMIF(Tabella1[Nome],Tabella4[[#This Row],[NOME]],Tabella1[Ass])</f>
        <v>0</v>
      </c>
      <c r="X542" s="40">
        <f>SUMIF(Tabella1[Nome],Tabella4[[#This Row],[NOME]],Tabella1[Gdv])</f>
        <v>0</v>
      </c>
      <c r="Y542" s="40">
        <f>SUMIF(Tabella1[Nome],Tabella4[[#This Row],[NOME]],Tabella1[cl sh])</f>
        <v>0</v>
      </c>
      <c r="Z542" s="270" t="str">
        <f>_xlfn.IFNA(_xlfn.XLOOKUP(CONCATENATE(Z$4,$C542),Tabella1[CONC X VOTI IN TAB GIOC],Tabella1[Voto],""),"")</f>
        <v/>
      </c>
      <c r="AA542" s="270" t="str">
        <f>_xlfn.IFNA(_xlfn.XLOOKUP(CONCATENATE(AA$4,$C542),Tabella1[CONC X VOTI IN TAB GIOC],Tabella1[Voto],""),"")</f>
        <v/>
      </c>
      <c r="AB542" s="270" t="str">
        <f>_xlfn.IFNA(_xlfn.XLOOKUP(CONCATENATE(AB$4,$C542),Tabella1[CONC X VOTI IN TAB GIOC],Tabella1[Voto]),"")</f>
        <v/>
      </c>
      <c r="AC542" s="270" t="str" cm="1">
        <f t="array" ref="AC542">_xlfn.IFNA(_xlfn.XLOOKUP(CONCATENATE(AC$4,$C542),INDEX(Tabella1[],0,MATCH("CONC X VOTI IN TAB GIOC",Tabella1[#Headers],0)),INDEX(Tabella1[],0,MATCH("Voto",Tabella1[#Headers],0))),"")</f>
        <v/>
      </c>
      <c r="AD542" s="270" t="str">
        <f>_xlfn.IFNA(_xlfn.XLOOKUP(CONCATENATE(AD$4,$C542),Tabella1[CONC X VOTI IN TAB GIOC],Tabella1[Voto]),"")</f>
        <v/>
      </c>
      <c r="AE542" s="270" t="str">
        <f>_xlfn.IFNA(VLOOKUP(CONCATENATE(AE$4,$C542),'INSER DATA'!$A:$F,6,0),"")</f>
        <v/>
      </c>
      <c r="AF542" s="270" t="str">
        <f>_xlfn.IFNA(VLOOKUP(CONCATENATE(AF$4,$C542),'INSER DATA'!$A:$F,6,0),"")</f>
        <v/>
      </c>
      <c r="AG542" s="270" t="str">
        <f>_xlfn.IFNA(VLOOKUP(CONCATENATE(AG$4,$C542),'INSER DATA'!$A:$F,6,0),"")</f>
        <v/>
      </c>
      <c r="AH542" s="270" t="str">
        <f>_xlfn.IFNA(VLOOKUP(CONCATENATE(AH$4,$C542),'INSER DATA'!$A:$F,7,0),"")</f>
        <v/>
      </c>
      <c r="AI542" s="270" t="str">
        <f>_xlfn.IFNA(VLOOKUP(CONCATENATE(AI$4,$C542),'INSER DATA'!$A:$F,7,0),"")</f>
        <v/>
      </c>
      <c r="AJ542" s="270" t="str">
        <f>_xlfn.IFNA(VLOOKUP(CONCATENATE(AJ$4,$C542),'INSER DATA'!$A:$F,7,0),"")</f>
        <v/>
      </c>
      <c r="AK542" s="270" t="str">
        <f>_xlfn.IFNA(VLOOKUP(CONCATENATE(AK$4,$C542),'INSER DATA'!$A:$F,7,0),"")</f>
        <v/>
      </c>
      <c r="AL542" s="270" t="str">
        <f>_xlfn.IFNA(VLOOKUP(CONCATENATE(AL$4,$C542),'INSER DATA'!$A:$F,7,0),"")</f>
        <v/>
      </c>
      <c r="AM542" s="270" t="str">
        <f>_xlfn.IFNA(VLOOKUP(CONCATENATE(AM$4,$C542),'INSER DATA'!$A:$F,7,0),"")</f>
        <v/>
      </c>
      <c r="AN542" s="270" t="str">
        <f>_xlfn.IFNA(VLOOKUP(CONCATENATE(AN$4,$C542),'INSER DATA'!$A:$F,7,0),"")</f>
        <v/>
      </c>
      <c r="AO542" s="270" t="str">
        <f>_xlfn.IFNA(VLOOKUP(CONCATENATE(AO$4,$C542),'INSER DATA'!$A:$F,7,0),"")</f>
        <v/>
      </c>
      <c r="AP542" s="270" t="str">
        <f>_xlfn.IFNA(VLOOKUP(CONCATENATE(AP$4,$C542),'INSER DATA'!$A:$F,7,0),"")</f>
        <v/>
      </c>
      <c r="AQ542" s="270" t="str">
        <f>_xlfn.IFNA(VLOOKUP(CONCATENATE(AQ$4,$C542),'INSER DATA'!$A:$F,7,0),"")</f>
        <v/>
      </c>
      <c r="AR542" s="270" t="str">
        <f>_xlfn.IFNA(VLOOKUP(CONCATENATE(AR$4,$C542),'INSER DATA'!$A:$F,7,0),"")</f>
        <v/>
      </c>
      <c r="AS542" s="270" t="str">
        <f>_xlfn.IFNA(VLOOKUP(CONCATENATE(AS$4,$C542),'INSER DATA'!$A:$F,7,0),"")</f>
        <v/>
      </c>
      <c r="AT542" s="270" t="str">
        <f>_xlfn.IFNA(VLOOKUP(CONCATENATE(AT$4,$C542),'INSER DATA'!$A:$F,7,0),"")</f>
        <v/>
      </c>
      <c r="AU542" s="270" t="str">
        <f>_xlfn.IFNA(VLOOKUP(CONCATENATE(AU$4,$C542),'INSER DATA'!$A:$F,7,0),"")</f>
        <v/>
      </c>
      <c r="AV542" s="270" t="str">
        <f>_xlfn.IFNA(VLOOKUP(CONCATENATE(AV$4,$C542),'INSER DATA'!$A:$F,7,0),"")</f>
        <v/>
      </c>
      <c r="AW542" s="270" t="str">
        <f>_xlfn.IFNA(VLOOKUP(CONCATENATE(AW$4,$C542),'INSER DATA'!$A:$F,7,0),"")</f>
        <v/>
      </c>
      <c r="AX542" s="270" t="str">
        <f>_xlfn.IFNA(VLOOKUP(CONCATENATE(AX$4,$C542),'INSER DATA'!$A:$F,7,0),"")</f>
        <v/>
      </c>
      <c r="AY542" s="270" t="str">
        <f>_xlfn.IFNA(VLOOKUP(CONCATENATE(AY$4,$C542),'INSER DATA'!$A:$F,7,0),"")</f>
        <v/>
      </c>
      <c r="AZ542" s="270" t="str">
        <f>_xlfn.IFNA(VLOOKUP(CONCATENATE(AZ$4,$C542),'INSER DATA'!$A:$F,7,0),"")</f>
        <v/>
      </c>
      <c r="BA542" s="270" t="str">
        <f>_xlfn.IFNA(VLOOKUP(CONCATENATE(BA$4,$C542),'INSER DATA'!$A:$F,7,0),"")</f>
        <v/>
      </c>
      <c r="BB542" s="270" t="str">
        <f>_xlfn.IFNA(VLOOKUP(CONCATENATE(BB$4,$C542),'INSER DATA'!$A:$F,7,0),"")</f>
        <v/>
      </c>
      <c r="BC542" s="270" t="str">
        <f>_xlfn.IFNA(VLOOKUP(CONCATENATE(BC$4,$C542),'INSER DATA'!$A:$F,7,0),"")</f>
        <v/>
      </c>
      <c r="BD542" s="270" t="str">
        <f>_xlfn.IFNA(VLOOKUP(CONCATENATE(BD$4,$C542),'INSER DATA'!$A:$F,7,0),"")</f>
        <v/>
      </c>
      <c r="BE542" s="270" t="str">
        <f>_xlfn.IFNA(VLOOKUP(CONCATENATE(BE$4,$C542),'INSER DATA'!$A:$F,7,0),"")</f>
        <v/>
      </c>
      <c r="BF542" s="270" t="str">
        <f>_xlfn.IFNA(VLOOKUP(CONCATENATE(BF$4,$C542),'INSER DATA'!$A:$F,7,0),"")</f>
        <v/>
      </c>
      <c r="BG542" s="270" t="str">
        <f>_xlfn.IFNA(VLOOKUP(CONCATENATE(BG$4,$C542),'INSER DATA'!$A:$F,7,0),"")</f>
        <v/>
      </c>
      <c r="BH542" s="270" t="str">
        <f>_xlfn.IFNA(VLOOKUP(CONCATENATE(BH$4,$C542),'INSER DATA'!$A:$F,7,0),"")</f>
        <v/>
      </c>
      <c r="BI542" s="270" t="str">
        <f>_xlfn.IFNA(VLOOKUP(CONCATENATE(BI$4,$C542),'INSER DATA'!$A:$F,7,0),"")</f>
        <v/>
      </c>
      <c r="BJ542" s="270" t="str">
        <f>_xlfn.IFNA(VLOOKUP(CONCATENATE(BJ$4,$C542),'INSER DATA'!$A:$F,7,0),"")</f>
        <v/>
      </c>
      <c r="BK542" s="270" t="str">
        <f>_xlfn.IFNA(VLOOKUP(CONCATENATE(BK$4,$C542),'INSER DATA'!$A:$F,7,0),"")</f>
        <v/>
      </c>
      <c r="BL542" s="272"/>
      <c r="BM542" s="30"/>
      <c r="BN542" s="30"/>
      <c r="BO542" s="30"/>
      <c r="BP542" s="30"/>
      <c r="BQ542" s="30"/>
      <c r="BR542" s="30"/>
      <c r="BS542" s="30"/>
      <c r="BT542" s="30"/>
      <c r="BU542" s="30"/>
      <c r="BV542" s="30"/>
      <c r="BW542" s="30"/>
      <c r="BX542" s="30"/>
      <c r="BY542" s="30"/>
      <c r="BZ542" s="30"/>
      <c r="CA542" s="30"/>
      <c r="CB542" s="30"/>
      <c r="CC542" s="30"/>
      <c r="CD542" s="30"/>
      <c r="CE542" s="30"/>
      <c r="CF542" s="30"/>
      <c r="CG542" s="30"/>
      <c r="CH542" s="30"/>
      <c r="CI542" s="30"/>
      <c r="CJ542" s="30"/>
      <c r="CK542" s="30"/>
      <c r="CL542" s="30"/>
      <c r="CM542" s="30"/>
      <c r="CN542" s="30"/>
      <c r="CO542" s="30"/>
      <c r="CP542" s="30"/>
      <c r="CQ542" s="30"/>
      <c r="CR542" s="30"/>
      <c r="CS542" s="30"/>
      <c r="CT542" s="30"/>
      <c r="CU542" s="30"/>
      <c r="CV542" s="30"/>
      <c r="CW542" s="30"/>
      <c r="CX542" s="30"/>
      <c r="CY542" s="30"/>
      <c r="CZ542" s="30"/>
      <c r="DA542" s="30"/>
    </row>
    <row r="543" spans="1:105" ht="19.2" thickTop="1" thickBot="1" x14ac:dyDescent="0.4">
      <c r="A543" s="30"/>
      <c r="B543" s="30"/>
      <c r="C543" s="406"/>
      <c r="D543" s="407"/>
      <c r="E543" s="35">
        <f>_xlfn.XLOOKUP(Tabella4[[#This Row],[NOME]],'ROSE SQUADRE'!$N$3:$N$253,'ROSE SQUADRE'!$O$3:$O$253,"")</f>
        <v>0</v>
      </c>
      <c r="F543" s="36"/>
      <c r="G543" s="43"/>
      <c r="H543" s="43"/>
      <c r="I543" s="44">
        <f t="shared" si="56"/>
        <v>0</v>
      </c>
      <c r="J543" s="408">
        <f t="shared" si="57"/>
        <v>0</v>
      </c>
      <c r="K543" s="178">
        <f t="shared" si="58"/>
        <v>0</v>
      </c>
      <c r="L543" s="178">
        <f t="shared" si="59"/>
        <v>0</v>
      </c>
      <c r="M543" s="179">
        <f t="shared" si="60"/>
        <v>0</v>
      </c>
      <c r="N543" s="45">
        <f t="shared" ca="1" si="61"/>
        <v>0</v>
      </c>
      <c r="O543" s="40">
        <f>SUMIF(Tabella1[Nome],Tabella4[[#This Row],[NOME]],Tabella1[Gf])</f>
        <v>0</v>
      </c>
      <c r="P543" s="40">
        <f>-(SUMIF(Tabella1[Nome],Tabella4[[#This Row],[NOME]],Tabella1[Gs]))</f>
        <v>0</v>
      </c>
      <c r="Q543" s="40">
        <f>SUMIF(Tabella1[Nome],Tabella4[[#This Row],[NOME]],Tabella1[Rp])</f>
        <v>0</v>
      </c>
      <c r="R543" s="40">
        <f>SUMIF(Tabella1[Nome],Tabella4[[#This Row],[NOME]],Tabella1[Rs])</f>
        <v>0</v>
      </c>
      <c r="S543" s="40">
        <f>SUMIF(Tabella1[Nome],Tabella4[[#This Row],[NOME]],Tabella1[Rf])</f>
        <v>0</v>
      </c>
      <c r="T543" s="40">
        <f>SUMIF(Tabella1[Nome],Tabella4[[#This Row],[NOME]],Tabella1[Au])</f>
        <v>0</v>
      </c>
      <c r="U543" s="41">
        <f>SUMIF(Tabella1[Nome],Tabella4[[#This Row],[NOME]],Tabella1[Amm])</f>
        <v>0</v>
      </c>
      <c r="V543" s="42">
        <f>SUMIF(Tabella1[Nome],Tabella4[[#This Row],[NOME]],Tabella1[Esp])</f>
        <v>0</v>
      </c>
      <c r="W543" s="40">
        <f>SUMIF(Tabella1[Nome],Tabella4[[#This Row],[NOME]],Tabella1[Ass])</f>
        <v>0</v>
      </c>
      <c r="X543" s="40">
        <f>SUMIF(Tabella1[Nome],Tabella4[[#This Row],[NOME]],Tabella1[Gdv])</f>
        <v>0</v>
      </c>
      <c r="Y543" s="40">
        <f>SUMIF(Tabella1[Nome],Tabella4[[#This Row],[NOME]],Tabella1[cl sh])</f>
        <v>0</v>
      </c>
      <c r="Z543" s="270" t="str">
        <f>_xlfn.IFNA(_xlfn.XLOOKUP(CONCATENATE(Z$4,$C543),Tabella1[CONC X VOTI IN TAB GIOC],Tabella1[Voto],""),"")</f>
        <v/>
      </c>
      <c r="AA543" s="270" t="str">
        <f>_xlfn.IFNA(_xlfn.XLOOKUP(CONCATENATE(AA$4,$C543),Tabella1[CONC X VOTI IN TAB GIOC],Tabella1[Voto],""),"")</f>
        <v/>
      </c>
      <c r="AB543" s="270" t="str">
        <f>_xlfn.IFNA(_xlfn.XLOOKUP(CONCATENATE(AB$4,$C543),Tabella1[CONC X VOTI IN TAB GIOC],Tabella1[Voto]),"")</f>
        <v/>
      </c>
      <c r="AC543" s="270" t="str" cm="1">
        <f t="array" ref="AC543">_xlfn.IFNA(_xlfn.XLOOKUP(CONCATENATE(AC$4,$C543),INDEX(Tabella1[],0,MATCH("CONC X VOTI IN TAB GIOC",Tabella1[#Headers],0)),INDEX(Tabella1[],0,MATCH("Voto",Tabella1[#Headers],0))),"")</f>
        <v/>
      </c>
      <c r="AD543" s="270" t="str">
        <f>_xlfn.IFNA(_xlfn.XLOOKUP(CONCATENATE(AD$4,$C543),Tabella1[CONC X VOTI IN TAB GIOC],Tabella1[Voto]),"")</f>
        <v/>
      </c>
      <c r="AE543" s="270" t="str">
        <f>_xlfn.IFNA(VLOOKUP(CONCATENATE(AE$4,$C543),'INSER DATA'!$A:$F,6,0),"")</f>
        <v/>
      </c>
      <c r="AF543" s="270" t="str">
        <f>_xlfn.IFNA(VLOOKUP(CONCATENATE(AF$4,$C543),'INSER DATA'!$A:$F,6,0),"")</f>
        <v/>
      </c>
      <c r="AG543" s="270" t="str">
        <f>_xlfn.IFNA(VLOOKUP(CONCATENATE(AG$4,$C543),'INSER DATA'!$A:$F,6,0),"")</f>
        <v/>
      </c>
      <c r="AH543" s="270" t="str">
        <f>_xlfn.IFNA(VLOOKUP(CONCATENATE(AH$4,$C543),'INSER DATA'!$A:$F,7,0),"")</f>
        <v/>
      </c>
      <c r="AI543" s="270" t="str">
        <f>_xlfn.IFNA(VLOOKUP(CONCATENATE(AI$4,$C543),'INSER DATA'!$A:$F,7,0),"")</f>
        <v/>
      </c>
      <c r="AJ543" s="270" t="str">
        <f>_xlfn.IFNA(VLOOKUP(CONCATENATE(AJ$4,$C543),'INSER DATA'!$A:$F,7,0),"")</f>
        <v/>
      </c>
      <c r="AK543" s="270" t="str">
        <f>_xlfn.IFNA(VLOOKUP(CONCATENATE(AK$4,$C543),'INSER DATA'!$A:$F,7,0),"")</f>
        <v/>
      </c>
      <c r="AL543" s="270" t="str">
        <f>_xlfn.IFNA(VLOOKUP(CONCATENATE(AL$4,$C543),'INSER DATA'!$A:$F,7,0),"")</f>
        <v/>
      </c>
      <c r="AM543" s="270" t="str">
        <f>_xlfn.IFNA(VLOOKUP(CONCATENATE(AM$4,$C543),'INSER DATA'!$A:$F,7,0),"")</f>
        <v/>
      </c>
      <c r="AN543" s="270" t="str">
        <f>_xlfn.IFNA(VLOOKUP(CONCATENATE(AN$4,$C543),'INSER DATA'!$A:$F,7,0),"")</f>
        <v/>
      </c>
      <c r="AO543" s="270" t="str">
        <f>_xlfn.IFNA(VLOOKUP(CONCATENATE(AO$4,$C543),'INSER DATA'!$A:$F,7,0),"")</f>
        <v/>
      </c>
      <c r="AP543" s="270" t="str">
        <f>_xlfn.IFNA(VLOOKUP(CONCATENATE(AP$4,$C543),'INSER DATA'!$A:$F,7,0),"")</f>
        <v/>
      </c>
      <c r="AQ543" s="270" t="str">
        <f>_xlfn.IFNA(VLOOKUP(CONCATENATE(AQ$4,$C543),'INSER DATA'!$A:$F,7,0),"")</f>
        <v/>
      </c>
      <c r="AR543" s="270" t="str">
        <f>_xlfn.IFNA(VLOOKUP(CONCATENATE(AR$4,$C543),'INSER DATA'!$A:$F,7,0),"")</f>
        <v/>
      </c>
      <c r="AS543" s="270" t="str">
        <f>_xlfn.IFNA(VLOOKUP(CONCATENATE(AS$4,$C543),'INSER DATA'!$A:$F,7,0),"")</f>
        <v/>
      </c>
      <c r="AT543" s="270" t="str">
        <f>_xlfn.IFNA(VLOOKUP(CONCATENATE(AT$4,$C543),'INSER DATA'!$A:$F,7,0),"")</f>
        <v/>
      </c>
      <c r="AU543" s="270" t="str">
        <f>_xlfn.IFNA(VLOOKUP(CONCATENATE(AU$4,$C543),'INSER DATA'!$A:$F,7,0),"")</f>
        <v/>
      </c>
      <c r="AV543" s="270" t="str">
        <f>_xlfn.IFNA(VLOOKUP(CONCATENATE(AV$4,$C543),'INSER DATA'!$A:$F,7,0),"")</f>
        <v/>
      </c>
      <c r="AW543" s="270" t="str">
        <f>_xlfn.IFNA(VLOOKUP(CONCATENATE(AW$4,$C543),'INSER DATA'!$A:$F,7,0),"")</f>
        <v/>
      </c>
      <c r="AX543" s="270" t="str">
        <f>_xlfn.IFNA(VLOOKUP(CONCATENATE(AX$4,$C543),'INSER DATA'!$A:$F,7,0),"")</f>
        <v/>
      </c>
      <c r="AY543" s="270" t="str">
        <f>_xlfn.IFNA(VLOOKUP(CONCATENATE(AY$4,$C543),'INSER DATA'!$A:$F,7,0),"")</f>
        <v/>
      </c>
      <c r="AZ543" s="270" t="str">
        <f>_xlfn.IFNA(VLOOKUP(CONCATENATE(AZ$4,$C543),'INSER DATA'!$A:$F,7,0),"")</f>
        <v/>
      </c>
      <c r="BA543" s="270" t="str">
        <f>_xlfn.IFNA(VLOOKUP(CONCATENATE(BA$4,$C543),'INSER DATA'!$A:$F,7,0),"")</f>
        <v/>
      </c>
      <c r="BB543" s="270" t="str">
        <f>_xlfn.IFNA(VLOOKUP(CONCATENATE(BB$4,$C543),'INSER DATA'!$A:$F,7,0),"")</f>
        <v/>
      </c>
      <c r="BC543" s="270" t="str">
        <f>_xlfn.IFNA(VLOOKUP(CONCATENATE(BC$4,$C543),'INSER DATA'!$A:$F,7,0),"")</f>
        <v/>
      </c>
      <c r="BD543" s="270" t="str">
        <f>_xlfn.IFNA(VLOOKUP(CONCATENATE(BD$4,$C543),'INSER DATA'!$A:$F,7,0),"")</f>
        <v/>
      </c>
      <c r="BE543" s="270" t="str">
        <f>_xlfn.IFNA(VLOOKUP(CONCATENATE(BE$4,$C543),'INSER DATA'!$A:$F,7,0),"")</f>
        <v/>
      </c>
      <c r="BF543" s="270" t="str">
        <f>_xlfn.IFNA(VLOOKUP(CONCATENATE(BF$4,$C543),'INSER DATA'!$A:$F,7,0),"")</f>
        <v/>
      </c>
      <c r="BG543" s="270" t="str">
        <f>_xlfn.IFNA(VLOOKUP(CONCATENATE(BG$4,$C543),'INSER DATA'!$A:$F,7,0),"")</f>
        <v/>
      </c>
      <c r="BH543" s="270" t="str">
        <f>_xlfn.IFNA(VLOOKUP(CONCATENATE(BH$4,$C543),'INSER DATA'!$A:$F,7,0),"")</f>
        <v/>
      </c>
      <c r="BI543" s="270" t="str">
        <f>_xlfn.IFNA(VLOOKUP(CONCATENATE(BI$4,$C543),'INSER DATA'!$A:$F,7,0),"")</f>
        <v/>
      </c>
      <c r="BJ543" s="270" t="str">
        <f>_xlfn.IFNA(VLOOKUP(CONCATENATE(BJ$4,$C543),'INSER DATA'!$A:$F,7,0),"")</f>
        <v/>
      </c>
      <c r="BK543" s="270" t="str">
        <f>_xlfn.IFNA(VLOOKUP(CONCATENATE(BK$4,$C543),'INSER DATA'!$A:$F,7,0),"")</f>
        <v/>
      </c>
      <c r="BL543" s="272"/>
      <c r="BM543" s="30"/>
      <c r="BN543" s="30"/>
      <c r="BO543" s="30"/>
      <c r="BP543" s="30"/>
      <c r="BQ543" s="30"/>
      <c r="BR543" s="30"/>
      <c r="BS543" s="30"/>
      <c r="BT543" s="30"/>
      <c r="BU543" s="30"/>
      <c r="BV543" s="30"/>
      <c r="BW543" s="30"/>
      <c r="BX543" s="30"/>
      <c r="BY543" s="30"/>
      <c r="BZ543" s="30"/>
      <c r="CA543" s="30"/>
      <c r="CB543" s="30"/>
      <c r="CC543" s="30"/>
      <c r="CD543" s="30"/>
      <c r="CE543" s="30"/>
      <c r="CF543" s="30"/>
      <c r="CG543" s="30"/>
      <c r="CH543" s="30"/>
      <c r="CI543" s="30"/>
      <c r="CJ543" s="30"/>
      <c r="CK543" s="30"/>
      <c r="CL543" s="30"/>
      <c r="CM543" s="30"/>
      <c r="CN543" s="30"/>
      <c r="CO543" s="30"/>
      <c r="CP543" s="30"/>
      <c r="CQ543" s="30"/>
      <c r="CR543" s="30"/>
      <c r="CS543" s="30"/>
      <c r="CT543" s="30"/>
      <c r="CU543" s="30"/>
      <c r="CV543" s="30"/>
      <c r="CW543" s="30"/>
      <c r="CX543" s="30"/>
      <c r="CY543" s="30"/>
      <c r="CZ543" s="30"/>
      <c r="DA543" s="30"/>
    </row>
    <row r="544" spans="1:105" ht="19.2" thickTop="1" thickBot="1" x14ac:dyDescent="0.4">
      <c r="A544" s="30"/>
      <c r="B544" s="30"/>
      <c r="C544" s="406"/>
      <c r="D544" s="407"/>
      <c r="E544" s="35">
        <f>_xlfn.XLOOKUP(Tabella4[[#This Row],[NOME]],'ROSE SQUADRE'!$N$3:$N$253,'ROSE SQUADRE'!$O$3:$O$253,"")</f>
        <v>0</v>
      </c>
      <c r="F544" s="36"/>
      <c r="G544" s="43"/>
      <c r="H544" s="43"/>
      <c r="I544" s="44">
        <f t="shared" si="56"/>
        <v>0</v>
      </c>
      <c r="J544" s="408">
        <f t="shared" si="57"/>
        <v>0</v>
      </c>
      <c r="K544" s="178">
        <f t="shared" si="58"/>
        <v>0</v>
      </c>
      <c r="L544" s="178">
        <f t="shared" si="59"/>
        <v>0</v>
      </c>
      <c r="M544" s="179">
        <f t="shared" si="60"/>
        <v>0</v>
      </c>
      <c r="N544" s="45">
        <f t="shared" ca="1" si="61"/>
        <v>0</v>
      </c>
      <c r="O544" s="40">
        <f>SUMIF(Tabella1[Nome],Tabella4[[#This Row],[NOME]],Tabella1[Gf])</f>
        <v>0</v>
      </c>
      <c r="P544" s="40">
        <f>-(SUMIF(Tabella1[Nome],Tabella4[[#This Row],[NOME]],Tabella1[Gs]))</f>
        <v>0</v>
      </c>
      <c r="Q544" s="40">
        <f>SUMIF(Tabella1[Nome],Tabella4[[#This Row],[NOME]],Tabella1[Rp])</f>
        <v>0</v>
      </c>
      <c r="R544" s="40">
        <f>SUMIF(Tabella1[Nome],Tabella4[[#This Row],[NOME]],Tabella1[Rs])</f>
        <v>0</v>
      </c>
      <c r="S544" s="40">
        <f>SUMIF(Tabella1[Nome],Tabella4[[#This Row],[NOME]],Tabella1[Rf])</f>
        <v>0</v>
      </c>
      <c r="T544" s="40">
        <f>SUMIF(Tabella1[Nome],Tabella4[[#This Row],[NOME]],Tabella1[Au])</f>
        <v>0</v>
      </c>
      <c r="U544" s="41">
        <f>SUMIF(Tabella1[Nome],Tabella4[[#This Row],[NOME]],Tabella1[Amm])</f>
        <v>0</v>
      </c>
      <c r="V544" s="42">
        <f>SUMIF(Tabella1[Nome],Tabella4[[#This Row],[NOME]],Tabella1[Esp])</f>
        <v>0</v>
      </c>
      <c r="W544" s="40">
        <f>SUMIF(Tabella1[Nome],Tabella4[[#This Row],[NOME]],Tabella1[Ass])</f>
        <v>0</v>
      </c>
      <c r="X544" s="40">
        <f>SUMIF(Tabella1[Nome],Tabella4[[#This Row],[NOME]],Tabella1[Gdv])</f>
        <v>0</v>
      </c>
      <c r="Y544" s="40">
        <f>SUMIF(Tabella1[Nome],Tabella4[[#This Row],[NOME]],Tabella1[cl sh])</f>
        <v>0</v>
      </c>
      <c r="Z544" s="270" t="str">
        <f>_xlfn.IFNA(_xlfn.XLOOKUP(CONCATENATE(Z$4,$C544),Tabella1[CONC X VOTI IN TAB GIOC],Tabella1[Voto],""),"")</f>
        <v/>
      </c>
      <c r="AA544" s="270" t="str">
        <f>_xlfn.IFNA(_xlfn.XLOOKUP(CONCATENATE(AA$4,$C544),Tabella1[CONC X VOTI IN TAB GIOC],Tabella1[Voto],""),"")</f>
        <v/>
      </c>
      <c r="AB544" s="270" t="str">
        <f>_xlfn.IFNA(_xlfn.XLOOKUP(CONCATENATE(AB$4,$C544),Tabella1[CONC X VOTI IN TAB GIOC],Tabella1[Voto]),"")</f>
        <v/>
      </c>
      <c r="AC544" s="270" t="str" cm="1">
        <f t="array" ref="AC544">_xlfn.IFNA(_xlfn.XLOOKUP(CONCATENATE(AC$4,$C544),INDEX(Tabella1[],0,MATCH("CONC X VOTI IN TAB GIOC",Tabella1[#Headers],0)),INDEX(Tabella1[],0,MATCH("Voto",Tabella1[#Headers],0))),"")</f>
        <v/>
      </c>
      <c r="AD544" s="270" t="str">
        <f>_xlfn.IFNA(_xlfn.XLOOKUP(CONCATENATE(AD$4,$C544),Tabella1[CONC X VOTI IN TAB GIOC],Tabella1[Voto]),"")</f>
        <v/>
      </c>
      <c r="AE544" s="270" t="str">
        <f>_xlfn.IFNA(VLOOKUP(CONCATENATE(AE$4,$C544),'INSER DATA'!$A:$F,6,0),"")</f>
        <v/>
      </c>
      <c r="AF544" s="270" t="str">
        <f>_xlfn.IFNA(VLOOKUP(CONCATENATE(AF$4,$C544),'INSER DATA'!$A:$F,6,0),"")</f>
        <v/>
      </c>
      <c r="AG544" s="270" t="str">
        <f>_xlfn.IFNA(VLOOKUP(CONCATENATE(AG$4,$C544),'INSER DATA'!$A:$F,6,0),"")</f>
        <v/>
      </c>
      <c r="AH544" s="270" t="str">
        <f>_xlfn.IFNA(VLOOKUP(CONCATENATE(AH$4,$C544),'INSER DATA'!$A:$F,7,0),"")</f>
        <v/>
      </c>
      <c r="AI544" s="270" t="str">
        <f>_xlfn.IFNA(VLOOKUP(CONCATENATE(AI$4,$C544),'INSER DATA'!$A:$F,7,0),"")</f>
        <v/>
      </c>
      <c r="AJ544" s="270" t="str">
        <f>_xlfn.IFNA(VLOOKUP(CONCATENATE(AJ$4,$C544),'INSER DATA'!$A:$F,7,0),"")</f>
        <v/>
      </c>
      <c r="AK544" s="270" t="str">
        <f>_xlfn.IFNA(VLOOKUP(CONCATENATE(AK$4,$C544),'INSER DATA'!$A:$F,7,0),"")</f>
        <v/>
      </c>
      <c r="AL544" s="270" t="str">
        <f>_xlfn.IFNA(VLOOKUP(CONCATENATE(AL$4,$C544),'INSER DATA'!$A:$F,7,0),"")</f>
        <v/>
      </c>
      <c r="AM544" s="270" t="str">
        <f>_xlfn.IFNA(VLOOKUP(CONCATENATE(AM$4,$C544),'INSER DATA'!$A:$F,7,0),"")</f>
        <v/>
      </c>
      <c r="AN544" s="270" t="str">
        <f>_xlfn.IFNA(VLOOKUP(CONCATENATE(AN$4,$C544),'INSER DATA'!$A:$F,7,0),"")</f>
        <v/>
      </c>
      <c r="AO544" s="270" t="str">
        <f>_xlfn.IFNA(VLOOKUP(CONCATENATE(AO$4,$C544),'INSER DATA'!$A:$F,7,0),"")</f>
        <v/>
      </c>
      <c r="AP544" s="270" t="str">
        <f>_xlfn.IFNA(VLOOKUP(CONCATENATE(AP$4,$C544),'INSER DATA'!$A:$F,7,0),"")</f>
        <v/>
      </c>
      <c r="AQ544" s="270" t="str">
        <f>_xlfn.IFNA(VLOOKUP(CONCATENATE(AQ$4,$C544),'INSER DATA'!$A:$F,7,0),"")</f>
        <v/>
      </c>
      <c r="AR544" s="270" t="str">
        <f>_xlfn.IFNA(VLOOKUP(CONCATENATE(AR$4,$C544),'INSER DATA'!$A:$F,7,0),"")</f>
        <v/>
      </c>
      <c r="AS544" s="270" t="str">
        <f>_xlfn.IFNA(VLOOKUP(CONCATENATE(AS$4,$C544),'INSER DATA'!$A:$F,7,0),"")</f>
        <v/>
      </c>
      <c r="AT544" s="270" t="str">
        <f>_xlfn.IFNA(VLOOKUP(CONCATENATE(AT$4,$C544),'INSER DATA'!$A:$F,7,0),"")</f>
        <v/>
      </c>
      <c r="AU544" s="270" t="str">
        <f>_xlfn.IFNA(VLOOKUP(CONCATENATE(AU$4,$C544),'INSER DATA'!$A:$F,7,0),"")</f>
        <v/>
      </c>
      <c r="AV544" s="270" t="str">
        <f>_xlfn.IFNA(VLOOKUP(CONCATENATE(AV$4,$C544),'INSER DATA'!$A:$F,7,0),"")</f>
        <v/>
      </c>
      <c r="AW544" s="270" t="str">
        <f>_xlfn.IFNA(VLOOKUP(CONCATENATE(AW$4,$C544),'INSER DATA'!$A:$F,7,0),"")</f>
        <v/>
      </c>
      <c r="AX544" s="270" t="str">
        <f>_xlfn.IFNA(VLOOKUP(CONCATENATE(AX$4,$C544),'INSER DATA'!$A:$F,7,0),"")</f>
        <v/>
      </c>
      <c r="AY544" s="270" t="str">
        <f>_xlfn.IFNA(VLOOKUP(CONCATENATE(AY$4,$C544),'INSER DATA'!$A:$F,7,0),"")</f>
        <v/>
      </c>
      <c r="AZ544" s="270" t="str">
        <f>_xlfn.IFNA(VLOOKUP(CONCATENATE(AZ$4,$C544),'INSER DATA'!$A:$F,7,0),"")</f>
        <v/>
      </c>
      <c r="BA544" s="270" t="str">
        <f>_xlfn.IFNA(VLOOKUP(CONCATENATE(BA$4,$C544),'INSER DATA'!$A:$F,7,0),"")</f>
        <v/>
      </c>
      <c r="BB544" s="270" t="str">
        <f>_xlfn.IFNA(VLOOKUP(CONCATENATE(BB$4,$C544),'INSER DATA'!$A:$F,7,0),"")</f>
        <v/>
      </c>
      <c r="BC544" s="270" t="str">
        <f>_xlfn.IFNA(VLOOKUP(CONCATENATE(BC$4,$C544),'INSER DATA'!$A:$F,7,0),"")</f>
        <v/>
      </c>
      <c r="BD544" s="270" t="str">
        <f>_xlfn.IFNA(VLOOKUP(CONCATENATE(BD$4,$C544),'INSER DATA'!$A:$F,7,0),"")</f>
        <v/>
      </c>
      <c r="BE544" s="270" t="str">
        <f>_xlfn.IFNA(VLOOKUP(CONCATENATE(BE$4,$C544),'INSER DATA'!$A:$F,7,0),"")</f>
        <v/>
      </c>
      <c r="BF544" s="270" t="str">
        <f>_xlfn.IFNA(VLOOKUP(CONCATENATE(BF$4,$C544),'INSER DATA'!$A:$F,7,0),"")</f>
        <v/>
      </c>
      <c r="BG544" s="270" t="str">
        <f>_xlfn.IFNA(VLOOKUP(CONCATENATE(BG$4,$C544),'INSER DATA'!$A:$F,7,0),"")</f>
        <v/>
      </c>
      <c r="BH544" s="270" t="str">
        <f>_xlfn.IFNA(VLOOKUP(CONCATENATE(BH$4,$C544),'INSER DATA'!$A:$F,7,0),"")</f>
        <v/>
      </c>
      <c r="BI544" s="270" t="str">
        <f>_xlfn.IFNA(VLOOKUP(CONCATENATE(BI$4,$C544),'INSER DATA'!$A:$F,7,0),"")</f>
        <v/>
      </c>
      <c r="BJ544" s="270" t="str">
        <f>_xlfn.IFNA(VLOOKUP(CONCATENATE(BJ$4,$C544),'INSER DATA'!$A:$F,7,0),"")</f>
        <v/>
      </c>
      <c r="BK544" s="270" t="str">
        <f>_xlfn.IFNA(VLOOKUP(CONCATENATE(BK$4,$C544),'INSER DATA'!$A:$F,7,0),"")</f>
        <v/>
      </c>
      <c r="BL544" s="272"/>
      <c r="BM544" s="30"/>
      <c r="BN544" s="30"/>
      <c r="BO544" s="30"/>
      <c r="BP544" s="30"/>
      <c r="BQ544" s="30"/>
      <c r="BR544" s="30"/>
      <c r="BS544" s="30"/>
      <c r="BT544" s="30"/>
      <c r="BU544" s="30"/>
      <c r="BV544" s="30"/>
      <c r="BW544" s="30"/>
      <c r="BX544" s="30"/>
      <c r="BY544" s="30"/>
      <c r="BZ544" s="30"/>
      <c r="CA544" s="30"/>
      <c r="CB544" s="30"/>
      <c r="CC544" s="30"/>
      <c r="CD544" s="30"/>
      <c r="CE544" s="30"/>
      <c r="CF544" s="30"/>
      <c r="CG544" s="30"/>
      <c r="CH544" s="30"/>
      <c r="CI544" s="30"/>
      <c r="CJ544" s="30"/>
      <c r="CK544" s="30"/>
      <c r="CL544" s="30"/>
      <c r="CM544" s="30"/>
      <c r="CN544" s="30"/>
      <c r="CO544" s="30"/>
      <c r="CP544" s="30"/>
      <c r="CQ544" s="30"/>
      <c r="CR544" s="30"/>
      <c r="CS544" s="30"/>
      <c r="CT544" s="30"/>
      <c r="CU544" s="30"/>
      <c r="CV544" s="30"/>
      <c r="CW544" s="30"/>
      <c r="CX544" s="30"/>
      <c r="CY544" s="30"/>
      <c r="CZ544" s="30"/>
      <c r="DA544" s="30"/>
    </row>
    <row r="545" spans="1:105" ht="19.2" thickTop="1" thickBot="1" x14ac:dyDescent="0.4">
      <c r="A545" s="30"/>
      <c r="B545" s="30"/>
      <c r="C545" s="406"/>
      <c r="D545" s="407"/>
      <c r="E545" s="35">
        <f>_xlfn.XLOOKUP(Tabella4[[#This Row],[NOME]],'ROSE SQUADRE'!$N$3:$N$253,'ROSE SQUADRE'!$O$3:$O$253,"")</f>
        <v>0</v>
      </c>
      <c r="F545" s="36"/>
      <c r="G545" s="43"/>
      <c r="H545" s="43"/>
      <c r="I545" s="44">
        <f t="shared" si="56"/>
        <v>0</v>
      </c>
      <c r="J545" s="408">
        <f t="shared" si="57"/>
        <v>0</v>
      </c>
      <c r="K545" s="178">
        <f t="shared" si="58"/>
        <v>0</v>
      </c>
      <c r="L545" s="178">
        <f t="shared" si="59"/>
        <v>0</v>
      </c>
      <c r="M545" s="179">
        <f t="shared" si="60"/>
        <v>0</v>
      </c>
      <c r="N545" s="45">
        <f t="shared" ca="1" si="61"/>
        <v>0</v>
      </c>
      <c r="O545" s="40">
        <f>SUMIF(Tabella1[Nome],Tabella4[[#This Row],[NOME]],Tabella1[Gf])</f>
        <v>0</v>
      </c>
      <c r="P545" s="40">
        <f>-(SUMIF(Tabella1[Nome],Tabella4[[#This Row],[NOME]],Tabella1[Gs]))</f>
        <v>0</v>
      </c>
      <c r="Q545" s="40">
        <f>SUMIF(Tabella1[Nome],Tabella4[[#This Row],[NOME]],Tabella1[Rp])</f>
        <v>0</v>
      </c>
      <c r="R545" s="40">
        <f>SUMIF(Tabella1[Nome],Tabella4[[#This Row],[NOME]],Tabella1[Rs])</f>
        <v>0</v>
      </c>
      <c r="S545" s="40">
        <f>SUMIF(Tabella1[Nome],Tabella4[[#This Row],[NOME]],Tabella1[Rf])</f>
        <v>0</v>
      </c>
      <c r="T545" s="40">
        <f>SUMIF(Tabella1[Nome],Tabella4[[#This Row],[NOME]],Tabella1[Au])</f>
        <v>0</v>
      </c>
      <c r="U545" s="41">
        <f>SUMIF(Tabella1[Nome],Tabella4[[#This Row],[NOME]],Tabella1[Amm])</f>
        <v>0</v>
      </c>
      <c r="V545" s="42">
        <f>SUMIF(Tabella1[Nome],Tabella4[[#This Row],[NOME]],Tabella1[Esp])</f>
        <v>0</v>
      </c>
      <c r="W545" s="40">
        <f>SUMIF(Tabella1[Nome],Tabella4[[#This Row],[NOME]],Tabella1[Ass])</f>
        <v>0</v>
      </c>
      <c r="X545" s="40">
        <f>SUMIF(Tabella1[Nome],Tabella4[[#This Row],[NOME]],Tabella1[Gdv])</f>
        <v>0</v>
      </c>
      <c r="Y545" s="40">
        <f>SUMIF(Tabella1[Nome],Tabella4[[#This Row],[NOME]],Tabella1[cl sh])</f>
        <v>0</v>
      </c>
      <c r="Z545" s="270" t="str">
        <f>_xlfn.IFNA(_xlfn.XLOOKUP(CONCATENATE(Z$4,$C545),Tabella1[CONC X VOTI IN TAB GIOC],Tabella1[Voto],""),"")</f>
        <v/>
      </c>
      <c r="AA545" s="270" t="str">
        <f>_xlfn.IFNA(_xlfn.XLOOKUP(CONCATENATE(AA$4,$C545),Tabella1[CONC X VOTI IN TAB GIOC],Tabella1[Voto],""),"")</f>
        <v/>
      </c>
      <c r="AB545" s="270" t="str">
        <f>_xlfn.IFNA(_xlfn.XLOOKUP(CONCATENATE(AB$4,$C545),Tabella1[CONC X VOTI IN TAB GIOC],Tabella1[Voto]),"")</f>
        <v/>
      </c>
      <c r="AC545" s="270" t="str" cm="1">
        <f t="array" ref="AC545">_xlfn.IFNA(_xlfn.XLOOKUP(CONCATENATE(AC$4,$C545),INDEX(Tabella1[],0,MATCH("CONC X VOTI IN TAB GIOC",Tabella1[#Headers],0)),INDEX(Tabella1[],0,MATCH("Voto",Tabella1[#Headers],0))),"")</f>
        <v/>
      </c>
      <c r="AD545" s="270" t="str">
        <f>_xlfn.IFNA(_xlfn.XLOOKUP(CONCATENATE(AD$4,$C545),Tabella1[CONC X VOTI IN TAB GIOC],Tabella1[Voto]),"")</f>
        <v/>
      </c>
      <c r="AE545" s="270" t="str">
        <f>_xlfn.IFNA(VLOOKUP(CONCATENATE(AE$4,$C545),'INSER DATA'!$A:$F,6,0),"")</f>
        <v/>
      </c>
      <c r="AF545" s="270" t="str">
        <f>_xlfn.IFNA(VLOOKUP(CONCATENATE(AF$4,$C545),'INSER DATA'!$A:$F,6,0),"")</f>
        <v/>
      </c>
      <c r="AG545" s="270" t="str">
        <f>_xlfn.IFNA(VLOOKUP(CONCATENATE(AG$4,$C545),'INSER DATA'!$A:$F,6,0),"")</f>
        <v/>
      </c>
      <c r="AH545" s="270" t="str">
        <f>_xlfn.IFNA(VLOOKUP(CONCATENATE(AH$4,$C545),'INSER DATA'!$A:$F,7,0),"")</f>
        <v/>
      </c>
      <c r="AI545" s="270" t="str">
        <f>_xlfn.IFNA(VLOOKUP(CONCATENATE(AI$4,$C545),'INSER DATA'!$A:$F,7,0),"")</f>
        <v/>
      </c>
      <c r="AJ545" s="270" t="str">
        <f>_xlfn.IFNA(VLOOKUP(CONCATENATE(AJ$4,$C545),'INSER DATA'!$A:$F,7,0),"")</f>
        <v/>
      </c>
      <c r="AK545" s="270" t="str">
        <f>_xlfn.IFNA(VLOOKUP(CONCATENATE(AK$4,$C545),'INSER DATA'!$A:$F,7,0),"")</f>
        <v/>
      </c>
      <c r="AL545" s="270" t="str">
        <f>_xlfn.IFNA(VLOOKUP(CONCATENATE(AL$4,$C545),'INSER DATA'!$A:$F,7,0),"")</f>
        <v/>
      </c>
      <c r="AM545" s="270" t="str">
        <f>_xlfn.IFNA(VLOOKUP(CONCATENATE(AM$4,$C545),'INSER DATA'!$A:$F,7,0),"")</f>
        <v/>
      </c>
      <c r="AN545" s="270" t="str">
        <f>_xlfn.IFNA(VLOOKUP(CONCATENATE(AN$4,$C545),'INSER DATA'!$A:$F,7,0),"")</f>
        <v/>
      </c>
      <c r="AO545" s="270" t="str">
        <f>_xlfn.IFNA(VLOOKUP(CONCATENATE(AO$4,$C545),'INSER DATA'!$A:$F,7,0),"")</f>
        <v/>
      </c>
      <c r="AP545" s="270" t="str">
        <f>_xlfn.IFNA(VLOOKUP(CONCATENATE(AP$4,$C545),'INSER DATA'!$A:$F,7,0),"")</f>
        <v/>
      </c>
      <c r="AQ545" s="270" t="str">
        <f>_xlfn.IFNA(VLOOKUP(CONCATENATE(AQ$4,$C545),'INSER DATA'!$A:$F,7,0),"")</f>
        <v/>
      </c>
      <c r="AR545" s="270" t="str">
        <f>_xlfn.IFNA(VLOOKUP(CONCATENATE(AR$4,$C545),'INSER DATA'!$A:$F,7,0),"")</f>
        <v/>
      </c>
      <c r="AS545" s="270" t="str">
        <f>_xlfn.IFNA(VLOOKUP(CONCATENATE(AS$4,$C545),'INSER DATA'!$A:$F,7,0),"")</f>
        <v/>
      </c>
      <c r="AT545" s="270" t="str">
        <f>_xlfn.IFNA(VLOOKUP(CONCATENATE(AT$4,$C545),'INSER DATA'!$A:$F,7,0),"")</f>
        <v/>
      </c>
      <c r="AU545" s="270" t="str">
        <f>_xlfn.IFNA(VLOOKUP(CONCATENATE(AU$4,$C545),'INSER DATA'!$A:$F,7,0),"")</f>
        <v/>
      </c>
      <c r="AV545" s="270" t="str">
        <f>_xlfn.IFNA(VLOOKUP(CONCATENATE(AV$4,$C545),'INSER DATA'!$A:$F,7,0),"")</f>
        <v/>
      </c>
      <c r="AW545" s="270" t="str">
        <f>_xlfn.IFNA(VLOOKUP(CONCATENATE(AW$4,$C545),'INSER DATA'!$A:$F,7,0),"")</f>
        <v/>
      </c>
      <c r="AX545" s="270" t="str">
        <f>_xlfn.IFNA(VLOOKUP(CONCATENATE(AX$4,$C545),'INSER DATA'!$A:$F,7,0),"")</f>
        <v/>
      </c>
      <c r="AY545" s="270" t="str">
        <f>_xlfn.IFNA(VLOOKUP(CONCATENATE(AY$4,$C545),'INSER DATA'!$A:$F,7,0),"")</f>
        <v/>
      </c>
      <c r="AZ545" s="270" t="str">
        <f>_xlfn.IFNA(VLOOKUP(CONCATENATE(AZ$4,$C545),'INSER DATA'!$A:$F,7,0),"")</f>
        <v/>
      </c>
      <c r="BA545" s="270" t="str">
        <f>_xlfn.IFNA(VLOOKUP(CONCATENATE(BA$4,$C545),'INSER DATA'!$A:$F,7,0),"")</f>
        <v/>
      </c>
      <c r="BB545" s="270" t="str">
        <f>_xlfn.IFNA(VLOOKUP(CONCATENATE(BB$4,$C545),'INSER DATA'!$A:$F,7,0),"")</f>
        <v/>
      </c>
      <c r="BC545" s="270" t="str">
        <f>_xlfn.IFNA(VLOOKUP(CONCATENATE(BC$4,$C545),'INSER DATA'!$A:$F,7,0),"")</f>
        <v/>
      </c>
      <c r="BD545" s="270" t="str">
        <f>_xlfn.IFNA(VLOOKUP(CONCATENATE(BD$4,$C545),'INSER DATA'!$A:$F,7,0),"")</f>
        <v/>
      </c>
      <c r="BE545" s="270" t="str">
        <f>_xlfn.IFNA(VLOOKUP(CONCATENATE(BE$4,$C545),'INSER DATA'!$A:$F,7,0),"")</f>
        <v/>
      </c>
      <c r="BF545" s="270" t="str">
        <f>_xlfn.IFNA(VLOOKUP(CONCATENATE(BF$4,$C545),'INSER DATA'!$A:$F,7,0),"")</f>
        <v/>
      </c>
      <c r="BG545" s="270" t="str">
        <f>_xlfn.IFNA(VLOOKUP(CONCATENATE(BG$4,$C545),'INSER DATA'!$A:$F,7,0),"")</f>
        <v/>
      </c>
      <c r="BH545" s="270" t="str">
        <f>_xlfn.IFNA(VLOOKUP(CONCATENATE(BH$4,$C545),'INSER DATA'!$A:$F,7,0),"")</f>
        <v/>
      </c>
      <c r="BI545" s="270" t="str">
        <f>_xlfn.IFNA(VLOOKUP(CONCATENATE(BI$4,$C545),'INSER DATA'!$A:$F,7,0),"")</f>
        <v/>
      </c>
      <c r="BJ545" s="270" t="str">
        <f>_xlfn.IFNA(VLOOKUP(CONCATENATE(BJ$4,$C545),'INSER DATA'!$A:$F,7,0),"")</f>
        <v/>
      </c>
      <c r="BK545" s="270" t="str">
        <f>_xlfn.IFNA(VLOOKUP(CONCATENATE(BK$4,$C545),'INSER DATA'!$A:$F,7,0),"")</f>
        <v/>
      </c>
      <c r="BL545" s="272"/>
      <c r="BM545" s="30"/>
      <c r="BN545" s="30"/>
      <c r="BO545" s="30"/>
      <c r="BP545" s="30"/>
      <c r="BQ545" s="30"/>
      <c r="BR545" s="30"/>
      <c r="BS545" s="30"/>
      <c r="BT545" s="30"/>
      <c r="BU545" s="30"/>
      <c r="BV545" s="30"/>
      <c r="BW545" s="30"/>
      <c r="BX545" s="30"/>
      <c r="BY545" s="30"/>
      <c r="BZ545" s="30"/>
      <c r="CA545" s="30"/>
      <c r="CB545" s="30"/>
      <c r="CC545" s="30"/>
      <c r="CD545" s="30"/>
      <c r="CE545" s="30"/>
      <c r="CF545" s="30"/>
      <c r="CG545" s="30"/>
      <c r="CH545" s="30"/>
      <c r="CI545" s="30"/>
      <c r="CJ545" s="30"/>
      <c r="CK545" s="30"/>
      <c r="CL545" s="30"/>
      <c r="CM545" s="30"/>
      <c r="CN545" s="30"/>
      <c r="CO545" s="30"/>
      <c r="CP545" s="30"/>
      <c r="CQ545" s="30"/>
      <c r="CR545" s="30"/>
      <c r="CS545" s="30"/>
      <c r="CT545" s="30"/>
      <c r="CU545" s="30"/>
      <c r="CV545" s="30"/>
      <c r="CW545" s="30"/>
      <c r="CX545" s="30"/>
      <c r="CY545" s="30"/>
      <c r="CZ545" s="30"/>
      <c r="DA545" s="30"/>
    </row>
    <row r="546" spans="1:105" ht="19.2" thickTop="1" thickBot="1" x14ac:dyDescent="0.4">
      <c r="A546" s="30"/>
      <c r="B546" s="30"/>
      <c r="C546" s="406"/>
      <c r="D546" s="407"/>
      <c r="E546" s="35">
        <f>_xlfn.XLOOKUP(Tabella4[[#This Row],[NOME]],'ROSE SQUADRE'!$N$3:$N$253,'ROSE SQUADRE'!$O$3:$O$253,"")</f>
        <v>0</v>
      </c>
      <c r="F546" s="36"/>
      <c r="G546" s="43"/>
      <c r="H546" s="43"/>
      <c r="I546" s="44">
        <f t="shared" si="56"/>
        <v>0</v>
      </c>
      <c r="J546" s="408">
        <f t="shared" si="57"/>
        <v>0</v>
      </c>
      <c r="K546" s="178">
        <f t="shared" si="58"/>
        <v>0</v>
      </c>
      <c r="L546" s="178">
        <f t="shared" si="59"/>
        <v>0</v>
      </c>
      <c r="M546" s="179">
        <f t="shared" si="60"/>
        <v>0</v>
      </c>
      <c r="N546" s="45">
        <f t="shared" ca="1" si="61"/>
        <v>0</v>
      </c>
      <c r="O546" s="40">
        <f>SUMIF(Tabella1[Nome],Tabella4[[#This Row],[NOME]],Tabella1[Gf])</f>
        <v>0</v>
      </c>
      <c r="P546" s="40">
        <f>-(SUMIF(Tabella1[Nome],Tabella4[[#This Row],[NOME]],Tabella1[Gs]))</f>
        <v>0</v>
      </c>
      <c r="Q546" s="40">
        <f>SUMIF(Tabella1[Nome],Tabella4[[#This Row],[NOME]],Tabella1[Rp])</f>
        <v>0</v>
      </c>
      <c r="R546" s="40">
        <f>SUMIF(Tabella1[Nome],Tabella4[[#This Row],[NOME]],Tabella1[Rs])</f>
        <v>0</v>
      </c>
      <c r="S546" s="40">
        <f>SUMIF(Tabella1[Nome],Tabella4[[#This Row],[NOME]],Tabella1[Rf])</f>
        <v>0</v>
      </c>
      <c r="T546" s="40">
        <f>SUMIF(Tabella1[Nome],Tabella4[[#This Row],[NOME]],Tabella1[Au])</f>
        <v>0</v>
      </c>
      <c r="U546" s="41">
        <f>SUMIF(Tabella1[Nome],Tabella4[[#This Row],[NOME]],Tabella1[Amm])</f>
        <v>0</v>
      </c>
      <c r="V546" s="42">
        <f>SUMIF(Tabella1[Nome],Tabella4[[#This Row],[NOME]],Tabella1[Esp])</f>
        <v>0</v>
      </c>
      <c r="W546" s="40">
        <f>SUMIF(Tabella1[Nome],Tabella4[[#This Row],[NOME]],Tabella1[Ass])</f>
        <v>0</v>
      </c>
      <c r="X546" s="40">
        <f>SUMIF(Tabella1[Nome],Tabella4[[#This Row],[NOME]],Tabella1[Gdv])</f>
        <v>0</v>
      </c>
      <c r="Y546" s="40">
        <f>SUMIF(Tabella1[Nome],Tabella4[[#This Row],[NOME]],Tabella1[cl sh])</f>
        <v>0</v>
      </c>
      <c r="Z546" s="270" t="str">
        <f>_xlfn.IFNA(_xlfn.XLOOKUP(CONCATENATE(Z$4,$C546),Tabella1[CONC X VOTI IN TAB GIOC],Tabella1[Voto],""),"")</f>
        <v/>
      </c>
      <c r="AA546" s="270" t="str">
        <f>_xlfn.IFNA(_xlfn.XLOOKUP(CONCATENATE(AA$4,$C546),Tabella1[CONC X VOTI IN TAB GIOC],Tabella1[Voto],""),"")</f>
        <v/>
      </c>
      <c r="AB546" s="270" t="str">
        <f>_xlfn.IFNA(_xlfn.XLOOKUP(CONCATENATE(AB$4,$C546),Tabella1[CONC X VOTI IN TAB GIOC],Tabella1[Voto]),"")</f>
        <v/>
      </c>
      <c r="AC546" s="270" t="str" cm="1">
        <f t="array" ref="AC546">_xlfn.IFNA(_xlfn.XLOOKUP(CONCATENATE(AC$4,$C546),INDEX(Tabella1[],0,MATCH("CONC X VOTI IN TAB GIOC",Tabella1[#Headers],0)),INDEX(Tabella1[],0,MATCH("Voto",Tabella1[#Headers],0))),"")</f>
        <v/>
      </c>
      <c r="AD546" s="270" t="str">
        <f>_xlfn.IFNA(_xlfn.XLOOKUP(CONCATENATE(AD$4,$C546),Tabella1[CONC X VOTI IN TAB GIOC],Tabella1[Voto]),"")</f>
        <v/>
      </c>
      <c r="AE546" s="270" t="str">
        <f>_xlfn.IFNA(VLOOKUP(CONCATENATE(AE$4,$C546),'INSER DATA'!$A:$F,6,0),"")</f>
        <v/>
      </c>
      <c r="AF546" s="270" t="str">
        <f>_xlfn.IFNA(VLOOKUP(CONCATENATE(AF$4,$C546),'INSER DATA'!$A:$F,6,0),"")</f>
        <v/>
      </c>
      <c r="AG546" s="270" t="str">
        <f>_xlfn.IFNA(VLOOKUP(CONCATENATE(AG$4,$C546),'INSER DATA'!$A:$F,6,0),"")</f>
        <v/>
      </c>
      <c r="AH546" s="270" t="str">
        <f>_xlfn.IFNA(VLOOKUP(CONCATENATE(AH$4,$C546),'INSER DATA'!$A:$F,7,0),"")</f>
        <v/>
      </c>
      <c r="AI546" s="270" t="str">
        <f>_xlfn.IFNA(VLOOKUP(CONCATENATE(AI$4,$C546),'INSER DATA'!$A:$F,7,0),"")</f>
        <v/>
      </c>
      <c r="AJ546" s="270" t="str">
        <f>_xlfn.IFNA(VLOOKUP(CONCATENATE(AJ$4,$C546),'INSER DATA'!$A:$F,7,0),"")</f>
        <v/>
      </c>
      <c r="AK546" s="270" t="str">
        <f>_xlfn.IFNA(VLOOKUP(CONCATENATE(AK$4,$C546),'INSER DATA'!$A:$F,7,0),"")</f>
        <v/>
      </c>
      <c r="AL546" s="270" t="str">
        <f>_xlfn.IFNA(VLOOKUP(CONCATENATE(AL$4,$C546),'INSER DATA'!$A:$F,7,0),"")</f>
        <v/>
      </c>
      <c r="AM546" s="270" t="str">
        <f>_xlfn.IFNA(VLOOKUP(CONCATENATE(AM$4,$C546),'INSER DATA'!$A:$F,7,0),"")</f>
        <v/>
      </c>
      <c r="AN546" s="270" t="str">
        <f>_xlfn.IFNA(VLOOKUP(CONCATENATE(AN$4,$C546),'INSER DATA'!$A:$F,7,0),"")</f>
        <v/>
      </c>
      <c r="AO546" s="270" t="str">
        <f>_xlfn.IFNA(VLOOKUP(CONCATENATE(AO$4,$C546),'INSER DATA'!$A:$F,7,0),"")</f>
        <v/>
      </c>
      <c r="AP546" s="270" t="str">
        <f>_xlfn.IFNA(VLOOKUP(CONCATENATE(AP$4,$C546),'INSER DATA'!$A:$F,7,0),"")</f>
        <v/>
      </c>
      <c r="AQ546" s="270" t="str">
        <f>_xlfn.IFNA(VLOOKUP(CONCATENATE(AQ$4,$C546),'INSER DATA'!$A:$F,7,0),"")</f>
        <v/>
      </c>
      <c r="AR546" s="270" t="str">
        <f>_xlfn.IFNA(VLOOKUP(CONCATENATE(AR$4,$C546),'INSER DATA'!$A:$F,7,0),"")</f>
        <v/>
      </c>
      <c r="AS546" s="270" t="str">
        <f>_xlfn.IFNA(VLOOKUP(CONCATENATE(AS$4,$C546),'INSER DATA'!$A:$F,7,0),"")</f>
        <v/>
      </c>
      <c r="AT546" s="270" t="str">
        <f>_xlfn.IFNA(VLOOKUP(CONCATENATE(AT$4,$C546),'INSER DATA'!$A:$F,7,0),"")</f>
        <v/>
      </c>
      <c r="AU546" s="270" t="str">
        <f>_xlfn.IFNA(VLOOKUP(CONCATENATE(AU$4,$C546),'INSER DATA'!$A:$F,7,0),"")</f>
        <v/>
      </c>
      <c r="AV546" s="270" t="str">
        <f>_xlfn.IFNA(VLOOKUP(CONCATENATE(AV$4,$C546),'INSER DATA'!$A:$F,7,0),"")</f>
        <v/>
      </c>
      <c r="AW546" s="270" t="str">
        <f>_xlfn.IFNA(VLOOKUP(CONCATENATE(AW$4,$C546),'INSER DATA'!$A:$F,7,0),"")</f>
        <v/>
      </c>
      <c r="AX546" s="270" t="str">
        <f>_xlfn.IFNA(VLOOKUP(CONCATENATE(AX$4,$C546),'INSER DATA'!$A:$F,7,0),"")</f>
        <v/>
      </c>
      <c r="AY546" s="270" t="str">
        <f>_xlfn.IFNA(VLOOKUP(CONCATENATE(AY$4,$C546),'INSER DATA'!$A:$F,7,0),"")</f>
        <v/>
      </c>
      <c r="AZ546" s="270" t="str">
        <f>_xlfn.IFNA(VLOOKUP(CONCATENATE(AZ$4,$C546),'INSER DATA'!$A:$F,7,0),"")</f>
        <v/>
      </c>
      <c r="BA546" s="270" t="str">
        <f>_xlfn.IFNA(VLOOKUP(CONCATENATE(BA$4,$C546),'INSER DATA'!$A:$F,7,0),"")</f>
        <v/>
      </c>
      <c r="BB546" s="270" t="str">
        <f>_xlfn.IFNA(VLOOKUP(CONCATENATE(BB$4,$C546),'INSER DATA'!$A:$F,7,0),"")</f>
        <v/>
      </c>
      <c r="BC546" s="270" t="str">
        <f>_xlfn.IFNA(VLOOKUP(CONCATENATE(BC$4,$C546),'INSER DATA'!$A:$F,7,0),"")</f>
        <v/>
      </c>
      <c r="BD546" s="270" t="str">
        <f>_xlfn.IFNA(VLOOKUP(CONCATENATE(BD$4,$C546),'INSER DATA'!$A:$F,7,0),"")</f>
        <v/>
      </c>
      <c r="BE546" s="270" t="str">
        <f>_xlfn.IFNA(VLOOKUP(CONCATENATE(BE$4,$C546),'INSER DATA'!$A:$F,7,0),"")</f>
        <v/>
      </c>
      <c r="BF546" s="270" t="str">
        <f>_xlfn.IFNA(VLOOKUP(CONCATENATE(BF$4,$C546),'INSER DATA'!$A:$F,7,0),"")</f>
        <v/>
      </c>
      <c r="BG546" s="270" t="str">
        <f>_xlfn.IFNA(VLOOKUP(CONCATENATE(BG$4,$C546),'INSER DATA'!$A:$F,7,0),"")</f>
        <v/>
      </c>
      <c r="BH546" s="270" t="str">
        <f>_xlfn.IFNA(VLOOKUP(CONCATENATE(BH$4,$C546),'INSER DATA'!$A:$F,7,0),"")</f>
        <v/>
      </c>
      <c r="BI546" s="270" t="str">
        <f>_xlfn.IFNA(VLOOKUP(CONCATENATE(BI$4,$C546),'INSER DATA'!$A:$F,7,0),"")</f>
        <v/>
      </c>
      <c r="BJ546" s="270" t="str">
        <f>_xlfn.IFNA(VLOOKUP(CONCATENATE(BJ$4,$C546),'INSER DATA'!$A:$F,7,0),"")</f>
        <v/>
      </c>
      <c r="BK546" s="270" t="str">
        <f>_xlfn.IFNA(VLOOKUP(CONCATENATE(BK$4,$C546),'INSER DATA'!$A:$F,7,0),"")</f>
        <v/>
      </c>
      <c r="BL546" s="272"/>
      <c r="BM546" s="30"/>
      <c r="BN546" s="30"/>
      <c r="BO546" s="30"/>
      <c r="BP546" s="30"/>
      <c r="BQ546" s="30"/>
      <c r="BR546" s="30"/>
      <c r="BS546" s="30"/>
      <c r="BT546" s="30"/>
      <c r="BU546" s="30"/>
      <c r="BV546" s="30"/>
      <c r="BW546" s="30"/>
      <c r="BX546" s="30"/>
      <c r="BY546" s="30"/>
      <c r="BZ546" s="30"/>
      <c r="CA546" s="30"/>
      <c r="CB546" s="30"/>
      <c r="CC546" s="30"/>
      <c r="CD546" s="30"/>
      <c r="CE546" s="30"/>
      <c r="CF546" s="30"/>
      <c r="CG546" s="30"/>
      <c r="CH546" s="30"/>
      <c r="CI546" s="30"/>
      <c r="CJ546" s="30"/>
      <c r="CK546" s="30"/>
      <c r="CL546" s="30"/>
      <c r="CM546" s="30"/>
      <c r="CN546" s="30"/>
      <c r="CO546" s="30"/>
      <c r="CP546" s="30"/>
      <c r="CQ546" s="30"/>
      <c r="CR546" s="30"/>
      <c r="CS546" s="30"/>
      <c r="CT546" s="30"/>
      <c r="CU546" s="30"/>
      <c r="CV546" s="30"/>
      <c r="CW546" s="30"/>
      <c r="CX546" s="30"/>
      <c r="CY546" s="30"/>
      <c r="CZ546" s="30"/>
      <c r="DA546" s="30"/>
    </row>
    <row r="547" spans="1:105" ht="19.2" thickTop="1" thickBot="1" x14ac:dyDescent="0.4">
      <c r="A547" s="30"/>
      <c r="B547" s="30"/>
      <c r="C547" s="406"/>
      <c r="D547" s="407"/>
      <c r="E547" s="35">
        <f>_xlfn.XLOOKUP(Tabella4[[#This Row],[NOME]],'ROSE SQUADRE'!$N$3:$N$253,'ROSE SQUADRE'!$O$3:$O$253,"")</f>
        <v>0</v>
      </c>
      <c r="F547" s="36"/>
      <c r="G547" s="43"/>
      <c r="H547" s="43"/>
      <c r="I547" s="44">
        <f t="shared" si="56"/>
        <v>0</v>
      </c>
      <c r="J547" s="408">
        <f t="shared" si="57"/>
        <v>0</v>
      </c>
      <c r="K547" s="178">
        <f t="shared" si="58"/>
        <v>0</v>
      </c>
      <c r="L547" s="178">
        <f t="shared" si="59"/>
        <v>0</v>
      </c>
      <c r="M547" s="179">
        <f t="shared" si="60"/>
        <v>0</v>
      </c>
      <c r="N547" s="45">
        <f t="shared" ca="1" si="61"/>
        <v>0</v>
      </c>
      <c r="O547" s="40">
        <f>SUMIF(Tabella1[Nome],Tabella4[[#This Row],[NOME]],Tabella1[Gf])</f>
        <v>0</v>
      </c>
      <c r="P547" s="40">
        <f>-(SUMIF(Tabella1[Nome],Tabella4[[#This Row],[NOME]],Tabella1[Gs]))</f>
        <v>0</v>
      </c>
      <c r="Q547" s="40">
        <f>SUMIF(Tabella1[Nome],Tabella4[[#This Row],[NOME]],Tabella1[Rp])</f>
        <v>0</v>
      </c>
      <c r="R547" s="40">
        <f>SUMIF(Tabella1[Nome],Tabella4[[#This Row],[NOME]],Tabella1[Rs])</f>
        <v>0</v>
      </c>
      <c r="S547" s="40">
        <f>SUMIF(Tabella1[Nome],Tabella4[[#This Row],[NOME]],Tabella1[Rf])</f>
        <v>0</v>
      </c>
      <c r="T547" s="40">
        <f>SUMIF(Tabella1[Nome],Tabella4[[#This Row],[NOME]],Tabella1[Au])</f>
        <v>0</v>
      </c>
      <c r="U547" s="41">
        <f>SUMIF(Tabella1[Nome],Tabella4[[#This Row],[NOME]],Tabella1[Amm])</f>
        <v>0</v>
      </c>
      <c r="V547" s="42">
        <f>SUMIF(Tabella1[Nome],Tabella4[[#This Row],[NOME]],Tabella1[Esp])</f>
        <v>0</v>
      </c>
      <c r="W547" s="40">
        <f>SUMIF(Tabella1[Nome],Tabella4[[#This Row],[NOME]],Tabella1[Ass])</f>
        <v>0</v>
      </c>
      <c r="X547" s="40">
        <f>SUMIF(Tabella1[Nome],Tabella4[[#This Row],[NOME]],Tabella1[Gdv])</f>
        <v>0</v>
      </c>
      <c r="Y547" s="40">
        <f>SUMIF(Tabella1[Nome],Tabella4[[#This Row],[NOME]],Tabella1[cl sh])</f>
        <v>0</v>
      </c>
      <c r="Z547" s="270" t="str">
        <f>_xlfn.IFNA(_xlfn.XLOOKUP(CONCATENATE(Z$4,$C547),Tabella1[CONC X VOTI IN TAB GIOC],Tabella1[Voto],""),"")</f>
        <v/>
      </c>
      <c r="AA547" s="270" t="str">
        <f>_xlfn.IFNA(_xlfn.XLOOKUP(CONCATENATE(AA$4,$C547),Tabella1[CONC X VOTI IN TAB GIOC],Tabella1[Voto],""),"")</f>
        <v/>
      </c>
      <c r="AB547" s="270" t="str">
        <f>_xlfn.IFNA(_xlfn.XLOOKUP(CONCATENATE(AB$4,$C547),Tabella1[CONC X VOTI IN TAB GIOC],Tabella1[Voto]),"")</f>
        <v/>
      </c>
      <c r="AC547" s="270" t="str" cm="1">
        <f t="array" ref="AC547">_xlfn.IFNA(_xlfn.XLOOKUP(CONCATENATE(AC$4,$C547),INDEX(Tabella1[],0,MATCH("CONC X VOTI IN TAB GIOC",Tabella1[#Headers],0)),INDEX(Tabella1[],0,MATCH("Voto",Tabella1[#Headers],0))),"")</f>
        <v/>
      </c>
      <c r="AD547" s="270" t="str">
        <f>_xlfn.IFNA(_xlfn.XLOOKUP(CONCATENATE(AD$4,$C547),Tabella1[CONC X VOTI IN TAB GIOC],Tabella1[Voto]),"")</f>
        <v/>
      </c>
      <c r="AE547" s="270" t="str">
        <f>_xlfn.IFNA(VLOOKUP(CONCATENATE(AE$4,$C547),'INSER DATA'!$A:$F,6,0),"")</f>
        <v/>
      </c>
      <c r="AF547" s="270" t="str">
        <f>_xlfn.IFNA(VLOOKUP(CONCATENATE(AF$4,$C547),'INSER DATA'!$A:$F,6,0),"")</f>
        <v/>
      </c>
      <c r="AG547" s="270" t="str">
        <f>_xlfn.IFNA(VLOOKUP(CONCATENATE(AG$4,$C547),'INSER DATA'!$A:$F,6,0),"")</f>
        <v/>
      </c>
      <c r="AH547" s="270" t="str">
        <f>_xlfn.IFNA(VLOOKUP(CONCATENATE(AH$4,$C547),'INSER DATA'!$A:$F,7,0),"")</f>
        <v/>
      </c>
      <c r="AI547" s="270" t="str">
        <f>_xlfn.IFNA(VLOOKUP(CONCATENATE(AI$4,$C547),'INSER DATA'!$A:$F,7,0),"")</f>
        <v/>
      </c>
      <c r="AJ547" s="270" t="str">
        <f>_xlfn.IFNA(VLOOKUP(CONCATENATE(AJ$4,$C547),'INSER DATA'!$A:$F,7,0),"")</f>
        <v/>
      </c>
      <c r="AK547" s="270" t="str">
        <f>_xlfn.IFNA(VLOOKUP(CONCATENATE(AK$4,$C547),'INSER DATA'!$A:$F,7,0),"")</f>
        <v/>
      </c>
      <c r="AL547" s="270" t="str">
        <f>_xlfn.IFNA(VLOOKUP(CONCATENATE(AL$4,$C547),'INSER DATA'!$A:$F,7,0),"")</f>
        <v/>
      </c>
      <c r="AM547" s="270" t="str">
        <f>_xlfn.IFNA(VLOOKUP(CONCATENATE(AM$4,$C547),'INSER DATA'!$A:$F,7,0),"")</f>
        <v/>
      </c>
      <c r="AN547" s="270" t="str">
        <f>_xlfn.IFNA(VLOOKUP(CONCATENATE(AN$4,$C547),'INSER DATA'!$A:$F,7,0),"")</f>
        <v/>
      </c>
      <c r="AO547" s="270" t="str">
        <f>_xlfn.IFNA(VLOOKUP(CONCATENATE(AO$4,$C547),'INSER DATA'!$A:$F,7,0),"")</f>
        <v/>
      </c>
      <c r="AP547" s="270" t="str">
        <f>_xlfn.IFNA(VLOOKUP(CONCATENATE(AP$4,$C547),'INSER DATA'!$A:$F,7,0),"")</f>
        <v/>
      </c>
      <c r="AQ547" s="270" t="str">
        <f>_xlfn.IFNA(VLOOKUP(CONCATENATE(AQ$4,$C547),'INSER DATA'!$A:$F,7,0),"")</f>
        <v/>
      </c>
      <c r="AR547" s="270" t="str">
        <f>_xlfn.IFNA(VLOOKUP(CONCATENATE(AR$4,$C547),'INSER DATA'!$A:$F,7,0),"")</f>
        <v/>
      </c>
      <c r="AS547" s="270" t="str">
        <f>_xlfn.IFNA(VLOOKUP(CONCATENATE(AS$4,$C547),'INSER DATA'!$A:$F,7,0),"")</f>
        <v/>
      </c>
      <c r="AT547" s="270" t="str">
        <f>_xlfn.IFNA(VLOOKUP(CONCATENATE(AT$4,$C547),'INSER DATA'!$A:$F,7,0),"")</f>
        <v/>
      </c>
      <c r="AU547" s="270" t="str">
        <f>_xlfn.IFNA(VLOOKUP(CONCATENATE(AU$4,$C547),'INSER DATA'!$A:$F,7,0),"")</f>
        <v/>
      </c>
      <c r="AV547" s="270" t="str">
        <f>_xlfn.IFNA(VLOOKUP(CONCATENATE(AV$4,$C547),'INSER DATA'!$A:$F,7,0),"")</f>
        <v/>
      </c>
      <c r="AW547" s="270" t="str">
        <f>_xlfn.IFNA(VLOOKUP(CONCATENATE(AW$4,$C547),'INSER DATA'!$A:$F,7,0),"")</f>
        <v/>
      </c>
      <c r="AX547" s="270" t="str">
        <f>_xlfn.IFNA(VLOOKUP(CONCATENATE(AX$4,$C547),'INSER DATA'!$A:$F,7,0),"")</f>
        <v/>
      </c>
      <c r="AY547" s="270" t="str">
        <f>_xlfn.IFNA(VLOOKUP(CONCATENATE(AY$4,$C547),'INSER DATA'!$A:$F,7,0),"")</f>
        <v/>
      </c>
      <c r="AZ547" s="270" t="str">
        <f>_xlfn.IFNA(VLOOKUP(CONCATENATE(AZ$4,$C547),'INSER DATA'!$A:$F,7,0),"")</f>
        <v/>
      </c>
      <c r="BA547" s="270" t="str">
        <f>_xlfn.IFNA(VLOOKUP(CONCATENATE(BA$4,$C547),'INSER DATA'!$A:$F,7,0),"")</f>
        <v/>
      </c>
      <c r="BB547" s="270" t="str">
        <f>_xlfn.IFNA(VLOOKUP(CONCATENATE(BB$4,$C547),'INSER DATA'!$A:$F,7,0),"")</f>
        <v/>
      </c>
      <c r="BC547" s="270" t="str">
        <f>_xlfn.IFNA(VLOOKUP(CONCATENATE(BC$4,$C547),'INSER DATA'!$A:$F,7,0),"")</f>
        <v/>
      </c>
      <c r="BD547" s="270" t="str">
        <f>_xlfn.IFNA(VLOOKUP(CONCATENATE(BD$4,$C547),'INSER DATA'!$A:$F,7,0),"")</f>
        <v/>
      </c>
      <c r="BE547" s="270" t="str">
        <f>_xlfn.IFNA(VLOOKUP(CONCATENATE(BE$4,$C547),'INSER DATA'!$A:$F,7,0),"")</f>
        <v/>
      </c>
      <c r="BF547" s="270" t="str">
        <f>_xlfn.IFNA(VLOOKUP(CONCATENATE(BF$4,$C547),'INSER DATA'!$A:$F,7,0),"")</f>
        <v/>
      </c>
      <c r="BG547" s="270" t="str">
        <f>_xlfn.IFNA(VLOOKUP(CONCATENATE(BG$4,$C547),'INSER DATA'!$A:$F,7,0),"")</f>
        <v/>
      </c>
      <c r="BH547" s="270" t="str">
        <f>_xlfn.IFNA(VLOOKUP(CONCATENATE(BH$4,$C547),'INSER DATA'!$A:$F,7,0),"")</f>
        <v/>
      </c>
      <c r="BI547" s="270" t="str">
        <f>_xlfn.IFNA(VLOOKUP(CONCATENATE(BI$4,$C547),'INSER DATA'!$A:$F,7,0),"")</f>
        <v/>
      </c>
      <c r="BJ547" s="270" t="str">
        <f>_xlfn.IFNA(VLOOKUP(CONCATENATE(BJ$4,$C547),'INSER DATA'!$A:$F,7,0),"")</f>
        <v/>
      </c>
      <c r="BK547" s="270" t="str">
        <f>_xlfn.IFNA(VLOOKUP(CONCATENATE(BK$4,$C547),'INSER DATA'!$A:$F,7,0),"")</f>
        <v/>
      </c>
      <c r="BL547" s="272"/>
      <c r="BM547" s="30"/>
      <c r="BN547" s="30"/>
      <c r="BO547" s="30"/>
      <c r="BP547" s="30"/>
      <c r="BQ547" s="30"/>
      <c r="BR547" s="30"/>
      <c r="BS547" s="30"/>
      <c r="BT547" s="30"/>
      <c r="BU547" s="30"/>
      <c r="BV547" s="30"/>
      <c r="BW547" s="30"/>
      <c r="BX547" s="30"/>
      <c r="BY547" s="30"/>
      <c r="BZ547" s="30"/>
      <c r="CA547" s="30"/>
      <c r="CB547" s="30"/>
      <c r="CC547" s="30"/>
      <c r="CD547" s="30"/>
      <c r="CE547" s="30"/>
      <c r="CF547" s="30"/>
      <c r="CG547" s="30"/>
      <c r="CH547" s="30"/>
      <c r="CI547" s="30"/>
      <c r="CJ547" s="30"/>
      <c r="CK547" s="30"/>
      <c r="CL547" s="30"/>
      <c r="CM547" s="30"/>
      <c r="CN547" s="30"/>
      <c r="CO547" s="30"/>
      <c r="CP547" s="30"/>
      <c r="CQ547" s="30"/>
      <c r="CR547" s="30"/>
      <c r="CS547" s="30"/>
      <c r="CT547" s="30"/>
      <c r="CU547" s="30"/>
      <c r="CV547" s="30"/>
      <c r="CW547" s="30"/>
      <c r="CX547" s="30"/>
      <c r="CY547" s="30"/>
      <c r="CZ547" s="30"/>
      <c r="DA547" s="30"/>
    </row>
    <row r="548" spans="1:105" ht="19.2" thickTop="1" thickBot="1" x14ac:dyDescent="0.4">
      <c r="A548" s="30"/>
      <c r="B548" s="30"/>
      <c r="C548" s="406"/>
      <c r="D548" s="407"/>
      <c r="E548" s="35">
        <f>_xlfn.XLOOKUP(Tabella4[[#This Row],[NOME]],'ROSE SQUADRE'!$N$3:$N$253,'ROSE SQUADRE'!$O$3:$O$253,"")</f>
        <v>0</v>
      </c>
      <c r="F548" s="36"/>
      <c r="G548" s="43"/>
      <c r="H548" s="43"/>
      <c r="I548" s="44">
        <f t="shared" si="56"/>
        <v>0</v>
      </c>
      <c r="J548" s="408">
        <f t="shared" si="57"/>
        <v>0</v>
      </c>
      <c r="K548" s="178">
        <f t="shared" si="58"/>
        <v>0</v>
      </c>
      <c r="L548" s="178">
        <f t="shared" si="59"/>
        <v>0</v>
      </c>
      <c r="M548" s="179">
        <f t="shared" si="60"/>
        <v>0</v>
      </c>
      <c r="N548" s="45">
        <f t="shared" ca="1" si="61"/>
        <v>0</v>
      </c>
      <c r="O548" s="40">
        <f>SUMIF(Tabella1[Nome],Tabella4[[#This Row],[NOME]],Tabella1[Gf])</f>
        <v>0</v>
      </c>
      <c r="P548" s="40">
        <f>-(SUMIF(Tabella1[Nome],Tabella4[[#This Row],[NOME]],Tabella1[Gs]))</f>
        <v>0</v>
      </c>
      <c r="Q548" s="40">
        <f>SUMIF(Tabella1[Nome],Tabella4[[#This Row],[NOME]],Tabella1[Rp])</f>
        <v>0</v>
      </c>
      <c r="R548" s="40">
        <f>SUMIF(Tabella1[Nome],Tabella4[[#This Row],[NOME]],Tabella1[Rs])</f>
        <v>0</v>
      </c>
      <c r="S548" s="40">
        <f>SUMIF(Tabella1[Nome],Tabella4[[#This Row],[NOME]],Tabella1[Rf])</f>
        <v>0</v>
      </c>
      <c r="T548" s="40">
        <f>SUMIF(Tabella1[Nome],Tabella4[[#This Row],[NOME]],Tabella1[Au])</f>
        <v>0</v>
      </c>
      <c r="U548" s="41">
        <f>SUMIF(Tabella1[Nome],Tabella4[[#This Row],[NOME]],Tabella1[Amm])</f>
        <v>0</v>
      </c>
      <c r="V548" s="42">
        <f>SUMIF(Tabella1[Nome],Tabella4[[#This Row],[NOME]],Tabella1[Esp])</f>
        <v>0</v>
      </c>
      <c r="W548" s="40">
        <f>SUMIF(Tabella1[Nome],Tabella4[[#This Row],[NOME]],Tabella1[Ass])</f>
        <v>0</v>
      </c>
      <c r="X548" s="40">
        <f>SUMIF(Tabella1[Nome],Tabella4[[#This Row],[NOME]],Tabella1[Gdv])</f>
        <v>0</v>
      </c>
      <c r="Y548" s="40">
        <f>SUMIF(Tabella1[Nome],Tabella4[[#This Row],[NOME]],Tabella1[cl sh])</f>
        <v>0</v>
      </c>
      <c r="Z548" s="270" t="str">
        <f>_xlfn.IFNA(_xlfn.XLOOKUP(CONCATENATE(Z$4,$C548),Tabella1[CONC X VOTI IN TAB GIOC],Tabella1[Voto],""),"")</f>
        <v/>
      </c>
      <c r="AA548" s="270" t="str">
        <f>_xlfn.IFNA(_xlfn.XLOOKUP(CONCATENATE(AA$4,$C548),Tabella1[CONC X VOTI IN TAB GIOC],Tabella1[Voto],""),"")</f>
        <v/>
      </c>
      <c r="AB548" s="270" t="str">
        <f>_xlfn.IFNA(_xlfn.XLOOKUP(CONCATENATE(AB$4,$C548),Tabella1[CONC X VOTI IN TAB GIOC],Tabella1[Voto]),"")</f>
        <v/>
      </c>
      <c r="AC548" s="270" t="str" cm="1">
        <f t="array" ref="AC548">_xlfn.IFNA(_xlfn.XLOOKUP(CONCATENATE(AC$4,$C548),INDEX(Tabella1[],0,MATCH("CONC X VOTI IN TAB GIOC",Tabella1[#Headers],0)),INDEX(Tabella1[],0,MATCH("Voto",Tabella1[#Headers],0))),"")</f>
        <v/>
      </c>
      <c r="AD548" s="270" t="str">
        <f>_xlfn.IFNA(_xlfn.XLOOKUP(CONCATENATE(AD$4,$C548),Tabella1[CONC X VOTI IN TAB GIOC],Tabella1[Voto]),"")</f>
        <v/>
      </c>
      <c r="AE548" s="270" t="str">
        <f>_xlfn.IFNA(VLOOKUP(CONCATENATE(AE$4,$C548),'INSER DATA'!$A:$F,6,0),"")</f>
        <v/>
      </c>
      <c r="AF548" s="270" t="str">
        <f>_xlfn.IFNA(VLOOKUP(CONCATENATE(AF$4,$C548),'INSER DATA'!$A:$F,6,0),"")</f>
        <v/>
      </c>
      <c r="AG548" s="270" t="str">
        <f>_xlfn.IFNA(VLOOKUP(CONCATENATE(AG$4,$C548),'INSER DATA'!$A:$F,6,0),"")</f>
        <v/>
      </c>
      <c r="AH548" s="270" t="str">
        <f>_xlfn.IFNA(VLOOKUP(CONCATENATE(AH$4,$C548),'INSER DATA'!$A:$F,7,0),"")</f>
        <v/>
      </c>
      <c r="AI548" s="270" t="str">
        <f>_xlfn.IFNA(VLOOKUP(CONCATENATE(AI$4,$C548),'INSER DATA'!$A:$F,7,0),"")</f>
        <v/>
      </c>
      <c r="AJ548" s="270" t="str">
        <f>_xlfn.IFNA(VLOOKUP(CONCATENATE(AJ$4,$C548),'INSER DATA'!$A:$F,7,0),"")</f>
        <v/>
      </c>
      <c r="AK548" s="270" t="str">
        <f>_xlfn.IFNA(VLOOKUP(CONCATENATE(AK$4,$C548),'INSER DATA'!$A:$F,7,0),"")</f>
        <v/>
      </c>
      <c r="AL548" s="270" t="str">
        <f>_xlfn.IFNA(VLOOKUP(CONCATENATE(AL$4,$C548),'INSER DATA'!$A:$F,7,0),"")</f>
        <v/>
      </c>
      <c r="AM548" s="270" t="str">
        <f>_xlfn.IFNA(VLOOKUP(CONCATENATE(AM$4,$C548),'INSER DATA'!$A:$F,7,0),"")</f>
        <v/>
      </c>
      <c r="AN548" s="270" t="str">
        <f>_xlfn.IFNA(VLOOKUP(CONCATENATE(AN$4,$C548),'INSER DATA'!$A:$F,7,0),"")</f>
        <v/>
      </c>
      <c r="AO548" s="270" t="str">
        <f>_xlfn.IFNA(VLOOKUP(CONCATENATE(AO$4,$C548),'INSER DATA'!$A:$F,7,0),"")</f>
        <v/>
      </c>
      <c r="AP548" s="270" t="str">
        <f>_xlfn.IFNA(VLOOKUP(CONCATENATE(AP$4,$C548),'INSER DATA'!$A:$F,7,0),"")</f>
        <v/>
      </c>
      <c r="AQ548" s="270" t="str">
        <f>_xlfn.IFNA(VLOOKUP(CONCATENATE(AQ$4,$C548),'INSER DATA'!$A:$F,7,0),"")</f>
        <v/>
      </c>
      <c r="AR548" s="270" t="str">
        <f>_xlfn.IFNA(VLOOKUP(CONCATENATE(AR$4,$C548),'INSER DATA'!$A:$F,7,0),"")</f>
        <v/>
      </c>
      <c r="AS548" s="270" t="str">
        <f>_xlfn.IFNA(VLOOKUP(CONCATENATE(AS$4,$C548),'INSER DATA'!$A:$F,7,0),"")</f>
        <v/>
      </c>
      <c r="AT548" s="270" t="str">
        <f>_xlfn.IFNA(VLOOKUP(CONCATENATE(AT$4,$C548),'INSER DATA'!$A:$F,7,0),"")</f>
        <v/>
      </c>
      <c r="AU548" s="270" t="str">
        <f>_xlfn.IFNA(VLOOKUP(CONCATENATE(AU$4,$C548),'INSER DATA'!$A:$F,7,0),"")</f>
        <v/>
      </c>
      <c r="AV548" s="270" t="str">
        <f>_xlfn.IFNA(VLOOKUP(CONCATENATE(AV$4,$C548),'INSER DATA'!$A:$F,7,0),"")</f>
        <v/>
      </c>
      <c r="AW548" s="270" t="str">
        <f>_xlfn.IFNA(VLOOKUP(CONCATENATE(AW$4,$C548),'INSER DATA'!$A:$F,7,0),"")</f>
        <v/>
      </c>
      <c r="AX548" s="270" t="str">
        <f>_xlfn.IFNA(VLOOKUP(CONCATENATE(AX$4,$C548),'INSER DATA'!$A:$F,7,0),"")</f>
        <v/>
      </c>
      <c r="AY548" s="270" t="str">
        <f>_xlfn.IFNA(VLOOKUP(CONCATENATE(AY$4,$C548),'INSER DATA'!$A:$F,7,0),"")</f>
        <v/>
      </c>
      <c r="AZ548" s="270" t="str">
        <f>_xlfn.IFNA(VLOOKUP(CONCATENATE(AZ$4,$C548),'INSER DATA'!$A:$F,7,0),"")</f>
        <v/>
      </c>
      <c r="BA548" s="270" t="str">
        <f>_xlfn.IFNA(VLOOKUP(CONCATENATE(BA$4,$C548),'INSER DATA'!$A:$F,7,0),"")</f>
        <v/>
      </c>
      <c r="BB548" s="270" t="str">
        <f>_xlfn.IFNA(VLOOKUP(CONCATENATE(BB$4,$C548),'INSER DATA'!$A:$F,7,0),"")</f>
        <v/>
      </c>
      <c r="BC548" s="270" t="str">
        <f>_xlfn.IFNA(VLOOKUP(CONCATENATE(BC$4,$C548),'INSER DATA'!$A:$F,7,0),"")</f>
        <v/>
      </c>
      <c r="BD548" s="270" t="str">
        <f>_xlfn.IFNA(VLOOKUP(CONCATENATE(BD$4,$C548),'INSER DATA'!$A:$F,7,0),"")</f>
        <v/>
      </c>
      <c r="BE548" s="270" t="str">
        <f>_xlfn.IFNA(VLOOKUP(CONCATENATE(BE$4,$C548),'INSER DATA'!$A:$F,7,0),"")</f>
        <v/>
      </c>
      <c r="BF548" s="270" t="str">
        <f>_xlfn.IFNA(VLOOKUP(CONCATENATE(BF$4,$C548),'INSER DATA'!$A:$F,7,0),"")</f>
        <v/>
      </c>
      <c r="BG548" s="270" t="str">
        <f>_xlfn.IFNA(VLOOKUP(CONCATENATE(BG$4,$C548),'INSER DATA'!$A:$F,7,0),"")</f>
        <v/>
      </c>
      <c r="BH548" s="270" t="str">
        <f>_xlfn.IFNA(VLOOKUP(CONCATENATE(BH$4,$C548),'INSER DATA'!$A:$F,7,0),"")</f>
        <v/>
      </c>
      <c r="BI548" s="270" t="str">
        <f>_xlfn.IFNA(VLOOKUP(CONCATENATE(BI$4,$C548),'INSER DATA'!$A:$F,7,0),"")</f>
        <v/>
      </c>
      <c r="BJ548" s="270" t="str">
        <f>_xlfn.IFNA(VLOOKUP(CONCATENATE(BJ$4,$C548),'INSER DATA'!$A:$F,7,0),"")</f>
        <v/>
      </c>
      <c r="BK548" s="270" t="str">
        <f>_xlfn.IFNA(VLOOKUP(CONCATENATE(BK$4,$C548),'INSER DATA'!$A:$F,7,0),"")</f>
        <v/>
      </c>
      <c r="BL548" s="272"/>
      <c r="BM548" s="30"/>
      <c r="BN548" s="30"/>
      <c r="BO548" s="30"/>
      <c r="BP548" s="30"/>
      <c r="BQ548" s="30"/>
      <c r="BR548" s="30"/>
      <c r="BS548" s="30"/>
      <c r="BT548" s="30"/>
      <c r="BU548" s="30"/>
      <c r="BV548" s="30"/>
      <c r="BW548" s="30"/>
      <c r="BX548" s="30"/>
      <c r="BY548" s="30"/>
      <c r="BZ548" s="30"/>
      <c r="CA548" s="30"/>
      <c r="CB548" s="30"/>
      <c r="CC548" s="30"/>
      <c r="CD548" s="30"/>
      <c r="CE548" s="30"/>
      <c r="CF548" s="30"/>
      <c r="CG548" s="30"/>
      <c r="CH548" s="30"/>
      <c r="CI548" s="30"/>
      <c r="CJ548" s="30"/>
      <c r="CK548" s="30"/>
      <c r="CL548" s="30"/>
      <c r="CM548" s="30"/>
      <c r="CN548" s="30"/>
      <c r="CO548" s="30"/>
      <c r="CP548" s="30"/>
      <c r="CQ548" s="30"/>
      <c r="CR548" s="30"/>
      <c r="CS548" s="30"/>
      <c r="CT548" s="30"/>
      <c r="CU548" s="30"/>
      <c r="CV548" s="30"/>
      <c r="CW548" s="30"/>
      <c r="CX548" s="30"/>
      <c r="CY548" s="30"/>
      <c r="CZ548" s="30"/>
      <c r="DA548" s="30"/>
    </row>
    <row r="549" spans="1:105" ht="19.2" thickTop="1" thickBot="1" x14ac:dyDescent="0.4">
      <c r="A549" s="30"/>
      <c r="B549" s="30"/>
      <c r="C549" s="406"/>
      <c r="D549" s="407"/>
      <c r="E549" s="35">
        <f>_xlfn.XLOOKUP(Tabella4[[#This Row],[NOME]],'ROSE SQUADRE'!$N$3:$N$253,'ROSE SQUADRE'!$O$3:$O$253,"")</f>
        <v>0</v>
      </c>
      <c r="F549" s="36"/>
      <c r="G549" s="43"/>
      <c r="H549" s="43"/>
      <c r="I549" s="44">
        <f t="shared" si="56"/>
        <v>0</v>
      </c>
      <c r="J549" s="408">
        <f t="shared" si="57"/>
        <v>0</v>
      </c>
      <c r="K549" s="178">
        <f t="shared" si="58"/>
        <v>0</v>
      </c>
      <c r="L549" s="178">
        <f t="shared" si="59"/>
        <v>0</v>
      </c>
      <c r="M549" s="179">
        <f t="shared" si="60"/>
        <v>0</v>
      </c>
      <c r="N549" s="45">
        <f t="shared" ca="1" si="61"/>
        <v>0</v>
      </c>
      <c r="O549" s="40">
        <f>SUMIF(Tabella1[Nome],Tabella4[[#This Row],[NOME]],Tabella1[Gf])</f>
        <v>0</v>
      </c>
      <c r="P549" s="40">
        <f>-(SUMIF(Tabella1[Nome],Tabella4[[#This Row],[NOME]],Tabella1[Gs]))</f>
        <v>0</v>
      </c>
      <c r="Q549" s="40">
        <f>SUMIF(Tabella1[Nome],Tabella4[[#This Row],[NOME]],Tabella1[Rp])</f>
        <v>0</v>
      </c>
      <c r="R549" s="40">
        <f>SUMIF(Tabella1[Nome],Tabella4[[#This Row],[NOME]],Tabella1[Rs])</f>
        <v>0</v>
      </c>
      <c r="S549" s="40">
        <f>SUMIF(Tabella1[Nome],Tabella4[[#This Row],[NOME]],Tabella1[Rf])</f>
        <v>0</v>
      </c>
      <c r="T549" s="40">
        <f>SUMIF(Tabella1[Nome],Tabella4[[#This Row],[NOME]],Tabella1[Au])</f>
        <v>0</v>
      </c>
      <c r="U549" s="41">
        <f>SUMIF(Tabella1[Nome],Tabella4[[#This Row],[NOME]],Tabella1[Amm])</f>
        <v>0</v>
      </c>
      <c r="V549" s="42">
        <f>SUMIF(Tabella1[Nome],Tabella4[[#This Row],[NOME]],Tabella1[Esp])</f>
        <v>0</v>
      </c>
      <c r="W549" s="40">
        <f>SUMIF(Tabella1[Nome],Tabella4[[#This Row],[NOME]],Tabella1[Ass])</f>
        <v>0</v>
      </c>
      <c r="X549" s="40">
        <f>SUMIF(Tabella1[Nome],Tabella4[[#This Row],[NOME]],Tabella1[Gdv])</f>
        <v>0</v>
      </c>
      <c r="Y549" s="40">
        <f>SUMIF(Tabella1[Nome],Tabella4[[#This Row],[NOME]],Tabella1[cl sh])</f>
        <v>0</v>
      </c>
      <c r="Z549" s="270" t="str">
        <f>_xlfn.IFNA(_xlfn.XLOOKUP(CONCATENATE(Z$4,$C549),Tabella1[CONC X VOTI IN TAB GIOC],Tabella1[Voto],""),"")</f>
        <v/>
      </c>
      <c r="AA549" s="270" t="str">
        <f>_xlfn.IFNA(_xlfn.XLOOKUP(CONCATENATE(AA$4,$C549),Tabella1[CONC X VOTI IN TAB GIOC],Tabella1[Voto],""),"")</f>
        <v/>
      </c>
      <c r="AB549" s="270" t="str">
        <f>_xlfn.IFNA(_xlfn.XLOOKUP(CONCATENATE(AB$4,$C549),Tabella1[CONC X VOTI IN TAB GIOC],Tabella1[Voto]),"")</f>
        <v/>
      </c>
      <c r="AC549" s="270" t="str" cm="1">
        <f t="array" ref="AC549">_xlfn.IFNA(_xlfn.XLOOKUP(CONCATENATE(AC$4,$C549),INDEX(Tabella1[],0,MATCH("CONC X VOTI IN TAB GIOC",Tabella1[#Headers],0)),INDEX(Tabella1[],0,MATCH("Voto",Tabella1[#Headers],0))),"")</f>
        <v/>
      </c>
      <c r="AD549" s="270" t="str">
        <f>_xlfn.IFNA(_xlfn.XLOOKUP(CONCATENATE(AD$4,$C549),Tabella1[CONC X VOTI IN TAB GIOC],Tabella1[Voto]),"")</f>
        <v/>
      </c>
      <c r="AE549" s="270" t="str">
        <f>_xlfn.IFNA(VLOOKUP(CONCATENATE(AE$4,$C549),'INSER DATA'!$A:$F,6,0),"")</f>
        <v/>
      </c>
      <c r="AF549" s="270" t="str">
        <f>_xlfn.IFNA(VLOOKUP(CONCATENATE(AF$4,$C549),'INSER DATA'!$A:$F,6,0),"")</f>
        <v/>
      </c>
      <c r="AG549" s="270" t="str">
        <f>_xlfn.IFNA(VLOOKUP(CONCATENATE(AG$4,$C549),'INSER DATA'!$A:$F,6,0),"")</f>
        <v/>
      </c>
      <c r="AH549" s="270" t="str">
        <f>_xlfn.IFNA(VLOOKUP(CONCATENATE(AH$4,$C549),'INSER DATA'!$A:$F,7,0),"")</f>
        <v/>
      </c>
      <c r="AI549" s="270" t="str">
        <f>_xlfn.IFNA(VLOOKUP(CONCATENATE(AI$4,$C549),'INSER DATA'!$A:$F,7,0),"")</f>
        <v/>
      </c>
      <c r="AJ549" s="270" t="str">
        <f>_xlfn.IFNA(VLOOKUP(CONCATENATE(AJ$4,$C549),'INSER DATA'!$A:$F,7,0),"")</f>
        <v/>
      </c>
      <c r="AK549" s="270" t="str">
        <f>_xlfn.IFNA(VLOOKUP(CONCATENATE(AK$4,$C549),'INSER DATA'!$A:$F,7,0),"")</f>
        <v/>
      </c>
      <c r="AL549" s="270" t="str">
        <f>_xlfn.IFNA(VLOOKUP(CONCATENATE(AL$4,$C549),'INSER DATA'!$A:$F,7,0),"")</f>
        <v/>
      </c>
      <c r="AM549" s="270" t="str">
        <f>_xlfn.IFNA(VLOOKUP(CONCATENATE(AM$4,$C549),'INSER DATA'!$A:$F,7,0),"")</f>
        <v/>
      </c>
      <c r="AN549" s="270" t="str">
        <f>_xlfn.IFNA(VLOOKUP(CONCATENATE(AN$4,$C549),'INSER DATA'!$A:$F,7,0),"")</f>
        <v/>
      </c>
      <c r="AO549" s="270" t="str">
        <f>_xlfn.IFNA(VLOOKUP(CONCATENATE(AO$4,$C549),'INSER DATA'!$A:$F,7,0),"")</f>
        <v/>
      </c>
      <c r="AP549" s="270" t="str">
        <f>_xlfn.IFNA(VLOOKUP(CONCATENATE(AP$4,$C549),'INSER DATA'!$A:$F,7,0),"")</f>
        <v/>
      </c>
      <c r="AQ549" s="270" t="str">
        <f>_xlfn.IFNA(VLOOKUP(CONCATENATE(AQ$4,$C549),'INSER DATA'!$A:$F,7,0),"")</f>
        <v/>
      </c>
      <c r="AR549" s="270" t="str">
        <f>_xlfn.IFNA(VLOOKUP(CONCATENATE(AR$4,$C549),'INSER DATA'!$A:$F,7,0),"")</f>
        <v/>
      </c>
      <c r="AS549" s="270" t="str">
        <f>_xlfn.IFNA(VLOOKUP(CONCATENATE(AS$4,$C549),'INSER DATA'!$A:$F,7,0),"")</f>
        <v/>
      </c>
      <c r="AT549" s="270" t="str">
        <f>_xlfn.IFNA(VLOOKUP(CONCATENATE(AT$4,$C549),'INSER DATA'!$A:$F,7,0),"")</f>
        <v/>
      </c>
      <c r="AU549" s="270" t="str">
        <f>_xlfn.IFNA(VLOOKUP(CONCATENATE(AU$4,$C549),'INSER DATA'!$A:$F,7,0),"")</f>
        <v/>
      </c>
      <c r="AV549" s="270" t="str">
        <f>_xlfn.IFNA(VLOOKUP(CONCATENATE(AV$4,$C549),'INSER DATA'!$A:$F,7,0),"")</f>
        <v/>
      </c>
      <c r="AW549" s="270" t="str">
        <f>_xlfn.IFNA(VLOOKUP(CONCATENATE(AW$4,$C549),'INSER DATA'!$A:$F,7,0),"")</f>
        <v/>
      </c>
      <c r="AX549" s="270" t="str">
        <f>_xlfn.IFNA(VLOOKUP(CONCATENATE(AX$4,$C549),'INSER DATA'!$A:$F,7,0),"")</f>
        <v/>
      </c>
      <c r="AY549" s="270" t="str">
        <f>_xlfn.IFNA(VLOOKUP(CONCATENATE(AY$4,$C549),'INSER DATA'!$A:$F,7,0),"")</f>
        <v/>
      </c>
      <c r="AZ549" s="270" t="str">
        <f>_xlfn.IFNA(VLOOKUP(CONCATENATE(AZ$4,$C549),'INSER DATA'!$A:$F,7,0),"")</f>
        <v/>
      </c>
      <c r="BA549" s="270" t="str">
        <f>_xlfn.IFNA(VLOOKUP(CONCATENATE(BA$4,$C549),'INSER DATA'!$A:$F,7,0),"")</f>
        <v/>
      </c>
      <c r="BB549" s="270" t="str">
        <f>_xlfn.IFNA(VLOOKUP(CONCATENATE(BB$4,$C549),'INSER DATA'!$A:$F,7,0),"")</f>
        <v/>
      </c>
      <c r="BC549" s="270" t="str">
        <f>_xlfn.IFNA(VLOOKUP(CONCATENATE(BC$4,$C549),'INSER DATA'!$A:$F,7,0),"")</f>
        <v/>
      </c>
      <c r="BD549" s="270" t="str">
        <f>_xlfn.IFNA(VLOOKUP(CONCATENATE(BD$4,$C549),'INSER DATA'!$A:$F,7,0),"")</f>
        <v/>
      </c>
      <c r="BE549" s="270" t="str">
        <f>_xlfn.IFNA(VLOOKUP(CONCATENATE(BE$4,$C549),'INSER DATA'!$A:$F,7,0),"")</f>
        <v/>
      </c>
      <c r="BF549" s="270" t="str">
        <f>_xlfn.IFNA(VLOOKUP(CONCATENATE(BF$4,$C549),'INSER DATA'!$A:$F,7,0),"")</f>
        <v/>
      </c>
      <c r="BG549" s="270" t="str">
        <f>_xlfn.IFNA(VLOOKUP(CONCATENATE(BG$4,$C549),'INSER DATA'!$A:$F,7,0),"")</f>
        <v/>
      </c>
      <c r="BH549" s="270" t="str">
        <f>_xlfn.IFNA(VLOOKUP(CONCATENATE(BH$4,$C549),'INSER DATA'!$A:$F,7,0),"")</f>
        <v/>
      </c>
      <c r="BI549" s="270" t="str">
        <f>_xlfn.IFNA(VLOOKUP(CONCATENATE(BI$4,$C549),'INSER DATA'!$A:$F,7,0),"")</f>
        <v/>
      </c>
      <c r="BJ549" s="270" t="str">
        <f>_xlfn.IFNA(VLOOKUP(CONCATENATE(BJ$4,$C549),'INSER DATA'!$A:$F,7,0),"")</f>
        <v/>
      </c>
      <c r="BK549" s="270" t="str">
        <f>_xlfn.IFNA(VLOOKUP(CONCATENATE(BK$4,$C549),'INSER DATA'!$A:$F,7,0),"")</f>
        <v/>
      </c>
      <c r="BL549" s="272"/>
      <c r="BM549" s="30"/>
      <c r="BN549" s="30"/>
      <c r="BO549" s="30"/>
      <c r="BP549" s="30"/>
      <c r="BQ549" s="30"/>
      <c r="BR549" s="30"/>
      <c r="BS549" s="30"/>
      <c r="BT549" s="30"/>
      <c r="BU549" s="30"/>
      <c r="BV549" s="30"/>
      <c r="BW549" s="30"/>
      <c r="BX549" s="30"/>
      <c r="BY549" s="30"/>
      <c r="BZ549" s="30"/>
      <c r="CA549" s="30"/>
      <c r="CB549" s="30"/>
      <c r="CC549" s="30"/>
      <c r="CD549" s="30"/>
      <c r="CE549" s="30"/>
      <c r="CF549" s="30"/>
      <c r="CG549" s="30"/>
      <c r="CH549" s="30"/>
      <c r="CI549" s="30"/>
      <c r="CJ549" s="30"/>
      <c r="CK549" s="30"/>
      <c r="CL549" s="30"/>
      <c r="CM549" s="30"/>
      <c r="CN549" s="30"/>
      <c r="CO549" s="30"/>
      <c r="CP549" s="30"/>
      <c r="CQ549" s="30"/>
      <c r="CR549" s="30"/>
      <c r="CS549" s="30"/>
      <c r="CT549" s="30"/>
      <c r="CU549" s="30"/>
      <c r="CV549" s="30"/>
      <c r="CW549" s="30"/>
      <c r="CX549" s="30"/>
      <c r="CY549" s="30"/>
      <c r="CZ549" s="30"/>
      <c r="DA549" s="30"/>
    </row>
    <row r="550" spans="1:105" ht="19.2" thickTop="1" thickBot="1" x14ac:dyDescent="0.4">
      <c r="A550" s="30"/>
      <c r="B550" s="30"/>
      <c r="C550" s="406"/>
      <c r="D550" s="407"/>
      <c r="E550" s="35">
        <f>_xlfn.XLOOKUP(Tabella4[[#This Row],[NOME]],'ROSE SQUADRE'!$N$3:$N$253,'ROSE SQUADRE'!$O$3:$O$253,"")</f>
        <v>0</v>
      </c>
      <c r="F550" s="36"/>
      <c r="G550" s="43"/>
      <c r="H550" s="43"/>
      <c r="I550" s="44">
        <f t="shared" si="56"/>
        <v>0</v>
      </c>
      <c r="J550" s="408">
        <f t="shared" si="57"/>
        <v>0</v>
      </c>
      <c r="K550" s="178">
        <f t="shared" si="58"/>
        <v>0</v>
      </c>
      <c r="L550" s="178">
        <f t="shared" si="59"/>
        <v>0</v>
      </c>
      <c r="M550" s="179">
        <f t="shared" si="60"/>
        <v>0</v>
      </c>
      <c r="N550" s="45">
        <f t="shared" ca="1" si="61"/>
        <v>0</v>
      </c>
      <c r="O550" s="40">
        <f>SUMIF(Tabella1[Nome],Tabella4[[#This Row],[NOME]],Tabella1[Gf])</f>
        <v>0</v>
      </c>
      <c r="P550" s="40">
        <f>-(SUMIF(Tabella1[Nome],Tabella4[[#This Row],[NOME]],Tabella1[Gs]))</f>
        <v>0</v>
      </c>
      <c r="Q550" s="40">
        <f>SUMIF(Tabella1[Nome],Tabella4[[#This Row],[NOME]],Tabella1[Rp])</f>
        <v>0</v>
      </c>
      <c r="R550" s="40">
        <f>SUMIF(Tabella1[Nome],Tabella4[[#This Row],[NOME]],Tabella1[Rs])</f>
        <v>0</v>
      </c>
      <c r="S550" s="40">
        <f>SUMIF(Tabella1[Nome],Tabella4[[#This Row],[NOME]],Tabella1[Rf])</f>
        <v>0</v>
      </c>
      <c r="T550" s="40">
        <f>SUMIF(Tabella1[Nome],Tabella4[[#This Row],[NOME]],Tabella1[Au])</f>
        <v>0</v>
      </c>
      <c r="U550" s="41">
        <f>SUMIF(Tabella1[Nome],Tabella4[[#This Row],[NOME]],Tabella1[Amm])</f>
        <v>0</v>
      </c>
      <c r="V550" s="42">
        <f>SUMIF(Tabella1[Nome],Tabella4[[#This Row],[NOME]],Tabella1[Esp])</f>
        <v>0</v>
      </c>
      <c r="W550" s="40">
        <f>SUMIF(Tabella1[Nome],Tabella4[[#This Row],[NOME]],Tabella1[Ass])</f>
        <v>0</v>
      </c>
      <c r="X550" s="40">
        <f>SUMIF(Tabella1[Nome],Tabella4[[#This Row],[NOME]],Tabella1[Gdv])</f>
        <v>0</v>
      </c>
      <c r="Y550" s="40">
        <f>SUMIF(Tabella1[Nome],Tabella4[[#This Row],[NOME]],Tabella1[cl sh])</f>
        <v>0</v>
      </c>
      <c r="Z550" s="270" t="str">
        <f>_xlfn.IFNA(_xlfn.XLOOKUP(CONCATENATE(Z$4,$C550),Tabella1[CONC X VOTI IN TAB GIOC],Tabella1[Voto],""),"")</f>
        <v/>
      </c>
      <c r="AA550" s="270" t="str">
        <f>_xlfn.IFNA(_xlfn.XLOOKUP(CONCATENATE(AA$4,$C550),Tabella1[CONC X VOTI IN TAB GIOC],Tabella1[Voto],""),"")</f>
        <v/>
      </c>
      <c r="AB550" s="270" t="str">
        <f>_xlfn.IFNA(_xlfn.XLOOKUP(CONCATENATE(AB$4,$C550),Tabella1[CONC X VOTI IN TAB GIOC],Tabella1[Voto]),"")</f>
        <v/>
      </c>
      <c r="AC550" s="270" t="str" cm="1">
        <f t="array" ref="AC550">_xlfn.IFNA(_xlfn.XLOOKUP(CONCATENATE(AC$4,$C550),INDEX(Tabella1[],0,MATCH("CONC X VOTI IN TAB GIOC",Tabella1[#Headers],0)),INDEX(Tabella1[],0,MATCH("Voto",Tabella1[#Headers],0))),"")</f>
        <v/>
      </c>
      <c r="AD550" s="270" t="str">
        <f>_xlfn.IFNA(_xlfn.XLOOKUP(CONCATENATE(AD$4,$C550),Tabella1[CONC X VOTI IN TAB GIOC],Tabella1[Voto]),"")</f>
        <v/>
      </c>
      <c r="AE550" s="270" t="str">
        <f>_xlfn.IFNA(VLOOKUP(CONCATENATE(AE$4,$C550),'INSER DATA'!$A:$F,6,0),"")</f>
        <v/>
      </c>
      <c r="AF550" s="270" t="str">
        <f>_xlfn.IFNA(VLOOKUP(CONCATENATE(AF$4,$C550),'INSER DATA'!$A:$F,6,0),"")</f>
        <v/>
      </c>
      <c r="AG550" s="270" t="str">
        <f>_xlfn.IFNA(VLOOKUP(CONCATENATE(AG$4,$C550),'INSER DATA'!$A:$F,6,0),"")</f>
        <v/>
      </c>
      <c r="AH550" s="270" t="str">
        <f>_xlfn.IFNA(VLOOKUP(CONCATENATE(AH$4,$C550),'INSER DATA'!$A:$F,7,0),"")</f>
        <v/>
      </c>
      <c r="AI550" s="270" t="str">
        <f>_xlfn.IFNA(VLOOKUP(CONCATENATE(AI$4,$C550),'INSER DATA'!$A:$F,7,0),"")</f>
        <v/>
      </c>
      <c r="AJ550" s="270" t="str">
        <f>_xlfn.IFNA(VLOOKUP(CONCATENATE(AJ$4,$C550),'INSER DATA'!$A:$F,7,0),"")</f>
        <v/>
      </c>
      <c r="AK550" s="270" t="str">
        <f>_xlfn.IFNA(VLOOKUP(CONCATENATE(AK$4,$C550),'INSER DATA'!$A:$F,7,0),"")</f>
        <v/>
      </c>
      <c r="AL550" s="270" t="str">
        <f>_xlfn.IFNA(VLOOKUP(CONCATENATE(AL$4,$C550),'INSER DATA'!$A:$F,7,0),"")</f>
        <v/>
      </c>
      <c r="AM550" s="270" t="str">
        <f>_xlfn.IFNA(VLOOKUP(CONCATENATE(AM$4,$C550),'INSER DATA'!$A:$F,7,0),"")</f>
        <v/>
      </c>
      <c r="AN550" s="270" t="str">
        <f>_xlfn.IFNA(VLOOKUP(CONCATENATE(AN$4,$C550),'INSER DATA'!$A:$F,7,0),"")</f>
        <v/>
      </c>
      <c r="AO550" s="270" t="str">
        <f>_xlfn.IFNA(VLOOKUP(CONCATENATE(AO$4,$C550),'INSER DATA'!$A:$F,7,0),"")</f>
        <v/>
      </c>
      <c r="AP550" s="270" t="str">
        <f>_xlfn.IFNA(VLOOKUP(CONCATENATE(AP$4,$C550),'INSER DATA'!$A:$F,7,0),"")</f>
        <v/>
      </c>
      <c r="AQ550" s="270" t="str">
        <f>_xlfn.IFNA(VLOOKUP(CONCATENATE(AQ$4,$C550),'INSER DATA'!$A:$F,7,0),"")</f>
        <v/>
      </c>
      <c r="AR550" s="270" t="str">
        <f>_xlfn.IFNA(VLOOKUP(CONCATENATE(AR$4,$C550),'INSER DATA'!$A:$F,7,0),"")</f>
        <v/>
      </c>
      <c r="AS550" s="270" t="str">
        <f>_xlfn.IFNA(VLOOKUP(CONCATENATE(AS$4,$C550),'INSER DATA'!$A:$F,7,0),"")</f>
        <v/>
      </c>
      <c r="AT550" s="270" t="str">
        <f>_xlfn.IFNA(VLOOKUP(CONCATENATE(AT$4,$C550),'INSER DATA'!$A:$F,7,0),"")</f>
        <v/>
      </c>
      <c r="AU550" s="270" t="str">
        <f>_xlfn.IFNA(VLOOKUP(CONCATENATE(AU$4,$C550),'INSER DATA'!$A:$F,7,0),"")</f>
        <v/>
      </c>
      <c r="AV550" s="270" t="str">
        <f>_xlfn.IFNA(VLOOKUP(CONCATENATE(AV$4,$C550),'INSER DATA'!$A:$F,7,0),"")</f>
        <v/>
      </c>
      <c r="AW550" s="270" t="str">
        <f>_xlfn.IFNA(VLOOKUP(CONCATENATE(AW$4,$C550),'INSER DATA'!$A:$F,7,0),"")</f>
        <v/>
      </c>
      <c r="AX550" s="270" t="str">
        <f>_xlfn.IFNA(VLOOKUP(CONCATENATE(AX$4,$C550),'INSER DATA'!$A:$F,7,0),"")</f>
        <v/>
      </c>
      <c r="AY550" s="270" t="str">
        <f>_xlfn.IFNA(VLOOKUP(CONCATENATE(AY$4,$C550),'INSER DATA'!$A:$F,7,0),"")</f>
        <v/>
      </c>
      <c r="AZ550" s="270" t="str">
        <f>_xlfn.IFNA(VLOOKUP(CONCATENATE(AZ$4,$C550),'INSER DATA'!$A:$F,7,0),"")</f>
        <v/>
      </c>
      <c r="BA550" s="270" t="str">
        <f>_xlfn.IFNA(VLOOKUP(CONCATENATE(BA$4,$C550),'INSER DATA'!$A:$F,7,0),"")</f>
        <v/>
      </c>
      <c r="BB550" s="270" t="str">
        <f>_xlfn.IFNA(VLOOKUP(CONCATENATE(BB$4,$C550),'INSER DATA'!$A:$F,7,0),"")</f>
        <v/>
      </c>
      <c r="BC550" s="270" t="str">
        <f>_xlfn.IFNA(VLOOKUP(CONCATENATE(BC$4,$C550),'INSER DATA'!$A:$F,7,0),"")</f>
        <v/>
      </c>
      <c r="BD550" s="270" t="str">
        <f>_xlfn.IFNA(VLOOKUP(CONCATENATE(BD$4,$C550),'INSER DATA'!$A:$F,7,0),"")</f>
        <v/>
      </c>
      <c r="BE550" s="270" t="str">
        <f>_xlfn.IFNA(VLOOKUP(CONCATENATE(BE$4,$C550),'INSER DATA'!$A:$F,7,0),"")</f>
        <v/>
      </c>
      <c r="BF550" s="270" t="str">
        <f>_xlfn.IFNA(VLOOKUP(CONCATENATE(BF$4,$C550),'INSER DATA'!$A:$F,7,0),"")</f>
        <v/>
      </c>
      <c r="BG550" s="270" t="str">
        <f>_xlfn.IFNA(VLOOKUP(CONCATENATE(BG$4,$C550),'INSER DATA'!$A:$F,7,0),"")</f>
        <v/>
      </c>
      <c r="BH550" s="270" t="str">
        <f>_xlfn.IFNA(VLOOKUP(CONCATENATE(BH$4,$C550),'INSER DATA'!$A:$F,7,0),"")</f>
        <v/>
      </c>
      <c r="BI550" s="270" t="str">
        <f>_xlfn.IFNA(VLOOKUP(CONCATENATE(BI$4,$C550),'INSER DATA'!$A:$F,7,0),"")</f>
        <v/>
      </c>
      <c r="BJ550" s="270" t="str">
        <f>_xlfn.IFNA(VLOOKUP(CONCATENATE(BJ$4,$C550),'INSER DATA'!$A:$F,7,0),"")</f>
        <v/>
      </c>
      <c r="BK550" s="270" t="str">
        <f>_xlfn.IFNA(VLOOKUP(CONCATENATE(BK$4,$C550),'INSER DATA'!$A:$F,7,0),"")</f>
        <v/>
      </c>
      <c r="BL550" s="272"/>
      <c r="BM550" s="30"/>
      <c r="BN550" s="30"/>
      <c r="BO550" s="30"/>
      <c r="BP550" s="30"/>
      <c r="BQ550" s="30"/>
      <c r="BR550" s="30"/>
      <c r="BS550" s="30"/>
      <c r="BT550" s="30"/>
      <c r="BU550" s="30"/>
      <c r="BV550" s="30"/>
      <c r="BW550" s="30"/>
      <c r="BX550" s="30"/>
      <c r="BY550" s="30"/>
      <c r="BZ550" s="30"/>
      <c r="CA550" s="30"/>
      <c r="CB550" s="30"/>
      <c r="CC550" s="30"/>
      <c r="CD550" s="30"/>
      <c r="CE550" s="30"/>
      <c r="CF550" s="30"/>
      <c r="CG550" s="30"/>
      <c r="CH550" s="30"/>
      <c r="CI550" s="30"/>
      <c r="CJ550" s="30"/>
      <c r="CK550" s="30"/>
      <c r="CL550" s="30"/>
      <c r="CM550" s="30"/>
      <c r="CN550" s="30"/>
      <c r="CO550" s="30"/>
      <c r="CP550" s="30"/>
      <c r="CQ550" s="30"/>
      <c r="CR550" s="30"/>
      <c r="CS550" s="30"/>
      <c r="CT550" s="30"/>
      <c r="CU550" s="30"/>
      <c r="CV550" s="30"/>
      <c r="CW550" s="30"/>
      <c r="CX550" s="30"/>
      <c r="CY550" s="30"/>
      <c r="CZ550" s="30"/>
      <c r="DA550" s="30"/>
    </row>
    <row r="551" spans="1:105" ht="19.2" thickTop="1" thickBot="1" x14ac:dyDescent="0.4">
      <c r="A551" s="30"/>
      <c r="B551" s="30"/>
      <c r="C551" s="406"/>
      <c r="D551" s="407"/>
      <c r="E551" s="35">
        <f>_xlfn.XLOOKUP(Tabella4[[#This Row],[NOME]],'ROSE SQUADRE'!$N$3:$N$253,'ROSE SQUADRE'!$O$3:$O$253,"")</f>
        <v>0</v>
      </c>
      <c r="F551" s="36"/>
      <c r="G551" s="43"/>
      <c r="H551" s="43"/>
      <c r="I551" s="44">
        <f t="shared" si="56"/>
        <v>0</v>
      </c>
      <c r="J551" s="408">
        <f t="shared" si="57"/>
        <v>0</v>
      </c>
      <c r="K551" s="178">
        <f t="shared" si="58"/>
        <v>0</v>
      </c>
      <c r="L551" s="178">
        <f t="shared" si="59"/>
        <v>0</v>
      </c>
      <c r="M551" s="179">
        <f t="shared" si="60"/>
        <v>0</v>
      </c>
      <c r="N551" s="45">
        <f t="shared" ca="1" si="61"/>
        <v>0</v>
      </c>
      <c r="O551" s="40">
        <f>SUMIF(Tabella1[Nome],Tabella4[[#This Row],[NOME]],Tabella1[Gf])</f>
        <v>0</v>
      </c>
      <c r="P551" s="40">
        <f>-(SUMIF(Tabella1[Nome],Tabella4[[#This Row],[NOME]],Tabella1[Gs]))</f>
        <v>0</v>
      </c>
      <c r="Q551" s="40">
        <f>SUMIF(Tabella1[Nome],Tabella4[[#This Row],[NOME]],Tabella1[Rp])</f>
        <v>0</v>
      </c>
      <c r="R551" s="40">
        <f>SUMIF(Tabella1[Nome],Tabella4[[#This Row],[NOME]],Tabella1[Rs])</f>
        <v>0</v>
      </c>
      <c r="S551" s="40">
        <f>SUMIF(Tabella1[Nome],Tabella4[[#This Row],[NOME]],Tabella1[Rf])</f>
        <v>0</v>
      </c>
      <c r="T551" s="40">
        <f>SUMIF(Tabella1[Nome],Tabella4[[#This Row],[NOME]],Tabella1[Au])</f>
        <v>0</v>
      </c>
      <c r="U551" s="41">
        <f>SUMIF(Tabella1[Nome],Tabella4[[#This Row],[NOME]],Tabella1[Amm])</f>
        <v>0</v>
      </c>
      <c r="V551" s="42">
        <f>SUMIF(Tabella1[Nome],Tabella4[[#This Row],[NOME]],Tabella1[Esp])</f>
        <v>0</v>
      </c>
      <c r="W551" s="40">
        <f>SUMIF(Tabella1[Nome],Tabella4[[#This Row],[NOME]],Tabella1[Ass])</f>
        <v>0</v>
      </c>
      <c r="X551" s="40">
        <f>SUMIF(Tabella1[Nome],Tabella4[[#This Row],[NOME]],Tabella1[Gdv])</f>
        <v>0</v>
      </c>
      <c r="Y551" s="40">
        <f>SUMIF(Tabella1[Nome],Tabella4[[#This Row],[NOME]],Tabella1[cl sh])</f>
        <v>0</v>
      </c>
      <c r="Z551" s="270" t="str">
        <f>_xlfn.IFNA(_xlfn.XLOOKUP(CONCATENATE(Z$4,$C551),Tabella1[CONC X VOTI IN TAB GIOC],Tabella1[Voto],""),"")</f>
        <v/>
      </c>
      <c r="AA551" s="270" t="str">
        <f>_xlfn.IFNA(_xlfn.XLOOKUP(CONCATENATE(AA$4,$C551),Tabella1[CONC X VOTI IN TAB GIOC],Tabella1[Voto],""),"")</f>
        <v/>
      </c>
      <c r="AB551" s="270" t="str">
        <f>_xlfn.IFNA(_xlfn.XLOOKUP(CONCATENATE(AB$4,$C551),Tabella1[CONC X VOTI IN TAB GIOC],Tabella1[Voto]),"")</f>
        <v/>
      </c>
      <c r="AC551" s="270" t="str" cm="1">
        <f t="array" ref="AC551">_xlfn.IFNA(_xlfn.XLOOKUP(CONCATENATE(AC$4,$C551),INDEX(Tabella1[],0,MATCH("CONC X VOTI IN TAB GIOC",Tabella1[#Headers],0)),INDEX(Tabella1[],0,MATCH("Voto",Tabella1[#Headers],0))),"")</f>
        <v/>
      </c>
      <c r="AD551" s="270" t="str">
        <f>_xlfn.IFNA(_xlfn.XLOOKUP(CONCATENATE(AD$4,$C551),Tabella1[CONC X VOTI IN TAB GIOC],Tabella1[Voto]),"")</f>
        <v/>
      </c>
      <c r="AE551" s="270" t="str">
        <f>_xlfn.IFNA(VLOOKUP(CONCATENATE(AE$4,$C551),'INSER DATA'!$A:$F,6,0),"")</f>
        <v/>
      </c>
      <c r="AF551" s="270" t="str">
        <f>_xlfn.IFNA(VLOOKUP(CONCATENATE(AF$4,$C551),'INSER DATA'!$A:$F,6,0),"")</f>
        <v/>
      </c>
      <c r="AG551" s="270" t="str">
        <f>_xlfn.IFNA(VLOOKUP(CONCATENATE(AG$4,$C551),'INSER DATA'!$A:$F,6,0),"")</f>
        <v/>
      </c>
      <c r="AH551" s="270" t="str">
        <f>_xlfn.IFNA(VLOOKUP(CONCATENATE(AH$4,$C551),'INSER DATA'!$A:$F,7,0),"")</f>
        <v/>
      </c>
      <c r="AI551" s="270" t="str">
        <f>_xlfn.IFNA(VLOOKUP(CONCATENATE(AI$4,$C551),'INSER DATA'!$A:$F,7,0),"")</f>
        <v/>
      </c>
      <c r="AJ551" s="270" t="str">
        <f>_xlfn.IFNA(VLOOKUP(CONCATENATE(AJ$4,$C551),'INSER DATA'!$A:$F,7,0),"")</f>
        <v/>
      </c>
      <c r="AK551" s="270" t="str">
        <f>_xlfn.IFNA(VLOOKUP(CONCATENATE(AK$4,$C551),'INSER DATA'!$A:$F,7,0),"")</f>
        <v/>
      </c>
      <c r="AL551" s="270" t="str">
        <f>_xlfn.IFNA(VLOOKUP(CONCATENATE(AL$4,$C551),'INSER DATA'!$A:$F,7,0),"")</f>
        <v/>
      </c>
      <c r="AM551" s="270" t="str">
        <f>_xlfn.IFNA(VLOOKUP(CONCATENATE(AM$4,$C551),'INSER DATA'!$A:$F,7,0),"")</f>
        <v/>
      </c>
      <c r="AN551" s="270" t="str">
        <f>_xlfn.IFNA(VLOOKUP(CONCATENATE(AN$4,$C551),'INSER DATA'!$A:$F,7,0),"")</f>
        <v/>
      </c>
      <c r="AO551" s="270" t="str">
        <f>_xlfn.IFNA(VLOOKUP(CONCATENATE(AO$4,$C551),'INSER DATA'!$A:$F,7,0),"")</f>
        <v/>
      </c>
      <c r="AP551" s="270" t="str">
        <f>_xlfn.IFNA(VLOOKUP(CONCATENATE(AP$4,$C551),'INSER DATA'!$A:$F,7,0),"")</f>
        <v/>
      </c>
      <c r="AQ551" s="270" t="str">
        <f>_xlfn.IFNA(VLOOKUP(CONCATENATE(AQ$4,$C551),'INSER DATA'!$A:$F,7,0),"")</f>
        <v/>
      </c>
      <c r="AR551" s="270" t="str">
        <f>_xlfn.IFNA(VLOOKUP(CONCATENATE(AR$4,$C551),'INSER DATA'!$A:$F,7,0),"")</f>
        <v/>
      </c>
      <c r="AS551" s="270" t="str">
        <f>_xlfn.IFNA(VLOOKUP(CONCATENATE(AS$4,$C551),'INSER DATA'!$A:$F,7,0),"")</f>
        <v/>
      </c>
      <c r="AT551" s="270" t="str">
        <f>_xlfn.IFNA(VLOOKUP(CONCATENATE(AT$4,$C551),'INSER DATA'!$A:$F,7,0),"")</f>
        <v/>
      </c>
      <c r="AU551" s="270" t="str">
        <f>_xlfn.IFNA(VLOOKUP(CONCATENATE(AU$4,$C551),'INSER DATA'!$A:$F,7,0),"")</f>
        <v/>
      </c>
      <c r="AV551" s="270" t="str">
        <f>_xlfn.IFNA(VLOOKUP(CONCATENATE(AV$4,$C551),'INSER DATA'!$A:$F,7,0),"")</f>
        <v/>
      </c>
      <c r="AW551" s="270" t="str">
        <f>_xlfn.IFNA(VLOOKUP(CONCATENATE(AW$4,$C551),'INSER DATA'!$A:$F,7,0),"")</f>
        <v/>
      </c>
      <c r="AX551" s="270" t="str">
        <f>_xlfn.IFNA(VLOOKUP(CONCATENATE(AX$4,$C551),'INSER DATA'!$A:$F,7,0),"")</f>
        <v/>
      </c>
      <c r="AY551" s="270" t="str">
        <f>_xlfn.IFNA(VLOOKUP(CONCATENATE(AY$4,$C551),'INSER DATA'!$A:$F,7,0),"")</f>
        <v/>
      </c>
      <c r="AZ551" s="270" t="str">
        <f>_xlfn.IFNA(VLOOKUP(CONCATENATE(AZ$4,$C551),'INSER DATA'!$A:$F,7,0),"")</f>
        <v/>
      </c>
      <c r="BA551" s="270" t="str">
        <f>_xlfn.IFNA(VLOOKUP(CONCATENATE(BA$4,$C551),'INSER DATA'!$A:$F,7,0),"")</f>
        <v/>
      </c>
      <c r="BB551" s="270" t="str">
        <f>_xlfn.IFNA(VLOOKUP(CONCATENATE(BB$4,$C551),'INSER DATA'!$A:$F,7,0),"")</f>
        <v/>
      </c>
      <c r="BC551" s="270" t="str">
        <f>_xlfn.IFNA(VLOOKUP(CONCATENATE(BC$4,$C551),'INSER DATA'!$A:$F,7,0),"")</f>
        <v/>
      </c>
      <c r="BD551" s="270" t="str">
        <f>_xlfn.IFNA(VLOOKUP(CONCATENATE(BD$4,$C551),'INSER DATA'!$A:$F,7,0),"")</f>
        <v/>
      </c>
      <c r="BE551" s="270" t="str">
        <f>_xlfn.IFNA(VLOOKUP(CONCATENATE(BE$4,$C551),'INSER DATA'!$A:$F,7,0),"")</f>
        <v/>
      </c>
      <c r="BF551" s="270" t="str">
        <f>_xlfn.IFNA(VLOOKUP(CONCATENATE(BF$4,$C551),'INSER DATA'!$A:$F,7,0),"")</f>
        <v/>
      </c>
      <c r="BG551" s="270" t="str">
        <f>_xlfn.IFNA(VLOOKUP(CONCATENATE(BG$4,$C551),'INSER DATA'!$A:$F,7,0),"")</f>
        <v/>
      </c>
      <c r="BH551" s="270" t="str">
        <f>_xlfn.IFNA(VLOOKUP(CONCATENATE(BH$4,$C551),'INSER DATA'!$A:$F,7,0),"")</f>
        <v/>
      </c>
      <c r="BI551" s="270" t="str">
        <f>_xlfn.IFNA(VLOOKUP(CONCATENATE(BI$4,$C551),'INSER DATA'!$A:$F,7,0),"")</f>
        <v/>
      </c>
      <c r="BJ551" s="270" t="str">
        <f>_xlfn.IFNA(VLOOKUP(CONCATENATE(BJ$4,$C551),'INSER DATA'!$A:$F,7,0),"")</f>
        <v/>
      </c>
      <c r="BK551" s="270" t="str">
        <f>_xlfn.IFNA(VLOOKUP(CONCATENATE(BK$4,$C551),'INSER DATA'!$A:$F,7,0),"")</f>
        <v/>
      </c>
      <c r="BL551" s="272"/>
      <c r="BM551" s="30"/>
      <c r="BN551" s="30"/>
      <c r="BO551" s="30"/>
      <c r="BP551" s="30"/>
      <c r="BQ551" s="30"/>
      <c r="BR551" s="30"/>
      <c r="BS551" s="30"/>
      <c r="BT551" s="30"/>
      <c r="BU551" s="30"/>
      <c r="BV551" s="30"/>
      <c r="BW551" s="30"/>
      <c r="BX551" s="30"/>
      <c r="BY551" s="30"/>
      <c r="BZ551" s="30"/>
      <c r="CA551" s="30"/>
      <c r="CB551" s="30"/>
      <c r="CC551" s="30"/>
      <c r="CD551" s="30"/>
      <c r="CE551" s="30"/>
      <c r="CF551" s="30"/>
      <c r="CG551" s="30"/>
      <c r="CH551" s="30"/>
      <c r="CI551" s="30"/>
      <c r="CJ551" s="30"/>
      <c r="CK551" s="30"/>
      <c r="CL551" s="30"/>
      <c r="CM551" s="30"/>
      <c r="CN551" s="30"/>
      <c r="CO551" s="30"/>
      <c r="CP551" s="30"/>
      <c r="CQ551" s="30"/>
      <c r="CR551" s="30"/>
      <c r="CS551" s="30"/>
      <c r="CT551" s="30"/>
      <c r="CU551" s="30"/>
      <c r="CV551" s="30"/>
      <c r="CW551" s="30"/>
      <c r="CX551" s="30"/>
      <c r="CY551" s="30"/>
      <c r="CZ551" s="30"/>
      <c r="DA551" s="30"/>
    </row>
    <row r="552" spans="1:105" ht="19.2" thickTop="1" thickBot="1" x14ac:dyDescent="0.4">
      <c r="C552" s="189" t="s">
        <v>99</v>
      </c>
      <c r="E552" s="171"/>
      <c r="F552" s="172"/>
      <c r="G552" s="173"/>
      <c r="H552" s="173"/>
      <c r="I552" s="174"/>
      <c r="J552" s="175"/>
      <c r="K552" s="192">
        <f>SUBTOTAL(101,Tabella4[VOTO AVG])</f>
        <v>4.3766758074344896</v>
      </c>
      <c r="L552" s="186">
        <f>SUBTOTAL(101,Tabella4[FVOTO  AVG])</f>
        <v>4.5465417428397306</v>
      </c>
      <c r="M552" s="186">
        <f>SUBTOTAL(109,Tabella4[FVOTO TOT])</f>
        <v>7313.5</v>
      </c>
      <c r="N552" s="186">
        <f ca="1">SUBTOTAL(109,Tabella4[LEGA TIT])</f>
        <v>22</v>
      </c>
      <c r="O552" s="186">
        <f>SUBTOTAL(109,Tabella4[GOL                               F])</f>
        <v>118</v>
      </c>
      <c r="P552" s="186">
        <f>SUBTOTAL(109,Tabella4[GOL                                S])</f>
        <v>-120</v>
      </c>
      <c r="Q552" s="186">
        <f>SUBTOTAL(109,Tabella4[RIG                            PAR])</f>
        <v>0</v>
      </c>
      <c r="R552" s="186">
        <f>SUBTOTAL(109,Tabella4[RIG                                KO])</f>
        <v>1</v>
      </c>
      <c r="S552" s="186">
        <f>SUBTOTAL(109,Tabella4[RIG                               OK])</f>
        <v>1</v>
      </c>
      <c r="T552" s="186">
        <f>SUBTOTAL(109,Tabella4[AUTO                           GOL])</f>
        <v>1</v>
      </c>
      <c r="U552" s="186">
        <f>SUBTOTAL(109,Tabella4[AMM])</f>
        <v>119</v>
      </c>
      <c r="V552" s="186">
        <f>SUBTOTAL(109,Tabella4[ESP])</f>
        <v>2</v>
      </c>
      <c r="W552" s="186">
        <f>SUBTOTAL(109,Tabella4[ASS])</f>
        <v>89</v>
      </c>
      <c r="X552" s="186">
        <f>SUBTOTAL(109,Tabella4[GOL                                VITT])</f>
        <v>33</v>
      </c>
      <c r="Y552" s="186">
        <f>SUBTOTAL(109,Tabella4[CLN                               SHT])</f>
        <v>16</v>
      </c>
      <c r="Z552" s="175">
        <f t="shared" ref="Z552:BK552" ca="1" si="62">ContaCellePerColore(Z5:Z551,$C$3)</f>
        <v>0</v>
      </c>
      <c r="AA552" s="175">
        <f t="shared" ca="1" si="62"/>
        <v>0</v>
      </c>
      <c r="AB552" s="175">
        <f t="shared" ca="1" si="62"/>
        <v>22</v>
      </c>
      <c r="AC552" s="176">
        <f t="shared" ca="1" si="62"/>
        <v>0</v>
      </c>
      <c r="AD552" s="176">
        <f t="shared" ca="1" si="62"/>
        <v>0</v>
      </c>
      <c r="AE552" s="176">
        <f t="shared" ca="1" si="62"/>
        <v>0</v>
      </c>
      <c r="AF552" s="176">
        <f t="shared" ca="1" si="62"/>
        <v>0</v>
      </c>
      <c r="AG552" s="176">
        <f t="shared" ca="1" si="62"/>
        <v>0</v>
      </c>
      <c r="AH552" s="176">
        <f t="shared" ca="1" si="62"/>
        <v>0</v>
      </c>
      <c r="AI552" s="176">
        <f t="shared" ca="1" si="62"/>
        <v>0</v>
      </c>
      <c r="AJ552" s="176">
        <f t="shared" ca="1" si="62"/>
        <v>0</v>
      </c>
      <c r="AK552" s="176">
        <f t="shared" ca="1" si="62"/>
        <v>0</v>
      </c>
      <c r="AL552" s="176">
        <f t="shared" ca="1" si="62"/>
        <v>0</v>
      </c>
      <c r="AM552" s="176">
        <f t="shared" ca="1" si="62"/>
        <v>0</v>
      </c>
      <c r="AN552" s="176">
        <f t="shared" ca="1" si="62"/>
        <v>0</v>
      </c>
      <c r="AO552" s="176">
        <f t="shared" ca="1" si="62"/>
        <v>0</v>
      </c>
      <c r="AP552" s="176">
        <f t="shared" ca="1" si="62"/>
        <v>0</v>
      </c>
      <c r="AQ552" s="176">
        <f t="shared" ca="1" si="62"/>
        <v>0</v>
      </c>
      <c r="AR552" s="176">
        <f t="shared" ca="1" si="62"/>
        <v>0</v>
      </c>
      <c r="AS552" s="176">
        <f t="shared" ca="1" si="62"/>
        <v>0</v>
      </c>
      <c r="AT552" s="176">
        <f t="shared" ca="1" si="62"/>
        <v>0</v>
      </c>
      <c r="AU552" s="176">
        <f t="shared" ca="1" si="62"/>
        <v>0</v>
      </c>
      <c r="AV552" s="176">
        <f t="shared" ca="1" si="62"/>
        <v>0</v>
      </c>
      <c r="AW552" s="176">
        <f t="shared" ca="1" si="62"/>
        <v>0</v>
      </c>
      <c r="AX552" s="176">
        <f t="shared" ca="1" si="62"/>
        <v>0</v>
      </c>
      <c r="AY552" s="176">
        <f t="shared" ca="1" si="62"/>
        <v>0</v>
      </c>
      <c r="AZ552" s="176">
        <f t="shared" ca="1" si="62"/>
        <v>0</v>
      </c>
      <c r="BA552" s="176">
        <f t="shared" ca="1" si="62"/>
        <v>0</v>
      </c>
      <c r="BB552" s="176">
        <f t="shared" ca="1" si="62"/>
        <v>0</v>
      </c>
      <c r="BC552" s="176">
        <f t="shared" ca="1" si="62"/>
        <v>0</v>
      </c>
      <c r="BD552" s="176">
        <f t="shared" ca="1" si="62"/>
        <v>0</v>
      </c>
      <c r="BE552" s="176">
        <f t="shared" ca="1" si="62"/>
        <v>0</v>
      </c>
      <c r="BF552" s="176">
        <f t="shared" ca="1" si="62"/>
        <v>0</v>
      </c>
      <c r="BG552" s="176">
        <f t="shared" ca="1" si="62"/>
        <v>0</v>
      </c>
      <c r="BH552" s="176">
        <f t="shared" ca="1" si="62"/>
        <v>0</v>
      </c>
      <c r="BI552" s="176">
        <f t="shared" ca="1" si="62"/>
        <v>0</v>
      </c>
      <c r="BJ552" s="176">
        <f t="shared" ca="1" si="62"/>
        <v>0</v>
      </c>
      <c r="BK552" s="176">
        <f t="shared" ca="1" si="62"/>
        <v>0</v>
      </c>
      <c r="BL552" s="176"/>
      <c r="BM552" s="30"/>
      <c r="BN552" s="30"/>
      <c r="BO552" s="30"/>
      <c r="BP552" s="30"/>
      <c r="BQ552" s="30"/>
      <c r="BR552" s="30"/>
      <c r="BS552" s="30"/>
      <c r="BT552" s="30"/>
      <c r="BU552" s="30"/>
      <c r="BV552" s="30"/>
      <c r="BW552" s="30"/>
      <c r="BX552" s="30"/>
    </row>
    <row r="553" spans="1:105" x14ac:dyDescent="0.3">
      <c r="AV553" s="30"/>
      <c r="BE553" s="271"/>
      <c r="BF553" s="271"/>
      <c r="BG553" s="271"/>
    </row>
    <row r="558" spans="1:105" x14ac:dyDescent="0.3">
      <c r="M558" s="30"/>
    </row>
  </sheetData>
  <mergeCells count="2">
    <mergeCell ref="C2:M2"/>
    <mergeCell ref="O2:X2"/>
  </mergeCells>
  <phoneticPr fontId="5" type="noConversion"/>
  <conditionalFormatting sqref="W5:Y551">
    <cfRule type="cellIs" dxfId="281" priority="403" operator="lessThan">
      <formula>0</formula>
    </cfRule>
    <cfRule type="cellIs" dxfId="280" priority="404" operator="greaterThan">
      <formula>0</formula>
    </cfRule>
  </conditionalFormatting>
  <conditionalFormatting sqref="W5:Y551 O5:T551">
    <cfRule type="cellIs" dxfId="279" priority="402" operator="equal">
      <formula>0</formula>
    </cfRule>
  </conditionalFormatting>
  <conditionalFormatting sqref="W5:Y551 O5:T551">
    <cfRule type="cellIs" dxfId="278" priority="400" operator="lessThan">
      <formula>0</formula>
    </cfRule>
    <cfRule type="cellIs" dxfId="277" priority="401" operator="greaterThan">
      <formula>0</formula>
    </cfRule>
  </conditionalFormatting>
  <conditionalFormatting sqref="I5:I551">
    <cfRule type="iconSet" priority="2822">
      <iconSet iconSet="3Arrows">
        <cfvo type="percent" val="0"/>
        <cfvo type="num" val="0"/>
        <cfvo type="num" val="0" gte="0"/>
      </iconSet>
    </cfRule>
    <cfRule type="iconSet" priority="2823">
      <iconSet iconSet="3Arrows">
        <cfvo type="percent" val="0"/>
        <cfvo type="percent" val="33"/>
        <cfvo type="percent" val="67"/>
      </iconSet>
    </cfRule>
  </conditionalFormatting>
  <conditionalFormatting sqref="I5:I551">
    <cfRule type="iconSet" priority="2824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825" id="{340D31C0-6FB9-400C-A9C4-007E01B4FBE5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Gray" iconId="2"/>
            </x14:iconSet>
          </x14:cfRule>
          <xm:sqref>I7:I535</xm:sqref>
        </x14:conditionalFormatting>
        <x14:conditionalFormatting xmlns:xm="http://schemas.microsoft.com/office/excel/2006/main">
          <x14:cfRule type="iconSet" priority="2826" id="{2CE61B53-2FEA-4CE8-9852-20D656360359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I5:I551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E0C00-6A40-4CAC-9C71-C92D211C653A}">
  <sheetPr codeName="Foglio9">
    <tabColor rgb="FF92D050"/>
  </sheetPr>
  <dimension ref="A1:AD563"/>
  <sheetViews>
    <sheetView zoomScaleNormal="100" workbookViewId="0"/>
  </sheetViews>
  <sheetFormatPr defaultRowHeight="14.4" x14ac:dyDescent="0.3"/>
  <cols>
    <col min="1" max="1" width="1.5546875" customWidth="1"/>
    <col min="2" max="2" width="20.33203125" customWidth="1"/>
    <col min="3" max="3" width="1.6640625" customWidth="1"/>
    <col min="4" max="4" width="33.6640625" customWidth="1"/>
    <col min="5" max="5" width="3.5546875" customWidth="1"/>
    <col min="6" max="6" width="9.44140625" customWidth="1"/>
    <col min="7" max="7" width="3" customWidth="1"/>
    <col min="8" max="8" width="9.33203125" customWidth="1"/>
    <col min="9" max="9" width="3.33203125" customWidth="1"/>
    <col min="10" max="10" width="10.88671875" customWidth="1"/>
    <col min="11" max="11" width="3.33203125" customWidth="1"/>
    <col min="12" max="12" width="11.44140625" customWidth="1"/>
    <col min="13" max="13" width="2" customWidth="1"/>
    <col min="14" max="14" width="10.44140625" customWidth="1"/>
  </cols>
  <sheetData>
    <row r="1" spans="1:30" ht="6" customHeight="1" thickBot="1" x14ac:dyDescent="0.35">
      <c r="A1" s="75"/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 t="s">
        <v>164</v>
      </c>
      <c r="AB1" s="75"/>
      <c r="AC1" s="75"/>
      <c r="AD1" s="75"/>
    </row>
    <row r="2" spans="1:30" x14ac:dyDescent="0.3">
      <c r="A2" s="75"/>
      <c r="B2" s="457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</row>
    <row r="3" spans="1:30" ht="15" thickBot="1" x14ac:dyDescent="0.35">
      <c r="A3" s="75"/>
      <c r="B3" s="458"/>
      <c r="C3" s="75"/>
      <c r="D3" s="75"/>
      <c r="E3" s="75"/>
      <c r="F3" s="75"/>
      <c r="G3" s="75"/>
      <c r="H3" s="75"/>
      <c r="I3" s="75"/>
      <c r="J3" s="162" t="s">
        <v>104</v>
      </c>
      <c r="K3" s="163"/>
      <c r="L3" s="162" t="s">
        <v>105</v>
      </c>
      <c r="M3" s="163"/>
      <c r="N3" s="162" t="s">
        <v>8</v>
      </c>
      <c r="O3" s="75"/>
      <c r="P3" s="75"/>
      <c r="Q3" s="75"/>
      <c r="R3" s="75"/>
      <c r="S3" s="75"/>
      <c r="T3" s="75"/>
      <c r="U3" s="75"/>
      <c r="V3" s="75"/>
      <c r="W3" s="75"/>
      <c r="X3" s="75"/>
      <c r="Y3" s="75"/>
      <c r="Z3" s="75"/>
      <c r="AA3" s="75"/>
      <c r="AB3" s="75"/>
      <c r="AC3" s="75"/>
      <c r="AD3" s="75"/>
    </row>
    <row r="4" spans="1:30" ht="23.25" customHeight="1" thickTop="1" thickBot="1" x14ac:dyDescent="0.35">
      <c r="A4" s="75"/>
      <c r="B4" s="458"/>
      <c r="C4" s="102"/>
      <c r="D4" s="116" t="s">
        <v>165</v>
      </c>
      <c r="E4" s="75"/>
      <c r="F4" s="451"/>
      <c r="G4" s="75"/>
      <c r="H4" s="143"/>
      <c r="I4" s="75"/>
      <c r="J4" s="453">
        <f>VLOOKUP($D$8,Tabella4[[NOME]:[FVOTO TOT]],5,0)</f>
        <v>7</v>
      </c>
      <c r="K4" s="152"/>
      <c r="L4" s="453">
        <f>VLOOKUP($D$8,Tabella4[[NOME]:[FVOTO TOT]],6,0)</f>
        <v>8</v>
      </c>
      <c r="M4" s="152"/>
      <c r="N4" s="455">
        <f>SUM(L4-J4)</f>
        <v>1</v>
      </c>
      <c r="O4" s="75"/>
      <c r="P4" s="151" t="s">
        <v>166</v>
      </c>
      <c r="Q4" s="152"/>
      <c r="R4" s="152"/>
      <c r="S4" s="152"/>
      <c r="T4" s="152"/>
      <c r="U4" s="152"/>
      <c r="V4" s="152"/>
      <c r="W4" s="152"/>
      <c r="X4" s="152"/>
      <c r="Y4" s="153"/>
      <c r="Z4" s="75"/>
      <c r="AA4" s="75"/>
      <c r="AB4" s="75"/>
      <c r="AC4" s="75"/>
      <c r="AD4" s="75"/>
    </row>
    <row r="5" spans="1:30" ht="21" customHeight="1" thickBot="1" x14ac:dyDescent="0.35">
      <c r="A5" s="75"/>
      <c r="B5" s="458"/>
      <c r="C5" s="75"/>
      <c r="D5" s="115" t="str">
        <f>VLOOKUP($D$8,Tabella4[[NOME]:[FVOTO TOT]],3,0)</f>
        <v>TRICCHETRACHT</v>
      </c>
      <c r="E5" s="75"/>
      <c r="F5" s="452"/>
      <c r="G5" s="75"/>
      <c r="H5" s="144"/>
      <c r="I5" s="75"/>
      <c r="J5" s="454"/>
      <c r="K5" s="156"/>
      <c r="L5" s="454"/>
      <c r="M5" s="156"/>
      <c r="N5" s="456"/>
      <c r="O5" s="75"/>
      <c r="P5" s="149" t="s">
        <v>167</v>
      </c>
      <c r="Q5" s="75"/>
      <c r="R5" s="75"/>
      <c r="S5" s="75"/>
      <c r="T5" s="75"/>
      <c r="U5" s="75"/>
      <c r="V5" s="75"/>
      <c r="W5" s="75"/>
      <c r="X5" s="75"/>
      <c r="Y5" s="154"/>
      <c r="Z5" s="75"/>
      <c r="AA5" s="75"/>
      <c r="AB5" s="75"/>
      <c r="AC5" s="75"/>
      <c r="AD5" s="75"/>
    </row>
    <row r="6" spans="1:30" ht="15" thickBot="1" x14ac:dyDescent="0.35">
      <c r="A6" s="75"/>
      <c r="B6" s="458"/>
      <c r="C6" s="75"/>
      <c r="D6" s="75"/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149"/>
      <c r="Q6" s="75"/>
      <c r="R6" s="75"/>
      <c r="S6" s="75"/>
      <c r="T6" s="75"/>
      <c r="U6" s="75"/>
      <c r="V6" s="75"/>
      <c r="W6" s="75"/>
      <c r="X6" s="75"/>
      <c r="Y6" s="154"/>
      <c r="Z6" s="75"/>
      <c r="AA6" s="75"/>
      <c r="AB6" s="75"/>
      <c r="AC6" s="75"/>
      <c r="AD6" s="75"/>
    </row>
    <row r="7" spans="1:30" ht="29.4" thickBot="1" x14ac:dyDescent="0.45">
      <c r="A7" s="75"/>
      <c r="B7" s="458"/>
      <c r="C7" s="103"/>
      <c r="D7" s="116" t="s">
        <v>168</v>
      </c>
      <c r="E7" s="101"/>
      <c r="F7" s="141" t="s">
        <v>169</v>
      </c>
      <c r="G7" s="80"/>
      <c r="H7" s="140" t="s">
        <v>170</v>
      </c>
      <c r="I7" s="83"/>
      <c r="J7" s="121" t="s">
        <v>171</v>
      </c>
      <c r="K7" s="119"/>
      <c r="L7" s="121" t="s">
        <v>172</v>
      </c>
      <c r="M7" s="100"/>
      <c r="N7" s="121" t="s">
        <v>173</v>
      </c>
      <c r="O7" s="158"/>
      <c r="P7" s="87"/>
      <c r="Q7" s="150" t="s">
        <v>174</v>
      </c>
      <c r="R7" s="75"/>
      <c r="S7" s="75"/>
      <c r="T7" s="75"/>
      <c r="U7" s="75"/>
      <c r="V7" s="75"/>
      <c r="W7" s="75"/>
      <c r="X7" s="75"/>
      <c r="Y7" s="75"/>
      <c r="Z7" s="154"/>
      <c r="AA7" s="75"/>
      <c r="AB7" s="75"/>
      <c r="AC7" s="75"/>
      <c r="AD7" s="75"/>
    </row>
    <row r="8" spans="1:30" ht="27.75" customHeight="1" thickTop="1" thickBot="1" x14ac:dyDescent="0.6">
      <c r="A8" s="75"/>
      <c r="B8" s="458"/>
      <c r="C8" s="75"/>
      <c r="D8" s="115" t="s">
        <v>639</v>
      </c>
      <c r="E8" s="77"/>
      <c r="F8" s="117" t="str">
        <f>VLOOKUP($D$8,Tabella4[[NOME]:[FVOTO TOT]],4,0)</f>
        <v>C</v>
      </c>
      <c r="G8" s="81"/>
      <c r="H8" s="135">
        <f>VLOOKUP($D$8,Tabella4[[NOME]:[FVOTO TOT]],9,0)</f>
        <v>5.666666666666667</v>
      </c>
      <c r="I8" s="84"/>
      <c r="J8" s="136">
        <f>VLOOKUP($D$8,Tabella4[[NOME]:[FVOTO TOT]],10,0)</f>
        <v>5.666666666666667</v>
      </c>
      <c r="K8" s="84"/>
      <c r="L8" s="137">
        <f>VLOOKUP($D$8,Tabella4[[NOME]:[FVOTO TOT]],11,0)</f>
        <v>17</v>
      </c>
      <c r="M8" s="75"/>
      <c r="N8" s="124">
        <f>VLOOKUP($D$8,Tabella4[[NOME]:[ASS]],14,0)</f>
        <v>0</v>
      </c>
      <c r="O8" s="75"/>
      <c r="P8" s="155"/>
      <c r="Q8" s="156"/>
      <c r="R8" s="156"/>
      <c r="S8" s="156"/>
      <c r="T8" s="156"/>
      <c r="U8" s="156"/>
      <c r="V8" s="156"/>
      <c r="W8" s="156"/>
      <c r="X8" s="156"/>
      <c r="Y8" s="157"/>
      <c r="Z8" s="75"/>
      <c r="AA8" s="75"/>
      <c r="AB8" s="75"/>
      <c r="AC8" s="75"/>
      <c r="AD8" s="75"/>
    </row>
    <row r="9" spans="1:30" ht="9" customHeight="1" thickBot="1" x14ac:dyDescent="0.35">
      <c r="A9" s="75"/>
      <c r="B9" s="458"/>
      <c r="C9" s="75"/>
      <c r="D9" s="75"/>
      <c r="E9" s="75"/>
      <c r="F9" s="120"/>
      <c r="G9" s="75"/>
      <c r="H9" s="164">
        <f>_xlfn.RANK.EQ($H$8,Tabella4[VOTO AVG],0)</f>
        <v>301</v>
      </c>
      <c r="I9" s="164"/>
      <c r="J9" s="164">
        <f>_xlfn.RANK.EQ($J$8, Tabella4[FVOTO  AVG],0)</f>
        <v>277</v>
      </c>
      <c r="K9" s="164"/>
      <c r="L9" s="164">
        <f>_xlfn.RANK.EQ($L$8,Tabella4[FVOTO TOT],0)</f>
        <v>237</v>
      </c>
      <c r="M9" s="75"/>
      <c r="N9" s="75"/>
      <c r="O9" s="75"/>
      <c r="P9" s="75"/>
      <c r="Q9" s="75"/>
      <c r="R9" s="75"/>
      <c r="S9" s="75"/>
      <c r="T9" s="75"/>
      <c r="U9" s="75"/>
      <c r="V9" s="75"/>
      <c r="W9" s="75"/>
      <c r="X9" s="75"/>
      <c r="Y9" s="75"/>
      <c r="Z9" s="75"/>
      <c r="AA9" s="75"/>
      <c r="AB9" s="75"/>
      <c r="AC9" s="75"/>
      <c r="AD9" s="75"/>
    </row>
    <row r="10" spans="1:30" ht="27" thickTop="1" thickBot="1" x14ac:dyDescent="0.55000000000000004">
      <c r="A10" s="75"/>
      <c r="B10" s="458"/>
      <c r="C10" s="75"/>
      <c r="D10" s="114" t="s">
        <v>175</v>
      </c>
      <c r="E10" s="118"/>
      <c r="F10" s="142">
        <f>AVERAGE(H9,J9,L9)</f>
        <v>271.66666666666669</v>
      </c>
      <c r="G10" s="82"/>
      <c r="H10" s="113" t="str">
        <f>_xlfn.RANK.EQ($H$8,Tabella4[VOTO AVG],0)&amp;"°"</f>
        <v>301°</v>
      </c>
      <c r="I10" s="85"/>
      <c r="J10" s="113" t="str">
        <f>_xlfn.RANK.EQ($J$8, Tabella4[FVOTO  AVG],0)&amp;"°"</f>
        <v>277°</v>
      </c>
      <c r="K10" s="86"/>
      <c r="L10" s="113" t="str">
        <f>_xlfn.RANK.EQ($L$8,Tabella4[FVOTO TOT],0)&amp;"°"</f>
        <v>237°</v>
      </c>
      <c r="M10" s="75"/>
      <c r="N10" s="75"/>
      <c r="O10" s="75"/>
      <c r="P10" s="75"/>
      <c r="Q10" s="75"/>
      <c r="R10" s="75"/>
      <c r="S10" s="75"/>
      <c r="T10" s="75"/>
      <c r="U10" s="75"/>
      <c r="V10" s="75"/>
      <c r="W10" s="75"/>
      <c r="X10" s="75"/>
      <c r="Y10" s="75"/>
      <c r="Z10" s="75"/>
      <c r="AA10" s="75"/>
      <c r="AB10" s="75"/>
      <c r="AC10" s="75"/>
      <c r="AD10" s="75"/>
    </row>
    <row r="11" spans="1:30" ht="14.25" customHeight="1" thickBot="1" x14ac:dyDescent="0.55000000000000004">
      <c r="A11" s="75"/>
      <c r="B11" s="458"/>
      <c r="C11" s="75"/>
      <c r="D11" s="78"/>
      <c r="E11" s="75"/>
      <c r="F11" s="75"/>
      <c r="G11" s="75"/>
      <c r="H11" s="79"/>
      <c r="I11" s="79"/>
      <c r="J11" s="79"/>
      <c r="K11" s="79"/>
      <c r="L11" s="79"/>
      <c r="M11" s="75"/>
      <c r="N11" s="75"/>
      <c r="O11" s="75"/>
      <c r="P11" s="75"/>
      <c r="Q11" s="75"/>
      <c r="R11" s="75"/>
      <c r="S11" s="75"/>
      <c r="T11" s="75"/>
      <c r="U11" s="75"/>
      <c r="V11" s="75"/>
      <c r="W11" s="75"/>
      <c r="X11" s="75"/>
      <c r="Y11" s="75"/>
      <c r="Z11" s="75"/>
      <c r="AA11" s="75"/>
      <c r="AB11" s="75"/>
      <c r="AC11" s="75"/>
      <c r="AD11" s="75"/>
    </row>
    <row r="12" spans="1:30" ht="29.25" customHeight="1" thickBot="1" x14ac:dyDescent="0.35">
      <c r="A12" s="75"/>
      <c r="B12" s="458"/>
      <c r="C12" s="75"/>
      <c r="D12" s="139"/>
      <c r="E12" s="75"/>
      <c r="F12" s="121" t="s">
        <v>176</v>
      </c>
      <c r="G12" s="75"/>
      <c r="H12" s="122" t="s">
        <v>118</v>
      </c>
      <c r="I12" s="100"/>
      <c r="J12" s="122" t="s">
        <v>119</v>
      </c>
      <c r="K12" s="138"/>
      <c r="L12" s="123" t="s">
        <v>120</v>
      </c>
      <c r="M12" s="75"/>
      <c r="N12" s="125" t="s">
        <v>173</v>
      </c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</row>
    <row r="13" spans="1:30" ht="30" thickTop="1" thickBot="1" x14ac:dyDescent="0.35">
      <c r="A13" s="75"/>
      <c r="B13" s="458"/>
      <c r="C13" s="75"/>
      <c r="D13" s="75"/>
      <c r="E13" s="75"/>
      <c r="F13" s="148">
        <f>VLOOKUP($D$8,Tabella4[[NOME]:[FVOTO TOT]],8,0)</f>
        <v>3</v>
      </c>
      <c r="G13" s="75"/>
      <c r="H13" s="159">
        <f>VLOOKUP($D$8,Tabella4[[NOME]:[AMM]],19,0)</f>
        <v>0</v>
      </c>
      <c r="I13" s="160"/>
      <c r="J13" s="161">
        <f>VLOOKUP($D$8,Tabella4[[NOME]:[ESP]],20,0)</f>
        <v>1</v>
      </c>
      <c r="K13" s="75"/>
      <c r="L13" s="124">
        <f>VLOOKUP($D$8,Tabella4[[NOME]:[ASS]],21,0)</f>
        <v>1</v>
      </c>
      <c r="M13" s="75"/>
      <c r="N13" s="124">
        <f>VLOOKUP($D$8,Tabella4[[NOME]:[ESP]],13,0)</f>
        <v>0</v>
      </c>
      <c r="O13" s="75"/>
      <c r="P13" s="75"/>
      <c r="Q13" s="75"/>
      <c r="R13" s="75"/>
      <c r="S13" s="75"/>
      <c r="T13" s="75"/>
      <c r="U13" s="75"/>
      <c r="V13" s="75"/>
      <c r="W13" s="75"/>
      <c r="X13" s="75"/>
      <c r="Y13" s="75"/>
      <c r="Z13" s="75"/>
      <c r="AA13" s="75"/>
      <c r="AB13" s="75"/>
      <c r="AC13" s="75"/>
      <c r="AD13" s="75"/>
    </row>
    <row r="14" spans="1:30" ht="8.25" customHeight="1" thickBot="1" x14ac:dyDescent="0.35">
      <c r="A14" s="75"/>
      <c r="B14" s="459"/>
      <c r="C14" s="75"/>
      <c r="D14" s="75"/>
      <c r="E14" s="75"/>
      <c r="F14" s="75"/>
      <c r="G14" s="75"/>
      <c r="H14" s="75"/>
      <c r="I14" s="75"/>
      <c r="J14" s="75"/>
      <c r="K14" s="75"/>
      <c r="L14" s="75"/>
      <c r="M14" s="75"/>
      <c r="N14" s="75"/>
      <c r="O14" s="75"/>
      <c r="P14" s="75"/>
      <c r="Q14" s="75"/>
      <c r="R14" s="75"/>
      <c r="S14" s="75"/>
      <c r="T14" s="75"/>
      <c r="U14" s="75"/>
      <c r="V14" s="75"/>
      <c r="W14" s="75"/>
      <c r="X14" s="75"/>
      <c r="Y14" s="75"/>
      <c r="Z14" s="75"/>
      <c r="AA14" s="75"/>
      <c r="AB14" s="75"/>
      <c r="AC14" s="75"/>
      <c r="AD14" s="75"/>
    </row>
    <row r="15" spans="1:30" x14ac:dyDescent="0.3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  <c r="L15" s="76"/>
      <c r="M15" s="75"/>
      <c r="N15" s="75"/>
      <c r="O15" s="75"/>
      <c r="P15" s="75"/>
      <c r="Q15" s="75"/>
      <c r="R15" s="75"/>
      <c r="S15" s="75"/>
      <c r="T15" s="75"/>
      <c r="U15" s="75"/>
      <c r="V15" s="75"/>
      <c r="W15" s="75"/>
      <c r="X15" s="75"/>
      <c r="Y15" s="75"/>
      <c r="Z15" s="75"/>
      <c r="AA15" s="75"/>
      <c r="AB15" s="75"/>
      <c r="AC15" s="75"/>
      <c r="AD15" s="75"/>
    </row>
    <row r="16" spans="1:30" x14ac:dyDescent="0.3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75"/>
      <c r="Z16" s="75"/>
      <c r="AA16" s="75"/>
      <c r="AB16" s="75"/>
      <c r="AC16" s="75"/>
      <c r="AD16" s="75"/>
    </row>
    <row r="17" spans="1:30" x14ac:dyDescent="0.3">
      <c r="A17" s="75"/>
      <c r="B17" s="75"/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  <c r="P17" s="75"/>
      <c r="Q17" s="75"/>
      <c r="R17" s="75"/>
      <c r="S17" s="75"/>
      <c r="T17" s="75"/>
      <c r="U17" s="75"/>
      <c r="V17" s="75"/>
      <c r="W17" s="75"/>
      <c r="X17" s="75"/>
      <c r="Y17" s="75"/>
      <c r="Z17" s="75"/>
      <c r="AA17" s="75"/>
      <c r="AB17" s="75"/>
      <c r="AC17" s="75"/>
      <c r="AD17" s="75"/>
    </row>
    <row r="18" spans="1:30" x14ac:dyDescent="0.3">
      <c r="A18" s="75"/>
      <c r="B18" s="75"/>
      <c r="C18" s="75"/>
      <c r="D18" s="75"/>
      <c r="E18" s="75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  <c r="R18" s="75"/>
      <c r="S18" s="75"/>
      <c r="T18" s="75"/>
      <c r="U18" s="75"/>
      <c r="V18" s="75"/>
      <c r="W18" s="75"/>
      <c r="X18" s="75"/>
      <c r="Y18" s="75"/>
      <c r="Z18" s="75"/>
      <c r="AA18" s="75"/>
      <c r="AB18" s="75"/>
      <c r="AC18" s="75"/>
      <c r="AD18" s="75"/>
    </row>
    <row r="19" spans="1:30" x14ac:dyDescent="0.3">
      <c r="A19" s="75"/>
      <c r="B19" s="75"/>
      <c r="C19" s="75"/>
      <c r="D19" s="75"/>
      <c r="E19" s="75"/>
      <c r="F19" s="75"/>
      <c r="G19" s="75"/>
      <c r="H19" s="75"/>
      <c r="I19" s="75"/>
      <c r="J19" s="75"/>
      <c r="K19" s="75"/>
      <c r="L19" s="75"/>
      <c r="M19" s="75"/>
      <c r="N19" s="75"/>
      <c r="O19" s="75"/>
      <c r="P19" s="75"/>
      <c r="Q19" s="75"/>
      <c r="R19" s="75"/>
      <c r="S19" s="75"/>
      <c r="T19" s="75"/>
      <c r="U19" s="75"/>
      <c r="V19" s="75"/>
      <c r="W19" s="75"/>
      <c r="X19" s="75"/>
      <c r="Y19" s="75"/>
      <c r="Z19" s="75"/>
      <c r="AA19" s="75"/>
      <c r="AB19" s="75"/>
      <c r="AC19" s="75"/>
      <c r="AD19" s="75"/>
    </row>
    <row r="20" spans="1:30" x14ac:dyDescent="0.3">
      <c r="A20" s="75"/>
      <c r="B20" s="75"/>
      <c r="C20" s="75"/>
      <c r="D20" s="75"/>
      <c r="E20" s="75"/>
      <c r="F20" s="75"/>
      <c r="G20" s="75"/>
      <c r="H20" s="75"/>
      <c r="I20" s="75"/>
      <c r="J20" s="75"/>
      <c r="K20" s="75"/>
      <c r="L20" s="75"/>
      <c r="M20" s="75"/>
      <c r="N20" s="75"/>
      <c r="O20" s="75"/>
      <c r="P20" s="75"/>
      <c r="Q20" s="75"/>
      <c r="R20" s="75"/>
      <c r="S20" s="75"/>
      <c r="T20" s="75"/>
      <c r="U20" s="75"/>
      <c r="V20" s="75"/>
      <c r="W20" s="75"/>
      <c r="X20" s="75"/>
      <c r="Y20" s="75"/>
      <c r="Z20" s="75"/>
      <c r="AA20" s="75"/>
      <c r="AB20" s="75"/>
      <c r="AC20" s="75"/>
      <c r="AD20" s="75"/>
    </row>
    <row r="21" spans="1:30" x14ac:dyDescent="0.3">
      <c r="A21" s="75"/>
      <c r="B21" s="75"/>
      <c r="C21" s="75"/>
      <c r="D21" s="75"/>
      <c r="E21" s="75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5"/>
      <c r="Q21" s="75"/>
      <c r="R21" s="75"/>
      <c r="S21" s="75"/>
      <c r="T21" s="75"/>
      <c r="U21" s="75"/>
      <c r="V21" s="75"/>
      <c r="W21" s="75"/>
      <c r="X21" s="75"/>
      <c r="Y21" s="75"/>
      <c r="Z21" s="75"/>
      <c r="AA21" s="75"/>
      <c r="AB21" s="75"/>
      <c r="AC21" s="75"/>
      <c r="AD21" s="75"/>
    </row>
    <row r="22" spans="1:30" x14ac:dyDescent="0.3">
      <c r="A22" s="75"/>
      <c r="B22" s="75"/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5"/>
      <c r="R22" s="75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</row>
    <row r="23" spans="1:30" x14ac:dyDescent="0.3">
      <c r="A23" s="75"/>
      <c r="B23" s="75"/>
      <c r="C23" s="75"/>
      <c r="D23" s="75"/>
      <c r="E23" s="75"/>
      <c r="F23" s="75"/>
      <c r="G23" s="75"/>
      <c r="H23" s="75"/>
      <c r="I23" s="75"/>
      <c r="J23" s="75"/>
      <c r="K23" s="75"/>
      <c r="L23" s="75"/>
      <c r="M23" s="75"/>
      <c r="N23" s="75"/>
      <c r="O23" s="75"/>
      <c r="P23" s="75"/>
      <c r="Q23" s="75"/>
      <c r="R23" s="75"/>
      <c r="S23" s="75"/>
      <c r="T23" s="75"/>
      <c r="U23" s="75"/>
      <c r="V23" s="75"/>
      <c r="W23" s="75"/>
      <c r="X23" s="75"/>
      <c r="Y23" s="75"/>
      <c r="Z23" s="75"/>
      <c r="AA23" s="75"/>
      <c r="AB23" s="75"/>
      <c r="AC23" s="75"/>
      <c r="AD23" s="75"/>
    </row>
    <row r="24" spans="1:30" x14ac:dyDescent="0.3">
      <c r="A24" s="75"/>
      <c r="B24" s="75"/>
      <c r="C24" s="75"/>
      <c r="D24" s="75"/>
      <c r="E24" s="75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5"/>
      <c r="Q24" s="75"/>
      <c r="R24" s="75"/>
      <c r="S24" s="75"/>
      <c r="T24" s="75"/>
      <c r="U24" s="75"/>
      <c r="V24" s="75"/>
      <c r="W24" s="75"/>
      <c r="X24" s="75"/>
      <c r="Y24" s="75"/>
      <c r="Z24" s="75"/>
      <c r="AA24" s="75"/>
      <c r="AB24" s="75"/>
      <c r="AC24" s="75"/>
      <c r="AD24" s="75"/>
    </row>
    <row r="25" spans="1:30" x14ac:dyDescent="0.3">
      <c r="A25" s="75"/>
      <c r="B25" s="75"/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  <c r="Q25" s="75"/>
      <c r="R25" s="75"/>
      <c r="S25" s="75"/>
      <c r="T25" s="75"/>
      <c r="U25" s="75"/>
      <c r="V25" s="75"/>
      <c r="W25" s="75"/>
      <c r="X25" s="75"/>
      <c r="Y25" s="75"/>
      <c r="Z25" s="75"/>
      <c r="AA25" s="75"/>
      <c r="AB25" s="75"/>
      <c r="AC25" s="75"/>
      <c r="AD25" s="75"/>
    </row>
    <row r="26" spans="1:30" x14ac:dyDescent="0.3">
      <c r="A26" s="75"/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  <c r="Q26" s="75"/>
      <c r="R26" s="75"/>
      <c r="S26" s="75"/>
      <c r="T26" s="75"/>
      <c r="U26" s="75"/>
      <c r="V26" s="75"/>
      <c r="W26" s="75"/>
      <c r="X26" s="75"/>
      <c r="Y26" s="75"/>
      <c r="Z26" s="75"/>
      <c r="AA26" s="75"/>
      <c r="AB26" s="75"/>
      <c r="AC26" s="75"/>
      <c r="AD26" s="75"/>
    </row>
    <row r="27" spans="1:30" x14ac:dyDescent="0.3">
      <c r="A27" s="75"/>
      <c r="B27" s="75"/>
      <c r="C27" s="75"/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</row>
    <row r="28" spans="1:30" x14ac:dyDescent="0.3">
      <c r="A28" s="75"/>
      <c r="B28" s="75"/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75"/>
      <c r="O28" s="75"/>
      <c r="P28" s="75"/>
      <c r="Q28" s="75"/>
      <c r="R28" s="75"/>
      <c r="S28" s="75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</row>
    <row r="31" spans="1:30" x14ac:dyDescent="0.3">
      <c r="B31" s="13" t="s">
        <v>323</v>
      </c>
      <c r="D31" t="s">
        <v>518</v>
      </c>
      <c r="F31">
        <f>IF(ISNUMBER(SEARCH($D$8,D31)),MAX($F$30:F30)+1,0)</f>
        <v>0</v>
      </c>
      <c r="J31" t="str">
        <f>_xlfn.XLOOKUP(ROWS($J$31:J31),$F$31:$F$563,$D$31:$D$563,"")</f>
        <v/>
      </c>
    </row>
    <row r="32" spans="1:30" x14ac:dyDescent="0.3">
      <c r="D32" t="s">
        <v>221</v>
      </c>
      <c r="F32">
        <f>IF(ISNUMBER(SEARCH($D$8,D32)),MAX($F$30:F31)+1,0)</f>
        <v>0</v>
      </c>
      <c r="J32" t="str">
        <f>_xlfn.XLOOKUP(ROWS($J$31:J32),$F$31:$F$563,$D$31:$D$563,"")</f>
        <v/>
      </c>
    </row>
    <row r="33" spans="2:10" x14ac:dyDescent="0.3">
      <c r="D33" t="s">
        <v>350</v>
      </c>
      <c r="F33">
        <f>IF(ISNUMBER(SEARCH($D$8,D33)),MAX($F$30:F32)+1,0)</f>
        <v>0</v>
      </c>
      <c r="J33" t="str">
        <f>_xlfn.XLOOKUP(ROWS($J$31:J33),$F$31:$F$563,$D$31:$D$563,"")</f>
        <v/>
      </c>
    </row>
    <row r="34" spans="2:10" x14ac:dyDescent="0.3">
      <c r="B34" s="168" t="s">
        <v>479</v>
      </c>
      <c r="D34" t="s">
        <v>574</v>
      </c>
      <c r="F34">
        <f>IF(ISNUMBER(SEARCH($D$8,D34)),MAX($F$30:F33)+1,0)</f>
        <v>0</v>
      </c>
      <c r="J34" t="str">
        <f>_xlfn.XLOOKUP(ROWS($J$31:J34),$F$31:$F$563,$D$31:$D$563,"")</f>
        <v/>
      </c>
    </row>
    <row r="35" spans="2:10" x14ac:dyDescent="0.3">
      <c r="D35" t="s">
        <v>231</v>
      </c>
      <c r="F35">
        <f>IF(ISNUMBER(SEARCH($D$8,D35)),MAX($F$30:F34)+1,0)</f>
        <v>0</v>
      </c>
      <c r="J35" t="str">
        <f>_xlfn.XLOOKUP(ROWS($J$31:J35),$F$31:$F$563,$D$31:$D$563,"")</f>
        <v/>
      </c>
    </row>
    <row r="36" spans="2:10" x14ac:dyDescent="0.3">
      <c r="D36" t="s">
        <v>262</v>
      </c>
      <c r="F36">
        <f>IF(ISNUMBER(SEARCH($D$8,D36)),MAX($F$30:F35)+1,0)</f>
        <v>0</v>
      </c>
      <c r="J36" t="str">
        <f>_xlfn.XLOOKUP(ROWS($J$31:J36),$F$31:$F$563,$D$31:$D$563,"")</f>
        <v/>
      </c>
    </row>
    <row r="37" spans="2:10" x14ac:dyDescent="0.3">
      <c r="B37" t="s">
        <v>478</v>
      </c>
      <c r="D37" t="s">
        <v>461</v>
      </c>
      <c r="F37">
        <f>IF(ISNUMBER(SEARCH($D$8,D37)),MAX($F$30:F36)+1,0)</f>
        <v>0</v>
      </c>
      <c r="J37" t="str">
        <f>_xlfn.XLOOKUP(ROWS($J$31:J37),$F$31:$F$563,$D$31:$D$563,"")</f>
        <v/>
      </c>
    </row>
    <row r="38" spans="2:10" x14ac:dyDescent="0.3">
      <c r="D38" t="s">
        <v>432</v>
      </c>
      <c r="F38">
        <f>IF(ISNUMBER(SEARCH($D$8,D38)),MAX($F$30:F37)+1,0)</f>
        <v>0</v>
      </c>
      <c r="J38" t="str">
        <f>_xlfn.XLOOKUP(ROWS($J$31:J38),$F$31:$F$563,$D$31:$D$563,"")</f>
        <v/>
      </c>
    </row>
    <row r="39" spans="2:10" x14ac:dyDescent="0.3">
      <c r="D39" t="s">
        <v>274</v>
      </c>
      <c r="F39">
        <f>IF(ISNUMBER(SEARCH($D$8,D39)),MAX($F$30:F38)+1,0)</f>
        <v>0</v>
      </c>
      <c r="J39" t="str">
        <f>_xlfn.XLOOKUP(ROWS($J$31:J39),$F$31:$F$563,$D$31:$D$563,"")</f>
        <v/>
      </c>
    </row>
    <row r="40" spans="2:10" x14ac:dyDescent="0.3">
      <c r="D40" t="s">
        <v>589</v>
      </c>
      <c r="F40">
        <f>IF(ISNUMBER(SEARCH($D$8,D40)),MAX($F$30:F39)+1,0)</f>
        <v>0</v>
      </c>
      <c r="J40" t="str">
        <f>_xlfn.XLOOKUP(ROWS($J$31:J40),$F$31:$F$563,$D$31:$D$563,"")</f>
        <v/>
      </c>
    </row>
    <row r="41" spans="2:10" x14ac:dyDescent="0.3">
      <c r="D41" t="s">
        <v>567</v>
      </c>
      <c r="F41">
        <f>IF(ISNUMBER(SEARCH($D$8,D41)),MAX($F$30:F40)+1,0)</f>
        <v>0</v>
      </c>
      <c r="J41" t="str">
        <f>_xlfn.XLOOKUP(ROWS($J$31:J41),$F$31:$F$563,$D$31:$D$563,"")</f>
        <v/>
      </c>
    </row>
    <row r="42" spans="2:10" x14ac:dyDescent="0.3">
      <c r="D42" t="s">
        <v>332</v>
      </c>
      <c r="F42">
        <f>IF(ISNUMBER(SEARCH($D$8,D42)),MAX($F$30:F41)+1,0)</f>
        <v>0</v>
      </c>
      <c r="J42" t="str">
        <f>_xlfn.XLOOKUP(ROWS($J$31:J42),$F$31:$F$563,$D$31:$D$563,"")</f>
        <v/>
      </c>
    </row>
    <row r="43" spans="2:10" x14ac:dyDescent="0.3">
      <c r="D43" t="s">
        <v>222</v>
      </c>
      <c r="F43">
        <f>IF(ISNUMBER(SEARCH($D$8,D43)),MAX($F$30:F42)+1,0)</f>
        <v>0</v>
      </c>
      <c r="J43" t="str">
        <f>_xlfn.XLOOKUP(ROWS($J$31:J43),$F$31:$F$563,$D$31:$D$563,"")</f>
        <v/>
      </c>
    </row>
    <row r="44" spans="2:10" x14ac:dyDescent="0.3">
      <c r="D44" t="s">
        <v>430</v>
      </c>
      <c r="F44">
        <f>IF(ISNUMBER(SEARCH($D$8,D44)),MAX($F$30:F43)+1,0)</f>
        <v>0</v>
      </c>
      <c r="J44" t="str">
        <f>_xlfn.XLOOKUP(ROWS($J$31:J44),$F$31:$F$563,$D$31:$D$563,"")</f>
        <v/>
      </c>
    </row>
    <row r="45" spans="2:10" x14ac:dyDescent="0.3">
      <c r="D45" t="s">
        <v>447</v>
      </c>
      <c r="F45">
        <f>IF(ISNUMBER(SEARCH($D$8,D45)),MAX($F$30:F44)+1,0)</f>
        <v>0</v>
      </c>
      <c r="J45" t="str">
        <f>_xlfn.XLOOKUP(ROWS($J$31:J45),$F$31:$F$563,$D$31:$D$563,"")</f>
        <v/>
      </c>
    </row>
    <row r="46" spans="2:10" x14ac:dyDescent="0.3">
      <c r="D46" t="s">
        <v>425</v>
      </c>
      <c r="F46">
        <f>IF(ISNUMBER(SEARCH($D$8,D46)),MAX($F$30:F45)+1,0)</f>
        <v>0</v>
      </c>
      <c r="J46" t="str">
        <f>_xlfn.XLOOKUP(ROWS($J$31:J46),$F$31:$F$563,$D$31:$D$563,"")</f>
        <v/>
      </c>
    </row>
    <row r="47" spans="2:10" x14ac:dyDescent="0.3">
      <c r="D47" t="s">
        <v>320</v>
      </c>
      <c r="F47">
        <f>IF(ISNUMBER(SEARCH($D$8,D47)),MAX($F$30:F46)+1,0)</f>
        <v>0</v>
      </c>
      <c r="J47" t="str">
        <f>_xlfn.XLOOKUP(ROWS($J$31:J47),$F$31:$F$563,$D$31:$D$563,"")</f>
        <v/>
      </c>
    </row>
    <row r="48" spans="2:10" x14ac:dyDescent="0.3">
      <c r="D48" t="s">
        <v>553</v>
      </c>
      <c r="F48">
        <f>IF(ISNUMBER(SEARCH($D$8,D48)),MAX($F$30:F47)+1,0)</f>
        <v>0</v>
      </c>
      <c r="J48" t="str">
        <f>_xlfn.XLOOKUP(ROWS($J$31:J48),$F$31:$F$563,$D$31:$D$563,"")</f>
        <v/>
      </c>
    </row>
    <row r="49" spans="4:10" x14ac:dyDescent="0.3">
      <c r="D49" t="s">
        <v>236</v>
      </c>
      <c r="F49">
        <f>IF(ISNUMBER(SEARCH($D$8,D49)),MAX($F$30:F48)+1,0)</f>
        <v>0</v>
      </c>
      <c r="J49" t="str">
        <f>_xlfn.XLOOKUP(ROWS($J$31:J49),$F$31:$F$563,$D$31:$D$563,"")</f>
        <v/>
      </c>
    </row>
    <row r="50" spans="4:10" x14ac:dyDescent="0.3">
      <c r="D50" t="s">
        <v>445</v>
      </c>
      <c r="F50">
        <f>IF(ISNUMBER(SEARCH($D$8,D50)),MAX($F$30:F49)+1,0)</f>
        <v>0</v>
      </c>
      <c r="J50" t="str">
        <f>_xlfn.XLOOKUP(ROWS($J$31:J50),$F$31:$F$563,$D$31:$D$563,"")</f>
        <v/>
      </c>
    </row>
    <row r="51" spans="4:10" x14ac:dyDescent="0.3">
      <c r="D51" t="s">
        <v>513</v>
      </c>
      <c r="F51">
        <f>IF(ISNUMBER(SEARCH($D$8,D51)),MAX($F$30:F50)+1,0)</f>
        <v>0</v>
      </c>
      <c r="J51" t="str">
        <f>_xlfn.XLOOKUP(ROWS($J$31:J51),$F$31:$F$563,$D$31:$D$563,"")</f>
        <v/>
      </c>
    </row>
    <row r="52" spans="4:10" x14ac:dyDescent="0.3">
      <c r="D52" t="s">
        <v>276</v>
      </c>
      <c r="F52">
        <f>IF(ISNUMBER(SEARCH($D$8,D52)),MAX($F$30:F51)+1,0)</f>
        <v>0</v>
      </c>
      <c r="J52" t="str">
        <f>_xlfn.XLOOKUP(ROWS($J$31:J52),$F$31:$F$563,$D$31:$D$563,"")</f>
        <v/>
      </c>
    </row>
    <row r="53" spans="4:10" x14ac:dyDescent="0.3">
      <c r="D53" t="s">
        <v>226</v>
      </c>
      <c r="F53">
        <f>IF(ISNUMBER(SEARCH($D$8,D53)),MAX($F$30:F52)+1,0)</f>
        <v>0</v>
      </c>
    </row>
    <row r="54" spans="4:10" x14ac:dyDescent="0.3">
      <c r="D54" t="s">
        <v>516</v>
      </c>
      <c r="F54">
        <f>IF(ISNUMBER(SEARCH($D$8,D54)),MAX($F$30:F53)+1,0)</f>
        <v>0</v>
      </c>
    </row>
    <row r="55" spans="4:10" x14ac:dyDescent="0.3">
      <c r="D55" t="s">
        <v>243</v>
      </c>
      <c r="F55">
        <f>IF(ISNUMBER(SEARCH($D$8,D55)),MAX($F$30:F54)+1,0)</f>
        <v>0</v>
      </c>
    </row>
    <row r="56" spans="4:10" x14ac:dyDescent="0.3">
      <c r="D56" t="s">
        <v>595</v>
      </c>
      <c r="F56">
        <f>IF(ISNUMBER(SEARCH($D$8,D56)),MAX($F$30:F55)+1,0)</f>
        <v>0</v>
      </c>
    </row>
    <row r="57" spans="4:10" x14ac:dyDescent="0.3">
      <c r="D57" t="s">
        <v>347</v>
      </c>
      <c r="F57">
        <f>IF(ISNUMBER(SEARCH($D$8,D57)),MAX($F$30:F56)+1,0)</f>
        <v>0</v>
      </c>
    </row>
    <row r="58" spans="4:10" x14ac:dyDescent="0.3">
      <c r="D58" t="s">
        <v>337</v>
      </c>
      <c r="F58">
        <f>IF(ISNUMBER(SEARCH($D$8,D58)),MAX($F$30:F57)+1,0)</f>
        <v>0</v>
      </c>
    </row>
    <row r="59" spans="4:10" x14ac:dyDescent="0.3">
      <c r="D59" t="s">
        <v>247</v>
      </c>
      <c r="F59">
        <f>IF(ISNUMBER(SEARCH($D$8,D59)),MAX($F$30:F58)+1,0)</f>
        <v>0</v>
      </c>
    </row>
    <row r="60" spans="4:10" x14ac:dyDescent="0.3">
      <c r="D60" t="s">
        <v>541</v>
      </c>
      <c r="F60">
        <f>IF(ISNUMBER(SEARCH($D$8,D60)),MAX($F$30:F59)+1,0)</f>
        <v>0</v>
      </c>
    </row>
    <row r="61" spans="4:10" x14ac:dyDescent="0.3">
      <c r="D61" t="s">
        <v>562</v>
      </c>
      <c r="F61">
        <f>IF(ISNUMBER(SEARCH($D$8,D61)),MAX($F$30:F60)+1,0)</f>
        <v>0</v>
      </c>
    </row>
    <row r="62" spans="4:10" x14ac:dyDescent="0.3">
      <c r="D62" t="s">
        <v>426</v>
      </c>
      <c r="F62">
        <f>IF(ISNUMBER(SEARCH($D$8,D62)),MAX($F$30:F61)+1,0)</f>
        <v>0</v>
      </c>
    </row>
    <row r="63" spans="4:10" x14ac:dyDescent="0.3">
      <c r="D63" t="s">
        <v>527</v>
      </c>
      <c r="F63">
        <f>IF(ISNUMBER(SEARCH($D$8,D63)),MAX($F$30:F62)+1,0)</f>
        <v>0</v>
      </c>
    </row>
    <row r="64" spans="4:10" x14ac:dyDescent="0.3">
      <c r="D64" t="s">
        <v>312</v>
      </c>
      <c r="F64">
        <f>IF(ISNUMBER(SEARCH($D$8,D64)),MAX($F$30:F63)+1,0)</f>
        <v>0</v>
      </c>
    </row>
    <row r="65" spans="4:6" x14ac:dyDescent="0.3">
      <c r="D65" t="s">
        <v>240</v>
      </c>
      <c r="F65">
        <f>IF(ISNUMBER(SEARCH($D$8,D65)),MAX($F$30:F64)+1,0)</f>
        <v>0</v>
      </c>
    </row>
    <row r="66" spans="4:6" x14ac:dyDescent="0.3">
      <c r="D66" t="s">
        <v>250</v>
      </c>
      <c r="F66">
        <f>IF(ISNUMBER(SEARCH($D$8,D66)),MAX($F$30:F65)+1,0)</f>
        <v>0</v>
      </c>
    </row>
    <row r="67" spans="4:6" x14ac:dyDescent="0.3">
      <c r="D67" t="s">
        <v>451</v>
      </c>
      <c r="F67">
        <f>IF(ISNUMBER(SEARCH($D$8,D67)),MAX($F$30:F66)+1,0)</f>
        <v>0</v>
      </c>
    </row>
    <row r="68" spans="4:6" x14ac:dyDescent="0.3">
      <c r="D68" t="s">
        <v>550</v>
      </c>
      <c r="F68">
        <f>IF(ISNUMBER(SEARCH($D$8,D68)),MAX($F$30:F67)+1,0)</f>
        <v>0</v>
      </c>
    </row>
    <row r="69" spans="4:6" x14ac:dyDescent="0.3">
      <c r="D69" t="s">
        <v>565</v>
      </c>
      <c r="F69">
        <f>IF(ISNUMBER(SEARCH($D$8,D69)),MAX($F$30:F68)+1,0)</f>
        <v>0</v>
      </c>
    </row>
    <row r="70" spans="4:6" x14ac:dyDescent="0.3">
      <c r="D70" t="s">
        <v>519</v>
      </c>
      <c r="F70">
        <f>IF(ISNUMBER(SEARCH($D$8,D70)),MAX($F$30:F69)+1,0)</f>
        <v>0</v>
      </c>
    </row>
    <row r="71" spans="4:6" x14ac:dyDescent="0.3">
      <c r="D71" t="s">
        <v>244</v>
      </c>
      <c r="F71">
        <f>IF(ISNUMBER(SEARCH($D$8,D71)),MAX($F$30:F70)+1,0)</f>
        <v>0</v>
      </c>
    </row>
    <row r="72" spans="4:6" x14ac:dyDescent="0.3">
      <c r="D72" t="s">
        <v>471</v>
      </c>
      <c r="F72">
        <f>IF(ISNUMBER(SEARCH($D$8,D72)),MAX($F$30:F71)+1,0)</f>
        <v>0</v>
      </c>
    </row>
    <row r="73" spans="4:6" x14ac:dyDescent="0.3">
      <c r="D73" t="s">
        <v>441</v>
      </c>
      <c r="F73">
        <f>IF(ISNUMBER(SEARCH($D$8,D73)),MAX($F$30:F72)+1,0)</f>
        <v>0</v>
      </c>
    </row>
    <row r="74" spans="4:6" x14ac:dyDescent="0.3">
      <c r="D74" t="s">
        <v>346</v>
      </c>
      <c r="F74">
        <f>IF(ISNUMBER(SEARCH($D$8,D74)),MAX($F$30:F73)+1,0)</f>
        <v>0</v>
      </c>
    </row>
    <row r="75" spans="4:6" x14ac:dyDescent="0.3">
      <c r="D75" t="s">
        <v>340</v>
      </c>
      <c r="F75">
        <f>IF(ISNUMBER(SEARCH($D$8,D75)),MAX($F$30:F74)+1,0)</f>
        <v>0</v>
      </c>
    </row>
    <row r="76" spans="4:6" x14ac:dyDescent="0.3">
      <c r="D76" t="s">
        <v>269</v>
      </c>
      <c r="F76">
        <f>IF(ISNUMBER(SEARCH($D$8,D76)),MAX($F$30:F75)+1,0)</f>
        <v>0</v>
      </c>
    </row>
    <row r="77" spans="4:6" x14ac:dyDescent="0.3">
      <c r="D77" t="s">
        <v>319</v>
      </c>
      <c r="F77">
        <f>IF(ISNUMBER(SEARCH($D$8,D77)),MAX($F$30:F76)+1,0)</f>
        <v>0</v>
      </c>
    </row>
    <row r="78" spans="4:6" x14ac:dyDescent="0.3">
      <c r="D78" t="s">
        <v>218</v>
      </c>
      <c r="F78">
        <f>IF(ISNUMBER(SEARCH($D$8,D78)),MAX($F$30:F77)+1,0)</f>
        <v>0</v>
      </c>
    </row>
    <row r="79" spans="4:6" x14ac:dyDescent="0.3">
      <c r="D79" t="s">
        <v>561</v>
      </c>
      <c r="F79">
        <f>IF(ISNUMBER(SEARCH($D$8,D79)),MAX($F$30:F78)+1,0)</f>
        <v>0</v>
      </c>
    </row>
    <row r="80" spans="4:6" x14ac:dyDescent="0.3">
      <c r="D80" t="s">
        <v>239</v>
      </c>
      <c r="F80">
        <f>IF(ISNUMBER(SEARCH($D$8,D80)),MAX($F$30:F79)+1,0)</f>
        <v>0</v>
      </c>
    </row>
    <row r="81" spans="4:6" x14ac:dyDescent="0.3">
      <c r="D81" t="s">
        <v>228</v>
      </c>
      <c r="F81">
        <f>IF(ISNUMBER(SEARCH($D$8,D81)),MAX($F$30:F80)+1,0)</f>
        <v>0</v>
      </c>
    </row>
    <row r="82" spans="4:6" x14ac:dyDescent="0.3">
      <c r="D82" t="s">
        <v>330</v>
      </c>
      <c r="F82">
        <f>IF(ISNUMBER(SEARCH($D$8,D82)),MAX($F$30:F81)+1,0)</f>
        <v>0</v>
      </c>
    </row>
    <row r="83" spans="4:6" x14ac:dyDescent="0.3">
      <c r="D83" t="s">
        <v>252</v>
      </c>
      <c r="F83">
        <f>IF(ISNUMBER(SEARCH($D$8,D83)),MAX($F$30:F82)+1,0)</f>
        <v>0</v>
      </c>
    </row>
    <row r="84" spans="4:6" x14ac:dyDescent="0.3">
      <c r="D84" t="s">
        <v>257</v>
      </c>
      <c r="F84">
        <f>IF(ISNUMBER(SEARCH($D$8,D84)),MAX($F$30:F83)+1,0)</f>
        <v>0</v>
      </c>
    </row>
    <row r="85" spans="4:6" x14ac:dyDescent="0.3">
      <c r="D85" t="s">
        <v>251</v>
      </c>
      <c r="F85">
        <f>IF(ISNUMBER(SEARCH($D$8,D85)),MAX($F$30:F84)+1,0)</f>
        <v>0</v>
      </c>
    </row>
    <row r="86" spans="4:6" x14ac:dyDescent="0.3">
      <c r="D86" t="s">
        <v>348</v>
      </c>
      <c r="F86">
        <f>IF(ISNUMBER(SEARCH($D$8,D86)),MAX($F$30:F85)+1,0)</f>
        <v>0</v>
      </c>
    </row>
    <row r="87" spans="4:6" x14ac:dyDescent="0.3">
      <c r="D87" t="s">
        <v>505</v>
      </c>
      <c r="F87">
        <f>IF(ISNUMBER(SEARCH($D$8,D87)),MAX($F$30:F86)+1,0)</f>
        <v>0</v>
      </c>
    </row>
    <row r="88" spans="4:6" x14ac:dyDescent="0.3">
      <c r="D88" t="s">
        <v>456</v>
      </c>
      <c r="F88">
        <f>IF(ISNUMBER(SEARCH($D$8,D88)),MAX($F$30:F87)+1,0)</f>
        <v>0</v>
      </c>
    </row>
    <row r="89" spans="4:6" x14ac:dyDescent="0.3">
      <c r="D89" t="s">
        <v>509</v>
      </c>
      <c r="F89">
        <f>IF(ISNUMBER(SEARCH($D$8,D89)),MAX($F$30:F88)+1,0)</f>
        <v>0</v>
      </c>
    </row>
    <row r="90" spans="4:6" x14ac:dyDescent="0.3">
      <c r="D90" t="s">
        <v>362</v>
      </c>
      <c r="F90">
        <f>IF(ISNUMBER(SEARCH($D$8,D90)),MAX($F$30:F89)+1,0)</f>
        <v>0</v>
      </c>
    </row>
    <row r="91" spans="4:6" x14ac:dyDescent="0.3">
      <c r="D91" t="s">
        <v>321</v>
      </c>
      <c r="F91">
        <f>IF(ISNUMBER(SEARCH($D$8,D91)),MAX($F$30:F90)+1,0)</f>
        <v>0</v>
      </c>
    </row>
    <row r="92" spans="4:6" x14ac:dyDescent="0.3">
      <c r="D92" t="s">
        <v>521</v>
      </c>
      <c r="F92">
        <f>IF(ISNUMBER(SEARCH($D$8,D92)),MAX($F$30:F91)+1,0)</f>
        <v>0</v>
      </c>
    </row>
    <row r="93" spans="4:6" x14ac:dyDescent="0.3">
      <c r="D93" t="s">
        <v>551</v>
      </c>
      <c r="F93">
        <f>IF(ISNUMBER(SEARCH($D$8,D93)),MAX($F$30:F92)+1,0)</f>
        <v>0</v>
      </c>
    </row>
    <row r="94" spans="4:6" x14ac:dyDescent="0.3">
      <c r="D94" t="s">
        <v>462</v>
      </c>
      <c r="F94">
        <f>IF(ISNUMBER(SEARCH($D$8,D94)),MAX($F$30:F93)+1,0)</f>
        <v>0</v>
      </c>
    </row>
    <row r="95" spans="4:6" x14ac:dyDescent="0.3">
      <c r="D95" t="s">
        <v>555</v>
      </c>
      <c r="F95">
        <f>IF(ISNUMBER(SEARCH($D$8,D95)),MAX($F$30:F94)+1,0)</f>
        <v>0</v>
      </c>
    </row>
    <row r="96" spans="4:6" x14ac:dyDescent="0.3">
      <c r="D96" t="s">
        <v>572</v>
      </c>
      <c r="F96">
        <f>IF(ISNUMBER(SEARCH($D$8,D96)),MAX($F$30:F95)+1,0)</f>
        <v>0</v>
      </c>
    </row>
    <row r="97" spans="4:6" x14ac:dyDescent="0.3">
      <c r="D97" t="s">
        <v>227</v>
      </c>
      <c r="F97">
        <f>IF(ISNUMBER(SEARCH($D$8,D97)),MAX($F$30:F96)+1,0)</f>
        <v>0</v>
      </c>
    </row>
    <row r="98" spans="4:6" x14ac:dyDescent="0.3">
      <c r="D98" t="s">
        <v>328</v>
      </c>
      <c r="F98">
        <f>IF(ISNUMBER(SEARCH($D$8,D98)),MAX($F$30:F97)+1,0)</f>
        <v>0</v>
      </c>
    </row>
    <row r="99" spans="4:6" x14ac:dyDescent="0.3">
      <c r="D99" t="s">
        <v>526</v>
      </c>
      <c r="F99">
        <f>IF(ISNUMBER(SEARCH($D$8,D99)),MAX($F$30:F98)+1,0)</f>
        <v>0</v>
      </c>
    </row>
    <row r="100" spans="4:6" x14ac:dyDescent="0.3">
      <c r="D100" t="s">
        <v>316</v>
      </c>
      <c r="F100">
        <f>IF(ISNUMBER(SEARCH($D$8,D100)),MAX($F$30:F99)+1,0)</f>
        <v>0</v>
      </c>
    </row>
    <row r="101" spans="4:6" x14ac:dyDescent="0.3">
      <c r="D101" t="s">
        <v>209</v>
      </c>
      <c r="F101">
        <f>IF(ISNUMBER(SEARCH($D$8,D101)),MAX($F$30:F100)+1,0)</f>
        <v>0</v>
      </c>
    </row>
    <row r="102" spans="4:6" x14ac:dyDescent="0.3">
      <c r="D102" t="s">
        <v>556</v>
      </c>
      <c r="F102">
        <f>IF(ISNUMBER(SEARCH($D$8,D102)),MAX($F$30:F101)+1,0)</f>
        <v>0</v>
      </c>
    </row>
    <row r="103" spans="4:6" x14ac:dyDescent="0.3">
      <c r="D103" t="s">
        <v>281</v>
      </c>
      <c r="F103">
        <f>IF(ISNUMBER(SEARCH($D$8,D103)),MAX($F$30:F102)+1,0)</f>
        <v>0</v>
      </c>
    </row>
    <row r="104" spans="4:6" x14ac:dyDescent="0.3">
      <c r="D104" t="s">
        <v>587</v>
      </c>
      <c r="F104">
        <f>IF(ISNUMBER(SEARCH($D$8,D104)),MAX($F$30:F103)+1,0)</f>
        <v>0</v>
      </c>
    </row>
    <row r="105" spans="4:6" x14ac:dyDescent="0.3">
      <c r="D105" t="s">
        <v>522</v>
      </c>
      <c r="F105">
        <f>IF(ISNUMBER(SEARCH($D$8,D105)),MAX($F$30:F104)+1,0)</f>
        <v>0</v>
      </c>
    </row>
    <row r="106" spans="4:6" x14ac:dyDescent="0.3">
      <c r="D106" t="s">
        <v>557</v>
      </c>
      <c r="F106">
        <f>IF(ISNUMBER(SEARCH($D$8,D106)),MAX($F$30:F105)+1,0)</f>
        <v>0</v>
      </c>
    </row>
    <row r="107" spans="4:6" x14ac:dyDescent="0.3">
      <c r="D107" t="s">
        <v>517</v>
      </c>
      <c r="F107">
        <f>IF(ISNUMBER(SEARCH($D$8,D107)),MAX($F$30:F106)+1,0)</f>
        <v>0</v>
      </c>
    </row>
    <row r="108" spans="4:6" x14ac:dyDescent="0.3">
      <c r="D108" t="s">
        <v>510</v>
      </c>
      <c r="F108">
        <f>IF(ISNUMBER(SEARCH($D$8,D108)),MAX($F$30:F107)+1,0)</f>
        <v>0</v>
      </c>
    </row>
    <row r="109" spans="4:6" x14ac:dyDescent="0.3">
      <c r="D109" t="s">
        <v>272</v>
      </c>
      <c r="F109">
        <f>IF(ISNUMBER(SEARCH($D$8,D109)),MAX($F$30:F108)+1,0)</f>
        <v>0</v>
      </c>
    </row>
    <row r="110" spans="4:6" x14ac:dyDescent="0.3">
      <c r="D110" t="s">
        <v>580</v>
      </c>
      <c r="F110">
        <f>IF(ISNUMBER(SEARCH($D$8,D110)),MAX($F$30:F109)+1,0)</f>
        <v>0</v>
      </c>
    </row>
    <row r="111" spans="4:6" x14ac:dyDescent="0.3">
      <c r="D111" t="s">
        <v>207</v>
      </c>
      <c r="F111">
        <f>IF(ISNUMBER(SEARCH($D$8,D111)),MAX($F$30:F110)+1,0)</f>
        <v>0</v>
      </c>
    </row>
    <row r="112" spans="4:6" x14ac:dyDescent="0.3">
      <c r="D112" t="s">
        <v>248</v>
      </c>
      <c r="F112">
        <f>IF(ISNUMBER(SEARCH($D$8,D112)),MAX($F$30:F111)+1,0)</f>
        <v>0</v>
      </c>
    </row>
    <row r="113" spans="4:6" x14ac:dyDescent="0.3">
      <c r="D113" t="s">
        <v>261</v>
      </c>
      <c r="F113">
        <f>IF(ISNUMBER(SEARCH($D$8,D113)),MAX($F$30:F112)+1,0)</f>
        <v>0</v>
      </c>
    </row>
    <row r="114" spans="4:6" x14ac:dyDescent="0.3">
      <c r="D114" t="s">
        <v>307</v>
      </c>
      <c r="F114">
        <f>IF(ISNUMBER(SEARCH($D$8,D114)),MAX($F$30:F113)+1,0)</f>
        <v>0</v>
      </c>
    </row>
    <row r="115" spans="4:6" x14ac:dyDescent="0.3">
      <c r="D115" t="s">
        <v>433</v>
      </c>
      <c r="F115">
        <f>IF(ISNUMBER(SEARCH($D$8,D115)),MAX($F$30:F114)+1,0)</f>
        <v>0</v>
      </c>
    </row>
    <row r="116" spans="4:6" x14ac:dyDescent="0.3">
      <c r="D116" t="s">
        <v>538</v>
      </c>
      <c r="F116">
        <f>IF(ISNUMBER(SEARCH($D$8,D116)),MAX($F$30:F115)+1,0)</f>
        <v>0</v>
      </c>
    </row>
    <row r="117" spans="4:6" x14ac:dyDescent="0.3">
      <c r="D117" t="s">
        <v>573</v>
      </c>
      <c r="F117">
        <f>IF(ISNUMBER(SEARCH($D$8,D117)),MAX($F$30:F116)+1,0)</f>
        <v>0</v>
      </c>
    </row>
    <row r="118" spans="4:6" x14ac:dyDescent="0.3">
      <c r="D118" t="s">
        <v>291</v>
      </c>
      <c r="F118">
        <f>IF(ISNUMBER(SEARCH($D$8,D118)),MAX($F$30:F117)+1,0)</f>
        <v>0</v>
      </c>
    </row>
    <row r="119" spans="4:6" x14ac:dyDescent="0.3">
      <c r="D119" t="s">
        <v>270</v>
      </c>
      <c r="F119">
        <f>IF(ISNUMBER(SEARCH($D$8,D119)),MAX($F$30:F118)+1,0)</f>
        <v>0</v>
      </c>
    </row>
    <row r="120" spans="4:6" x14ac:dyDescent="0.3">
      <c r="D120" t="s">
        <v>275</v>
      </c>
      <c r="F120">
        <f>IF(ISNUMBER(SEARCH($D$8,D120)),MAX($F$30:F119)+1,0)</f>
        <v>0</v>
      </c>
    </row>
    <row r="121" spans="4:6" x14ac:dyDescent="0.3">
      <c r="D121" t="s">
        <v>237</v>
      </c>
      <c r="F121">
        <f>IF(ISNUMBER(SEARCH($D$8,D121)),MAX($F$30:F120)+1,0)</f>
        <v>0</v>
      </c>
    </row>
    <row r="122" spans="4:6" x14ac:dyDescent="0.3">
      <c r="D122" t="s">
        <v>241</v>
      </c>
      <c r="F122">
        <f>IF(ISNUMBER(SEARCH($D$8,D122)),MAX($F$30:F121)+1,0)</f>
        <v>0</v>
      </c>
    </row>
    <row r="123" spans="4:6" x14ac:dyDescent="0.3">
      <c r="D123" t="s">
        <v>458</v>
      </c>
      <c r="F123">
        <f>IF(ISNUMBER(SEARCH($D$8,D123)),MAX($F$30:F122)+1,0)</f>
        <v>0</v>
      </c>
    </row>
    <row r="124" spans="4:6" x14ac:dyDescent="0.3">
      <c r="D124" t="s">
        <v>533</v>
      </c>
      <c r="F124">
        <f>IF(ISNUMBER(SEARCH($D$8,D124)),MAX($F$30:F123)+1,0)</f>
        <v>0</v>
      </c>
    </row>
    <row r="125" spans="4:6" x14ac:dyDescent="0.3">
      <c r="D125" t="s">
        <v>569</v>
      </c>
      <c r="F125">
        <f>IF(ISNUMBER(SEARCH($D$8,D125)),MAX($F$30:F124)+1,0)</f>
        <v>0</v>
      </c>
    </row>
    <row r="126" spans="4:6" x14ac:dyDescent="0.3">
      <c r="D126" t="s">
        <v>363</v>
      </c>
      <c r="F126">
        <f>IF(ISNUMBER(SEARCH($D$8,D126)),MAX($F$30:F125)+1,0)</f>
        <v>0</v>
      </c>
    </row>
    <row r="127" spans="4:6" x14ac:dyDescent="0.3">
      <c r="D127" t="s">
        <v>278</v>
      </c>
      <c r="F127">
        <f>IF(ISNUMBER(SEARCH($D$8,D127)),MAX($F$30:F126)+1,0)</f>
        <v>0</v>
      </c>
    </row>
    <row r="128" spans="4:6" x14ac:dyDescent="0.3">
      <c r="D128" t="s">
        <v>304</v>
      </c>
      <c r="F128">
        <f>IF(ISNUMBER(SEARCH($D$8,D128)),MAX($F$30:F127)+1,0)</f>
        <v>0</v>
      </c>
    </row>
    <row r="129" spans="4:6" x14ac:dyDescent="0.3">
      <c r="D129" t="s">
        <v>256</v>
      </c>
      <c r="F129">
        <f>IF(ISNUMBER(SEARCH($D$8,D129)),MAX($F$30:F128)+1,0)</f>
        <v>0</v>
      </c>
    </row>
    <row r="130" spans="4:6" x14ac:dyDescent="0.3">
      <c r="D130" t="s">
        <v>327</v>
      </c>
      <c r="F130">
        <f>IF(ISNUMBER(SEARCH($D$8,D130)),MAX($F$30:F129)+1,0)</f>
        <v>0</v>
      </c>
    </row>
    <row r="131" spans="4:6" x14ac:dyDescent="0.3">
      <c r="D131" t="s">
        <v>343</v>
      </c>
      <c r="F131">
        <f>IF(ISNUMBER(SEARCH($D$8,D131)),MAX($F$30:F130)+1,0)</f>
        <v>0</v>
      </c>
    </row>
    <row r="132" spans="4:6" x14ac:dyDescent="0.3">
      <c r="D132" t="s">
        <v>530</v>
      </c>
      <c r="F132">
        <f>IF(ISNUMBER(SEARCH($D$8,D132)),MAX($F$30:F131)+1,0)</f>
        <v>0</v>
      </c>
    </row>
    <row r="133" spans="4:6" x14ac:dyDescent="0.3">
      <c r="D133" t="s">
        <v>579</v>
      </c>
      <c r="F133">
        <f>IF(ISNUMBER(SEARCH($D$8,D133)),MAX($F$30:F132)+1,0)</f>
        <v>0</v>
      </c>
    </row>
    <row r="134" spans="4:6" x14ac:dyDescent="0.3">
      <c r="D134" t="s">
        <v>338</v>
      </c>
      <c r="F134">
        <f>IF(ISNUMBER(SEARCH($D$8,D134)),MAX($F$30:F133)+1,0)</f>
        <v>0</v>
      </c>
    </row>
    <row r="135" spans="4:6" x14ac:dyDescent="0.3">
      <c r="D135" t="s">
        <v>314</v>
      </c>
      <c r="F135">
        <f>IF(ISNUMBER(SEARCH($D$8,D135)),MAX($F$30:F134)+1,0)</f>
        <v>0</v>
      </c>
    </row>
    <row r="136" spans="4:6" x14ac:dyDescent="0.3">
      <c r="D136" t="s">
        <v>588</v>
      </c>
      <c r="F136">
        <f>IF(ISNUMBER(SEARCH($D$8,D136)),MAX($F$30:F135)+1,0)</f>
        <v>0</v>
      </c>
    </row>
    <row r="137" spans="4:6" x14ac:dyDescent="0.3">
      <c r="D137" t="s">
        <v>520</v>
      </c>
      <c r="F137">
        <f>IF(ISNUMBER(SEARCH($D$8,D137)),MAX($F$30:F136)+1,0)</f>
        <v>0</v>
      </c>
    </row>
    <row r="138" spans="4:6" x14ac:dyDescent="0.3">
      <c r="D138" t="s">
        <v>315</v>
      </c>
      <c r="F138">
        <f>IF(ISNUMBER(SEARCH($D$8,D138)),MAX($F$30:F137)+1,0)</f>
        <v>0</v>
      </c>
    </row>
    <row r="139" spans="4:6" x14ac:dyDescent="0.3">
      <c r="D139" t="s">
        <v>525</v>
      </c>
      <c r="F139">
        <f>IF(ISNUMBER(SEARCH($D$8,D139)),MAX($F$30:F138)+1,0)</f>
        <v>0</v>
      </c>
    </row>
    <row r="140" spans="4:6" x14ac:dyDescent="0.3">
      <c r="D140" t="s">
        <v>558</v>
      </c>
      <c r="F140">
        <f>IF(ISNUMBER(SEARCH($D$8,D140)),MAX($F$30:F139)+1,0)</f>
        <v>0</v>
      </c>
    </row>
    <row r="141" spans="4:6" x14ac:dyDescent="0.3">
      <c r="D141" t="s">
        <v>452</v>
      </c>
      <c r="F141">
        <f>IF(ISNUMBER(SEARCH($D$8,D141)),MAX($F$30:F140)+1,0)</f>
        <v>0</v>
      </c>
    </row>
    <row r="142" spans="4:6" x14ac:dyDescent="0.3">
      <c r="D142" t="s">
        <v>342</v>
      </c>
      <c r="F142">
        <f>IF(ISNUMBER(SEARCH($D$8,D142)),MAX($F$30:F141)+1,0)</f>
        <v>0</v>
      </c>
    </row>
    <row r="143" spans="4:6" x14ac:dyDescent="0.3">
      <c r="D143" t="s">
        <v>296</v>
      </c>
      <c r="F143">
        <f>IF(ISNUMBER(SEARCH($D$8,D143)),MAX($F$30:F142)+1,0)</f>
        <v>0</v>
      </c>
    </row>
    <row r="144" spans="4:6" x14ac:dyDescent="0.3">
      <c r="D144" t="s">
        <v>352</v>
      </c>
      <c r="F144">
        <f>IF(ISNUMBER(SEARCH($D$8,D144)),MAX($F$30:F143)+1,0)</f>
        <v>0</v>
      </c>
    </row>
    <row r="145" spans="4:6" x14ac:dyDescent="0.3">
      <c r="D145" t="s">
        <v>258</v>
      </c>
      <c r="F145">
        <f>IF(ISNUMBER(SEARCH($D$8,D145)),MAX($F$30:F144)+1,0)</f>
        <v>0</v>
      </c>
    </row>
    <row r="146" spans="4:6" x14ac:dyDescent="0.3">
      <c r="D146" t="s">
        <v>448</v>
      </c>
      <c r="F146">
        <f>IF(ISNUMBER(SEARCH($D$8,D146)),MAX($F$30:F145)+1,0)</f>
        <v>0</v>
      </c>
    </row>
    <row r="147" spans="4:6" x14ac:dyDescent="0.3">
      <c r="D147" t="s">
        <v>594</v>
      </c>
      <c r="F147">
        <f>IF(ISNUMBER(SEARCH($D$8,D147)),MAX($F$30:F146)+1,0)</f>
        <v>0</v>
      </c>
    </row>
    <row r="148" spans="4:6" x14ac:dyDescent="0.3">
      <c r="D148" t="s">
        <v>507</v>
      </c>
      <c r="F148">
        <f>IF(ISNUMBER(SEARCH($D$8,D148)),MAX($F$30:F147)+1,0)</f>
        <v>0</v>
      </c>
    </row>
    <row r="149" spans="4:6" x14ac:dyDescent="0.3">
      <c r="D149" t="s">
        <v>523</v>
      </c>
      <c r="F149">
        <f>IF(ISNUMBER(SEARCH($D$8,D149)),MAX($F$30:F148)+1,0)</f>
        <v>0</v>
      </c>
    </row>
    <row r="150" spans="4:6" x14ac:dyDescent="0.3">
      <c r="D150" t="s">
        <v>309</v>
      </c>
      <c r="F150">
        <f>IF(ISNUMBER(SEARCH($D$8,D150)),MAX($F$30:F149)+1,0)</f>
        <v>0</v>
      </c>
    </row>
    <row r="151" spans="4:6" x14ac:dyDescent="0.3">
      <c r="D151" t="s">
        <v>212</v>
      </c>
      <c r="F151">
        <f>IF(ISNUMBER(SEARCH($D$8,D151)),MAX($F$30:F150)+1,0)</f>
        <v>0</v>
      </c>
    </row>
    <row r="152" spans="4:6" x14ac:dyDescent="0.3">
      <c r="D152" t="s">
        <v>540</v>
      </c>
      <c r="F152">
        <f>IF(ISNUMBER(SEARCH($D$8,D152)),MAX($F$30:F151)+1,0)</f>
        <v>0</v>
      </c>
    </row>
    <row r="153" spans="4:6" x14ac:dyDescent="0.3">
      <c r="D153" t="s">
        <v>333</v>
      </c>
      <c r="F153">
        <f>IF(ISNUMBER(SEARCH($D$8,D153)),MAX($F$30:F152)+1,0)</f>
        <v>0</v>
      </c>
    </row>
    <row r="154" spans="4:6" x14ac:dyDescent="0.3">
      <c r="D154" t="s">
        <v>235</v>
      </c>
      <c r="F154">
        <f>IF(ISNUMBER(SEARCH($D$8,D154)),MAX($F$30:F153)+1,0)</f>
        <v>0</v>
      </c>
    </row>
    <row r="155" spans="4:6" x14ac:dyDescent="0.3">
      <c r="D155" t="s">
        <v>576</v>
      </c>
      <c r="F155">
        <f>IF(ISNUMBER(SEARCH($D$8,D155)),MAX($F$30:F154)+1,0)</f>
        <v>0</v>
      </c>
    </row>
    <row r="156" spans="4:6" x14ac:dyDescent="0.3">
      <c r="D156" t="s">
        <v>503</v>
      </c>
      <c r="F156">
        <f>IF(ISNUMBER(SEARCH($D$8,D156)),MAX($F$30:F155)+1,0)</f>
        <v>0</v>
      </c>
    </row>
    <row r="157" spans="4:6" x14ac:dyDescent="0.3">
      <c r="D157" t="s">
        <v>431</v>
      </c>
      <c r="F157">
        <f>IF(ISNUMBER(SEARCH($D$8,D157)),MAX($F$30:F156)+1,0)</f>
        <v>0</v>
      </c>
    </row>
    <row r="158" spans="4:6" x14ac:dyDescent="0.3">
      <c r="D158" t="s">
        <v>210</v>
      </c>
      <c r="F158">
        <f>IF(ISNUMBER(SEARCH($D$8,D158)),MAX($F$30:F157)+1,0)</f>
        <v>0</v>
      </c>
    </row>
    <row r="159" spans="4:6" x14ac:dyDescent="0.3">
      <c r="D159" t="s">
        <v>536</v>
      </c>
      <c r="F159">
        <f>IF(ISNUMBER(SEARCH($D$8,D159)),MAX($F$30:F158)+1,0)</f>
        <v>0</v>
      </c>
    </row>
    <row r="160" spans="4:6" x14ac:dyDescent="0.3">
      <c r="D160" t="s">
        <v>301</v>
      </c>
      <c r="F160">
        <f>IF(ISNUMBER(SEARCH($D$8,D160)),MAX($F$30:F159)+1,0)</f>
        <v>0</v>
      </c>
    </row>
    <row r="161" spans="4:6" x14ac:dyDescent="0.3">
      <c r="D161" t="s">
        <v>592</v>
      </c>
      <c r="F161">
        <f>IF(ISNUMBER(SEARCH($D$8,D161)),MAX($F$30:F160)+1,0)</f>
        <v>0</v>
      </c>
    </row>
    <row r="162" spans="4:6" x14ac:dyDescent="0.3">
      <c r="D162" t="s">
        <v>308</v>
      </c>
      <c r="F162">
        <f>IF(ISNUMBER(SEARCH($D$8,D162)),MAX($F$30:F161)+1,0)</f>
        <v>0</v>
      </c>
    </row>
    <row r="163" spans="4:6" x14ac:dyDescent="0.3">
      <c r="D163" t="s">
        <v>563</v>
      </c>
      <c r="F163">
        <f>IF(ISNUMBER(SEARCH($D$8,D163)),MAX($F$30:F162)+1,0)</f>
        <v>0</v>
      </c>
    </row>
    <row r="164" spans="4:6" x14ac:dyDescent="0.3">
      <c r="D164" t="s">
        <v>584</v>
      </c>
      <c r="F164">
        <f>IF(ISNUMBER(SEARCH($D$8,D164)),MAX($F$30:F163)+1,0)</f>
        <v>0</v>
      </c>
    </row>
    <row r="165" spans="4:6" x14ac:dyDescent="0.3">
      <c r="D165" t="s">
        <v>334</v>
      </c>
      <c r="F165">
        <f>IF(ISNUMBER(SEARCH($D$8,D165)),MAX($F$30:F164)+1,0)</f>
        <v>0</v>
      </c>
    </row>
    <row r="166" spans="4:6" x14ac:dyDescent="0.3">
      <c r="D166" t="s">
        <v>229</v>
      </c>
      <c r="F166">
        <f>IF(ISNUMBER(SEARCH($D$8,D166)),MAX($F$30:F165)+1,0)</f>
        <v>0</v>
      </c>
    </row>
    <row r="167" spans="4:6" x14ac:dyDescent="0.3">
      <c r="D167" t="s">
        <v>284</v>
      </c>
      <c r="F167">
        <f>IF(ISNUMBER(SEARCH($D$8,D167)),MAX($F$30:F166)+1,0)</f>
        <v>0</v>
      </c>
    </row>
    <row r="168" spans="4:6" x14ac:dyDescent="0.3">
      <c r="D168" t="s">
        <v>325</v>
      </c>
      <c r="F168">
        <f>IF(ISNUMBER(SEARCH($D$8,D168)),MAX($F$30:F167)+1,0)</f>
        <v>0</v>
      </c>
    </row>
    <row r="169" spans="4:6" x14ac:dyDescent="0.3">
      <c r="D169" t="s">
        <v>313</v>
      </c>
      <c r="F169">
        <f>IF(ISNUMBER(SEARCH($D$8,D169)),MAX($F$30:F168)+1,0)</f>
        <v>0</v>
      </c>
    </row>
    <row r="170" spans="4:6" x14ac:dyDescent="0.3">
      <c r="D170" t="s">
        <v>208</v>
      </c>
      <c r="F170">
        <f>IF(ISNUMBER(SEARCH($D$8,D170)),MAX($F$30:F169)+1,0)</f>
        <v>0</v>
      </c>
    </row>
    <row r="171" spans="4:6" x14ac:dyDescent="0.3">
      <c r="D171" t="s">
        <v>457</v>
      </c>
      <c r="F171">
        <f>IF(ISNUMBER(SEARCH($D$8,D171)),MAX($F$30:F170)+1,0)</f>
        <v>0</v>
      </c>
    </row>
    <row r="172" spans="4:6" x14ac:dyDescent="0.3">
      <c r="D172" t="s">
        <v>214</v>
      </c>
      <c r="F172">
        <f>IF(ISNUMBER(SEARCH($D$8,D172)),MAX($F$30:F171)+1,0)</f>
        <v>0</v>
      </c>
    </row>
    <row r="173" spans="4:6" x14ac:dyDescent="0.3">
      <c r="D173" t="s">
        <v>344</v>
      </c>
      <c r="F173">
        <f>IF(ISNUMBER(SEARCH($D$8,D173)),MAX($F$30:F172)+1,0)</f>
        <v>0</v>
      </c>
    </row>
    <row r="174" spans="4:6" x14ac:dyDescent="0.3">
      <c r="D174" t="s">
        <v>581</v>
      </c>
      <c r="F174">
        <f>IF(ISNUMBER(SEARCH($D$8,D174)),MAX($F$30:F173)+1,0)</f>
        <v>0</v>
      </c>
    </row>
    <row r="175" spans="4:6" x14ac:dyDescent="0.3">
      <c r="D175" t="s">
        <v>283</v>
      </c>
      <c r="F175">
        <f>IF(ISNUMBER(SEARCH($D$8,D175)),MAX($F$30:F174)+1,0)</f>
        <v>0</v>
      </c>
    </row>
    <row r="176" spans="4:6" x14ac:dyDescent="0.3">
      <c r="D176" t="s">
        <v>349</v>
      </c>
      <c r="F176">
        <f>IF(ISNUMBER(SEARCH($D$8,D176)),MAX($F$30:F175)+1,0)</f>
        <v>0</v>
      </c>
    </row>
    <row r="177" spans="4:6" x14ac:dyDescent="0.3">
      <c r="D177" t="s">
        <v>469</v>
      </c>
      <c r="F177">
        <f>IF(ISNUMBER(SEARCH($D$8,D177)),MAX($F$30:F176)+1,0)</f>
        <v>0</v>
      </c>
    </row>
    <row r="178" spans="4:6" x14ac:dyDescent="0.3">
      <c r="D178" t="s">
        <v>359</v>
      </c>
      <c r="F178">
        <f>IF(ISNUMBER(SEARCH($D$8,D178)),MAX($F$30:F177)+1,0)</f>
        <v>0</v>
      </c>
    </row>
    <row r="179" spans="4:6" x14ac:dyDescent="0.3">
      <c r="D179" t="s">
        <v>578</v>
      </c>
      <c r="F179">
        <f>IF(ISNUMBER(SEARCH($D$8,D179)),MAX($F$30:F178)+1,0)</f>
        <v>0</v>
      </c>
    </row>
    <row r="180" spans="4:6" x14ac:dyDescent="0.3">
      <c r="D180" t="s">
        <v>230</v>
      </c>
      <c r="F180">
        <f>IF(ISNUMBER(SEARCH($D$8,D180)),MAX($F$30:F179)+1,0)</f>
        <v>0</v>
      </c>
    </row>
    <row r="181" spans="4:6" x14ac:dyDescent="0.3">
      <c r="D181" t="s">
        <v>440</v>
      </c>
      <c r="F181">
        <f>IF(ISNUMBER(SEARCH($D$8,D181)),MAX($F$30:F180)+1,0)</f>
        <v>0</v>
      </c>
    </row>
    <row r="182" spans="4:6" x14ac:dyDescent="0.3">
      <c r="D182" t="s">
        <v>305</v>
      </c>
      <c r="F182">
        <f>IF(ISNUMBER(SEARCH($D$8,D182)),MAX($F$30:F181)+1,0)</f>
        <v>0</v>
      </c>
    </row>
    <row r="183" spans="4:6" x14ac:dyDescent="0.3">
      <c r="D183" t="s">
        <v>287</v>
      </c>
      <c r="F183">
        <f>IF(ISNUMBER(SEARCH($D$8,D183)),MAX($F$30:F182)+1,0)</f>
        <v>0</v>
      </c>
    </row>
    <row r="184" spans="4:6" x14ac:dyDescent="0.3">
      <c r="D184" t="s">
        <v>545</v>
      </c>
      <c r="F184">
        <f>IF(ISNUMBER(SEARCH($D$8,D184)),MAX($F$30:F183)+1,0)</f>
        <v>0</v>
      </c>
    </row>
    <row r="185" spans="4:6" x14ac:dyDescent="0.3">
      <c r="D185" t="s">
        <v>293</v>
      </c>
      <c r="F185">
        <f>IF(ISNUMBER(SEARCH($D$8,D185)),MAX($F$30:F184)+1,0)</f>
        <v>0</v>
      </c>
    </row>
    <row r="186" spans="4:6" x14ac:dyDescent="0.3">
      <c r="D186" t="s">
        <v>223</v>
      </c>
      <c r="F186">
        <f>IF(ISNUMBER(SEARCH($D$8,D186)),MAX($F$30:F185)+1,0)</f>
        <v>0</v>
      </c>
    </row>
    <row r="187" spans="4:6" x14ac:dyDescent="0.3">
      <c r="D187" t="s">
        <v>437</v>
      </c>
      <c r="F187">
        <f>IF(ISNUMBER(SEARCH($D$8,D187)),MAX($F$30:F186)+1,0)</f>
        <v>0</v>
      </c>
    </row>
    <row r="188" spans="4:6" x14ac:dyDescent="0.3">
      <c r="D188" t="s">
        <v>570</v>
      </c>
      <c r="F188">
        <f>IF(ISNUMBER(SEARCH($D$8,D188)),MAX($F$30:F187)+1,0)</f>
        <v>0</v>
      </c>
    </row>
    <row r="189" spans="4:6" x14ac:dyDescent="0.3">
      <c r="D189" t="s">
        <v>225</v>
      </c>
      <c r="F189">
        <f>IF(ISNUMBER(SEARCH($D$8,D189)),MAX($F$30:F188)+1,0)</f>
        <v>0</v>
      </c>
    </row>
    <row r="190" spans="4:6" x14ac:dyDescent="0.3">
      <c r="D190" t="s">
        <v>290</v>
      </c>
      <c r="F190">
        <f>IF(ISNUMBER(SEARCH($D$8,D190)),MAX($F$30:F189)+1,0)</f>
        <v>0</v>
      </c>
    </row>
    <row r="191" spans="4:6" x14ac:dyDescent="0.3">
      <c r="D191" t="s">
        <v>568</v>
      </c>
      <c r="F191">
        <f>IF(ISNUMBER(SEARCH($D$8,D191)),MAX($F$30:F190)+1,0)</f>
        <v>0</v>
      </c>
    </row>
    <row r="192" spans="4:6" x14ac:dyDescent="0.3">
      <c r="D192" t="s">
        <v>548</v>
      </c>
      <c r="F192">
        <f>IF(ISNUMBER(SEARCH($D$8,D192)),MAX($F$30:F191)+1,0)</f>
        <v>0</v>
      </c>
    </row>
    <row r="193" spans="4:6" x14ac:dyDescent="0.3">
      <c r="D193" t="s">
        <v>436</v>
      </c>
      <c r="F193">
        <f>IF(ISNUMBER(SEARCH($D$8,D193)),MAX($F$30:F192)+1,0)</f>
        <v>0</v>
      </c>
    </row>
    <row r="194" spans="4:6" x14ac:dyDescent="0.3">
      <c r="D194" t="s">
        <v>259</v>
      </c>
      <c r="F194">
        <f>IF(ISNUMBER(SEARCH($D$8,D194)),MAX($F$30:F193)+1,0)</f>
        <v>0</v>
      </c>
    </row>
    <row r="195" spans="4:6" x14ac:dyDescent="0.3">
      <c r="D195" t="s">
        <v>295</v>
      </c>
      <c r="F195">
        <f>IF(ISNUMBER(SEARCH($D$8,D195)),MAX($F$30:F194)+1,0)</f>
        <v>0</v>
      </c>
    </row>
    <row r="196" spans="4:6" x14ac:dyDescent="0.3">
      <c r="D196" t="s">
        <v>263</v>
      </c>
      <c r="F196">
        <f>IF(ISNUMBER(SEARCH($D$8,D196)),MAX($F$30:F195)+1,0)</f>
        <v>0</v>
      </c>
    </row>
    <row r="197" spans="4:6" x14ac:dyDescent="0.3">
      <c r="D197" t="s">
        <v>464</v>
      </c>
      <c r="F197">
        <f>IF(ISNUMBER(SEARCH($D$8,D197)),MAX($F$30:F196)+1,0)</f>
        <v>0</v>
      </c>
    </row>
    <row r="198" spans="4:6" x14ac:dyDescent="0.3">
      <c r="D198" t="s">
        <v>318</v>
      </c>
      <c r="F198">
        <f>IF(ISNUMBER(SEARCH($D$8,D198)),MAX($F$30:F197)+1,0)</f>
        <v>0</v>
      </c>
    </row>
    <row r="199" spans="4:6" x14ac:dyDescent="0.3">
      <c r="D199" t="s">
        <v>472</v>
      </c>
      <c r="F199">
        <f>IF(ISNUMBER(SEARCH($D$8,D199)),MAX($F$30:F198)+1,0)</f>
        <v>0</v>
      </c>
    </row>
    <row r="200" spans="4:6" x14ac:dyDescent="0.3">
      <c r="D200" t="s">
        <v>215</v>
      </c>
      <c r="F200">
        <f>IF(ISNUMBER(SEARCH($D$8,D200)),MAX($F$30:F199)+1,0)</f>
        <v>0</v>
      </c>
    </row>
    <row r="201" spans="4:6" x14ac:dyDescent="0.3">
      <c r="D201" t="s">
        <v>438</v>
      </c>
      <c r="F201">
        <f>IF(ISNUMBER(SEARCH($D$8,D201)),MAX($F$30:F200)+1,0)</f>
        <v>0</v>
      </c>
    </row>
    <row r="202" spans="4:6" x14ac:dyDescent="0.3">
      <c r="D202" t="s">
        <v>238</v>
      </c>
      <c r="F202">
        <f>IF(ISNUMBER(SEARCH($D$8,D202)),MAX($F$30:F201)+1,0)</f>
        <v>0</v>
      </c>
    </row>
    <row r="203" spans="4:6" x14ac:dyDescent="0.3">
      <c r="D203" t="s">
        <v>356</v>
      </c>
      <c r="F203">
        <f>IF(ISNUMBER(SEARCH($D$8,D203)),MAX($F$30:F202)+1,0)</f>
        <v>0</v>
      </c>
    </row>
    <row r="204" spans="4:6" x14ac:dyDescent="0.3">
      <c r="D204" t="s">
        <v>265</v>
      </c>
      <c r="F204">
        <f>IF(ISNUMBER(SEARCH($D$8,D204)),MAX($F$30:F203)+1,0)</f>
        <v>0</v>
      </c>
    </row>
    <row r="205" spans="4:6" x14ac:dyDescent="0.3">
      <c r="D205" t="s">
        <v>355</v>
      </c>
      <c r="F205">
        <f>IF(ISNUMBER(SEARCH($D$8,D205)),MAX($F$30:F204)+1,0)</f>
        <v>0</v>
      </c>
    </row>
    <row r="206" spans="4:6" x14ac:dyDescent="0.3">
      <c r="D206" t="s">
        <v>242</v>
      </c>
      <c r="F206">
        <f>IF(ISNUMBER(SEARCH($D$8,D206)),MAX($F$30:F205)+1,0)</f>
        <v>0</v>
      </c>
    </row>
    <row r="207" spans="4:6" x14ac:dyDescent="0.3">
      <c r="D207" t="s">
        <v>528</v>
      </c>
      <c r="F207">
        <f>IF(ISNUMBER(SEARCH($D$8,D207)),MAX($F$30:F206)+1,0)</f>
        <v>0</v>
      </c>
    </row>
    <row r="208" spans="4:6" x14ac:dyDescent="0.3">
      <c r="D208" t="s">
        <v>560</v>
      </c>
      <c r="F208">
        <f>IF(ISNUMBER(SEARCH($D$8,D208)),MAX($F$30:F207)+1,0)</f>
        <v>0</v>
      </c>
    </row>
    <row r="209" spans="4:6" x14ac:dyDescent="0.3">
      <c r="D209" t="s">
        <v>277</v>
      </c>
      <c r="F209">
        <f>IF(ISNUMBER(SEARCH($D$8,D209)),MAX($F$30:F208)+1,0)</f>
        <v>0</v>
      </c>
    </row>
    <row r="210" spans="4:6" x14ac:dyDescent="0.3">
      <c r="D210" t="s">
        <v>282</v>
      </c>
      <c r="F210">
        <f>IF(ISNUMBER(SEARCH($D$8,D210)),MAX($F$30:F209)+1,0)</f>
        <v>0</v>
      </c>
    </row>
    <row r="211" spans="4:6" x14ac:dyDescent="0.3">
      <c r="D211" t="s">
        <v>544</v>
      </c>
      <c r="F211">
        <f>IF(ISNUMBER(SEARCH($D$8,D211)),MAX($F$30:F210)+1,0)</f>
        <v>0</v>
      </c>
    </row>
    <row r="212" spans="4:6" x14ac:dyDescent="0.3">
      <c r="D212" t="s">
        <v>205</v>
      </c>
      <c r="F212">
        <f>IF(ISNUMBER(SEARCH($D$8,D212)),MAX($F$30:F211)+1,0)</f>
        <v>0</v>
      </c>
    </row>
    <row r="213" spans="4:6" x14ac:dyDescent="0.3">
      <c r="D213" t="s">
        <v>216</v>
      </c>
      <c r="F213">
        <f>IF(ISNUMBER(SEARCH($D$8,D213)),MAX($F$30:F212)+1,0)</f>
        <v>0</v>
      </c>
    </row>
    <row r="214" spans="4:6" x14ac:dyDescent="0.3">
      <c r="D214" t="s">
        <v>442</v>
      </c>
      <c r="F214">
        <f>IF(ISNUMBER(SEARCH($D$8,D214)),MAX($F$30:F213)+1,0)</f>
        <v>0</v>
      </c>
    </row>
    <row r="215" spans="4:6" x14ac:dyDescent="0.3">
      <c r="D215" t="s">
        <v>233</v>
      </c>
      <c r="F215">
        <f>IF(ISNUMBER(SEARCH($D$8,D215)),MAX($F$30:F214)+1,0)</f>
        <v>0</v>
      </c>
    </row>
    <row r="216" spans="4:6" x14ac:dyDescent="0.3">
      <c r="D216" t="s">
        <v>217</v>
      </c>
      <c r="F216">
        <f>IF(ISNUMBER(SEARCH($D$8,D216)),MAX($F$30:F215)+1,0)</f>
        <v>0</v>
      </c>
    </row>
    <row r="217" spans="4:6" x14ac:dyDescent="0.3">
      <c r="D217" t="s">
        <v>245</v>
      </c>
      <c r="F217">
        <f>IF(ISNUMBER(SEARCH($D$8,D217)),MAX($F$30:F216)+1,0)</f>
        <v>0</v>
      </c>
    </row>
    <row r="218" spans="4:6" x14ac:dyDescent="0.3">
      <c r="D218" t="s">
        <v>211</v>
      </c>
      <c r="F218">
        <f>IF(ISNUMBER(SEARCH($D$8,D218)),MAX($F$30:F217)+1,0)</f>
        <v>0</v>
      </c>
    </row>
    <row r="219" spans="4:6" x14ac:dyDescent="0.3">
      <c r="D219" t="s">
        <v>300</v>
      </c>
      <c r="F219">
        <f>IF(ISNUMBER(SEARCH($D$8,D219)),MAX($F$30:F218)+1,0)</f>
        <v>0</v>
      </c>
    </row>
    <row r="220" spans="4:6" x14ac:dyDescent="0.3">
      <c r="D220" t="s">
        <v>535</v>
      </c>
      <c r="F220">
        <f>IF(ISNUMBER(SEARCH($D$8,D220)),MAX($F$30:F219)+1,0)</f>
        <v>0</v>
      </c>
    </row>
    <row r="221" spans="4:6" x14ac:dyDescent="0.3">
      <c r="D221" t="s">
        <v>266</v>
      </c>
      <c r="F221">
        <f>IF(ISNUMBER(SEARCH($D$8,D221)),MAX($F$30:F220)+1,0)</f>
        <v>0</v>
      </c>
    </row>
    <row r="222" spans="4:6" x14ac:dyDescent="0.3">
      <c r="D222" t="s">
        <v>206</v>
      </c>
      <c r="F222">
        <f>IF(ISNUMBER(SEARCH($D$8,D222)),MAX($F$30:F221)+1,0)</f>
        <v>0</v>
      </c>
    </row>
    <row r="223" spans="4:6" x14ac:dyDescent="0.3">
      <c r="D223" t="s">
        <v>564</v>
      </c>
      <c r="F223">
        <f>IF(ISNUMBER(SEARCH($D$8,D223)),MAX($F$30:F222)+1,0)</f>
        <v>0</v>
      </c>
    </row>
    <row r="224" spans="4:6" x14ac:dyDescent="0.3">
      <c r="D224" t="s">
        <v>264</v>
      </c>
      <c r="F224">
        <f>IF(ISNUMBER(SEARCH($D$8,D224)),MAX($F$30:F223)+1,0)</f>
        <v>0</v>
      </c>
    </row>
    <row r="225" spans="4:6" x14ac:dyDescent="0.3">
      <c r="D225" t="s">
        <v>506</v>
      </c>
      <c r="F225">
        <f>IF(ISNUMBER(SEARCH($D$8,D225)),MAX($F$30:F224)+1,0)</f>
        <v>0</v>
      </c>
    </row>
    <row r="226" spans="4:6" x14ac:dyDescent="0.3">
      <c r="D226" t="s">
        <v>219</v>
      </c>
      <c r="F226">
        <f>IF(ISNUMBER(SEARCH($D$8,D226)),MAX($F$30:F225)+1,0)</f>
        <v>0</v>
      </c>
    </row>
    <row r="227" spans="4:6" x14ac:dyDescent="0.3">
      <c r="D227" t="s">
        <v>267</v>
      </c>
      <c r="F227">
        <f>IF(ISNUMBER(SEARCH($D$8,D227)),MAX($F$30:F226)+1,0)</f>
        <v>0</v>
      </c>
    </row>
    <row r="228" spans="4:6" x14ac:dyDescent="0.3">
      <c r="D228" t="s">
        <v>547</v>
      </c>
      <c r="F228">
        <f>IF(ISNUMBER(SEARCH($D$8,D228)),MAX($F$30:F227)+1,0)</f>
        <v>0</v>
      </c>
    </row>
    <row r="229" spans="4:6" x14ac:dyDescent="0.3">
      <c r="D229" t="s">
        <v>515</v>
      </c>
      <c r="F229">
        <f>IF(ISNUMBER(SEARCH($D$8,D229)),MAX($F$30:F228)+1,0)</f>
        <v>0</v>
      </c>
    </row>
    <row r="230" spans="4:6" x14ac:dyDescent="0.3">
      <c r="D230" t="s">
        <v>336</v>
      </c>
      <c r="F230">
        <f>IF(ISNUMBER(SEARCH($D$8,D230)),MAX($F$30:F229)+1,0)</f>
        <v>0</v>
      </c>
    </row>
    <row r="231" spans="4:6" x14ac:dyDescent="0.3">
      <c r="D231" t="s">
        <v>598</v>
      </c>
      <c r="F231">
        <f>IF(ISNUMBER(SEARCH($D$8,D231)),MAX($F$30:F230)+1,0)</f>
        <v>0</v>
      </c>
    </row>
    <row r="232" spans="4:6" x14ac:dyDescent="0.3">
      <c r="D232" t="s">
        <v>285</v>
      </c>
      <c r="F232">
        <f>IF(ISNUMBER(SEARCH($D$8,D232)),MAX($F$30:F231)+1,0)</f>
        <v>0</v>
      </c>
    </row>
    <row r="233" spans="4:6" x14ac:dyDescent="0.3">
      <c r="D233" t="s">
        <v>466</v>
      </c>
      <c r="F233">
        <f>IF(ISNUMBER(SEARCH($D$8,D233)),MAX($F$30:F232)+1,0)</f>
        <v>0</v>
      </c>
    </row>
    <row r="234" spans="4:6" x14ac:dyDescent="0.3">
      <c r="D234" t="s">
        <v>234</v>
      </c>
      <c r="F234">
        <f>IF(ISNUMBER(SEARCH($D$8,D234)),MAX($F$30:F233)+1,0)</f>
        <v>0</v>
      </c>
    </row>
    <row r="235" spans="4:6" x14ac:dyDescent="0.3">
      <c r="D235" t="s">
        <v>566</v>
      </c>
      <c r="F235">
        <f>IF(ISNUMBER(SEARCH($D$8,D235)),MAX($F$30:F234)+1,0)</f>
        <v>0</v>
      </c>
    </row>
    <row r="236" spans="4:6" x14ac:dyDescent="0.3">
      <c r="D236" t="s">
        <v>427</v>
      </c>
      <c r="F236">
        <f>IF(ISNUMBER(SEARCH($D$8,D236)),MAX($F$30:F235)+1,0)</f>
        <v>0</v>
      </c>
    </row>
    <row r="237" spans="4:6" x14ac:dyDescent="0.3">
      <c r="D237" t="s">
        <v>364</v>
      </c>
      <c r="F237">
        <f>IF(ISNUMBER(SEARCH($D$8,D237)),MAX($F$30:F236)+1,0)</f>
        <v>0</v>
      </c>
    </row>
    <row r="238" spans="4:6" x14ac:dyDescent="0.3">
      <c r="D238" t="s">
        <v>539</v>
      </c>
      <c r="F238">
        <f>IF(ISNUMBER(SEARCH($D$8,D238)),MAX($F$30:F237)+1,0)</f>
        <v>0</v>
      </c>
    </row>
    <row r="239" spans="4:6" x14ac:dyDescent="0.3">
      <c r="D239" t="s">
        <v>508</v>
      </c>
      <c r="F239">
        <f>IF(ISNUMBER(SEARCH($D$8,D239)),MAX($F$30:F238)+1,0)</f>
        <v>0</v>
      </c>
    </row>
    <row r="240" spans="4:6" x14ac:dyDescent="0.3">
      <c r="D240" t="s">
        <v>467</v>
      </c>
      <c r="F240">
        <f>IF(ISNUMBER(SEARCH($D$8,D240)),MAX($F$30:F239)+1,0)</f>
        <v>0</v>
      </c>
    </row>
    <row r="241" spans="4:6" x14ac:dyDescent="0.3">
      <c r="D241" t="s">
        <v>575</v>
      </c>
      <c r="F241">
        <f>IF(ISNUMBER(SEARCH($D$8,D241)),MAX($F$30:F240)+1,0)</f>
        <v>0</v>
      </c>
    </row>
    <row r="242" spans="4:6" x14ac:dyDescent="0.3">
      <c r="D242" t="s">
        <v>311</v>
      </c>
      <c r="F242">
        <f>IF(ISNUMBER(SEARCH($D$8,D242)),MAX($F$30:F241)+1,0)</f>
        <v>0</v>
      </c>
    </row>
    <row r="243" spans="4:6" x14ac:dyDescent="0.3">
      <c r="D243" t="s">
        <v>434</v>
      </c>
      <c r="F243">
        <f>IF(ISNUMBER(SEARCH($D$8,D243)),MAX($F$30:F242)+1,0)</f>
        <v>0</v>
      </c>
    </row>
    <row r="244" spans="4:6" x14ac:dyDescent="0.3">
      <c r="D244" t="s">
        <v>303</v>
      </c>
      <c r="F244">
        <f>IF(ISNUMBER(SEARCH($D$8,D244)),MAX($F$30:F243)+1,0)</f>
        <v>0</v>
      </c>
    </row>
    <row r="245" spans="4:6" x14ac:dyDescent="0.3">
      <c r="D245" t="s">
        <v>504</v>
      </c>
      <c r="F245">
        <f>IF(ISNUMBER(SEARCH($D$8,D245)),MAX($F$30:F244)+1,0)</f>
        <v>0</v>
      </c>
    </row>
    <row r="246" spans="4:6" x14ac:dyDescent="0.3">
      <c r="D246" t="s">
        <v>297</v>
      </c>
      <c r="F246">
        <f>IF(ISNUMBER(SEARCH($D$8,D246)),MAX($F$30:F245)+1,0)</f>
        <v>0</v>
      </c>
    </row>
    <row r="247" spans="4:6" x14ac:dyDescent="0.3">
      <c r="D247" t="s">
        <v>271</v>
      </c>
      <c r="F247">
        <f>IF(ISNUMBER(SEARCH($D$8,D247)),MAX($F$30:F246)+1,0)</f>
        <v>0</v>
      </c>
    </row>
    <row r="248" spans="4:6" x14ac:dyDescent="0.3">
      <c r="D248" t="s">
        <v>439</v>
      </c>
      <c r="F248">
        <f>IF(ISNUMBER(SEARCH($D$8,D248)),MAX($F$30:F247)+1,0)</f>
        <v>0</v>
      </c>
    </row>
    <row r="249" spans="4:6" x14ac:dyDescent="0.3">
      <c r="D249" t="s">
        <v>577</v>
      </c>
      <c r="F249">
        <f>IF(ISNUMBER(SEARCH($D$8,D249)),MAX($F$30:F248)+1,0)</f>
        <v>0</v>
      </c>
    </row>
    <row r="250" spans="4:6" x14ac:dyDescent="0.3">
      <c r="D250" t="s">
        <v>310</v>
      </c>
      <c r="F250">
        <f>IF(ISNUMBER(SEARCH($D$8,D250)),MAX($F$30:F249)+1,0)</f>
        <v>0</v>
      </c>
    </row>
    <row r="251" spans="4:6" x14ac:dyDescent="0.3">
      <c r="D251" t="s">
        <v>255</v>
      </c>
      <c r="F251">
        <f>IF(ISNUMBER(SEARCH($D$8,D251)),MAX($F$30:F250)+1,0)</f>
        <v>0</v>
      </c>
    </row>
    <row r="252" spans="4:6" x14ac:dyDescent="0.3">
      <c r="D252" t="s">
        <v>232</v>
      </c>
      <c r="F252">
        <f>IF(ISNUMBER(SEARCH($D$8,D252)),MAX($F$30:F251)+1,0)</f>
        <v>0</v>
      </c>
    </row>
    <row r="253" spans="4:6" x14ac:dyDescent="0.3">
      <c r="D253" t="s">
        <v>324</v>
      </c>
      <c r="F253">
        <f>IF(ISNUMBER(SEARCH($D$8,D253)),MAX($F$30:F252)+1,0)</f>
        <v>0</v>
      </c>
    </row>
    <row r="254" spans="4:6" x14ac:dyDescent="0.3">
      <c r="D254" t="s">
        <v>220</v>
      </c>
      <c r="F254">
        <f>IF(ISNUMBER(SEARCH($D$8,D254)),MAX($F$30:F253)+1,0)</f>
        <v>0</v>
      </c>
    </row>
    <row r="255" spans="4:6" x14ac:dyDescent="0.3">
      <c r="D255" t="s">
        <v>329</v>
      </c>
      <c r="F255">
        <f>IF(ISNUMBER(SEARCH($D$8,D255)),MAX($F$30:F254)+1,0)</f>
        <v>0</v>
      </c>
    </row>
    <row r="256" spans="4:6" x14ac:dyDescent="0.3">
      <c r="D256" t="s">
        <v>260</v>
      </c>
      <c r="F256">
        <f>IF(ISNUMBER(SEARCH($D$8,D256)),MAX($F$30:F255)+1,0)</f>
        <v>0</v>
      </c>
    </row>
    <row r="257" spans="4:6" x14ac:dyDescent="0.3">
      <c r="D257" t="s">
        <v>590</v>
      </c>
      <c r="F257">
        <f>IF(ISNUMBER(SEARCH($D$8,D257)),MAX($F$30:F256)+1,0)</f>
        <v>0</v>
      </c>
    </row>
    <row r="258" spans="4:6" x14ac:dyDescent="0.3">
      <c r="D258" t="s">
        <v>546</v>
      </c>
      <c r="F258">
        <f>IF(ISNUMBER(SEARCH($D$8,D258)),MAX($F$30:F257)+1,0)</f>
        <v>0</v>
      </c>
    </row>
    <row r="259" spans="4:6" x14ac:dyDescent="0.3">
      <c r="D259" t="s">
        <v>542</v>
      </c>
      <c r="F259">
        <f>IF(ISNUMBER(SEARCH($D$8,D259)),MAX($F$30:F258)+1,0)</f>
        <v>0</v>
      </c>
    </row>
    <row r="260" spans="4:6" x14ac:dyDescent="0.3">
      <c r="D260" t="s">
        <v>549</v>
      </c>
      <c r="F260">
        <f>IF(ISNUMBER(SEARCH($D$8,D260)),MAX($F$30:F259)+1,0)</f>
        <v>0</v>
      </c>
    </row>
    <row r="261" spans="4:6" x14ac:dyDescent="0.3">
      <c r="D261" t="s">
        <v>268</v>
      </c>
      <c r="F261">
        <f>IF(ISNUMBER(SEARCH($D$8,D261)),MAX($F$30:F260)+1,0)</f>
        <v>0</v>
      </c>
    </row>
    <row r="262" spans="4:6" x14ac:dyDescent="0.3">
      <c r="D262" t="s">
        <v>322</v>
      </c>
      <c r="F262">
        <f>IF(ISNUMBER(SEARCH($D$8,D262)),MAX($F$30:F261)+1,0)</f>
        <v>0</v>
      </c>
    </row>
    <row r="263" spans="4:6" x14ac:dyDescent="0.3">
      <c r="D263" t="s">
        <v>341</v>
      </c>
      <c r="F263">
        <f>IF(ISNUMBER(SEARCH($D$8,D263)),MAX($F$30:F262)+1,0)</f>
        <v>0</v>
      </c>
    </row>
    <row r="264" spans="4:6" x14ac:dyDescent="0.3">
      <c r="D264" t="s">
        <v>435</v>
      </c>
      <c r="F264">
        <f>IF(ISNUMBER(SEARCH($D$8,D264)),MAX($F$30:F263)+1,0)</f>
        <v>0</v>
      </c>
    </row>
    <row r="265" spans="4:6" x14ac:dyDescent="0.3">
      <c r="D265" t="s">
        <v>279</v>
      </c>
      <c r="F265">
        <f>IF(ISNUMBER(SEARCH($D$8,D265)),MAX($F$30:F264)+1,0)</f>
        <v>0</v>
      </c>
    </row>
    <row r="266" spans="4:6" x14ac:dyDescent="0.3">
      <c r="D266" t="s">
        <v>463</v>
      </c>
      <c r="F266">
        <f>IF(ISNUMBER(SEARCH($D$8,D266)),MAX($F$30:F265)+1,0)</f>
        <v>0</v>
      </c>
    </row>
    <row r="267" spans="4:6" x14ac:dyDescent="0.3">
      <c r="D267" t="s">
        <v>460</v>
      </c>
      <c r="F267">
        <f>IF(ISNUMBER(SEARCH($D$8,D267)),MAX($F$30:F266)+1,0)</f>
        <v>0</v>
      </c>
    </row>
    <row r="268" spans="4:6" x14ac:dyDescent="0.3">
      <c r="D268" t="s">
        <v>591</v>
      </c>
      <c r="F268">
        <f>IF(ISNUMBER(SEARCH($D$8,D268)),MAX($F$30:F267)+1,0)</f>
        <v>0</v>
      </c>
    </row>
    <row r="269" spans="4:6" x14ac:dyDescent="0.3">
      <c r="D269" t="s">
        <v>459</v>
      </c>
      <c r="F269">
        <f>IF(ISNUMBER(SEARCH($D$8,D269)),MAX($F$30:F268)+1,0)</f>
        <v>0</v>
      </c>
    </row>
    <row r="270" spans="4:6" x14ac:dyDescent="0.3">
      <c r="D270" t="s">
        <v>224</v>
      </c>
      <c r="F270">
        <f>IF(ISNUMBER(SEARCH($D$8,D270)),MAX($F$30:F269)+1,0)</f>
        <v>0</v>
      </c>
    </row>
    <row r="271" spans="4:6" x14ac:dyDescent="0.3">
      <c r="D271" t="s">
        <v>465</v>
      </c>
      <c r="F271">
        <f>IF(ISNUMBER(SEARCH($D$8,D271)),MAX($F$30:F270)+1,0)</f>
        <v>0</v>
      </c>
    </row>
    <row r="272" spans="4:6" x14ac:dyDescent="0.3">
      <c r="D272" t="s">
        <v>512</v>
      </c>
      <c r="F272">
        <f>IF(ISNUMBER(SEARCH($D$8,D272)),MAX($F$30:F271)+1,0)</f>
        <v>0</v>
      </c>
    </row>
    <row r="273" spans="4:6" x14ac:dyDescent="0.3">
      <c r="D273" t="s">
        <v>449</v>
      </c>
      <c r="F273">
        <f>IF(ISNUMBER(SEARCH($D$8,D273)),MAX($F$30:F272)+1,0)</f>
        <v>0</v>
      </c>
    </row>
    <row r="274" spans="4:6" x14ac:dyDescent="0.3">
      <c r="D274" t="s">
        <v>288</v>
      </c>
      <c r="F274">
        <f>IF(ISNUMBER(SEARCH($D$8,D274)),MAX($F$30:F273)+1,0)</f>
        <v>0</v>
      </c>
    </row>
    <row r="275" spans="4:6" x14ac:dyDescent="0.3">
      <c r="D275" t="s">
        <v>599</v>
      </c>
      <c r="F275">
        <f>IF(ISNUMBER(SEARCH($D$8,D275)),MAX($F$30:F274)+1,0)</f>
        <v>0</v>
      </c>
    </row>
    <row r="276" spans="4:6" x14ac:dyDescent="0.3">
      <c r="D276" t="s">
        <v>299</v>
      </c>
      <c r="F276">
        <f>IF(ISNUMBER(SEARCH($D$8,D276)),MAX($F$30:F275)+1,0)</f>
        <v>0</v>
      </c>
    </row>
    <row r="277" spans="4:6" x14ac:dyDescent="0.3">
      <c r="D277" t="s">
        <v>339</v>
      </c>
      <c r="F277">
        <f>IF(ISNUMBER(SEARCH($D$8,D277)),MAX($F$30:F276)+1,0)</f>
        <v>0</v>
      </c>
    </row>
    <row r="278" spans="4:6" x14ac:dyDescent="0.3">
      <c r="D278" t="s">
        <v>253</v>
      </c>
      <c r="F278">
        <f>IF(ISNUMBER(SEARCH($D$8,D278)),MAX($F$30:F277)+1,0)</f>
        <v>0</v>
      </c>
    </row>
    <row r="279" spans="4:6" x14ac:dyDescent="0.3">
      <c r="D279" t="s">
        <v>360</v>
      </c>
      <c r="F279">
        <f>IF(ISNUMBER(SEARCH($D$8,D279)),MAX($F$30:F278)+1,0)</f>
        <v>0</v>
      </c>
    </row>
    <row r="280" spans="4:6" x14ac:dyDescent="0.3">
      <c r="D280" t="s">
        <v>444</v>
      </c>
      <c r="F280">
        <f>IF(ISNUMBER(SEARCH($D$8,D280)),MAX($F$30:F279)+1,0)</f>
        <v>0</v>
      </c>
    </row>
    <row r="281" spans="4:6" x14ac:dyDescent="0.3">
      <c r="D281" t="s">
        <v>249</v>
      </c>
      <c r="F281">
        <f>IF(ISNUMBER(SEARCH($D$8,D281)),MAX($F$30:F280)+1,0)</f>
        <v>0</v>
      </c>
    </row>
    <row r="282" spans="4:6" x14ac:dyDescent="0.3">
      <c r="D282" t="s">
        <v>586</v>
      </c>
      <c r="F282">
        <f>IF(ISNUMBER(SEARCH($D$8,D282)),MAX($F$30:F281)+1,0)</f>
        <v>0</v>
      </c>
    </row>
    <row r="283" spans="4:6" x14ac:dyDescent="0.3">
      <c r="D283" t="s">
        <v>514</v>
      </c>
      <c r="F283">
        <f>IF(ISNUMBER(SEARCH($D$8,D283)),MAX($F$30:F282)+1,0)</f>
        <v>0</v>
      </c>
    </row>
    <row r="284" spans="4:6" x14ac:dyDescent="0.3">
      <c r="D284" t="s">
        <v>294</v>
      </c>
      <c r="F284">
        <f>IF(ISNUMBER(SEARCH($D$8,D284)),MAX($F$30:F283)+1,0)</f>
        <v>0</v>
      </c>
    </row>
    <row r="285" spans="4:6" x14ac:dyDescent="0.3">
      <c r="D285" t="s">
        <v>532</v>
      </c>
      <c r="F285">
        <f>IF(ISNUMBER(SEARCH($D$8,D285)),MAX($F$30:F284)+1,0)</f>
        <v>0</v>
      </c>
    </row>
    <row r="286" spans="4:6" x14ac:dyDescent="0.3">
      <c r="D286" t="s">
        <v>571</v>
      </c>
      <c r="F286">
        <f>IF(ISNUMBER(SEARCH($D$8,D286)),MAX($F$30:F285)+1,0)</f>
        <v>0</v>
      </c>
    </row>
    <row r="287" spans="4:6" x14ac:dyDescent="0.3">
      <c r="D287" t="s">
        <v>428</v>
      </c>
      <c r="F287">
        <f>IF(ISNUMBER(SEARCH($D$8,D287)),MAX($F$30:F286)+1,0)</f>
        <v>0</v>
      </c>
    </row>
    <row r="288" spans="4:6" x14ac:dyDescent="0.3">
      <c r="D288" t="s">
        <v>596</v>
      </c>
      <c r="F288">
        <f>IF(ISNUMBER(SEARCH($D$8,D288)),MAX($F$30:F287)+1,0)</f>
        <v>0</v>
      </c>
    </row>
    <row r="289" spans="4:6" x14ac:dyDescent="0.3">
      <c r="D289" t="s">
        <v>345</v>
      </c>
      <c r="F289">
        <f>IF(ISNUMBER(SEARCH($D$8,D289)),MAX($F$30:F288)+1,0)</f>
        <v>0</v>
      </c>
    </row>
    <row r="290" spans="4:6" x14ac:dyDescent="0.3">
      <c r="D290" t="s">
        <v>280</v>
      </c>
      <c r="F290">
        <f>IF(ISNUMBER(SEARCH($D$8,D290)),MAX($F$30:F289)+1,0)</f>
        <v>0</v>
      </c>
    </row>
    <row r="291" spans="4:6" x14ac:dyDescent="0.3">
      <c r="D291" t="s">
        <v>559</v>
      </c>
      <c r="F291">
        <f>IF(ISNUMBER(SEARCH($D$8,D291)),MAX($F$30:F290)+1,0)</f>
        <v>0</v>
      </c>
    </row>
    <row r="292" spans="4:6" x14ac:dyDescent="0.3">
      <c r="D292" t="s">
        <v>411</v>
      </c>
      <c r="F292">
        <f>IF(ISNUMBER(SEARCH($D$8,D292)),MAX($F$30:F291)+1,0)</f>
        <v>0</v>
      </c>
    </row>
    <row r="293" spans="4:6" x14ac:dyDescent="0.3">
      <c r="D293" t="s">
        <v>450</v>
      </c>
      <c r="F293">
        <f>IF(ISNUMBER(SEARCH($D$8,D293)),MAX($F$30:F292)+1,0)</f>
        <v>0</v>
      </c>
    </row>
    <row r="294" spans="4:6" x14ac:dyDescent="0.3">
      <c r="D294" t="s">
        <v>286</v>
      </c>
      <c r="F294">
        <f>IF(ISNUMBER(SEARCH($D$8,D294)),MAX($F$30:F293)+1,0)</f>
        <v>0</v>
      </c>
    </row>
    <row r="295" spans="4:6" x14ac:dyDescent="0.3">
      <c r="D295" t="s">
        <v>358</v>
      </c>
      <c r="F295">
        <f>IF(ISNUMBER(SEARCH($D$8,D295)),MAX($F$30:F294)+1,0)</f>
        <v>0</v>
      </c>
    </row>
    <row r="296" spans="4:6" x14ac:dyDescent="0.3">
      <c r="D296" t="s">
        <v>298</v>
      </c>
      <c r="F296">
        <f>IF(ISNUMBER(SEARCH($D$8,D296)),MAX($F$30:F295)+1,0)</f>
        <v>0</v>
      </c>
    </row>
    <row r="297" spans="4:6" x14ac:dyDescent="0.3">
      <c r="D297" t="s">
        <v>273</v>
      </c>
      <c r="F297">
        <f>IF(ISNUMBER(SEARCH($D$8,D297)),MAX($F$30:F296)+1,0)</f>
        <v>0</v>
      </c>
    </row>
    <row r="298" spans="4:6" x14ac:dyDescent="0.3">
      <c r="D298" t="s">
        <v>354</v>
      </c>
      <c r="F298">
        <f>IF(ISNUMBER(SEARCH($D$8,D298)),MAX($F$30:F297)+1,0)</f>
        <v>0</v>
      </c>
    </row>
    <row r="299" spans="4:6" x14ac:dyDescent="0.3">
      <c r="D299" t="s">
        <v>597</v>
      </c>
      <c r="F299">
        <f>IF(ISNUMBER(SEARCH($D$8,D299)),MAX($F$30:F298)+1,0)</f>
        <v>0</v>
      </c>
    </row>
    <row r="300" spans="4:6" x14ac:dyDescent="0.3">
      <c r="D300" t="s">
        <v>552</v>
      </c>
      <c r="F300">
        <f>IF(ISNUMBER(SEARCH($D$8,D300)),MAX($F$30:F299)+1,0)</f>
        <v>0</v>
      </c>
    </row>
    <row r="301" spans="4:6" x14ac:dyDescent="0.3">
      <c r="D301" t="s">
        <v>585</v>
      </c>
      <c r="F301">
        <f>IF(ISNUMBER(SEARCH($D$8,D301)),MAX($F$30:F300)+1,0)</f>
        <v>0</v>
      </c>
    </row>
    <row r="302" spans="4:6" x14ac:dyDescent="0.3">
      <c r="D302" t="s">
        <v>421</v>
      </c>
      <c r="F302">
        <f>IF(ISNUMBER(SEARCH($D$8,D302)),MAX($F$30:F301)+1,0)</f>
        <v>0</v>
      </c>
    </row>
    <row r="303" spans="4:6" x14ac:dyDescent="0.3">
      <c r="D303" t="s">
        <v>583</v>
      </c>
      <c r="F303">
        <f>IF(ISNUMBER(SEARCH($D$8,D303)),MAX($F$30:F302)+1,0)</f>
        <v>0</v>
      </c>
    </row>
    <row r="304" spans="4:6" x14ac:dyDescent="0.3">
      <c r="D304" t="s">
        <v>204</v>
      </c>
      <c r="F304">
        <f>IF(ISNUMBER(SEARCH($D$8,D304)),MAX($F$30:F303)+1,0)</f>
        <v>0</v>
      </c>
    </row>
    <row r="305" spans="4:6" x14ac:dyDescent="0.3">
      <c r="D305" t="s">
        <v>531</v>
      </c>
      <c r="F305">
        <f>IF(ISNUMBER(SEARCH($D$8,D305)),MAX($F$30:F304)+1,0)</f>
        <v>0</v>
      </c>
    </row>
    <row r="306" spans="4:6" x14ac:dyDescent="0.3">
      <c r="D306" t="s">
        <v>537</v>
      </c>
      <c r="F306">
        <f>IF(ISNUMBER(SEARCH($D$8,D306)),MAX($F$30:F305)+1,0)</f>
        <v>0</v>
      </c>
    </row>
    <row r="307" spans="4:6" x14ac:dyDescent="0.3">
      <c r="D307" t="s">
        <v>593</v>
      </c>
      <c r="F307">
        <f>IF(ISNUMBER(SEARCH($D$8,D307)),MAX($F$30:F306)+1,0)</f>
        <v>0</v>
      </c>
    </row>
    <row r="308" spans="4:6" x14ac:dyDescent="0.3">
      <c r="D308" t="s">
        <v>600</v>
      </c>
      <c r="F308">
        <f>IF(ISNUMBER(SEARCH($D$8,D308)),MAX($F$30:F307)+1,0)</f>
        <v>0</v>
      </c>
    </row>
    <row r="309" spans="4:6" x14ac:dyDescent="0.3">
      <c r="D309" t="s">
        <v>335</v>
      </c>
      <c r="F309">
        <f>IF(ISNUMBER(SEARCH($D$8,D309)),MAX($F$30:F308)+1,0)</f>
        <v>0</v>
      </c>
    </row>
    <row r="310" spans="4:6" x14ac:dyDescent="0.3">
      <c r="D310" t="s">
        <v>543</v>
      </c>
      <c r="F310">
        <f>IF(ISNUMBER(SEARCH($D$8,D310)),MAX($F$30:F309)+1,0)</f>
        <v>0</v>
      </c>
    </row>
    <row r="311" spans="4:6" x14ac:dyDescent="0.3">
      <c r="D311" t="s">
        <v>365</v>
      </c>
      <c r="F311">
        <f>IF(ISNUMBER(SEARCH($D$8,D311)),MAX($F$30:F310)+1,0)</f>
        <v>0</v>
      </c>
    </row>
    <row r="312" spans="4:6" x14ac:dyDescent="0.3">
      <c r="D312" t="s">
        <v>357</v>
      </c>
      <c r="F312">
        <f>IF(ISNUMBER(SEARCH($D$8,D312)),MAX($F$30:F311)+1,0)</f>
        <v>0</v>
      </c>
    </row>
    <row r="313" spans="4:6" x14ac:dyDescent="0.3">
      <c r="D313" t="s">
        <v>446</v>
      </c>
      <c r="F313">
        <f>IF(ISNUMBER(SEARCH($D$8,D313)),MAX($F$30:F312)+1,0)</f>
        <v>0</v>
      </c>
    </row>
    <row r="314" spans="4:6" x14ac:dyDescent="0.3">
      <c r="D314" t="s">
        <v>453</v>
      </c>
      <c r="F314">
        <f>IF(ISNUMBER(SEARCH($D$8,D314)),MAX($F$30:F313)+1,0)</f>
        <v>0</v>
      </c>
    </row>
    <row r="315" spans="4:6" x14ac:dyDescent="0.3">
      <c r="D315" t="s">
        <v>534</v>
      </c>
      <c r="F315">
        <f>IF(ISNUMBER(SEARCH($D$8,D315)),MAX($F$30:F314)+1,0)</f>
        <v>0</v>
      </c>
    </row>
    <row r="316" spans="4:6" x14ac:dyDescent="0.3">
      <c r="D316" t="s">
        <v>246</v>
      </c>
      <c r="F316">
        <f>IF(ISNUMBER(SEARCH($D$8,D316)),MAX($F$30:F315)+1,0)</f>
        <v>0</v>
      </c>
    </row>
    <row r="317" spans="4:6" x14ac:dyDescent="0.3">
      <c r="D317" t="s">
        <v>554</v>
      </c>
      <c r="F317">
        <f>IF(ISNUMBER(SEARCH($D$8,D317)),MAX($F$30:F316)+1,0)</f>
        <v>0</v>
      </c>
    </row>
    <row r="318" spans="4:6" x14ac:dyDescent="0.3">
      <c r="D318" t="s">
        <v>213</v>
      </c>
      <c r="F318">
        <f>IF(ISNUMBER(SEARCH($D$8,D318)),MAX($F$30:F317)+1,0)</f>
        <v>0</v>
      </c>
    </row>
    <row r="319" spans="4:6" x14ac:dyDescent="0.3">
      <c r="D319" t="s">
        <v>524</v>
      </c>
      <c r="F319">
        <f>IF(ISNUMBER(SEARCH($D$8,D319)),MAX($F$30:F318)+1,0)</f>
        <v>0</v>
      </c>
    </row>
    <row r="320" spans="4:6" x14ac:dyDescent="0.3">
      <c r="D320" t="s">
        <v>306</v>
      </c>
      <c r="F320">
        <f>IF(ISNUMBER(SEARCH($D$8,D320)),MAX($F$30:F319)+1,0)</f>
        <v>0</v>
      </c>
    </row>
    <row r="321" spans="4:6" x14ac:dyDescent="0.3">
      <c r="D321" t="s">
        <v>351</v>
      </c>
      <c r="F321">
        <f>IF(ISNUMBER(SEARCH($D$8,D321)),MAX($F$30:F320)+1,0)</f>
        <v>0</v>
      </c>
    </row>
    <row r="322" spans="4:6" x14ac:dyDescent="0.3">
      <c r="D322" t="s">
        <v>422</v>
      </c>
      <c r="F322">
        <f>IF(ISNUMBER(SEARCH($D$8,D322)),MAX($F$30:F321)+1,0)</f>
        <v>0</v>
      </c>
    </row>
    <row r="323" spans="4:6" x14ac:dyDescent="0.3">
      <c r="D323" t="s">
        <v>468</v>
      </c>
      <c r="F323">
        <f>IF(ISNUMBER(SEARCH($D$8,D323)),MAX($F$30:F322)+1,0)</f>
        <v>0</v>
      </c>
    </row>
    <row r="324" spans="4:6" x14ac:dyDescent="0.3">
      <c r="D324" t="s">
        <v>529</v>
      </c>
      <c r="F324">
        <f>IF(ISNUMBER(SEARCH($D$8,D324)),MAX($F$30:F323)+1,0)</f>
        <v>0</v>
      </c>
    </row>
    <row r="325" spans="4:6" x14ac:dyDescent="0.3">
      <c r="D325" t="s">
        <v>292</v>
      </c>
      <c r="F325">
        <f>IF(ISNUMBER(SEARCH($D$8,D325)),MAX($F$30:F324)+1,0)</f>
        <v>0</v>
      </c>
    </row>
    <row r="326" spans="4:6" x14ac:dyDescent="0.3">
      <c r="D326" t="s">
        <v>443</v>
      </c>
      <c r="F326">
        <f>IF(ISNUMBER(SEARCH($D$8,D326)),MAX($F$30:F325)+1,0)</f>
        <v>0</v>
      </c>
    </row>
    <row r="327" spans="4:6" x14ac:dyDescent="0.3">
      <c r="D327" t="s">
        <v>326</v>
      </c>
      <c r="F327">
        <f>IF(ISNUMBER(SEARCH($D$8,D327)),MAX($F$30:F326)+1,0)</f>
        <v>0</v>
      </c>
    </row>
    <row r="328" spans="4:6" x14ac:dyDescent="0.3">
      <c r="D328" t="s">
        <v>353</v>
      </c>
      <c r="F328">
        <f>IF(ISNUMBER(SEARCH($D$8,D328)),MAX($F$30:F327)+1,0)</f>
        <v>0</v>
      </c>
    </row>
    <row r="329" spans="4:6" x14ac:dyDescent="0.3">
      <c r="D329" t="s">
        <v>454</v>
      </c>
      <c r="F329">
        <f>IF(ISNUMBER(SEARCH($D$8,D329)),MAX($F$30:F328)+1,0)</f>
        <v>0</v>
      </c>
    </row>
    <row r="330" spans="4:6" x14ac:dyDescent="0.3">
      <c r="D330" t="s">
        <v>511</v>
      </c>
      <c r="F330">
        <f>IF(ISNUMBER(SEARCH($D$8,D330)),MAX($F$30:F329)+1,0)</f>
        <v>0</v>
      </c>
    </row>
    <row r="331" spans="4:6" x14ac:dyDescent="0.3">
      <c r="D331" t="s">
        <v>455</v>
      </c>
      <c r="F331">
        <f>IF(ISNUMBER(SEARCH($D$8,D331)),MAX($F$30:F330)+1,0)</f>
        <v>0</v>
      </c>
    </row>
    <row r="332" spans="4:6" x14ac:dyDescent="0.3">
      <c r="D332" t="s">
        <v>302</v>
      </c>
      <c r="F332">
        <f>IF(ISNUMBER(SEARCH($D$8,D332)),MAX($F$30:F331)+1,0)</f>
        <v>0</v>
      </c>
    </row>
    <row r="333" spans="4:6" x14ac:dyDescent="0.3">
      <c r="D333" t="s">
        <v>317</v>
      </c>
      <c r="F333">
        <f>IF(ISNUMBER(SEARCH($D$8,D333)),MAX($F$30:F332)+1,0)</f>
        <v>0</v>
      </c>
    </row>
    <row r="334" spans="4:6" x14ac:dyDescent="0.3">
      <c r="D334" t="s">
        <v>254</v>
      </c>
      <c r="F334">
        <f>IF(ISNUMBER(SEARCH($D$8,D334)),MAX($F$30:F333)+1,0)</f>
        <v>0</v>
      </c>
    </row>
    <row r="335" spans="4:6" x14ac:dyDescent="0.3">
      <c r="D335" t="s">
        <v>582</v>
      </c>
      <c r="F335">
        <f>IF(ISNUMBER(SEARCH($D$8,D335)),MAX($F$30:F334)+1,0)</f>
        <v>0</v>
      </c>
    </row>
    <row r="336" spans="4:6" x14ac:dyDescent="0.3">
      <c r="D336" t="s">
        <v>361</v>
      </c>
      <c r="F336">
        <f>IF(ISNUMBER(SEARCH($D$8,D336)),MAX($F$30:F335)+1,0)</f>
        <v>0</v>
      </c>
    </row>
    <row r="337" spans="4:6" x14ac:dyDescent="0.3">
      <c r="D337" t="s">
        <v>289</v>
      </c>
      <c r="F337">
        <f>IF(ISNUMBER(SEARCH($D$8,D337)),MAX($F$30:F336)+1,0)</f>
        <v>0</v>
      </c>
    </row>
    <row r="338" spans="4:6" x14ac:dyDescent="0.3">
      <c r="D338" t="s">
        <v>429</v>
      </c>
      <c r="F338">
        <f>IF(ISNUMBER(SEARCH($D$8,D338)),MAX($F$30:F337)+1,0)</f>
        <v>0</v>
      </c>
    </row>
    <row r="339" spans="4:6" x14ac:dyDescent="0.3">
      <c r="D339" t="s">
        <v>331</v>
      </c>
      <c r="F339">
        <f>IF(ISNUMBER(SEARCH($D$8,D339)),MAX($F$30:F338)+1,0)</f>
        <v>0</v>
      </c>
    </row>
    <row r="340" spans="4:6" x14ac:dyDescent="0.3">
      <c r="D340" t="s">
        <v>470</v>
      </c>
      <c r="F340">
        <f>IF(ISNUMBER(SEARCH($D$8,D340)),MAX($F$30:F339)+1,0)</f>
        <v>0</v>
      </c>
    </row>
    <row r="341" spans="4:6" x14ac:dyDescent="0.3">
      <c r="F341">
        <f>IF(ISNUMBER(SEARCH($D$8,D341)),MAX($F$30:F340)+1,0)</f>
        <v>0</v>
      </c>
    </row>
    <row r="342" spans="4:6" x14ac:dyDescent="0.3">
      <c r="F342">
        <f>IF(ISNUMBER(SEARCH($D$8,D342)),MAX($F$30:F341)+1,0)</f>
        <v>0</v>
      </c>
    </row>
    <row r="343" spans="4:6" x14ac:dyDescent="0.3">
      <c r="F343">
        <f>IF(ISNUMBER(SEARCH($D$8,D343)),MAX($F$30:F342)+1,0)</f>
        <v>0</v>
      </c>
    </row>
    <row r="344" spans="4:6" x14ac:dyDescent="0.3">
      <c r="F344">
        <f>IF(ISNUMBER(SEARCH($D$8,D344)),MAX($F$30:F343)+1,0)</f>
        <v>0</v>
      </c>
    </row>
    <row r="345" spans="4:6" x14ac:dyDescent="0.3">
      <c r="F345">
        <f>IF(ISNUMBER(SEARCH($D$8,D345)),MAX($F$30:F344)+1,0)</f>
        <v>0</v>
      </c>
    </row>
    <row r="346" spans="4:6" x14ac:dyDescent="0.3">
      <c r="F346">
        <f>IF(ISNUMBER(SEARCH($D$8,D346)),MAX($F$30:F345)+1,0)</f>
        <v>0</v>
      </c>
    </row>
    <row r="347" spans="4:6" x14ac:dyDescent="0.3">
      <c r="F347">
        <f>IF(ISNUMBER(SEARCH($D$8,D347)),MAX($F$30:F346)+1,0)</f>
        <v>0</v>
      </c>
    </row>
    <row r="348" spans="4:6" x14ac:dyDescent="0.3">
      <c r="F348">
        <f>IF(ISNUMBER(SEARCH($D$8,D348)),MAX($F$30:F347)+1,0)</f>
        <v>0</v>
      </c>
    </row>
    <row r="349" spans="4:6" x14ac:dyDescent="0.3">
      <c r="F349">
        <f>IF(ISNUMBER(SEARCH($D$8,D349)),MAX($F$30:F348)+1,0)</f>
        <v>0</v>
      </c>
    </row>
    <row r="350" spans="4:6" x14ac:dyDescent="0.3">
      <c r="F350">
        <f>IF(ISNUMBER(SEARCH($D$8,D350)),MAX($F$30:F349)+1,0)</f>
        <v>0</v>
      </c>
    </row>
    <row r="351" spans="4:6" x14ac:dyDescent="0.3">
      <c r="F351">
        <f>IF(ISNUMBER(SEARCH($D$8,D351)),MAX($F$30:F350)+1,0)</f>
        <v>0</v>
      </c>
    </row>
    <row r="352" spans="4:6" x14ac:dyDescent="0.3">
      <c r="F352">
        <f>IF(ISNUMBER(SEARCH($D$8,D352)),MAX($F$30:F351)+1,0)</f>
        <v>0</v>
      </c>
    </row>
    <row r="353" spans="6:6" x14ac:dyDescent="0.3">
      <c r="F353">
        <f>IF(ISNUMBER(SEARCH($D$8,D353)),MAX($F$30:F352)+1,0)</f>
        <v>0</v>
      </c>
    </row>
    <row r="354" spans="6:6" x14ac:dyDescent="0.3">
      <c r="F354">
        <f>IF(ISNUMBER(SEARCH($D$8,D354)),MAX($F$30:F353)+1,0)</f>
        <v>0</v>
      </c>
    </row>
    <row r="355" spans="6:6" x14ac:dyDescent="0.3">
      <c r="F355">
        <f>IF(ISNUMBER(SEARCH($D$8,D355)),MAX($F$30:F354)+1,0)</f>
        <v>0</v>
      </c>
    </row>
    <row r="356" spans="6:6" x14ac:dyDescent="0.3">
      <c r="F356">
        <f>IF(ISNUMBER(SEARCH($D$8,D356)),MAX($F$30:F355)+1,0)</f>
        <v>0</v>
      </c>
    </row>
    <row r="357" spans="6:6" x14ac:dyDescent="0.3">
      <c r="F357">
        <f>IF(ISNUMBER(SEARCH($D$8,D357)),MAX($F$30:F356)+1,0)</f>
        <v>0</v>
      </c>
    </row>
    <row r="358" spans="6:6" x14ac:dyDescent="0.3">
      <c r="F358">
        <f>IF(ISNUMBER(SEARCH($D$8,D358)),MAX($F$30:F357)+1,0)</f>
        <v>0</v>
      </c>
    </row>
    <row r="359" spans="6:6" x14ac:dyDescent="0.3">
      <c r="F359">
        <f>IF(ISNUMBER(SEARCH($D$8,D359)),MAX($F$30:F358)+1,0)</f>
        <v>0</v>
      </c>
    </row>
    <row r="360" spans="6:6" x14ac:dyDescent="0.3">
      <c r="F360">
        <f>IF(ISNUMBER(SEARCH($D$8,D360)),MAX($F$30:F359)+1,0)</f>
        <v>0</v>
      </c>
    </row>
    <row r="361" spans="6:6" x14ac:dyDescent="0.3">
      <c r="F361">
        <f>IF(ISNUMBER(SEARCH($D$8,D361)),MAX($F$30:F360)+1,0)</f>
        <v>0</v>
      </c>
    </row>
    <row r="362" spans="6:6" x14ac:dyDescent="0.3">
      <c r="F362">
        <f>IF(ISNUMBER(SEARCH($D$8,D362)),MAX($F$30:F361)+1,0)</f>
        <v>0</v>
      </c>
    </row>
    <row r="363" spans="6:6" x14ac:dyDescent="0.3">
      <c r="F363">
        <f>IF(ISNUMBER(SEARCH($D$8,D363)),MAX($F$30:F362)+1,0)</f>
        <v>0</v>
      </c>
    </row>
    <row r="364" spans="6:6" x14ac:dyDescent="0.3">
      <c r="F364">
        <f>IF(ISNUMBER(SEARCH($D$8,D364)),MAX($F$30:F363)+1,0)</f>
        <v>0</v>
      </c>
    </row>
    <row r="365" spans="6:6" x14ac:dyDescent="0.3">
      <c r="F365">
        <f>IF(ISNUMBER(SEARCH($D$8,D365)),MAX($F$30:F364)+1,0)</f>
        <v>0</v>
      </c>
    </row>
    <row r="366" spans="6:6" x14ac:dyDescent="0.3">
      <c r="F366">
        <f>IF(ISNUMBER(SEARCH($D$8,D366)),MAX($F$30:F365)+1,0)</f>
        <v>0</v>
      </c>
    </row>
    <row r="367" spans="6:6" x14ac:dyDescent="0.3">
      <c r="F367">
        <f>IF(ISNUMBER(SEARCH($D$8,D367)),MAX($F$30:F366)+1,0)</f>
        <v>0</v>
      </c>
    </row>
    <row r="368" spans="6:6" x14ac:dyDescent="0.3">
      <c r="F368">
        <f>IF(ISNUMBER(SEARCH($D$8,D368)),MAX($F$30:F367)+1,0)</f>
        <v>0</v>
      </c>
    </row>
    <row r="369" spans="6:6" x14ac:dyDescent="0.3">
      <c r="F369">
        <f>IF(ISNUMBER(SEARCH($D$8,D369)),MAX($F$30:F368)+1,0)</f>
        <v>0</v>
      </c>
    </row>
    <row r="370" spans="6:6" x14ac:dyDescent="0.3">
      <c r="F370">
        <f>IF(ISNUMBER(SEARCH($D$8,D370)),MAX($F$30:F369)+1,0)</f>
        <v>0</v>
      </c>
    </row>
    <row r="371" spans="6:6" x14ac:dyDescent="0.3">
      <c r="F371">
        <f>IF(ISNUMBER(SEARCH($D$8,D371)),MAX($F$30:F370)+1,0)</f>
        <v>0</v>
      </c>
    </row>
    <row r="372" spans="6:6" x14ac:dyDescent="0.3">
      <c r="F372">
        <f>IF(ISNUMBER(SEARCH($D$8,D372)),MAX($F$30:F371)+1,0)</f>
        <v>0</v>
      </c>
    </row>
    <row r="373" spans="6:6" x14ac:dyDescent="0.3">
      <c r="F373">
        <f>IF(ISNUMBER(SEARCH($D$8,D373)),MAX($F$30:F372)+1,0)</f>
        <v>0</v>
      </c>
    </row>
    <row r="374" spans="6:6" x14ac:dyDescent="0.3">
      <c r="F374">
        <f>IF(ISNUMBER(SEARCH($D$8,D374)),MAX($F$30:F373)+1,0)</f>
        <v>0</v>
      </c>
    </row>
    <row r="375" spans="6:6" x14ac:dyDescent="0.3">
      <c r="F375">
        <f>IF(ISNUMBER(SEARCH($D$8,D375)),MAX($F$30:F374)+1,0)</f>
        <v>0</v>
      </c>
    </row>
    <row r="376" spans="6:6" x14ac:dyDescent="0.3">
      <c r="F376">
        <f>IF(ISNUMBER(SEARCH($D$8,D376)),MAX($F$30:F375)+1,0)</f>
        <v>0</v>
      </c>
    </row>
    <row r="377" spans="6:6" x14ac:dyDescent="0.3">
      <c r="F377">
        <f>IF(ISNUMBER(SEARCH($D$8,D377)),MAX($F$30:F376)+1,0)</f>
        <v>0</v>
      </c>
    </row>
    <row r="378" spans="6:6" x14ac:dyDescent="0.3">
      <c r="F378">
        <f>IF(ISNUMBER(SEARCH($D$8,D378)),MAX($F$30:F377)+1,0)</f>
        <v>0</v>
      </c>
    </row>
    <row r="379" spans="6:6" x14ac:dyDescent="0.3">
      <c r="F379">
        <f>IF(ISNUMBER(SEARCH($D$8,D379)),MAX($F$30:F378)+1,0)</f>
        <v>0</v>
      </c>
    </row>
    <row r="380" spans="6:6" x14ac:dyDescent="0.3">
      <c r="F380">
        <f>IF(ISNUMBER(SEARCH($D$8,D380)),MAX($F$30:F379)+1,0)</f>
        <v>0</v>
      </c>
    </row>
    <row r="381" spans="6:6" x14ac:dyDescent="0.3">
      <c r="F381">
        <f>IF(ISNUMBER(SEARCH($D$8,D381)),MAX($F$30:F380)+1,0)</f>
        <v>0</v>
      </c>
    </row>
    <row r="382" spans="6:6" x14ac:dyDescent="0.3">
      <c r="F382">
        <f>IF(ISNUMBER(SEARCH($D$8,D382)),MAX($F$30:F381)+1,0)</f>
        <v>0</v>
      </c>
    </row>
    <row r="383" spans="6:6" x14ac:dyDescent="0.3">
      <c r="F383">
        <f>IF(ISNUMBER(SEARCH($D$8,D383)),MAX($F$30:F382)+1,0)</f>
        <v>0</v>
      </c>
    </row>
    <row r="384" spans="6:6" x14ac:dyDescent="0.3">
      <c r="F384">
        <f>IF(ISNUMBER(SEARCH($D$8,D384)),MAX($F$30:F383)+1,0)</f>
        <v>0</v>
      </c>
    </row>
    <row r="385" spans="6:6" x14ac:dyDescent="0.3">
      <c r="F385">
        <f>IF(ISNUMBER(SEARCH($D$8,D385)),MAX($F$30:F384)+1,0)</f>
        <v>0</v>
      </c>
    </row>
    <row r="386" spans="6:6" x14ac:dyDescent="0.3">
      <c r="F386">
        <f>IF(ISNUMBER(SEARCH($D$8,D386)),MAX($F$30:F385)+1,0)</f>
        <v>0</v>
      </c>
    </row>
    <row r="387" spans="6:6" x14ac:dyDescent="0.3">
      <c r="F387">
        <f>IF(ISNUMBER(SEARCH($D$8,D387)),MAX($F$30:F386)+1,0)</f>
        <v>0</v>
      </c>
    </row>
    <row r="388" spans="6:6" x14ac:dyDescent="0.3">
      <c r="F388">
        <f>IF(ISNUMBER(SEARCH($D$8,D388)),MAX($F$30:F387)+1,0)</f>
        <v>0</v>
      </c>
    </row>
    <row r="389" spans="6:6" x14ac:dyDescent="0.3">
      <c r="F389">
        <f>IF(ISNUMBER(SEARCH($D$8,D389)),MAX($F$30:F388)+1,0)</f>
        <v>0</v>
      </c>
    </row>
    <row r="390" spans="6:6" x14ac:dyDescent="0.3">
      <c r="F390">
        <f>IF(ISNUMBER(SEARCH($D$8,D390)),MAX($F$30:F389)+1,0)</f>
        <v>0</v>
      </c>
    </row>
    <row r="391" spans="6:6" x14ac:dyDescent="0.3">
      <c r="F391">
        <f>IF(ISNUMBER(SEARCH($D$8,D391)),MAX($F$30:F390)+1,0)</f>
        <v>0</v>
      </c>
    </row>
    <row r="392" spans="6:6" x14ac:dyDescent="0.3">
      <c r="F392">
        <f>IF(ISNUMBER(SEARCH($D$8,D392)),MAX($F$30:F391)+1,0)</f>
        <v>0</v>
      </c>
    </row>
    <row r="393" spans="6:6" x14ac:dyDescent="0.3">
      <c r="F393">
        <f>IF(ISNUMBER(SEARCH($D$8,D393)),MAX($F$30:F392)+1,0)</f>
        <v>0</v>
      </c>
    </row>
    <row r="394" spans="6:6" x14ac:dyDescent="0.3">
      <c r="F394">
        <f>IF(ISNUMBER(SEARCH($D$8,D394)),MAX($F$30:F393)+1,0)</f>
        <v>0</v>
      </c>
    </row>
    <row r="395" spans="6:6" x14ac:dyDescent="0.3">
      <c r="F395">
        <f>IF(ISNUMBER(SEARCH($D$8,D395)),MAX($F$30:F394)+1,0)</f>
        <v>0</v>
      </c>
    </row>
    <row r="396" spans="6:6" x14ac:dyDescent="0.3">
      <c r="F396">
        <f>IF(ISNUMBER(SEARCH($D$8,D396)),MAX($F$30:F395)+1,0)</f>
        <v>0</v>
      </c>
    </row>
    <row r="397" spans="6:6" x14ac:dyDescent="0.3">
      <c r="F397">
        <f>IF(ISNUMBER(SEARCH($D$8,D397)),MAX($F$30:F396)+1,0)</f>
        <v>0</v>
      </c>
    </row>
    <row r="398" spans="6:6" x14ac:dyDescent="0.3">
      <c r="F398">
        <f>IF(ISNUMBER(SEARCH($D$8,D398)),MAX($F$30:F397)+1,0)</f>
        <v>0</v>
      </c>
    </row>
    <row r="399" spans="6:6" x14ac:dyDescent="0.3">
      <c r="F399">
        <f>IF(ISNUMBER(SEARCH($D$8,D399)),MAX($F$30:F398)+1,0)</f>
        <v>0</v>
      </c>
    </row>
    <row r="400" spans="6:6" x14ac:dyDescent="0.3">
      <c r="F400">
        <f>IF(ISNUMBER(SEARCH($D$8,D400)),MAX($F$30:F399)+1,0)</f>
        <v>0</v>
      </c>
    </row>
    <row r="401" spans="6:6" x14ac:dyDescent="0.3">
      <c r="F401">
        <f>IF(ISNUMBER(SEARCH($D$8,D401)),MAX($F$30:F400)+1,0)</f>
        <v>0</v>
      </c>
    </row>
    <row r="402" spans="6:6" x14ac:dyDescent="0.3">
      <c r="F402">
        <f>IF(ISNUMBER(SEARCH($D$8,D402)),MAX($F$30:F401)+1,0)</f>
        <v>0</v>
      </c>
    </row>
    <row r="403" spans="6:6" x14ac:dyDescent="0.3">
      <c r="F403">
        <f>IF(ISNUMBER(SEARCH($D$8,D403)),MAX($F$30:F402)+1,0)</f>
        <v>0</v>
      </c>
    </row>
    <row r="404" spans="6:6" x14ac:dyDescent="0.3">
      <c r="F404">
        <f>IF(ISNUMBER(SEARCH($D$8,D404)),MAX($F$30:F403)+1,0)</f>
        <v>0</v>
      </c>
    </row>
    <row r="405" spans="6:6" x14ac:dyDescent="0.3">
      <c r="F405">
        <f>IF(ISNUMBER(SEARCH($D$8,D405)),MAX($F$30:F404)+1,0)</f>
        <v>0</v>
      </c>
    </row>
    <row r="406" spans="6:6" x14ac:dyDescent="0.3">
      <c r="F406">
        <f>IF(ISNUMBER(SEARCH($D$8,D406)),MAX($F$30:F405)+1,0)</f>
        <v>0</v>
      </c>
    </row>
    <row r="407" spans="6:6" x14ac:dyDescent="0.3">
      <c r="F407">
        <f>IF(ISNUMBER(SEARCH($D$8,D407)),MAX($F$30:F406)+1,0)</f>
        <v>0</v>
      </c>
    </row>
    <row r="408" spans="6:6" x14ac:dyDescent="0.3">
      <c r="F408">
        <f>IF(ISNUMBER(SEARCH($D$8,D408)),MAX($F$30:F407)+1,0)</f>
        <v>0</v>
      </c>
    </row>
    <row r="409" spans="6:6" x14ac:dyDescent="0.3">
      <c r="F409">
        <f>IF(ISNUMBER(SEARCH($D$8,D409)),MAX($F$30:F408)+1,0)</f>
        <v>0</v>
      </c>
    </row>
    <row r="410" spans="6:6" x14ac:dyDescent="0.3">
      <c r="F410">
        <f>IF(ISNUMBER(SEARCH($D$8,D410)),MAX($F$30:F409)+1,0)</f>
        <v>0</v>
      </c>
    </row>
    <row r="411" spans="6:6" x14ac:dyDescent="0.3">
      <c r="F411">
        <f>IF(ISNUMBER(SEARCH($D$8,D411)),MAX($F$30:F410)+1,0)</f>
        <v>0</v>
      </c>
    </row>
    <row r="412" spans="6:6" x14ac:dyDescent="0.3">
      <c r="F412">
        <f>IF(ISNUMBER(SEARCH($D$8,D412)),MAX($F$30:F411)+1,0)</f>
        <v>0</v>
      </c>
    </row>
    <row r="413" spans="6:6" x14ac:dyDescent="0.3">
      <c r="F413">
        <f>IF(ISNUMBER(SEARCH($D$8,D413)),MAX($F$30:F412)+1,0)</f>
        <v>0</v>
      </c>
    </row>
    <row r="414" spans="6:6" x14ac:dyDescent="0.3">
      <c r="F414">
        <f>IF(ISNUMBER(SEARCH($D$8,D414)),MAX($F$30:F413)+1,0)</f>
        <v>0</v>
      </c>
    </row>
    <row r="415" spans="6:6" x14ac:dyDescent="0.3">
      <c r="F415">
        <f>IF(ISNUMBER(SEARCH($D$8,D415)),MAX($F$30:F414)+1,0)</f>
        <v>0</v>
      </c>
    </row>
    <row r="416" spans="6:6" x14ac:dyDescent="0.3">
      <c r="F416">
        <f>IF(ISNUMBER(SEARCH($D$8,D416)),MAX($F$30:F415)+1,0)</f>
        <v>0</v>
      </c>
    </row>
    <row r="417" spans="6:6" x14ac:dyDescent="0.3">
      <c r="F417">
        <f>IF(ISNUMBER(SEARCH($D$8,D417)),MAX($F$30:F416)+1,0)</f>
        <v>0</v>
      </c>
    </row>
    <row r="418" spans="6:6" x14ac:dyDescent="0.3">
      <c r="F418">
        <f>IF(ISNUMBER(SEARCH($D$8,D418)),MAX($F$30:F417)+1,0)</f>
        <v>0</v>
      </c>
    </row>
    <row r="419" spans="6:6" x14ac:dyDescent="0.3">
      <c r="F419">
        <f>IF(ISNUMBER(SEARCH($D$8,D419)),MAX($F$30:F418)+1,0)</f>
        <v>0</v>
      </c>
    </row>
    <row r="420" spans="6:6" x14ac:dyDescent="0.3">
      <c r="F420">
        <f>IF(ISNUMBER(SEARCH($D$8,D420)),MAX($F$30:F419)+1,0)</f>
        <v>0</v>
      </c>
    </row>
    <row r="421" spans="6:6" x14ac:dyDescent="0.3">
      <c r="F421">
        <f>IF(ISNUMBER(SEARCH($D$8,D421)),MAX($F$30:F420)+1,0)</f>
        <v>0</v>
      </c>
    </row>
    <row r="422" spans="6:6" x14ac:dyDescent="0.3">
      <c r="F422">
        <f>IF(ISNUMBER(SEARCH($D$8,D422)),MAX($F$30:F421)+1,0)</f>
        <v>0</v>
      </c>
    </row>
    <row r="423" spans="6:6" x14ac:dyDescent="0.3">
      <c r="F423">
        <f>IF(ISNUMBER(SEARCH($D$8,D423)),MAX($F$30:F422)+1,0)</f>
        <v>0</v>
      </c>
    </row>
    <row r="424" spans="6:6" x14ac:dyDescent="0.3">
      <c r="F424">
        <f>IF(ISNUMBER(SEARCH($D$8,D424)),MAX($F$30:F423)+1,0)</f>
        <v>0</v>
      </c>
    </row>
    <row r="425" spans="6:6" x14ac:dyDescent="0.3">
      <c r="F425">
        <f>IF(ISNUMBER(SEARCH($D$8,D425)),MAX($F$30:F424)+1,0)</f>
        <v>0</v>
      </c>
    </row>
    <row r="426" spans="6:6" x14ac:dyDescent="0.3">
      <c r="F426">
        <f>IF(ISNUMBER(SEARCH($D$8,D426)),MAX($F$30:F425)+1,0)</f>
        <v>0</v>
      </c>
    </row>
    <row r="427" spans="6:6" x14ac:dyDescent="0.3">
      <c r="F427">
        <f>IF(ISNUMBER(SEARCH($D$8,D427)),MAX($F$30:F426)+1,0)</f>
        <v>0</v>
      </c>
    </row>
    <row r="428" spans="6:6" x14ac:dyDescent="0.3">
      <c r="F428">
        <f>IF(ISNUMBER(SEARCH($D$8,D428)),MAX($F$30:F427)+1,0)</f>
        <v>0</v>
      </c>
    </row>
    <row r="429" spans="6:6" x14ac:dyDescent="0.3">
      <c r="F429">
        <f>IF(ISNUMBER(SEARCH($D$8,D429)),MAX($F$30:F428)+1,0)</f>
        <v>0</v>
      </c>
    </row>
    <row r="430" spans="6:6" x14ac:dyDescent="0.3">
      <c r="F430">
        <f>IF(ISNUMBER(SEARCH($D$8,D430)),MAX($F$30:F429)+1,0)</f>
        <v>0</v>
      </c>
    </row>
    <row r="431" spans="6:6" x14ac:dyDescent="0.3">
      <c r="F431">
        <f>IF(ISNUMBER(SEARCH($D$8,D431)),MAX($F$30:F430)+1,0)</f>
        <v>0</v>
      </c>
    </row>
    <row r="432" spans="6:6" x14ac:dyDescent="0.3">
      <c r="F432">
        <f>IF(ISNUMBER(SEARCH($D$8,D432)),MAX($F$30:F431)+1,0)</f>
        <v>0</v>
      </c>
    </row>
    <row r="433" spans="6:6" x14ac:dyDescent="0.3">
      <c r="F433">
        <f>IF(ISNUMBER(SEARCH($D$8,D433)),MAX($F$30:F432)+1,0)</f>
        <v>0</v>
      </c>
    </row>
    <row r="434" spans="6:6" x14ac:dyDescent="0.3">
      <c r="F434">
        <f>IF(ISNUMBER(SEARCH($D$8,D434)),MAX($F$30:F433)+1,0)</f>
        <v>0</v>
      </c>
    </row>
    <row r="435" spans="6:6" x14ac:dyDescent="0.3">
      <c r="F435">
        <f>IF(ISNUMBER(SEARCH($D$8,D435)),MAX($F$30:F434)+1,0)</f>
        <v>0</v>
      </c>
    </row>
    <row r="436" spans="6:6" x14ac:dyDescent="0.3">
      <c r="F436">
        <f>IF(ISNUMBER(SEARCH($D$8,D436)),MAX($F$30:F435)+1,0)</f>
        <v>0</v>
      </c>
    </row>
    <row r="437" spans="6:6" x14ac:dyDescent="0.3">
      <c r="F437">
        <f>IF(ISNUMBER(SEARCH($D$8,D437)),MAX($F$30:F436)+1,0)</f>
        <v>0</v>
      </c>
    </row>
    <row r="438" spans="6:6" x14ac:dyDescent="0.3">
      <c r="F438">
        <f>IF(ISNUMBER(SEARCH($D$8,D438)),MAX($F$30:F437)+1,0)</f>
        <v>0</v>
      </c>
    </row>
    <row r="439" spans="6:6" x14ac:dyDescent="0.3">
      <c r="F439">
        <f>IF(ISNUMBER(SEARCH($D$8,D439)),MAX($F$30:F438)+1,0)</f>
        <v>0</v>
      </c>
    </row>
    <row r="440" spans="6:6" x14ac:dyDescent="0.3">
      <c r="F440">
        <f>IF(ISNUMBER(SEARCH($D$8,D440)),MAX($F$30:F439)+1,0)</f>
        <v>0</v>
      </c>
    </row>
    <row r="441" spans="6:6" x14ac:dyDescent="0.3">
      <c r="F441">
        <f>IF(ISNUMBER(SEARCH($D$8,D441)),MAX($F$30:F440)+1,0)</f>
        <v>0</v>
      </c>
    </row>
    <row r="442" spans="6:6" x14ac:dyDescent="0.3">
      <c r="F442">
        <f>IF(ISNUMBER(SEARCH($D$8,D442)),MAX($F$30:F441)+1,0)</f>
        <v>0</v>
      </c>
    </row>
    <row r="443" spans="6:6" x14ac:dyDescent="0.3">
      <c r="F443">
        <f>IF(ISNUMBER(SEARCH($D$8,D443)),MAX($F$30:F442)+1,0)</f>
        <v>0</v>
      </c>
    </row>
    <row r="444" spans="6:6" x14ac:dyDescent="0.3">
      <c r="F444">
        <f>IF(ISNUMBER(SEARCH($D$8,D444)),MAX($F$30:F443)+1,0)</f>
        <v>0</v>
      </c>
    </row>
    <row r="445" spans="6:6" x14ac:dyDescent="0.3">
      <c r="F445">
        <f>IF(ISNUMBER(SEARCH($D$8,D445)),MAX($F$30:F444)+1,0)</f>
        <v>0</v>
      </c>
    </row>
    <row r="446" spans="6:6" x14ac:dyDescent="0.3">
      <c r="F446">
        <f>IF(ISNUMBER(SEARCH($D$8,D446)),MAX($F$30:F445)+1,0)</f>
        <v>0</v>
      </c>
    </row>
    <row r="447" spans="6:6" x14ac:dyDescent="0.3">
      <c r="F447">
        <f>IF(ISNUMBER(SEARCH($D$8,D447)),MAX($F$30:F446)+1,0)</f>
        <v>0</v>
      </c>
    </row>
    <row r="448" spans="6:6" x14ac:dyDescent="0.3">
      <c r="F448">
        <f>IF(ISNUMBER(SEARCH($D$8,D448)),MAX($F$30:F447)+1,0)</f>
        <v>0</v>
      </c>
    </row>
    <row r="449" spans="6:6" x14ac:dyDescent="0.3">
      <c r="F449">
        <f>IF(ISNUMBER(SEARCH($D$8,D449)),MAX($F$30:F448)+1,0)</f>
        <v>0</v>
      </c>
    </row>
    <row r="450" spans="6:6" x14ac:dyDescent="0.3">
      <c r="F450">
        <f>IF(ISNUMBER(SEARCH($D$8,D450)),MAX($F$30:F449)+1,0)</f>
        <v>0</v>
      </c>
    </row>
    <row r="451" spans="6:6" x14ac:dyDescent="0.3">
      <c r="F451">
        <f>IF(ISNUMBER(SEARCH($D$8,D451)),MAX($F$30:F450)+1,0)</f>
        <v>0</v>
      </c>
    </row>
    <row r="452" spans="6:6" x14ac:dyDescent="0.3">
      <c r="F452">
        <f>IF(ISNUMBER(SEARCH($D$8,D452)),MAX($F$30:F451)+1,0)</f>
        <v>0</v>
      </c>
    </row>
    <row r="453" spans="6:6" x14ac:dyDescent="0.3">
      <c r="F453">
        <f>IF(ISNUMBER(SEARCH($D$8,D453)),MAX($F$30:F452)+1,0)</f>
        <v>0</v>
      </c>
    </row>
    <row r="454" spans="6:6" x14ac:dyDescent="0.3">
      <c r="F454">
        <f>IF(ISNUMBER(SEARCH($D$8,D454)),MAX($F$30:F453)+1,0)</f>
        <v>0</v>
      </c>
    </row>
    <row r="455" spans="6:6" x14ac:dyDescent="0.3">
      <c r="F455">
        <f>IF(ISNUMBER(SEARCH($D$8,D455)),MAX($F$30:F454)+1,0)</f>
        <v>0</v>
      </c>
    </row>
    <row r="456" spans="6:6" x14ac:dyDescent="0.3">
      <c r="F456">
        <f>IF(ISNUMBER(SEARCH($D$8,D456)),MAX($F$30:F455)+1,0)</f>
        <v>0</v>
      </c>
    </row>
    <row r="457" spans="6:6" x14ac:dyDescent="0.3">
      <c r="F457">
        <f>IF(ISNUMBER(SEARCH($D$8,D457)),MAX($F$30:F456)+1,0)</f>
        <v>0</v>
      </c>
    </row>
    <row r="458" spans="6:6" x14ac:dyDescent="0.3">
      <c r="F458">
        <f>IF(ISNUMBER(SEARCH($D$8,D458)),MAX($F$30:F457)+1,0)</f>
        <v>0</v>
      </c>
    </row>
    <row r="459" spans="6:6" x14ac:dyDescent="0.3">
      <c r="F459">
        <f>IF(ISNUMBER(SEARCH($D$8,D459)),MAX($F$30:F458)+1,0)</f>
        <v>0</v>
      </c>
    </row>
    <row r="460" spans="6:6" x14ac:dyDescent="0.3">
      <c r="F460">
        <f>IF(ISNUMBER(SEARCH($D$8,D460)),MAX($F$30:F459)+1,0)</f>
        <v>0</v>
      </c>
    </row>
    <row r="461" spans="6:6" x14ac:dyDescent="0.3">
      <c r="F461">
        <f>IF(ISNUMBER(SEARCH($D$8,D461)),MAX($F$30:F460)+1,0)</f>
        <v>0</v>
      </c>
    </row>
    <row r="462" spans="6:6" x14ac:dyDescent="0.3">
      <c r="F462">
        <f>IF(ISNUMBER(SEARCH($D$8,D462)),MAX($F$30:F461)+1,0)</f>
        <v>0</v>
      </c>
    </row>
    <row r="463" spans="6:6" x14ac:dyDescent="0.3">
      <c r="F463">
        <f>IF(ISNUMBER(SEARCH($D$8,D463)),MAX($F$30:F462)+1,0)</f>
        <v>0</v>
      </c>
    </row>
    <row r="464" spans="6:6" x14ac:dyDescent="0.3">
      <c r="F464">
        <f>IF(ISNUMBER(SEARCH($D$8,D464)),MAX($F$30:F463)+1,0)</f>
        <v>0</v>
      </c>
    </row>
    <row r="465" spans="6:6" x14ac:dyDescent="0.3">
      <c r="F465">
        <f>IF(ISNUMBER(SEARCH($D$8,D465)),MAX($F$30:F464)+1,0)</f>
        <v>0</v>
      </c>
    </row>
    <row r="466" spans="6:6" x14ac:dyDescent="0.3">
      <c r="F466">
        <f>IF(ISNUMBER(SEARCH($D$8,D466)),MAX($F$30:F465)+1,0)</f>
        <v>0</v>
      </c>
    </row>
    <row r="467" spans="6:6" x14ac:dyDescent="0.3">
      <c r="F467">
        <f>IF(ISNUMBER(SEARCH($D$8,D467)),MAX($F$30:F466)+1,0)</f>
        <v>0</v>
      </c>
    </row>
    <row r="468" spans="6:6" x14ac:dyDescent="0.3">
      <c r="F468">
        <f>IF(ISNUMBER(SEARCH($D$8,D468)),MAX($F$30:F467)+1,0)</f>
        <v>0</v>
      </c>
    </row>
    <row r="469" spans="6:6" x14ac:dyDescent="0.3">
      <c r="F469">
        <f>IF(ISNUMBER(SEARCH($D$8,D469)),MAX($F$30:F468)+1,0)</f>
        <v>0</v>
      </c>
    </row>
    <row r="470" spans="6:6" x14ac:dyDescent="0.3">
      <c r="F470">
        <f>IF(ISNUMBER(SEARCH($D$8,D470)),MAX($F$30:F469)+1,0)</f>
        <v>0</v>
      </c>
    </row>
    <row r="471" spans="6:6" x14ac:dyDescent="0.3">
      <c r="F471">
        <f>IF(ISNUMBER(SEARCH($D$8,D471)),MAX($F$30:F470)+1,0)</f>
        <v>0</v>
      </c>
    </row>
    <row r="472" spans="6:6" x14ac:dyDescent="0.3">
      <c r="F472">
        <f>IF(ISNUMBER(SEARCH($D$8,D472)),MAX($F$30:F471)+1,0)</f>
        <v>0</v>
      </c>
    </row>
    <row r="473" spans="6:6" x14ac:dyDescent="0.3">
      <c r="F473">
        <f>IF(ISNUMBER(SEARCH($D$8,D473)),MAX($F$30:F472)+1,0)</f>
        <v>0</v>
      </c>
    </row>
    <row r="474" spans="6:6" x14ac:dyDescent="0.3">
      <c r="F474">
        <f>IF(ISNUMBER(SEARCH($D$8,D474)),MAX($F$30:F473)+1,0)</f>
        <v>0</v>
      </c>
    </row>
    <row r="475" spans="6:6" x14ac:dyDescent="0.3">
      <c r="F475">
        <f>IF(ISNUMBER(SEARCH($D$8,D475)),MAX($F$30:F474)+1,0)</f>
        <v>0</v>
      </c>
    </row>
    <row r="476" spans="6:6" x14ac:dyDescent="0.3">
      <c r="F476">
        <f>IF(ISNUMBER(SEARCH($D$8,D476)),MAX($F$30:F475)+1,0)</f>
        <v>0</v>
      </c>
    </row>
    <row r="477" spans="6:6" x14ac:dyDescent="0.3">
      <c r="F477">
        <f>IF(ISNUMBER(SEARCH($D$8,D477)),MAX($F$30:F476)+1,0)</f>
        <v>0</v>
      </c>
    </row>
    <row r="478" spans="6:6" x14ac:dyDescent="0.3">
      <c r="F478">
        <f>IF(ISNUMBER(SEARCH($D$8,D478)),MAX($F$30:F477)+1,0)</f>
        <v>0</v>
      </c>
    </row>
    <row r="479" spans="6:6" x14ac:dyDescent="0.3">
      <c r="F479">
        <f>IF(ISNUMBER(SEARCH($D$8,D479)),MAX($F$30:F478)+1,0)</f>
        <v>0</v>
      </c>
    </row>
    <row r="480" spans="6:6" x14ac:dyDescent="0.3">
      <c r="F480">
        <f>IF(ISNUMBER(SEARCH($D$8,D480)),MAX($F$30:F479)+1,0)</f>
        <v>0</v>
      </c>
    </row>
    <row r="481" spans="6:6" x14ac:dyDescent="0.3">
      <c r="F481">
        <f>IF(ISNUMBER(SEARCH($D$8,D481)),MAX($F$30:F480)+1,0)</f>
        <v>0</v>
      </c>
    </row>
    <row r="482" spans="6:6" x14ac:dyDescent="0.3">
      <c r="F482">
        <f>IF(ISNUMBER(SEARCH($D$8,D482)),MAX($F$30:F481)+1,0)</f>
        <v>0</v>
      </c>
    </row>
    <row r="483" spans="6:6" x14ac:dyDescent="0.3">
      <c r="F483">
        <f>IF(ISNUMBER(SEARCH($D$8,D483)),MAX($F$30:F482)+1,0)</f>
        <v>0</v>
      </c>
    </row>
    <row r="484" spans="6:6" x14ac:dyDescent="0.3">
      <c r="F484">
        <f>IF(ISNUMBER(SEARCH($D$8,D484)),MAX($F$30:F483)+1,0)</f>
        <v>0</v>
      </c>
    </row>
    <row r="485" spans="6:6" x14ac:dyDescent="0.3">
      <c r="F485">
        <f>IF(ISNUMBER(SEARCH($D$8,D485)),MAX($F$30:F484)+1,0)</f>
        <v>0</v>
      </c>
    </row>
    <row r="486" spans="6:6" x14ac:dyDescent="0.3">
      <c r="F486">
        <f>IF(ISNUMBER(SEARCH($D$8,D486)),MAX($F$30:F485)+1,0)</f>
        <v>0</v>
      </c>
    </row>
    <row r="487" spans="6:6" x14ac:dyDescent="0.3">
      <c r="F487">
        <f>IF(ISNUMBER(SEARCH($D$8,D487)),MAX($F$30:F486)+1,0)</f>
        <v>0</v>
      </c>
    </row>
    <row r="488" spans="6:6" x14ac:dyDescent="0.3">
      <c r="F488">
        <f>IF(ISNUMBER(SEARCH($D$8,D488)),MAX($F$30:F487)+1,0)</f>
        <v>0</v>
      </c>
    </row>
    <row r="489" spans="6:6" x14ac:dyDescent="0.3">
      <c r="F489">
        <f>IF(ISNUMBER(SEARCH($D$8,D489)),MAX($F$30:F488)+1,0)</f>
        <v>0</v>
      </c>
    </row>
    <row r="490" spans="6:6" x14ac:dyDescent="0.3">
      <c r="F490">
        <f>IF(ISNUMBER(SEARCH($D$8,D490)),MAX($F$30:F489)+1,0)</f>
        <v>0</v>
      </c>
    </row>
    <row r="491" spans="6:6" x14ac:dyDescent="0.3">
      <c r="F491">
        <f>IF(ISNUMBER(SEARCH($D$8,D491)),MAX($F$30:F490)+1,0)</f>
        <v>0</v>
      </c>
    </row>
    <row r="492" spans="6:6" x14ac:dyDescent="0.3">
      <c r="F492">
        <f>IF(ISNUMBER(SEARCH($D$8,D492)),MAX($F$30:F491)+1,0)</f>
        <v>0</v>
      </c>
    </row>
    <row r="493" spans="6:6" x14ac:dyDescent="0.3">
      <c r="F493">
        <f>IF(ISNUMBER(SEARCH($D$8,D493)),MAX($F$30:F492)+1,0)</f>
        <v>0</v>
      </c>
    </row>
    <row r="494" spans="6:6" x14ac:dyDescent="0.3">
      <c r="F494">
        <f>IF(ISNUMBER(SEARCH($D$8,D494)),MAX($F$30:F493)+1,0)</f>
        <v>0</v>
      </c>
    </row>
    <row r="495" spans="6:6" x14ac:dyDescent="0.3">
      <c r="F495">
        <f>IF(ISNUMBER(SEARCH($D$8,D495)),MAX($F$30:F494)+1,0)</f>
        <v>0</v>
      </c>
    </row>
    <row r="496" spans="6:6" x14ac:dyDescent="0.3">
      <c r="F496">
        <f>IF(ISNUMBER(SEARCH($D$8,D496)),MAX($F$30:F495)+1,0)</f>
        <v>0</v>
      </c>
    </row>
    <row r="497" spans="6:6" x14ac:dyDescent="0.3">
      <c r="F497">
        <f>IF(ISNUMBER(SEARCH($D$8,D497)),MAX($F$30:F496)+1,0)</f>
        <v>0</v>
      </c>
    </row>
    <row r="498" spans="6:6" x14ac:dyDescent="0.3">
      <c r="F498">
        <f>IF(ISNUMBER(SEARCH($D$8,D498)),MAX($F$30:F497)+1,0)</f>
        <v>0</v>
      </c>
    </row>
    <row r="499" spans="6:6" x14ac:dyDescent="0.3">
      <c r="F499">
        <f>IF(ISNUMBER(SEARCH($D$8,D499)),MAX($F$30:F498)+1,0)</f>
        <v>0</v>
      </c>
    </row>
    <row r="500" spans="6:6" x14ac:dyDescent="0.3">
      <c r="F500">
        <f>IF(ISNUMBER(SEARCH($D$8,D500)),MAX($F$30:F499)+1,0)</f>
        <v>0</v>
      </c>
    </row>
    <row r="501" spans="6:6" x14ac:dyDescent="0.3">
      <c r="F501">
        <f>IF(ISNUMBER(SEARCH($D$8,D501)),MAX($F$30:F500)+1,0)</f>
        <v>0</v>
      </c>
    </row>
    <row r="502" spans="6:6" x14ac:dyDescent="0.3">
      <c r="F502">
        <f>IF(ISNUMBER(SEARCH($D$8,D502)),MAX($F$30:F501)+1,0)</f>
        <v>0</v>
      </c>
    </row>
    <row r="503" spans="6:6" x14ac:dyDescent="0.3">
      <c r="F503">
        <f>IF(ISNUMBER(SEARCH($D$8,D503)),MAX($F$30:F502)+1,0)</f>
        <v>0</v>
      </c>
    </row>
    <row r="504" spans="6:6" x14ac:dyDescent="0.3">
      <c r="F504">
        <f>IF(ISNUMBER(SEARCH($D$8,D504)),MAX($F$30:F503)+1,0)</f>
        <v>0</v>
      </c>
    </row>
    <row r="505" spans="6:6" x14ac:dyDescent="0.3">
      <c r="F505">
        <f>IF(ISNUMBER(SEARCH($D$8,D505)),MAX($F$30:F504)+1,0)</f>
        <v>0</v>
      </c>
    </row>
    <row r="506" spans="6:6" x14ac:dyDescent="0.3">
      <c r="F506">
        <f>IF(ISNUMBER(SEARCH($D$8,D506)),MAX($F$30:F505)+1,0)</f>
        <v>0</v>
      </c>
    </row>
    <row r="507" spans="6:6" x14ac:dyDescent="0.3">
      <c r="F507">
        <f>IF(ISNUMBER(SEARCH($D$8,D507)),MAX($F$30:F506)+1,0)</f>
        <v>0</v>
      </c>
    </row>
    <row r="508" spans="6:6" x14ac:dyDescent="0.3">
      <c r="F508">
        <f>IF(ISNUMBER(SEARCH($D$8,D508)),MAX($F$30:F507)+1,0)</f>
        <v>0</v>
      </c>
    </row>
    <row r="509" spans="6:6" x14ac:dyDescent="0.3">
      <c r="F509">
        <f>IF(ISNUMBER(SEARCH($D$8,D509)),MAX($F$30:F508)+1,0)</f>
        <v>0</v>
      </c>
    </row>
    <row r="510" spans="6:6" x14ac:dyDescent="0.3">
      <c r="F510">
        <f>IF(ISNUMBER(SEARCH($D$8,D510)),MAX($F$30:F509)+1,0)</f>
        <v>0</v>
      </c>
    </row>
    <row r="511" spans="6:6" x14ac:dyDescent="0.3">
      <c r="F511">
        <f>IF(ISNUMBER(SEARCH($D$8,D511)),MAX($F$30:F510)+1,0)</f>
        <v>0</v>
      </c>
    </row>
    <row r="512" spans="6:6" x14ac:dyDescent="0.3">
      <c r="F512">
        <f>IF(ISNUMBER(SEARCH($D$8,D512)),MAX($F$30:F511)+1,0)</f>
        <v>0</v>
      </c>
    </row>
    <row r="513" spans="6:6" x14ac:dyDescent="0.3">
      <c r="F513">
        <f>IF(ISNUMBER(SEARCH($D$8,D513)),MAX($F$30:F512)+1,0)</f>
        <v>0</v>
      </c>
    </row>
    <row r="514" spans="6:6" x14ac:dyDescent="0.3">
      <c r="F514">
        <f>IF(ISNUMBER(SEARCH($D$8,D514)),MAX($F$30:F513)+1,0)</f>
        <v>0</v>
      </c>
    </row>
    <row r="515" spans="6:6" x14ac:dyDescent="0.3">
      <c r="F515">
        <f>IF(ISNUMBER(SEARCH($D$8,D515)),MAX($F$30:F514)+1,0)</f>
        <v>0</v>
      </c>
    </row>
    <row r="516" spans="6:6" x14ac:dyDescent="0.3">
      <c r="F516">
        <f>IF(ISNUMBER(SEARCH($D$8,D516)),MAX($F$30:F515)+1,0)</f>
        <v>0</v>
      </c>
    </row>
    <row r="517" spans="6:6" x14ac:dyDescent="0.3">
      <c r="F517">
        <f>IF(ISNUMBER(SEARCH($D$8,D517)),MAX($F$30:F516)+1,0)</f>
        <v>0</v>
      </c>
    </row>
    <row r="518" spans="6:6" x14ac:dyDescent="0.3">
      <c r="F518">
        <f>IF(ISNUMBER(SEARCH($D$8,D518)),MAX($F$30:F517)+1,0)</f>
        <v>0</v>
      </c>
    </row>
    <row r="519" spans="6:6" x14ac:dyDescent="0.3">
      <c r="F519">
        <f>IF(ISNUMBER(SEARCH($D$8,D519)),MAX($F$30:F518)+1,0)</f>
        <v>0</v>
      </c>
    </row>
    <row r="520" spans="6:6" x14ac:dyDescent="0.3">
      <c r="F520">
        <f>IF(ISNUMBER(SEARCH($D$8,D520)),MAX($F$30:F519)+1,0)</f>
        <v>0</v>
      </c>
    </row>
    <row r="521" spans="6:6" x14ac:dyDescent="0.3">
      <c r="F521">
        <f>IF(ISNUMBER(SEARCH($D$8,D521)),MAX($F$30:F520)+1,0)</f>
        <v>0</v>
      </c>
    </row>
    <row r="522" spans="6:6" x14ac:dyDescent="0.3">
      <c r="F522">
        <f>IF(ISNUMBER(SEARCH($D$8,D522)),MAX($F$30:F521)+1,0)</f>
        <v>0</v>
      </c>
    </row>
    <row r="523" spans="6:6" x14ac:dyDescent="0.3">
      <c r="F523">
        <f>IF(ISNUMBER(SEARCH($D$8,D523)),MAX($F$30:F522)+1,0)</f>
        <v>0</v>
      </c>
    </row>
    <row r="524" spans="6:6" x14ac:dyDescent="0.3">
      <c r="F524">
        <f>IF(ISNUMBER(SEARCH($D$8,D524)),MAX($F$30:F523)+1,0)</f>
        <v>0</v>
      </c>
    </row>
    <row r="525" spans="6:6" x14ac:dyDescent="0.3">
      <c r="F525">
        <f>IF(ISNUMBER(SEARCH($D$8,D525)),MAX($F$30:F524)+1,0)</f>
        <v>0</v>
      </c>
    </row>
    <row r="526" spans="6:6" x14ac:dyDescent="0.3">
      <c r="F526">
        <f>IF(ISNUMBER(SEARCH($D$8,D526)),MAX($F$30:F525)+1,0)</f>
        <v>0</v>
      </c>
    </row>
    <row r="527" spans="6:6" x14ac:dyDescent="0.3">
      <c r="F527">
        <f>IF(ISNUMBER(SEARCH($D$8,D527)),MAX($F$30:F526)+1,0)</f>
        <v>0</v>
      </c>
    </row>
    <row r="528" spans="6:6" x14ac:dyDescent="0.3">
      <c r="F528">
        <f>IF(ISNUMBER(SEARCH($D$8,D528)),MAX($F$30:F527)+1,0)</f>
        <v>0</v>
      </c>
    </row>
    <row r="529" spans="6:6" x14ac:dyDescent="0.3">
      <c r="F529">
        <f>IF(ISNUMBER(SEARCH($D$8,D529)),MAX($F$30:F528)+1,0)</f>
        <v>0</v>
      </c>
    </row>
    <row r="530" spans="6:6" x14ac:dyDescent="0.3">
      <c r="F530">
        <f>IF(ISNUMBER(SEARCH($D$8,D530)),MAX($F$30:F529)+1,0)</f>
        <v>0</v>
      </c>
    </row>
    <row r="531" spans="6:6" x14ac:dyDescent="0.3">
      <c r="F531">
        <f>IF(ISNUMBER(SEARCH($D$8,D531)),MAX($F$30:F530)+1,0)</f>
        <v>0</v>
      </c>
    </row>
    <row r="532" spans="6:6" x14ac:dyDescent="0.3">
      <c r="F532">
        <f>IF(ISNUMBER(SEARCH($D$8,D532)),MAX($F$30:F531)+1,0)</f>
        <v>0</v>
      </c>
    </row>
    <row r="533" spans="6:6" x14ac:dyDescent="0.3">
      <c r="F533">
        <f>IF(ISNUMBER(SEARCH($D$8,D533)),MAX($F$30:F532)+1,0)</f>
        <v>0</v>
      </c>
    </row>
    <row r="534" spans="6:6" x14ac:dyDescent="0.3">
      <c r="F534">
        <f>IF(ISNUMBER(SEARCH($D$8,D534)),MAX($F$30:F533)+1,0)</f>
        <v>0</v>
      </c>
    </row>
    <row r="535" spans="6:6" x14ac:dyDescent="0.3">
      <c r="F535">
        <f>IF(ISNUMBER(SEARCH($D$8,D535)),MAX($F$30:F534)+1,0)</f>
        <v>0</v>
      </c>
    </row>
    <row r="536" spans="6:6" x14ac:dyDescent="0.3">
      <c r="F536">
        <f>IF(ISNUMBER(SEARCH($D$8,D536)),MAX($F$30:F535)+1,0)</f>
        <v>0</v>
      </c>
    </row>
    <row r="537" spans="6:6" x14ac:dyDescent="0.3">
      <c r="F537">
        <f>IF(ISNUMBER(SEARCH($D$8,D537)),MAX($F$30:F536)+1,0)</f>
        <v>0</v>
      </c>
    </row>
    <row r="538" spans="6:6" x14ac:dyDescent="0.3">
      <c r="F538">
        <f>IF(ISNUMBER(SEARCH($D$8,D538)),MAX($F$30:F537)+1,0)</f>
        <v>0</v>
      </c>
    </row>
    <row r="539" spans="6:6" x14ac:dyDescent="0.3">
      <c r="F539">
        <f>IF(ISNUMBER(SEARCH($D$8,D539)),MAX($F$30:F538)+1,0)</f>
        <v>0</v>
      </c>
    </row>
    <row r="540" spans="6:6" x14ac:dyDescent="0.3">
      <c r="F540">
        <f>IF(ISNUMBER(SEARCH($D$8,D540)),MAX($F$30:F539)+1,0)</f>
        <v>0</v>
      </c>
    </row>
    <row r="541" spans="6:6" x14ac:dyDescent="0.3">
      <c r="F541">
        <f>IF(ISNUMBER(SEARCH($D$8,D541)),MAX($F$30:F540)+1,0)</f>
        <v>0</v>
      </c>
    </row>
    <row r="542" spans="6:6" x14ac:dyDescent="0.3">
      <c r="F542">
        <f>IF(ISNUMBER(SEARCH($D$8,D542)),MAX($F$30:F541)+1,0)</f>
        <v>0</v>
      </c>
    </row>
    <row r="543" spans="6:6" x14ac:dyDescent="0.3">
      <c r="F543">
        <f>IF(ISNUMBER(SEARCH($D$8,D543)),MAX($F$30:F542)+1,0)</f>
        <v>0</v>
      </c>
    </row>
    <row r="544" spans="6:6" x14ac:dyDescent="0.3">
      <c r="F544">
        <f>IF(ISNUMBER(SEARCH($D$8,D544)),MAX($F$30:F543)+1,0)</f>
        <v>0</v>
      </c>
    </row>
    <row r="545" spans="6:6" x14ac:dyDescent="0.3">
      <c r="F545">
        <f>IF(ISNUMBER(SEARCH($D$8,D545)),MAX($F$30:F544)+1,0)</f>
        <v>0</v>
      </c>
    </row>
    <row r="546" spans="6:6" x14ac:dyDescent="0.3">
      <c r="F546">
        <f>IF(ISNUMBER(SEARCH($D$8,D546)),MAX($F$30:F545)+1,0)</f>
        <v>0</v>
      </c>
    </row>
    <row r="547" spans="6:6" x14ac:dyDescent="0.3">
      <c r="F547">
        <f>IF(ISNUMBER(SEARCH($D$8,D547)),MAX($F$30:F546)+1,0)</f>
        <v>0</v>
      </c>
    </row>
    <row r="548" spans="6:6" x14ac:dyDescent="0.3">
      <c r="F548">
        <f>IF(ISNUMBER(SEARCH($D$8,D548)),MAX($F$30:F547)+1,0)</f>
        <v>0</v>
      </c>
    </row>
    <row r="549" spans="6:6" x14ac:dyDescent="0.3">
      <c r="F549">
        <f>IF(ISNUMBER(SEARCH($D$8,D549)),MAX($F$30:F548)+1,0)</f>
        <v>0</v>
      </c>
    </row>
    <row r="550" spans="6:6" x14ac:dyDescent="0.3">
      <c r="F550">
        <f>IF(ISNUMBER(SEARCH($D$8,D550)),MAX($F$30:F549)+1,0)</f>
        <v>0</v>
      </c>
    </row>
    <row r="551" spans="6:6" x14ac:dyDescent="0.3">
      <c r="F551">
        <f>IF(ISNUMBER(SEARCH($D$8,D551)),MAX($F$30:F550)+1,0)</f>
        <v>0</v>
      </c>
    </row>
    <row r="552" spans="6:6" x14ac:dyDescent="0.3">
      <c r="F552">
        <f>IF(ISNUMBER(SEARCH($D$8,D552)),MAX($F$30:F551)+1,0)</f>
        <v>0</v>
      </c>
    </row>
    <row r="553" spans="6:6" x14ac:dyDescent="0.3">
      <c r="F553">
        <f>IF(ISNUMBER(SEARCH($D$8,D553)),MAX($F$30:F552)+1,0)</f>
        <v>0</v>
      </c>
    </row>
    <row r="554" spans="6:6" x14ac:dyDescent="0.3">
      <c r="F554">
        <f>IF(ISNUMBER(SEARCH($D$8,D554)),MAX($F$30:F553)+1,0)</f>
        <v>0</v>
      </c>
    </row>
    <row r="555" spans="6:6" x14ac:dyDescent="0.3">
      <c r="F555">
        <f>IF(ISNUMBER(SEARCH($D$8,D555)),MAX($F$30:F554)+1,0)</f>
        <v>0</v>
      </c>
    </row>
    <row r="556" spans="6:6" x14ac:dyDescent="0.3">
      <c r="F556">
        <f>IF(ISNUMBER(SEARCH($D$8,D556)),MAX($F$30:F555)+1,0)</f>
        <v>0</v>
      </c>
    </row>
    <row r="557" spans="6:6" x14ac:dyDescent="0.3">
      <c r="F557">
        <f>IF(ISNUMBER(SEARCH($D$8,D557)),MAX($F$30:F556)+1,0)</f>
        <v>0</v>
      </c>
    </row>
    <row r="558" spans="6:6" x14ac:dyDescent="0.3">
      <c r="F558">
        <f>IF(ISNUMBER(SEARCH($D$8,D558)),MAX($F$30:F557)+1,0)</f>
        <v>0</v>
      </c>
    </row>
    <row r="559" spans="6:6" x14ac:dyDescent="0.3">
      <c r="F559">
        <f>IF(ISNUMBER(SEARCH($D$8,D559)),MAX($F$30:F558)+1,0)</f>
        <v>0</v>
      </c>
    </row>
    <row r="560" spans="6:6" x14ac:dyDescent="0.3">
      <c r="F560">
        <f>IF(ISNUMBER(SEARCH($D$8,D560)),MAX($F$30:F559)+1,0)</f>
        <v>0</v>
      </c>
    </row>
    <row r="561" spans="6:6" x14ac:dyDescent="0.3">
      <c r="F561">
        <f>IF(ISNUMBER(SEARCH($D$8,D561)),MAX($F$30:F560)+1,0)</f>
        <v>0</v>
      </c>
    </row>
    <row r="562" spans="6:6" x14ac:dyDescent="0.3">
      <c r="F562">
        <f>IF(ISNUMBER(SEARCH($D$8,D562)),MAX($F$30:F561)+1,0)</f>
        <v>0</v>
      </c>
    </row>
    <row r="563" spans="6:6" x14ac:dyDescent="0.3">
      <c r="F563">
        <f>IF(ISNUMBER(SEARCH($D$8,D563)),MAX($F$30:F562)+1,0)</f>
        <v>0</v>
      </c>
    </row>
  </sheetData>
  <mergeCells count="5">
    <mergeCell ref="F4:F5"/>
    <mergeCell ref="J4:J5"/>
    <mergeCell ref="L4:L5"/>
    <mergeCell ref="N4:N5"/>
    <mergeCell ref="B2:B14"/>
  </mergeCells>
  <conditionalFormatting sqref="O7">
    <cfRule type="expression" dxfId="150" priority="35">
      <formula>IF(G8&lt;&gt;"p",1)</formula>
    </cfRule>
  </conditionalFormatting>
  <conditionalFormatting sqref="N8">
    <cfRule type="expression" dxfId="149" priority="34">
      <formula>IF(F8&lt;&gt;"p",1)</formula>
    </cfRule>
  </conditionalFormatting>
  <conditionalFormatting sqref="L12">
    <cfRule type="expression" dxfId="148" priority="161">
      <formula>IF(C10="P",1)</formula>
    </cfRule>
    <cfRule type="expression" dxfId="147" priority="162">
      <formula>"f9=""P"""</formula>
    </cfRule>
    <cfRule type="expression" priority="163">
      <formula>"f9=""p"""</formula>
    </cfRule>
  </conditionalFormatting>
  <conditionalFormatting sqref="L12">
    <cfRule type="expression" dxfId="146" priority="26">
      <formula>IF(XEX10="P",1)</formula>
    </cfRule>
  </conditionalFormatting>
  <conditionalFormatting sqref="N12">
    <cfRule type="expression" dxfId="145" priority="167">
      <formula>IF(XFB10="P",1)</formula>
    </cfRule>
    <cfRule type="expression" dxfId="144" priority="168">
      <formula>"f9=""P"""</formula>
    </cfRule>
    <cfRule type="expression" priority="169">
      <formula>"f9=""p"""</formula>
    </cfRule>
  </conditionalFormatting>
  <conditionalFormatting sqref="L13">
    <cfRule type="expression" dxfId="143" priority="15">
      <formula>IF(XEX10="P",1)</formula>
    </cfRule>
  </conditionalFormatting>
  <conditionalFormatting sqref="L12">
    <cfRule type="expression" dxfId="142" priority="17">
      <formula>IF(E8="P",1)</formula>
    </cfRule>
  </conditionalFormatting>
  <conditionalFormatting sqref="N4">
    <cfRule type="iconSet" priority="10">
      <iconSet iconSet="3Arrows">
        <cfvo type="percent" val="0"/>
        <cfvo type="percent" val="33"/>
        <cfvo type="percent" val="67"/>
      </iconSet>
    </cfRule>
  </conditionalFormatting>
  <conditionalFormatting sqref="L13">
    <cfRule type="expression" dxfId="141" priority="170">
      <formula>IF(E10="P",1)</formula>
    </cfRule>
  </conditionalFormatting>
  <conditionalFormatting sqref="L13">
    <cfRule type="expression" dxfId="140" priority="175">
      <formula>IF(C12="P",1)</formula>
    </cfRule>
    <cfRule type="expression" dxfId="139" priority="176">
      <formula>"f9=""P"""</formula>
    </cfRule>
    <cfRule type="expression" priority="177">
      <formula>"f9=""p"""</formula>
    </cfRule>
  </conditionalFormatting>
  <conditionalFormatting sqref="L13">
    <cfRule type="expression" dxfId="138" priority="179">
      <formula>IF(XEX12="P",1)</formula>
    </cfRule>
  </conditionalFormatting>
  <conditionalFormatting sqref="N13">
    <cfRule type="expression" dxfId="137" priority="1">
      <formula>IF(XFB10="P",1)</formula>
    </cfRule>
    <cfRule type="expression" dxfId="136" priority="2">
      <formula>IF(XFB10="P",1)</formula>
    </cfRule>
  </conditionalFormatting>
  <conditionalFormatting sqref="N13">
    <cfRule type="expression" dxfId="135" priority="3">
      <formula>IF(XFB10="P",1)</formula>
    </cfRule>
  </conditionalFormatting>
  <conditionalFormatting sqref="N13">
    <cfRule type="expression" dxfId="134" priority="183">
      <formula>IF(XFB12="P",1)</formula>
    </cfRule>
    <cfRule type="expression" dxfId="133" priority="184">
      <formula>"f9=""P"""</formula>
    </cfRule>
    <cfRule type="expression" priority="185">
      <formula>"f9=""p"""</formula>
    </cfRule>
  </conditionalFormatting>
  <dataValidations count="1">
    <dataValidation type="list" allowBlank="1" showInputMessage="1" showErrorMessage="1" sqref="B31" xr:uid="{088721EC-87F8-49E2-98AB-0D6078EFD76D}">
      <formula1>$D$31:$D$563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7" id="{72603407-9BF0-4A9B-9B11-840905835F13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14:cfRule type="iconSet" priority="8" id="{802A1248-70C6-4CFB-83C4-55DF66900D66}">
            <x14:iconSet custom="1">
              <x14:cfvo type="percent">
                <xm:f>0</xm:f>
              </x14:cfvo>
              <x14:cfvo type="percent">
                <xm:f>0</xm:f>
              </x14:cfvo>
              <x14:cfvo type="percent">
                <xm:f>0</xm:f>
              </x14:cfvo>
              <x14:cfIcon iconSet="3Arrows" iconId="0"/>
              <x14:cfIcon iconSet="3Arrows" iconId="1"/>
              <x14:cfIcon iconSet="3ArrowsGray" iconId="2"/>
            </x14:iconSet>
          </x14:cfRule>
          <x14:cfRule type="iconSet" priority="9" id="{EDE471FB-B6E4-4710-ADCD-5B8891A2855F}">
            <x14:iconSet custom="1">
              <x14:cfvo type="percent">
                <xm:f>0</xm:f>
              </x14:cfvo>
              <x14:cfvo type="percent">
                <xm:f>0</xm:f>
              </x14:cfvo>
              <x14:cfvo type="percent">
                <xm:f>0</xm:f>
              </x14:cfvo>
              <x14:cfIcon iconSet="3TrafficLights1" iconId="0"/>
              <x14:cfIcon iconSet="3TrafficLights1" iconId="2"/>
              <x14:cfIcon iconSet="3TrafficLights1" iconId="1"/>
            </x14:iconSet>
          </x14:cfRule>
          <xm:sqref>N4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825F3C11-9BD5-4CD5-A017-82513C0EE1C6}">
          <x14:formula1>
            <xm:f>'TAB GIOC GG X GG'!$C$5:$C$535</xm:f>
          </x14:formula1>
          <xm:sqref>D8</xm:sqref>
        </x14:dataValidation>
        <x14:dataValidation type="list" allowBlank="1" showInputMessage="1" xr:uid="{3999E07D-FA09-4556-91B2-88CBF68B8C4E}">
          <x14:formula1>
            <xm:f>'TAB GIOC GG X GG'!$C$7:$C$535</xm:f>
          </x14:formula1>
          <xm:sqref>D18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48CFF-12C8-4175-8789-E0C67468DACA}">
  <sheetPr codeName="Foglio4"/>
  <dimension ref="A1:Y38"/>
  <sheetViews>
    <sheetView zoomScale="70" zoomScaleNormal="70" workbookViewId="0">
      <selection activeCell="O29" sqref="O29"/>
    </sheetView>
  </sheetViews>
  <sheetFormatPr defaultRowHeight="14.4" x14ac:dyDescent="0.3"/>
  <cols>
    <col min="1" max="1" width="3.5546875" customWidth="1"/>
    <col min="2" max="2" width="19.5546875" customWidth="1"/>
    <col min="3" max="3" width="3" customWidth="1"/>
    <col min="4" max="9" width="5.5546875" customWidth="1"/>
    <col min="10" max="11" width="5.6640625" customWidth="1"/>
    <col min="12" max="12" width="8.6640625" style="8"/>
    <col min="13" max="13" width="8.6640625" style="10"/>
    <col min="14" max="14" width="8.6640625" style="8"/>
    <col min="15" max="15" width="6.5546875" style="8" customWidth="1"/>
    <col min="16" max="16" width="6.6640625" style="8" customWidth="1"/>
    <col min="17" max="17" width="7.44140625" customWidth="1"/>
    <col min="19" max="19" width="23.44140625" customWidth="1"/>
    <col min="20" max="20" width="6.33203125" customWidth="1"/>
    <col min="21" max="21" width="5.6640625" customWidth="1"/>
    <col min="22" max="22" width="3.44140625" customWidth="1"/>
    <col min="23" max="23" width="17.5546875" customWidth="1"/>
  </cols>
  <sheetData>
    <row r="1" spans="1:24" x14ac:dyDescent="0.3">
      <c r="B1" t="s">
        <v>177</v>
      </c>
      <c r="D1" s="460"/>
      <c r="E1" s="460"/>
      <c r="F1" s="460"/>
      <c r="G1" s="460"/>
      <c r="H1" s="460"/>
      <c r="I1" s="460"/>
      <c r="J1" s="460"/>
      <c r="K1" s="460"/>
    </row>
    <row r="2" spans="1:24" x14ac:dyDescent="0.3">
      <c r="D2" s="8" t="s">
        <v>3</v>
      </c>
      <c r="E2" s="8" t="s">
        <v>178</v>
      </c>
      <c r="F2" s="8" t="s">
        <v>3</v>
      </c>
      <c r="G2" s="8" t="s">
        <v>178</v>
      </c>
      <c r="H2" s="8" t="s">
        <v>3</v>
      </c>
      <c r="I2" s="8" t="s">
        <v>178</v>
      </c>
      <c r="J2" s="8" t="s">
        <v>3</v>
      </c>
      <c r="K2" s="8" t="s">
        <v>178</v>
      </c>
      <c r="L2" s="8" t="s">
        <v>2</v>
      </c>
      <c r="M2" s="10" t="s">
        <v>179</v>
      </c>
      <c r="N2" s="8" t="s">
        <v>180</v>
      </c>
      <c r="R2" t="s">
        <v>181</v>
      </c>
      <c r="W2" t="s">
        <v>182</v>
      </c>
    </row>
    <row r="4" spans="1:24" x14ac:dyDescent="0.3">
      <c r="B4" s="204" t="s">
        <v>780</v>
      </c>
      <c r="C4" t="s">
        <v>5</v>
      </c>
      <c r="D4" s="206">
        <v>6</v>
      </c>
      <c r="E4" s="207">
        <v>6</v>
      </c>
      <c r="F4" s="206">
        <v>7</v>
      </c>
      <c r="G4" s="207">
        <v>7</v>
      </c>
      <c r="H4" s="206">
        <v>6</v>
      </c>
      <c r="I4" s="207">
        <v>5</v>
      </c>
      <c r="J4" s="206"/>
      <c r="K4" s="207"/>
      <c r="L4" s="8">
        <f>COUNTA(D4:K4)/2</f>
        <v>3</v>
      </c>
      <c r="M4" s="233">
        <f>IFERROR(IF(A4="x",0,AVERAGE(D4,F4,H4,J4)),0)</f>
        <v>6.333333333333333</v>
      </c>
      <c r="N4" s="233">
        <f>IFERROR(IF(A4="x",0,AVERAGE(E4,G4,I4,K4)),0)</f>
        <v>6</v>
      </c>
      <c r="Q4" t="s">
        <v>5</v>
      </c>
      <c r="R4" s="9" t="s">
        <v>5</v>
      </c>
      <c r="S4" s="9" t="str">
        <f>_xlfn.XLOOKUP(T4,$N$4:$N$6,$B$4:$B$6)</f>
        <v>Vicario</v>
      </c>
      <c r="T4" s="208">
        <f>MAX(N4:N6)</f>
        <v>6</v>
      </c>
      <c r="V4" t="s">
        <v>5</v>
      </c>
      <c r="W4" s="9" t="str">
        <f>_xlfn.XLOOKUP(X4,$M$4:$M$6,$B$4:$B$6)</f>
        <v>Vicario</v>
      </c>
      <c r="X4" s="9">
        <f>MAX(M4:M6)</f>
        <v>6.333333333333333</v>
      </c>
    </row>
    <row r="5" spans="1:24" x14ac:dyDescent="0.3">
      <c r="B5" s="204" t="s">
        <v>1036</v>
      </c>
      <c r="C5" t="s">
        <v>5</v>
      </c>
      <c r="D5" s="206"/>
      <c r="E5" s="207"/>
      <c r="F5" s="206"/>
      <c r="G5" s="207"/>
      <c r="H5" s="206"/>
      <c r="I5" s="207"/>
      <c r="J5" s="206"/>
      <c r="K5" s="207"/>
      <c r="L5" s="8">
        <f t="shared" ref="L5:L28" si="0">COUNTA(D5:K5)/2</f>
        <v>0</v>
      </c>
      <c r="M5" s="233">
        <f t="shared" ref="M5:M28" si="1">IFERROR(IF(A5="x",0,AVERAGE(D5,F5,H5,J5)),0)</f>
        <v>0</v>
      </c>
      <c r="N5" s="233">
        <f t="shared" ref="N5:N28" si="2">IFERROR(IF(A5="x",0,AVERAGE(E5,G5,I5,K5)),0)</f>
        <v>0</v>
      </c>
      <c r="Q5" t="s">
        <v>161</v>
      </c>
      <c r="R5" s="9" t="s">
        <v>161</v>
      </c>
      <c r="S5" s="9" t="str">
        <f>_xlfn.XLOOKUP(T5,$N$7:$N$14,$B$7:$B$14)</f>
        <v>Odenthal</v>
      </c>
      <c r="T5" s="208">
        <f>MAX(N7:N14)</f>
        <v>10</v>
      </c>
      <c r="V5" t="s">
        <v>161</v>
      </c>
      <c r="W5" s="9" t="str">
        <f>_xlfn.XLOOKUP(X5,$M$7:$M$14,$B$7:$B$14)</f>
        <v>Odenthal</v>
      </c>
      <c r="X5" s="9">
        <f>MAX(M7:M14)</f>
        <v>7</v>
      </c>
    </row>
    <row r="6" spans="1:24" x14ac:dyDescent="0.3">
      <c r="B6" s="205" t="s">
        <v>723</v>
      </c>
      <c r="C6" t="s">
        <v>5</v>
      </c>
      <c r="D6" s="206">
        <v>6.5</v>
      </c>
      <c r="E6" s="207">
        <v>5.5</v>
      </c>
      <c r="F6" s="206">
        <v>6</v>
      </c>
      <c r="G6" s="207">
        <v>6</v>
      </c>
      <c r="H6" s="206">
        <v>6</v>
      </c>
      <c r="I6" s="207">
        <v>4</v>
      </c>
      <c r="J6" s="206"/>
      <c r="K6" s="207"/>
      <c r="L6" s="8">
        <f t="shared" si="0"/>
        <v>3</v>
      </c>
      <c r="M6" s="233">
        <f t="shared" si="1"/>
        <v>6.166666666666667</v>
      </c>
      <c r="N6" s="233">
        <f t="shared" si="2"/>
        <v>5.166666666666667</v>
      </c>
      <c r="Q6" t="s">
        <v>162</v>
      </c>
      <c r="R6" s="9" t="s">
        <v>161</v>
      </c>
      <c r="S6" s="9" t="str">
        <f>_xlfn.XLOOKUP(T6,$N$7:$N$14,$B$7:$B$14)</f>
        <v>Molina N.</v>
      </c>
      <c r="T6" s="9">
        <f>LARGE($N$7:$N$14,2)</f>
        <v>6.5</v>
      </c>
      <c r="V6" t="s">
        <v>161</v>
      </c>
      <c r="W6" s="9" t="str">
        <f>_xlfn.XLOOKUP(X6,$M$7:$M$14,$B$7:$B$14)</f>
        <v>Molina N.</v>
      </c>
      <c r="X6" s="9">
        <f>LARGE($M$7:$M$14,2)</f>
        <v>6.5</v>
      </c>
    </row>
    <row r="7" spans="1:24" x14ac:dyDescent="0.3">
      <c r="A7" t="s">
        <v>1083</v>
      </c>
      <c r="B7" s="204" t="s">
        <v>275</v>
      </c>
      <c r="C7" t="s">
        <v>161</v>
      </c>
      <c r="D7" s="206"/>
      <c r="E7" s="207"/>
      <c r="F7" s="206"/>
      <c r="G7" s="207"/>
      <c r="H7" s="206">
        <v>6.5</v>
      </c>
      <c r="I7" s="207">
        <v>7.5</v>
      </c>
      <c r="J7" s="206"/>
      <c r="K7" s="207"/>
      <c r="L7" s="8">
        <f t="shared" si="0"/>
        <v>1</v>
      </c>
      <c r="M7" s="233">
        <f t="shared" si="1"/>
        <v>0</v>
      </c>
      <c r="N7" s="233">
        <f t="shared" si="2"/>
        <v>0</v>
      </c>
      <c r="Q7" t="s">
        <v>163</v>
      </c>
      <c r="R7" s="9" t="s">
        <v>161</v>
      </c>
      <c r="S7" s="9" t="str">
        <f>_xlfn.XLOOKUP(T7,$N$7:$N$14,$B$7:$B$14)</f>
        <v>Molina N.</v>
      </c>
      <c r="T7" s="9">
        <f>LARGE($N$7:$N$14,3)</f>
        <v>6.5</v>
      </c>
      <c r="V7" t="s">
        <v>161</v>
      </c>
      <c r="W7" s="9" t="str">
        <f>_xlfn.XLOOKUP(X7,$M$7:$M$14,$B$7:$B$14)</f>
        <v>Molina N.</v>
      </c>
      <c r="X7" s="9">
        <f>LARGE($M$7:$M$14,3)</f>
        <v>6.5</v>
      </c>
    </row>
    <row r="8" spans="1:24" x14ac:dyDescent="0.3">
      <c r="B8" s="204" t="s">
        <v>898</v>
      </c>
      <c r="C8" t="s">
        <v>161</v>
      </c>
      <c r="D8" s="206"/>
      <c r="E8" s="207"/>
      <c r="F8" s="206"/>
      <c r="G8" s="207"/>
      <c r="H8" s="206">
        <v>6.5</v>
      </c>
      <c r="I8" s="207">
        <v>6.5</v>
      </c>
      <c r="J8" s="206"/>
      <c r="K8" s="207"/>
      <c r="L8" s="8">
        <f t="shared" si="0"/>
        <v>1</v>
      </c>
      <c r="M8" s="233">
        <f t="shared" si="1"/>
        <v>6.5</v>
      </c>
      <c r="N8" s="233">
        <f t="shared" si="2"/>
        <v>6.5</v>
      </c>
      <c r="R8" s="9"/>
      <c r="S8" s="9" t="str">
        <f>IF(R8="D",_xlfn.XLOOKUP(T8,$N$7:$N$14,$B$7:$B$14),"")</f>
        <v/>
      </c>
      <c r="T8" s="9" t="str">
        <f>IF(R8="D",LARGE($N$7:$N$14,4),"")</f>
        <v/>
      </c>
      <c r="V8" t="s">
        <v>161</v>
      </c>
      <c r="W8" s="9" t="str">
        <f>_xlfn.XLOOKUP(X8,$M$7:$M$14,$B$7:$B$14)</f>
        <v>Valeri</v>
      </c>
      <c r="X8" s="9">
        <f>LARGE($M$7:$M$14,4)</f>
        <v>6</v>
      </c>
    </row>
    <row r="9" spans="1:24" x14ac:dyDescent="0.3">
      <c r="B9" s="205" t="s">
        <v>469</v>
      </c>
      <c r="C9" t="s">
        <v>161</v>
      </c>
      <c r="D9" s="206"/>
      <c r="E9" s="207"/>
      <c r="F9" s="206"/>
      <c r="G9" s="207"/>
      <c r="H9" s="206">
        <v>6.5</v>
      </c>
      <c r="I9" s="207">
        <v>6.5</v>
      </c>
      <c r="J9" s="206"/>
      <c r="K9" s="207"/>
      <c r="L9" s="8">
        <f t="shared" si="0"/>
        <v>1</v>
      </c>
      <c r="M9" s="233">
        <f t="shared" si="1"/>
        <v>6.5</v>
      </c>
      <c r="N9" s="233">
        <f t="shared" si="2"/>
        <v>6.5</v>
      </c>
      <c r="R9" s="9"/>
      <c r="S9" s="9" t="str">
        <f>IF(T9="","",_xlfn.XLOOKUP(T9,$N$4:$N$28,2,0))</f>
        <v/>
      </c>
      <c r="T9" s="9" t="str">
        <f>IF(R9="D",LARGE($N$7:$N$14,5),"")</f>
        <v/>
      </c>
    </row>
    <row r="10" spans="1:24" x14ac:dyDescent="0.3">
      <c r="B10" s="205" t="s">
        <v>686</v>
      </c>
      <c r="C10" t="s">
        <v>161</v>
      </c>
      <c r="D10" s="206"/>
      <c r="E10" s="207"/>
      <c r="F10" s="206"/>
      <c r="G10" s="207"/>
      <c r="H10" s="206"/>
      <c r="I10" s="207"/>
      <c r="J10" s="206"/>
      <c r="K10" s="207"/>
      <c r="L10" s="8">
        <f t="shared" si="0"/>
        <v>0</v>
      </c>
      <c r="M10" s="233">
        <f t="shared" si="1"/>
        <v>0</v>
      </c>
      <c r="N10" s="233">
        <f t="shared" si="2"/>
        <v>0</v>
      </c>
      <c r="R10" s="9" t="s">
        <v>162</v>
      </c>
      <c r="S10" s="9" t="str">
        <f>_xlfn.XLOOKUP(T10,$N$15:$N$22,$B$15:$B$22)</f>
        <v>Gudmundsson A.</v>
      </c>
      <c r="T10" s="208">
        <f>MAX(N15:N22)</f>
        <v>11</v>
      </c>
    </row>
    <row r="11" spans="1:24" x14ac:dyDescent="0.3">
      <c r="B11" s="204" t="s">
        <v>554</v>
      </c>
      <c r="C11" t="s">
        <v>161</v>
      </c>
      <c r="D11" s="206">
        <v>6.5</v>
      </c>
      <c r="E11" s="207">
        <v>6.5</v>
      </c>
      <c r="F11" s="206">
        <v>5.5</v>
      </c>
      <c r="G11" s="207">
        <v>5.5</v>
      </c>
      <c r="H11" s="206">
        <v>6</v>
      </c>
      <c r="I11" s="207">
        <v>6</v>
      </c>
      <c r="J11" s="206"/>
      <c r="K11" s="207"/>
      <c r="L11" s="8">
        <f t="shared" si="0"/>
        <v>3</v>
      </c>
      <c r="M11" s="233">
        <f t="shared" si="1"/>
        <v>6</v>
      </c>
      <c r="N11" s="233">
        <f t="shared" si="2"/>
        <v>6</v>
      </c>
      <c r="R11" s="9" t="s">
        <v>162</v>
      </c>
      <c r="S11" s="9" t="str">
        <f>_xlfn.XLOOKUP(T11,$N$15:$N$22,$B$15:$B$22)</f>
        <v>Frattesi</v>
      </c>
      <c r="T11" s="9">
        <f>LARGE($N$15:$N$22,2)</f>
        <v>10.5</v>
      </c>
      <c r="X11" s="9">
        <f>AVERAGE(LARGE(X5:X8,1),LARGE(X5:X8,2),LARGE(X5:X8,3),X4)</f>
        <v>6.583333333333333</v>
      </c>
    </row>
    <row r="12" spans="1:24" x14ac:dyDescent="0.3">
      <c r="B12" s="204" t="s">
        <v>918</v>
      </c>
      <c r="C12" t="s">
        <v>161</v>
      </c>
      <c r="D12" s="206">
        <v>7</v>
      </c>
      <c r="E12" s="207">
        <v>10</v>
      </c>
      <c r="F12" s="206"/>
      <c r="G12" s="207"/>
      <c r="H12" s="206"/>
      <c r="I12" s="207"/>
      <c r="J12" s="206"/>
      <c r="K12" s="207"/>
      <c r="L12" s="8">
        <f t="shared" si="0"/>
        <v>1</v>
      </c>
      <c r="M12" s="233">
        <f t="shared" si="1"/>
        <v>7</v>
      </c>
      <c r="N12" s="233">
        <f t="shared" si="2"/>
        <v>10</v>
      </c>
      <c r="R12" s="9" t="s">
        <v>162</v>
      </c>
      <c r="S12" s="9" t="str">
        <f>_xlfn.XLOOKUP(T12,$N$15:$N$22,$B$15:$B$22)</f>
        <v>Calò</v>
      </c>
      <c r="T12" s="9">
        <f>LARGE($N$15:$N$22,3)</f>
        <v>6.5</v>
      </c>
    </row>
    <row r="13" spans="1:24" x14ac:dyDescent="0.3">
      <c r="B13" s="205" t="s">
        <v>816</v>
      </c>
      <c r="C13" t="s">
        <v>161</v>
      </c>
      <c r="D13" s="206">
        <v>6.5</v>
      </c>
      <c r="E13" s="207">
        <v>7</v>
      </c>
      <c r="F13" s="206">
        <v>5</v>
      </c>
      <c r="G13" s="207">
        <v>5</v>
      </c>
      <c r="H13" s="206">
        <v>5.5</v>
      </c>
      <c r="I13" s="207">
        <v>5.5</v>
      </c>
      <c r="J13" s="206"/>
      <c r="K13" s="207"/>
      <c r="L13" s="8">
        <f t="shared" si="0"/>
        <v>3</v>
      </c>
      <c r="M13" s="233">
        <f t="shared" si="1"/>
        <v>5.666666666666667</v>
      </c>
      <c r="N13" s="233">
        <f t="shared" si="2"/>
        <v>5.833333333333333</v>
      </c>
      <c r="R13" s="9" t="s">
        <v>420</v>
      </c>
      <c r="S13" s="9" t="str">
        <f>_xlfn.XLOOKUP(T13,$N$15:$N$22,$B$15:$B$22)</f>
        <v>Calhanoglu</v>
      </c>
      <c r="T13" s="9">
        <f>IF(R13="C",LARGE($N$15:$N$22,4),"")</f>
        <v>6</v>
      </c>
    </row>
    <row r="14" spans="1:24" x14ac:dyDescent="0.3">
      <c r="B14" s="205" t="s">
        <v>801</v>
      </c>
      <c r="C14" t="s">
        <v>161</v>
      </c>
      <c r="D14" s="206"/>
      <c r="E14" s="207"/>
      <c r="F14" s="206"/>
      <c r="G14" s="207"/>
      <c r="H14" s="206"/>
      <c r="I14" s="207"/>
      <c r="J14" s="206"/>
      <c r="K14" s="207"/>
      <c r="L14" s="8">
        <f t="shared" si="0"/>
        <v>0</v>
      </c>
      <c r="M14" s="233">
        <f t="shared" si="1"/>
        <v>0</v>
      </c>
      <c r="N14" s="233">
        <f t="shared" si="2"/>
        <v>0</v>
      </c>
      <c r="R14" s="9"/>
      <c r="S14" s="9" t="str">
        <f>IF(R14="c",_xlfn.XLOOKUP(T14,$N$15:$N$22,$B$15:$B$22),"")</f>
        <v/>
      </c>
      <c r="T14" s="9" t="str">
        <f>IF(R14="C",LARGE($N$15:$N$22,5),"")</f>
        <v/>
      </c>
    </row>
    <row r="15" spans="1:24" x14ac:dyDescent="0.3">
      <c r="B15" s="205" t="s">
        <v>218</v>
      </c>
      <c r="C15" t="s">
        <v>162</v>
      </c>
      <c r="D15" s="206"/>
      <c r="E15" s="207"/>
      <c r="F15" s="206"/>
      <c r="G15" s="207"/>
      <c r="H15" s="206">
        <v>6</v>
      </c>
      <c r="I15" s="207">
        <v>6</v>
      </c>
      <c r="J15" s="206"/>
      <c r="K15" s="207"/>
      <c r="L15" s="8">
        <f t="shared" si="0"/>
        <v>1</v>
      </c>
      <c r="M15" s="233">
        <f t="shared" si="1"/>
        <v>6</v>
      </c>
      <c r="N15" s="233">
        <f t="shared" si="2"/>
        <v>6</v>
      </c>
      <c r="R15" s="9" t="s">
        <v>163</v>
      </c>
      <c r="S15" s="9" t="str">
        <f>_xlfn.XLOOKUP(T15,$N$23:$N$28,$B$23:$B$28)</f>
        <v>Martinez L.</v>
      </c>
      <c r="T15" s="208">
        <f>MAX(N23:N28)</f>
        <v>14</v>
      </c>
    </row>
    <row r="16" spans="1:24" x14ac:dyDescent="0.3">
      <c r="B16" s="205" t="s">
        <v>258</v>
      </c>
      <c r="C16" t="s">
        <v>162</v>
      </c>
      <c r="D16" s="206"/>
      <c r="E16" s="207"/>
      <c r="F16" s="206"/>
      <c r="G16" s="207"/>
      <c r="H16" s="206">
        <v>7.6</v>
      </c>
      <c r="I16" s="207">
        <v>10.5</v>
      </c>
      <c r="J16" s="206"/>
      <c r="K16" s="207"/>
      <c r="L16" s="8">
        <f t="shared" si="0"/>
        <v>1</v>
      </c>
      <c r="M16" s="233">
        <f t="shared" si="1"/>
        <v>7.6</v>
      </c>
      <c r="N16" s="233">
        <f t="shared" si="2"/>
        <v>10.5</v>
      </c>
      <c r="R16" s="9" t="s">
        <v>163</v>
      </c>
      <c r="S16" s="9" t="str">
        <f>_xlfn.XLOOKUP(T16,$N$23:$N$28,$B$23:$B$28)</f>
        <v>Yeboah J.</v>
      </c>
      <c r="T16" s="9">
        <f>IF(R16="A",LARGE($N$23:$N$28,2),"")</f>
        <v>10</v>
      </c>
    </row>
    <row r="17" spans="1:25" x14ac:dyDescent="0.3">
      <c r="B17" s="204" t="s">
        <v>660</v>
      </c>
      <c r="C17" t="s">
        <v>162</v>
      </c>
      <c r="D17" s="206"/>
      <c r="E17" s="207"/>
      <c r="F17" s="206"/>
      <c r="G17" s="207"/>
      <c r="H17" s="206"/>
      <c r="I17" s="207"/>
      <c r="J17" s="206"/>
      <c r="K17" s="207"/>
      <c r="L17" s="8">
        <f t="shared" si="0"/>
        <v>0</v>
      </c>
      <c r="M17" s="233">
        <f t="shared" si="1"/>
        <v>0</v>
      </c>
      <c r="N17" s="233">
        <f t="shared" si="2"/>
        <v>0</v>
      </c>
      <c r="R17" s="9" t="s">
        <v>163</v>
      </c>
      <c r="S17" s="9" t="str">
        <f>_xlfn.XLOOKUP(T17,$N$23:$N$28,$B$23:$B$28)</f>
        <v>Santos A.</v>
      </c>
      <c r="T17" s="9">
        <f>IF(R17="A",LARGE($N$23:$N$28,3),"")</f>
        <v>6.5</v>
      </c>
    </row>
    <row r="18" spans="1:25" x14ac:dyDescent="0.3">
      <c r="B18" s="204" t="s">
        <v>715</v>
      </c>
      <c r="C18" t="s">
        <v>162</v>
      </c>
      <c r="D18" s="206"/>
      <c r="E18" s="207"/>
      <c r="F18" s="206"/>
      <c r="G18" s="207"/>
      <c r="H18" s="206">
        <v>7</v>
      </c>
      <c r="I18" s="207">
        <v>11</v>
      </c>
      <c r="J18" s="206"/>
      <c r="K18" s="207"/>
      <c r="L18" s="8">
        <f t="shared" si="0"/>
        <v>1</v>
      </c>
      <c r="M18" s="233">
        <f t="shared" si="1"/>
        <v>7</v>
      </c>
      <c r="N18" s="233">
        <f t="shared" si="2"/>
        <v>11</v>
      </c>
    </row>
    <row r="19" spans="1:25" x14ac:dyDescent="0.3">
      <c r="B19" s="204" t="s">
        <v>698</v>
      </c>
      <c r="C19" t="s">
        <v>162</v>
      </c>
      <c r="D19" s="206"/>
      <c r="E19" s="207"/>
      <c r="F19" s="206"/>
      <c r="G19" s="207"/>
      <c r="H19" s="206">
        <v>6</v>
      </c>
      <c r="I19" s="207">
        <v>6</v>
      </c>
      <c r="J19" s="206"/>
      <c r="K19" s="207"/>
      <c r="L19" s="8">
        <f t="shared" si="0"/>
        <v>1</v>
      </c>
      <c r="M19" s="233">
        <f t="shared" si="1"/>
        <v>6</v>
      </c>
      <c r="N19" s="233">
        <f t="shared" si="2"/>
        <v>6</v>
      </c>
      <c r="S19" t="s">
        <v>182</v>
      </c>
      <c r="T19" t="b">
        <f>IF(X11&lt;6,0,IF(6&lt;=X11&lt;6.5,1,IF(6.5&lt;=X11&lt;7,3,IF(X11&gt;=7,6))))</f>
        <v>0</v>
      </c>
    </row>
    <row r="20" spans="1:25" x14ac:dyDescent="0.3">
      <c r="B20" s="205" t="s">
        <v>734</v>
      </c>
      <c r="C20" t="s">
        <v>162</v>
      </c>
      <c r="D20" s="206"/>
      <c r="E20" s="207"/>
      <c r="F20" s="206"/>
      <c r="G20" s="207"/>
      <c r="H20" s="206">
        <v>6.5</v>
      </c>
      <c r="I20" s="207">
        <v>6.5</v>
      </c>
      <c r="J20" s="206"/>
      <c r="K20" s="207"/>
      <c r="L20" s="8">
        <f t="shared" si="0"/>
        <v>1</v>
      </c>
      <c r="M20" s="233">
        <f t="shared" si="1"/>
        <v>6.5</v>
      </c>
      <c r="N20" s="233">
        <f t="shared" si="2"/>
        <v>6.5</v>
      </c>
      <c r="T20" s="9">
        <f>SUM(T4:T17)</f>
        <v>93.5</v>
      </c>
    </row>
    <row r="21" spans="1:25" x14ac:dyDescent="0.3">
      <c r="A21" t="s">
        <v>1083</v>
      </c>
      <c r="B21" s="204" t="s">
        <v>929</v>
      </c>
      <c r="C21" t="s">
        <v>162</v>
      </c>
      <c r="D21" s="206"/>
      <c r="E21" s="207"/>
      <c r="F21" s="206"/>
      <c r="G21" s="207"/>
      <c r="H21" s="206">
        <v>6</v>
      </c>
      <c r="I21" s="207">
        <v>6</v>
      </c>
      <c r="J21" s="206"/>
      <c r="K21" s="207"/>
      <c r="L21" s="8">
        <f t="shared" si="0"/>
        <v>1</v>
      </c>
      <c r="M21" s="233">
        <f t="shared" si="1"/>
        <v>0</v>
      </c>
      <c r="N21" s="233">
        <f t="shared" si="2"/>
        <v>0</v>
      </c>
    </row>
    <row r="22" spans="1:25" x14ac:dyDescent="0.3">
      <c r="B22" s="205" t="s">
        <v>639</v>
      </c>
      <c r="C22" t="s">
        <v>162</v>
      </c>
      <c r="D22" s="206"/>
      <c r="E22" s="207"/>
      <c r="F22" s="206"/>
      <c r="G22" s="207"/>
      <c r="H22" s="206">
        <v>5.5</v>
      </c>
      <c r="I22" s="207">
        <v>4.5</v>
      </c>
      <c r="J22" s="206"/>
      <c r="K22" s="207"/>
      <c r="L22" s="8">
        <f t="shared" si="0"/>
        <v>1</v>
      </c>
      <c r="M22" s="233">
        <f t="shared" si="1"/>
        <v>5.5</v>
      </c>
      <c r="N22" s="233">
        <f t="shared" si="2"/>
        <v>4.5</v>
      </c>
    </row>
    <row r="23" spans="1:25" x14ac:dyDescent="0.3">
      <c r="B23" s="205" t="s">
        <v>233</v>
      </c>
      <c r="C23" t="s">
        <v>163</v>
      </c>
      <c r="D23" s="206"/>
      <c r="E23" s="207"/>
      <c r="F23" s="206"/>
      <c r="G23" s="207"/>
      <c r="H23" s="206">
        <v>7.5</v>
      </c>
      <c r="I23" s="207">
        <v>14</v>
      </c>
      <c r="J23" s="206"/>
      <c r="K23" s="207"/>
      <c r="L23" s="8">
        <f t="shared" si="0"/>
        <v>1</v>
      </c>
      <c r="M23" s="233">
        <f t="shared" si="1"/>
        <v>7.5</v>
      </c>
      <c r="N23" s="233">
        <f t="shared" si="2"/>
        <v>14</v>
      </c>
    </row>
    <row r="24" spans="1:25" x14ac:dyDescent="0.3">
      <c r="B24" s="205" t="s">
        <v>641</v>
      </c>
      <c r="C24" t="s">
        <v>163</v>
      </c>
      <c r="D24" s="206"/>
      <c r="E24" s="207"/>
      <c r="F24" s="206"/>
      <c r="G24" s="207"/>
      <c r="H24" s="206">
        <v>5.5</v>
      </c>
      <c r="I24" s="207">
        <v>5.5</v>
      </c>
      <c r="J24" s="206"/>
      <c r="K24" s="207"/>
      <c r="L24" s="8">
        <f t="shared" si="0"/>
        <v>1</v>
      </c>
      <c r="M24" s="233">
        <f t="shared" si="1"/>
        <v>5.5</v>
      </c>
      <c r="N24" s="233">
        <f t="shared" si="2"/>
        <v>5.5</v>
      </c>
      <c r="S24" t="s">
        <v>1072</v>
      </c>
      <c r="T24" s="9">
        <f>IF(VLOOKUP(S24,$B$4:$N$28,12,0)=0,0,VLOOKUP(S24,$B$4:$N$28,12,0))</f>
        <v>6.333333333333333</v>
      </c>
      <c r="U24" s="9">
        <f>IF(VLOOKUP(S24,$B$4:$N$28,13,0)=0,0,VLOOKUP(S24,$B$4:$N$28,13,0))</f>
        <v>6</v>
      </c>
      <c r="X24" s="9">
        <f>AVERAGE(U24,LARGE(U25:U28,1),LARGE(U25:U28,2),LARGE(U25:U28,3))</f>
        <v>6.25</v>
      </c>
      <c r="Y24" t="s">
        <v>51</v>
      </c>
    </row>
    <row r="25" spans="1:25" x14ac:dyDescent="0.3">
      <c r="B25" s="205" t="s">
        <v>988</v>
      </c>
      <c r="C25" t="s">
        <v>163</v>
      </c>
      <c r="D25" s="206"/>
      <c r="E25" s="207"/>
      <c r="F25" s="206"/>
      <c r="G25" s="207"/>
      <c r="H25" s="206">
        <v>7</v>
      </c>
      <c r="I25" s="207">
        <v>10</v>
      </c>
      <c r="J25" s="206"/>
      <c r="K25" s="207"/>
      <c r="L25" s="8">
        <f t="shared" si="0"/>
        <v>1</v>
      </c>
      <c r="M25" s="233">
        <f t="shared" si="1"/>
        <v>7</v>
      </c>
      <c r="N25" s="233">
        <f t="shared" si="2"/>
        <v>10</v>
      </c>
      <c r="S25" t="s">
        <v>1073</v>
      </c>
      <c r="T25" s="9">
        <f t="shared" ref="T25:T34" si="3">IF(VLOOKUP(S25,$B$4:$N$28,12,0)=0,0,VLOOKUP(S25,$B$4:$N$28,12,0))</f>
        <v>6.5</v>
      </c>
      <c r="U25" s="9">
        <f t="shared" ref="U25:U34" si="4">IF(VLOOKUP(S25,$B$4:$N$28,13,0)=0,0,VLOOKUP(S25,$B$4:$N$28,13,0))</f>
        <v>6.5</v>
      </c>
    </row>
    <row r="26" spans="1:25" x14ac:dyDescent="0.3">
      <c r="B26" s="204" t="s">
        <v>872</v>
      </c>
      <c r="C26" t="s">
        <v>163</v>
      </c>
      <c r="D26" s="206"/>
      <c r="E26" s="207"/>
      <c r="F26" s="206"/>
      <c r="G26" s="207"/>
      <c r="H26" s="206">
        <v>6.5</v>
      </c>
      <c r="I26" s="207">
        <v>6.5</v>
      </c>
      <c r="J26" s="206"/>
      <c r="K26" s="207"/>
      <c r="L26" s="8">
        <f t="shared" si="0"/>
        <v>1</v>
      </c>
      <c r="M26" s="233">
        <f t="shared" si="1"/>
        <v>6.5</v>
      </c>
      <c r="N26" s="233">
        <f t="shared" si="2"/>
        <v>6.5</v>
      </c>
      <c r="S26" t="s">
        <v>1074</v>
      </c>
      <c r="T26" s="9">
        <f t="shared" si="3"/>
        <v>6.5</v>
      </c>
      <c r="U26" s="9">
        <f t="shared" si="4"/>
        <v>6.5</v>
      </c>
    </row>
    <row r="27" spans="1:25" x14ac:dyDescent="0.3">
      <c r="B27" s="205" t="s">
        <v>888</v>
      </c>
      <c r="C27" t="s">
        <v>163</v>
      </c>
      <c r="D27" s="206"/>
      <c r="E27" s="207"/>
      <c r="F27" s="206"/>
      <c r="G27" s="207"/>
      <c r="H27" s="206"/>
      <c r="I27" s="207"/>
      <c r="J27" s="206"/>
      <c r="K27" s="207"/>
      <c r="L27" s="8">
        <f t="shared" si="0"/>
        <v>0</v>
      </c>
      <c r="M27" s="233">
        <f t="shared" si="1"/>
        <v>0</v>
      </c>
      <c r="N27" s="233">
        <f t="shared" si="2"/>
        <v>0</v>
      </c>
      <c r="S27" t="s">
        <v>1075</v>
      </c>
      <c r="T27" s="9">
        <f t="shared" si="3"/>
        <v>6</v>
      </c>
      <c r="U27" s="9">
        <f t="shared" si="4"/>
        <v>6</v>
      </c>
    </row>
    <row r="28" spans="1:25" x14ac:dyDescent="0.3">
      <c r="A28" t="s">
        <v>1083</v>
      </c>
      <c r="B28" s="204" t="s">
        <v>791</v>
      </c>
      <c r="C28" t="s">
        <v>163</v>
      </c>
      <c r="D28" s="206"/>
      <c r="E28" s="207"/>
      <c r="F28" s="206"/>
      <c r="G28" s="207"/>
      <c r="H28" s="206">
        <v>6</v>
      </c>
      <c r="I28" s="207">
        <v>6</v>
      </c>
      <c r="J28" s="206"/>
      <c r="K28" s="207"/>
      <c r="L28" s="8">
        <f t="shared" si="0"/>
        <v>1</v>
      </c>
      <c r="M28" s="233">
        <f t="shared" si="1"/>
        <v>0</v>
      </c>
      <c r="N28" s="233">
        <f t="shared" si="2"/>
        <v>0</v>
      </c>
      <c r="S28" t="s">
        <v>1082</v>
      </c>
      <c r="T28" s="9">
        <f t="shared" si="3"/>
        <v>0</v>
      </c>
      <c r="U28" s="9">
        <f t="shared" si="4"/>
        <v>0</v>
      </c>
    </row>
    <row r="29" spans="1:25" x14ac:dyDescent="0.3">
      <c r="S29" t="s">
        <v>1076</v>
      </c>
      <c r="T29" s="9">
        <f t="shared" si="3"/>
        <v>7.6</v>
      </c>
      <c r="U29" s="9">
        <f t="shared" si="4"/>
        <v>10.5</v>
      </c>
    </row>
    <row r="30" spans="1:25" x14ac:dyDescent="0.3">
      <c r="S30" t="s">
        <v>1077</v>
      </c>
      <c r="T30" s="9">
        <f t="shared" si="3"/>
        <v>7</v>
      </c>
      <c r="U30" s="9">
        <f t="shared" si="4"/>
        <v>11</v>
      </c>
    </row>
    <row r="31" spans="1:25" x14ac:dyDescent="0.3">
      <c r="S31" t="s">
        <v>1078</v>
      </c>
      <c r="T31" s="9">
        <f t="shared" si="3"/>
        <v>6</v>
      </c>
      <c r="U31" s="9">
        <f t="shared" si="4"/>
        <v>6</v>
      </c>
    </row>
    <row r="32" spans="1:25" x14ac:dyDescent="0.3">
      <c r="S32" t="s">
        <v>1081</v>
      </c>
      <c r="T32" s="9">
        <f t="shared" si="3"/>
        <v>5.5</v>
      </c>
      <c r="U32" s="9">
        <f t="shared" si="4"/>
        <v>5.5</v>
      </c>
    </row>
    <row r="33" spans="19:23" x14ac:dyDescent="0.3">
      <c r="S33" t="s">
        <v>1080</v>
      </c>
      <c r="T33" s="9">
        <f t="shared" si="3"/>
        <v>7</v>
      </c>
      <c r="U33" s="9">
        <f t="shared" si="4"/>
        <v>10</v>
      </c>
    </row>
    <row r="34" spans="19:23" x14ac:dyDescent="0.3">
      <c r="S34" t="s">
        <v>1079</v>
      </c>
      <c r="T34" s="9">
        <f t="shared" si="3"/>
        <v>7.5</v>
      </c>
      <c r="U34" s="9">
        <f t="shared" si="4"/>
        <v>14</v>
      </c>
    </row>
    <row r="35" spans="19:23" x14ac:dyDescent="0.3">
      <c r="U35">
        <f>AVERAGE(U24,LARGE(U25:U28,1),LARGE(U25:U28,2),LARGE(U25:U28,3))</f>
        <v>6.25</v>
      </c>
    </row>
    <row r="37" spans="19:23" x14ac:dyDescent="0.3">
      <c r="T37" s="9">
        <f>SUM(T24:T34)</f>
        <v>65.933333333333337</v>
      </c>
      <c r="U37">
        <f>SUM(U24:U34)</f>
        <v>82</v>
      </c>
      <c r="W37">
        <f>SUM(W24:W34)</f>
        <v>0</v>
      </c>
    </row>
    <row r="38" spans="19:23" x14ac:dyDescent="0.3">
      <c r="U38">
        <v>1</v>
      </c>
    </row>
  </sheetData>
  <mergeCells count="4">
    <mergeCell ref="D1:E1"/>
    <mergeCell ref="F1:G1"/>
    <mergeCell ref="H1:I1"/>
    <mergeCell ref="J1:K1"/>
  </mergeCells>
  <dataValidations count="1">
    <dataValidation type="list" allowBlank="1" showInputMessage="1" showErrorMessage="1" sqref="R4:R17" xr:uid="{89138337-3CDE-4BD2-9B96-485ADE8F01BA}">
      <formula1>$Q$4:$Q$8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A0969-3F8D-4CE8-B203-8058EEE489C1}">
  <sheetPr codeName="Foglio41">
    <tabColor rgb="FFFFFF00"/>
  </sheetPr>
  <dimension ref="A1:AC1034566"/>
  <sheetViews>
    <sheetView zoomScale="80" zoomScaleNormal="80" workbookViewId="0">
      <pane ySplit="1" topLeftCell="A601" activePane="bottomLeft" state="frozen"/>
      <selection pane="bottomLeft" activeCell="R756" sqref="R756"/>
    </sheetView>
  </sheetViews>
  <sheetFormatPr defaultRowHeight="14.4" x14ac:dyDescent="0.3"/>
  <cols>
    <col min="1" max="1" width="11.6640625" style="14" customWidth="1"/>
    <col min="2" max="2" width="4.44140625" style="15" customWidth="1"/>
    <col min="3" max="3" width="12.6640625" style="268" customWidth="1"/>
    <col min="4" max="4" width="7.33203125" customWidth="1"/>
    <col min="5" max="5" width="18.33203125" customWidth="1"/>
    <col min="6" max="6" width="6.6640625" customWidth="1"/>
    <col min="7" max="7" width="5.33203125" style="180" customWidth="1"/>
    <col min="8" max="8" width="5.44140625" style="180" customWidth="1"/>
    <col min="9" max="9" width="5.33203125" style="180" customWidth="1"/>
    <col min="10" max="10" width="5" style="180" customWidth="1"/>
    <col min="11" max="11" width="5.5546875" style="180" customWidth="1"/>
    <col min="12" max="12" width="5.33203125" style="180" customWidth="1"/>
    <col min="13" max="13" width="7.5546875" style="180" customWidth="1"/>
    <col min="14" max="14" width="6.33203125" style="180" customWidth="1"/>
    <col min="15" max="16" width="6.5546875" style="180" customWidth="1"/>
    <col min="17" max="17" width="6.33203125" style="180" customWidth="1"/>
    <col min="18" max="18" width="20.44140625" style="8" customWidth="1"/>
    <col min="19" max="19" width="6.5546875" customWidth="1"/>
    <col min="20" max="20" width="10.6640625" customWidth="1"/>
    <col min="21" max="21" width="10" customWidth="1"/>
    <col min="22" max="22" width="6.88671875" customWidth="1"/>
    <col min="23" max="23" width="5.44140625" customWidth="1"/>
    <col min="24" max="24" width="9.109375" customWidth="1"/>
    <col min="25" max="25" width="7.44140625" customWidth="1"/>
    <col min="26" max="26" width="11.109375" customWidth="1"/>
    <col min="27" max="27" width="16.33203125" customWidth="1"/>
    <col min="28" max="28" width="21.109375" customWidth="1"/>
  </cols>
  <sheetData>
    <row r="1" spans="1:29" s="311" customFormat="1" ht="67.5" customHeight="1" x14ac:dyDescent="0.3">
      <c r="A1" s="303" t="s">
        <v>183</v>
      </c>
      <c r="B1" s="303" t="s">
        <v>184</v>
      </c>
      <c r="C1" s="304" t="s">
        <v>1</v>
      </c>
      <c r="D1" s="305" t="s">
        <v>185</v>
      </c>
      <c r="E1" s="305" t="s">
        <v>186</v>
      </c>
      <c r="F1" s="305" t="s">
        <v>187</v>
      </c>
      <c r="G1" s="305" t="s">
        <v>188</v>
      </c>
      <c r="H1" s="305" t="s">
        <v>189</v>
      </c>
      <c r="I1" s="305" t="s">
        <v>190</v>
      </c>
      <c r="J1" s="305" t="s">
        <v>191</v>
      </c>
      <c r="K1" s="305" t="s">
        <v>192</v>
      </c>
      <c r="L1" s="305" t="s">
        <v>193</v>
      </c>
      <c r="M1" s="305" t="s">
        <v>194</v>
      </c>
      <c r="N1" s="305" t="s">
        <v>195</v>
      </c>
      <c r="O1" s="305" t="s">
        <v>196</v>
      </c>
      <c r="P1" s="305" t="s">
        <v>197</v>
      </c>
      <c r="Q1" s="306" t="s">
        <v>198</v>
      </c>
      <c r="R1" s="306" t="s">
        <v>199</v>
      </c>
      <c r="S1" s="306" t="s">
        <v>200</v>
      </c>
      <c r="T1" s="305" t="s">
        <v>201</v>
      </c>
      <c r="U1" s="307" t="s">
        <v>202</v>
      </c>
      <c r="V1" s="307" t="s">
        <v>203</v>
      </c>
      <c r="W1" s="303" t="s">
        <v>412</v>
      </c>
      <c r="X1" s="308" t="s">
        <v>413</v>
      </c>
      <c r="Y1" s="309" t="s">
        <v>414</v>
      </c>
      <c r="Z1" s="308" t="s">
        <v>415</v>
      </c>
      <c r="AA1" s="310" t="s">
        <v>490</v>
      </c>
      <c r="AB1" s="310" t="s">
        <v>491</v>
      </c>
      <c r="AC1" s="310" t="s">
        <v>493</v>
      </c>
    </row>
    <row r="2" spans="1:29" hidden="1" x14ac:dyDescent="0.3">
      <c r="A2" s="286">
        <v>46254</v>
      </c>
      <c r="B2" s="15">
        <v>1</v>
      </c>
      <c r="C2" s="283" t="s">
        <v>642</v>
      </c>
      <c r="D2" t="s">
        <v>5</v>
      </c>
      <c r="E2" t="s">
        <v>604</v>
      </c>
      <c r="F2" s="194">
        <v>6.5</v>
      </c>
      <c r="G2" s="328">
        <v>0</v>
      </c>
      <c r="H2" s="329">
        <v>1</v>
      </c>
      <c r="I2" s="328">
        <v>0</v>
      </c>
      <c r="J2" s="328">
        <v>0</v>
      </c>
      <c r="K2" s="328">
        <v>0</v>
      </c>
      <c r="L2" s="328">
        <v>0</v>
      </c>
      <c r="M2" s="328">
        <v>0</v>
      </c>
      <c r="N2" s="328">
        <v>0</v>
      </c>
      <c r="O2" s="329">
        <v>1</v>
      </c>
      <c r="P2" s="300"/>
      <c r="Q2" s="284">
        <f t="shared" ref="Q2:Q53" si="0">IF(AC2="P0",1,0)</f>
        <v>0</v>
      </c>
      <c r="R2" s="3"/>
      <c r="S2" s="312">
        <f>Tabella1[[#This Row],[Gf]]+Tabella1[[#This Row],[Rf]]</f>
        <v>0</v>
      </c>
      <c r="T2" s="193"/>
      <c r="U2" s="285" t="str" cm="1">
        <f t="array" ref="U2">IF(Tabella1[[#This Row],[N° FantaTit]]=1,Tabella1[fanta voto],"")</f>
        <v/>
      </c>
      <c r="V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" s="195"/>
      <c r="X2" s="193" t="str">
        <f>IF(Tabella1[[#This Row],[Best 11]]=1,Tabella1[[#This Row],[fanta voto]],"")</f>
        <v/>
      </c>
      <c r="Z2" s="193" t="str">
        <f>IF(Tabella1[[#This Row],[Best 11 MOD]]=1,Tabella1[[#This Row],[fanta voto]],"")</f>
        <v/>
      </c>
      <c r="AA2" t="str">
        <f>CONCATENATE(Tabella1[[#This Row],[GG]],Tabella1[[#This Row],[Nome]])</f>
        <v>1Carnesecchi</v>
      </c>
      <c r="AC2" t="str">
        <f>_xlfn.CONCAT(Tabella1[[#This Row],[Ruolo]],Tabella1[[#This Row],[Gs]])</f>
        <v>P1</v>
      </c>
    </row>
    <row r="3" spans="1:29" hidden="1" x14ac:dyDescent="0.3">
      <c r="A3" s="286">
        <v>46254</v>
      </c>
      <c r="B3" s="15">
        <v>1</v>
      </c>
      <c r="C3" s="283" t="s">
        <v>642</v>
      </c>
      <c r="D3" s="330" t="s">
        <v>161</v>
      </c>
      <c r="E3" s="330" t="s">
        <v>331</v>
      </c>
      <c r="F3" s="331">
        <v>6.5</v>
      </c>
      <c r="G3" s="332">
        <v>0</v>
      </c>
      <c r="H3" s="332">
        <v>0</v>
      </c>
      <c r="I3" s="332">
        <v>0</v>
      </c>
      <c r="J3" s="332">
        <v>0</v>
      </c>
      <c r="K3" s="332">
        <v>0</v>
      </c>
      <c r="L3" s="332">
        <v>0</v>
      </c>
      <c r="M3" s="332">
        <v>0</v>
      </c>
      <c r="N3" s="332">
        <v>0</v>
      </c>
      <c r="O3" s="332">
        <v>0</v>
      </c>
      <c r="P3" s="300"/>
      <c r="Q3" s="284">
        <f t="shared" si="0"/>
        <v>0</v>
      </c>
      <c r="R3" s="3"/>
      <c r="S3" s="312">
        <f>Tabella1[[#This Row],[Gf]]+Tabella1[[#This Row],[Rf]]</f>
        <v>0</v>
      </c>
      <c r="T3" s="193"/>
      <c r="U3" s="285" t="str">
        <f>IF(Tabella1[[#This Row],[N° FantaTit]]=1,Tabella1[[#This Row],[Voto]],"")</f>
        <v/>
      </c>
      <c r="V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3" s="195"/>
      <c r="X3" s="193" t="str">
        <f>IF(Tabella1[[#This Row],[Best 11]]=1,Tabella1[[#This Row],[fanta voto]],"")</f>
        <v/>
      </c>
      <c r="Z3" s="193" t="str">
        <f>IF(Tabella1[[#This Row],[Best 11 MOD]]=1,Tabella1[[#This Row],[fanta voto]],"")</f>
        <v/>
      </c>
      <c r="AA3" t="str">
        <f>CONCATENATE(Tabella1[[#This Row],[GG]],Tabella1[[#This Row],[Nome]])</f>
        <v>1Zappacosta</v>
      </c>
      <c r="AC3" t="str">
        <f>_xlfn.CONCAT(Tabella1[[#This Row],[Ruolo]],Tabella1[[#This Row],[Gs]])</f>
        <v>D0</v>
      </c>
    </row>
    <row r="4" spans="1:29" hidden="1" x14ac:dyDescent="0.3">
      <c r="A4" s="286">
        <v>46254</v>
      </c>
      <c r="B4" s="15">
        <v>1</v>
      </c>
      <c r="C4" s="283" t="s">
        <v>642</v>
      </c>
      <c r="D4" t="s">
        <v>161</v>
      </c>
      <c r="E4" t="s">
        <v>635</v>
      </c>
      <c r="F4" s="194">
        <v>6</v>
      </c>
      <c r="G4" s="328">
        <v>0</v>
      </c>
      <c r="H4" s="328">
        <v>0</v>
      </c>
      <c r="I4" s="328">
        <v>0</v>
      </c>
      <c r="J4" s="328">
        <v>0</v>
      </c>
      <c r="K4" s="328">
        <v>0</v>
      </c>
      <c r="L4" s="328">
        <v>0</v>
      </c>
      <c r="M4" s="328">
        <v>0</v>
      </c>
      <c r="N4" s="328">
        <v>0</v>
      </c>
      <c r="O4" s="328">
        <v>0</v>
      </c>
      <c r="P4" s="300"/>
      <c r="Q4" s="284">
        <f t="shared" si="0"/>
        <v>0</v>
      </c>
      <c r="R4" s="3"/>
      <c r="S4" s="312">
        <f>Tabella1[[#This Row],[Gf]]+Tabella1[[#This Row],[Rf]]</f>
        <v>0</v>
      </c>
      <c r="T4" s="193"/>
      <c r="U4" s="285" t="str">
        <f>IF(Tabella1[[#This Row],[N° FantaTit]]=1,Tabella1[[#This Row],[Voto]],"")</f>
        <v/>
      </c>
      <c r="V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4" s="195"/>
      <c r="X4" s="193" t="str">
        <f>IF(Tabella1[[#This Row],[Best 11]]=1,Tabella1[[#This Row],[fanta voto]],"")</f>
        <v/>
      </c>
      <c r="Z4" s="193" t="str">
        <f>IF(Tabella1[[#This Row],[Best 11 MOD]]=1,Tabella1[[#This Row],[fanta voto]],"")</f>
        <v/>
      </c>
      <c r="AA4" t="str">
        <f>CONCATENATE(Tabella1[[#This Row],[GG]],Tabella1[[#This Row],[Nome]])</f>
        <v>1Kolasinac</v>
      </c>
      <c r="AC4" t="str">
        <f>_xlfn.CONCAT(Tabella1[[#This Row],[Ruolo]],Tabella1[[#This Row],[Gs]])</f>
        <v>D0</v>
      </c>
    </row>
    <row r="5" spans="1:29" hidden="1" x14ac:dyDescent="0.3">
      <c r="A5" s="286">
        <v>46254</v>
      </c>
      <c r="B5" s="15">
        <v>1</v>
      </c>
      <c r="C5" s="283" t="s">
        <v>642</v>
      </c>
      <c r="D5" s="330" t="s">
        <v>161</v>
      </c>
      <c r="E5" s="330" t="s">
        <v>636</v>
      </c>
      <c r="F5" s="331">
        <v>6</v>
      </c>
      <c r="G5" s="332">
        <v>0</v>
      </c>
      <c r="H5" s="332">
        <v>0</v>
      </c>
      <c r="I5" s="332">
        <v>0</v>
      </c>
      <c r="J5" s="332">
        <v>0</v>
      </c>
      <c r="K5" s="332">
        <v>0</v>
      </c>
      <c r="L5" s="332">
        <v>0</v>
      </c>
      <c r="M5" s="332">
        <v>0</v>
      </c>
      <c r="N5" s="332">
        <v>0</v>
      </c>
      <c r="O5" s="332">
        <v>0</v>
      </c>
      <c r="P5" s="300"/>
      <c r="Q5" s="284">
        <f t="shared" si="0"/>
        <v>0</v>
      </c>
      <c r="R5" s="3" t="str">
        <f>_xlfn.IFNA(VLOOKUP(Tabella1[[#This Row],[Nome]],'ROSE SQUADRE'!$N$3:$O$203,2,0),"")</f>
        <v>SESTO ASENSIO</v>
      </c>
      <c r="S5" s="312">
        <f>Tabella1[[#This Row],[Gf]]+Tabella1[[#This Row],[Rf]]</f>
        <v>0</v>
      </c>
      <c r="T5" s="193"/>
      <c r="U5" s="285" t="str">
        <f>IF(Tabella1[[#This Row],[N° FantaTit]]=1,Tabella1[[#This Row],[Voto]],"")</f>
        <v/>
      </c>
      <c r="V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5" s="195"/>
      <c r="X5" s="193" t="str">
        <f>IF(Tabella1[[#This Row],[Best 11]]=1,Tabella1[[#This Row],[fanta voto]],"")</f>
        <v/>
      </c>
      <c r="Z5" s="193" t="str">
        <f>IF(Tabella1[[#This Row],[Best 11 MOD]]=1,Tabella1[[#This Row],[fanta voto]],"")</f>
        <v/>
      </c>
      <c r="AA5" t="str">
        <f>CONCATENATE(Tabella1[[#This Row],[GG]],Tabella1[[#This Row],[Nome]])</f>
        <v>1Scalvini</v>
      </c>
      <c r="AC5" t="str">
        <f>_xlfn.CONCAT(Tabella1[[#This Row],[Ruolo]],Tabella1[[#This Row],[Gs]])</f>
        <v>D0</v>
      </c>
    </row>
    <row r="6" spans="1:29" hidden="1" x14ac:dyDescent="0.3">
      <c r="A6" s="286">
        <v>46254</v>
      </c>
      <c r="B6" s="15">
        <v>1</v>
      </c>
      <c r="C6" s="283" t="s">
        <v>642</v>
      </c>
      <c r="D6" t="s">
        <v>161</v>
      </c>
      <c r="E6" t="s">
        <v>637</v>
      </c>
      <c r="F6" s="194">
        <v>5.5</v>
      </c>
      <c r="G6" s="328">
        <v>0</v>
      </c>
      <c r="H6" s="328">
        <v>0</v>
      </c>
      <c r="I6" s="328">
        <v>0</v>
      </c>
      <c r="J6" s="328">
        <v>0</v>
      </c>
      <c r="K6" s="328">
        <v>0</v>
      </c>
      <c r="L6" s="328">
        <v>0</v>
      </c>
      <c r="M6" s="328">
        <v>0</v>
      </c>
      <c r="N6" s="328">
        <v>0</v>
      </c>
      <c r="O6" s="328">
        <v>0</v>
      </c>
      <c r="P6" s="300"/>
      <c r="Q6" s="284">
        <f t="shared" si="0"/>
        <v>0</v>
      </c>
      <c r="R6" s="3"/>
      <c r="S6" s="312">
        <f>Tabella1[[#This Row],[Gf]]+Tabella1[[#This Row],[Rf]]</f>
        <v>0</v>
      </c>
      <c r="T6" s="193"/>
      <c r="U6" s="285" t="str">
        <f>IF(Tabella1[[#This Row],[N° FantaTit]]=1,Tabella1[[#This Row],[Voto]],"")</f>
        <v/>
      </c>
      <c r="V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6" s="195"/>
      <c r="X6" s="193" t="str">
        <f>IF(Tabella1[[#This Row],[Best 11]]=1,Tabella1[[#This Row],[fanta voto]],"")</f>
        <v/>
      </c>
      <c r="Z6" s="193" t="str">
        <f>IF(Tabella1[[#This Row],[Best 11 MOD]]=1,Tabella1[[#This Row],[fanta voto]],"")</f>
        <v/>
      </c>
      <c r="AA6" t="str">
        <f>CONCATENATE(Tabella1[[#This Row],[GG]],Tabella1[[#This Row],[Nome]])</f>
        <v>1Kossounou</v>
      </c>
      <c r="AC6" t="str">
        <f>_xlfn.CONCAT(Tabella1[[#This Row],[Ruolo]],Tabella1[[#This Row],[Gs]])</f>
        <v>D0</v>
      </c>
    </row>
    <row r="7" spans="1:29" hidden="1" x14ac:dyDescent="0.3">
      <c r="A7" s="286">
        <v>46254</v>
      </c>
      <c r="B7" s="15">
        <v>1</v>
      </c>
      <c r="C7" s="283" t="s">
        <v>642</v>
      </c>
      <c r="D7" s="330" t="s">
        <v>161</v>
      </c>
      <c r="E7" s="330" t="s">
        <v>638</v>
      </c>
      <c r="F7" s="331">
        <v>5.5</v>
      </c>
      <c r="G7" s="332">
        <v>0</v>
      </c>
      <c r="H7" s="332">
        <v>0</v>
      </c>
      <c r="I7" s="332">
        <v>0</v>
      </c>
      <c r="J7" s="332">
        <v>0</v>
      </c>
      <c r="K7" s="332">
        <v>0</v>
      </c>
      <c r="L7" s="332">
        <v>0</v>
      </c>
      <c r="M7" s="332">
        <v>0</v>
      </c>
      <c r="N7" s="332">
        <v>0</v>
      </c>
      <c r="O7" s="332">
        <v>0</v>
      </c>
      <c r="P7" s="300"/>
      <c r="Q7" s="284">
        <f t="shared" si="0"/>
        <v>0</v>
      </c>
      <c r="R7" s="3"/>
      <c r="S7" s="312">
        <f>Tabella1[[#This Row],[Gf]]+Tabella1[[#This Row],[Rf]]</f>
        <v>0</v>
      </c>
      <c r="T7" s="193"/>
      <c r="U7" s="285" t="str">
        <f>IF(Tabella1[[#This Row],[N° FantaTit]]=1,Tabella1[[#This Row],[Voto]],"")</f>
        <v/>
      </c>
      <c r="V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7" s="195"/>
      <c r="X7" s="193" t="str">
        <f>IF(Tabella1[[#This Row],[Best 11]]=1,Tabella1[[#This Row],[fanta voto]],"")</f>
        <v/>
      </c>
      <c r="Z7" s="193" t="str">
        <f>IF(Tabella1[[#This Row],[Best 11 MOD]]=1,Tabella1[[#This Row],[fanta voto]],"")</f>
        <v/>
      </c>
      <c r="AA7" t="str">
        <f>CONCATENATE(Tabella1[[#This Row],[GG]],Tabella1[[#This Row],[Nome]])</f>
        <v>1Bernasconi</v>
      </c>
      <c r="AC7" t="str">
        <f>_xlfn.CONCAT(Tabella1[[#This Row],[Ruolo]],Tabella1[[#This Row],[Gs]])</f>
        <v>D0</v>
      </c>
    </row>
    <row r="8" spans="1:29" hidden="1" x14ac:dyDescent="0.3">
      <c r="A8" s="286">
        <v>46254</v>
      </c>
      <c r="B8" s="15">
        <v>1</v>
      </c>
      <c r="C8" s="283" t="s">
        <v>642</v>
      </c>
      <c r="D8" t="s">
        <v>162</v>
      </c>
      <c r="E8" t="s">
        <v>271</v>
      </c>
      <c r="F8" s="194">
        <v>5.5</v>
      </c>
      <c r="G8" s="328">
        <v>0</v>
      </c>
      <c r="H8" s="328">
        <v>0</v>
      </c>
      <c r="I8" s="328">
        <v>0</v>
      </c>
      <c r="J8" s="328">
        <v>0</v>
      </c>
      <c r="K8" s="328">
        <v>0</v>
      </c>
      <c r="L8" s="328">
        <v>0</v>
      </c>
      <c r="M8" s="328">
        <v>0</v>
      </c>
      <c r="N8" s="328">
        <v>0</v>
      </c>
      <c r="O8" s="328">
        <v>0</v>
      </c>
      <c r="P8" s="300"/>
      <c r="Q8" s="284">
        <f t="shared" si="0"/>
        <v>0</v>
      </c>
      <c r="R8" s="3" t="str">
        <f>_xlfn.IFNA(VLOOKUP(Tabella1[[#This Row],[Nome]],'ROSE SQUADRE'!$N$3:$O$253,2,0),"")</f>
        <v>ATL. IMPROVVISATO</v>
      </c>
      <c r="S8" s="312">
        <f>Tabella1[[#This Row],[Gf]]+Tabella1[[#This Row],[Rf]]</f>
        <v>0</v>
      </c>
      <c r="T8" s="193"/>
      <c r="U8" s="285" t="str">
        <f>IF(Tabella1[[#This Row],[N° FantaTit]]=1,Tabella1[[#This Row],[Voto]],"")</f>
        <v/>
      </c>
      <c r="V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8" s="195"/>
      <c r="X8" s="193" t="str">
        <f>IF(Tabella1[[#This Row],[Best 11]]=1,Tabella1[[#This Row],[fanta voto]],"")</f>
        <v/>
      </c>
      <c r="Z8" s="193" t="str">
        <f>IF(Tabella1[[#This Row],[Best 11 MOD]]=1,Tabella1[[#This Row],[fanta voto]],"")</f>
        <v/>
      </c>
      <c r="AA8" t="str">
        <f>CONCATENATE(Tabella1[[#This Row],[GG]],Tabella1[[#This Row],[Nome]])</f>
        <v>1Pasalic</v>
      </c>
      <c r="AC8" t="str">
        <f>_xlfn.CONCAT(Tabella1[[#This Row],[Ruolo]],Tabella1[[#This Row],[Gs]])</f>
        <v>C0</v>
      </c>
    </row>
    <row r="9" spans="1:29" hidden="1" x14ac:dyDescent="0.3">
      <c r="A9" s="286">
        <v>46254</v>
      </c>
      <c r="B9" s="15">
        <v>1</v>
      </c>
      <c r="C9" s="283" t="s">
        <v>642</v>
      </c>
      <c r="D9" s="330" t="s">
        <v>162</v>
      </c>
      <c r="E9" s="330" t="s">
        <v>639</v>
      </c>
      <c r="F9" s="331">
        <v>6.5</v>
      </c>
      <c r="G9" s="332">
        <v>0</v>
      </c>
      <c r="H9" s="332">
        <v>0</v>
      </c>
      <c r="I9" s="332">
        <v>0</v>
      </c>
      <c r="J9" s="332">
        <v>0</v>
      </c>
      <c r="K9" s="332">
        <v>0</v>
      </c>
      <c r="L9" s="332">
        <v>0</v>
      </c>
      <c r="M9" s="332">
        <v>0</v>
      </c>
      <c r="N9" s="332">
        <v>0</v>
      </c>
      <c r="O9" s="333">
        <v>1</v>
      </c>
      <c r="P9" s="300"/>
      <c r="Q9" s="284">
        <f t="shared" si="0"/>
        <v>0</v>
      </c>
      <c r="R9" s="3" t="str">
        <f>_xlfn.IFNA(VLOOKUP(Tabella1[[#This Row],[Nome]],'ROSE SQUADRE'!$N$3:$O$253,2,0),"")</f>
        <v>TRICCHETRACHT</v>
      </c>
      <c r="S9" s="312">
        <f>Tabella1[[#This Row],[Gf]]+Tabella1[[#This Row],[Rf]]</f>
        <v>0</v>
      </c>
      <c r="T9" s="193"/>
      <c r="U9" s="285" t="str">
        <f>IF(Tabella1[[#This Row],[N° FantaTit]]=1,Tabella1[[#This Row],[Voto]],"")</f>
        <v/>
      </c>
      <c r="V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7.5</v>
      </c>
      <c r="W9" s="195"/>
      <c r="X9" s="193" t="str">
        <f>IF(Tabella1[[#This Row],[Best 11]]=1,Tabella1[[#This Row],[fanta voto]],"")</f>
        <v/>
      </c>
      <c r="Z9" s="193" t="str">
        <f>IF(Tabella1[[#This Row],[Best 11 MOD]]=1,Tabella1[[#This Row],[fanta voto]],"")</f>
        <v/>
      </c>
      <c r="AA9" t="str">
        <f>CONCATENATE(Tabella1[[#This Row],[GG]],Tabella1[[#This Row],[Nome]])</f>
        <v>1Gaetano</v>
      </c>
      <c r="AC9" t="str">
        <f>_xlfn.CONCAT(Tabella1[[#This Row],[Ruolo]],Tabella1[[#This Row],[Gs]])</f>
        <v>C0</v>
      </c>
    </row>
    <row r="10" spans="1:29" hidden="1" x14ac:dyDescent="0.3">
      <c r="A10" s="286">
        <v>46254</v>
      </c>
      <c r="B10" s="15">
        <v>1</v>
      </c>
      <c r="C10" s="283" t="s">
        <v>642</v>
      </c>
      <c r="D10" s="330" t="s">
        <v>162</v>
      </c>
      <c r="E10" s="330" t="s">
        <v>606</v>
      </c>
      <c r="F10" s="331">
        <v>6</v>
      </c>
      <c r="G10" s="332">
        <v>0</v>
      </c>
      <c r="H10" s="332">
        <v>0</v>
      </c>
      <c r="I10" s="332">
        <v>0</v>
      </c>
      <c r="J10" s="332">
        <v>0</v>
      </c>
      <c r="K10" s="332">
        <v>0</v>
      </c>
      <c r="L10" s="332">
        <v>0</v>
      </c>
      <c r="M10" s="332">
        <v>0</v>
      </c>
      <c r="N10" s="332">
        <v>0</v>
      </c>
      <c r="O10" s="332">
        <v>0</v>
      </c>
      <c r="P10" s="300"/>
      <c r="Q10" s="284">
        <f t="shared" si="0"/>
        <v>0</v>
      </c>
      <c r="R10" s="3" t="str">
        <f>_xlfn.IFNA(VLOOKUP(Tabella1[[#This Row],[Nome]],'ROSE SQUADRE'!$N$3:$O$253,2,0),"")</f>
        <v>AS PIPPERIA</v>
      </c>
      <c r="S10" s="312">
        <f>Tabella1[[#This Row],[Gf]]+Tabella1[[#This Row],[Rf]]</f>
        <v>0</v>
      </c>
      <c r="T10" s="193"/>
      <c r="U10" s="285" t="str">
        <f>IF(Tabella1[[#This Row],[N° FantaTit]]=1,Tabella1[[#This Row],[Voto]],"")</f>
        <v/>
      </c>
      <c r="V1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0" s="195"/>
      <c r="X10" s="193" t="str">
        <f>IF(Tabella1[[#This Row],[Best 11]]=1,Tabella1[[#This Row],[fanta voto]],"")</f>
        <v/>
      </c>
      <c r="Z10" s="193" t="str">
        <f>IF(Tabella1[[#This Row],[Best 11 MOD]]=1,Tabella1[[#This Row],[fanta voto]],"")</f>
        <v/>
      </c>
      <c r="AA10" t="str">
        <f>CONCATENATE(Tabella1[[#This Row],[GG]],Tabella1[[#This Row],[Nome]])</f>
        <v>1Samardzic</v>
      </c>
      <c r="AC10" t="str">
        <f>_xlfn.CONCAT(Tabella1[[#This Row],[Ruolo]],Tabella1[[#This Row],[Gs]])</f>
        <v>C0</v>
      </c>
    </row>
    <row r="11" spans="1:29" hidden="1" x14ac:dyDescent="0.3">
      <c r="A11" s="286">
        <v>46254</v>
      </c>
      <c r="B11" s="15">
        <v>1</v>
      </c>
      <c r="C11" s="283" t="s">
        <v>642</v>
      </c>
      <c r="D11" t="s">
        <v>162</v>
      </c>
      <c r="E11" t="s">
        <v>317</v>
      </c>
      <c r="F11" s="194">
        <v>6</v>
      </c>
      <c r="G11" s="328">
        <v>0</v>
      </c>
      <c r="H11" s="328">
        <v>0</v>
      </c>
      <c r="I11" s="328">
        <v>0</v>
      </c>
      <c r="J11" s="328">
        <v>0</v>
      </c>
      <c r="K11" s="328">
        <v>0</v>
      </c>
      <c r="L11" s="328">
        <v>0</v>
      </c>
      <c r="M11" s="328">
        <v>0</v>
      </c>
      <c r="N11" s="328">
        <v>0</v>
      </c>
      <c r="O11" s="328">
        <v>0</v>
      </c>
      <c r="P11" s="300"/>
      <c r="Q11" s="284">
        <f t="shared" si="0"/>
        <v>0</v>
      </c>
      <c r="R11" s="3" t="str">
        <f>_xlfn.IFNA(VLOOKUP(Tabella1[[#This Row],[Nome]],'ROSE SQUADRE'!$N$3:$O$253,2,0),"")</f>
        <v>PESCICULINI</v>
      </c>
      <c r="S11" s="312">
        <f>Tabella1[[#This Row],[Gf]]+Tabella1[[#This Row],[Rf]]</f>
        <v>0</v>
      </c>
      <c r="T11" s="193"/>
      <c r="U11" s="285" t="str">
        <f>IF(Tabella1[[#This Row],[N° FantaTit]]=1,Tabella1[[#This Row],[Voto]],"")</f>
        <v/>
      </c>
      <c r="V1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1" s="195"/>
      <c r="X11" s="193" t="str">
        <f>IF(Tabella1[[#This Row],[Best 11]]=1,Tabella1[[#This Row],[fanta voto]],"")</f>
        <v/>
      </c>
      <c r="Z11" s="193" t="str">
        <f>IF(Tabella1[[#This Row],[Best 11 MOD]]=1,Tabella1[[#This Row],[fanta voto]],"")</f>
        <v/>
      </c>
      <c r="AA11" t="str">
        <f>CONCATENATE(Tabella1[[#This Row],[GG]],Tabella1[[#This Row],[Nome]])</f>
        <v>1Zalewski</v>
      </c>
      <c r="AC11" t="str">
        <f>_xlfn.CONCAT(Tabella1[[#This Row],[Ruolo]],Tabella1[[#This Row],[Gs]])</f>
        <v>C0</v>
      </c>
    </row>
    <row r="12" spans="1:29" hidden="1" x14ac:dyDescent="0.3">
      <c r="A12" s="286">
        <v>46254</v>
      </c>
      <c r="B12" s="15">
        <v>1</v>
      </c>
      <c r="C12" s="283" t="s">
        <v>642</v>
      </c>
      <c r="D12" s="330" t="s">
        <v>162</v>
      </c>
      <c r="E12" s="330" t="s">
        <v>640</v>
      </c>
      <c r="F12" s="331">
        <v>6</v>
      </c>
      <c r="G12" s="332">
        <v>0</v>
      </c>
      <c r="H12" s="332">
        <v>0</v>
      </c>
      <c r="I12" s="332">
        <v>0</v>
      </c>
      <c r="J12" s="332">
        <v>0</v>
      </c>
      <c r="K12" s="332">
        <v>0</v>
      </c>
      <c r="L12" s="332">
        <v>0</v>
      </c>
      <c r="M12" s="332">
        <v>0</v>
      </c>
      <c r="N12" s="332">
        <v>0</v>
      </c>
      <c r="O12" s="332">
        <v>0</v>
      </c>
      <c r="P12" s="300"/>
      <c r="Q12" s="284">
        <f t="shared" si="0"/>
        <v>0</v>
      </c>
      <c r="R12" s="3" t="str">
        <f>_xlfn.IFNA(VLOOKUP(Tabella1[[#This Row],[Nome]],'ROSE SQUADRE'!$N$3:$O$253,2,0),"")</f>
        <v>FC INTERNAZIOANALE</v>
      </c>
      <c r="S12" s="312">
        <f>Tabella1[[#This Row],[Gf]]+Tabella1[[#This Row],[Rf]]</f>
        <v>0</v>
      </c>
      <c r="T12" s="193"/>
      <c r="U12" s="285" t="str">
        <f>IF(Tabella1[[#This Row],[N° FantaTit]]=1,Tabella1[[#This Row],[Voto]],"")</f>
        <v/>
      </c>
      <c r="V1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2" s="195"/>
      <c r="X12" s="193" t="str">
        <f>IF(Tabella1[[#This Row],[Best 11]]=1,Tabella1[[#This Row],[fanta voto]],"")</f>
        <v/>
      </c>
      <c r="Z12" s="193" t="str">
        <f>IF(Tabella1[[#This Row],[Best 11 MOD]]=1,Tabella1[[#This Row],[fanta voto]],"")</f>
        <v/>
      </c>
      <c r="AA12" t="str">
        <f>CONCATENATE(Tabella1[[#This Row],[GG]],Tabella1[[#This Row],[Nome]])</f>
        <v>1Ederson D.S.</v>
      </c>
      <c r="AC12" t="str">
        <f>_xlfn.CONCAT(Tabella1[[#This Row],[Ruolo]],Tabella1[[#This Row],[Gs]])</f>
        <v>C0</v>
      </c>
    </row>
    <row r="13" spans="1:29" hidden="1" x14ac:dyDescent="0.3">
      <c r="A13" s="286">
        <v>46254</v>
      </c>
      <c r="B13" s="15">
        <v>1</v>
      </c>
      <c r="C13" s="283" t="s">
        <v>642</v>
      </c>
      <c r="D13" t="s">
        <v>163</v>
      </c>
      <c r="E13" t="s">
        <v>641</v>
      </c>
      <c r="F13" s="194">
        <v>6</v>
      </c>
      <c r="G13" s="328">
        <v>0</v>
      </c>
      <c r="H13" s="328">
        <v>0</v>
      </c>
      <c r="I13" s="328">
        <v>0</v>
      </c>
      <c r="J13" s="328">
        <v>0</v>
      </c>
      <c r="K13" s="328">
        <v>0</v>
      </c>
      <c r="L13" s="328">
        <v>0</v>
      </c>
      <c r="M13" s="328">
        <v>0</v>
      </c>
      <c r="N13" s="328">
        <v>0</v>
      </c>
      <c r="O13" s="328">
        <v>0</v>
      </c>
      <c r="P13" s="300"/>
      <c r="Q13" s="284">
        <f t="shared" si="0"/>
        <v>0</v>
      </c>
      <c r="R13" s="3" t="str">
        <f>_xlfn.IFNA(VLOOKUP(Tabella1[[#This Row],[Nome]],'ROSE SQUADRE'!$N$3:$O$253,2,0),"")</f>
        <v>TRICCHETRACHT</v>
      </c>
      <c r="S13" s="312">
        <f>Tabella1[[#This Row],[Gf]]+Tabella1[[#This Row],[Rf]]</f>
        <v>0</v>
      </c>
      <c r="T13" s="193"/>
      <c r="U13" s="285" t="str">
        <f>IF(Tabella1[[#This Row],[N° FantaTit]]=1,Tabella1[[#This Row],[Voto]],"")</f>
        <v/>
      </c>
      <c r="V1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3" s="195"/>
      <c r="X13" s="193" t="str">
        <f>IF(Tabella1[[#This Row],[Best 11]]=1,Tabella1[[#This Row],[fanta voto]],"")</f>
        <v/>
      </c>
      <c r="Z13" s="193" t="str">
        <f>IF(Tabella1[[#This Row],[Best 11 MOD]]=1,Tabella1[[#This Row],[fanta voto]],"")</f>
        <v/>
      </c>
      <c r="AA13" t="str">
        <f>CONCATENATE(Tabella1[[#This Row],[GG]],Tabella1[[#This Row],[Nome]])</f>
        <v>1Scamacca</v>
      </c>
      <c r="AC13" t="str">
        <f>_xlfn.CONCAT(Tabella1[[#This Row],[Ruolo]],Tabella1[[#This Row],[Gs]])</f>
        <v>A0</v>
      </c>
    </row>
    <row r="14" spans="1:29" hidden="1" x14ac:dyDescent="0.3">
      <c r="A14" s="286">
        <v>46254</v>
      </c>
      <c r="B14" s="15">
        <v>1</v>
      </c>
      <c r="C14" s="283" t="s">
        <v>642</v>
      </c>
      <c r="D14" s="330" t="s">
        <v>163</v>
      </c>
      <c r="E14" s="330" t="s">
        <v>224</v>
      </c>
      <c r="F14" s="331">
        <v>7</v>
      </c>
      <c r="G14" s="333">
        <v>1</v>
      </c>
      <c r="H14" s="332">
        <v>0</v>
      </c>
      <c r="I14" s="332">
        <v>0</v>
      </c>
      <c r="J14" s="332">
        <v>0</v>
      </c>
      <c r="K14" s="332">
        <v>0</v>
      </c>
      <c r="L14" s="332">
        <v>0</v>
      </c>
      <c r="M14" s="332">
        <v>0</v>
      </c>
      <c r="N14" s="332">
        <v>0</v>
      </c>
      <c r="O14" s="332">
        <v>0</v>
      </c>
      <c r="P14" s="300">
        <v>1</v>
      </c>
      <c r="Q14" s="284">
        <f t="shared" si="0"/>
        <v>0</v>
      </c>
      <c r="R14" s="3" t="str">
        <f>_xlfn.IFNA(VLOOKUP(Tabella1[[#This Row],[Nome]],'ROSE SQUADRE'!$N$3:$O$253,2,0),"")</f>
        <v>FC INTERNAZIOANALE</v>
      </c>
      <c r="S14" s="312">
        <f>Tabella1[[#This Row],[Gf]]+Tabella1[[#This Row],[Rf]]</f>
        <v>1</v>
      </c>
      <c r="T14" s="193"/>
      <c r="U14" s="285" t="str">
        <f>IF(Tabella1[[#This Row],[N° FantaTit]]=1,Tabella1[[#This Row],[Voto]],"")</f>
        <v/>
      </c>
      <c r="V1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11</v>
      </c>
      <c r="W14" s="195"/>
      <c r="X14" s="193" t="str">
        <f>IF(Tabella1[[#This Row],[Best 11]]=1,Tabella1[[#This Row],[fanta voto]],"")</f>
        <v/>
      </c>
      <c r="Z14" s="193" t="str">
        <f>IF(Tabella1[[#This Row],[Best 11 MOD]]=1,Tabella1[[#This Row],[fanta voto]],"")</f>
        <v/>
      </c>
      <c r="AA14" t="str">
        <f>CONCATENATE(Tabella1[[#This Row],[GG]],Tabella1[[#This Row],[Nome]])</f>
        <v>1Raspadori</v>
      </c>
      <c r="AC14" t="str">
        <f>_xlfn.CONCAT(Tabella1[[#This Row],[Ruolo]],Tabella1[[#This Row],[Gs]])</f>
        <v>A0</v>
      </c>
    </row>
    <row r="15" spans="1:29" hidden="1" x14ac:dyDescent="0.3">
      <c r="A15" s="286">
        <v>46254</v>
      </c>
      <c r="B15" s="15">
        <v>1</v>
      </c>
      <c r="C15" s="283" t="s">
        <v>642</v>
      </c>
      <c r="D15" t="s">
        <v>163</v>
      </c>
      <c r="E15" t="s">
        <v>248</v>
      </c>
      <c r="F15" s="194">
        <v>6</v>
      </c>
      <c r="G15" s="328">
        <v>0</v>
      </c>
      <c r="H15" s="328">
        <v>0</v>
      </c>
      <c r="I15" s="328">
        <v>0</v>
      </c>
      <c r="J15" s="328">
        <v>0</v>
      </c>
      <c r="K15" s="328">
        <v>0</v>
      </c>
      <c r="L15" s="328">
        <v>0</v>
      </c>
      <c r="M15" s="328">
        <v>0</v>
      </c>
      <c r="N15" s="328">
        <v>0</v>
      </c>
      <c r="O15" s="328">
        <v>0</v>
      </c>
      <c r="P15" s="300"/>
      <c r="Q15" s="284">
        <f t="shared" si="0"/>
        <v>0</v>
      </c>
      <c r="R15" s="3" t="str">
        <f>_xlfn.IFNA(VLOOKUP(Tabella1[[#This Row],[Nome]],'ROSE SQUADRE'!$N$3:$O$253,2,0),"")</f>
        <v>PESCICULINI</v>
      </c>
      <c r="S15" s="312">
        <f>Tabella1[[#This Row],[Gf]]+Tabella1[[#This Row],[Rf]]</f>
        <v>0</v>
      </c>
      <c r="T15" s="193"/>
      <c r="U15" s="285" t="str">
        <f>IF(Tabella1[[#This Row],[N° FantaTit]]=1,Tabella1[[#This Row],[Voto]],"")</f>
        <v/>
      </c>
      <c r="V1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5" s="195"/>
      <c r="X15" s="193" t="str">
        <f>IF(Tabella1[[#This Row],[Best 11]]=1,Tabella1[[#This Row],[fanta voto]],"")</f>
        <v/>
      </c>
      <c r="Z15" s="193" t="str">
        <f>IF(Tabella1[[#This Row],[Best 11 MOD]]=1,Tabella1[[#This Row],[fanta voto]],"")</f>
        <v/>
      </c>
      <c r="AA15" t="str">
        <f>CONCATENATE(Tabella1[[#This Row],[GG]],Tabella1[[#This Row],[Nome]])</f>
        <v>1De Ketelaere</v>
      </c>
      <c r="AC15" t="str">
        <f>_xlfn.CONCAT(Tabella1[[#This Row],[Ruolo]],Tabella1[[#This Row],[Gs]])</f>
        <v>A0</v>
      </c>
    </row>
    <row r="16" spans="1:29" hidden="1" x14ac:dyDescent="0.3">
      <c r="A16" s="286">
        <v>46254</v>
      </c>
      <c r="B16" s="15">
        <v>1</v>
      </c>
      <c r="C16" s="283" t="s">
        <v>642</v>
      </c>
      <c r="D16" s="330" t="s">
        <v>163</v>
      </c>
      <c r="E16" s="330" t="s">
        <v>545</v>
      </c>
      <c r="F16" s="331">
        <v>7</v>
      </c>
      <c r="G16" s="333">
        <v>1</v>
      </c>
      <c r="H16" s="332">
        <v>0</v>
      </c>
      <c r="I16" s="332">
        <v>0</v>
      </c>
      <c r="J16" s="332">
        <v>0</v>
      </c>
      <c r="K16" s="332">
        <v>0</v>
      </c>
      <c r="L16" s="332">
        <v>0</v>
      </c>
      <c r="M16" s="332">
        <v>0</v>
      </c>
      <c r="N16" s="332">
        <v>0</v>
      </c>
      <c r="O16" s="332">
        <v>0</v>
      </c>
      <c r="P16" s="300"/>
      <c r="Q16" s="284">
        <f t="shared" si="0"/>
        <v>0</v>
      </c>
      <c r="R16" s="3" t="str">
        <f>_xlfn.IFNA(VLOOKUP(Tabella1[[#This Row],[Nome]],'ROSE SQUADRE'!$N$3:$O$253,2,0),"")</f>
        <v>PESCICULINI</v>
      </c>
      <c r="S16" s="312">
        <f>Tabella1[[#This Row],[Gf]]+Tabella1[[#This Row],[Rf]]</f>
        <v>1</v>
      </c>
      <c r="T16" s="193"/>
      <c r="U16" s="285" t="str">
        <f>IF(Tabella1[[#This Row],[N° FantaTit]]=1,Tabella1[[#This Row],[Voto]],"")</f>
        <v/>
      </c>
      <c r="V1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16" s="195"/>
      <c r="X16" s="193" t="str">
        <f>IF(Tabella1[[#This Row],[Best 11]]=1,Tabella1[[#This Row],[fanta voto]],"")</f>
        <v/>
      </c>
      <c r="Z16" s="193" t="str">
        <f>IF(Tabella1[[#This Row],[Best 11 MOD]]=1,Tabella1[[#This Row],[fanta voto]],"")</f>
        <v/>
      </c>
      <c r="AA16" t="str">
        <f>CONCATENATE(Tabella1[[#This Row],[GG]],Tabella1[[#This Row],[Nome]])</f>
        <v>1Krstovic</v>
      </c>
      <c r="AC16" t="str">
        <f>_xlfn.CONCAT(Tabella1[[#This Row],[Ruolo]],Tabella1[[#This Row],[Gs]])</f>
        <v>A0</v>
      </c>
    </row>
    <row r="17" spans="1:29" hidden="1" x14ac:dyDescent="0.3">
      <c r="A17" s="286">
        <v>46254</v>
      </c>
      <c r="B17" s="15">
        <v>1</v>
      </c>
      <c r="C17" s="283" t="s">
        <v>646</v>
      </c>
      <c r="D17" s="330" t="s">
        <v>5</v>
      </c>
      <c r="E17" s="330" t="s">
        <v>280</v>
      </c>
      <c r="F17" s="331">
        <v>6</v>
      </c>
      <c r="G17" s="332">
        <v>0</v>
      </c>
      <c r="H17" s="333">
        <v>1</v>
      </c>
      <c r="I17" s="332">
        <v>0</v>
      </c>
      <c r="J17" s="332">
        <v>0</v>
      </c>
      <c r="K17" s="332">
        <v>0</v>
      </c>
      <c r="L17" s="332">
        <v>0</v>
      </c>
      <c r="M17" s="332">
        <v>0</v>
      </c>
      <c r="N17" s="332">
        <v>0</v>
      </c>
      <c r="O17" s="332">
        <v>0</v>
      </c>
      <c r="P17" s="300"/>
      <c r="Q17" s="284">
        <f t="shared" si="0"/>
        <v>0</v>
      </c>
      <c r="R17" s="3" t="str">
        <f>_xlfn.IFNA(VLOOKUP(Tabella1[[#This Row],[Nome]],'ROSE SQUADRE'!$N$3:$O$253,2,0),"")</f>
        <v>SHARK</v>
      </c>
      <c r="S17" s="312">
        <f>Tabella1[[#This Row],[Gf]]+Tabella1[[#This Row],[Rf]]</f>
        <v>0</v>
      </c>
      <c r="T17" s="193"/>
      <c r="U17" s="285" t="str">
        <f>IF(Tabella1[[#This Row],[N° FantaTit]]=1,Tabella1[[#This Row],[Voto]],"")</f>
        <v/>
      </c>
      <c r="V1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17" s="195"/>
      <c r="X17" s="193" t="str">
        <f>IF(Tabella1[[#This Row],[Best 11]]=1,Tabella1[[#This Row],[fanta voto]],"")</f>
        <v/>
      </c>
      <c r="Z17" s="193" t="str">
        <f>IF(Tabella1[[#This Row],[Best 11 MOD]]=1,Tabella1[[#This Row],[fanta voto]],"")</f>
        <v/>
      </c>
      <c r="AA17" t="str">
        <f>CONCATENATE(Tabella1[[#This Row],[GG]],Tabella1[[#This Row],[Nome]])</f>
        <v>1Skorupski</v>
      </c>
      <c r="AC17" t="str">
        <f>_xlfn.CONCAT(Tabella1[[#This Row],[Ruolo]],Tabella1[[#This Row],[Gs]])</f>
        <v>P1</v>
      </c>
    </row>
    <row r="18" spans="1:29" hidden="1" x14ac:dyDescent="0.3">
      <c r="A18" s="286">
        <v>46254</v>
      </c>
      <c r="B18" s="15">
        <v>1</v>
      </c>
      <c r="C18" s="283" t="s">
        <v>646</v>
      </c>
      <c r="D18" t="s">
        <v>161</v>
      </c>
      <c r="E18" t="s">
        <v>654</v>
      </c>
      <c r="F18" s="194">
        <v>6</v>
      </c>
      <c r="G18" s="328">
        <v>0</v>
      </c>
      <c r="H18" s="328">
        <v>0</v>
      </c>
      <c r="I18" s="328">
        <v>0</v>
      </c>
      <c r="J18" s="328">
        <v>0</v>
      </c>
      <c r="K18" s="328">
        <v>0</v>
      </c>
      <c r="L18" s="328">
        <v>0</v>
      </c>
      <c r="M18" s="328">
        <v>0</v>
      </c>
      <c r="N18" s="328">
        <v>0</v>
      </c>
      <c r="O18" s="328">
        <v>0</v>
      </c>
      <c r="P18" s="300"/>
      <c r="Q18" s="284">
        <f t="shared" si="0"/>
        <v>0</v>
      </c>
      <c r="R18" s="3" t="str">
        <f>_xlfn.IFNA(VLOOKUP(Tabella1[[#This Row],[Nome]],'ROSE SQUADRE'!$N$3:$O$253,2,0),"")</f>
        <v>FC INTERNAZIOANALE</v>
      </c>
      <c r="S18" s="312">
        <f>Tabella1[[#This Row],[Gf]]+Tabella1[[#This Row],[Rf]]</f>
        <v>0</v>
      </c>
      <c r="T18" s="193"/>
      <c r="U18" s="285" t="str">
        <f>IF(Tabella1[[#This Row],[N° FantaTit]]=1,Tabella1[[#This Row],[Voto]],"")</f>
        <v/>
      </c>
      <c r="V1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8" s="195"/>
      <c r="X18" s="193" t="str">
        <f>IF(Tabella1[[#This Row],[Best 11]]=1,Tabella1[[#This Row],[fanta voto]],"")</f>
        <v/>
      </c>
      <c r="Z18" s="193" t="str">
        <f>IF(Tabella1[[#This Row],[Best 11 MOD]]=1,Tabella1[[#This Row],[fanta voto]],"")</f>
        <v/>
      </c>
      <c r="AA18" t="str">
        <f>CONCATENATE(Tabella1[[#This Row],[GG]],Tabella1[[#This Row],[Nome]])</f>
        <v>1Zortea</v>
      </c>
      <c r="AC18" t="str">
        <f>_xlfn.CONCAT(Tabella1[[#This Row],[Ruolo]],Tabella1[[#This Row],[Gs]])</f>
        <v>D0</v>
      </c>
    </row>
    <row r="19" spans="1:29" hidden="1" x14ac:dyDescent="0.3">
      <c r="A19" s="286">
        <v>46254</v>
      </c>
      <c r="B19" s="15">
        <v>1</v>
      </c>
      <c r="C19" s="283" t="s">
        <v>646</v>
      </c>
      <c r="D19" s="330" t="s">
        <v>161</v>
      </c>
      <c r="E19" s="330" t="s">
        <v>506</v>
      </c>
      <c r="F19" s="331">
        <v>6</v>
      </c>
      <c r="G19" s="332">
        <v>0</v>
      </c>
      <c r="H19" s="332">
        <v>0</v>
      </c>
      <c r="I19" s="332">
        <v>0</v>
      </c>
      <c r="J19" s="332">
        <v>0</v>
      </c>
      <c r="K19" s="332">
        <v>0</v>
      </c>
      <c r="L19" s="332">
        <v>0</v>
      </c>
      <c r="M19" s="332">
        <v>0</v>
      </c>
      <c r="N19" s="332">
        <v>0</v>
      </c>
      <c r="O19" s="332">
        <v>0</v>
      </c>
      <c r="P19" s="300"/>
      <c r="Q19" s="284">
        <f t="shared" si="0"/>
        <v>0</v>
      </c>
      <c r="R19" s="3" t="str">
        <f>_xlfn.IFNA(VLOOKUP(Tabella1[[#This Row],[Nome]],'ROSE SQUADRE'!$N$3:$O$253,2,0),"")</f>
        <v>FC INTERNAZIOANALE</v>
      </c>
      <c r="S19" s="312">
        <f>Tabella1[[#This Row],[Gf]]+Tabella1[[#This Row],[Rf]]</f>
        <v>0</v>
      </c>
      <c r="T19" s="193"/>
      <c r="U19" s="285" t="str">
        <f>IF(Tabella1[[#This Row],[N° FantaTit]]=1,Tabella1[[#This Row],[Voto]],"")</f>
        <v/>
      </c>
      <c r="V1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9" s="195"/>
      <c r="X19" s="193" t="str">
        <f>IF(Tabella1[[#This Row],[Best 11]]=1,Tabella1[[#This Row],[fanta voto]],"")</f>
        <v/>
      </c>
      <c r="Z19" s="193" t="str">
        <f>IF(Tabella1[[#This Row],[Best 11 MOD]]=1,Tabella1[[#This Row],[fanta voto]],"")</f>
        <v/>
      </c>
      <c r="AA19" t="str">
        <f>CONCATENATE(Tabella1[[#This Row],[GG]],Tabella1[[#This Row],[Nome]])</f>
        <v>1Miranda J.</v>
      </c>
      <c r="AC19" t="str">
        <f>_xlfn.CONCAT(Tabella1[[#This Row],[Ruolo]],Tabella1[[#This Row],[Gs]])</f>
        <v>D0</v>
      </c>
    </row>
    <row r="20" spans="1:29" hidden="1" x14ac:dyDescent="0.3">
      <c r="A20" s="286">
        <v>46254</v>
      </c>
      <c r="B20" s="15">
        <v>1</v>
      </c>
      <c r="C20" s="283" t="s">
        <v>646</v>
      </c>
      <c r="D20" t="s">
        <v>161</v>
      </c>
      <c r="E20" t="s">
        <v>652</v>
      </c>
      <c r="F20" s="194">
        <v>6</v>
      </c>
      <c r="G20" s="328">
        <v>0</v>
      </c>
      <c r="H20" s="328">
        <v>0</v>
      </c>
      <c r="I20" s="328">
        <v>0</v>
      </c>
      <c r="J20" s="328">
        <v>0</v>
      </c>
      <c r="K20" s="328">
        <v>0</v>
      </c>
      <c r="L20" s="328">
        <v>0</v>
      </c>
      <c r="M20" s="328">
        <v>0</v>
      </c>
      <c r="N20" s="328">
        <v>0</v>
      </c>
      <c r="O20" s="328">
        <v>0</v>
      </c>
      <c r="P20" s="300"/>
      <c r="Q20" s="284">
        <f t="shared" si="0"/>
        <v>0</v>
      </c>
      <c r="R20" s="3" t="str">
        <f>_xlfn.IFNA(VLOOKUP(Tabella1[[#This Row],[Nome]],'ROSE SQUADRE'!$N$3:$O$253,2,0),"")</f>
        <v>SESTO ASENSIO</v>
      </c>
      <c r="S20" s="312">
        <f>Tabella1[[#This Row],[Gf]]+Tabella1[[#This Row],[Rf]]</f>
        <v>0</v>
      </c>
      <c r="T20" s="193"/>
      <c r="U20" s="285" t="str">
        <f>IF(Tabella1[[#This Row],[N° FantaTit]]=1,Tabella1[[#This Row],[Voto]],"")</f>
        <v/>
      </c>
      <c r="V2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0" s="195"/>
      <c r="X20" s="193" t="str">
        <f>IF(Tabella1[[#This Row],[Best 11]]=1,Tabella1[[#This Row],[fanta voto]],"")</f>
        <v/>
      </c>
      <c r="Z20" s="193" t="str">
        <f>IF(Tabella1[[#This Row],[Best 11 MOD]]=1,Tabella1[[#This Row],[fanta voto]],"")</f>
        <v/>
      </c>
      <c r="AA20" t="str">
        <f>CONCATENATE(Tabella1[[#This Row],[GG]],Tabella1[[#This Row],[Nome]])</f>
        <v>1Holm</v>
      </c>
      <c r="AC20" t="str">
        <f>_xlfn.CONCAT(Tabella1[[#This Row],[Ruolo]],Tabella1[[#This Row],[Gs]])</f>
        <v>D0</v>
      </c>
    </row>
    <row r="21" spans="1:29" hidden="1" x14ac:dyDescent="0.3">
      <c r="A21" s="286">
        <v>46254</v>
      </c>
      <c r="B21" s="15">
        <v>1</v>
      </c>
      <c r="C21" s="283" t="s">
        <v>646</v>
      </c>
      <c r="D21" s="330" t="s">
        <v>161</v>
      </c>
      <c r="E21" s="330" t="s">
        <v>650</v>
      </c>
      <c r="F21" s="331">
        <v>5.5</v>
      </c>
      <c r="G21" s="332">
        <v>0</v>
      </c>
      <c r="H21" s="332">
        <v>0</v>
      </c>
      <c r="I21" s="332">
        <v>0</v>
      </c>
      <c r="J21" s="332">
        <v>0</v>
      </c>
      <c r="K21" s="332">
        <v>0</v>
      </c>
      <c r="L21" s="332">
        <v>0</v>
      </c>
      <c r="M21" s="333">
        <v>1</v>
      </c>
      <c r="N21" s="332">
        <v>0</v>
      </c>
      <c r="O21" s="332">
        <v>0</v>
      </c>
      <c r="P21" s="300"/>
      <c r="Q21" s="284">
        <f t="shared" si="0"/>
        <v>0</v>
      </c>
      <c r="R21" s="3" t="str">
        <f>_xlfn.IFNA(VLOOKUP(Tabella1[[#This Row],[Nome]],'ROSE SQUADRE'!$N$3:$O$253,2,0),"")</f>
        <v/>
      </c>
      <c r="S21" s="312">
        <f>Tabella1[[#This Row],[Gf]]+Tabella1[[#This Row],[Rf]]</f>
        <v>0</v>
      </c>
      <c r="T21" s="193"/>
      <c r="U21" s="285" t="str">
        <f>IF(Tabella1[[#This Row],[N° FantaTit]]=1,Tabella1[[#This Row],[Voto]],"")</f>
        <v/>
      </c>
      <c r="V2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21" s="195"/>
      <c r="X21" s="193" t="str">
        <f>IF(Tabella1[[#This Row],[Best 11]]=1,Tabella1[[#This Row],[fanta voto]],"")</f>
        <v/>
      </c>
      <c r="Z21" s="193" t="str">
        <f>IF(Tabella1[[#This Row],[Best 11 MOD]]=1,Tabella1[[#This Row],[fanta voto]],"")</f>
        <v/>
      </c>
      <c r="AA21" t="str">
        <f>CONCATENATE(Tabella1[[#This Row],[GG]],Tabella1[[#This Row],[Nome]])</f>
        <v>1Heggem</v>
      </c>
      <c r="AC21" t="str">
        <f>_xlfn.CONCAT(Tabella1[[#This Row],[Ruolo]],Tabella1[[#This Row],[Gs]])</f>
        <v>D0</v>
      </c>
    </row>
    <row r="22" spans="1:29" hidden="1" x14ac:dyDescent="0.3">
      <c r="A22" s="286">
        <v>46254</v>
      </c>
      <c r="B22" s="15">
        <v>1</v>
      </c>
      <c r="C22" s="283" t="s">
        <v>646</v>
      </c>
      <c r="D22" t="s">
        <v>161</v>
      </c>
      <c r="E22" t="s">
        <v>651</v>
      </c>
      <c r="F22" s="194">
        <v>6</v>
      </c>
      <c r="G22" s="328">
        <v>0</v>
      </c>
      <c r="H22" s="328">
        <v>0</v>
      </c>
      <c r="I22" s="328">
        <v>0</v>
      </c>
      <c r="J22" s="328">
        <v>0</v>
      </c>
      <c r="K22" s="328">
        <v>0</v>
      </c>
      <c r="L22" s="328">
        <v>0</v>
      </c>
      <c r="M22" s="328">
        <v>0</v>
      </c>
      <c r="N22" s="328">
        <v>0</v>
      </c>
      <c r="O22" s="328">
        <v>0</v>
      </c>
      <c r="P22" s="300"/>
      <c r="Q22" s="284">
        <f t="shared" si="0"/>
        <v>0</v>
      </c>
      <c r="R22" s="3" t="str">
        <f>_xlfn.IFNA(VLOOKUP(Tabella1[[#This Row],[Nome]],'ROSE SQUADRE'!$N$3:$O$253,2,0),"")</f>
        <v/>
      </c>
      <c r="S22" s="312">
        <f>Tabella1[[#This Row],[Gf]]+Tabella1[[#This Row],[Rf]]</f>
        <v>0</v>
      </c>
      <c r="T22" s="193"/>
      <c r="U22" s="285" t="str">
        <f>IF(Tabella1[[#This Row],[N° FantaTit]]=1,Tabella1[[#This Row],[Voto]],"")</f>
        <v/>
      </c>
      <c r="V2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2" s="195"/>
      <c r="X22" s="193" t="str">
        <f>IF(Tabella1[[#This Row],[Best 11]]=1,Tabella1[[#This Row],[fanta voto]],"")</f>
        <v/>
      </c>
      <c r="Z22" s="193" t="str">
        <f>IF(Tabella1[[#This Row],[Best 11 MOD]]=1,Tabella1[[#This Row],[fanta voto]],"")</f>
        <v/>
      </c>
      <c r="AA22" t="str">
        <f>CONCATENATE(Tabella1[[#This Row],[GG]],Tabella1[[#This Row],[Nome]])</f>
        <v>1Helland</v>
      </c>
      <c r="AC22" t="str">
        <f>_xlfn.CONCAT(Tabella1[[#This Row],[Ruolo]],Tabella1[[#This Row],[Gs]])</f>
        <v>D0</v>
      </c>
    </row>
    <row r="23" spans="1:29" hidden="1" x14ac:dyDescent="0.3">
      <c r="A23" s="286">
        <v>46254</v>
      </c>
      <c r="B23" s="15">
        <v>1</v>
      </c>
      <c r="C23" s="283" t="s">
        <v>646</v>
      </c>
      <c r="D23" s="330" t="s">
        <v>162</v>
      </c>
      <c r="E23" s="330" t="s">
        <v>656</v>
      </c>
      <c r="F23" s="331">
        <v>6.5</v>
      </c>
      <c r="G23" s="332">
        <v>0</v>
      </c>
      <c r="H23" s="332">
        <v>0</v>
      </c>
      <c r="I23" s="332">
        <v>0</v>
      </c>
      <c r="J23" s="332">
        <v>0</v>
      </c>
      <c r="K23" s="332">
        <v>0</v>
      </c>
      <c r="L23" s="332">
        <v>0</v>
      </c>
      <c r="M23" s="332">
        <v>0</v>
      </c>
      <c r="N23" s="332">
        <v>0</v>
      </c>
      <c r="O23" s="332">
        <v>0</v>
      </c>
      <c r="P23" s="300"/>
      <c r="Q23" s="284">
        <f t="shared" si="0"/>
        <v>0</v>
      </c>
      <c r="R23" s="3" t="str">
        <f>_xlfn.IFNA(VLOOKUP(Tabella1[[#This Row],[Nome]],'ROSE SQUADRE'!$N$3:$O$253,2,0),"")</f>
        <v>AC ASPARAGHESE</v>
      </c>
      <c r="S23" s="312">
        <f>Tabella1[[#This Row],[Gf]]+Tabella1[[#This Row],[Rf]]</f>
        <v>0</v>
      </c>
      <c r="T23" s="193"/>
      <c r="U23" s="285" t="str">
        <f>IF(Tabella1[[#This Row],[N° FantaTit]]=1,Tabella1[[#This Row],[Voto]],"")</f>
        <v/>
      </c>
      <c r="V2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3" s="195"/>
      <c r="X23" s="193" t="str">
        <f>IF(Tabella1[[#This Row],[Best 11]]=1,Tabella1[[#This Row],[fanta voto]],"")</f>
        <v/>
      </c>
      <c r="Z23" s="193" t="str">
        <f>IF(Tabella1[[#This Row],[Best 11 MOD]]=1,Tabella1[[#This Row],[fanta voto]],"")</f>
        <v/>
      </c>
      <c r="AA23" t="str">
        <f>CONCATENATE(Tabella1[[#This Row],[GG]],Tabella1[[#This Row],[Nome]])</f>
        <v>1Bernardeschi</v>
      </c>
      <c r="AC23" t="str">
        <f>_xlfn.CONCAT(Tabella1[[#This Row],[Ruolo]],Tabella1[[#This Row],[Gs]])</f>
        <v>C0</v>
      </c>
    </row>
    <row r="24" spans="1:29" hidden="1" x14ac:dyDescent="0.3">
      <c r="A24" s="286">
        <v>46254</v>
      </c>
      <c r="B24" s="15">
        <v>1</v>
      </c>
      <c r="C24" s="283" t="s">
        <v>646</v>
      </c>
      <c r="D24" t="s">
        <v>162</v>
      </c>
      <c r="E24" t="s">
        <v>303</v>
      </c>
      <c r="F24" s="194">
        <v>5.5</v>
      </c>
      <c r="G24" s="328">
        <v>0</v>
      </c>
      <c r="H24" s="328">
        <v>0</v>
      </c>
      <c r="I24" s="328">
        <v>0</v>
      </c>
      <c r="J24" s="328">
        <v>0</v>
      </c>
      <c r="K24" s="328">
        <v>0</v>
      </c>
      <c r="L24" s="328">
        <v>0</v>
      </c>
      <c r="M24" s="328">
        <v>0</v>
      </c>
      <c r="N24" s="328">
        <v>0</v>
      </c>
      <c r="O24" s="328">
        <v>0</v>
      </c>
      <c r="P24" s="300"/>
      <c r="Q24" s="284">
        <f t="shared" si="0"/>
        <v>0</v>
      </c>
      <c r="R24" s="3" t="str">
        <f>_xlfn.IFNA(VLOOKUP(Tabella1[[#This Row],[Nome]],'ROSE SQUADRE'!$N$3:$O$253,2,0),"")</f>
        <v>SHARK</v>
      </c>
      <c r="S24" s="312">
        <f>Tabella1[[#This Row],[Gf]]+Tabella1[[#This Row],[Rf]]</f>
        <v>0</v>
      </c>
      <c r="T24" s="193"/>
      <c r="U24" s="285" t="str">
        <f>IF(Tabella1[[#This Row],[N° FantaTit]]=1,Tabella1[[#This Row],[Voto]],"")</f>
        <v/>
      </c>
      <c r="V2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4" s="195"/>
      <c r="X24" s="193" t="str">
        <f>IF(Tabella1[[#This Row],[Best 11]]=1,Tabella1[[#This Row],[fanta voto]],"")</f>
        <v/>
      </c>
      <c r="Z24" s="193" t="str">
        <f>IF(Tabella1[[#This Row],[Best 11 MOD]]=1,Tabella1[[#This Row],[fanta voto]],"")</f>
        <v/>
      </c>
      <c r="AA24" t="str">
        <f>CONCATENATE(Tabella1[[#This Row],[GG]],Tabella1[[#This Row],[Nome]])</f>
        <v>1Orsolini</v>
      </c>
      <c r="AC24" t="str">
        <f>_xlfn.CONCAT(Tabella1[[#This Row],[Ruolo]],Tabella1[[#This Row],[Gs]])</f>
        <v>C0</v>
      </c>
    </row>
    <row r="25" spans="1:29" hidden="1" x14ac:dyDescent="0.3">
      <c r="A25" s="286">
        <v>46254</v>
      </c>
      <c r="B25" s="15">
        <v>1</v>
      </c>
      <c r="C25" s="283" t="s">
        <v>646</v>
      </c>
      <c r="D25" s="330" t="s">
        <v>162</v>
      </c>
      <c r="E25" s="330" t="s">
        <v>508</v>
      </c>
      <c r="F25" s="331">
        <v>5.5</v>
      </c>
      <c r="G25" s="332">
        <v>0</v>
      </c>
      <c r="H25" s="332">
        <v>0</v>
      </c>
      <c r="I25" s="332">
        <v>0</v>
      </c>
      <c r="J25" s="332">
        <v>0</v>
      </c>
      <c r="K25" s="332">
        <v>0</v>
      </c>
      <c r="L25" s="332">
        <v>0</v>
      </c>
      <c r="M25" s="333">
        <v>1</v>
      </c>
      <c r="N25" s="332">
        <v>0</v>
      </c>
      <c r="O25" s="332">
        <v>0</v>
      </c>
      <c r="P25" s="300"/>
      <c r="Q25" s="284">
        <f t="shared" si="0"/>
        <v>0</v>
      </c>
      <c r="R25" s="3" t="str">
        <f>_xlfn.IFNA(VLOOKUP(Tabella1[[#This Row],[Nome]],'ROSE SQUADRE'!$N$3:$O$253,2,0),"")</f>
        <v>AS PIPPERIA</v>
      </c>
      <c r="S25" s="312">
        <f>Tabella1[[#This Row],[Gf]]+Tabella1[[#This Row],[Rf]]</f>
        <v>0</v>
      </c>
      <c r="T25" s="193"/>
      <c r="U25" s="285" t="str">
        <f>IF(Tabella1[[#This Row],[N° FantaTit]]=1,Tabella1[[#This Row],[Voto]],"")</f>
        <v/>
      </c>
      <c r="V2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25" s="195"/>
      <c r="X25" s="193" t="str">
        <f>IF(Tabella1[[#This Row],[Best 11]]=1,Tabella1[[#This Row],[fanta voto]],"")</f>
        <v/>
      </c>
      <c r="Z25" s="193" t="str">
        <f>IF(Tabella1[[#This Row],[Best 11 MOD]]=1,Tabella1[[#This Row],[fanta voto]],"")</f>
        <v/>
      </c>
      <c r="AA25" t="str">
        <f>CONCATENATE(Tabella1[[#This Row],[GG]],Tabella1[[#This Row],[Nome]])</f>
        <v>1Odgaard</v>
      </c>
      <c r="AC25" t="str">
        <f>_xlfn.CONCAT(Tabella1[[#This Row],[Ruolo]],Tabella1[[#This Row],[Gs]])</f>
        <v>C0</v>
      </c>
    </row>
    <row r="26" spans="1:29" hidden="1" x14ac:dyDescent="0.3">
      <c r="A26" s="286">
        <v>46254</v>
      </c>
      <c r="B26" s="15">
        <v>1</v>
      </c>
      <c r="C26" s="283" t="s">
        <v>646</v>
      </c>
      <c r="D26" t="s">
        <v>162</v>
      </c>
      <c r="E26" t="s">
        <v>239</v>
      </c>
      <c r="F26" s="194">
        <v>5.5</v>
      </c>
      <c r="G26" s="328">
        <v>0</v>
      </c>
      <c r="H26" s="328">
        <v>0</v>
      </c>
      <c r="I26" s="328">
        <v>0</v>
      </c>
      <c r="J26" s="328">
        <v>0</v>
      </c>
      <c r="K26" s="328">
        <v>0</v>
      </c>
      <c r="L26" s="328">
        <v>0</v>
      </c>
      <c r="M26" s="329">
        <v>1</v>
      </c>
      <c r="N26" s="328">
        <v>0</v>
      </c>
      <c r="O26" s="328">
        <v>0</v>
      </c>
      <c r="P26" s="300"/>
      <c r="Q26" s="284">
        <f t="shared" si="0"/>
        <v>0</v>
      </c>
      <c r="R26" s="3" t="str">
        <f>_xlfn.IFNA(VLOOKUP(Tabella1[[#This Row],[Nome]],'ROSE SQUADRE'!$N$3:$O$253,2,0),"")</f>
        <v/>
      </c>
      <c r="S26" s="312">
        <f>Tabella1[[#This Row],[Gf]]+Tabella1[[#This Row],[Rf]]</f>
        <v>0</v>
      </c>
      <c r="T26" s="193"/>
      <c r="U26" s="285" t="str">
        <f>IF(Tabella1[[#This Row],[N° FantaTit]]=1,Tabella1[[#This Row],[Voto]],"")</f>
        <v/>
      </c>
      <c r="V2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26" s="195"/>
      <c r="X26" s="193" t="str">
        <f>IF(Tabella1[[#This Row],[Best 11]]=1,Tabella1[[#This Row],[fanta voto]],"")</f>
        <v/>
      </c>
      <c r="Z26" s="193" t="str">
        <f>IF(Tabella1[[#This Row],[Best 11 MOD]]=1,Tabella1[[#This Row],[fanta voto]],"")</f>
        <v/>
      </c>
      <c r="AA26" t="str">
        <f>CONCATENATE(Tabella1[[#This Row],[GG]],Tabella1[[#This Row],[Nome]])</f>
        <v>1Cambiaghi</v>
      </c>
      <c r="AC26" t="str">
        <f>_xlfn.CONCAT(Tabella1[[#This Row],[Ruolo]],Tabella1[[#This Row],[Gs]])</f>
        <v>C0</v>
      </c>
    </row>
    <row r="27" spans="1:29" hidden="1" x14ac:dyDescent="0.3">
      <c r="A27" s="286">
        <v>46254</v>
      </c>
      <c r="B27" s="15">
        <v>1</v>
      </c>
      <c r="C27" s="283" t="s">
        <v>646</v>
      </c>
      <c r="D27" s="330" t="s">
        <v>162</v>
      </c>
      <c r="E27" s="330" t="s">
        <v>658</v>
      </c>
      <c r="F27" s="331">
        <v>6</v>
      </c>
      <c r="G27" s="332">
        <v>0</v>
      </c>
      <c r="H27" s="332">
        <v>0</v>
      </c>
      <c r="I27" s="332">
        <v>0</v>
      </c>
      <c r="J27" s="332">
        <v>0</v>
      </c>
      <c r="K27" s="332">
        <v>0</v>
      </c>
      <c r="L27" s="332">
        <v>0</v>
      </c>
      <c r="M27" s="332">
        <v>0</v>
      </c>
      <c r="N27" s="332">
        <v>0</v>
      </c>
      <c r="O27" s="332">
        <v>0</v>
      </c>
      <c r="P27" s="300"/>
      <c r="Q27" s="284">
        <f t="shared" si="0"/>
        <v>0</v>
      </c>
      <c r="R27" s="3" t="str">
        <f>_xlfn.IFNA(VLOOKUP(Tabella1[[#This Row],[Nome]],'ROSE SQUADRE'!$N$3:$O$253,2,0),"")</f>
        <v/>
      </c>
      <c r="S27" s="312">
        <f>Tabella1[[#This Row],[Gf]]+Tabella1[[#This Row],[Rf]]</f>
        <v>0</v>
      </c>
      <c r="T27" s="193"/>
      <c r="U27" s="285" t="str">
        <f>IF(Tabella1[[#This Row],[N° FantaTit]]=1,Tabella1[[#This Row],[Voto]],"")</f>
        <v/>
      </c>
      <c r="V2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7" s="195"/>
      <c r="X27" s="193" t="str">
        <f>IF(Tabella1[[#This Row],[Best 11]]=1,Tabella1[[#This Row],[fanta voto]],"")</f>
        <v/>
      </c>
      <c r="Z27" s="193" t="str">
        <f>IF(Tabella1[[#This Row],[Best 11 MOD]]=1,Tabella1[[#This Row],[fanta voto]],"")</f>
        <v/>
      </c>
      <c r="AA27" t="str">
        <f>CONCATENATE(Tabella1[[#This Row],[GG]],Tabella1[[#This Row],[Nome]])</f>
        <v>1Ferguson</v>
      </c>
      <c r="AC27" t="str">
        <f>_xlfn.CONCAT(Tabella1[[#This Row],[Ruolo]],Tabella1[[#This Row],[Gs]])</f>
        <v>C0</v>
      </c>
    </row>
    <row r="28" spans="1:29" hidden="1" x14ac:dyDescent="0.3">
      <c r="A28" s="286">
        <v>46254</v>
      </c>
      <c r="B28" s="15">
        <v>1</v>
      </c>
      <c r="C28" s="283" t="s">
        <v>646</v>
      </c>
      <c r="D28" t="s">
        <v>162</v>
      </c>
      <c r="E28" t="s">
        <v>657</v>
      </c>
      <c r="F28" s="194">
        <v>5</v>
      </c>
      <c r="G28" s="328">
        <v>0</v>
      </c>
      <c r="H28" s="328">
        <v>0</v>
      </c>
      <c r="I28" s="328">
        <v>0</v>
      </c>
      <c r="J28" s="328">
        <v>0</v>
      </c>
      <c r="K28" s="328">
        <v>0</v>
      </c>
      <c r="L28" s="328">
        <v>0</v>
      </c>
      <c r="M28" s="329">
        <v>1</v>
      </c>
      <c r="N28" s="328">
        <v>0</v>
      </c>
      <c r="O28" s="328">
        <v>0</v>
      </c>
      <c r="P28" s="300"/>
      <c r="Q28" s="284">
        <f t="shared" si="0"/>
        <v>0</v>
      </c>
      <c r="R28" s="3" t="str">
        <f>_xlfn.IFNA(VLOOKUP(Tabella1[[#This Row],[Nome]],'ROSE SQUADRE'!$N$3:$O$253,2,0),"")</f>
        <v/>
      </c>
      <c r="S28" s="312">
        <f>Tabella1[[#This Row],[Gf]]+Tabella1[[#This Row],[Rf]]</f>
        <v>0</v>
      </c>
      <c r="T28" s="193"/>
      <c r="U28" s="285" t="str">
        <f>IF(Tabella1[[#This Row],[N° FantaTit]]=1,Tabella1[[#This Row],[Voto]],"")</f>
        <v/>
      </c>
      <c r="V2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4.5</v>
      </c>
      <c r="W28" s="195"/>
      <c r="X28" s="193" t="str">
        <f>IF(Tabella1[[#This Row],[Best 11]]=1,Tabella1[[#This Row],[fanta voto]],"")</f>
        <v/>
      </c>
      <c r="Z28" s="193" t="str">
        <f>IF(Tabella1[[#This Row],[Best 11 MOD]]=1,Tabella1[[#This Row],[fanta voto]],"")</f>
        <v/>
      </c>
      <c r="AA28" t="str">
        <f>CONCATENATE(Tabella1[[#This Row],[GG]],Tabella1[[#This Row],[Nome]])</f>
        <v>1El Azzouzi O.</v>
      </c>
      <c r="AC28" t="str">
        <f>_xlfn.CONCAT(Tabella1[[#This Row],[Ruolo]],Tabella1[[#This Row],[Gs]])</f>
        <v>C0</v>
      </c>
    </row>
    <row r="29" spans="1:29" hidden="1" x14ac:dyDescent="0.3">
      <c r="A29" s="286">
        <v>46254</v>
      </c>
      <c r="B29" s="15">
        <v>1</v>
      </c>
      <c r="C29" s="283" t="s">
        <v>646</v>
      </c>
      <c r="D29" s="330" t="s">
        <v>162</v>
      </c>
      <c r="E29" s="330" t="s">
        <v>660</v>
      </c>
      <c r="F29" s="331">
        <v>5.5</v>
      </c>
      <c r="G29" s="332">
        <v>0</v>
      </c>
      <c r="H29" s="332">
        <v>0</v>
      </c>
      <c r="I29" s="332">
        <v>0</v>
      </c>
      <c r="J29" s="332">
        <v>0</v>
      </c>
      <c r="K29" s="332">
        <v>0</v>
      </c>
      <c r="L29" s="332">
        <v>0</v>
      </c>
      <c r="M29" s="332">
        <v>0</v>
      </c>
      <c r="N29" s="332">
        <v>0</v>
      </c>
      <c r="O29" s="332">
        <v>0</v>
      </c>
      <c r="P29" s="300"/>
      <c r="Q29" s="284">
        <f t="shared" si="0"/>
        <v>0</v>
      </c>
      <c r="R29" s="3" t="str">
        <f>_xlfn.IFNA(VLOOKUP(Tabella1[[#This Row],[Nome]],'ROSE SQUADRE'!$N$3:$O$253,2,0),"")</f>
        <v>TRICCHETRACHT</v>
      </c>
      <c r="S29" s="312">
        <f>Tabella1[[#This Row],[Gf]]+Tabella1[[#This Row],[Rf]]</f>
        <v>0</v>
      </c>
      <c r="T29" s="193"/>
      <c r="U29" s="285" t="str">
        <f>IF(Tabella1[[#This Row],[N° FantaTit]]=1,Tabella1[[#This Row],[Voto]],"")</f>
        <v/>
      </c>
      <c r="V2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9" s="195"/>
      <c r="X29" s="193" t="str">
        <f>IF(Tabella1[[#This Row],[Best 11]]=1,Tabella1[[#This Row],[fanta voto]],"")</f>
        <v/>
      </c>
      <c r="Z29" s="193" t="str">
        <f>IF(Tabella1[[#This Row],[Best 11 MOD]]=1,Tabella1[[#This Row],[fanta voto]],"")</f>
        <v/>
      </c>
      <c r="AA29" t="str">
        <f>CONCATENATE(Tabella1[[#This Row],[GG]],Tabella1[[#This Row],[Nome]])</f>
        <v>1Rowe</v>
      </c>
      <c r="AC29" t="str">
        <f>_xlfn.CONCAT(Tabella1[[#This Row],[Ruolo]],Tabella1[[#This Row],[Gs]])</f>
        <v>C0</v>
      </c>
    </row>
    <row r="30" spans="1:29" hidden="1" x14ac:dyDescent="0.3">
      <c r="A30" s="286">
        <v>46254</v>
      </c>
      <c r="B30" s="15">
        <v>1</v>
      </c>
      <c r="C30" s="283" t="s">
        <v>646</v>
      </c>
      <c r="D30" s="330" t="s">
        <v>163</v>
      </c>
      <c r="E30" s="330" t="s">
        <v>260</v>
      </c>
      <c r="F30" s="331">
        <v>6</v>
      </c>
      <c r="G30" s="332">
        <v>0</v>
      </c>
      <c r="H30" s="332">
        <v>0</v>
      </c>
      <c r="I30" s="332">
        <v>0</v>
      </c>
      <c r="J30" s="332">
        <v>0</v>
      </c>
      <c r="K30" s="332">
        <v>0</v>
      </c>
      <c r="L30" s="332">
        <v>0</v>
      </c>
      <c r="M30" s="332">
        <v>0</v>
      </c>
      <c r="N30" s="332">
        <v>0</v>
      </c>
      <c r="O30" s="332">
        <v>0</v>
      </c>
      <c r="P30" s="300"/>
      <c r="Q30" s="284">
        <f t="shared" si="0"/>
        <v>0</v>
      </c>
      <c r="R30" s="3" t="str">
        <f>_xlfn.IFNA(VLOOKUP(Tabella1[[#This Row],[Nome]],'ROSE SQUADRE'!$N$3:$O$253,2,0),"")</f>
        <v>SHARK</v>
      </c>
      <c r="S30" s="312">
        <f>Tabella1[[#This Row],[Gf]]+Tabella1[[#This Row],[Rf]]</f>
        <v>0</v>
      </c>
      <c r="T30" s="193"/>
      <c r="U30" s="285" t="str">
        <f>IF(Tabella1[[#This Row],[N° FantaTit]]=1,Tabella1[[#This Row],[Voto]],"")</f>
        <v/>
      </c>
      <c r="V3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30" s="195"/>
      <c r="X30" s="193" t="str">
        <f>IF(Tabella1[[#This Row],[Best 11]]=1,Tabella1[[#This Row],[fanta voto]],"")</f>
        <v/>
      </c>
      <c r="Z30" s="193" t="str">
        <f>IF(Tabella1[[#This Row],[Best 11 MOD]]=1,Tabella1[[#This Row],[fanta voto]],"")</f>
        <v/>
      </c>
      <c r="AA30" t="str">
        <f>CONCATENATE(Tabella1[[#This Row],[GG]],Tabella1[[#This Row],[Nome]])</f>
        <v>1Piccoli</v>
      </c>
      <c r="AC30" t="str">
        <f>_xlfn.CONCAT(Tabella1[[#This Row],[Ruolo]],Tabella1[[#This Row],[Gs]])</f>
        <v>A0</v>
      </c>
    </row>
    <row r="31" spans="1:29" hidden="1" x14ac:dyDescent="0.3">
      <c r="A31" s="286">
        <v>46254</v>
      </c>
      <c r="B31" s="15">
        <v>1</v>
      </c>
      <c r="C31" s="283" t="s">
        <v>646</v>
      </c>
      <c r="D31" t="s">
        <v>163</v>
      </c>
      <c r="E31" t="s">
        <v>569</v>
      </c>
      <c r="F31" s="194">
        <v>5</v>
      </c>
      <c r="G31" s="328">
        <v>0</v>
      </c>
      <c r="H31" s="328">
        <v>0</v>
      </c>
      <c r="I31" s="328">
        <v>0</v>
      </c>
      <c r="J31" s="328">
        <v>0</v>
      </c>
      <c r="K31" s="328">
        <v>0</v>
      </c>
      <c r="L31" s="328">
        <v>0</v>
      </c>
      <c r="M31" s="328">
        <v>0</v>
      </c>
      <c r="N31" s="328">
        <v>0</v>
      </c>
      <c r="O31" s="328">
        <v>0</v>
      </c>
      <c r="P31" s="300"/>
      <c r="Q31" s="284">
        <f t="shared" si="0"/>
        <v>0</v>
      </c>
      <c r="R31" s="3" t="str">
        <f>_xlfn.IFNA(VLOOKUP(Tabella1[[#This Row],[Nome]],'ROSE SQUADRE'!$N$3:$O$253,2,0),"")</f>
        <v>PARTIZAN DEGRADO</v>
      </c>
      <c r="S31" s="312">
        <f>Tabella1[[#This Row],[Gf]]+Tabella1[[#This Row],[Rf]]</f>
        <v>0</v>
      </c>
      <c r="T31" s="193"/>
      <c r="U31" s="285" t="str">
        <f>IF(Tabella1[[#This Row],[N° FantaTit]]=1,Tabella1[[#This Row],[Voto]],"")</f>
        <v/>
      </c>
      <c r="V3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31" s="195"/>
      <c r="X31" s="193" t="str">
        <f>IF(Tabella1[[#This Row],[Best 11]]=1,Tabella1[[#This Row],[fanta voto]],"")</f>
        <v/>
      </c>
      <c r="Z31" s="193" t="str">
        <f>IF(Tabella1[[#This Row],[Best 11 MOD]]=1,Tabella1[[#This Row],[fanta voto]],"")</f>
        <v/>
      </c>
      <c r="AA31" t="str">
        <f>CONCATENATE(Tabella1[[#This Row],[GG]],Tabella1[[#This Row],[Nome]])</f>
        <v>1Dovbyk</v>
      </c>
      <c r="AC31" t="str">
        <f>_xlfn.CONCAT(Tabella1[[#This Row],[Ruolo]],Tabella1[[#This Row],[Gs]])</f>
        <v>A0</v>
      </c>
    </row>
    <row r="32" spans="1:29" hidden="1" x14ac:dyDescent="0.3">
      <c r="A32" s="286">
        <v>46254</v>
      </c>
      <c r="B32" s="15">
        <v>1</v>
      </c>
      <c r="C32" s="283" t="s">
        <v>662</v>
      </c>
      <c r="D32" t="s">
        <v>5</v>
      </c>
      <c r="E32" t="s">
        <v>661</v>
      </c>
      <c r="F32" s="194">
        <v>6</v>
      </c>
      <c r="G32" s="328">
        <v>0</v>
      </c>
      <c r="H32" s="328">
        <v>0</v>
      </c>
      <c r="I32" s="328">
        <v>0</v>
      </c>
      <c r="J32" s="328">
        <v>0</v>
      </c>
      <c r="K32" s="328">
        <v>0</v>
      </c>
      <c r="L32" s="328">
        <v>0</v>
      </c>
      <c r="M32" s="328">
        <v>0</v>
      </c>
      <c r="N32" s="328">
        <v>0</v>
      </c>
      <c r="O32" s="328">
        <v>0</v>
      </c>
      <c r="P32" s="284"/>
      <c r="Q32" s="284">
        <f t="shared" si="0"/>
        <v>1</v>
      </c>
      <c r="R32" s="3" t="str">
        <f>_xlfn.IFNA(VLOOKUP(Tabella1[[#This Row],[Nome]],'ROSE SQUADRE'!$N$3:$O$253,2,0),"")</f>
        <v>AC ASPARAGHESE</v>
      </c>
      <c r="S32" s="312">
        <f>Tabella1[[#This Row],[Gf]]+Tabella1[[#This Row],[Rf]]</f>
        <v>0</v>
      </c>
      <c r="T32" s="193"/>
      <c r="U32" s="285" t="str">
        <f>IF(Tabella1[[#This Row],[N° FantaTit]]=1,Tabella1[[#This Row],[Voto]],"")</f>
        <v/>
      </c>
      <c r="V3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32" s="195"/>
      <c r="X32" s="193" t="str">
        <f>IF(Tabella1[[#This Row],[Best 11]]=1,Tabella1[[#This Row],[fanta voto]],"")</f>
        <v/>
      </c>
      <c r="Z32" s="193" t="str">
        <f>IF(Tabella1[[#This Row],[Best 11 MOD]]=1,Tabella1[[#This Row],[fanta voto]],"")</f>
        <v/>
      </c>
      <c r="AA32" t="str">
        <f>CONCATENATE(Tabella1[[#This Row],[GG]],Tabella1[[#This Row],[Nome]])</f>
        <v>1Caprile</v>
      </c>
      <c r="AC32" t="str">
        <f>_xlfn.CONCAT(Tabella1[[#This Row],[Ruolo]],Tabella1[[#This Row],[Gs]])</f>
        <v>P0</v>
      </c>
    </row>
    <row r="33" spans="1:29" hidden="1" x14ac:dyDescent="0.3">
      <c r="A33" s="286">
        <v>46254</v>
      </c>
      <c r="B33" s="15">
        <v>1</v>
      </c>
      <c r="C33" s="283" t="s">
        <v>662</v>
      </c>
      <c r="D33" s="330" t="s">
        <v>161</v>
      </c>
      <c r="E33" s="330" t="s">
        <v>429</v>
      </c>
      <c r="F33" s="331">
        <v>6</v>
      </c>
      <c r="G33" s="332">
        <v>0</v>
      </c>
      <c r="H33" s="332">
        <v>0</v>
      </c>
      <c r="I33" s="332">
        <v>0</v>
      </c>
      <c r="J33" s="332">
        <v>0</v>
      </c>
      <c r="K33" s="332">
        <v>0</v>
      </c>
      <c r="L33" s="332">
        <v>0</v>
      </c>
      <c r="M33" s="332">
        <v>0</v>
      </c>
      <c r="N33" s="332">
        <v>0</v>
      </c>
      <c r="O33" s="332">
        <v>0</v>
      </c>
      <c r="P33" s="300"/>
      <c r="Q33" s="284">
        <f t="shared" si="0"/>
        <v>0</v>
      </c>
      <c r="R33" s="3" t="str">
        <f>_xlfn.IFNA(VLOOKUP(Tabella1[[#This Row],[Nome]],'ROSE SQUADRE'!$N$3:$O$253,2,0),"")</f>
        <v/>
      </c>
      <c r="S33" s="312">
        <f>Tabella1[[#This Row],[Gf]]+Tabella1[[#This Row],[Rf]]</f>
        <v>0</v>
      </c>
      <c r="T33" s="193"/>
      <c r="U33" s="285" t="str">
        <f>IF(Tabella1[[#This Row],[N° FantaTit]]=1,Tabella1[[#This Row],[Voto]],"")</f>
        <v/>
      </c>
      <c r="V3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33" s="195"/>
      <c r="X33" s="193" t="str">
        <f>IF(Tabella1[[#This Row],[Best 11]]=1,Tabella1[[#This Row],[fanta voto]],"")</f>
        <v/>
      </c>
      <c r="Z33" s="193" t="str">
        <f>IF(Tabella1[[#This Row],[Best 11 MOD]]=1,Tabella1[[#This Row],[fanta voto]],"")</f>
        <v/>
      </c>
      <c r="AA33" t="str">
        <f>CONCATENATE(Tabella1[[#This Row],[GG]],Tabella1[[#This Row],[Nome]])</f>
        <v>1Zappa</v>
      </c>
      <c r="AC33" t="str">
        <f>_xlfn.CONCAT(Tabella1[[#This Row],[Ruolo]],Tabella1[[#This Row],[Gs]])</f>
        <v>D0</v>
      </c>
    </row>
    <row r="34" spans="1:29" hidden="1" x14ac:dyDescent="0.3">
      <c r="A34" s="286">
        <v>46254</v>
      </c>
      <c r="B34" s="15">
        <v>1</v>
      </c>
      <c r="C34" s="283" t="s">
        <v>662</v>
      </c>
      <c r="D34" t="s">
        <v>161</v>
      </c>
      <c r="E34" t="s">
        <v>668</v>
      </c>
      <c r="F34" s="194">
        <v>6</v>
      </c>
      <c r="G34" s="328">
        <v>0</v>
      </c>
      <c r="H34" s="328">
        <v>0</v>
      </c>
      <c r="I34" s="328">
        <v>0</v>
      </c>
      <c r="J34" s="328">
        <v>0</v>
      </c>
      <c r="K34" s="328">
        <v>0</v>
      </c>
      <c r="L34" s="328">
        <v>0</v>
      </c>
      <c r="M34" s="328">
        <v>0</v>
      </c>
      <c r="N34" s="328">
        <v>0</v>
      </c>
      <c r="O34" s="328">
        <v>0</v>
      </c>
      <c r="P34" s="300"/>
      <c r="Q34" s="284">
        <f t="shared" si="0"/>
        <v>0</v>
      </c>
      <c r="R34" s="3" t="str">
        <f>_xlfn.IFNA(VLOOKUP(Tabella1[[#This Row],[Nome]],'ROSE SQUADRE'!$N$3:$O$253,2,0),"")</f>
        <v/>
      </c>
      <c r="S34" s="312">
        <f>Tabella1[[#This Row],[Gf]]+Tabella1[[#This Row],[Rf]]</f>
        <v>0</v>
      </c>
      <c r="T34" s="193"/>
      <c r="U34" s="285" t="str">
        <f>IF(Tabella1[[#This Row],[N° FantaTit]]=1,Tabella1[[#This Row],[Voto]],"")</f>
        <v/>
      </c>
      <c r="V3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34" s="195"/>
      <c r="X34" s="193" t="str">
        <f>IF(Tabella1[[#This Row],[Best 11]]=1,Tabella1[[#This Row],[fanta voto]],"")</f>
        <v/>
      </c>
      <c r="Z34" s="193" t="str">
        <f>IF(Tabella1[[#This Row],[Best 11 MOD]]=1,Tabella1[[#This Row],[fanta voto]],"")</f>
        <v/>
      </c>
      <c r="AA34" t="str">
        <f>CONCATENATE(Tabella1[[#This Row],[GG]],Tabella1[[#This Row],[Nome]])</f>
        <v>1Obert</v>
      </c>
      <c r="AC34" t="str">
        <f>_xlfn.CONCAT(Tabella1[[#This Row],[Ruolo]],Tabella1[[#This Row],[Gs]])</f>
        <v>D0</v>
      </c>
    </row>
    <row r="35" spans="1:29" hidden="1" x14ac:dyDescent="0.3">
      <c r="A35" s="286">
        <v>46254</v>
      </c>
      <c r="B35" s="15">
        <v>1</v>
      </c>
      <c r="C35" s="283" t="s">
        <v>662</v>
      </c>
      <c r="D35" s="330" t="s">
        <v>161</v>
      </c>
      <c r="E35" s="330" t="s">
        <v>669</v>
      </c>
      <c r="F35" s="331">
        <v>6.5</v>
      </c>
      <c r="G35" s="332">
        <v>0</v>
      </c>
      <c r="H35" s="332">
        <v>0</v>
      </c>
      <c r="I35" s="332">
        <v>0</v>
      </c>
      <c r="J35" s="332">
        <v>0</v>
      </c>
      <c r="K35" s="332">
        <v>0</v>
      </c>
      <c r="L35" s="332">
        <v>0</v>
      </c>
      <c r="M35" s="332">
        <v>0</v>
      </c>
      <c r="N35" s="332">
        <v>0</v>
      </c>
      <c r="O35" s="332">
        <v>0</v>
      </c>
      <c r="P35" s="300"/>
      <c r="Q35" s="284">
        <f t="shared" si="0"/>
        <v>0</v>
      </c>
      <c r="R35" s="3" t="str">
        <f>_xlfn.IFNA(VLOOKUP(Tabella1[[#This Row],[Nome]],'ROSE SQUADRE'!$N$3:$O$253,2,0),"")</f>
        <v/>
      </c>
      <c r="S35" s="312">
        <f>Tabella1[[#This Row],[Gf]]+Tabella1[[#This Row],[Rf]]</f>
        <v>0</v>
      </c>
      <c r="T35" s="193"/>
      <c r="U35" s="285" t="str">
        <f>IF(Tabella1[[#This Row],[N° FantaTit]]=1,Tabella1[[#This Row],[Voto]],"")</f>
        <v/>
      </c>
      <c r="V3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35" s="195"/>
      <c r="X35" s="193" t="str">
        <f>IF(Tabella1[[#This Row],[Best 11]]=1,Tabella1[[#This Row],[fanta voto]],"")</f>
        <v/>
      </c>
      <c r="Z35" s="193" t="str">
        <f>IF(Tabella1[[#This Row],[Best 11 MOD]]=1,Tabella1[[#This Row],[fanta voto]],"")</f>
        <v/>
      </c>
      <c r="AA35" t="str">
        <f>CONCATENATE(Tabella1[[#This Row],[GG]],Tabella1[[#This Row],[Nome]])</f>
        <v>1Rodriguez Ju.</v>
      </c>
      <c r="AC35" t="str">
        <f>_xlfn.CONCAT(Tabella1[[#This Row],[Ruolo]],Tabella1[[#This Row],[Gs]])</f>
        <v>D0</v>
      </c>
    </row>
    <row r="36" spans="1:29" hidden="1" x14ac:dyDescent="0.3">
      <c r="A36" s="286">
        <v>46254</v>
      </c>
      <c r="B36" s="15">
        <v>1</v>
      </c>
      <c r="C36" s="283" t="s">
        <v>662</v>
      </c>
      <c r="D36" t="s">
        <v>161</v>
      </c>
      <c r="E36" t="s">
        <v>670</v>
      </c>
      <c r="F36" s="194">
        <v>5.5</v>
      </c>
      <c r="G36" s="328">
        <v>0</v>
      </c>
      <c r="H36" s="328">
        <v>0</v>
      </c>
      <c r="I36" s="328">
        <v>0</v>
      </c>
      <c r="J36" s="328">
        <v>0</v>
      </c>
      <c r="K36" s="328">
        <v>0</v>
      </c>
      <c r="L36" s="328">
        <v>0</v>
      </c>
      <c r="M36" s="329">
        <v>1</v>
      </c>
      <c r="N36" s="328">
        <v>0</v>
      </c>
      <c r="O36" s="328">
        <v>0</v>
      </c>
      <c r="P36" s="300"/>
      <c r="Q36" s="284">
        <f t="shared" si="0"/>
        <v>0</v>
      </c>
      <c r="R36" s="3" t="str">
        <f>_xlfn.IFNA(VLOOKUP(Tabella1[[#This Row],[Nome]],'ROSE SQUADRE'!$N$3:$O$253,2,0),"")</f>
        <v>ATL. IMPROVVISATO</v>
      </c>
      <c r="S36" s="312">
        <f>Tabella1[[#This Row],[Gf]]+Tabella1[[#This Row],[Rf]]</f>
        <v>0</v>
      </c>
      <c r="T36" s="193"/>
      <c r="U36" s="285" t="str">
        <f>IF(Tabella1[[#This Row],[N° FantaTit]]=1,Tabella1[[#This Row],[Voto]],"")</f>
        <v/>
      </c>
      <c r="V3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36" s="195"/>
      <c r="X36" s="193" t="str">
        <f>IF(Tabella1[[#This Row],[Best 11]]=1,Tabella1[[#This Row],[fanta voto]],"")</f>
        <v/>
      </c>
      <c r="Z36" s="193" t="str">
        <f>IF(Tabella1[[#This Row],[Best 11 MOD]]=1,Tabella1[[#This Row],[fanta voto]],"")</f>
        <v/>
      </c>
      <c r="AA36" t="str">
        <f>CONCATENATE(Tabella1[[#This Row],[GG]],Tabella1[[#This Row],[Nome]])</f>
        <v>1Zè Pedro</v>
      </c>
      <c r="AC36" t="str">
        <f>_xlfn.CONCAT(Tabella1[[#This Row],[Ruolo]],Tabella1[[#This Row],[Gs]])</f>
        <v>D0</v>
      </c>
    </row>
    <row r="37" spans="1:29" hidden="1" x14ac:dyDescent="0.3">
      <c r="A37" s="286">
        <v>46254</v>
      </c>
      <c r="B37" s="15">
        <v>1</v>
      </c>
      <c r="C37" s="283" t="s">
        <v>662</v>
      </c>
      <c r="D37" t="s">
        <v>162</v>
      </c>
      <c r="E37" t="s">
        <v>433</v>
      </c>
      <c r="F37" s="194">
        <v>6</v>
      </c>
      <c r="G37" s="328">
        <v>0</v>
      </c>
      <c r="H37" s="328">
        <v>0</v>
      </c>
      <c r="I37" s="328">
        <v>0</v>
      </c>
      <c r="J37" s="328">
        <v>0</v>
      </c>
      <c r="K37" s="328">
        <v>0</v>
      </c>
      <c r="L37" s="328">
        <v>0</v>
      </c>
      <c r="M37" s="328">
        <v>0</v>
      </c>
      <c r="N37" s="328">
        <v>0</v>
      </c>
      <c r="O37" s="328">
        <v>0</v>
      </c>
      <c r="P37" s="300"/>
      <c r="Q37" s="284">
        <f t="shared" si="0"/>
        <v>0</v>
      </c>
      <c r="R37" s="3" t="str">
        <f>_xlfn.IFNA(VLOOKUP(Tabella1[[#This Row],[Nome]],'ROSE SQUADRE'!$N$3:$O$253,2,0),"")</f>
        <v/>
      </c>
      <c r="S37" s="312">
        <f>Tabella1[[#This Row],[Gf]]+Tabella1[[#This Row],[Rf]]</f>
        <v>0</v>
      </c>
      <c r="T37" s="193"/>
      <c r="U37" s="285" t="str">
        <f>IF(Tabella1[[#This Row],[N° FantaTit]]=1,Tabella1[[#This Row],[Voto]],"")</f>
        <v/>
      </c>
      <c r="V3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37" s="195"/>
      <c r="X37" s="193" t="str">
        <f>IF(Tabella1[[#This Row],[Best 11]]=1,Tabella1[[#This Row],[fanta voto]],"")</f>
        <v/>
      </c>
      <c r="Z37" s="193" t="str">
        <f>IF(Tabella1[[#This Row],[Best 11 MOD]]=1,Tabella1[[#This Row],[fanta voto]],"")</f>
        <v/>
      </c>
      <c r="AA37" t="str">
        <f>CONCATENATE(Tabella1[[#This Row],[GG]],Tabella1[[#This Row],[Nome]])</f>
        <v>1Deiola</v>
      </c>
      <c r="AC37" t="str">
        <f>_xlfn.CONCAT(Tabella1[[#This Row],[Ruolo]],Tabella1[[#This Row],[Gs]])</f>
        <v>C0</v>
      </c>
    </row>
    <row r="38" spans="1:29" hidden="1" x14ac:dyDescent="0.3">
      <c r="A38" s="286">
        <v>46254</v>
      </c>
      <c r="B38" s="15">
        <v>1</v>
      </c>
      <c r="C38" s="283" t="s">
        <v>662</v>
      </c>
      <c r="D38" s="330" t="s">
        <v>162</v>
      </c>
      <c r="E38" s="330" t="s">
        <v>674</v>
      </c>
      <c r="F38" s="331">
        <v>6</v>
      </c>
      <c r="G38" s="332">
        <v>0</v>
      </c>
      <c r="H38" s="332">
        <v>0</v>
      </c>
      <c r="I38" s="332">
        <v>0</v>
      </c>
      <c r="J38" s="332">
        <v>0</v>
      </c>
      <c r="K38" s="332">
        <v>0</v>
      </c>
      <c r="L38" s="332">
        <v>0</v>
      </c>
      <c r="M38" s="332">
        <v>0</v>
      </c>
      <c r="N38" s="332">
        <v>0</v>
      </c>
      <c r="O38" s="332">
        <v>0</v>
      </c>
      <c r="P38" s="300"/>
      <c r="Q38" s="284">
        <f t="shared" si="0"/>
        <v>0</v>
      </c>
      <c r="R38" s="3" t="str">
        <f>_xlfn.IFNA(VLOOKUP(Tabella1[[#This Row],[Nome]],'ROSE SQUADRE'!$N$3:$O$253,2,0),"")</f>
        <v/>
      </c>
      <c r="S38" s="312">
        <f>Tabella1[[#This Row],[Gf]]+Tabella1[[#This Row],[Rf]]</f>
        <v>0</v>
      </c>
      <c r="T38" s="193"/>
      <c r="U38" s="285" t="str">
        <f>IF(Tabella1[[#This Row],[N° FantaTit]]=1,Tabella1[[#This Row],[Voto]],"")</f>
        <v/>
      </c>
      <c r="V3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38" s="195"/>
      <c r="X38" s="193" t="str">
        <f>IF(Tabella1[[#This Row],[Best 11]]=1,Tabella1[[#This Row],[fanta voto]],"")</f>
        <v/>
      </c>
      <c r="Z38" s="193" t="str">
        <f>IF(Tabella1[[#This Row],[Best 11 MOD]]=1,Tabella1[[#This Row],[fanta voto]],"")</f>
        <v/>
      </c>
      <c r="AA38" t="str">
        <f>CONCATENATE(Tabella1[[#This Row],[GG]],Tabella1[[#This Row],[Nome]])</f>
        <v>1Winks</v>
      </c>
      <c r="AC38" t="str">
        <f>_xlfn.CONCAT(Tabella1[[#This Row],[Ruolo]],Tabella1[[#This Row],[Gs]])</f>
        <v>C0</v>
      </c>
    </row>
    <row r="39" spans="1:29" hidden="1" x14ac:dyDescent="0.3">
      <c r="A39" s="286">
        <v>46254</v>
      </c>
      <c r="B39" s="15">
        <v>1</v>
      </c>
      <c r="C39" s="283" t="s">
        <v>662</v>
      </c>
      <c r="D39" t="s">
        <v>162</v>
      </c>
      <c r="E39" t="s">
        <v>231</v>
      </c>
      <c r="F39" s="194">
        <v>6.5</v>
      </c>
      <c r="G39" s="328">
        <v>0</v>
      </c>
      <c r="H39" s="328">
        <v>0</v>
      </c>
      <c r="I39" s="328">
        <v>0</v>
      </c>
      <c r="J39" s="328">
        <v>0</v>
      </c>
      <c r="K39" s="328">
        <v>0</v>
      </c>
      <c r="L39" s="328">
        <v>0</v>
      </c>
      <c r="M39" s="328">
        <v>0</v>
      </c>
      <c r="N39" s="328">
        <v>0</v>
      </c>
      <c r="O39" s="329">
        <v>1</v>
      </c>
      <c r="P39" s="300"/>
      <c r="Q39" s="284">
        <f t="shared" si="0"/>
        <v>0</v>
      </c>
      <c r="R39" s="3" t="str">
        <f>_xlfn.IFNA(VLOOKUP(Tabella1[[#This Row],[Nome]],'ROSE SQUADRE'!$N$3:$O$253,2,0),"")</f>
        <v/>
      </c>
      <c r="S39" s="312">
        <f>Tabella1[[#This Row],[Gf]]+Tabella1[[#This Row],[Rf]]</f>
        <v>0</v>
      </c>
      <c r="T39" s="193"/>
      <c r="U39" s="285" t="str">
        <f>IF(Tabella1[[#This Row],[N° FantaTit]]=1,Tabella1[[#This Row],[Voto]],"")</f>
        <v/>
      </c>
      <c r="V3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7.5</v>
      </c>
      <c r="W39" s="195"/>
      <c r="X39" s="193" t="str">
        <f>IF(Tabella1[[#This Row],[Best 11]]=1,Tabella1[[#This Row],[fanta voto]],"")</f>
        <v/>
      </c>
      <c r="Z39" s="193" t="str">
        <f>IF(Tabella1[[#This Row],[Best 11 MOD]]=1,Tabella1[[#This Row],[fanta voto]],"")</f>
        <v/>
      </c>
      <c r="AA39" t="str">
        <f>CONCATENATE(Tabella1[[#This Row],[GG]],Tabella1[[#This Row],[Nome]])</f>
        <v>1Adopo</v>
      </c>
      <c r="AC39" t="str">
        <f>_xlfn.CONCAT(Tabella1[[#This Row],[Ruolo]],Tabella1[[#This Row],[Gs]])</f>
        <v>C0</v>
      </c>
    </row>
    <row r="40" spans="1:29" hidden="1" x14ac:dyDescent="0.3">
      <c r="A40" s="286">
        <v>46254</v>
      </c>
      <c r="B40" s="15">
        <v>1</v>
      </c>
      <c r="C40" s="283" t="s">
        <v>662</v>
      </c>
      <c r="D40" s="330" t="s">
        <v>162</v>
      </c>
      <c r="E40" s="330" t="s">
        <v>352</v>
      </c>
      <c r="F40" s="331">
        <v>5.5</v>
      </c>
      <c r="G40" s="332">
        <v>0</v>
      </c>
      <c r="H40" s="332">
        <v>0</v>
      </c>
      <c r="I40" s="332">
        <v>0</v>
      </c>
      <c r="J40" s="332">
        <v>0</v>
      </c>
      <c r="K40" s="332">
        <v>0</v>
      </c>
      <c r="L40" s="332">
        <v>0</v>
      </c>
      <c r="M40" s="333">
        <v>1</v>
      </c>
      <c r="N40" s="332">
        <v>0</v>
      </c>
      <c r="O40" s="332">
        <v>0</v>
      </c>
      <c r="P40" s="300"/>
      <c r="Q40" s="284">
        <f t="shared" si="0"/>
        <v>0</v>
      </c>
      <c r="R40" s="3" t="str">
        <f>_xlfn.IFNA(VLOOKUP(Tabella1[[#This Row],[Nome]],'ROSE SQUADRE'!$N$3:$O$253,2,0),"")</f>
        <v>FC INTERNAZIOANALE</v>
      </c>
      <c r="S40" s="312">
        <f>Tabella1[[#This Row],[Gf]]+Tabella1[[#This Row],[Rf]]</f>
        <v>0</v>
      </c>
      <c r="T40" s="193"/>
      <c r="U40" s="285" t="str">
        <f>IF(Tabella1[[#This Row],[N° FantaTit]]=1,Tabella1[[#This Row],[Voto]],"")</f>
        <v/>
      </c>
      <c r="V4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40" s="195"/>
      <c r="X40" s="193" t="str">
        <f>IF(Tabella1[[#This Row],[Best 11]]=1,Tabella1[[#This Row],[fanta voto]],"")</f>
        <v/>
      </c>
      <c r="Z40" s="193" t="str">
        <f>IF(Tabella1[[#This Row],[Best 11 MOD]]=1,Tabella1[[#This Row],[fanta voto]],"")</f>
        <v/>
      </c>
      <c r="AA40" t="str">
        <f>CONCATENATE(Tabella1[[#This Row],[GG]],Tabella1[[#This Row],[Nome]])</f>
        <v>1Fazzini</v>
      </c>
      <c r="AC40" t="str">
        <f>_xlfn.CONCAT(Tabella1[[#This Row],[Ruolo]],Tabella1[[#This Row],[Gs]])</f>
        <v>C0</v>
      </c>
    </row>
    <row r="41" spans="1:29" hidden="1" x14ac:dyDescent="0.3">
      <c r="A41" s="286">
        <v>46254</v>
      </c>
      <c r="B41" s="15">
        <v>1</v>
      </c>
      <c r="C41" s="283" t="s">
        <v>662</v>
      </c>
      <c r="D41" t="s">
        <v>162</v>
      </c>
      <c r="E41" t="s">
        <v>671</v>
      </c>
      <c r="F41" s="194">
        <v>6</v>
      </c>
      <c r="G41" s="328">
        <v>0</v>
      </c>
      <c r="H41" s="328">
        <v>0</v>
      </c>
      <c r="I41" s="328">
        <v>0</v>
      </c>
      <c r="J41" s="328">
        <v>0</v>
      </c>
      <c r="K41" s="328">
        <v>0</v>
      </c>
      <c r="L41" s="328">
        <v>0</v>
      </c>
      <c r="M41" s="328">
        <v>0</v>
      </c>
      <c r="N41" s="328">
        <v>0</v>
      </c>
      <c r="O41" s="328">
        <v>0</v>
      </c>
      <c r="P41" s="300"/>
      <c r="Q41" s="284">
        <f t="shared" si="0"/>
        <v>0</v>
      </c>
      <c r="R41" s="3" t="str">
        <f>_xlfn.IFNA(VLOOKUP(Tabella1[[#This Row],[Nome]],'ROSE SQUADRE'!$N$3:$O$253,2,0),"")</f>
        <v/>
      </c>
      <c r="S41" s="312">
        <f>Tabella1[[#This Row],[Gf]]+Tabella1[[#This Row],[Rf]]</f>
        <v>0</v>
      </c>
      <c r="T41" s="193"/>
      <c r="U41" s="285" t="str">
        <f>IF(Tabella1[[#This Row],[N° FantaTit]]=1,Tabella1[[#This Row],[Voto]],"")</f>
        <v/>
      </c>
      <c r="V4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41" s="195"/>
      <c r="X41" s="193" t="str">
        <f>IF(Tabella1[[#This Row],[Best 11]]=1,Tabella1[[#This Row],[fanta voto]],"")</f>
        <v/>
      </c>
      <c r="Z41" s="193" t="str">
        <f>IF(Tabella1[[#This Row],[Best 11 MOD]]=1,Tabella1[[#This Row],[fanta voto]],"")</f>
        <v/>
      </c>
      <c r="AA41" t="str">
        <f>CONCATENATE(Tabella1[[#This Row],[GG]],Tabella1[[#This Row],[Nome]])</f>
        <v>1Felici</v>
      </c>
      <c r="AC41" t="str">
        <f>_xlfn.CONCAT(Tabella1[[#This Row],[Ruolo]],Tabella1[[#This Row],[Gs]])</f>
        <v>C0</v>
      </c>
    </row>
    <row r="42" spans="1:29" hidden="1" x14ac:dyDescent="0.3">
      <c r="A42" s="286">
        <v>46254</v>
      </c>
      <c r="B42" s="15">
        <v>1</v>
      </c>
      <c r="C42" s="283" t="s">
        <v>662</v>
      </c>
      <c r="D42" s="330" t="s">
        <v>162</v>
      </c>
      <c r="E42" s="330" t="s">
        <v>673</v>
      </c>
      <c r="F42" s="331">
        <v>7</v>
      </c>
      <c r="G42" s="333">
        <v>1</v>
      </c>
      <c r="H42" s="332">
        <v>0</v>
      </c>
      <c r="I42" s="332">
        <v>0</v>
      </c>
      <c r="J42" s="332">
        <v>0</v>
      </c>
      <c r="K42" s="332">
        <v>0</v>
      </c>
      <c r="L42" s="332">
        <v>0</v>
      </c>
      <c r="M42" s="332">
        <v>0</v>
      </c>
      <c r="N42" s="332">
        <v>0</v>
      </c>
      <c r="O42" s="332">
        <v>0</v>
      </c>
      <c r="P42" s="300">
        <v>1</v>
      </c>
      <c r="Q42" s="284">
        <f t="shared" si="0"/>
        <v>0</v>
      </c>
      <c r="R42" s="3" t="str">
        <f>_xlfn.IFNA(VLOOKUP(Tabella1[[#This Row],[Nome]],'ROSE SQUADRE'!$N$3:$O$253,2,0),"")</f>
        <v>PARTIZAN DEGRADO</v>
      </c>
      <c r="S42" s="312">
        <f>Tabella1[[#This Row],[Gf]]+Tabella1[[#This Row],[Rf]]</f>
        <v>1</v>
      </c>
      <c r="T42" s="193"/>
      <c r="U42" s="285" t="str">
        <f>IF(Tabella1[[#This Row],[N° FantaTit]]=1,Tabella1[[#This Row],[Voto]],"")</f>
        <v/>
      </c>
      <c r="V4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11</v>
      </c>
      <c r="W42" s="195"/>
      <c r="X42" s="193" t="str">
        <f>IF(Tabella1[[#This Row],[Best 11]]=1,Tabella1[[#This Row],[fanta voto]],"")</f>
        <v/>
      </c>
      <c r="Z42" s="193" t="str">
        <f>IF(Tabella1[[#This Row],[Best 11 MOD]]=1,Tabella1[[#This Row],[fanta voto]],"")</f>
        <v/>
      </c>
      <c r="AA42" t="str">
        <f>CONCATENATE(Tabella1[[#This Row],[GG]],Tabella1[[#This Row],[Nome]])</f>
        <v>1Romano</v>
      </c>
      <c r="AC42" t="str">
        <f>_xlfn.CONCAT(Tabella1[[#This Row],[Ruolo]],Tabella1[[#This Row],[Gs]])</f>
        <v>C0</v>
      </c>
    </row>
    <row r="43" spans="1:29" hidden="1" x14ac:dyDescent="0.3">
      <c r="A43" s="286">
        <v>46254</v>
      </c>
      <c r="B43" s="15">
        <v>1</v>
      </c>
      <c r="C43" s="283" t="s">
        <v>662</v>
      </c>
      <c r="D43" t="s">
        <v>163</v>
      </c>
      <c r="E43" t="s">
        <v>355</v>
      </c>
      <c r="F43" s="194">
        <v>6</v>
      </c>
      <c r="G43" s="328">
        <v>0</v>
      </c>
      <c r="H43" s="328">
        <v>0</v>
      </c>
      <c r="I43" s="328">
        <v>0</v>
      </c>
      <c r="J43" s="328">
        <v>0</v>
      </c>
      <c r="K43" s="328">
        <v>0</v>
      </c>
      <c r="L43" s="328">
        <v>0</v>
      </c>
      <c r="M43" s="328">
        <v>0</v>
      </c>
      <c r="N43" s="328">
        <v>0</v>
      </c>
      <c r="O43" s="328">
        <v>0</v>
      </c>
      <c r="P43" s="300"/>
      <c r="Q43" s="284">
        <f t="shared" si="0"/>
        <v>0</v>
      </c>
      <c r="R43" s="3" t="str">
        <f>_xlfn.IFNA(VLOOKUP(Tabella1[[#This Row],[Nome]],'ROSE SQUADRE'!$N$3:$O$253,2,0),"")</f>
        <v>ATL. IMPROVVISATO</v>
      </c>
      <c r="S43" s="312">
        <f>Tabella1[[#This Row],[Gf]]+Tabella1[[#This Row],[Rf]]</f>
        <v>0</v>
      </c>
      <c r="T43" s="193"/>
      <c r="U43" s="285" t="str">
        <f>IF(Tabella1[[#This Row],[N° FantaTit]]=1,Tabella1[[#This Row],[Voto]],"")</f>
        <v/>
      </c>
      <c r="V4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43" s="195"/>
      <c r="X43" s="193" t="str">
        <f>IF(Tabella1[[#This Row],[Best 11]]=1,Tabella1[[#This Row],[fanta voto]],"")</f>
        <v/>
      </c>
      <c r="Z43" s="193" t="str">
        <f>IF(Tabella1[[#This Row],[Best 11 MOD]]=1,Tabella1[[#This Row],[fanta voto]],"")</f>
        <v/>
      </c>
      <c r="AA43" t="str">
        <f>CONCATENATE(Tabella1[[#This Row],[GG]],Tabella1[[#This Row],[Nome]])</f>
        <v>1Maldini</v>
      </c>
      <c r="AC43" t="str">
        <f>_xlfn.CONCAT(Tabella1[[#This Row],[Ruolo]],Tabella1[[#This Row],[Gs]])</f>
        <v>A0</v>
      </c>
    </row>
    <row r="44" spans="1:29" hidden="1" x14ac:dyDescent="0.3">
      <c r="A44" s="286">
        <v>46254</v>
      </c>
      <c r="B44" s="15">
        <v>1</v>
      </c>
      <c r="C44" s="283" t="s">
        <v>662</v>
      </c>
      <c r="D44" s="330" t="s">
        <v>163</v>
      </c>
      <c r="E44" s="330" t="s">
        <v>675</v>
      </c>
      <c r="F44" s="331">
        <v>6</v>
      </c>
      <c r="G44" s="332">
        <v>0</v>
      </c>
      <c r="H44" s="332">
        <v>0</v>
      </c>
      <c r="I44" s="332">
        <v>0</v>
      </c>
      <c r="J44" s="332">
        <v>0</v>
      </c>
      <c r="K44" s="332">
        <v>0</v>
      </c>
      <c r="L44" s="332">
        <v>0</v>
      </c>
      <c r="M44" s="332">
        <v>0</v>
      </c>
      <c r="N44" s="332">
        <v>0</v>
      </c>
      <c r="O44" s="332">
        <v>0</v>
      </c>
      <c r="P44" s="299"/>
      <c r="Q44" s="284">
        <f t="shared" si="0"/>
        <v>0</v>
      </c>
      <c r="R44" s="3" t="str">
        <f>_xlfn.IFNA(VLOOKUP(Tabella1[[#This Row],[Nome]],'ROSE SQUADRE'!$N$3:$O$253,2,0),"")</f>
        <v/>
      </c>
      <c r="S44" s="312">
        <f>Tabella1[[#This Row],[Gf]]+Tabella1[[#This Row],[Rf]]</f>
        <v>0</v>
      </c>
      <c r="U44" s="285" t="str">
        <f>IF(Tabella1[[#This Row],[N° FantaTit]]=1,Tabella1[[#This Row],[Voto]],"")</f>
        <v/>
      </c>
      <c r="V4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44" s="195"/>
      <c r="X44" s="193" t="str">
        <f>IF(Tabella1[[#This Row],[Best 11]]=1,Tabella1[[#This Row],[fanta voto]],"")</f>
        <v/>
      </c>
      <c r="Z44" s="193" t="str">
        <f>IF(Tabella1[[#This Row],[Best 11 MOD]]=1,Tabella1[[#This Row],[fanta voto]],"")</f>
        <v/>
      </c>
      <c r="AA44" t="str">
        <f>CONCATENATE(Tabella1[[#This Row],[GG]],Tabella1[[#This Row],[Nome]])</f>
        <v>1Borrelli</v>
      </c>
      <c r="AC44" t="str">
        <f>_xlfn.CONCAT(Tabella1[[#This Row],[Ruolo]],Tabella1[[#This Row],[Gs]])</f>
        <v>A0</v>
      </c>
    </row>
    <row r="45" spans="1:29" hidden="1" x14ac:dyDescent="0.3">
      <c r="A45" s="286">
        <v>46254</v>
      </c>
      <c r="B45" s="15">
        <v>1</v>
      </c>
      <c r="C45" s="283" t="s">
        <v>662</v>
      </c>
      <c r="D45" s="330" t="s">
        <v>163</v>
      </c>
      <c r="E45" s="330" t="s">
        <v>677</v>
      </c>
      <c r="F45" s="331">
        <v>5.5</v>
      </c>
      <c r="G45" s="332">
        <v>0</v>
      </c>
      <c r="H45" s="332">
        <v>0</v>
      </c>
      <c r="I45" s="332">
        <v>0</v>
      </c>
      <c r="J45" s="332">
        <v>0</v>
      </c>
      <c r="K45" s="332">
        <v>0</v>
      </c>
      <c r="L45" s="332">
        <v>0</v>
      </c>
      <c r="M45" s="332">
        <v>0</v>
      </c>
      <c r="N45" s="332">
        <v>0</v>
      </c>
      <c r="O45" s="332">
        <v>0</v>
      </c>
      <c r="P45" s="300"/>
      <c r="Q45" s="284">
        <f t="shared" si="0"/>
        <v>0</v>
      </c>
      <c r="R45" s="3" t="str">
        <f>_xlfn.IFNA(VLOOKUP(Tabella1[[#This Row],[Nome]],'ROSE SQUADRE'!$N$3:$O$253,2,0),"")</f>
        <v/>
      </c>
      <c r="S45" s="312">
        <f>Tabella1[[#This Row],[Gf]]+Tabella1[[#This Row],[Rf]]</f>
        <v>0</v>
      </c>
      <c r="T45" s="193"/>
      <c r="U45" s="285" t="str">
        <f>IF(Tabella1[[#This Row],[N° FantaTit]]=1,Tabella1[[#This Row],[Voto]],"")</f>
        <v/>
      </c>
      <c r="V4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45" s="195"/>
      <c r="X45" s="193" t="str">
        <f>IF(Tabella1[[#This Row],[Best 11]]=1,Tabella1[[#This Row],[fanta voto]],"")</f>
        <v/>
      </c>
      <c r="Z45" s="193" t="str">
        <f>IF(Tabella1[[#This Row],[Best 11 MOD]]=1,Tabella1[[#This Row],[fanta voto]],"")</f>
        <v/>
      </c>
      <c r="AA45" t="str">
        <f>CONCATENATE(Tabella1[[#This Row],[GG]],Tabella1[[#This Row],[Nome]])</f>
        <v>1Mendy P.</v>
      </c>
      <c r="AC45" t="str">
        <f>_xlfn.CONCAT(Tabella1[[#This Row],[Ruolo]],Tabella1[[#This Row],[Gs]])</f>
        <v>A0</v>
      </c>
    </row>
    <row r="46" spans="1:29" hidden="1" x14ac:dyDescent="0.3">
      <c r="A46" s="286">
        <v>46254</v>
      </c>
      <c r="B46" s="15">
        <v>1</v>
      </c>
      <c r="C46" s="283" t="s">
        <v>681</v>
      </c>
      <c r="D46" s="330" t="s">
        <v>5</v>
      </c>
      <c r="E46" s="330" t="s">
        <v>680</v>
      </c>
      <c r="F46" s="331">
        <v>6</v>
      </c>
      <c r="G46" s="332">
        <v>0</v>
      </c>
      <c r="H46" s="333">
        <v>1</v>
      </c>
      <c r="I46" s="332">
        <v>0</v>
      </c>
      <c r="J46" s="332">
        <v>0</v>
      </c>
      <c r="K46" s="332">
        <v>0</v>
      </c>
      <c r="L46" s="332">
        <v>0</v>
      </c>
      <c r="M46" s="332">
        <v>0</v>
      </c>
      <c r="N46" s="332">
        <v>0</v>
      </c>
      <c r="O46" s="332">
        <v>0</v>
      </c>
      <c r="P46" s="300"/>
      <c r="Q46" s="284">
        <f t="shared" si="0"/>
        <v>0</v>
      </c>
      <c r="R46" s="3" t="str">
        <f>_xlfn.IFNA(VLOOKUP(Tabella1[[#This Row],[Nome]],'ROSE SQUADRE'!$N$3:$O$253,2,0),"")</f>
        <v>SESTO ASENSIO</v>
      </c>
      <c r="S46" s="312">
        <f>Tabella1[[#This Row],[Gf]]+Tabella1[[#This Row],[Rf]]</f>
        <v>0</v>
      </c>
      <c r="T46" s="193"/>
      <c r="U46" s="285" t="str">
        <f>IF(Tabella1[[#This Row],[N° FantaTit]]=1,Tabella1[[#This Row],[Voto]],"")</f>
        <v/>
      </c>
      <c r="V4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46" s="195"/>
      <c r="X46" s="193" t="str">
        <f>IF(Tabella1[[#This Row],[Best 11]]=1,Tabella1[[#This Row],[fanta voto]],"")</f>
        <v/>
      </c>
      <c r="Z46" s="193" t="str">
        <f>IF(Tabella1[[#This Row],[Best 11 MOD]]=1,Tabella1[[#This Row],[fanta voto]],"")</f>
        <v/>
      </c>
      <c r="AA46" t="str">
        <f>CONCATENATE(Tabella1[[#This Row],[GG]],Tabella1[[#This Row],[Nome]])</f>
        <v>1Butez</v>
      </c>
      <c r="AC46" t="str">
        <f>_xlfn.CONCAT(Tabella1[[#This Row],[Ruolo]],Tabella1[[#This Row],[Gs]])</f>
        <v>P1</v>
      </c>
    </row>
    <row r="47" spans="1:29" hidden="1" x14ac:dyDescent="0.3">
      <c r="A47" s="286">
        <v>46254</v>
      </c>
      <c r="B47" s="15">
        <v>1</v>
      </c>
      <c r="C47" s="283" t="s">
        <v>681</v>
      </c>
      <c r="D47" t="s">
        <v>161</v>
      </c>
      <c r="E47" t="s">
        <v>684</v>
      </c>
      <c r="F47" s="194">
        <v>6.5</v>
      </c>
      <c r="G47" s="328">
        <v>0</v>
      </c>
      <c r="H47" s="328">
        <v>0</v>
      </c>
      <c r="I47" s="328">
        <v>0</v>
      </c>
      <c r="J47" s="328">
        <v>0</v>
      </c>
      <c r="K47" s="328">
        <v>0</v>
      </c>
      <c r="L47" s="328">
        <v>0</v>
      </c>
      <c r="M47" s="328">
        <v>0</v>
      </c>
      <c r="N47" s="328">
        <v>0</v>
      </c>
      <c r="O47" s="328">
        <v>0</v>
      </c>
      <c r="P47" s="300"/>
      <c r="Q47" s="284">
        <f t="shared" si="0"/>
        <v>0</v>
      </c>
      <c r="R47" s="3" t="str">
        <f>_xlfn.IFNA(VLOOKUP(Tabella1[[#This Row],[Nome]],'ROSE SQUADRE'!$N$3:$O$253,2,0),"")</f>
        <v>SHARK</v>
      </c>
      <c r="S47" s="312">
        <f>Tabella1[[#This Row],[Gf]]+Tabella1[[#This Row],[Rf]]</f>
        <v>0</v>
      </c>
      <c r="T47" s="193"/>
      <c r="U47" s="285" t="str">
        <f>IF(Tabella1[[#This Row],[N° FantaTit]]=1,Tabella1[[#This Row],[Voto]],"")</f>
        <v/>
      </c>
      <c r="V4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47" s="195"/>
      <c r="X47" s="193" t="str">
        <f>IF(Tabella1[[#This Row],[Best 11]]=1,Tabella1[[#This Row],[fanta voto]],"")</f>
        <v/>
      </c>
      <c r="Z47" s="193" t="str">
        <f>IF(Tabella1[[#This Row],[Best 11 MOD]]=1,Tabella1[[#This Row],[fanta voto]],"")</f>
        <v/>
      </c>
      <c r="AA47" t="str">
        <f>CONCATENATE(Tabella1[[#This Row],[GG]],Tabella1[[#This Row],[Nome]])</f>
        <v>1Chalobah T.</v>
      </c>
      <c r="AC47" t="str">
        <f>_xlfn.CONCAT(Tabella1[[#This Row],[Ruolo]],Tabella1[[#This Row],[Gs]])</f>
        <v>D0</v>
      </c>
    </row>
    <row r="48" spans="1:29" hidden="1" x14ac:dyDescent="0.3">
      <c r="A48" s="286">
        <v>46254</v>
      </c>
      <c r="B48" s="15">
        <v>1</v>
      </c>
      <c r="C48" s="283" t="s">
        <v>681</v>
      </c>
      <c r="D48" s="330" t="s">
        <v>161</v>
      </c>
      <c r="E48" s="330" t="s">
        <v>685</v>
      </c>
      <c r="F48" s="331">
        <v>5</v>
      </c>
      <c r="G48" s="332">
        <v>0</v>
      </c>
      <c r="H48" s="332">
        <v>0</v>
      </c>
      <c r="I48" s="332">
        <v>0</v>
      </c>
      <c r="J48" s="332">
        <v>0</v>
      </c>
      <c r="K48" s="332">
        <v>0</v>
      </c>
      <c r="L48" s="332">
        <v>0</v>
      </c>
      <c r="M48" s="332">
        <v>0</v>
      </c>
      <c r="N48" s="332">
        <v>0</v>
      </c>
      <c r="O48" s="332">
        <v>0</v>
      </c>
      <c r="P48" s="300"/>
      <c r="Q48" s="284">
        <f t="shared" si="0"/>
        <v>0</v>
      </c>
      <c r="R48" s="3" t="str">
        <f>_xlfn.IFNA(VLOOKUP(Tabella1[[#This Row],[Nome]],'ROSE SQUADRE'!$N$3:$O$253,2,0),"")</f>
        <v>AS PIPPERIA</v>
      </c>
      <c r="S48" s="312">
        <f>Tabella1[[#This Row],[Gf]]+Tabella1[[#This Row],[Rf]]</f>
        <v>0</v>
      </c>
      <c r="T48" s="193"/>
      <c r="U48" s="285" t="str">
        <f>IF(Tabella1[[#This Row],[N° FantaTit]]=1,Tabella1[[#This Row],[Voto]],"")</f>
        <v/>
      </c>
      <c r="V4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48" s="195"/>
      <c r="X48" s="193" t="str">
        <f>IF(Tabella1[[#This Row],[Best 11]]=1,Tabella1[[#This Row],[fanta voto]],"")</f>
        <v/>
      </c>
      <c r="Z48" s="193" t="str">
        <f>IF(Tabella1[[#This Row],[Best 11 MOD]]=1,Tabella1[[#This Row],[fanta voto]],"")</f>
        <v/>
      </c>
      <c r="AA48" t="str">
        <f>CONCATENATE(Tabella1[[#This Row],[GG]],Tabella1[[#This Row],[Nome]])</f>
        <v>1Couto</v>
      </c>
      <c r="AC48" t="str">
        <f>_xlfn.CONCAT(Tabella1[[#This Row],[Ruolo]],Tabella1[[#This Row],[Gs]])</f>
        <v>D0</v>
      </c>
    </row>
    <row r="49" spans="1:29" hidden="1" x14ac:dyDescent="0.3">
      <c r="A49" s="286">
        <v>46254</v>
      </c>
      <c r="B49" s="15">
        <v>1</v>
      </c>
      <c r="C49" s="283" t="s">
        <v>681</v>
      </c>
      <c r="D49" t="s">
        <v>161</v>
      </c>
      <c r="E49" t="s">
        <v>690</v>
      </c>
      <c r="F49" s="194">
        <v>5.5</v>
      </c>
      <c r="G49" s="328">
        <v>0</v>
      </c>
      <c r="H49" s="328">
        <v>0</v>
      </c>
      <c r="I49" s="328">
        <v>0</v>
      </c>
      <c r="J49" s="328">
        <v>0</v>
      </c>
      <c r="K49" s="328">
        <v>0</v>
      </c>
      <c r="L49" s="328">
        <v>0</v>
      </c>
      <c r="M49" s="328">
        <v>0</v>
      </c>
      <c r="N49" s="328">
        <v>0</v>
      </c>
      <c r="O49" s="328">
        <v>0</v>
      </c>
      <c r="P49" s="300"/>
      <c r="Q49" s="284">
        <f t="shared" si="0"/>
        <v>0</v>
      </c>
      <c r="R49" s="3" t="str">
        <f>_xlfn.IFNA(VLOOKUP(Tabella1[[#This Row],[Nome]],'ROSE SQUADRE'!$N$3:$O$253,2,0),"")</f>
        <v>AC ASPARAGHESE</v>
      </c>
      <c r="S49" s="312">
        <f>Tabella1[[#This Row],[Gf]]+Tabella1[[#This Row],[Rf]]</f>
        <v>0</v>
      </c>
      <c r="T49" s="193"/>
      <c r="U49" s="285" t="str">
        <f>IF(Tabella1[[#This Row],[N° FantaTit]]=1,Tabella1[[#This Row],[Voto]],"")</f>
        <v/>
      </c>
      <c r="V4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49" s="195"/>
      <c r="X49" s="193" t="str">
        <f>IF(Tabella1[[#This Row],[Best 11]]=1,Tabella1[[#This Row],[fanta voto]],"")</f>
        <v/>
      </c>
      <c r="Z49" s="193" t="str">
        <f>IF(Tabella1[[#This Row],[Best 11 MOD]]=1,Tabella1[[#This Row],[fanta voto]],"")</f>
        <v/>
      </c>
      <c r="AA49" t="str">
        <f>CONCATENATE(Tabella1[[#This Row],[GG]],Tabella1[[#This Row],[Nome]])</f>
        <v>1Valle</v>
      </c>
      <c r="AC49" t="str">
        <f>_xlfn.CONCAT(Tabella1[[#This Row],[Ruolo]],Tabella1[[#This Row],[Gs]])</f>
        <v>D0</v>
      </c>
    </row>
    <row r="50" spans="1:29" hidden="1" x14ac:dyDescent="0.3">
      <c r="A50" s="286">
        <v>46254</v>
      </c>
      <c r="B50" s="15">
        <v>1</v>
      </c>
      <c r="C50" s="283" t="s">
        <v>681</v>
      </c>
      <c r="D50" s="330" t="s">
        <v>161</v>
      </c>
      <c r="E50" s="330" t="s">
        <v>688</v>
      </c>
      <c r="F50" s="331">
        <v>6</v>
      </c>
      <c r="G50" s="332">
        <v>0</v>
      </c>
      <c r="H50" s="332">
        <v>0</v>
      </c>
      <c r="I50" s="332">
        <v>0</v>
      </c>
      <c r="J50" s="332">
        <v>0</v>
      </c>
      <c r="K50" s="332">
        <v>0</v>
      </c>
      <c r="L50" s="332">
        <v>0</v>
      </c>
      <c r="M50" s="332">
        <v>0</v>
      </c>
      <c r="N50" s="332">
        <v>0</v>
      </c>
      <c r="O50" s="332">
        <v>0</v>
      </c>
      <c r="P50" s="300"/>
      <c r="Q50" s="284">
        <f t="shared" si="0"/>
        <v>0</v>
      </c>
      <c r="R50" s="3" t="str">
        <f>_xlfn.IFNA(VLOOKUP(Tabella1[[#This Row],[Nome]],'ROSE SQUADRE'!$N$3:$O$253,2,0),"")</f>
        <v>PARTIZAN DEGRADO</v>
      </c>
      <c r="S50" s="312">
        <f>Tabella1[[#This Row],[Gf]]+Tabella1[[#This Row],[Rf]]</f>
        <v>0</v>
      </c>
      <c r="T50" s="193"/>
      <c r="U50" s="285" t="str">
        <f>IF(Tabella1[[#This Row],[N° FantaTit]]=1,Tabella1[[#This Row],[Voto]],"")</f>
        <v/>
      </c>
      <c r="V5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50" s="195"/>
      <c r="X50" s="193" t="str">
        <f>IF(Tabella1[[#This Row],[Best 11]]=1,Tabella1[[#This Row],[fanta voto]],"")</f>
        <v/>
      </c>
      <c r="Z50" s="193" t="str">
        <f>IF(Tabella1[[#This Row],[Best 11 MOD]]=1,Tabella1[[#This Row],[fanta voto]],"")</f>
        <v/>
      </c>
      <c r="AA50" t="str">
        <f>CONCATENATE(Tabella1[[#This Row],[GG]],Tabella1[[#This Row],[Nome]])</f>
        <v>1Ramon</v>
      </c>
      <c r="AC50" t="str">
        <f>_xlfn.CONCAT(Tabella1[[#This Row],[Ruolo]],Tabella1[[#This Row],[Gs]])</f>
        <v>D0</v>
      </c>
    </row>
    <row r="51" spans="1:29" hidden="1" x14ac:dyDescent="0.3">
      <c r="A51" s="286">
        <v>46254</v>
      </c>
      <c r="B51" s="15">
        <v>1</v>
      </c>
      <c r="C51" s="283" t="s">
        <v>681</v>
      </c>
      <c r="D51" t="s">
        <v>162</v>
      </c>
      <c r="E51" t="s">
        <v>517</v>
      </c>
      <c r="F51" s="194">
        <v>6</v>
      </c>
      <c r="G51" s="328">
        <v>0</v>
      </c>
      <c r="H51" s="328">
        <v>0</v>
      </c>
      <c r="I51" s="328">
        <v>0</v>
      </c>
      <c r="J51" s="328">
        <v>0</v>
      </c>
      <c r="K51" s="328">
        <v>0</v>
      </c>
      <c r="L51" s="328">
        <v>0</v>
      </c>
      <c r="M51" s="328">
        <v>0</v>
      </c>
      <c r="N51" s="328">
        <v>0</v>
      </c>
      <c r="O51" s="328">
        <v>0</v>
      </c>
      <c r="P51" s="300"/>
      <c r="Q51" s="284">
        <f t="shared" si="0"/>
        <v>0</v>
      </c>
      <c r="R51" s="3" t="str">
        <f>_xlfn.IFNA(VLOOKUP(Tabella1[[#This Row],[Nome]],'ROSE SQUADRE'!$N$3:$O$253,2,0),"")</f>
        <v>PARTIZAN DEGRADO</v>
      </c>
      <c r="S51" s="312">
        <f>Tabella1[[#This Row],[Gf]]+Tabella1[[#This Row],[Rf]]</f>
        <v>0</v>
      </c>
      <c r="T51" s="193"/>
      <c r="U51" s="285" t="str">
        <f>IF(Tabella1[[#This Row],[N° FantaTit]]=1,Tabella1[[#This Row],[Voto]],"")</f>
        <v/>
      </c>
      <c r="V5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51" s="195"/>
      <c r="X51" s="193" t="str">
        <f>IF(Tabella1[[#This Row],[Best 11]]=1,Tabella1[[#This Row],[fanta voto]],"")</f>
        <v/>
      </c>
      <c r="Z51" s="193" t="str">
        <f>IF(Tabella1[[#This Row],[Best 11 MOD]]=1,Tabella1[[#This Row],[fanta voto]],"")</f>
        <v/>
      </c>
      <c r="AA51" t="str">
        <f>CONCATENATE(Tabella1[[#This Row],[GG]],Tabella1[[#This Row],[Nome]])</f>
        <v>1Da Cunha</v>
      </c>
      <c r="AC51" t="str">
        <f>_xlfn.CONCAT(Tabella1[[#This Row],[Ruolo]],Tabella1[[#This Row],[Gs]])</f>
        <v>C0</v>
      </c>
    </row>
    <row r="52" spans="1:29" hidden="1" x14ac:dyDescent="0.3">
      <c r="A52" s="286">
        <v>46254</v>
      </c>
      <c r="B52" s="15">
        <v>1</v>
      </c>
      <c r="C52" s="283" t="s">
        <v>681</v>
      </c>
      <c r="D52" s="330" t="s">
        <v>162</v>
      </c>
      <c r="E52" s="330" t="s">
        <v>608</v>
      </c>
      <c r="F52" s="331">
        <v>6</v>
      </c>
      <c r="G52" s="332">
        <v>0</v>
      </c>
      <c r="H52" s="332">
        <v>0</v>
      </c>
      <c r="I52" s="332">
        <v>0</v>
      </c>
      <c r="J52" s="332">
        <v>0</v>
      </c>
      <c r="K52" s="332">
        <v>0</v>
      </c>
      <c r="L52" s="332">
        <v>0</v>
      </c>
      <c r="M52" s="332">
        <v>0</v>
      </c>
      <c r="N52" s="332">
        <v>0</v>
      </c>
      <c r="O52" s="332">
        <v>0</v>
      </c>
      <c r="P52" s="300"/>
      <c r="Q52" s="284">
        <f t="shared" si="0"/>
        <v>0</v>
      </c>
      <c r="R52" s="3" t="str">
        <f>_xlfn.IFNA(VLOOKUP(Tabella1[[#This Row],[Nome]],'ROSE SQUADRE'!$N$3:$O$253,2,0),"")</f>
        <v>SAN GRIA</v>
      </c>
      <c r="S52" s="312">
        <f>Tabella1[[#This Row],[Gf]]+Tabella1[[#This Row],[Rf]]</f>
        <v>0</v>
      </c>
      <c r="T52" s="193"/>
      <c r="U52" s="285" t="str">
        <f>IF(Tabella1[[#This Row],[N° FantaTit]]=1,Tabella1[[#This Row],[Voto]],"")</f>
        <v/>
      </c>
      <c r="V5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52" s="195"/>
      <c r="X52" s="193" t="str">
        <f>IF(Tabella1[[#This Row],[Best 11]]=1,Tabella1[[#This Row],[fanta voto]],"")</f>
        <v/>
      </c>
      <c r="Z52" s="193" t="str">
        <f>IF(Tabella1[[#This Row],[Best 11 MOD]]=1,Tabella1[[#This Row],[fanta voto]],"")</f>
        <v/>
      </c>
      <c r="AA52" t="str">
        <f>CONCATENATE(Tabella1[[#This Row],[GG]],Tabella1[[#This Row],[Nome]])</f>
        <v>1Perrone</v>
      </c>
      <c r="AC52" t="str">
        <f>_xlfn.CONCAT(Tabella1[[#This Row],[Ruolo]],Tabella1[[#This Row],[Gs]])</f>
        <v>C0</v>
      </c>
    </row>
    <row r="53" spans="1:29" hidden="1" x14ac:dyDescent="0.3">
      <c r="A53" s="286">
        <v>46254</v>
      </c>
      <c r="B53" s="15">
        <v>1</v>
      </c>
      <c r="C53" s="283" t="s">
        <v>681</v>
      </c>
      <c r="D53" t="s">
        <v>162</v>
      </c>
      <c r="E53" t="s">
        <v>697</v>
      </c>
      <c r="F53" s="194">
        <v>6</v>
      </c>
      <c r="G53" s="328">
        <v>0</v>
      </c>
      <c r="H53" s="328">
        <v>0</v>
      </c>
      <c r="I53" s="328">
        <v>0</v>
      </c>
      <c r="J53" s="328">
        <v>0</v>
      </c>
      <c r="K53" s="328">
        <v>0</v>
      </c>
      <c r="L53" s="328">
        <v>0</v>
      </c>
      <c r="M53" s="328">
        <v>0</v>
      </c>
      <c r="N53" s="328">
        <v>0</v>
      </c>
      <c r="O53" s="328">
        <v>0</v>
      </c>
      <c r="P53" s="300"/>
      <c r="Q53" s="284">
        <f t="shared" si="0"/>
        <v>0</v>
      </c>
      <c r="R53" s="3" t="str">
        <f>_xlfn.IFNA(VLOOKUP(Tabella1[[#This Row],[Nome]],'ROSE SQUADRE'!$N$3:$O$253,2,0),"")</f>
        <v/>
      </c>
      <c r="S53" s="312">
        <f>Tabella1[[#This Row],[Gf]]+Tabella1[[#This Row],[Rf]]</f>
        <v>0</v>
      </c>
      <c r="T53" s="193"/>
      <c r="U53" s="285" t="str">
        <f>IF(Tabella1[[#This Row],[N° FantaTit]]=1,Tabella1[[#This Row],[Voto]],"")</f>
        <v/>
      </c>
      <c r="V5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53" s="195"/>
      <c r="X53" s="193" t="str">
        <f>IF(Tabella1[[#This Row],[Best 11]]=1,Tabella1[[#This Row],[fanta voto]],"")</f>
        <v/>
      </c>
      <c r="Z53" s="193" t="str">
        <f>IF(Tabella1[[#This Row],[Best 11 MOD]]=1,Tabella1[[#This Row],[fanta voto]],"")</f>
        <v/>
      </c>
      <c r="AA53" t="str">
        <f>CONCATENATE(Tabella1[[#This Row],[GG]],Tabella1[[#This Row],[Nome]])</f>
        <v>1Liberali</v>
      </c>
      <c r="AC53" t="str">
        <f>_xlfn.CONCAT(Tabella1[[#This Row],[Ruolo]],Tabella1[[#This Row],[Gs]])</f>
        <v>C0</v>
      </c>
    </row>
    <row r="54" spans="1:29" hidden="1" x14ac:dyDescent="0.3">
      <c r="A54" s="286">
        <v>46254</v>
      </c>
      <c r="B54" s="15">
        <v>1</v>
      </c>
      <c r="C54" s="283" t="s">
        <v>681</v>
      </c>
      <c r="D54" s="330" t="s">
        <v>162</v>
      </c>
      <c r="E54" s="330" t="s">
        <v>609</v>
      </c>
      <c r="F54" s="331">
        <v>5.5</v>
      </c>
      <c r="G54" s="332">
        <v>0</v>
      </c>
      <c r="H54" s="332">
        <v>0</v>
      </c>
      <c r="I54" s="332">
        <v>0</v>
      </c>
      <c r="J54" s="332">
        <v>0</v>
      </c>
      <c r="K54" s="332">
        <v>0</v>
      </c>
      <c r="L54" s="332">
        <v>0</v>
      </c>
      <c r="M54" s="332">
        <v>0</v>
      </c>
      <c r="N54" s="332">
        <v>0</v>
      </c>
      <c r="O54" s="332">
        <v>0</v>
      </c>
      <c r="P54" s="300"/>
      <c r="Q54" s="284">
        <f t="shared" ref="Q54:Q105" si="1">IF(AC54="P0",1,0)</f>
        <v>0</v>
      </c>
      <c r="R54" s="3" t="str">
        <f>_xlfn.IFNA(VLOOKUP(Tabella1[[#This Row],[Nome]],'ROSE SQUADRE'!$N$3:$O$253,2,0),"")</f>
        <v>AS PIPPERIA</v>
      </c>
      <c r="S54" s="312">
        <f>Tabella1[[#This Row],[Gf]]+Tabella1[[#This Row],[Rf]]</f>
        <v>0</v>
      </c>
      <c r="T54" s="193"/>
      <c r="U54" s="285" t="str">
        <f>IF(Tabella1[[#This Row],[N° FantaTit]]=1,Tabella1[[#This Row],[Voto]],"")</f>
        <v/>
      </c>
      <c r="V5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54" s="195"/>
      <c r="X54" s="193" t="str">
        <f>IF(Tabella1[[#This Row],[Best 11]]=1,Tabella1[[#This Row],[fanta voto]],"")</f>
        <v/>
      </c>
      <c r="Z54" s="193" t="str">
        <f>IF(Tabella1[[#This Row],[Best 11 MOD]]=1,Tabella1[[#This Row],[fanta voto]],"")</f>
        <v/>
      </c>
      <c r="AA54" t="str">
        <f>CONCATENATE(Tabella1[[#This Row],[GG]],Tabella1[[#This Row],[Nome]])</f>
        <v>1Paz N.</v>
      </c>
      <c r="AC54" t="str">
        <f>_xlfn.CONCAT(Tabella1[[#This Row],[Ruolo]],Tabella1[[#This Row],[Gs]])</f>
        <v>C0</v>
      </c>
    </row>
    <row r="55" spans="1:29" hidden="1" x14ac:dyDescent="0.3">
      <c r="A55" s="286">
        <v>46254</v>
      </c>
      <c r="B55" s="15">
        <v>1</v>
      </c>
      <c r="C55" s="283" t="s">
        <v>681</v>
      </c>
      <c r="D55" t="s">
        <v>162</v>
      </c>
      <c r="E55" t="s">
        <v>693</v>
      </c>
      <c r="F55" s="194">
        <v>5.5</v>
      </c>
      <c r="G55" s="328">
        <v>0</v>
      </c>
      <c r="H55" s="328">
        <v>0</v>
      </c>
      <c r="I55" s="328">
        <v>0</v>
      </c>
      <c r="J55" s="328">
        <v>0</v>
      </c>
      <c r="K55" s="328">
        <v>0</v>
      </c>
      <c r="L55" s="328">
        <v>0</v>
      </c>
      <c r="M55" s="328">
        <v>0</v>
      </c>
      <c r="N55" s="328">
        <v>0</v>
      </c>
      <c r="O55" s="328">
        <v>0</v>
      </c>
      <c r="P55" s="300"/>
      <c r="Q55" s="284">
        <f t="shared" si="1"/>
        <v>0</v>
      </c>
      <c r="R55" s="3" t="str">
        <f>_xlfn.IFNA(VLOOKUP(Tabella1[[#This Row],[Nome]],'ROSE SQUADRE'!$N$3:$O$253,2,0),"")</f>
        <v>SESTO ASENSIO</v>
      </c>
      <c r="S55" s="312">
        <f>Tabella1[[#This Row],[Gf]]+Tabella1[[#This Row],[Rf]]</f>
        <v>0</v>
      </c>
      <c r="T55" s="193"/>
      <c r="U55" s="285" t="str">
        <f>IF(Tabella1[[#This Row],[N° FantaTit]]=1,Tabella1[[#This Row],[Voto]],"")</f>
        <v/>
      </c>
      <c r="V5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55" s="195"/>
      <c r="X55" s="193" t="str">
        <f>IF(Tabella1[[#This Row],[Best 11]]=1,Tabella1[[#This Row],[fanta voto]],"")</f>
        <v/>
      </c>
      <c r="Z55" s="193" t="str">
        <f>IF(Tabella1[[#This Row],[Best 11 MOD]]=1,Tabella1[[#This Row],[fanta voto]],"")</f>
        <v/>
      </c>
      <c r="AA55" t="str">
        <f>CONCATENATE(Tabella1[[#This Row],[GG]],Tabella1[[#This Row],[Nome]])</f>
        <v>1Baturina</v>
      </c>
      <c r="AC55" t="str">
        <f>_xlfn.CONCAT(Tabella1[[#This Row],[Ruolo]],Tabella1[[#This Row],[Gs]])</f>
        <v>C0</v>
      </c>
    </row>
    <row r="56" spans="1:29" hidden="1" x14ac:dyDescent="0.3">
      <c r="A56" s="286">
        <v>46254</v>
      </c>
      <c r="B56" s="15">
        <v>1</v>
      </c>
      <c r="C56" s="283" t="s">
        <v>681</v>
      </c>
      <c r="D56" s="330" t="s">
        <v>162</v>
      </c>
      <c r="E56" s="330" t="s">
        <v>699</v>
      </c>
      <c r="F56" s="331">
        <v>5.5</v>
      </c>
      <c r="G56" s="332">
        <v>0</v>
      </c>
      <c r="H56" s="332">
        <v>0</v>
      </c>
      <c r="I56" s="332">
        <v>0</v>
      </c>
      <c r="J56" s="332">
        <v>0</v>
      </c>
      <c r="K56" s="332">
        <v>0</v>
      </c>
      <c r="L56" s="332">
        <v>0</v>
      </c>
      <c r="M56" s="332">
        <v>0</v>
      </c>
      <c r="N56" s="332">
        <v>0</v>
      </c>
      <c r="O56" s="332">
        <v>0</v>
      </c>
      <c r="P56" s="300"/>
      <c r="Q56" s="284">
        <f t="shared" si="1"/>
        <v>0</v>
      </c>
      <c r="R56" s="3" t="str">
        <f>_xlfn.IFNA(VLOOKUP(Tabella1[[#This Row],[Nome]],'ROSE SQUADRE'!$N$3:$O$253,2,0),"")</f>
        <v/>
      </c>
      <c r="S56" s="312">
        <f>Tabella1[[#This Row],[Gf]]+Tabella1[[#This Row],[Rf]]</f>
        <v>0</v>
      </c>
      <c r="T56" s="193"/>
      <c r="U56" s="285" t="str">
        <f>IF(Tabella1[[#This Row],[N° FantaTit]]=1,Tabella1[[#This Row],[Voto]],"")</f>
        <v/>
      </c>
      <c r="V5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56" s="195"/>
      <c r="X56" s="193" t="str">
        <f>IF(Tabella1[[#This Row],[Best 11]]=1,Tabella1[[#This Row],[fanta voto]],"")</f>
        <v/>
      </c>
      <c r="Z56" s="193" t="str">
        <f>IF(Tabella1[[#This Row],[Best 11 MOD]]=1,Tabella1[[#This Row],[fanta voto]],"")</f>
        <v/>
      </c>
      <c r="AA56" t="str">
        <f>CONCATENATE(Tabella1[[#This Row],[GG]],Tabella1[[#This Row],[Nome]])</f>
        <v>1Rodriguez Je.</v>
      </c>
      <c r="AC56" t="str">
        <f>_xlfn.CONCAT(Tabella1[[#This Row],[Ruolo]],Tabella1[[#This Row],[Gs]])</f>
        <v>C0</v>
      </c>
    </row>
    <row r="57" spans="1:29" hidden="1" x14ac:dyDescent="0.3">
      <c r="A57" s="286">
        <v>46254</v>
      </c>
      <c r="B57" s="15">
        <v>1</v>
      </c>
      <c r="C57" s="283" t="s">
        <v>681</v>
      </c>
      <c r="D57" t="s">
        <v>162</v>
      </c>
      <c r="E57" t="s">
        <v>698</v>
      </c>
      <c r="F57" s="194">
        <v>6.5</v>
      </c>
      <c r="G57" s="328">
        <v>0</v>
      </c>
      <c r="H57" s="328">
        <v>0</v>
      </c>
      <c r="I57" s="328">
        <v>0</v>
      </c>
      <c r="J57" s="328">
        <v>0</v>
      </c>
      <c r="K57" s="328">
        <v>0</v>
      </c>
      <c r="L57" s="328">
        <v>0</v>
      </c>
      <c r="M57" s="328">
        <v>0</v>
      </c>
      <c r="N57" s="328">
        <v>0</v>
      </c>
      <c r="O57" s="328">
        <v>0</v>
      </c>
      <c r="P57" s="300"/>
      <c r="Q57" s="284">
        <f t="shared" si="1"/>
        <v>0</v>
      </c>
      <c r="R57" s="3" t="str">
        <f>_xlfn.IFNA(VLOOKUP(Tabella1[[#This Row],[Nome]],'ROSE SQUADRE'!$N$3:$O$253,2,0),"")</f>
        <v>TRICCHETRACHT</v>
      </c>
      <c r="S57" s="312">
        <f>Tabella1[[#This Row],[Gf]]+Tabella1[[#This Row],[Rf]]</f>
        <v>0</v>
      </c>
      <c r="T57" s="193"/>
      <c r="U57" s="285" t="str">
        <f>IF(Tabella1[[#This Row],[N° FantaTit]]=1,Tabella1[[#This Row],[Voto]],"")</f>
        <v/>
      </c>
      <c r="V5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57" s="195"/>
      <c r="X57" s="193" t="str">
        <f>IF(Tabella1[[#This Row],[Best 11]]=1,Tabella1[[#This Row],[fanta voto]],"")</f>
        <v/>
      </c>
      <c r="Z57" s="193" t="str">
        <f>IF(Tabella1[[#This Row],[Best 11 MOD]]=1,Tabella1[[#This Row],[fanta voto]],"")</f>
        <v/>
      </c>
      <c r="AA57" t="str">
        <f>CONCATENATE(Tabella1[[#This Row],[GG]],Tabella1[[#This Row],[Nome]])</f>
        <v>1Milla</v>
      </c>
      <c r="AC57" t="str">
        <f>_xlfn.CONCAT(Tabella1[[#This Row],[Ruolo]],Tabella1[[#This Row],[Gs]])</f>
        <v>C0</v>
      </c>
    </row>
    <row r="58" spans="1:29" hidden="1" x14ac:dyDescent="0.3">
      <c r="A58" s="286">
        <v>46254</v>
      </c>
      <c r="B58" s="15">
        <v>1</v>
      </c>
      <c r="C58" s="283" t="s">
        <v>681</v>
      </c>
      <c r="D58" s="330" t="s">
        <v>163</v>
      </c>
      <c r="E58" s="330" t="s">
        <v>701</v>
      </c>
      <c r="F58" s="331">
        <v>6</v>
      </c>
      <c r="G58" s="332">
        <v>0</v>
      </c>
      <c r="H58" s="332">
        <v>0</v>
      </c>
      <c r="I58" s="332">
        <v>0</v>
      </c>
      <c r="J58" s="332">
        <v>0</v>
      </c>
      <c r="K58" s="332">
        <v>0</v>
      </c>
      <c r="L58" s="332">
        <v>0</v>
      </c>
      <c r="M58" s="332">
        <v>0</v>
      </c>
      <c r="N58" s="332">
        <v>0</v>
      </c>
      <c r="O58" s="332">
        <v>0</v>
      </c>
      <c r="P58" s="300"/>
      <c r="Q58" s="284">
        <f t="shared" si="1"/>
        <v>0</v>
      </c>
      <c r="R58" s="3" t="str">
        <f>_xlfn.IFNA(VLOOKUP(Tabella1[[#This Row],[Nome]],'ROSE SQUADRE'!$N$3:$O$253,2,0),"")</f>
        <v>PESCICULINI</v>
      </c>
      <c r="S58" s="312">
        <f>Tabella1[[#This Row],[Gf]]+Tabella1[[#This Row],[Rf]]</f>
        <v>0</v>
      </c>
      <c r="T58" s="193"/>
      <c r="U58" s="285" t="str">
        <f>IF(Tabella1[[#This Row],[N° FantaTit]]=1,Tabella1[[#This Row],[Voto]],"")</f>
        <v/>
      </c>
      <c r="V5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58" s="195"/>
      <c r="X58" s="193" t="str">
        <f>IF(Tabella1[[#This Row],[Best 11]]=1,Tabella1[[#This Row],[fanta voto]],"")</f>
        <v/>
      </c>
      <c r="Z58" s="193" t="str">
        <f>IF(Tabella1[[#This Row],[Best 11 MOD]]=1,Tabella1[[#This Row],[fanta voto]],"")</f>
        <v/>
      </c>
      <c r="AA58" t="str">
        <f>CONCATENATE(Tabella1[[#This Row],[GG]],Tabella1[[#This Row],[Nome]])</f>
        <v>1Diao</v>
      </c>
      <c r="AC58" t="str">
        <f>_xlfn.CONCAT(Tabella1[[#This Row],[Ruolo]],Tabella1[[#This Row],[Gs]])</f>
        <v>A0</v>
      </c>
    </row>
    <row r="59" spans="1:29" hidden="1" x14ac:dyDescent="0.3">
      <c r="A59" s="286">
        <v>46254</v>
      </c>
      <c r="B59" s="15">
        <v>1</v>
      </c>
      <c r="C59" s="283" t="s">
        <v>681</v>
      </c>
      <c r="D59" t="s">
        <v>163</v>
      </c>
      <c r="E59" t="s">
        <v>702</v>
      </c>
      <c r="F59" s="194">
        <v>6.5</v>
      </c>
      <c r="G59" s="329">
        <v>1</v>
      </c>
      <c r="H59" s="328">
        <v>0</v>
      </c>
      <c r="I59" s="328">
        <v>0</v>
      </c>
      <c r="J59" s="328">
        <v>0</v>
      </c>
      <c r="K59" s="328">
        <v>0</v>
      </c>
      <c r="L59" s="328">
        <v>0</v>
      </c>
      <c r="M59" s="328">
        <v>0</v>
      </c>
      <c r="N59" s="328">
        <v>0</v>
      </c>
      <c r="O59" s="328">
        <v>0</v>
      </c>
      <c r="P59" s="300"/>
      <c r="Q59" s="284">
        <f t="shared" si="1"/>
        <v>0</v>
      </c>
      <c r="R59" s="3" t="str">
        <f>_xlfn.IFNA(VLOOKUP(Tabella1[[#This Row],[Nome]],'ROSE SQUADRE'!$N$3:$O$253,2,0),"")</f>
        <v>SESTO ASENSIO</v>
      </c>
      <c r="S59" s="312">
        <f>Tabella1[[#This Row],[Gf]]+Tabella1[[#This Row],[Rf]]</f>
        <v>1</v>
      </c>
      <c r="T59" s="193"/>
      <c r="U59" s="285" t="str">
        <f>IF(Tabella1[[#This Row],[N° FantaTit]]=1,Tabella1[[#This Row],[Voto]],"")</f>
        <v/>
      </c>
      <c r="V5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9.5</v>
      </c>
      <c r="W59" s="195"/>
      <c r="X59" s="193" t="str">
        <f>IF(Tabella1[[#This Row],[Best 11]]=1,Tabella1[[#This Row],[fanta voto]],"")</f>
        <v/>
      </c>
      <c r="Z59" s="193" t="str">
        <f>IF(Tabella1[[#This Row],[Best 11 MOD]]=1,Tabella1[[#This Row],[fanta voto]],"")</f>
        <v/>
      </c>
      <c r="AA59" t="str">
        <f>CONCATENATE(Tabella1[[#This Row],[GG]],Tabella1[[#This Row],[Nome]])</f>
        <v>1Douvikas</v>
      </c>
      <c r="AC59" t="str">
        <f>_xlfn.CONCAT(Tabella1[[#This Row],[Ruolo]],Tabella1[[#This Row],[Gs]])</f>
        <v>A0</v>
      </c>
    </row>
    <row r="60" spans="1:29" hidden="1" x14ac:dyDescent="0.3">
      <c r="A60" s="286">
        <v>46254</v>
      </c>
      <c r="B60" s="15">
        <v>1</v>
      </c>
      <c r="C60" s="283" t="s">
        <v>705</v>
      </c>
      <c r="D60" t="s">
        <v>5</v>
      </c>
      <c r="E60" t="s">
        <v>706</v>
      </c>
      <c r="F60" s="194">
        <v>5.5</v>
      </c>
      <c r="G60" s="328">
        <v>0</v>
      </c>
      <c r="H60" s="329">
        <v>4</v>
      </c>
      <c r="I60" s="328">
        <v>0</v>
      </c>
      <c r="J60" s="328">
        <v>0</v>
      </c>
      <c r="K60" s="328">
        <v>0</v>
      </c>
      <c r="L60" s="328">
        <v>0</v>
      </c>
      <c r="M60" s="328">
        <v>0</v>
      </c>
      <c r="N60" s="328">
        <v>0</v>
      </c>
      <c r="O60" s="328">
        <v>0</v>
      </c>
      <c r="P60" s="300"/>
      <c r="Q60" s="284">
        <f t="shared" si="1"/>
        <v>0</v>
      </c>
      <c r="R60" s="3" t="str">
        <f>_xlfn.IFNA(VLOOKUP(Tabella1[[#This Row],[Nome]],'ROSE SQUADRE'!$N$3:$O$253,2,0),"")</f>
        <v>PESCICULINI</v>
      </c>
      <c r="S60" s="312">
        <f>Tabella1[[#This Row],[Gf]]+Tabella1[[#This Row],[Rf]]</f>
        <v>0</v>
      </c>
      <c r="T60" s="193"/>
      <c r="U60" s="285" t="str">
        <f>IF(Tabella1[[#This Row],[N° FantaTit]]=1,Tabella1[[#This Row],[Voto]],"")</f>
        <v/>
      </c>
      <c r="V6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1.5</v>
      </c>
      <c r="W60" s="195"/>
      <c r="X60" s="193" t="str">
        <f>IF(Tabella1[[#This Row],[Best 11]]=1,Tabella1[[#This Row],[fanta voto]],"")</f>
        <v/>
      </c>
      <c r="Z60" s="193" t="str">
        <f>IF(Tabella1[[#This Row],[Best 11 MOD]]=1,Tabella1[[#This Row],[fanta voto]],"")</f>
        <v/>
      </c>
      <c r="AA60" t="str">
        <f>CONCATENATE(Tabella1[[#This Row],[GG]],Tabella1[[#This Row],[Nome]])</f>
        <v>1De Gea</v>
      </c>
      <c r="AC60" t="str">
        <f>_xlfn.CONCAT(Tabella1[[#This Row],[Ruolo]],Tabella1[[#This Row],[Gs]])</f>
        <v>P4</v>
      </c>
    </row>
    <row r="61" spans="1:29" hidden="1" x14ac:dyDescent="0.3">
      <c r="A61" s="286">
        <v>46254</v>
      </c>
      <c r="B61" s="15">
        <v>1</v>
      </c>
      <c r="C61" s="283" t="s">
        <v>705</v>
      </c>
      <c r="D61" s="330" t="s">
        <v>161</v>
      </c>
      <c r="E61" s="330" t="s">
        <v>610</v>
      </c>
      <c r="F61" s="331">
        <v>5</v>
      </c>
      <c r="G61" s="332">
        <v>0</v>
      </c>
      <c r="H61" s="332">
        <v>0</v>
      </c>
      <c r="I61" s="332">
        <v>0</v>
      </c>
      <c r="J61" s="332">
        <v>0</v>
      </c>
      <c r="K61" s="332">
        <v>0</v>
      </c>
      <c r="L61" s="332">
        <v>0</v>
      </c>
      <c r="M61" s="332">
        <v>0</v>
      </c>
      <c r="N61" s="332">
        <v>0</v>
      </c>
      <c r="O61" s="332">
        <v>0</v>
      </c>
      <c r="P61" s="300"/>
      <c r="Q61" s="284">
        <f t="shared" si="1"/>
        <v>0</v>
      </c>
      <c r="R61" s="3" t="str">
        <f>_xlfn.IFNA(VLOOKUP(Tabella1[[#This Row],[Nome]],'ROSE SQUADRE'!$N$3:$O$253,2,0),"")</f>
        <v/>
      </c>
      <c r="S61" s="312">
        <f>Tabella1[[#This Row],[Gf]]+Tabella1[[#This Row],[Rf]]</f>
        <v>0</v>
      </c>
      <c r="T61" s="193"/>
      <c r="U61" s="285" t="str">
        <f>IF(Tabella1[[#This Row],[N° FantaTit]]=1,Tabella1[[#This Row],[Voto]],"")</f>
        <v/>
      </c>
      <c r="V6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61" s="195"/>
      <c r="X61" s="193" t="str">
        <f>IF(Tabella1[[#This Row],[Best 11]]=1,Tabella1[[#This Row],[fanta voto]],"")</f>
        <v/>
      </c>
      <c r="Z61" s="193" t="str">
        <f>IF(Tabella1[[#This Row],[Best 11 MOD]]=1,Tabella1[[#This Row],[fanta voto]],"")</f>
        <v/>
      </c>
      <c r="AA61" t="str">
        <f>CONCATENATE(Tabella1[[#This Row],[GG]],Tabella1[[#This Row],[Nome]])</f>
        <v>1Ranieri L.</v>
      </c>
      <c r="AC61" t="str">
        <f>_xlfn.CONCAT(Tabella1[[#This Row],[Ruolo]],Tabella1[[#This Row],[Gs]])</f>
        <v>D0</v>
      </c>
    </row>
    <row r="62" spans="1:29" hidden="1" x14ac:dyDescent="0.3">
      <c r="A62" s="286">
        <v>46254</v>
      </c>
      <c r="B62" s="15">
        <v>1</v>
      </c>
      <c r="C62" s="283" t="s">
        <v>705</v>
      </c>
      <c r="D62" t="s">
        <v>161</v>
      </c>
      <c r="E62" t="s">
        <v>709</v>
      </c>
      <c r="F62" s="194">
        <v>4</v>
      </c>
      <c r="G62" s="328">
        <v>0</v>
      </c>
      <c r="H62" s="328">
        <v>0</v>
      </c>
      <c r="I62" s="328">
        <v>0</v>
      </c>
      <c r="J62" s="328">
        <v>0</v>
      </c>
      <c r="K62" s="328">
        <v>0</v>
      </c>
      <c r="L62" s="328">
        <v>0</v>
      </c>
      <c r="M62" s="328">
        <v>0</v>
      </c>
      <c r="N62" s="328">
        <v>0</v>
      </c>
      <c r="O62" s="328">
        <v>0</v>
      </c>
      <c r="P62" s="300"/>
      <c r="Q62" s="284">
        <f t="shared" si="1"/>
        <v>0</v>
      </c>
      <c r="R62" s="3" t="str">
        <f>_xlfn.IFNA(VLOOKUP(Tabella1[[#This Row],[Nome]],'ROSE SQUADRE'!$N$3:$O$253,2,0),"")</f>
        <v/>
      </c>
      <c r="S62" s="312">
        <f>Tabella1[[#This Row],[Gf]]+Tabella1[[#This Row],[Rf]]</f>
        <v>0</v>
      </c>
      <c r="T62" s="193"/>
      <c r="U62" s="285" t="str">
        <f>IF(Tabella1[[#This Row],[N° FantaTit]]=1,Tabella1[[#This Row],[Voto]],"")</f>
        <v/>
      </c>
      <c r="V6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</v>
      </c>
      <c r="W62" s="195"/>
      <c r="X62" s="193" t="str">
        <f>IF(Tabella1[[#This Row],[Best 11]]=1,Tabella1[[#This Row],[fanta voto]],"")</f>
        <v/>
      </c>
      <c r="Z62" s="193" t="str">
        <f>IF(Tabella1[[#This Row],[Best 11 MOD]]=1,Tabella1[[#This Row],[fanta voto]],"")</f>
        <v/>
      </c>
      <c r="AA62" t="str">
        <f>CONCATENATE(Tabella1[[#This Row],[GG]],Tabella1[[#This Row],[Nome]])</f>
        <v>1Dragusin</v>
      </c>
      <c r="AC62" t="str">
        <f>_xlfn.CONCAT(Tabella1[[#This Row],[Ruolo]],Tabella1[[#This Row],[Gs]])</f>
        <v>D0</v>
      </c>
    </row>
    <row r="63" spans="1:29" hidden="1" x14ac:dyDescent="0.3">
      <c r="A63" s="286">
        <v>46254</v>
      </c>
      <c r="B63" s="15">
        <v>1</v>
      </c>
      <c r="C63" s="283" t="s">
        <v>705</v>
      </c>
      <c r="D63" s="330" t="s">
        <v>161</v>
      </c>
      <c r="E63" s="330" t="s">
        <v>708</v>
      </c>
      <c r="F63" s="331">
        <v>5</v>
      </c>
      <c r="G63" s="332">
        <v>0</v>
      </c>
      <c r="H63" s="332">
        <v>0</v>
      </c>
      <c r="I63" s="332">
        <v>0</v>
      </c>
      <c r="J63" s="332">
        <v>0</v>
      </c>
      <c r="K63" s="332">
        <v>0</v>
      </c>
      <c r="L63" s="332">
        <v>0</v>
      </c>
      <c r="M63" s="332">
        <v>0</v>
      </c>
      <c r="N63" s="332">
        <v>0</v>
      </c>
      <c r="O63" s="332">
        <v>0</v>
      </c>
      <c r="P63" s="300"/>
      <c r="Q63" s="284">
        <f t="shared" si="1"/>
        <v>0</v>
      </c>
      <c r="R63" s="3" t="str">
        <f>_xlfn.IFNA(VLOOKUP(Tabella1[[#This Row],[Nome]],'ROSE SQUADRE'!$N$3:$O$253,2,0),"")</f>
        <v>AC ASPARAGHESE</v>
      </c>
      <c r="S63" s="312">
        <f>Tabella1[[#This Row],[Gf]]+Tabella1[[#This Row],[Rf]]</f>
        <v>0</v>
      </c>
      <c r="T63" s="193"/>
      <c r="U63" s="285" t="str">
        <f>IF(Tabella1[[#This Row],[N° FantaTit]]=1,Tabella1[[#This Row],[Voto]],"")</f>
        <v/>
      </c>
      <c r="V6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63" s="195"/>
      <c r="X63" s="193" t="str">
        <f>IF(Tabella1[[#This Row],[Best 11]]=1,Tabella1[[#This Row],[fanta voto]],"")</f>
        <v/>
      </c>
      <c r="Z63" s="193" t="str">
        <f>IF(Tabella1[[#This Row],[Best 11 MOD]]=1,Tabella1[[#This Row],[fanta voto]],"")</f>
        <v/>
      </c>
      <c r="AA63" t="str">
        <f>CONCATENATE(Tabella1[[#This Row],[GG]],Tabella1[[#This Row],[Nome]])</f>
        <v>1Dodò</v>
      </c>
      <c r="AC63" t="str">
        <f>_xlfn.CONCAT(Tabella1[[#This Row],[Ruolo]],Tabella1[[#This Row],[Gs]])</f>
        <v>D0</v>
      </c>
    </row>
    <row r="64" spans="1:29" hidden="1" x14ac:dyDescent="0.3">
      <c r="A64" s="286">
        <v>46254</v>
      </c>
      <c r="B64" s="15">
        <v>1</v>
      </c>
      <c r="C64" s="283" t="s">
        <v>705</v>
      </c>
      <c r="D64" t="s">
        <v>161</v>
      </c>
      <c r="E64" t="s">
        <v>710</v>
      </c>
      <c r="F64" s="194">
        <v>5.5</v>
      </c>
      <c r="G64" s="328">
        <v>0</v>
      </c>
      <c r="H64" s="328">
        <v>0</v>
      </c>
      <c r="I64" s="328">
        <v>0</v>
      </c>
      <c r="J64" s="328">
        <v>0</v>
      </c>
      <c r="K64" s="328">
        <v>0</v>
      </c>
      <c r="L64" s="328">
        <v>0</v>
      </c>
      <c r="M64" s="328">
        <v>0</v>
      </c>
      <c r="N64" s="328">
        <v>0</v>
      </c>
      <c r="O64" s="328">
        <v>0</v>
      </c>
      <c r="P64" s="300"/>
      <c r="Q64" s="284">
        <f t="shared" si="1"/>
        <v>0</v>
      </c>
      <c r="R64" s="3" t="str">
        <f>_xlfn.IFNA(VLOOKUP(Tabella1[[#This Row],[Nome]],'ROSE SQUADRE'!$N$3:$O$253,2,0),"")</f>
        <v>AS PIPPERIA</v>
      </c>
      <c r="S64" s="312">
        <f>Tabella1[[#This Row],[Gf]]+Tabella1[[#This Row],[Rf]]</f>
        <v>0</v>
      </c>
      <c r="T64" s="193"/>
      <c r="U64" s="285" t="str">
        <f>IF(Tabella1[[#This Row],[N° FantaTit]]=1,Tabella1[[#This Row],[Voto]],"")</f>
        <v/>
      </c>
      <c r="V6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64" s="195"/>
      <c r="X64" s="193" t="str">
        <f>IF(Tabella1[[#This Row],[Best 11]]=1,Tabella1[[#This Row],[fanta voto]],"")</f>
        <v/>
      </c>
      <c r="Z64" s="193" t="str">
        <f>IF(Tabella1[[#This Row],[Best 11 MOD]]=1,Tabella1[[#This Row],[fanta voto]],"")</f>
        <v/>
      </c>
      <c r="AA64" t="str">
        <f>CONCATENATE(Tabella1[[#This Row],[GG]],Tabella1[[#This Row],[Nome]])</f>
        <v>1Jimenez A.</v>
      </c>
      <c r="AC64" t="str">
        <f>_xlfn.CONCAT(Tabella1[[#This Row],[Ruolo]],Tabella1[[#This Row],[Gs]])</f>
        <v>D0</v>
      </c>
    </row>
    <row r="65" spans="1:29" hidden="1" x14ac:dyDescent="0.3">
      <c r="A65" s="286">
        <v>46254</v>
      </c>
      <c r="B65" s="15">
        <v>1</v>
      </c>
      <c r="C65" s="283" t="s">
        <v>705</v>
      </c>
      <c r="D65" s="330" t="s">
        <v>161</v>
      </c>
      <c r="E65" s="330" t="s">
        <v>711</v>
      </c>
      <c r="F65" s="331">
        <v>5</v>
      </c>
      <c r="G65" s="332">
        <v>0</v>
      </c>
      <c r="H65" s="332">
        <v>0</v>
      </c>
      <c r="I65" s="332">
        <v>0</v>
      </c>
      <c r="J65" s="332">
        <v>0</v>
      </c>
      <c r="K65" s="332">
        <v>0</v>
      </c>
      <c r="L65" s="332">
        <v>0</v>
      </c>
      <c r="M65" s="332">
        <v>0</v>
      </c>
      <c r="N65" s="332">
        <v>0</v>
      </c>
      <c r="O65" s="332">
        <v>0</v>
      </c>
      <c r="P65" s="300"/>
      <c r="Q65" s="284">
        <f t="shared" si="1"/>
        <v>0</v>
      </c>
      <c r="R65" s="3" t="str">
        <f>_xlfn.IFNA(VLOOKUP(Tabella1[[#This Row],[Nome]],'ROSE SQUADRE'!$N$3:$O$253,2,0),"")</f>
        <v/>
      </c>
      <c r="S65" s="312">
        <f>Tabella1[[#This Row],[Gf]]+Tabella1[[#This Row],[Rf]]</f>
        <v>0</v>
      </c>
      <c r="T65" s="193"/>
      <c r="U65" s="285" t="str">
        <f>IF(Tabella1[[#This Row],[N° FantaTit]]=1,Tabella1[[#This Row],[Voto]],"")</f>
        <v/>
      </c>
      <c r="V6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65" s="195"/>
      <c r="X65" s="193" t="str">
        <f>IF(Tabella1[[#This Row],[Best 11]]=1,Tabella1[[#This Row],[fanta voto]],"")</f>
        <v/>
      </c>
      <c r="Z65" s="193" t="str">
        <f>IF(Tabella1[[#This Row],[Best 11 MOD]]=1,Tabella1[[#This Row],[fanta voto]],"")</f>
        <v/>
      </c>
      <c r="AA65" t="str">
        <f>CONCATENATE(Tabella1[[#This Row],[GG]],Tabella1[[#This Row],[Nome]])</f>
        <v>1Joao Mario</v>
      </c>
      <c r="AC65" t="str">
        <f>_xlfn.CONCAT(Tabella1[[#This Row],[Ruolo]],Tabella1[[#This Row],[Gs]])</f>
        <v>D0</v>
      </c>
    </row>
    <row r="66" spans="1:29" hidden="1" x14ac:dyDescent="0.3">
      <c r="A66" s="286">
        <v>46254</v>
      </c>
      <c r="B66" s="15">
        <v>1</v>
      </c>
      <c r="C66" s="283" t="s">
        <v>705</v>
      </c>
      <c r="D66" s="330" t="s">
        <v>162</v>
      </c>
      <c r="E66" s="330" t="s">
        <v>282</v>
      </c>
      <c r="F66" s="331">
        <v>5</v>
      </c>
      <c r="G66" s="332">
        <v>0</v>
      </c>
      <c r="H66" s="332">
        <v>0</v>
      </c>
      <c r="I66" s="332">
        <v>0</v>
      </c>
      <c r="J66" s="332">
        <v>0</v>
      </c>
      <c r="K66" s="332">
        <v>0</v>
      </c>
      <c r="L66" s="332">
        <v>0</v>
      </c>
      <c r="M66" s="332">
        <v>0</v>
      </c>
      <c r="N66" s="332">
        <v>0</v>
      </c>
      <c r="O66" s="332">
        <v>0</v>
      </c>
      <c r="P66" s="299"/>
      <c r="Q66" s="284">
        <f t="shared" si="1"/>
        <v>0</v>
      </c>
      <c r="R66" s="3" t="str">
        <f>_xlfn.IFNA(VLOOKUP(Tabella1[[#This Row],[Nome]],'ROSE SQUADRE'!$N$3:$O$253,2,0),"")</f>
        <v/>
      </c>
      <c r="S66" s="312">
        <f>Tabella1[[#This Row],[Gf]]+Tabella1[[#This Row],[Rf]]</f>
        <v>0</v>
      </c>
      <c r="U66" s="285" t="str">
        <f>IF(Tabella1[[#This Row],[N° FantaTit]]=1,Tabella1[[#This Row],[Voto]],"")</f>
        <v/>
      </c>
      <c r="V6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66" s="195"/>
      <c r="X66" s="193" t="str">
        <f>IF(Tabella1[[#This Row],[Best 11]]=1,Tabella1[[#This Row],[fanta voto]],"")</f>
        <v/>
      </c>
      <c r="Z66" s="193" t="str">
        <f>IF(Tabella1[[#This Row],[Best 11 MOD]]=1,Tabella1[[#This Row],[fanta voto]],"")</f>
        <v/>
      </c>
      <c r="AA66" t="str">
        <f>CONCATENATE(Tabella1[[#This Row],[GG]],Tabella1[[#This Row],[Nome]])</f>
        <v>1Mandragora</v>
      </c>
      <c r="AC66" t="str">
        <f>_xlfn.CONCAT(Tabella1[[#This Row],[Ruolo]],Tabella1[[#This Row],[Gs]])</f>
        <v>C0</v>
      </c>
    </row>
    <row r="67" spans="1:29" hidden="1" x14ac:dyDescent="0.3">
      <c r="A67" s="286">
        <v>46254</v>
      </c>
      <c r="B67" s="15">
        <v>1</v>
      </c>
      <c r="C67" s="283" t="s">
        <v>705</v>
      </c>
      <c r="D67" t="s">
        <v>162</v>
      </c>
      <c r="E67" t="s">
        <v>342</v>
      </c>
      <c r="F67" s="194">
        <v>5.5</v>
      </c>
      <c r="G67" s="328">
        <v>0</v>
      </c>
      <c r="H67" s="328">
        <v>0</v>
      </c>
      <c r="I67" s="328">
        <v>0</v>
      </c>
      <c r="J67" s="328">
        <v>0</v>
      </c>
      <c r="K67" s="328">
        <v>0</v>
      </c>
      <c r="L67" s="328">
        <v>0</v>
      </c>
      <c r="M67" s="329">
        <v>1</v>
      </c>
      <c r="N67" s="328">
        <v>0</v>
      </c>
      <c r="O67" s="328">
        <v>0</v>
      </c>
      <c r="P67" s="300"/>
      <c r="Q67" s="284">
        <f t="shared" si="1"/>
        <v>0</v>
      </c>
      <c r="R67" s="3" t="str">
        <f>_xlfn.IFNA(VLOOKUP(Tabella1[[#This Row],[Nome]],'ROSE SQUADRE'!$N$3:$O$253,2,0),"")</f>
        <v/>
      </c>
      <c r="S67" s="312">
        <f>Tabella1[[#This Row],[Gf]]+Tabella1[[#This Row],[Rf]]</f>
        <v>0</v>
      </c>
      <c r="T67" s="193"/>
      <c r="U67" s="285" t="str">
        <f>IF(Tabella1[[#This Row],[N° FantaTit]]=1,Tabella1[[#This Row],[Voto]],"")</f>
        <v/>
      </c>
      <c r="V6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67" s="195"/>
      <c r="X67" s="193" t="str">
        <f>IF(Tabella1[[#This Row],[Best 11]]=1,Tabella1[[#This Row],[fanta voto]],"")</f>
        <v/>
      </c>
      <c r="Z67" s="193" t="str">
        <f>IF(Tabella1[[#This Row],[Best 11 MOD]]=1,Tabella1[[#This Row],[fanta voto]],"")</f>
        <v/>
      </c>
      <c r="AA67" t="str">
        <f>CONCATENATE(Tabella1[[#This Row],[GG]],Tabella1[[#This Row],[Nome]])</f>
        <v>1Fagioli</v>
      </c>
      <c r="AC67" t="str">
        <f>_xlfn.CONCAT(Tabella1[[#This Row],[Ruolo]],Tabella1[[#This Row],[Gs]])</f>
        <v>C0</v>
      </c>
    </row>
    <row r="68" spans="1:29" hidden="1" x14ac:dyDescent="0.3">
      <c r="A68" s="286">
        <v>46254</v>
      </c>
      <c r="B68" s="15">
        <v>1</v>
      </c>
      <c r="C68" s="283" t="s">
        <v>705</v>
      </c>
      <c r="D68" s="330" t="s">
        <v>162</v>
      </c>
      <c r="E68" s="330" t="s">
        <v>441</v>
      </c>
      <c r="F68" s="331">
        <v>5.5</v>
      </c>
      <c r="G68" s="332">
        <v>0</v>
      </c>
      <c r="H68" s="332">
        <v>0</v>
      </c>
      <c r="I68" s="332">
        <v>0</v>
      </c>
      <c r="J68" s="332">
        <v>0</v>
      </c>
      <c r="K68" s="332">
        <v>0</v>
      </c>
      <c r="L68" s="332">
        <v>0</v>
      </c>
      <c r="M68" s="332">
        <v>0</v>
      </c>
      <c r="N68" s="332">
        <v>0</v>
      </c>
      <c r="O68" s="332">
        <v>0</v>
      </c>
      <c r="P68" s="300"/>
      <c r="Q68" s="284">
        <f t="shared" si="1"/>
        <v>0</v>
      </c>
      <c r="R68" s="3" t="str">
        <f>_xlfn.IFNA(VLOOKUP(Tabella1[[#This Row],[Nome]],'ROSE SQUADRE'!$N$3:$O$253,2,0),"")</f>
        <v/>
      </c>
      <c r="S68" s="312">
        <f>Tabella1[[#This Row],[Gf]]+Tabella1[[#This Row],[Rf]]</f>
        <v>0</v>
      </c>
      <c r="T68" s="193"/>
      <c r="U68" s="285" t="str">
        <f>IF(Tabella1[[#This Row],[N° FantaTit]]=1,Tabella1[[#This Row],[Voto]],"")</f>
        <v/>
      </c>
      <c r="V6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68" s="195"/>
      <c r="X68" s="193" t="str">
        <f>IF(Tabella1[[#This Row],[Best 11]]=1,Tabella1[[#This Row],[fanta voto]],"")</f>
        <v/>
      </c>
      <c r="Z68" s="193" t="str">
        <f>IF(Tabella1[[#This Row],[Best 11 MOD]]=1,Tabella1[[#This Row],[fanta voto]],"")</f>
        <v/>
      </c>
      <c r="AA68" t="str">
        <f>CONCATENATE(Tabella1[[#This Row],[GG]],Tabella1[[#This Row],[Nome]])</f>
        <v>1Brescianini</v>
      </c>
      <c r="AC68" t="str">
        <f>_xlfn.CONCAT(Tabella1[[#This Row],[Ruolo]],Tabella1[[#This Row],[Gs]])</f>
        <v>C0</v>
      </c>
    </row>
    <row r="69" spans="1:29" hidden="1" x14ac:dyDescent="0.3">
      <c r="A69" s="286">
        <v>46254</v>
      </c>
      <c r="B69" s="15">
        <v>1</v>
      </c>
      <c r="C69" s="283" t="s">
        <v>705</v>
      </c>
      <c r="D69" t="s">
        <v>162</v>
      </c>
      <c r="E69" t="s">
        <v>717</v>
      </c>
      <c r="F69" s="194">
        <v>5.5</v>
      </c>
      <c r="G69" s="328">
        <v>0</v>
      </c>
      <c r="H69" s="328">
        <v>0</v>
      </c>
      <c r="I69" s="328">
        <v>0</v>
      </c>
      <c r="J69" s="328">
        <v>0</v>
      </c>
      <c r="K69" s="328">
        <v>0</v>
      </c>
      <c r="L69" s="328">
        <v>0</v>
      </c>
      <c r="M69" s="328">
        <v>0</v>
      </c>
      <c r="N69" s="328">
        <v>0</v>
      </c>
      <c r="O69" s="328">
        <v>0</v>
      </c>
      <c r="P69" s="300"/>
      <c r="Q69" s="284">
        <f t="shared" si="1"/>
        <v>0</v>
      </c>
      <c r="R69" s="3" t="str">
        <f>_xlfn.IFNA(VLOOKUP(Tabella1[[#This Row],[Nome]],'ROSE SQUADRE'!$N$3:$O$253,2,0),"")</f>
        <v>FC INTERNAZIOANALE</v>
      </c>
      <c r="S69" s="312">
        <f>Tabella1[[#This Row],[Gf]]+Tabella1[[#This Row],[Rf]]</f>
        <v>0</v>
      </c>
      <c r="T69" s="193"/>
      <c r="U69" s="285" t="str">
        <f>IF(Tabella1[[#This Row],[N° FantaTit]]=1,Tabella1[[#This Row],[Voto]],"")</f>
        <v/>
      </c>
      <c r="V6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69" s="195"/>
      <c r="X69" s="193" t="str">
        <f>IF(Tabella1[[#This Row],[Best 11]]=1,Tabella1[[#This Row],[fanta voto]],"")</f>
        <v/>
      </c>
      <c r="Z69" s="193" t="str">
        <f>IF(Tabella1[[#This Row],[Best 11 MOD]]=1,Tabella1[[#This Row],[fanta voto]],"")</f>
        <v/>
      </c>
      <c r="AA69" t="str">
        <f>CONCATENATE(Tabella1[[#This Row],[GG]],Tabella1[[#This Row],[Nome]])</f>
        <v>1Ndour</v>
      </c>
      <c r="AC69" t="str">
        <f>_xlfn.CONCAT(Tabella1[[#This Row],[Ruolo]],Tabella1[[#This Row],[Gs]])</f>
        <v>C0</v>
      </c>
    </row>
    <row r="70" spans="1:29" hidden="1" x14ac:dyDescent="0.3">
      <c r="A70" s="286">
        <v>46254</v>
      </c>
      <c r="B70" s="15">
        <v>1</v>
      </c>
      <c r="C70" s="283" t="s">
        <v>705</v>
      </c>
      <c r="D70" s="330" t="s">
        <v>162</v>
      </c>
      <c r="E70" s="330" t="s">
        <v>714</v>
      </c>
      <c r="F70" s="331">
        <v>5</v>
      </c>
      <c r="G70" s="332">
        <v>0</v>
      </c>
      <c r="H70" s="332">
        <v>0</v>
      </c>
      <c r="I70" s="332">
        <v>0</v>
      </c>
      <c r="J70" s="332">
        <v>0</v>
      </c>
      <c r="K70" s="332">
        <v>0</v>
      </c>
      <c r="L70" s="332">
        <v>0</v>
      </c>
      <c r="M70" s="332">
        <v>0</v>
      </c>
      <c r="N70" s="332">
        <v>0</v>
      </c>
      <c r="O70" s="332">
        <v>0</v>
      </c>
      <c r="P70" s="300"/>
      <c r="Q70" s="284">
        <f t="shared" si="1"/>
        <v>0</v>
      </c>
      <c r="R70" s="3" t="str">
        <f>_xlfn.IFNA(VLOOKUP(Tabella1[[#This Row],[Nome]],'ROSE SQUADRE'!$N$3:$O$253,2,0),"")</f>
        <v>AC ASPARAGHESE</v>
      </c>
      <c r="S70" s="312">
        <f>Tabella1[[#This Row],[Gf]]+Tabella1[[#This Row],[Rf]]</f>
        <v>0</v>
      </c>
      <c r="T70" s="193"/>
      <c r="U70" s="285" t="str">
        <f>IF(Tabella1[[#This Row],[N° FantaTit]]=1,Tabella1[[#This Row],[Voto]],"")</f>
        <v/>
      </c>
      <c r="V7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70" s="195"/>
      <c r="X70" s="193" t="str">
        <f>IF(Tabella1[[#This Row],[Best 11]]=1,Tabella1[[#This Row],[fanta voto]],"")</f>
        <v/>
      </c>
      <c r="Z70" s="193" t="str">
        <f>IF(Tabella1[[#This Row],[Best 11 MOD]]=1,Tabella1[[#This Row],[fanta voto]],"")</f>
        <v/>
      </c>
      <c r="AA70" t="str">
        <f>CONCATENATE(Tabella1[[#This Row],[GG]],Tabella1[[#This Row],[Nome]])</f>
        <v>1Atta</v>
      </c>
      <c r="AC70" t="str">
        <f>_xlfn.CONCAT(Tabella1[[#This Row],[Ruolo]],Tabella1[[#This Row],[Gs]])</f>
        <v>C0</v>
      </c>
    </row>
    <row r="71" spans="1:29" hidden="1" x14ac:dyDescent="0.3">
      <c r="A71" s="286">
        <v>46254</v>
      </c>
      <c r="B71" s="15">
        <v>1</v>
      </c>
      <c r="C71" s="283" t="s">
        <v>705</v>
      </c>
      <c r="D71" t="s">
        <v>162</v>
      </c>
      <c r="E71" t="s">
        <v>716</v>
      </c>
      <c r="F71" s="194">
        <v>5.5</v>
      </c>
      <c r="G71" s="328">
        <v>0</v>
      </c>
      <c r="H71" s="328">
        <v>0</v>
      </c>
      <c r="I71" s="328">
        <v>0</v>
      </c>
      <c r="J71" s="328">
        <v>0</v>
      </c>
      <c r="K71" s="328">
        <v>0</v>
      </c>
      <c r="L71" s="328">
        <v>0</v>
      </c>
      <c r="M71" s="328">
        <v>0</v>
      </c>
      <c r="N71" s="328">
        <v>0</v>
      </c>
      <c r="O71" s="328">
        <v>0</v>
      </c>
      <c r="P71" s="300"/>
      <c r="Q71" s="284">
        <f t="shared" si="1"/>
        <v>0</v>
      </c>
      <c r="R71" s="3" t="str">
        <f>_xlfn.IFNA(VLOOKUP(Tabella1[[#This Row],[Nome]],'ROSE SQUADRE'!$N$3:$O$253,2,0),"")</f>
        <v>AC ASPARAGHESE</v>
      </c>
      <c r="S71" s="312">
        <f>Tabella1[[#This Row],[Gf]]+Tabella1[[#This Row],[Rf]]</f>
        <v>0</v>
      </c>
      <c r="T71" s="193"/>
      <c r="U71" s="285" t="str">
        <f>IF(Tabella1[[#This Row],[N° FantaTit]]=1,Tabella1[[#This Row],[Voto]],"")</f>
        <v/>
      </c>
      <c r="V7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71" s="195"/>
      <c r="X71" s="193" t="str">
        <f>IF(Tabella1[[#This Row],[Best 11]]=1,Tabella1[[#This Row],[fanta voto]],"")</f>
        <v/>
      </c>
      <c r="Z71" s="193" t="str">
        <f>IF(Tabella1[[#This Row],[Best 11 MOD]]=1,Tabella1[[#This Row],[fanta voto]],"")</f>
        <v/>
      </c>
      <c r="AA71" t="str">
        <f>CONCATENATE(Tabella1[[#This Row],[GG]],Tabella1[[#This Row],[Nome]])</f>
        <v>1Mastantuono</v>
      </c>
      <c r="AC71" t="str">
        <f>_xlfn.CONCAT(Tabella1[[#This Row],[Ruolo]],Tabella1[[#This Row],[Gs]])</f>
        <v>C0</v>
      </c>
    </row>
    <row r="72" spans="1:29" hidden="1" x14ac:dyDescent="0.3">
      <c r="A72" s="286">
        <v>46254</v>
      </c>
      <c r="B72" s="15">
        <v>1</v>
      </c>
      <c r="C72" s="283" t="s">
        <v>705</v>
      </c>
      <c r="D72" s="330" t="s">
        <v>162</v>
      </c>
      <c r="E72" s="330" t="s">
        <v>718</v>
      </c>
      <c r="F72" s="331">
        <v>6</v>
      </c>
      <c r="G72" s="332">
        <v>0</v>
      </c>
      <c r="H72" s="332">
        <v>0</v>
      </c>
      <c r="I72" s="332">
        <v>0</v>
      </c>
      <c r="J72" s="332">
        <v>0</v>
      </c>
      <c r="K72" s="332">
        <v>0</v>
      </c>
      <c r="L72" s="332">
        <v>0</v>
      </c>
      <c r="M72" s="332">
        <v>0</v>
      </c>
      <c r="N72" s="332">
        <v>0</v>
      </c>
      <c r="O72" s="332">
        <v>0</v>
      </c>
      <c r="P72" s="300"/>
      <c r="Q72" s="284">
        <f t="shared" si="1"/>
        <v>0</v>
      </c>
      <c r="R72" s="3" t="str">
        <f>_xlfn.IFNA(VLOOKUP(Tabella1[[#This Row],[Nome]],'ROSE SQUADRE'!$N$3:$O$253,2,0),"")</f>
        <v/>
      </c>
      <c r="S72" s="312">
        <f>Tabella1[[#This Row],[Gf]]+Tabella1[[#This Row],[Rf]]</f>
        <v>0</v>
      </c>
      <c r="T72" s="193"/>
      <c r="U72" s="285" t="str">
        <f>IF(Tabella1[[#This Row],[N° FantaTit]]=1,Tabella1[[#This Row],[Voto]],"")</f>
        <v/>
      </c>
      <c r="V7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72" s="195"/>
      <c r="X72" s="193" t="str">
        <f>IF(Tabella1[[#This Row],[Best 11]]=1,Tabella1[[#This Row],[fanta voto]],"")</f>
        <v/>
      </c>
      <c r="Z72" s="193" t="str">
        <f>IF(Tabella1[[#This Row],[Best 11 MOD]]=1,Tabella1[[#This Row],[fanta voto]],"")</f>
        <v/>
      </c>
      <c r="AA72" t="str">
        <f>CONCATENATE(Tabella1[[#This Row],[GG]],Tabella1[[#This Row],[Nome]])</f>
        <v>1Oulai</v>
      </c>
      <c r="AC72" t="str">
        <f>_xlfn.CONCAT(Tabella1[[#This Row],[Ruolo]],Tabella1[[#This Row],[Gs]])</f>
        <v>C0</v>
      </c>
    </row>
    <row r="73" spans="1:29" hidden="1" x14ac:dyDescent="0.3">
      <c r="A73" s="286">
        <v>46254</v>
      </c>
      <c r="B73" s="15">
        <v>1</v>
      </c>
      <c r="C73" s="283" t="s">
        <v>705</v>
      </c>
      <c r="D73" t="s">
        <v>163</v>
      </c>
      <c r="E73" t="s">
        <v>305</v>
      </c>
      <c r="F73" s="194">
        <v>6</v>
      </c>
      <c r="G73" s="328">
        <v>0</v>
      </c>
      <c r="H73" s="328">
        <v>0</v>
      </c>
      <c r="I73" s="328">
        <v>0</v>
      </c>
      <c r="J73" s="328">
        <v>0</v>
      </c>
      <c r="K73" s="328">
        <v>0</v>
      </c>
      <c r="L73" s="328">
        <v>0</v>
      </c>
      <c r="M73" s="328">
        <v>0</v>
      </c>
      <c r="N73" s="328">
        <v>0</v>
      </c>
      <c r="O73" s="328">
        <v>0</v>
      </c>
      <c r="P73" s="300"/>
      <c r="Q73" s="284">
        <f t="shared" si="1"/>
        <v>0</v>
      </c>
      <c r="R73" s="3" t="str">
        <f>_xlfn.IFNA(VLOOKUP(Tabella1[[#This Row],[Nome]],'ROSE SQUADRE'!$N$3:$O$253,2,0),"")</f>
        <v>PESCICULINI</v>
      </c>
      <c r="S73" s="312">
        <f>Tabella1[[#This Row],[Gf]]+Tabella1[[#This Row],[Rf]]</f>
        <v>0</v>
      </c>
      <c r="T73" s="193"/>
      <c r="U73" s="285" t="str">
        <f>IF(Tabella1[[#This Row],[N° FantaTit]]=1,Tabella1[[#This Row],[Voto]],"")</f>
        <v/>
      </c>
      <c r="V7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73" s="195"/>
      <c r="X73" s="193" t="str">
        <f>IF(Tabella1[[#This Row],[Best 11]]=1,Tabella1[[#This Row],[fanta voto]],"")</f>
        <v/>
      </c>
      <c r="Z73" s="193" t="str">
        <f>IF(Tabella1[[#This Row],[Best 11 MOD]]=1,Tabella1[[#This Row],[fanta voto]],"")</f>
        <v/>
      </c>
      <c r="AA73" t="str">
        <f>CONCATENATE(Tabella1[[#This Row],[GG]],Tabella1[[#This Row],[Nome]])</f>
        <v>1Kean</v>
      </c>
      <c r="AC73" t="str">
        <f>_xlfn.CONCAT(Tabella1[[#This Row],[Ruolo]],Tabella1[[#This Row],[Gs]])</f>
        <v>A0</v>
      </c>
    </row>
    <row r="74" spans="1:29" hidden="1" x14ac:dyDescent="0.3">
      <c r="A74" s="286">
        <v>46254</v>
      </c>
      <c r="B74" s="15">
        <v>1</v>
      </c>
      <c r="C74" s="283" t="s">
        <v>705</v>
      </c>
      <c r="D74" s="330" t="s">
        <v>163</v>
      </c>
      <c r="E74" s="330" t="s">
        <v>719</v>
      </c>
      <c r="F74" s="331">
        <v>5</v>
      </c>
      <c r="G74" s="332">
        <v>0</v>
      </c>
      <c r="H74" s="332">
        <v>0</v>
      </c>
      <c r="I74" s="332">
        <v>0</v>
      </c>
      <c r="J74" s="332">
        <v>0</v>
      </c>
      <c r="K74" s="332">
        <v>0</v>
      </c>
      <c r="L74" s="332">
        <v>0</v>
      </c>
      <c r="M74" s="333">
        <v>1</v>
      </c>
      <c r="N74" s="332">
        <v>0</v>
      </c>
      <c r="O74" s="332">
        <v>0</v>
      </c>
      <c r="P74" s="300"/>
      <c r="Q74" s="284">
        <f t="shared" si="1"/>
        <v>0</v>
      </c>
      <c r="R74" s="3" t="str">
        <f>_xlfn.IFNA(VLOOKUP(Tabella1[[#This Row],[Nome]],'ROSE SQUADRE'!$N$3:$O$253,2,0),"")</f>
        <v>SHARK</v>
      </c>
      <c r="S74" s="312">
        <f>Tabella1[[#This Row],[Gf]]+Tabella1[[#This Row],[Rf]]</f>
        <v>0</v>
      </c>
      <c r="T74" s="193"/>
      <c r="U74" s="285" t="str">
        <f>IF(Tabella1[[#This Row],[N° FantaTit]]=1,Tabella1[[#This Row],[Voto]],"")</f>
        <v/>
      </c>
      <c r="V7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4.5</v>
      </c>
      <c r="W74" s="195"/>
      <c r="X74" s="193" t="str">
        <f>IF(Tabella1[[#This Row],[Best 11]]=1,Tabella1[[#This Row],[fanta voto]],"")</f>
        <v/>
      </c>
      <c r="Z74" s="193" t="str">
        <f>IF(Tabella1[[#This Row],[Best 11 MOD]]=1,Tabella1[[#This Row],[fanta voto]],"")</f>
        <v/>
      </c>
      <c r="AA74" t="str">
        <f>CONCATENATE(Tabella1[[#This Row],[GG]],Tabella1[[#This Row],[Nome]])</f>
        <v>1Pellegrino M.</v>
      </c>
      <c r="AC74" t="str">
        <f>_xlfn.CONCAT(Tabella1[[#This Row],[Ruolo]],Tabella1[[#This Row],[Gs]])</f>
        <v>A0</v>
      </c>
    </row>
    <row r="75" spans="1:29" hidden="1" x14ac:dyDescent="0.3">
      <c r="A75" s="286">
        <v>46254</v>
      </c>
      <c r="B75" s="15">
        <v>1</v>
      </c>
      <c r="C75" s="283" t="s">
        <v>721</v>
      </c>
      <c r="D75" s="330" t="s">
        <v>5</v>
      </c>
      <c r="E75" s="330" t="s">
        <v>723</v>
      </c>
      <c r="F75" s="331">
        <v>6.5</v>
      </c>
      <c r="G75" s="332">
        <v>0</v>
      </c>
      <c r="H75" s="333">
        <v>1</v>
      </c>
      <c r="I75" s="332">
        <v>0</v>
      </c>
      <c r="J75" s="332">
        <v>0</v>
      </c>
      <c r="K75" s="332">
        <v>0</v>
      </c>
      <c r="L75" s="332">
        <v>0</v>
      </c>
      <c r="M75" s="332">
        <v>0</v>
      </c>
      <c r="N75" s="332">
        <v>0</v>
      </c>
      <c r="O75" s="332">
        <v>0</v>
      </c>
      <c r="P75" s="300"/>
      <c r="Q75" s="284">
        <f t="shared" si="1"/>
        <v>0</v>
      </c>
      <c r="R75" s="3" t="str">
        <f>_xlfn.IFNA(VLOOKUP(Tabella1[[#This Row],[Nome]],'ROSE SQUADRE'!$N$3:$O$253,2,0),"")</f>
        <v>TRICCHETRACHT</v>
      </c>
      <c r="S75" s="312">
        <f>Tabella1[[#This Row],[Gf]]+Tabella1[[#This Row],[Rf]]</f>
        <v>0</v>
      </c>
      <c r="T75" s="193"/>
      <c r="U75" s="285" t="str">
        <f>IF(Tabella1[[#This Row],[N° FantaTit]]=1,Tabella1[[#This Row],[Voto]],"")</f>
        <v/>
      </c>
      <c r="V7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75" s="195"/>
      <c r="X75" s="193" t="str">
        <f>IF(Tabella1[[#This Row],[Best 11]]=1,Tabella1[[#This Row],[fanta voto]],"")</f>
        <v/>
      </c>
      <c r="Z75" s="193" t="str">
        <f>IF(Tabella1[[#This Row],[Best 11 MOD]]=1,Tabella1[[#This Row],[fanta voto]],"")</f>
        <v/>
      </c>
      <c r="AA75" t="str">
        <f>CONCATENATE(Tabella1[[#This Row],[GG]],Tabella1[[#This Row],[Nome]])</f>
        <v>1Palmisani</v>
      </c>
      <c r="AC75" t="str">
        <f>_xlfn.CONCAT(Tabella1[[#This Row],[Ruolo]],Tabella1[[#This Row],[Gs]])</f>
        <v>P1</v>
      </c>
    </row>
    <row r="76" spans="1:29" hidden="1" x14ac:dyDescent="0.3">
      <c r="A76" s="286">
        <v>46254</v>
      </c>
      <c r="B76" s="15">
        <v>1</v>
      </c>
      <c r="C76" s="283" t="s">
        <v>721</v>
      </c>
      <c r="D76" t="s">
        <v>161</v>
      </c>
      <c r="E76" t="s">
        <v>733</v>
      </c>
      <c r="F76" s="194">
        <v>5.5</v>
      </c>
      <c r="G76" s="328">
        <v>0</v>
      </c>
      <c r="H76" s="328">
        <v>0</v>
      </c>
      <c r="I76" s="328">
        <v>0</v>
      </c>
      <c r="J76" s="328">
        <v>0</v>
      </c>
      <c r="K76" s="328">
        <v>0</v>
      </c>
      <c r="L76" s="328">
        <v>0</v>
      </c>
      <c r="M76" s="328">
        <v>0</v>
      </c>
      <c r="N76" s="328">
        <v>0</v>
      </c>
      <c r="O76" s="328">
        <v>0</v>
      </c>
      <c r="P76" s="300"/>
      <c r="Q76" s="284">
        <f t="shared" si="1"/>
        <v>0</v>
      </c>
      <c r="R76" s="3" t="str">
        <f>_xlfn.IFNA(VLOOKUP(Tabella1[[#This Row],[Nome]],'ROSE SQUADRE'!$N$3:$O$253,2,0),"")</f>
        <v/>
      </c>
      <c r="S76" s="312">
        <f>Tabella1[[#This Row],[Gf]]+Tabella1[[#This Row],[Rf]]</f>
        <v>0</v>
      </c>
      <c r="T76" s="193"/>
      <c r="U76" s="285" t="str">
        <f>IF(Tabella1[[#This Row],[N° FantaTit]]=1,Tabella1[[#This Row],[Voto]],"")</f>
        <v/>
      </c>
      <c r="V7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76" s="195"/>
      <c r="X76" s="193" t="str">
        <f>IF(Tabella1[[#This Row],[Best 11]]=1,Tabella1[[#This Row],[fanta voto]],"")</f>
        <v/>
      </c>
      <c r="Z76" s="193" t="str">
        <f>IF(Tabella1[[#This Row],[Best 11 MOD]]=1,Tabella1[[#This Row],[fanta voto]],"")</f>
        <v/>
      </c>
      <c r="AA76" t="str">
        <f>CONCATENATE(Tabella1[[#This Row],[GG]],Tabella1[[#This Row],[Nome]])</f>
        <v>1Terzic</v>
      </c>
      <c r="AC76" t="str">
        <f>_xlfn.CONCAT(Tabella1[[#This Row],[Ruolo]],Tabella1[[#This Row],[Gs]])</f>
        <v>D0</v>
      </c>
    </row>
    <row r="77" spans="1:29" hidden="1" x14ac:dyDescent="0.3">
      <c r="A77" s="286">
        <v>46254</v>
      </c>
      <c r="B77" s="15">
        <v>1</v>
      </c>
      <c r="C77" s="283" t="s">
        <v>721</v>
      </c>
      <c r="D77" s="330" t="s">
        <v>161</v>
      </c>
      <c r="E77" s="330" t="s">
        <v>730</v>
      </c>
      <c r="F77" s="331">
        <v>5</v>
      </c>
      <c r="G77" s="332">
        <v>0</v>
      </c>
      <c r="H77" s="332">
        <v>0</v>
      </c>
      <c r="I77" s="332">
        <v>0</v>
      </c>
      <c r="J77" s="332">
        <v>0</v>
      </c>
      <c r="K77" s="332">
        <v>0</v>
      </c>
      <c r="L77" s="332">
        <v>0</v>
      </c>
      <c r="M77" s="332">
        <v>0</v>
      </c>
      <c r="N77" s="332">
        <v>0</v>
      </c>
      <c r="O77" s="332">
        <v>0</v>
      </c>
      <c r="P77" s="300"/>
      <c r="Q77" s="284">
        <f t="shared" si="1"/>
        <v>0</v>
      </c>
      <c r="R77" s="3" t="str">
        <f>_xlfn.IFNA(VLOOKUP(Tabella1[[#This Row],[Nome]],'ROSE SQUADRE'!$N$3:$O$253,2,0),"")</f>
        <v/>
      </c>
      <c r="S77" s="312">
        <f>Tabella1[[#This Row],[Gf]]+Tabella1[[#This Row],[Rf]]</f>
        <v>0</v>
      </c>
      <c r="T77" s="193"/>
      <c r="U77" s="285" t="str">
        <f>IF(Tabella1[[#This Row],[N° FantaTit]]=1,Tabella1[[#This Row],[Voto]],"")</f>
        <v/>
      </c>
      <c r="V7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77" s="195"/>
      <c r="X77" s="193" t="str">
        <f>IF(Tabella1[[#This Row],[Best 11]]=1,Tabella1[[#This Row],[fanta voto]],"")</f>
        <v/>
      </c>
      <c r="Z77" s="193" t="str">
        <f>IF(Tabella1[[#This Row],[Best 11 MOD]]=1,Tabella1[[#This Row],[fanta voto]],"")</f>
        <v/>
      </c>
      <c r="AA77" t="str">
        <f>CONCATENATE(Tabella1[[#This Row],[GG]],Tabella1[[#This Row],[Nome]])</f>
        <v>1Monterisi</v>
      </c>
      <c r="AC77" t="str">
        <f>_xlfn.CONCAT(Tabella1[[#This Row],[Ruolo]],Tabella1[[#This Row],[Gs]])</f>
        <v>D0</v>
      </c>
    </row>
    <row r="78" spans="1:29" hidden="1" x14ac:dyDescent="0.3">
      <c r="A78" s="286">
        <v>46254</v>
      </c>
      <c r="B78" s="15">
        <v>1</v>
      </c>
      <c r="C78" s="283" t="s">
        <v>721</v>
      </c>
      <c r="D78" t="s">
        <v>161</v>
      </c>
      <c r="E78" t="s">
        <v>729</v>
      </c>
      <c r="F78" s="194">
        <v>5.5</v>
      </c>
      <c r="G78" s="328">
        <v>0</v>
      </c>
      <c r="H78" s="328">
        <v>0</v>
      </c>
      <c r="I78" s="328">
        <v>0</v>
      </c>
      <c r="J78" s="328">
        <v>0</v>
      </c>
      <c r="K78" s="328">
        <v>0</v>
      </c>
      <c r="L78" s="328">
        <v>0</v>
      </c>
      <c r="M78" s="328">
        <v>0</v>
      </c>
      <c r="N78" s="328">
        <v>0</v>
      </c>
      <c r="O78" s="328">
        <v>0</v>
      </c>
      <c r="P78" s="300"/>
      <c r="Q78" s="284">
        <f t="shared" si="1"/>
        <v>0</v>
      </c>
      <c r="R78" s="3" t="str">
        <f>_xlfn.IFNA(VLOOKUP(Tabella1[[#This Row],[Nome]],'ROSE SQUADRE'!$N$3:$O$253,2,0),"")</f>
        <v/>
      </c>
      <c r="S78" s="312">
        <f>Tabella1[[#This Row],[Gf]]+Tabella1[[#This Row],[Rf]]</f>
        <v>0</v>
      </c>
      <c r="T78" s="193"/>
      <c r="U78" s="285" t="str">
        <f>IF(Tabella1[[#This Row],[N° FantaTit]]=1,Tabella1[[#This Row],[Voto]],"")</f>
        <v/>
      </c>
      <c r="V7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78" s="195"/>
      <c r="X78" s="193" t="str">
        <f>IF(Tabella1[[#This Row],[Best 11]]=1,Tabella1[[#This Row],[fanta voto]],"")</f>
        <v/>
      </c>
      <c r="Z78" s="193" t="str">
        <f>IF(Tabella1[[#This Row],[Best 11 MOD]]=1,Tabella1[[#This Row],[fanta voto]],"")</f>
        <v/>
      </c>
      <c r="AA78" t="str">
        <f>CONCATENATE(Tabella1[[#This Row],[GG]],Tabella1[[#This Row],[Nome]])</f>
        <v>1Cittadini</v>
      </c>
      <c r="AC78" t="str">
        <f>_xlfn.CONCAT(Tabella1[[#This Row],[Ruolo]],Tabella1[[#This Row],[Gs]])</f>
        <v>D0</v>
      </c>
    </row>
    <row r="79" spans="1:29" hidden="1" x14ac:dyDescent="0.3">
      <c r="A79" s="286">
        <v>46254</v>
      </c>
      <c r="B79" s="15">
        <v>1</v>
      </c>
      <c r="C79" s="283" t="s">
        <v>721</v>
      </c>
      <c r="D79" s="330" t="s">
        <v>161</v>
      </c>
      <c r="E79" s="330" t="s">
        <v>732</v>
      </c>
      <c r="F79" s="331">
        <v>6</v>
      </c>
      <c r="G79" s="332">
        <v>0</v>
      </c>
      <c r="H79" s="332">
        <v>0</v>
      </c>
      <c r="I79" s="332">
        <v>0</v>
      </c>
      <c r="J79" s="332">
        <v>0</v>
      </c>
      <c r="K79" s="332">
        <v>0</v>
      </c>
      <c r="L79" s="332">
        <v>0</v>
      </c>
      <c r="M79" s="332">
        <v>0</v>
      </c>
      <c r="N79" s="332">
        <v>0</v>
      </c>
      <c r="O79" s="332">
        <v>0</v>
      </c>
      <c r="P79" s="300"/>
      <c r="Q79" s="284">
        <f t="shared" si="1"/>
        <v>0</v>
      </c>
      <c r="R79" s="3" t="str">
        <f>_xlfn.IFNA(VLOOKUP(Tabella1[[#This Row],[Nome]],'ROSE SQUADRE'!$N$3:$O$253,2,0),"")</f>
        <v/>
      </c>
      <c r="S79" s="312">
        <f>Tabella1[[#This Row],[Gf]]+Tabella1[[#This Row],[Rf]]</f>
        <v>0</v>
      </c>
      <c r="T79" s="193"/>
      <c r="U79" s="285" t="str">
        <f>IF(Tabella1[[#This Row],[N° FantaTit]]=1,Tabella1[[#This Row],[Voto]],"")</f>
        <v/>
      </c>
      <c r="V7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79" s="195"/>
      <c r="X79" s="193" t="str">
        <f>IF(Tabella1[[#This Row],[Best 11]]=1,Tabella1[[#This Row],[fanta voto]],"")</f>
        <v/>
      </c>
      <c r="Z79" s="193" t="str">
        <f>IF(Tabella1[[#This Row],[Best 11 MOD]]=1,Tabella1[[#This Row],[fanta voto]],"")</f>
        <v/>
      </c>
      <c r="AA79" t="str">
        <f>CONCATENATE(Tabella1[[#This Row],[GG]],Tabella1[[#This Row],[Nome]])</f>
        <v>1Oyono A.</v>
      </c>
      <c r="AC79" t="str">
        <f>_xlfn.CONCAT(Tabella1[[#This Row],[Ruolo]],Tabella1[[#This Row],[Gs]])</f>
        <v>D0</v>
      </c>
    </row>
    <row r="80" spans="1:29" hidden="1" x14ac:dyDescent="0.3">
      <c r="A80" s="286">
        <v>46254</v>
      </c>
      <c r="B80" s="15">
        <v>1</v>
      </c>
      <c r="C80" s="283" t="s">
        <v>721</v>
      </c>
      <c r="D80" t="s">
        <v>161</v>
      </c>
      <c r="E80" t="s">
        <v>728</v>
      </c>
      <c r="F80" s="194">
        <v>6.5</v>
      </c>
      <c r="G80" s="328">
        <v>0</v>
      </c>
      <c r="H80" s="328">
        <v>0</v>
      </c>
      <c r="I80" s="328">
        <v>0</v>
      </c>
      <c r="J80" s="328">
        <v>0</v>
      </c>
      <c r="K80" s="328">
        <v>0</v>
      </c>
      <c r="L80" s="328">
        <v>0</v>
      </c>
      <c r="M80" s="329">
        <v>1</v>
      </c>
      <c r="N80" s="328">
        <v>0</v>
      </c>
      <c r="O80" s="328">
        <v>0</v>
      </c>
      <c r="P80" s="300"/>
      <c r="Q80" s="284">
        <f t="shared" si="1"/>
        <v>0</v>
      </c>
      <c r="R80" s="3" t="str">
        <f>_xlfn.IFNA(VLOOKUP(Tabella1[[#This Row],[Nome]],'ROSE SQUADRE'!$N$3:$O$253,2,0),"")</f>
        <v/>
      </c>
      <c r="S80" s="312">
        <f>Tabella1[[#This Row],[Gf]]+Tabella1[[#This Row],[Rf]]</f>
        <v>0</v>
      </c>
      <c r="T80" s="193"/>
      <c r="U80" s="285" t="str">
        <f>IF(Tabella1[[#This Row],[N° FantaTit]]=1,Tabella1[[#This Row],[Voto]],"")</f>
        <v/>
      </c>
      <c r="V8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80" s="195"/>
      <c r="X80" s="193" t="str">
        <f>IF(Tabella1[[#This Row],[Best 11]]=1,Tabella1[[#This Row],[fanta voto]],"")</f>
        <v/>
      </c>
      <c r="Z80" s="193" t="str">
        <f>IF(Tabella1[[#This Row],[Best 11 MOD]]=1,Tabella1[[#This Row],[fanta voto]],"")</f>
        <v/>
      </c>
      <c r="AA80" t="str">
        <f>CONCATENATE(Tabella1[[#This Row],[GG]],Tabella1[[#This Row],[Nome]])</f>
        <v>1Calvani</v>
      </c>
      <c r="AC80" t="str">
        <f>_xlfn.CONCAT(Tabella1[[#This Row],[Ruolo]],Tabella1[[#This Row],[Gs]])</f>
        <v>D0</v>
      </c>
    </row>
    <row r="81" spans="1:29" hidden="1" x14ac:dyDescent="0.3">
      <c r="A81" s="286">
        <v>46254</v>
      </c>
      <c r="B81" s="15">
        <v>1</v>
      </c>
      <c r="C81" s="283" t="s">
        <v>721</v>
      </c>
      <c r="D81" s="330" t="s">
        <v>161</v>
      </c>
      <c r="E81" s="330" t="s">
        <v>727</v>
      </c>
      <c r="F81" s="331">
        <v>6</v>
      </c>
      <c r="G81" s="332">
        <v>0</v>
      </c>
      <c r="H81" s="332">
        <v>0</v>
      </c>
      <c r="I81" s="332">
        <v>0</v>
      </c>
      <c r="J81" s="332">
        <v>0</v>
      </c>
      <c r="K81" s="332">
        <v>0</v>
      </c>
      <c r="L81" s="332">
        <v>0</v>
      </c>
      <c r="M81" s="332">
        <v>0</v>
      </c>
      <c r="N81" s="332">
        <v>0</v>
      </c>
      <c r="O81" s="332">
        <v>0</v>
      </c>
      <c r="P81" s="300"/>
      <c r="Q81" s="284">
        <f t="shared" si="1"/>
        <v>0</v>
      </c>
      <c r="R81" s="3" t="str">
        <f>_xlfn.IFNA(VLOOKUP(Tabella1[[#This Row],[Nome]],'ROSE SQUADRE'!$N$3:$O$253,2,0),"")</f>
        <v>SAN GRIA</v>
      </c>
      <c r="S81" s="312">
        <f>Tabella1[[#This Row],[Gf]]+Tabella1[[#This Row],[Rf]]</f>
        <v>0</v>
      </c>
      <c r="T81" s="193"/>
      <c r="U81" s="285" t="str">
        <f>IF(Tabella1[[#This Row],[N° FantaTit]]=1,Tabella1[[#This Row],[Voto]],"")</f>
        <v/>
      </c>
      <c r="V8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81" s="195"/>
      <c r="X81" s="193" t="str">
        <f>IF(Tabella1[[#This Row],[Best 11]]=1,Tabella1[[#This Row],[fanta voto]],"")</f>
        <v/>
      </c>
      <c r="Z81" s="193" t="str">
        <f>IF(Tabella1[[#This Row],[Best 11 MOD]]=1,Tabella1[[#This Row],[fanta voto]],"")</f>
        <v/>
      </c>
      <c r="AA81" t="str">
        <f>CONCATENATE(Tabella1[[#This Row],[GG]],Tabella1[[#This Row],[Nome]])</f>
        <v>1Bracaglia</v>
      </c>
      <c r="AC81" t="str">
        <f>_xlfn.CONCAT(Tabella1[[#This Row],[Ruolo]],Tabella1[[#This Row],[Gs]])</f>
        <v>D0</v>
      </c>
    </row>
    <row r="82" spans="1:29" hidden="1" x14ac:dyDescent="0.3">
      <c r="A82" s="286">
        <v>46254</v>
      </c>
      <c r="B82" s="15">
        <v>1</v>
      </c>
      <c r="C82" s="283" t="s">
        <v>721</v>
      </c>
      <c r="D82" t="s">
        <v>162</v>
      </c>
      <c r="E82" t="s">
        <v>745</v>
      </c>
      <c r="F82" s="194">
        <v>6</v>
      </c>
      <c r="G82" s="328">
        <v>0</v>
      </c>
      <c r="H82" s="328">
        <v>0</v>
      </c>
      <c r="I82" s="328">
        <v>0</v>
      </c>
      <c r="J82" s="328">
        <v>0</v>
      </c>
      <c r="K82" s="328">
        <v>0</v>
      </c>
      <c r="L82" s="328">
        <v>0</v>
      </c>
      <c r="M82" s="328">
        <v>0</v>
      </c>
      <c r="N82" s="328">
        <v>0</v>
      </c>
      <c r="O82" s="328">
        <v>0</v>
      </c>
      <c r="P82" s="300"/>
      <c r="Q82" s="284">
        <f t="shared" si="1"/>
        <v>0</v>
      </c>
      <c r="R82" s="3" t="str">
        <f>_xlfn.IFNA(VLOOKUP(Tabella1[[#This Row],[Nome]],'ROSE SQUADRE'!$N$3:$O$253,2,0),"")</f>
        <v/>
      </c>
      <c r="S82" s="312">
        <f>Tabella1[[#This Row],[Gf]]+Tabella1[[#This Row],[Rf]]</f>
        <v>0</v>
      </c>
      <c r="T82" s="193"/>
      <c r="U82" s="285" t="str">
        <f>IF(Tabella1[[#This Row],[N° FantaTit]]=1,Tabella1[[#This Row],[Voto]],"")</f>
        <v/>
      </c>
      <c r="V8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82" s="195"/>
      <c r="X82" s="193" t="str">
        <f>IF(Tabella1[[#This Row],[Best 11]]=1,Tabella1[[#This Row],[fanta voto]],"")</f>
        <v/>
      </c>
      <c r="Z82" s="193" t="str">
        <f>IF(Tabella1[[#This Row],[Best 11 MOD]]=1,Tabella1[[#This Row],[fanta voto]],"")</f>
        <v/>
      </c>
      <c r="AA82" t="str">
        <f>CONCATENATE(Tabella1[[#This Row],[GG]],Tabella1[[#This Row],[Nome]])</f>
        <v>1Zerbin</v>
      </c>
      <c r="AC82" t="str">
        <f>_xlfn.CONCAT(Tabella1[[#This Row],[Ruolo]],Tabella1[[#This Row],[Gs]])</f>
        <v>C0</v>
      </c>
    </row>
    <row r="83" spans="1:29" hidden="1" x14ac:dyDescent="0.3">
      <c r="A83" s="286">
        <v>46254</v>
      </c>
      <c r="B83" s="15">
        <v>1</v>
      </c>
      <c r="C83" s="283" t="s">
        <v>721</v>
      </c>
      <c r="D83" s="330" t="s">
        <v>162</v>
      </c>
      <c r="E83" s="330" t="s">
        <v>737</v>
      </c>
      <c r="F83" s="331">
        <v>6</v>
      </c>
      <c r="G83" s="332">
        <v>0</v>
      </c>
      <c r="H83" s="332">
        <v>0</v>
      </c>
      <c r="I83" s="332">
        <v>0</v>
      </c>
      <c r="J83" s="332">
        <v>0</v>
      </c>
      <c r="K83" s="332">
        <v>0</v>
      </c>
      <c r="L83" s="332">
        <v>0</v>
      </c>
      <c r="M83" s="332">
        <v>0</v>
      </c>
      <c r="N83" s="332">
        <v>0</v>
      </c>
      <c r="O83" s="332">
        <v>0</v>
      </c>
      <c r="P83" s="300"/>
      <c r="Q83" s="284">
        <f t="shared" si="1"/>
        <v>0</v>
      </c>
      <c r="R83" s="3" t="str">
        <f>_xlfn.IFNA(VLOOKUP(Tabella1[[#This Row],[Nome]],'ROSE SQUADRE'!$N$3:$O$253,2,0),"")</f>
        <v/>
      </c>
      <c r="S83" s="312">
        <f>Tabella1[[#This Row],[Gf]]+Tabella1[[#This Row],[Rf]]</f>
        <v>0</v>
      </c>
      <c r="T83" s="193"/>
      <c r="U83" s="285" t="str">
        <f>IF(Tabella1[[#This Row],[N° FantaTit]]=1,Tabella1[[#This Row],[Voto]],"")</f>
        <v/>
      </c>
      <c r="V8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83" s="195"/>
      <c r="X83" s="193" t="str">
        <f>IF(Tabella1[[#This Row],[Best 11]]=1,Tabella1[[#This Row],[fanta voto]],"")</f>
        <v/>
      </c>
      <c r="Z83" s="193" t="str">
        <f>IF(Tabella1[[#This Row],[Best 11 MOD]]=1,Tabella1[[#This Row],[fanta voto]],"")</f>
        <v/>
      </c>
      <c r="AA83" t="str">
        <f>CONCATENATE(Tabella1[[#This Row],[GG]],Tabella1[[#This Row],[Nome]])</f>
        <v xml:space="preserve">1Fini </v>
      </c>
      <c r="AC83" t="str">
        <f>_xlfn.CONCAT(Tabella1[[#This Row],[Ruolo]],Tabella1[[#This Row],[Gs]])</f>
        <v>C0</v>
      </c>
    </row>
    <row r="84" spans="1:29" hidden="1" x14ac:dyDescent="0.3">
      <c r="A84" s="286">
        <v>46254</v>
      </c>
      <c r="B84" s="15">
        <v>1</v>
      </c>
      <c r="C84" s="283" t="s">
        <v>721</v>
      </c>
      <c r="D84" t="s">
        <v>162</v>
      </c>
      <c r="E84" t="s">
        <v>740</v>
      </c>
      <c r="F84" s="194">
        <v>6</v>
      </c>
      <c r="G84" s="328">
        <v>0</v>
      </c>
      <c r="H84" s="328">
        <v>0</v>
      </c>
      <c r="I84" s="328">
        <v>0</v>
      </c>
      <c r="J84" s="328">
        <v>0</v>
      </c>
      <c r="K84" s="328">
        <v>0</v>
      </c>
      <c r="L84" s="328">
        <v>0</v>
      </c>
      <c r="M84" s="328">
        <v>0</v>
      </c>
      <c r="N84" s="328">
        <v>0</v>
      </c>
      <c r="O84" s="328">
        <v>0</v>
      </c>
      <c r="P84" s="300"/>
      <c r="Q84" s="284">
        <f t="shared" si="1"/>
        <v>0</v>
      </c>
      <c r="R84" s="3" t="str">
        <f>_xlfn.IFNA(VLOOKUP(Tabella1[[#This Row],[Nome]],'ROSE SQUADRE'!$N$3:$O$253,2,0),"")</f>
        <v/>
      </c>
      <c r="S84" s="312">
        <f>Tabella1[[#This Row],[Gf]]+Tabella1[[#This Row],[Rf]]</f>
        <v>0</v>
      </c>
      <c r="T84" s="193"/>
      <c r="U84" s="285" t="str">
        <f>IF(Tabella1[[#This Row],[N° FantaTit]]=1,Tabella1[[#This Row],[Voto]],"")</f>
        <v/>
      </c>
      <c r="V8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84" s="195"/>
      <c r="X84" s="193" t="str">
        <f>IF(Tabella1[[#This Row],[Best 11]]=1,Tabella1[[#This Row],[fanta voto]],"")</f>
        <v/>
      </c>
      <c r="Z84" s="193" t="str">
        <f>IF(Tabella1[[#This Row],[Best 11 MOD]]=1,Tabella1[[#This Row],[fanta voto]],"")</f>
        <v/>
      </c>
      <c r="AA84" t="str">
        <f>CONCATENATE(Tabella1[[#This Row],[GG]],Tabella1[[#This Row],[Nome]])</f>
        <v>1Hasa</v>
      </c>
      <c r="AC84" t="str">
        <f>_xlfn.CONCAT(Tabella1[[#This Row],[Ruolo]],Tabella1[[#This Row],[Gs]])</f>
        <v>C0</v>
      </c>
    </row>
    <row r="85" spans="1:29" hidden="1" x14ac:dyDescent="0.3">
      <c r="A85" s="286">
        <v>46254</v>
      </c>
      <c r="B85" s="15">
        <v>1</v>
      </c>
      <c r="C85" s="283" t="s">
        <v>721</v>
      </c>
      <c r="D85" s="330" t="s">
        <v>162</v>
      </c>
      <c r="E85" s="330" t="s">
        <v>743</v>
      </c>
      <c r="F85" s="331">
        <v>6</v>
      </c>
      <c r="G85" s="332">
        <v>0</v>
      </c>
      <c r="H85" s="332">
        <v>0</v>
      </c>
      <c r="I85" s="332">
        <v>0</v>
      </c>
      <c r="J85" s="332">
        <v>0</v>
      </c>
      <c r="K85" s="332">
        <v>0</v>
      </c>
      <c r="L85" s="332">
        <v>0</v>
      </c>
      <c r="M85" s="332">
        <v>0</v>
      </c>
      <c r="N85" s="332">
        <v>0</v>
      </c>
      <c r="O85" s="332">
        <v>0</v>
      </c>
      <c r="P85" s="300"/>
      <c r="Q85" s="284">
        <f t="shared" si="1"/>
        <v>0</v>
      </c>
      <c r="R85" s="3" t="str">
        <f>_xlfn.IFNA(VLOOKUP(Tabella1[[#This Row],[Nome]],'ROSE SQUADRE'!$N$3:$O$253,2,0),"")</f>
        <v/>
      </c>
      <c r="S85" s="312">
        <f>Tabella1[[#This Row],[Gf]]+Tabella1[[#This Row],[Rf]]</f>
        <v>0</v>
      </c>
      <c r="T85" s="193"/>
      <c r="U85" s="285" t="str">
        <f>IF(Tabella1[[#This Row],[N° FantaTit]]=1,Tabella1[[#This Row],[Voto]],"")</f>
        <v/>
      </c>
      <c r="V8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85" s="195"/>
      <c r="X85" s="193" t="str">
        <f>IF(Tabella1[[#This Row],[Best 11]]=1,Tabella1[[#This Row],[fanta voto]],"")</f>
        <v/>
      </c>
      <c r="Z85" s="193" t="str">
        <f>IF(Tabella1[[#This Row],[Best 11 MOD]]=1,Tabella1[[#This Row],[fanta voto]],"")</f>
        <v/>
      </c>
      <c r="AA85" t="str">
        <f>CONCATENATE(Tabella1[[#This Row],[GG]],Tabella1[[#This Row],[Nome]])</f>
        <v>1Masini</v>
      </c>
      <c r="AC85" t="str">
        <f>_xlfn.CONCAT(Tabella1[[#This Row],[Ruolo]],Tabella1[[#This Row],[Gs]])</f>
        <v>C0</v>
      </c>
    </row>
    <row r="86" spans="1:29" hidden="1" x14ac:dyDescent="0.3">
      <c r="A86" s="286">
        <v>46254</v>
      </c>
      <c r="B86" s="15">
        <v>1</v>
      </c>
      <c r="C86" s="283" t="s">
        <v>721</v>
      </c>
      <c r="D86" t="s">
        <v>162</v>
      </c>
      <c r="E86" t="s">
        <v>734</v>
      </c>
      <c r="F86" s="194">
        <v>5.5</v>
      </c>
      <c r="G86" s="328">
        <v>0</v>
      </c>
      <c r="H86" s="328">
        <v>0</v>
      </c>
      <c r="I86" s="328">
        <v>0</v>
      </c>
      <c r="J86" s="328">
        <v>0</v>
      </c>
      <c r="K86" s="328">
        <v>0</v>
      </c>
      <c r="L86" s="328">
        <v>0</v>
      </c>
      <c r="M86" s="328">
        <v>0</v>
      </c>
      <c r="N86" s="328">
        <v>0</v>
      </c>
      <c r="O86" s="328">
        <v>0</v>
      </c>
      <c r="P86" s="300"/>
      <c r="Q86" s="284">
        <f t="shared" si="1"/>
        <v>0</v>
      </c>
      <c r="R86" s="3" t="str">
        <f>_xlfn.IFNA(VLOOKUP(Tabella1[[#This Row],[Nome]],'ROSE SQUADRE'!$N$3:$O$253,2,0),"")</f>
        <v>TRICCHETRACHT</v>
      </c>
      <c r="S86" s="312">
        <f>Tabella1[[#This Row],[Gf]]+Tabella1[[#This Row],[Rf]]</f>
        <v>0</v>
      </c>
      <c r="T86" s="193"/>
      <c r="U86" s="285" t="str">
        <f>IF(Tabella1[[#This Row],[N° FantaTit]]=1,Tabella1[[#This Row],[Voto]],"")</f>
        <v/>
      </c>
      <c r="V8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86" s="195"/>
      <c r="X86" s="193" t="str">
        <f>IF(Tabella1[[#This Row],[Best 11]]=1,Tabella1[[#This Row],[fanta voto]],"")</f>
        <v/>
      </c>
      <c r="Z86" s="193" t="str">
        <f>IF(Tabella1[[#This Row],[Best 11 MOD]]=1,Tabella1[[#This Row],[fanta voto]],"")</f>
        <v/>
      </c>
      <c r="AA86" t="str">
        <f>CONCATENATE(Tabella1[[#This Row],[GG]],Tabella1[[#This Row],[Nome]])</f>
        <v>1Calò</v>
      </c>
      <c r="AC86" t="str">
        <f>_xlfn.CONCAT(Tabella1[[#This Row],[Ruolo]],Tabella1[[#This Row],[Gs]])</f>
        <v>C0</v>
      </c>
    </row>
    <row r="87" spans="1:29" hidden="1" x14ac:dyDescent="0.3">
      <c r="A87" s="286">
        <v>46254</v>
      </c>
      <c r="B87" s="15">
        <v>1</v>
      </c>
      <c r="C87" s="283" t="s">
        <v>721</v>
      </c>
      <c r="D87" s="330" t="s">
        <v>162</v>
      </c>
      <c r="E87" s="330" t="s">
        <v>735</v>
      </c>
      <c r="F87" s="331">
        <v>5.5</v>
      </c>
      <c r="G87" s="332">
        <v>0</v>
      </c>
      <c r="H87" s="332">
        <v>0</v>
      </c>
      <c r="I87" s="332">
        <v>0</v>
      </c>
      <c r="J87" s="332">
        <v>0</v>
      </c>
      <c r="K87" s="332">
        <v>0</v>
      </c>
      <c r="L87" s="332">
        <v>0</v>
      </c>
      <c r="M87" s="332">
        <v>0</v>
      </c>
      <c r="N87" s="332">
        <v>0</v>
      </c>
      <c r="O87" s="332">
        <v>0</v>
      </c>
      <c r="P87" s="300"/>
      <c r="Q87" s="284">
        <f t="shared" si="1"/>
        <v>0</v>
      </c>
      <c r="R87" s="3" t="str">
        <f>_xlfn.IFNA(VLOOKUP(Tabella1[[#This Row],[Nome]],'ROSE SQUADRE'!$N$3:$O$253,2,0),"")</f>
        <v/>
      </c>
      <c r="S87" s="312">
        <f>Tabella1[[#This Row],[Gf]]+Tabella1[[#This Row],[Rf]]</f>
        <v>0</v>
      </c>
      <c r="T87" s="193"/>
      <c r="U87" s="285" t="str">
        <f>IF(Tabella1[[#This Row],[N° FantaTit]]=1,Tabella1[[#This Row],[Voto]],"")</f>
        <v/>
      </c>
      <c r="V8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87" s="195"/>
      <c r="X87" s="193" t="str">
        <f>IF(Tabella1[[#This Row],[Best 11]]=1,Tabella1[[#This Row],[fanta voto]],"")</f>
        <v/>
      </c>
      <c r="Z87" s="193" t="str">
        <f>IF(Tabella1[[#This Row],[Best 11 MOD]]=1,Tabella1[[#This Row],[fanta voto]],"")</f>
        <v/>
      </c>
      <c r="AA87" t="str">
        <f>CONCATENATE(Tabella1[[#This Row],[GG]],Tabella1[[#This Row],[Nome]])</f>
        <v>1Cichella</v>
      </c>
      <c r="AC87" t="str">
        <f>_xlfn.CONCAT(Tabella1[[#This Row],[Ruolo]],Tabella1[[#This Row],[Gs]])</f>
        <v>C0</v>
      </c>
    </row>
    <row r="88" spans="1:29" hidden="1" x14ac:dyDescent="0.3">
      <c r="A88" s="286">
        <v>46254</v>
      </c>
      <c r="B88" s="15">
        <v>1</v>
      </c>
      <c r="C88" s="283" t="s">
        <v>721</v>
      </c>
      <c r="D88" t="s">
        <v>162</v>
      </c>
      <c r="E88" t="s">
        <v>744</v>
      </c>
      <c r="F88" s="194">
        <v>5</v>
      </c>
      <c r="G88" s="328">
        <v>0</v>
      </c>
      <c r="H88" s="328">
        <v>0</v>
      </c>
      <c r="I88" s="328">
        <v>0</v>
      </c>
      <c r="J88" s="328">
        <v>0</v>
      </c>
      <c r="K88" s="328">
        <v>0</v>
      </c>
      <c r="L88" s="328">
        <v>0</v>
      </c>
      <c r="M88" s="329">
        <v>1</v>
      </c>
      <c r="N88" s="328">
        <v>0</v>
      </c>
      <c r="O88" s="328">
        <v>0</v>
      </c>
      <c r="P88" s="300"/>
      <c r="Q88" s="284">
        <f t="shared" si="1"/>
        <v>0</v>
      </c>
      <c r="R88" s="3" t="str">
        <f>_xlfn.IFNA(VLOOKUP(Tabella1[[#This Row],[Nome]],'ROSE SQUADRE'!$N$3:$O$253,2,0),"")</f>
        <v/>
      </c>
      <c r="S88" s="312">
        <f>Tabella1[[#This Row],[Gf]]+Tabella1[[#This Row],[Rf]]</f>
        <v>0</v>
      </c>
      <c r="T88" s="193"/>
      <c r="U88" s="285" t="str">
        <f>IF(Tabella1[[#This Row],[N° FantaTit]]=1,Tabella1[[#This Row],[Voto]],"")</f>
        <v/>
      </c>
      <c r="V8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4.5</v>
      </c>
      <c r="W88" s="195"/>
      <c r="X88" s="193" t="str">
        <f>IF(Tabella1[[#This Row],[Best 11]]=1,Tabella1[[#This Row],[fanta voto]],"")</f>
        <v/>
      </c>
      <c r="Z88" s="193" t="str">
        <f>IF(Tabella1[[#This Row],[Best 11 MOD]]=1,Tabella1[[#This Row],[fanta voto]],"")</f>
        <v/>
      </c>
      <c r="AA88" t="str">
        <f>CONCATENATE(Tabella1[[#This Row],[GG]],Tabella1[[#This Row],[Nome]])</f>
        <v>1Schmid</v>
      </c>
      <c r="AC88" t="str">
        <f>_xlfn.CONCAT(Tabella1[[#This Row],[Ruolo]],Tabella1[[#This Row],[Gs]])</f>
        <v>C0</v>
      </c>
    </row>
    <row r="89" spans="1:29" hidden="1" x14ac:dyDescent="0.3">
      <c r="A89" s="286">
        <v>46254</v>
      </c>
      <c r="B89" s="15">
        <v>1</v>
      </c>
      <c r="C89" s="283" t="s">
        <v>721</v>
      </c>
      <c r="D89" s="330" t="s">
        <v>163</v>
      </c>
      <c r="E89" s="330" t="s">
        <v>591</v>
      </c>
      <c r="F89" s="331">
        <v>5.5</v>
      </c>
      <c r="G89" s="332">
        <v>0</v>
      </c>
      <c r="H89" s="332">
        <v>0</v>
      </c>
      <c r="I89" s="332">
        <v>0</v>
      </c>
      <c r="J89" s="332">
        <v>0</v>
      </c>
      <c r="K89" s="332">
        <v>0</v>
      </c>
      <c r="L89" s="332">
        <v>0</v>
      </c>
      <c r="M89" s="332">
        <v>0</v>
      </c>
      <c r="N89" s="332">
        <v>0</v>
      </c>
      <c r="O89" s="332">
        <v>0</v>
      </c>
      <c r="P89" s="300"/>
      <c r="Q89" s="284">
        <f t="shared" si="1"/>
        <v>0</v>
      </c>
      <c r="R89" s="3" t="str">
        <f>_xlfn.IFNA(VLOOKUP(Tabella1[[#This Row],[Nome]],'ROSE SQUADRE'!$N$3:$O$253,2,0),"")</f>
        <v>SESTO ASENSIO</v>
      </c>
      <c r="S89" s="312">
        <f>Tabella1[[#This Row],[Gf]]+Tabella1[[#This Row],[Rf]]</f>
        <v>0</v>
      </c>
      <c r="T89" s="193"/>
      <c r="U89" s="285" t="str">
        <f>IF(Tabella1[[#This Row],[N° FantaTit]]=1,Tabella1[[#This Row],[Voto]],"")</f>
        <v/>
      </c>
      <c r="V8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89" s="195"/>
      <c r="X89" s="193" t="str">
        <f>IF(Tabella1[[#This Row],[Best 11]]=1,Tabella1[[#This Row],[fanta voto]],"")</f>
        <v/>
      </c>
      <c r="Z89" s="193" t="str">
        <f>IF(Tabella1[[#This Row],[Best 11 MOD]]=1,Tabella1[[#This Row],[fanta voto]],"")</f>
        <v/>
      </c>
      <c r="AA89" t="str">
        <f>CONCATENATE(Tabella1[[#This Row],[GG]],Tabella1[[#This Row],[Nome]])</f>
        <v>1Raimondo</v>
      </c>
      <c r="AC89" t="str">
        <f>_xlfn.CONCAT(Tabella1[[#This Row],[Ruolo]],Tabella1[[#This Row],[Gs]])</f>
        <v>A0</v>
      </c>
    </row>
    <row r="90" spans="1:29" hidden="1" x14ac:dyDescent="0.3">
      <c r="A90" s="286">
        <v>46254</v>
      </c>
      <c r="B90" s="15">
        <v>1</v>
      </c>
      <c r="C90" s="283" t="s">
        <v>721</v>
      </c>
      <c r="D90" t="s">
        <v>163</v>
      </c>
      <c r="E90" t="s">
        <v>747</v>
      </c>
      <c r="F90" s="194">
        <v>6</v>
      </c>
      <c r="G90" s="328">
        <v>0</v>
      </c>
      <c r="H90" s="328">
        <v>0</v>
      </c>
      <c r="I90" s="328">
        <v>0</v>
      </c>
      <c r="J90" s="328">
        <v>0</v>
      </c>
      <c r="K90" s="328">
        <v>0</v>
      </c>
      <c r="L90" s="328">
        <v>0</v>
      </c>
      <c r="M90" s="328">
        <v>0</v>
      </c>
      <c r="N90" s="328">
        <v>0</v>
      </c>
      <c r="O90" s="328">
        <v>0</v>
      </c>
      <c r="P90" s="300"/>
      <c r="Q90" s="284">
        <f t="shared" si="1"/>
        <v>0</v>
      </c>
      <c r="R90" s="3" t="str">
        <f>_xlfn.IFNA(VLOOKUP(Tabella1[[#This Row],[Nome]],'ROSE SQUADRE'!$N$3:$O$253,2,0),"")</f>
        <v>PARTIZAN DEGRADO</v>
      </c>
      <c r="S90" s="312">
        <f>Tabella1[[#This Row],[Gf]]+Tabella1[[#This Row],[Rf]]</f>
        <v>0</v>
      </c>
      <c r="T90" s="193"/>
      <c r="U90" s="285" t="str">
        <f>IF(Tabella1[[#This Row],[N° FantaTit]]=1,Tabella1[[#This Row],[Voto]],"")</f>
        <v/>
      </c>
      <c r="V9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90" s="195"/>
      <c r="X90" s="193" t="str">
        <f>IF(Tabella1[[#This Row],[Best 11]]=1,Tabella1[[#This Row],[fanta voto]],"")</f>
        <v/>
      </c>
      <c r="Z90" s="193" t="str">
        <f>IF(Tabella1[[#This Row],[Best 11 MOD]]=1,Tabella1[[#This Row],[fanta voto]],"")</f>
        <v/>
      </c>
      <c r="AA90" t="str">
        <f>CONCATENATE(Tabella1[[#This Row],[GG]],Tabella1[[#This Row],[Nome]])</f>
        <v>1Kvernadze</v>
      </c>
      <c r="AC90" t="str">
        <f>_xlfn.CONCAT(Tabella1[[#This Row],[Ruolo]],Tabella1[[#This Row],[Gs]])</f>
        <v>A0</v>
      </c>
    </row>
    <row r="91" spans="1:29" hidden="1" x14ac:dyDescent="0.3">
      <c r="A91" s="286">
        <v>46254</v>
      </c>
      <c r="B91" s="15">
        <v>1</v>
      </c>
      <c r="C91" s="283" t="s">
        <v>749</v>
      </c>
      <c r="D91" t="s">
        <v>5</v>
      </c>
      <c r="E91" t="s">
        <v>748</v>
      </c>
      <c r="F91" s="194">
        <v>6</v>
      </c>
      <c r="G91" s="328">
        <v>0</v>
      </c>
      <c r="H91" s="329">
        <v>2</v>
      </c>
      <c r="I91" s="328">
        <v>0</v>
      </c>
      <c r="J91" s="328">
        <v>0</v>
      </c>
      <c r="K91" s="328">
        <v>0</v>
      </c>
      <c r="L91" s="328">
        <v>0</v>
      </c>
      <c r="M91" s="328">
        <v>0</v>
      </c>
      <c r="N91" s="328">
        <v>0</v>
      </c>
      <c r="O91" s="328">
        <v>0</v>
      </c>
      <c r="P91" s="300"/>
      <c r="Q91" s="284">
        <f t="shared" si="1"/>
        <v>0</v>
      </c>
      <c r="R91" s="3" t="str">
        <f>_xlfn.IFNA(VLOOKUP(Tabella1[[#This Row],[Nome]],'ROSE SQUADRE'!$N$3:$O$253,2,0),"")</f>
        <v>AS PIPPERIA</v>
      </c>
      <c r="S91" s="312">
        <f>Tabella1[[#This Row],[Gf]]+Tabella1[[#This Row],[Rf]]</f>
        <v>0</v>
      </c>
      <c r="T91" s="193"/>
      <c r="U91" s="285" t="str">
        <f>IF(Tabella1[[#This Row],[N° FantaTit]]=1,Tabella1[[#This Row],[Voto]],"")</f>
        <v/>
      </c>
      <c r="V9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</v>
      </c>
      <c r="W91" s="195"/>
      <c r="X91" s="193" t="str">
        <f>IF(Tabella1[[#This Row],[Best 11]]=1,Tabella1[[#This Row],[fanta voto]],"")</f>
        <v/>
      </c>
      <c r="Z91" s="193" t="str">
        <f>IF(Tabella1[[#This Row],[Best 11 MOD]]=1,Tabella1[[#This Row],[fanta voto]],"")</f>
        <v/>
      </c>
      <c r="AA91" t="str">
        <f>CONCATENATE(Tabella1[[#This Row],[GG]],Tabella1[[#This Row],[Nome]])</f>
        <v>1Bijlow</v>
      </c>
      <c r="AC91" t="str">
        <f>_xlfn.CONCAT(Tabella1[[#This Row],[Ruolo]],Tabella1[[#This Row],[Gs]])</f>
        <v>P2</v>
      </c>
    </row>
    <row r="92" spans="1:29" hidden="1" x14ac:dyDescent="0.3">
      <c r="A92" s="286">
        <v>46254</v>
      </c>
      <c r="B92" s="15">
        <v>1</v>
      </c>
      <c r="C92" s="283" t="s">
        <v>749</v>
      </c>
      <c r="D92" s="330" t="s">
        <v>161</v>
      </c>
      <c r="E92" s="330" t="s">
        <v>213</v>
      </c>
      <c r="F92" s="331">
        <v>5.5</v>
      </c>
      <c r="G92" s="332">
        <v>0</v>
      </c>
      <c r="H92" s="332">
        <v>0</v>
      </c>
      <c r="I92" s="332">
        <v>0</v>
      </c>
      <c r="J92" s="332">
        <v>0</v>
      </c>
      <c r="K92" s="332">
        <v>0</v>
      </c>
      <c r="L92" s="332">
        <v>0</v>
      </c>
      <c r="M92" s="332">
        <v>0</v>
      </c>
      <c r="N92" s="332">
        <v>0</v>
      </c>
      <c r="O92" s="332">
        <v>0</v>
      </c>
      <c r="P92" s="300"/>
      <c r="Q92" s="284">
        <f t="shared" si="1"/>
        <v>0</v>
      </c>
      <c r="R92" s="3" t="str">
        <f>_xlfn.IFNA(VLOOKUP(Tabella1[[#This Row],[Nome]],'ROSE SQUADRE'!$N$3:$O$253,2,0),"")</f>
        <v>AC ASPARAGHESE</v>
      </c>
      <c r="S92" s="312">
        <f>Tabella1[[#This Row],[Gf]]+Tabella1[[#This Row],[Rf]]</f>
        <v>0</v>
      </c>
      <c r="T92" s="193"/>
      <c r="U92" s="285" t="str">
        <f>IF(Tabella1[[#This Row],[N° FantaTit]]=1,Tabella1[[#This Row],[Voto]],"")</f>
        <v/>
      </c>
      <c r="V9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92" s="195"/>
      <c r="X92" s="193" t="str">
        <f>IF(Tabella1[[#This Row],[Best 11]]=1,Tabella1[[#This Row],[fanta voto]],"")</f>
        <v/>
      </c>
      <c r="Z92" s="193" t="str">
        <f>IF(Tabella1[[#This Row],[Best 11 MOD]]=1,Tabella1[[#This Row],[fanta voto]],"")</f>
        <v/>
      </c>
      <c r="AA92" t="str">
        <f>CONCATENATE(Tabella1[[#This Row],[GG]],Tabella1[[#This Row],[Nome]])</f>
        <v>1Vasquez</v>
      </c>
      <c r="AC92" t="str">
        <f>_xlfn.CONCAT(Tabella1[[#This Row],[Ruolo]],Tabella1[[#This Row],[Gs]])</f>
        <v>D0</v>
      </c>
    </row>
    <row r="93" spans="1:29" hidden="1" x14ac:dyDescent="0.3">
      <c r="A93" s="286">
        <v>46254</v>
      </c>
      <c r="B93" s="15">
        <v>1</v>
      </c>
      <c r="C93" s="283" t="s">
        <v>749</v>
      </c>
      <c r="D93" t="s">
        <v>161</v>
      </c>
      <c r="E93" t="s">
        <v>756</v>
      </c>
      <c r="F93" s="194">
        <v>7</v>
      </c>
      <c r="G93" s="328">
        <v>0</v>
      </c>
      <c r="H93" s="328">
        <v>0</v>
      </c>
      <c r="I93" s="328">
        <v>0</v>
      </c>
      <c r="J93" s="328">
        <v>0</v>
      </c>
      <c r="K93" s="328">
        <v>0</v>
      </c>
      <c r="L93" s="328">
        <v>0</v>
      </c>
      <c r="M93" s="329">
        <v>1</v>
      </c>
      <c r="N93" s="328">
        <v>0</v>
      </c>
      <c r="O93" s="328">
        <v>0</v>
      </c>
      <c r="P93" s="300"/>
      <c r="Q93" s="284">
        <f t="shared" si="1"/>
        <v>0</v>
      </c>
      <c r="R93" s="3" t="str">
        <f>_xlfn.IFNA(VLOOKUP(Tabella1[[#This Row],[Nome]],'ROSE SQUADRE'!$N$3:$O$253,2,0),"")</f>
        <v>SHARK</v>
      </c>
      <c r="S93" s="312">
        <f>Tabella1[[#This Row],[Gf]]+Tabella1[[#This Row],[Rf]]</f>
        <v>0</v>
      </c>
      <c r="T93" s="193"/>
      <c r="U93" s="285" t="str">
        <f>IF(Tabella1[[#This Row],[N° FantaTit]]=1,Tabella1[[#This Row],[Voto]],"")</f>
        <v/>
      </c>
      <c r="V9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93" s="195"/>
      <c r="X93" s="193" t="str">
        <f>IF(Tabella1[[#This Row],[Best 11]]=1,Tabella1[[#This Row],[fanta voto]],"")</f>
        <v/>
      </c>
      <c r="Z93" s="193" t="str">
        <f>IF(Tabella1[[#This Row],[Best 11 MOD]]=1,Tabella1[[#This Row],[fanta voto]],"")</f>
        <v/>
      </c>
      <c r="AA93" t="str">
        <f>CONCATENATE(Tabella1[[#This Row],[GG]],Tabella1[[#This Row],[Nome]])</f>
        <v>1Ostigard</v>
      </c>
      <c r="AC93" t="str">
        <f>_xlfn.CONCAT(Tabella1[[#This Row],[Ruolo]],Tabella1[[#This Row],[Gs]])</f>
        <v>D0</v>
      </c>
    </row>
    <row r="94" spans="1:29" hidden="1" x14ac:dyDescent="0.3">
      <c r="A94" s="286">
        <v>46254</v>
      </c>
      <c r="B94" s="15">
        <v>1</v>
      </c>
      <c r="C94" s="283" t="s">
        <v>749</v>
      </c>
      <c r="D94" s="330" t="s">
        <v>161</v>
      </c>
      <c r="E94" s="330" t="s">
        <v>752</v>
      </c>
      <c r="F94" s="331">
        <v>6</v>
      </c>
      <c r="G94" s="332">
        <v>0</v>
      </c>
      <c r="H94" s="332">
        <v>0</v>
      </c>
      <c r="I94" s="332">
        <v>0</v>
      </c>
      <c r="J94" s="332">
        <v>0</v>
      </c>
      <c r="K94" s="332">
        <v>0</v>
      </c>
      <c r="L94" s="332">
        <v>0</v>
      </c>
      <c r="M94" s="332">
        <v>0</v>
      </c>
      <c r="N94" s="332">
        <v>0</v>
      </c>
      <c r="O94" s="332">
        <v>0</v>
      </c>
      <c r="P94" s="300"/>
      <c r="Q94" s="284">
        <f t="shared" si="1"/>
        <v>0</v>
      </c>
      <c r="R94" s="3" t="str">
        <f>_xlfn.IFNA(VLOOKUP(Tabella1[[#This Row],[Nome]],'ROSE SQUADRE'!$N$3:$O$253,2,0),"")</f>
        <v>AS PIPPERIA</v>
      </c>
      <c r="S94" s="312">
        <f>Tabella1[[#This Row],[Gf]]+Tabella1[[#This Row],[Rf]]</f>
        <v>0</v>
      </c>
      <c r="T94" s="193"/>
      <c r="U94" s="285" t="str">
        <f>IF(Tabella1[[#This Row],[N° FantaTit]]=1,Tabella1[[#This Row],[Voto]],"")</f>
        <v/>
      </c>
      <c r="V9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94" s="195"/>
      <c r="X94" s="193" t="str">
        <f>IF(Tabella1[[#This Row],[Best 11]]=1,Tabella1[[#This Row],[fanta voto]],"")</f>
        <v/>
      </c>
      <c r="Z94" s="193" t="str">
        <f>IF(Tabella1[[#This Row],[Best 11 MOD]]=1,Tabella1[[#This Row],[fanta voto]],"")</f>
        <v/>
      </c>
      <c r="AA94" t="str">
        <f>CONCATENATE(Tabella1[[#This Row],[GG]],Tabella1[[#This Row],[Nome]])</f>
        <v>1Marcandalli</v>
      </c>
      <c r="AC94" t="str">
        <f>_xlfn.CONCAT(Tabella1[[#This Row],[Ruolo]],Tabella1[[#This Row],[Gs]])</f>
        <v>D0</v>
      </c>
    </row>
    <row r="95" spans="1:29" hidden="1" x14ac:dyDescent="0.3">
      <c r="A95" s="286">
        <v>46254</v>
      </c>
      <c r="B95" s="15">
        <v>1</v>
      </c>
      <c r="C95" s="283" t="s">
        <v>749</v>
      </c>
      <c r="D95" t="s">
        <v>161</v>
      </c>
      <c r="E95" t="s">
        <v>755</v>
      </c>
      <c r="F95" s="194">
        <v>6</v>
      </c>
      <c r="G95" s="328">
        <v>0</v>
      </c>
      <c r="H95" s="328">
        <v>0</v>
      </c>
      <c r="I95" s="328">
        <v>0</v>
      </c>
      <c r="J95" s="328">
        <v>0</v>
      </c>
      <c r="K95" s="328">
        <v>0</v>
      </c>
      <c r="L95" s="328">
        <v>0</v>
      </c>
      <c r="M95" s="328">
        <v>0</v>
      </c>
      <c r="N95" s="328">
        <v>0</v>
      </c>
      <c r="O95" s="328">
        <v>0</v>
      </c>
      <c r="P95" s="300"/>
      <c r="Q95" s="284">
        <f t="shared" si="1"/>
        <v>0</v>
      </c>
      <c r="R95" s="3" t="str">
        <f>_xlfn.IFNA(VLOOKUP(Tabella1[[#This Row],[Nome]],'ROSE SQUADRE'!$N$3:$O$253,2,0),"")</f>
        <v/>
      </c>
      <c r="S95" s="312">
        <f>Tabella1[[#This Row],[Gf]]+Tabella1[[#This Row],[Rf]]</f>
        <v>0</v>
      </c>
      <c r="T95" s="193"/>
      <c r="U95" s="285" t="str">
        <f>IF(Tabella1[[#This Row],[N° FantaTit]]=1,Tabella1[[#This Row],[Voto]],"")</f>
        <v/>
      </c>
      <c r="V9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95" s="195"/>
      <c r="X95" s="193" t="str">
        <f>IF(Tabella1[[#This Row],[Best 11]]=1,Tabella1[[#This Row],[fanta voto]],"")</f>
        <v/>
      </c>
      <c r="Z95" s="193" t="str">
        <f>IF(Tabella1[[#This Row],[Best 11 MOD]]=1,Tabella1[[#This Row],[fanta voto]],"")</f>
        <v/>
      </c>
      <c r="AA95" t="str">
        <f>CONCATENATE(Tabella1[[#This Row],[GG]],Tabella1[[#This Row],[Nome]])</f>
        <v>1Norton-Cuffy</v>
      </c>
      <c r="AC95" t="str">
        <f>_xlfn.CONCAT(Tabella1[[#This Row],[Ruolo]],Tabella1[[#This Row],[Gs]])</f>
        <v>D0</v>
      </c>
    </row>
    <row r="96" spans="1:29" hidden="1" x14ac:dyDescent="0.3">
      <c r="A96" s="286">
        <v>46254</v>
      </c>
      <c r="B96" s="15">
        <v>1</v>
      </c>
      <c r="C96" s="283" t="s">
        <v>749</v>
      </c>
      <c r="D96" s="330" t="s">
        <v>161</v>
      </c>
      <c r="E96" s="330" t="s">
        <v>757</v>
      </c>
      <c r="F96" s="331">
        <v>4.5</v>
      </c>
      <c r="G96" s="332">
        <v>0</v>
      </c>
      <c r="H96" s="332">
        <v>0</v>
      </c>
      <c r="I96" s="332">
        <v>0</v>
      </c>
      <c r="J96" s="332">
        <v>0</v>
      </c>
      <c r="K96" s="332">
        <v>0</v>
      </c>
      <c r="L96" s="332">
        <v>0</v>
      </c>
      <c r="M96" s="332">
        <v>0</v>
      </c>
      <c r="N96" s="332">
        <v>0</v>
      </c>
      <c r="O96" s="332">
        <v>0</v>
      </c>
      <c r="P96" s="300"/>
      <c r="Q96" s="284">
        <f t="shared" si="1"/>
        <v>0</v>
      </c>
      <c r="R96" s="3" t="str">
        <f>_xlfn.IFNA(VLOOKUP(Tabella1[[#This Row],[Nome]],'ROSE SQUADRE'!$N$3:$O$253,2,0),"")</f>
        <v/>
      </c>
      <c r="S96" s="312">
        <f>Tabella1[[#This Row],[Gf]]+Tabella1[[#This Row],[Rf]]</f>
        <v>0</v>
      </c>
      <c r="T96" s="193"/>
      <c r="U96" s="285" t="str">
        <f>IF(Tabella1[[#This Row],[N° FantaTit]]=1,Tabella1[[#This Row],[Voto]],"")</f>
        <v/>
      </c>
      <c r="V9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4.5</v>
      </c>
      <c r="W96" s="195"/>
      <c r="X96" s="193" t="str">
        <f>IF(Tabella1[[#This Row],[Best 11]]=1,Tabella1[[#This Row],[fanta voto]],"")</f>
        <v/>
      </c>
      <c r="Z96" s="193" t="str">
        <f>IF(Tabella1[[#This Row],[Best 11 MOD]]=1,Tabella1[[#This Row],[fanta voto]],"")</f>
        <v/>
      </c>
      <c r="AA96" t="str">
        <f>CONCATENATE(Tabella1[[#This Row],[GG]],Tabella1[[#This Row],[Nome]])</f>
        <v>1Otoa</v>
      </c>
      <c r="AC96" t="str">
        <f>_xlfn.CONCAT(Tabella1[[#This Row],[Ruolo]],Tabella1[[#This Row],[Gs]])</f>
        <v>D0</v>
      </c>
    </row>
    <row r="97" spans="1:29" hidden="1" x14ac:dyDescent="0.3">
      <c r="A97" s="286">
        <v>46254</v>
      </c>
      <c r="B97" s="15">
        <v>1</v>
      </c>
      <c r="C97" s="283" t="s">
        <v>749</v>
      </c>
      <c r="D97" t="s">
        <v>162</v>
      </c>
      <c r="E97" t="s">
        <v>206</v>
      </c>
      <c r="F97" s="194">
        <v>6</v>
      </c>
      <c r="G97" s="328">
        <v>0</v>
      </c>
      <c r="H97" s="328">
        <v>0</v>
      </c>
      <c r="I97" s="328">
        <v>0</v>
      </c>
      <c r="J97" s="328">
        <v>0</v>
      </c>
      <c r="K97" s="328">
        <v>0</v>
      </c>
      <c r="L97" s="328">
        <v>0</v>
      </c>
      <c r="M97" s="328">
        <v>0</v>
      </c>
      <c r="N97" s="328">
        <v>0</v>
      </c>
      <c r="O97" s="328">
        <v>0</v>
      </c>
      <c r="P97" s="300"/>
      <c r="Q97" s="284">
        <f t="shared" si="1"/>
        <v>0</v>
      </c>
      <c r="R97" s="3" t="str">
        <f>_xlfn.IFNA(VLOOKUP(Tabella1[[#This Row],[Nome]],'ROSE SQUADRE'!$N$3:$O$253,2,0),"")</f>
        <v/>
      </c>
      <c r="S97" s="312">
        <f>Tabella1[[#This Row],[Gf]]+Tabella1[[#This Row],[Rf]]</f>
        <v>0</v>
      </c>
      <c r="T97" s="193"/>
      <c r="U97" s="285" t="str">
        <f>IF(Tabella1[[#This Row],[N° FantaTit]]=1,Tabella1[[#This Row],[Voto]],"")</f>
        <v/>
      </c>
      <c r="V9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97" s="195"/>
      <c r="X97" s="193" t="str">
        <f>IF(Tabella1[[#This Row],[Best 11]]=1,Tabella1[[#This Row],[fanta voto]],"")</f>
        <v/>
      </c>
      <c r="Z97" s="193" t="str">
        <f>IF(Tabella1[[#This Row],[Best 11 MOD]]=1,Tabella1[[#This Row],[fanta voto]],"")</f>
        <v/>
      </c>
      <c r="AA97" t="str">
        <f>CONCATENATE(Tabella1[[#This Row],[GG]],Tabella1[[#This Row],[Nome]])</f>
        <v>1Messias</v>
      </c>
      <c r="AC97" t="str">
        <f>_xlfn.CONCAT(Tabella1[[#This Row],[Ruolo]],Tabella1[[#This Row],[Gs]])</f>
        <v>C0</v>
      </c>
    </row>
    <row r="98" spans="1:29" hidden="1" x14ac:dyDescent="0.3">
      <c r="A98" s="286">
        <v>46254</v>
      </c>
      <c r="B98" s="15">
        <v>1</v>
      </c>
      <c r="C98" s="283" t="s">
        <v>749</v>
      </c>
      <c r="D98" s="330" t="s">
        <v>162</v>
      </c>
      <c r="E98" s="330" t="s">
        <v>448</v>
      </c>
      <c r="F98" s="331">
        <v>6</v>
      </c>
      <c r="G98" s="332">
        <v>0</v>
      </c>
      <c r="H98" s="332">
        <v>0</v>
      </c>
      <c r="I98" s="332">
        <v>0</v>
      </c>
      <c r="J98" s="332">
        <v>0</v>
      </c>
      <c r="K98" s="332">
        <v>0</v>
      </c>
      <c r="L98" s="332">
        <v>0</v>
      </c>
      <c r="M98" s="332">
        <v>0</v>
      </c>
      <c r="N98" s="332">
        <v>0</v>
      </c>
      <c r="O98" s="332">
        <v>0</v>
      </c>
      <c r="P98" s="300"/>
      <c r="Q98" s="284">
        <f t="shared" si="1"/>
        <v>0</v>
      </c>
      <c r="R98" s="3" t="str">
        <f>_xlfn.IFNA(VLOOKUP(Tabella1[[#This Row],[Nome]],'ROSE SQUADRE'!$N$3:$O$253,2,0),"")</f>
        <v>SAN GRIA</v>
      </c>
      <c r="S98" s="312">
        <f>Tabella1[[#This Row],[Gf]]+Tabella1[[#This Row],[Rf]]</f>
        <v>0</v>
      </c>
      <c r="T98" s="193"/>
      <c r="U98" s="285" t="str">
        <f>IF(Tabella1[[#This Row],[N° FantaTit]]=1,Tabella1[[#This Row],[Voto]],"")</f>
        <v/>
      </c>
      <c r="V9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98" s="195"/>
      <c r="X98" s="193" t="str">
        <f>IF(Tabella1[[#This Row],[Best 11]]=1,Tabella1[[#This Row],[fanta voto]],"")</f>
        <v/>
      </c>
      <c r="Z98" s="193" t="str">
        <f>IF(Tabella1[[#This Row],[Best 11 MOD]]=1,Tabella1[[#This Row],[fanta voto]],"")</f>
        <v/>
      </c>
      <c r="AA98" t="str">
        <f>CONCATENATE(Tabella1[[#This Row],[GG]],Tabella1[[#This Row],[Nome]])</f>
        <v>1Frendrup</v>
      </c>
      <c r="AC98" t="str">
        <f>_xlfn.CONCAT(Tabella1[[#This Row],[Ruolo]],Tabella1[[#This Row],[Gs]])</f>
        <v>C0</v>
      </c>
    </row>
    <row r="99" spans="1:29" hidden="1" x14ac:dyDescent="0.3">
      <c r="A99" s="286">
        <v>46254</v>
      </c>
      <c r="B99" s="15">
        <v>1</v>
      </c>
      <c r="C99" s="283" t="s">
        <v>749</v>
      </c>
      <c r="D99" t="s">
        <v>162</v>
      </c>
      <c r="E99" t="s">
        <v>320</v>
      </c>
      <c r="F99" s="194">
        <v>6</v>
      </c>
      <c r="G99" s="328">
        <v>0</v>
      </c>
      <c r="H99" s="328">
        <v>0</v>
      </c>
      <c r="I99" s="328">
        <v>0</v>
      </c>
      <c r="J99" s="328">
        <v>0</v>
      </c>
      <c r="K99" s="328">
        <v>0</v>
      </c>
      <c r="L99" s="328">
        <v>0</v>
      </c>
      <c r="M99" s="328">
        <v>0</v>
      </c>
      <c r="N99" s="328">
        <v>0</v>
      </c>
      <c r="O99" s="328">
        <v>0</v>
      </c>
      <c r="P99" s="300"/>
      <c r="Q99" s="284">
        <f t="shared" si="1"/>
        <v>0</v>
      </c>
      <c r="R99" s="3" t="str">
        <f>_xlfn.IFNA(VLOOKUP(Tabella1[[#This Row],[Nome]],'ROSE SQUADRE'!$N$3:$O$253,2,0),"")</f>
        <v>PARTIZAN DEGRADO</v>
      </c>
      <c r="S99" s="312">
        <f>Tabella1[[#This Row],[Gf]]+Tabella1[[#This Row],[Rf]]</f>
        <v>0</v>
      </c>
      <c r="T99" s="193"/>
      <c r="U99" s="285" t="str">
        <f>IF(Tabella1[[#This Row],[N° FantaTit]]=1,Tabella1[[#This Row],[Voto]],"")</f>
        <v/>
      </c>
      <c r="V9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99" s="195"/>
      <c r="X99" s="193" t="str">
        <f>IF(Tabella1[[#This Row],[Best 11]]=1,Tabella1[[#This Row],[fanta voto]],"")</f>
        <v/>
      </c>
      <c r="Z99" s="193" t="str">
        <f>IF(Tabella1[[#This Row],[Best 11 MOD]]=1,Tabella1[[#This Row],[fanta voto]],"")</f>
        <v/>
      </c>
      <c r="AA99" t="str">
        <f>CONCATENATE(Tabella1[[#This Row],[GG]],Tabella1[[#This Row],[Nome]])</f>
        <v>1Baldanzi</v>
      </c>
      <c r="AC99" t="str">
        <f>_xlfn.CONCAT(Tabella1[[#This Row],[Ruolo]],Tabella1[[#This Row],[Gs]])</f>
        <v>C0</v>
      </c>
    </row>
    <row r="100" spans="1:29" hidden="1" x14ac:dyDescent="0.3">
      <c r="A100" s="286">
        <v>46254</v>
      </c>
      <c r="B100" s="15">
        <v>1</v>
      </c>
      <c r="C100" s="283" t="s">
        <v>749</v>
      </c>
      <c r="D100" s="330" t="s">
        <v>162</v>
      </c>
      <c r="E100" s="330" t="s">
        <v>761</v>
      </c>
      <c r="F100" s="331">
        <v>5.5</v>
      </c>
      <c r="G100" s="332">
        <v>0</v>
      </c>
      <c r="H100" s="332">
        <v>0</v>
      </c>
      <c r="I100" s="332">
        <v>0</v>
      </c>
      <c r="J100" s="332">
        <v>0</v>
      </c>
      <c r="K100" s="332">
        <v>0</v>
      </c>
      <c r="L100" s="332">
        <v>0</v>
      </c>
      <c r="M100" s="332">
        <v>0</v>
      </c>
      <c r="N100" s="332">
        <v>0</v>
      </c>
      <c r="O100" s="332">
        <v>0</v>
      </c>
      <c r="P100" s="300"/>
      <c r="Q100" s="284">
        <f t="shared" si="1"/>
        <v>0</v>
      </c>
      <c r="R100" s="3" t="str">
        <f>_xlfn.IFNA(VLOOKUP(Tabella1[[#This Row],[Nome]],'ROSE SQUADRE'!$N$3:$O$253,2,0),"")</f>
        <v/>
      </c>
      <c r="S100" s="312">
        <f>Tabella1[[#This Row],[Gf]]+Tabella1[[#This Row],[Rf]]</f>
        <v>0</v>
      </c>
      <c r="T100" s="193"/>
      <c r="U100" s="285" t="str">
        <f>IF(Tabella1[[#This Row],[N° FantaTit]]=1,Tabella1[[#This Row],[Voto]],"")</f>
        <v/>
      </c>
      <c r="V10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00" s="195"/>
      <c r="X100" s="193" t="str">
        <f>IF(Tabella1[[#This Row],[Best 11]]=1,Tabella1[[#This Row],[fanta voto]],"")</f>
        <v/>
      </c>
      <c r="Z100" s="193" t="str">
        <f>IF(Tabella1[[#This Row],[Best 11 MOD]]=1,Tabella1[[#This Row],[fanta voto]],"")</f>
        <v/>
      </c>
      <c r="AA100" t="str">
        <f>CONCATENATE(Tabella1[[#This Row],[GG]],Tabella1[[#This Row],[Nome]])</f>
        <v>1Sow</v>
      </c>
      <c r="AC100" t="str">
        <f>_xlfn.CONCAT(Tabella1[[#This Row],[Ruolo]],Tabella1[[#This Row],[Gs]])</f>
        <v>C0</v>
      </c>
    </row>
    <row r="101" spans="1:29" hidden="1" x14ac:dyDescent="0.3">
      <c r="A101" s="286">
        <v>46254</v>
      </c>
      <c r="B101" s="15">
        <v>1</v>
      </c>
      <c r="C101" s="283" t="s">
        <v>749</v>
      </c>
      <c r="D101" t="s">
        <v>162</v>
      </c>
      <c r="E101" t="s">
        <v>588</v>
      </c>
      <c r="F101" s="194">
        <v>5.5</v>
      </c>
      <c r="G101" s="328">
        <v>0</v>
      </c>
      <c r="H101" s="328">
        <v>0</v>
      </c>
      <c r="I101" s="328">
        <v>0</v>
      </c>
      <c r="J101" s="328">
        <v>0</v>
      </c>
      <c r="K101" s="328">
        <v>0</v>
      </c>
      <c r="L101" s="328">
        <v>0</v>
      </c>
      <c r="M101" s="328">
        <v>0</v>
      </c>
      <c r="N101" s="328">
        <v>0</v>
      </c>
      <c r="O101" s="328">
        <v>0</v>
      </c>
      <c r="P101" s="300"/>
      <c r="Q101" s="284">
        <f t="shared" si="1"/>
        <v>0</v>
      </c>
      <c r="R101" s="3" t="str">
        <f>_xlfn.IFNA(VLOOKUP(Tabella1[[#This Row],[Nome]],'ROSE SQUADRE'!$N$3:$O$253,2,0),"")</f>
        <v/>
      </c>
      <c r="S101" s="312">
        <f>Tabella1[[#This Row],[Gf]]+Tabella1[[#This Row],[Rf]]</f>
        <v>0</v>
      </c>
      <c r="T101" s="193"/>
      <c r="U101" s="285" t="str">
        <f>IF(Tabella1[[#This Row],[N° FantaTit]]=1,Tabella1[[#This Row],[Voto]],"")</f>
        <v/>
      </c>
      <c r="V10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01" s="195"/>
      <c r="X101" s="193" t="str">
        <f>IF(Tabella1[[#This Row],[Best 11]]=1,Tabella1[[#This Row],[fanta voto]],"")</f>
        <v/>
      </c>
      <c r="Z101" s="193" t="str">
        <f>IF(Tabella1[[#This Row],[Best 11 MOD]]=1,Tabella1[[#This Row],[fanta voto]],"")</f>
        <v/>
      </c>
      <c r="AA101" t="str">
        <f>CONCATENATE(Tabella1[[#This Row],[GG]],Tabella1[[#This Row],[Nome]])</f>
        <v>1Ellertsson</v>
      </c>
      <c r="AC101" t="str">
        <f>_xlfn.CONCAT(Tabella1[[#This Row],[Ruolo]],Tabella1[[#This Row],[Gs]])</f>
        <v>C0</v>
      </c>
    </row>
    <row r="102" spans="1:29" hidden="1" x14ac:dyDescent="0.3">
      <c r="A102" s="286">
        <v>46254</v>
      </c>
      <c r="B102" s="15">
        <v>1</v>
      </c>
      <c r="C102" s="283" t="s">
        <v>749</v>
      </c>
      <c r="D102" s="330" t="s">
        <v>162</v>
      </c>
      <c r="E102" s="330" t="s">
        <v>759</v>
      </c>
      <c r="F102" s="331">
        <v>6.5</v>
      </c>
      <c r="G102" s="332">
        <v>0</v>
      </c>
      <c r="H102" s="332">
        <v>0</v>
      </c>
      <c r="I102" s="332">
        <v>0</v>
      </c>
      <c r="J102" s="332">
        <v>0</v>
      </c>
      <c r="K102" s="332">
        <v>0</v>
      </c>
      <c r="L102" s="332">
        <v>0</v>
      </c>
      <c r="M102" s="332">
        <v>0</v>
      </c>
      <c r="N102" s="332">
        <v>0</v>
      </c>
      <c r="O102" s="332">
        <v>0</v>
      </c>
      <c r="P102" s="300"/>
      <c r="Q102" s="284">
        <f t="shared" si="1"/>
        <v>0</v>
      </c>
      <c r="R102" s="3" t="str">
        <f>_xlfn.IFNA(VLOOKUP(Tabella1[[#This Row],[Nome]],'ROSE SQUADRE'!$N$3:$O$253,2,0),"")</f>
        <v/>
      </c>
      <c r="S102" s="312">
        <f>Tabella1[[#This Row],[Gf]]+Tabella1[[#This Row],[Rf]]</f>
        <v>0</v>
      </c>
      <c r="T102" s="193"/>
      <c r="U102" s="285" t="str">
        <f>IF(Tabella1[[#This Row],[N° FantaTit]]=1,Tabella1[[#This Row],[Voto]],"")</f>
        <v/>
      </c>
      <c r="V10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02" s="195"/>
      <c r="X102" s="193" t="str">
        <f>IF(Tabella1[[#This Row],[Best 11]]=1,Tabella1[[#This Row],[fanta voto]],"")</f>
        <v/>
      </c>
      <c r="Z102" s="193" t="str">
        <f>IF(Tabella1[[#This Row],[Best 11 MOD]]=1,Tabella1[[#This Row],[fanta voto]],"")</f>
        <v/>
      </c>
      <c r="AA102" t="str">
        <f>CONCATENATE(Tabella1[[#This Row],[GG]],Tabella1[[#This Row],[Nome]])</f>
        <v>1Amorim</v>
      </c>
      <c r="AC102" t="str">
        <f>_xlfn.CONCAT(Tabella1[[#This Row],[Ruolo]],Tabella1[[#This Row],[Gs]])</f>
        <v>C0</v>
      </c>
    </row>
    <row r="103" spans="1:29" hidden="1" x14ac:dyDescent="0.3">
      <c r="A103" s="286">
        <v>46254</v>
      </c>
      <c r="B103" s="15">
        <v>1</v>
      </c>
      <c r="C103" s="283" t="s">
        <v>749</v>
      </c>
      <c r="D103" t="s">
        <v>162</v>
      </c>
      <c r="E103" t="s">
        <v>760</v>
      </c>
      <c r="F103" s="194">
        <v>5.5</v>
      </c>
      <c r="G103" s="328">
        <v>0</v>
      </c>
      <c r="H103" s="328">
        <v>0</v>
      </c>
      <c r="I103" s="328">
        <v>0</v>
      </c>
      <c r="J103" s="328">
        <v>0</v>
      </c>
      <c r="K103" s="328">
        <v>0</v>
      </c>
      <c r="L103" s="328">
        <v>0</v>
      </c>
      <c r="M103" s="328">
        <v>0</v>
      </c>
      <c r="N103" s="328">
        <v>0</v>
      </c>
      <c r="O103" s="328">
        <v>0</v>
      </c>
      <c r="P103" s="300"/>
      <c r="Q103" s="284">
        <f t="shared" si="1"/>
        <v>0</v>
      </c>
      <c r="R103" s="3" t="str">
        <f>_xlfn.IFNA(VLOOKUP(Tabella1[[#This Row],[Nome]],'ROSE SQUADRE'!$N$3:$O$253,2,0),"")</f>
        <v/>
      </c>
      <c r="S103" s="312">
        <f>Tabella1[[#This Row],[Gf]]+Tabella1[[#This Row],[Rf]]</f>
        <v>0</v>
      </c>
      <c r="T103" s="193"/>
      <c r="U103" s="285" t="str">
        <f>IF(Tabella1[[#This Row],[N° FantaTit]]=1,Tabella1[[#This Row],[Voto]],"")</f>
        <v/>
      </c>
      <c r="V10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03" s="195"/>
      <c r="X103" s="193" t="str">
        <f>IF(Tabella1[[#This Row],[Best 11]]=1,Tabella1[[#This Row],[fanta voto]],"")</f>
        <v/>
      </c>
      <c r="Z103" s="193" t="str">
        <f>IF(Tabella1[[#This Row],[Best 11 MOD]]=1,Tabella1[[#This Row],[fanta voto]],"")</f>
        <v/>
      </c>
      <c r="AA103" t="str">
        <f>CONCATENATE(Tabella1[[#This Row],[GG]],Tabella1[[#This Row],[Nome]])</f>
        <v>1Meichtry</v>
      </c>
      <c r="AC103" t="str">
        <f>_xlfn.CONCAT(Tabella1[[#This Row],[Ruolo]],Tabella1[[#This Row],[Gs]])</f>
        <v>C0</v>
      </c>
    </row>
    <row r="104" spans="1:29" hidden="1" x14ac:dyDescent="0.3">
      <c r="A104" s="286">
        <v>46254</v>
      </c>
      <c r="B104" s="15">
        <v>1</v>
      </c>
      <c r="C104" s="283" t="s">
        <v>749</v>
      </c>
      <c r="D104" s="330" t="s">
        <v>163</v>
      </c>
      <c r="E104" s="330" t="s">
        <v>227</v>
      </c>
      <c r="F104" s="331">
        <v>6</v>
      </c>
      <c r="G104" s="332">
        <v>0</v>
      </c>
      <c r="H104" s="332">
        <v>0</v>
      </c>
      <c r="I104" s="332">
        <v>0</v>
      </c>
      <c r="J104" s="332">
        <v>0</v>
      </c>
      <c r="K104" s="332">
        <v>0</v>
      </c>
      <c r="L104" s="332">
        <v>0</v>
      </c>
      <c r="M104" s="332">
        <v>0</v>
      </c>
      <c r="N104" s="332">
        <v>0</v>
      </c>
      <c r="O104" s="332">
        <v>0</v>
      </c>
      <c r="P104" s="300"/>
      <c r="Q104" s="284">
        <f t="shared" si="1"/>
        <v>0</v>
      </c>
      <c r="R104" s="3" t="str">
        <f>_xlfn.IFNA(VLOOKUP(Tabella1[[#This Row],[Nome]],'ROSE SQUADRE'!$N$3:$O$253,2,0),"")</f>
        <v>PARTIZAN DEGRADO</v>
      </c>
      <c r="S104" s="312">
        <f>Tabella1[[#This Row],[Gf]]+Tabella1[[#This Row],[Rf]]</f>
        <v>0</v>
      </c>
      <c r="T104" s="193"/>
      <c r="U104" s="285" t="str">
        <f>IF(Tabella1[[#This Row],[N° FantaTit]]=1,Tabella1[[#This Row],[Voto]],"")</f>
        <v/>
      </c>
      <c r="V10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04" s="195"/>
      <c r="X104" s="193" t="str">
        <f>IF(Tabella1[[#This Row],[Best 11]]=1,Tabella1[[#This Row],[fanta voto]],"")</f>
        <v/>
      </c>
      <c r="Z104" s="193" t="str">
        <f>IF(Tabella1[[#This Row],[Best 11 MOD]]=1,Tabella1[[#This Row],[fanta voto]],"")</f>
        <v/>
      </c>
      <c r="AA104" t="str">
        <f>CONCATENATE(Tabella1[[#This Row],[GG]],Tabella1[[#This Row],[Nome]])</f>
        <v>1Colombo</v>
      </c>
      <c r="AC104" t="str">
        <f>_xlfn.CONCAT(Tabella1[[#This Row],[Ruolo]],Tabella1[[#This Row],[Gs]])</f>
        <v>A0</v>
      </c>
    </row>
    <row r="105" spans="1:29" hidden="1" x14ac:dyDescent="0.3">
      <c r="A105" s="286">
        <v>46254</v>
      </c>
      <c r="B105" s="15">
        <v>1</v>
      </c>
      <c r="C105" s="283" t="s">
        <v>749</v>
      </c>
      <c r="D105" t="s">
        <v>163</v>
      </c>
      <c r="E105" t="s">
        <v>529</v>
      </c>
      <c r="F105" s="194">
        <v>5.5</v>
      </c>
      <c r="G105" s="328">
        <v>0</v>
      </c>
      <c r="H105" s="328">
        <v>0</v>
      </c>
      <c r="I105" s="328">
        <v>0</v>
      </c>
      <c r="J105" s="328">
        <v>0</v>
      </c>
      <c r="K105" s="328">
        <v>0</v>
      </c>
      <c r="L105" s="328">
        <v>0</v>
      </c>
      <c r="M105" s="328">
        <v>0</v>
      </c>
      <c r="N105" s="328">
        <v>0</v>
      </c>
      <c r="O105" s="328">
        <v>0</v>
      </c>
      <c r="P105" s="300"/>
      <c r="Q105" s="284">
        <f t="shared" si="1"/>
        <v>0</v>
      </c>
      <c r="R105" s="3" t="str">
        <f>_xlfn.IFNA(VLOOKUP(Tabella1[[#This Row],[Nome]],'ROSE SQUADRE'!$N$3:$O$253,2,0),"")</f>
        <v/>
      </c>
      <c r="S105" s="312">
        <f>Tabella1[[#This Row],[Gf]]+Tabella1[[#This Row],[Rf]]</f>
        <v>0</v>
      </c>
      <c r="T105" s="193"/>
      <c r="U105" s="285" t="str">
        <f>IF(Tabella1[[#This Row],[N° FantaTit]]=1,Tabella1[[#This Row],[Voto]],"")</f>
        <v/>
      </c>
      <c r="V10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05" s="195"/>
      <c r="X105" s="193" t="str">
        <f>IF(Tabella1[[#This Row],[Best 11]]=1,Tabella1[[#This Row],[fanta voto]],"")</f>
        <v/>
      </c>
      <c r="Z105" s="193" t="str">
        <f>IF(Tabella1[[#This Row],[Best 11 MOD]]=1,Tabella1[[#This Row],[fanta voto]],"")</f>
        <v/>
      </c>
      <c r="AA105" t="str">
        <f>CONCATENATE(Tabella1[[#This Row],[GG]],Tabella1[[#This Row],[Nome]])</f>
        <v>1Vitinha O.</v>
      </c>
      <c r="AC105" t="str">
        <f>_xlfn.CONCAT(Tabella1[[#This Row],[Ruolo]],Tabella1[[#This Row],[Gs]])</f>
        <v>A0</v>
      </c>
    </row>
    <row r="106" spans="1:29" hidden="1" x14ac:dyDescent="0.3">
      <c r="A106" s="286">
        <v>46254</v>
      </c>
      <c r="B106" s="15">
        <v>1</v>
      </c>
      <c r="C106" s="283" t="s">
        <v>766</v>
      </c>
      <c r="D106" s="330" t="s">
        <v>5</v>
      </c>
      <c r="E106" s="330" t="s">
        <v>767</v>
      </c>
      <c r="F106" s="331">
        <v>6</v>
      </c>
      <c r="G106" s="332">
        <v>0</v>
      </c>
      <c r="H106" s="333">
        <v>1</v>
      </c>
      <c r="I106" s="332">
        <v>0</v>
      </c>
      <c r="J106" s="332">
        <v>0</v>
      </c>
      <c r="K106" s="332">
        <v>0</v>
      </c>
      <c r="L106" s="332">
        <v>0</v>
      </c>
      <c r="M106" s="332">
        <v>0</v>
      </c>
      <c r="N106" s="332">
        <v>0</v>
      </c>
      <c r="O106" s="332">
        <v>0</v>
      </c>
      <c r="P106" s="300"/>
      <c r="Q106" s="284">
        <f t="shared" ref="Q106:Q154" si="2">IF(AC106="P0",1,0)</f>
        <v>0</v>
      </c>
      <c r="R106" s="3" t="str">
        <f>_xlfn.IFNA(VLOOKUP(Tabella1[[#This Row],[Nome]],'ROSE SQUADRE'!$N$3:$O$253,2,0),"")</f>
        <v>FC INTERNAZIOANALE</v>
      </c>
      <c r="S106" s="312">
        <f>Tabella1[[#This Row],[Gf]]+Tabella1[[#This Row],[Rf]]</f>
        <v>0</v>
      </c>
      <c r="T106" s="193"/>
      <c r="U106" s="285" t="str">
        <f>IF(Tabella1[[#This Row],[N° FantaTit]]=1,Tabella1[[#This Row],[Voto]],"")</f>
        <v/>
      </c>
      <c r="V10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106" s="195"/>
      <c r="X106" s="193" t="str">
        <f>IF(Tabella1[[#This Row],[Best 11]]=1,Tabella1[[#This Row],[fanta voto]],"")</f>
        <v/>
      </c>
      <c r="Z106" s="193" t="str">
        <f>IF(Tabella1[[#This Row],[Best 11 MOD]]=1,Tabella1[[#This Row],[fanta voto]],"")</f>
        <v/>
      </c>
      <c r="AA106" t="str">
        <f>CONCATENATE(Tabella1[[#This Row],[GG]],Tabella1[[#This Row],[Nome]])</f>
        <v>1Martinez Jo.</v>
      </c>
      <c r="AC106" t="str">
        <f>_xlfn.CONCAT(Tabella1[[#This Row],[Ruolo]],Tabella1[[#This Row],[Gs]])</f>
        <v>P1</v>
      </c>
    </row>
    <row r="107" spans="1:29" hidden="1" x14ac:dyDescent="0.3">
      <c r="A107" s="286">
        <v>46254</v>
      </c>
      <c r="B107" s="15">
        <v>1</v>
      </c>
      <c r="C107" s="283" t="s">
        <v>766</v>
      </c>
      <c r="D107" t="s">
        <v>161</v>
      </c>
      <c r="E107" t="s">
        <v>275</v>
      </c>
      <c r="F107" s="194">
        <v>6</v>
      </c>
      <c r="G107" s="328">
        <v>0</v>
      </c>
      <c r="H107" s="328">
        <v>0</v>
      </c>
      <c r="I107" s="328">
        <v>0</v>
      </c>
      <c r="J107" s="328">
        <v>0</v>
      </c>
      <c r="K107" s="328">
        <v>0</v>
      </c>
      <c r="L107" s="328">
        <v>0</v>
      </c>
      <c r="M107" s="328">
        <v>0</v>
      </c>
      <c r="N107" s="328">
        <v>0</v>
      </c>
      <c r="O107" s="328">
        <v>0</v>
      </c>
      <c r="P107" s="300"/>
      <c r="Q107" s="284">
        <f t="shared" si="2"/>
        <v>0</v>
      </c>
      <c r="R107" s="3" t="str">
        <f>_xlfn.IFNA(VLOOKUP(Tabella1[[#This Row],[Nome]],'ROSE SQUADRE'!$N$3:$O$253,2,0),"")</f>
        <v>TRICCHETRACHT</v>
      </c>
      <c r="S107" s="312">
        <f>Tabella1[[#This Row],[Gf]]+Tabella1[[#This Row],[Rf]]</f>
        <v>0</v>
      </c>
      <c r="T107" s="193"/>
      <c r="U107" s="285" t="str">
        <f>IF(Tabella1[[#This Row],[N° FantaTit]]=1,Tabella1[[#This Row],[Voto]],"")</f>
        <v/>
      </c>
      <c r="V10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07" s="195"/>
      <c r="X107" s="193" t="str">
        <f>IF(Tabella1[[#This Row],[Best 11]]=1,Tabella1[[#This Row],[fanta voto]],"")</f>
        <v/>
      </c>
      <c r="Z107" s="193" t="str">
        <f>IF(Tabella1[[#This Row],[Best 11 MOD]]=1,Tabella1[[#This Row],[fanta voto]],"")</f>
        <v/>
      </c>
      <c r="AA107" t="str">
        <f>CONCATENATE(Tabella1[[#This Row],[GG]],Tabella1[[#This Row],[Nome]])</f>
        <v>1Dimarco</v>
      </c>
      <c r="AC107" t="str">
        <f>_xlfn.CONCAT(Tabella1[[#This Row],[Ruolo]],Tabella1[[#This Row],[Gs]])</f>
        <v>D0</v>
      </c>
    </row>
    <row r="108" spans="1:29" hidden="1" x14ac:dyDescent="0.3">
      <c r="A108" s="286">
        <v>46254</v>
      </c>
      <c r="B108" s="15">
        <v>1</v>
      </c>
      <c r="C108" s="283" t="s">
        <v>766</v>
      </c>
      <c r="D108" s="330" t="s">
        <v>161</v>
      </c>
      <c r="E108" s="330" t="s">
        <v>243</v>
      </c>
      <c r="F108" s="331">
        <v>6</v>
      </c>
      <c r="G108" s="332">
        <v>0</v>
      </c>
      <c r="H108" s="332">
        <v>0</v>
      </c>
      <c r="I108" s="332">
        <v>0</v>
      </c>
      <c r="J108" s="332">
        <v>0</v>
      </c>
      <c r="K108" s="332">
        <v>0</v>
      </c>
      <c r="L108" s="332">
        <v>0</v>
      </c>
      <c r="M108" s="332">
        <v>0</v>
      </c>
      <c r="N108" s="332">
        <v>0</v>
      </c>
      <c r="O108" s="332">
        <v>0</v>
      </c>
      <c r="P108" s="300"/>
      <c r="Q108" s="284">
        <f t="shared" si="2"/>
        <v>0</v>
      </c>
      <c r="R108" s="3" t="str">
        <f>_xlfn.IFNA(VLOOKUP(Tabella1[[#This Row],[Nome]],'ROSE SQUADRE'!$N$3:$O$253,2,0),"")</f>
        <v>SAN GRIA</v>
      </c>
      <c r="S108" s="312">
        <f>Tabella1[[#This Row],[Gf]]+Tabella1[[#This Row],[Rf]]</f>
        <v>0</v>
      </c>
      <c r="T108" s="193"/>
      <c r="U108" s="285" t="str">
        <f>IF(Tabella1[[#This Row],[N° FantaTit]]=1,Tabella1[[#This Row],[Voto]],"")</f>
        <v/>
      </c>
      <c r="V10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08" s="195"/>
      <c r="X108" s="193" t="str">
        <f>IF(Tabella1[[#This Row],[Best 11]]=1,Tabella1[[#This Row],[fanta voto]],"")</f>
        <v/>
      </c>
      <c r="Z108" s="193" t="str">
        <f>IF(Tabella1[[#This Row],[Best 11 MOD]]=1,Tabella1[[#This Row],[fanta voto]],"")</f>
        <v/>
      </c>
      <c r="AA108" t="str">
        <f>CONCATENATE(Tabella1[[#This Row],[GG]],Tabella1[[#This Row],[Nome]])</f>
        <v>1Bastoni</v>
      </c>
      <c r="AC108" t="str">
        <f>_xlfn.CONCAT(Tabella1[[#This Row],[Ruolo]],Tabella1[[#This Row],[Gs]])</f>
        <v>D0</v>
      </c>
    </row>
    <row r="109" spans="1:29" hidden="1" x14ac:dyDescent="0.3">
      <c r="A109" s="286">
        <v>46254</v>
      </c>
      <c r="B109" s="15">
        <v>1</v>
      </c>
      <c r="C109" s="283" t="s">
        <v>766</v>
      </c>
      <c r="D109" t="s">
        <v>161</v>
      </c>
      <c r="E109" t="s">
        <v>770</v>
      </c>
      <c r="F109" s="194">
        <v>6</v>
      </c>
      <c r="G109" s="328">
        <v>0</v>
      </c>
      <c r="H109" s="328">
        <v>0</v>
      </c>
      <c r="I109" s="328">
        <v>0</v>
      </c>
      <c r="J109" s="328">
        <v>0</v>
      </c>
      <c r="K109" s="328">
        <v>0</v>
      </c>
      <c r="L109" s="328">
        <v>0</v>
      </c>
      <c r="M109" s="328">
        <v>0</v>
      </c>
      <c r="N109" s="328">
        <v>0</v>
      </c>
      <c r="O109" s="328">
        <v>0</v>
      </c>
      <c r="P109" s="300"/>
      <c r="Q109" s="284">
        <f t="shared" si="2"/>
        <v>0</v>
      </c>
      <c r="R109" s="3" t="str">
        <f>_xlfn.IFNA(VLOOKUP(Tabella1[[#This Row],[Nome]],'ROSE SQUADRE'!$N$3:$O$253,2,0),"")</f>
        <v>SHARK</v>
      </c>
      <c r="S109" s="312">
        <f>Tabella1[[#This Row],[Gf]]+Tabella1[[#This Row],[Rf]]</f>
        <v>0</v>
      </c>
      <c r="T109" s="193"/>
      <c r="U109" s="285" t="str">
        <f>IF(Tabella1[[#This Row],[N° FantaTit]]=1,Tabella1[[#This Row],[Voto]],"")</f>
        <v/>
      </c>
      <c r="V10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09" s="195"/>
      <c r="X109" s="193" t="str">
        <f>IF(Tabella1[[#This Row],[Best 11]]=1,Tabella1[[#This Row],[fanta voto]],"")</f>
        <v/>
      </c>
      <c r="Z109" s="193" t="str">
        <f>IF(Tabella1[[#This Row],[Best 11 MOD]]=1,Tabella1[[#This Row],[fanta voto]],"")</f>
        <v/>
      </c>
      <c r="AA109" t="str">
        <f>CONCATENATE(Tabella1[[#This Row],[GG]],Tabella1[[#This Row],[Nome]])</f>
        <v>1Stones</v>
      </c>
      <c r="AC109" t="str">
        <f>_xlfn.CONCAT(Tabella1[[#This Row],[Ruolo]],Tabella1[[#This Row],[Gs]])</f>
        <v>D0</v>
      </c>
    </row>
    <row r="110" spans="1:29" hidden="1" x14ac:dyDescent="0.3">
      <c r="A110" s="286">
        <v>46254</v>
      </c>
      <c r="B110" s="15">
        <v>1</v>
      </c>
      <c r="C110" s="283" t="s">
        <v>766</v>
      </c>
      <c r="D110" s="330" t="s">
        <v>161</v>
      </c>
      <c r="E110" s="330" t="s">
        <v>768</v>
      </c>
      <c r="F110" s="331">
        <v>5.5</v>
      </c>
      <c r="G110" s="332">
        <v>0</v>
      </c>
      <c r="H110" s="332">
        <v>0</v>
      </c>
      <c r="I110" s="332">
        <v>0</v>
      </c>
      <c r="J110" s="332">
        <v>0</v>
      </c>
      <c r="K110" s="332">
        <v>0</v>
      </c>
      <c r="L110" s="332">
        <v>0</v>
      </c>
      <c r="M110" s="332">
        <v>0</v>
      </c>
      <c r="N110" s="332">
        <v>0</v>
      </c>
      <c r="O110" s="332">
        <v>0</v>
      </c>
      <c r="P110" s="300"/>
      <c r="Q110" s="284">
        <f t="shared" si="2"/>
        <v>0</v>
      </c>
      <c r="R110" s="3" t="str">
        <f>_xlfn.IFNA(VLOOKUP(Tabella1[[#This Row],[Nome]],'ROSE SQUADRE'!$N$3:$O$253,2,0),"")</f>
        <v>SHARK</v>
      </c>
      <c r="S110" s="312">
        <f>Tabella1[[#This Row],[Gf]]+Tabella1[[#This Row],[Rf]]</f>
        <v>0</v>
      </c>
      <c r="T110" s="193"/>
      <c r="U110" s="285" t="str">
        <f>IF(Tabella1[[#This Row],[N° FantaTit]]=1,Tabella1[[#This Row],[Voto]],"")</f>
        <v/>
      </c>
      <c r="V11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10" s="195"/>
      <c r="X110" s="193" t="str">
        <f>IF(Tabella1[[#This Row],[Best 11]]=1,Tabella1[[#This Row],[fanta voto]],"")</f>
        <v/>
      </c>
      <c r="Z110" s="193" t="str">
        <f>IF(Tabella1[[#This Row],[Best 11 MOD]]=1,Tabella1[[#This Row],[fanta voto]],"")</f>
        <v/>
      </c>
      <c r="AA110" t="str">
        <f>CONCATENATE(Tabella1[[#This Row],[GG]],Tabella1[[#This Row],[Nome]])</f>
        <v>1Akanji</v>
      </c>
      <c r="AC110" t="str">
        <f>_xlfn.CONCAT(Tabella1[[#This Row],[Ruolo]],Tabella1[[#This Row],[Gs]])</f>
        <v>D0</v>
      </c>
    </row>
    <row r="111" spans="1:29" hidden="1" x14ac:dyDescent="0.3">
      <c r="A111" s="286">
        <v>46254</v>
      </c>
      <c r="B111" s="15">
        <v>1</v>
      </c>
      <c r="C111" s="283" t="s">
        <v>766</v>
      </c>
      <c r="D111" t="s">
        <v>161</v>
      </c>
      <c r="E111" t="s">
        <v>451</v>
      </c>
      <c r="F111" s="194">
        <v>7</v>
      </c>
      <c r="G111" s="329">
        <v>1</v>
      </c>
      <c r="H111" s="328">
        <v>0</v>
      </c>
      <c r="I111" s="328">
        <v>0</v>
      </c>
      <c r="J111" s="328">
        <v>0</v>
      </c>
      <c r="K111" s="328">
        <v>0</v>
      </c>
      <c r="L111" s="328">
        <v>0</v>
      </c>
      <c r="M111" s="328">
        <v>0</v>
      </c>
      <c r="N111" s="328">
        <v>0</v>
      </c>
      <c r="O111" s="328">
        <v>0</v>
      </c>
      <c r="P111" s="300"/>
      <c r="Q111" s="284">
        <f t="shared" si="2"/>
        <v>0</v>
      </c>
      <c r="R111" s="3" t="str">
        <f>_xlfn.IFNA(VLOOKUP(Tabella1[[#This Row],[Nome]],'ROSE SQUADRE'!$N$3:$O$253,2,0),"")</f>
        <v>ATL. IMPROVVISATO</v>
      </c>
      <c r="S111" s="312">
        <f>Tabella1[[#This Row],[Gf]]+Tabella1[[#This Row],[Rf]]</f>
        <v>1</v>
      </c>
      <c r="T111" s="193"/>
      <c r="U111" s="285" t="str">
        <f>IF(Tabella1[[#This Row],[N° FantaTit]]=1,Tabella1[[#This Row],[Voto]],"")</f>
        <v/>
      </c>
      <c r="V11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111" s="195"/>
      <c r="X111" s="193" t="str">
        <f>IF(Tabella1[[#This Row],[Best 11]]=1,Tabella1[[#This Row],[fanta voto]],"")</f>
        <v/>
      </c>
      <c r="Z111" s="193" t="str">
        <f>IF(Tabella1[[#This Row],[Best 11 MOD]]=1,Tabella1[[#This Row],[fanta voto]],"")</f>
        <v/>
      </c>
      <c r="AA111" t="str">
        <f>CONCATENATE(Tabella1[[#This Row],[GG]],Tabella1[[#This Row],[Nome]])</f>
        <v>1Bisseck</v>
      </c>
      <c r="AC111" t="str">
        <f>_xlfn.CONCAT(Tabella1[[#This Row],[Ruolo]],Tabella1[[#This Row],[Gs]])</f>
        <v>D0</v>
      </c>
    </row>
    <row r="112" spans="1:29" hidden="1" x14ac:dyDescent="0.3">
      <c r="A112" s="286">
        <v>46254</v>
      </c>
      <c r="B112" s="15">
        <v>1</v>
      </c>
      <c r="C112" s="283" t="s">
        <v>766</v>
      </c>
      <c r="D112" s="330" t="s">
        <v>162</v>
      </c>
      <c r="E112" s="330" t="s">
        <v>775</v>
      </c>
      <c r="F112" s="331">
        <v>7</v>
      </c>
      <c r="G112" s="333">
        <v>1</v>
      </c>
      <c r="H112" s="332">
        <v>0</v>
      </c>
      <c r="I112" s="332">
        <v>0</v>
      </c>
      <c r="J112" s="332">
        <v>0</v>
      </c>
      <c r="K112" s="332">
        <v>0</v>
      </c>
      <c r="L112" s="332">
        <v>0</v>
      </c>
      <c r="M112" s="332">
        <v>0</v>
      </c>
      <c r="N112" s="332">
        <v>0</v>
      </c>
      <c r="O112" s="332">
        <v>0</v>
      </c>
      <c r="P112" s="300"/>
      <c r="Q112" s="284">
        <f t="shared" si="2"/>
        <v>0</v>
      </c>
      <c r="R112" s="3" t="str">
        <f>_xlfn.IFNA(VLOOKUP(Tabella1[[#This Row],[Nome]],'ROSE SQUADRE'!$N$3:$O$253,2,0),"")</f>
        <v>ATL. IMPROVVISATO</v>
      </c>
      <c r="S112" s="312">
        <f>Tabella1[[#This Row],[Gf]]+Tabella1[[#This Row],[Rf]]</f>
        <v>1</v>
      </c>
      <c r="T112" s="193"/>
      <c r="U112" s="285" t="str">
        <f>IF(Tabella1[[#This Row],[N° FantaTit]]=1,Tabella1[[#This Row],[Voto]],"")</f>
        <v/>
      </c>
      <c r="V11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112" s="195"/>
      <c r="X112" s="193" t="str">
        <f>IF(Tabella1[[#This Row],[Best 11]]=1,Tabella1[[#This Row],[fanta voto]],"")</f>
        <v/>
      </c>
      <c r="Z112" s="193" t="str">
        <f>IF(Tabella1[[#This Row],[Best 11 MOD]]=1,Tabella1[[#This Row],[fanta voto]],"")</f>
        <v/>
      </c>
      <c r="AA112" t="str">
        <f>CONCATENATE(Tabella1[[#This Row],[GG]],Tabella1[[#This Row],[Nome]])</f>
        <v>1Zielinski</v>
      </c>
      <c r="AC112" t="str">
        <f>_xlfn.CONCAT(Tabella1[[#This Row],[Ruolo]],Tabella1[[#This Row],[Gs]])</f>
        <v>C0</v>
      </c>
    </row>
    <row r="113" spans="1:29" hidden="1" x14ac:dyDescent="0.3">
      <c r="A113" s="286">
        <v>46254</v>
      </c>
      <c r="B113" s="15">
        <v>1</v>
      </c>
      <c r="C113" s="283" t="s">
        <v>766</v>
      </c>
      <c r="D113" t="s">
        <v>162</v>
      </c>
      <c r="E113" t="s">
        <v>276</v>
      </c>
      <c r="F113" s="194">
        <v>6</v>
      </c>
      <c r="G113" s="328">
        <v>0</v>
      </c>
      <c r="H113" s="328">
        <v>0</v>
      </c>
      <c r="I113" s="328">
        <v>0</v>
      </c>
      <c r="J113" s="328">
        <v>0</v>
      </c>
      <c r="K113" s="328">
        <v>0</v>
      </c>
      <c r="L113" s="328">
        <v>0</v>
      </c>
      <c r="M113" s="328">
        <v>0</v>
      </c>
      <c r="N113" s="328">
        <v>0</v>
      </c>
      <c r="O113" s="328">
        <v>0</v>
      </c>
      <c r="P113" s="300"/>
      <c r="Q113" s="284">
        <f t="shared" si="2"/>
        <v>0</v>
      </c>
      <c r="R113" s="3" t="str">
        <f>_xlfn.IFNA(VLOOKUP(Tabella1[[#This Row],[Nome]],'ROSE SQUADRE'!$N$3:$O$253,2,0),"")</f>
        <v>PESCICULINI</v>
      </c>
      <c r="S113" s="312">
        <f>Tabella1[[#This Row],[Gf]]+Tabella1[[#This Row],[Rf]]</f>
        <v>0</v>
      </c>
      <c r="T113" s="193"/>
      <c r="U113" s="285" t="str">
        <f>IF(Tabella1[[#This Row],[N° FantaTit]]=1,Tabella1[[#This Row],[Voto]],"")</f>
        <v/>
      </c>
      <c r="V11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13" s="195"/>
      <c r="X113" s="193" t="str">
        <f>IF(Tabella1[[#This Row],[Best 11]]=1,Tabella1[[#This Row],[fanta voto]],"")</f>
        <v/>
      </c>
      <c r="Z113" s="193" t="str">
        <f>IF(Tabella1[[#This Row],[Best 11 MOD]]=1,Tabella1[[#This Row],[fanta voto]],"")</f>
        <v/>
      </c>
      <c r="AA113" t="str">
        <f>CONCATENATE(Tabella1[[#This Row],[GG]],Tabella1[[#This Row],[Nome]])</f>
        <v>1Barella</v>
      </c>
      <c r="AC113" t="str">
        <f>_xlfn.CONCAT(Tabella1[[#This Row],[Ruolo]],Tabella1[[#This Row],[Gs]])</f>
        <v>C0</v>
      </c>
    </row>
    <row r="114" spans="1:29" hidden="1" x14ac:dyDescent="0.3">
      <c r="A114" s="286">
        <v>46254</v>
      </c>
      <c r="B114" s="15">
        <v>1</v>
      </c>
      <c r="C114" s="283" t="s">
        <v>766</v>
      </c>
      <c r="D114" s="330" t="s">
        <v>162</v>
      </c>
      <c r="E114" s="330" t="s">
        <v>218</v>
      </c>
      <c r="F114" s="331">
        <v>7</v>
      </c>
      <c r="G114" s="333">
        <v>1</v>
      </c>
      <c r="H114" s="332">
        <v>0</v>
      </c>
      <c r="I114" s="332">
        <v>0</v>
      </c>
      <c r="J114" s="332">
        <v>0</v>
      </c>
      <c r="K114" s="332">
        <v>0</v>
      </c>
      <c r="L114" s="332">
        <v>0</v>
      </c>
      <c r="M114" s="333">
        <v>1</v>
      </c>
      <c r="N114" s="332">
        <v>0</v>
      </c>
      <c r="O114" s="332">
        <v>0</v>
      </c>
      <c r="P114" s="300"/>
      <c r="Q114" s="284">
        <f t="shared" si="2"/>
        <v>0</v>
      </c>
      <c r="R114" s="3" t="str">
        <f>_xlfn.IFNA(VLOOKUP(Tabella1[[#This Row],[Nome]],'ROSE SQUADRE'!$N$3:$O$253,2,0),"")</f>
        <v>TRICCHETRACHT</v>
      </c>
      <c r="S114" s="312">
        <f>Tabella1[[#This Row],[Gf]]+Tabella1[[#This Row],[Rf]]</f>
        <v>1</v>
      </c>
      <c r="T114" s="193"/>
      <c r="U114" s="285" t="str">
        <f>IF(Tabella1[[#This Row],[N° FantaTit]]=1,Tabella1[[#This Row],[Voto]],"")</f>
        <v/>
      </c>
      <c r="V11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9.5</v>
      </c>
      <c r="W114" s="195"/>
      <c r="X114" s="193" t="str">
        <f>IF(Tabella1[[#This Row],[Best 11]]=1,Tabella1[[#This Row],[fanta voto]],"")</f>
        <v/>
      </c>
      <c r="Z114" s="193" t="str">
        <f>IF(Tabella1[[#This Row],[Best 11 MOD]]=1,Tabella1[[#This Row],[fanta voto]],"")</f>
        <v/>
      </c>
      <c r="AA114" t="str">
        <f>CONCATENATE(Tabella1[[#This Row],[GG]],Tabella1[[#This Row],[Nome]])</f>
        <v>1Calhanoglu</v>
      </c>
      <c r="AC114" t="str">
        <f>_xlfn.CONCAT(Tabella1[[#This Row],[Ruolo]],Tabella1[[#This Row],[Gs]])</f>
        <v>C0</v>
      </c>
    </row>
    <row r="115" spans="1:29" hidden="1" x14ac:dyDescent="0.3">
      <c r="A115" s="286">
        <v>46254</v>
      </c>
      <c r="B115" s="15">
        <v>1</v>
      </c>
      <c r="C115" s="283" t="s">
        <v>766</v>
      </c>
      <c r="D115" t="s">
        <v>162</v>
      </c>
      <c r="E115" t="s">
        <v>772</v>
      </c>
      <c r="F115" s="194">
        <v>6</v>
      </c>
      <c r="G115" s="328">
        <v>0</v>
      </c>
      <c r="H115" s="328">
        <v>0</v>
      </c>
      <c r="I115" s="328">
        <v>0</v>
      </c>
      <c r="J115" s="328">
        <v>0</v>
      </c>
      <c r="K115" s="328">
        <v>0</v>
      </c>
      <c r="L115" s="328">
        <v>0</v>
      </c>
      <c r="M115" s="328">
        <v>0</v>
      </c>
      <c r="N115" s="328">
        <v>0</v>
      </c>
      <c r="O115" s="328">
        <v>0</v>
      </c>
      <c r="P115" s="300"/>
      <c r="Q115" s="284">
        <f t="shared" si="2"/>
        <v>0</v>
      </c>
      <c r="R115" s="3" t="str">
        <f>_xlfn.IFNA(VLOOKUP(Tabella1[[#This Row],[Nome]],'ROSE SQUADRE'!$N$3:$O$253,2,0),"")</f>
        <v/>
      </c>
      <c r="S115" s="312">
        <f>Tabella1[[#This Row],[Gf]]+Tabella1[[#This Row],[Rf]]</f>
        <v>0</v>
      </c>
      <c r="T115" s="193"/>
      <c r="U115" s="285" t="str">
        <f>IF(Tabella1[[#This Row],[N° FantaTit]]=1,Tabella1[[#This Row],[Voto]],"")</f>
        <v/>
      </c>
      <c r="V11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15" s="195"/>
      <c r="X115" s="193" t="str">
        <f>IF(Tabella1[[#This Row],[Best 11]]=1,Tabella1[[#This Row],[fanta voto]],"")</f>
        <v/>
      </c>
      <c r="Z115" s="193" t="str">
        <f>IF(Tabella1[[#This Row],[Best 11 MOD]]=1,Tabella1[[#This Row],[fanta voto]],"")</f>
        <v/>
      </c>
      <c r="AA115" t="str">
        <f>CONCATENATE(Tabella1[[#This Row],[GG]],Tabella1[[#This Row],[Nome]])</f>
        <v>1Luis Henrique</v>
      </c>
      <c r="AC115" t="str">
        <f>_xlfn.CONCAT(Tabella1[[#This Row],[Ruolo]],Tabella1[[#This Row],[Gs]])</f>
        <v>C0</v>
      </c>
    </row>
    <row r="116" spans="1:29" hidden="1" x14ac:dyDescent="0.3">
      <c r="A116" s="286">
        <v>46254</v>
      </c>
      <c r="B116" s="15">
        <v>1</v>
      </c>
      <c r="C116" s="283" t="s">
        <v>766</v>
      </c>
      <c r="D116" s="330" t="s">
        <v>162</v>
      </c>
      <c r="E116" s="330" t="s">
        <v>771</v>
      </c>
      <c r="F116" s="331">
        <v>7</v>
      </c>
      <c r="G116" s="332">
        <v>0</v>
      </c>
      <c r="H116" s="332">
        <v>0</v>
      </c>
      <c r="I116" s="332">
        <v>0</v>
      </c>
      <c r="J116" s="332">
        <v>0</v>
      </c>
      <c r="K116" s="332">
        <v>0</v>
      </c>
      <c r="L116" s="332">
        <v>0</v>
      </c>
      <c r="M116" s="332">
        <v>0</v>
      </c>
      <c r="N116" s="332">
        <v>0</v>
      </c>
      <c r="O116" s="333">
        <v>2</v>
      </c>
      <c r="P116" s="300"/>
      <c r="Q116" s="284">
        <f t="shared" si="2"/>
        <v>0</v>
      </c>
      <c r="R116" s="3" t="str">
        <f>_xlfn.IFNA(VLOOKUP(Tabella1[[#This Row],[Nome]],'ROSE SQUADRE'!$N$3:$O$253,2,0),"")</f>
        <v>PARTIZAN DEGRADO</v>
      </c>
      <c r="S116" s="312">
        <f>Tabella1[[#This Row],[Gf]]+Tabella1[[#This Row],[Rf]]</f>
        <v>0</v>
      </c>
      <c r="T116" s="193"/>
      <c r="U116" s="285" t="str">
        <f>IF(Tabella1[[#This Row],[N° FantaTit]]=1,Tabella1[[#This Row],[Voto]],"")</f>
        <v/>
      </c>
      <c r="V11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9</v>
      </c>
      <c r="W116" s="195"/>
      <c r="X116" s="193" t="str">
        <f>IF(Tabella1[[#This Row],[Best 11]]=1,Tabella1[[#This Row],[fanta voto]],"")</f>
        <v/>
      </c>
      <c r="Z116" s="193" t="str">
        <f>IF(Tabella1[[#This Row],[Best 11 MOD]]=1,Tabella1[[#This Row],[fanta voto]],"")</f>
        <v/>
      </c>
      <c r="AA116" t="str">
        <f>CONCATENATE(Tabella1[[#This Row],[GG]],Tabella1[[#This Row],[Nome]])</f>
        <v>1Diouf</v>
      </c>
      <c r="AC116" t="str">
        <f>_xlfn.CONCAT(Tabella1[[#This Row],[Ruolo]],Tabella1[[#This Row],[Gs]])</f>
        <v>C0</v>
      </c>
    </row>
    <row r="117" spans="1:29" hidden="1" x14ac:dyDescent="0.3">
      <c r="A117" s="286">
        <v>46254</v>
      </c>
      <c r="B117" s="15">
        <v>1</v>
      </c>
      <c r="C117" s="283" t="s">
        <v>766</v>
      </c>
      <c r="D117" s="330" t="s">
        <v>162</v>
      </c>
      <c r="E117" s="330" t="s">
        <v>774</v>
      </c>
      <c r="F117" s="331">
        <v>6.5</v>
      </c>
      <c r="G117" s="332">
        <v>0</v>
      </c>
      <c r="H117" s="332">
        <v>0</v>
      </c>
      <c r="I117" s="332">
        <v>0</v>
      </c>
      <c r="J117" s="332">
        <v>0</v>
      </c>
      <c r="K117" s="332">
        <v>0</v>
      </c>
      <c r="L117" s="332">
        <v>0</v>
      </c>
      <c r="M117" s="332">
        <v>0</v>
      </c>
      <c r="N117" s="332">
        <v>0</v>
      </c>
      <c r="O117" s="332">
        <v>0</v>
      </c>
      <c r="P117" s="300"/>
      <c r="Q117" s="284">
        <f t="shared" si="2"/>
        <v>0</v>
      </c>
      <c r="R117" s="3" t="str">
        <f>_xlfn.IFNA(VLOOKUP(Tabella1[[#This Row],[Nome]],'ROSE SQUADRE'!$N$3:$O$253,2,0),"")</f>
        <v>AC ASPARAGHESE</v>
      </c>
      <c r="S117" s="312">
        <f>Tabella1[[#This Row],[Gf]]+Tabella1[[#This Row],[Rf]]</f>
        <v>0</v>
      </c>
      <c r="T117" s="193"/>
      <c r="U117" s="285" t="str">
        <f>IF(Tabella1[[#This Row],[N° FantaTit]]=1,Tabella1[[#This Row],[Voto]],"")</f>
        <v/>
      </c>
      <c r="V11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17" s="195"/>
      <c r="X117" s="193" t="str">
        <f>IF(Tabella1[[#This Row],[Best 11]]=1,Tabella1[[#This Row],[fanta voto]],"")</f>
        <v/>
      </c>
      <c r="Z117" s="193" t="str">
        <f>IF(Tabella1[[#This Row],[Best 11 MOD]]=1,Tabella1[[#This Row],[fanta voto]],"")</f>
        <v/>
      </c>
      <c r="AA117" t="str">
        <f>CONCATENATE(Tabella1[[#This Row],[GG]],Tabella1[[#This Row],[Nome]])</f>
        <v>1Sucic P.</v>
      </c>
      <c r="AC117" t="str">
        <f>_xlfn.CONCAT(Tabella1[[#This Row],[Ruolo]],Tabella1[[#This Row],[Gs]])</f>
        <v>C0</v>
      </c>
    </row>
    <row r="118" spans="1:29" hidden="1" x14ac:dyDescent="0.3">
      <c r="A118" s="286">
        <v>46254</v>
      </c>
      <c r="B118" s="15">
        <v>1</v>
      </c>
      <c r="C118" s="283" t="s">
        <v>766</v>
      </c>
      <c r="D118" t="s">
        <v>163</v>
      </c>
      <c r="E118" t="s">
        <v>233</v>
      </c>
      <c r="F118" s="194">
        <v>5.5</v>
      </c>
      <c r="G118" s="328">
        <v>0</v>
      </c>
      <c r="H118" s="328">
        <v>0</v>
      </c>
      <c r="I118" s="328">
        <v>0</v>
      </c>
      <c r="J118" s="328">
        <v>0</v>
      </c>
      <c r="K118" s="328">
        <v>0</v>
      </c>
      <c r="L118" s="328">
        <v>0</v>
      </c>
      <c r="M118" s="329">
        <v>1</v>
      </c>
      <c r="N118" s="328">
        <v>0</v>
      </c>
      <c r="O118" s="328">
        <v>0</v>
      </c>
      <c r="P118" s="300"/>
      <c r="Q118" s="284">
        <f t="shared" si="2"/>
        <v>0</v>
      </c>
      <c r="R118" s="3" t="str">
        <f>_xlfn.IFNA(VLOOKUP(Tabella1[[#This Row],[Nome]],'ROSE SQUADRE'!$N$3:$O$253,2,0),"")</f>
        <v>TRICCHETRACHT</v>
      </c>
      <c r="S118" s="312">
        <f>Tabella1[[#This Row],[Gf]]+Tabella1[[#This Row],[Rf]]</f>
        <v>0</v>
      </c>
      <c r="T118" s="193"/>
      <c r="U118" s="285" t="str">
        <f>IF(Tabella1[[#This Row],[N° FantaTit]]=1,Tabella1[[#This Row],[Voto]],"")</f>
        <v/>
      </c>
      <c r="V11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118" s="195"/>
      <c r="X118" s="193" t="str">
        <f>IF(Tabella1[[#This Row],[Best 11]]=1,Tabella1[[#This Row],[fanta voto]],"")</f>
        <v/>
      </c>
      <c r="Z118" s="193" t="str">
        <f>IF(Tabella1[[#This Row],[Best 11 MOD]]=1,Tabella1[[#This Row],[fanta voto]],"")</f>
        <v/>
      </c>
      <c r="AA118" t="str">
        <f>CONCATENATE(Tabella1[[#This Row],[GG]],Tabella1[[#This Row],[Nome]])</f>
        <v>1Martinez L.</v>
      </c>
      <c r="AC118" t="str">
        <f>_xlfn.CONCAT(Tabella1[[#This Row],[Ruolo]],Tabella1[[#This Row],[Gs]])</f>
        <v>A0</v>
      </c>
    </row>
    <row r="119" spans="1:29" hidden="1" x14ac:dyDescent="0.3">
      <c r="A119" s="286">
        <v>46254</v>
      </c>
      <c r="B119" s="15">
        <v>1</v>
      </c>
      <c r="C119" s="283" t="s">
        <v>766</v>
      </c>
      <c r="D119" s="330" t="s">
        <v>163</v>
      </c>
      <c r="E119" s="330" t="s">
        <v>565</v>
      </c>
      <c r="F119" s="331">
        <v>6</v>
      </c>
      <c r="G119" s="332">
        <v>0</v>
      </c>
      <c r="H119" s="332">
        <v>0</v>
      </c>
      <c r="I119" s="332">
        <v>0</v>
      </c>
      <c r="J119" s="332">
        <v>0</v>
      </c>
      <c r="K119" s="332">
        <v>0</v>
      </c>
      <c r="L119" s="332">
        <v>0</v>
      </c>
      <c r="M119" s="332">
        <v>0</v>
      </c>
      <c r="N119" s="332">
        <v>0</v>
      </c>
      <c r="O119" s="332">
        <v>0</v>
      </c>
      <c r="P119" s="300"/>
      <c r="Q119" s="284">
        <f t="shared" si="2"/>
        <v>0</v>
      </c>
      <c r="R119" s="3" t="str">
        <f>_xlfn.IFNA(VLOOKUP(Tabella1[[#This Row],[Nome]],'ROSE SQUADRE'!$N$3:$O$253,2,0),"")</f>
        <v>ATL. IMPROVVISATO</v>
      </c>
      <c r="S119" s="312">
        <f>Tabella1[[#This Row],[Gf]]+Tabella1[[#This Row],[Rf]]</f>
        <v>0</v>
      </c>
      <c r="T119" s="193"/>
      <c r="U119" s="285" t="str">
        <f>IF(Tabella1[[#This Row],[N° FantaTit]]=1,Tabella1[[#This Row],[Voto]],"")</f>
        <v/>
      </c>
      <c r="V11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19" s="195"/>
      <c r="X119" s="193" t="str">
        <f>IF(Tabella1[[#This Row],[Best 11]]=1,Tabella1[[#This Row],[fanta voto]],"")</f>
        <v/>
      </c>
      <c r="Z119" s="193" t="str">
        <f>IF(Tabella1[[#This Row],[Best 11 MOD]]=1,Tabella1[[#This Row],[fanta voto]],"")</f>
        <v/>
      </c>
      <c r="AA119" t="str">
        <f>CONCATENATE(Tabella1[[#This Row],[GG]],Tabella1[[#This Row],[Nome]])</f>
        <v>1Bonny</v>
      </c>
      <c r="AC119" t="str">
        <f>_xlfn.CONCAT(Tabella1[[#This Row],[Ruolo]],Tabella1[[#This Row],[Gs]])</f>
        <v>A0</v>
      </c>
    </row>
    <row r="120" spans="1:29" hidden="1" x14ac:dyDescent="0.3">
      <c r="A120" s="286">
        <v>46254</v>
      </c>
      <c r="B120" s="15">
        <v>1</v>
      </c>
      <c r="C120" s="283" t="s">
        <v>766</v>
      </c>
      <c r="D120" t="s">
        <v>163</v>
      </c>
      <c r="E120" t="s">
        <v>776</v>
      </c>
      <c r="F120" s="194">
        <v>7.5</v>
      </c>
      <c r="G120" s="329">
        <v>1</v>
      </c>
      <c r="H120" s="328">
        <v>0</v>
      </c>
      <c r="I120" s="328">
        <v>0</v>
      </c>
      <c r="J120" s="328">
        <v>0</v>
      </c>
      <c r="K120" s="328">
        <v>0</v>
      </c>
      <c r="L120" s="328">
        <v>0</v>
      </c>
      <c r="M120" s="328">
        <v>0</v>
      </c>
      <c r="N120" s="328">
        <v>0</v>
      </c>
      <c r="O120" s="329">
        <v>1</v>
      </c>
      <c r="P120" s="300">
        <v>1</v>
      </c>
      <c r="Q120" s="284">
        <f t="shared" si="2"/>
        <v>0</v>
      </c>
      <c r="R120" s="3" t="str">
        <f>_xlfn.IFNA(VLOOKUP(Tabella1[[#This Row],[Nome]],'ROSE SQUADRE'!$N$3:$O$253,2,0),"")</f>
        <v>ATL. IMPROVVISATO</v>
      </c>
      <c r="S120" s="312">
        <f>Tabella1[[#This Row],[Gf]]+Tabella1[[#This Row],[Rf]]</f>
        <v>1</v>
      </c>
      <c r="T120" s="193"/>
      <c r="U120" s="285" t="str">
        <f>IF(Tabella1[[#This Row],[N° FantaTit]]=1,Tabella1[[#This Row],[Voto]],"")</f>
        <v/>
      </c>
      <c r="V12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12.5</v>
      </c>
      <c r="W120" s="195"/>
      <c r="X120" s="193" t="str">
        <f>IF(Tabella1[[#This Row],[Best 11]]=1,Tabella1[[#This Row],[fanta voto]],"")</f>
        <v/>
      </c>
      <c r="Z120" s="193" t="str">
        <f>IF(Tabella1[[#This Row],[Best 11 MOD]]=1,Tabella1[[#This Row],[fanta voto]],"")</f>
        <v/>
      </c>
      <c r="AA120" t="str">
        <f>CONCATENATE(Tabella1[[#This Row],[GG]],Tabella1[[#This Row],[Nome]])</f>
        <v>1Esposito F.P.</v>
      </c>
      <c r="AC120" t="str">
        <f>_xlfn.CONCAT(Tabella1[[#This Row],[Ruolo]],Tabella1[[#This Row],[Gs]])</f>
        <v>A0</v>
      </c>
    </row>
    <row r="121" spans="1:29" hidden="1" x14ac:dyDescent="0.3">
      <c r="A121" s="286">
        <v>46254</v>
      </c>
      <c r="B121" s="15">
        <v>1</v>
      </c>
      <c r="C121" s="283" t="s">
        <v>777</v>
      </c>
      <c r="D121" t="s">
        <v>5</v>
      </c>
      <c r="E121" t="s">
        <v>778</v>
      </c>
      <c r="F121" s="334">
        <v>6</v>
      </c>
      <c r="G121" s="328">
        <v>0</v>
      </c>
      <c r="H121" s="328">
        <v>0</v>
      </c>
      <c r="I121" s="328">
        <v>0</v>
      </c>
      <c r="J121" s="328">
        <v>0</v>
      </c>
      <c r="K121" s="328">
        <v>0</v>
      </c>
      <c r="L121" s="328">
        <v>0</v>
      </c>
      <c r="M121" s="328">
        <v>0</v>
      </c>
      <c r="N121" s="328">
        <v>0</v>
      </c>
      <c r="O121" s="328">
        <v>0</v>
      </c>
      <c r="P121" s="300"/>
      <c r="Q121" s="284">
        <f t="shared" si="2"/>
        <v>1</v>
      </c>
      <c r="R121" s="3" t="str">
        <f>_xlfn.IFNA(VLOOKUP(Tabella1[[#This Row],[Nome]],'ROSE SQUADRE'!$N$3:$O$253,2,0),"")</f>
        <v/>
      </c>
      <c r="S121" s="312">
        <f>Tabella1[[#This Row],[Gf]]+Tabella1[[#This Row],[Rf]]</f>
        <v>0</v>
      </c>
      <c r="T121" s="193"/>
      <c r="U121" s="285" t="str">
        <f>IF(Tabella1[[#This Row],[N° FantaTit]]=1,Tabella1[[#This Row],[Voto]],"")</f>
        <v/>
      </c>
      <c r="V12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121" s="195"/>
      <c r="X121" s="193" t="str">
        <f>IF(Tabella1[[#This Row],[Best 11]]=1,Tabella1[[#This Row],[fanta voto]],"")</f>
        <v/>
      </c>
      <c r="Z121" s="193" t="str">
        <f>IF(Tabella1[[#This Row],[Best 11 MOD]]=1,Tabella1[[#This Row],[fanta voto]],"")</f>
        <v/>
      </c>
      <c r="AA121" t="str">
        <f>CONCATENATE(Tabella1[[#This Row],[GG]],Tabella1[[#This Row],[Nome]])</f>
        <v>1Perin</v>
      </c>
      <c r="AC121" t="str">
        <f>_xlfn.CONCAT(Tabella1[[#This Row],[Ruolo]],Tabella1[[#This Row],[Gs]])</f>
        <v>P0</v>
      </c>
    </row>
    <row r="122" spans="1:29" hidden="1" x14ac:dyDescent="0.3">
      <c r="A122" s="286">
        <v>46254</v>
      </c>
      <c r="B122" s="15">
        <v>1</v>
      </c>
      <c r="C122" s="283" t="s">
        <v>777</v>
      </c>
      <c r="D122" s="330" t="s">
        <v>5</v>
      </c>
      <c r="E122" s="330" t="s">
        <v>780</v>
      </c>
      <c r="F122" s="331">
        <v>6</v>
      </c>
      <c r="G122" s="332">
        <v>0</v>
      </c>
      <c r="H122" s="332">
        <v>0</v>
      </c>
      <c r="I122" s="332">
        <v>0</v>
      </c>
      <c r="J122" s="332">
        <v>0</v>
      </c>
      <c r="K122" s="332">
        <v>0</v>
      </c>
      <c r="L122" s="332">
        <v>0</v>
      </c>
      <c r="M122" s="332">
        <v>0</v>
      </c>
      <c r="N122" s="332">
        <v>0</v>
      </c>
      <c r="O122" s="332">
        <v>0</v>
      </c>
      <c r="P122" s="300"/>
      <c r="Q122" s="284">
        <f t="shared" si="2"/>
        <v>1</v>
      </c>
      <c r="R122" s="3" t="str">
        <f>_xlfn.IFNA(VLOOKUP(Tabella1[[#This Row],[Nome]],'ROSE SQUADRE'!$N$3:$O$253,2,0),"")</f>
        <v>TRICCHETRACHT</v>
      </c>
      <c r="S122" s="312">
        <f>Tabella1[[#This Row],[Gf]]+Tabella1[[#This Row],[Rf]]</f>
        <v>0</v>
      </c>
      <c r="T122" s="193"/>
      <c r="U122" s="285" t="str">
        <f>IF(Tabella1[[#This Row],[N° FantaTit]]=1,Tabella1[[#This Row],[Voto]],"")</f>
        <v/>
      </c>
      <c r="V12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122" s="195"/>
      <c r="X122" s="193" t="str">
        <f>IF(Tabella1[[#This Row],[Best 11]]=1,Tabella1[[#This Row],[fanta voto]],"")</f>
        <v/>
      </c>
      <c r="Z122" s="193" t="str">
        <f>IF(Tabella1[[#This Row],[Best 11 MOD]]=1,Tabella1[[#This Row],[fanta voto]],"")</f>
        <v/>
      </c>
      <c r="AA122" t="str">
        <f>CONCATENATE(Tabella1[[#This Row],[GG]],Tabella1[[#This Row],[Nome]])</f>
        <v>1Vicario</v>
      </c>
      <c r="AC122" t="str">
        <f>_xlfn.CONCAT(Tabella1[[#This Row],[Ruolo]],Tabella1[[#This Row],[Gs]])</f>
        <v>P0</v>
      </c>
    </row>
    <row r="123" spans="1:29" hidden="1" x14ac:dyDescent="0.3">
      <c r="A123" s="286">
        <v>46254</v>
      </c>
      <c r="B123" s="15">
        <v>1</v>
      </c>
      <c r="C123" s="283" t="s">
        <v>777</v>
      </c>
      <c r="D123" t="s">
        <v>161</v>
      </c>
      <c r="E123" t="s">
        <v>244</v>
      </c>
      <c r="F123" s="194">
        <v>7.5</v>
      </c>
      <c r="G123" s="329">
        <v>1</v>
      </c>
      <c r="H123" s="328">
        <v>0</v>
      </c>
      <c r="I123" s="328">
        <v>0</v>
      </c>
      <c r="J123" s="328">
        <v>0</v>
      </c>
      <c r="K123" s="328">
        <v>0</v>
      </c>
      <c r="L123" s="328">
        <v>0</v>
      </c>
      <c r="M123" s="328">
        <v>0</v>
      </c>
      <c r="N123" s="328">
        <v>0</v>
      </c>
      <c r="O123" s="328">
        <v>0</v>
      </c>
      <c r="P123" s="300">
        <v>1</v>
      </c>
      <c r="Q123" s="284">
        <f t="shared" si="2"/>
        <v>0</v>
      </c>
      <c r="R123" s="3" t="str">
        <f>_xlfn.IFNA(VLOOKUP(Tabella1[[#This Row],[Nome]],'ROSE SQUADRE'!$N$3:$O$253,2,0),"")</f>
        <v>SESTO ASENSIO</v>
      </c>
      <c r="S123" s="312">
        <f>Tabella1[[#This Row],[Gf]]+Tabella1[[#This Row],[Rf]]</f>
        <v>1</v>
      </c>
      <c r="T123" s="193"/>
      <c r="U123" s="285" t="str">
        <f>IF(Tabella1[[#This Row],[N° FantaTit]]=1,Tabella1[[#This Row],[Voto]],"")</f>
        <v/>
      </c>
      <c r="V12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11.5</v>
      </c>
      <c r="W123" s="195"/>
      <c r="X123" s="193" t="str">
        <f>IF(Tabella1[[#This Row],[Best 11]]=1,Tabella1[[#This Row],[fanta voto]],"")</f>
        <v/>
      </c>
      <c r="Z123" s="193" t="str">
        <f>IF(Tabella1[[#This Row],[Best 11 MOD]]=1,Tabella1[[#This Row],[fanta voto]],"")</f>
        <v/>
      </c>
      <c r="AA123" t="str">
        <f>CONCATENATE(Tabella1[[#This Row],[GG]],Tabella1[[#This Row],[Nome]])</f>
        <v>1Bremer</v>
      </c>
      <c r="AC123" t="str">
        <f>_xlfn.CONCAT(Tabella1[[#This Row],[Ruolo]],Tabella1[[#This Row],[Gs]])</f>
        <v>D0</v>
      </c>
    </row>
    <row r="124" spans="1:29" hidden="1" x14ac:dyDescent="0.3">
      <c r="A124" s="286">
        <v>46254</v>
      </c>
      <c r="B124" s="15">
        <v>1</v>
      </c>
      <c r="C124" s="283" t="s">
        <v>777</v>
      </c>
      <c r="D124" s="330" t="s">
        <v>161</v>
      </c>
      <c r="E124" s="330" t="s">
        <v>321</v>
      </c>
      <c r="F124" s="331">
        <v>6</v>
      </c>
      <c r="G124" s="332">
        <v>0</v>
      </c>
      <c r="H124" s="332">
        <v>0</v>
      </c>
      <c r="I124" s="332">
        <v>0</v>
      </c>
      <c r="J124" s="332">
        <v>0</v>
      </c>
      <c r="K124" s="332">
        <v>0</v>
      </c>
      <c r="L124" s="332">
        <v>0</v>
      </c>
      <c r="M124" s="333">
        <v>1</v>
      </c>
      <c r="N124" s="332">
        <v>0</v>
      </c>
      <c r="O124" s="332">
        <v>0</v>
      </c>
      <c r="P124" s="300"/>
      <c r="Q124" s="284">
        <f t="shared" si="2"/>
        <v>0</v>
      </c>
      <c r="R124" s="3" t="str">
        <f>_xlfn.IFNA(VLOOKUP(Tabella1[[#This Row],[Nome]],'ROSE SQUADRE'!$N$3:$O$253,2,0),"")</f>
        <v>FC INTERNAZIOANALE</v>
      </c>
      <c r="S124" s="312">
        <f>Tabella1[[#This Row],[Gf]]+Tabella1[[#This Row],[Rf]]</f>
        <v>0</v>
      </c>
      <c r="T124" s="193"/>
      <c r="U124" s="285" t="str">
        <f>IF(Tabella1[[#This Row],[N° FantaTit]]=1,Tabella1[[#This Row],[Voto]],"")</f>
        <v/>
      </c>
      <c r="V12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24" s="195"/>
      <c r="X124" s="193" t="str">
        <f>IF(Tabella1[[#This Row],[Best 11]]=1,Tabella1[[#This Row],[fanta voto]],"")</f>
        <v/>
      </c>
      <c r="Z124" s="193" t="str">
        <f>IF(Tabella1[[#This Row],[Best 11 MOD]]=1,Tabella1[[#This Row],[fanta voto]],"")</f>
        <v/>
      </c>
      <c r="AA124" t="str">
        <f>CONCATENATE(Tabella1[[#This Row],[GG]],Tabella1[[#This Row],[Nome]])</f>
        <v>1Celik</v>
      </c>
      <c r="AC124" t="str">
        <f>_xlfn.CONCAT(Tabella1[[#This Row],[Ruolo]],Tabella1[[#This Row],[Gs]])</f>
        <v>D0</v>
      </c>
    </row>
    <row r="125" spans="1:29" hidden="1" x14ac:dyDescent="0.3">
      <c r="A125" s="286">
        <v>46254</v>
      </c>
      <c r="B125" s="15">
        <v>1</v>
      </c>
      <c r="C125" s="283" t="s">
        <v>777</v>
      </c>
      <c r="D125" t="s">
        <v>161</v>
      </c>
      <c r="E125" t="s">
        <v>781</v>
      </c>
      <c r="F125" s="194">
        <v>6.5</v>
      </c>
      <c r="G125" s="328">
        <v>0</v>
      </c>
      <c r="H125" s="328">
        <v>0</v>
      </c>
      <c r="I125" s="328">
        <v>0</v>
      </c>
      <c r="J125" s="328">
        <v>0</v>
      </c>
      <c r="K125" s="328">
        <v>0</v>
      </c>
      <c r="L125" s="328">
        <v>0</v>
      </c>
      <c r="M125" s="328">
        <v>0</v>
      </c>
      <c r="N125" s="328">
        <v>0</v>
      </c>
      <c r="O125" s="328">
        <v>0</v>
      </c>
      <c r="P125" s="300"/>
      <c r="Q125" s="284">
        <f t="shared" si="2"/>
        <v>0</v>
      </c>
      <c r="R125" s="3" t="str">
        <f>_xlfn.IFNA(VLOOKUP(Tabella1[[#This Row],[Nome]],'ROSE SQUADRE'!$N$3:$O$253,2,0),"")</f>
        <v>AC ASPARAGHESE</v>
      </c>
      <c r="S125" s="312">
        <f>Tabella1[[#This Row],[Gf]]+Tabella1[[#This Row],[Rf]]</f>
        <v>0</v>
      </c>
      <c r="T125" s="193"/>
      <c r="U125" s="285" t="str">
        <f>IF(Tabella1[[#This Row],[N° FantaTit]]=1,Tabella1[[#This Row],[Voto]],"")</f>
        <v/>
      </c>
      <c r="V12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25" s="195"/>
      <c r="X125" s="193" t="str">
        <f>IF(Tabella1[[#This Row],[Best 11]]=1,Tabella1[[#This Row],[fanta voto]],"")</f>
        <v/>
      </c>
      <c r="Z125" s="193" t="str">
        <f>IF(Tabella1[[#This Row],[Best 11 MOD]]=1,Tabella1[[#This Row],[fanta voto]],"")</f>
        <v/>
      </c>
      <c r="AA125" t="str">
        <f>CONCATENATE(Tabella1[[#This Row],[GG]],Tabella1[[#This Row],[Nome]])</f>
        <v>1Kalulu</v>
      </c>
      <c r="AC125" t="str">
        <f>_xlfn.CONCAT(Tabella1[[#This Row],[Ruolo]],Tabella1[[#This Row],[Gs]])</f>
        <v>D0</v>
      </c>
    </row>
    <row r="126" spans="1:29" hidden="1" x14ac:dyDescent="0.3">
      <c r="A126" s="286">
        <v>46254</v>
      </c>
      <c r="B126" s="15">
        <v>1</v>
      </c>
      <c r="C126" s="283" t="s">
        <v>777</v>
      </c>
      <c r="D126" s="330" t="s">
        <v>161</v>
      </c>
      <c r="E126" s="330" t="s">
        <v>228</v>
      </c>
      <c r="F126" s="331">
        <v>6</v>
      </c>
      <c r="G126" s="332">
        <v>0</v>
      </c>
      <c r="H126" s="332">
        <v>0</v>
      </c>
      <c r="I126" s="332">
        <v>0</v>
      </c>
      <c r="J126" s="332">
        <v>0</v>
      </c>
      <c r="K126" s="332">
        <v>0</v>
      </c>
      <c r="L126" s="332">
        <v>0</v>
      </c>
      <c r="M126" s="333">
        <v>1</v>
      </c>
      <c r="N126" s="332">
        <v>0</v>
      </c>
      <c r="O126" s="332">
        <v>0</v>
      </c>
      <c r="P126" s="300"/>
      <c r="Q126" s="284">
        <f t="shared" si="2"/>
        <v>0</v>
      </c>
      <c r="R126" s="3" t="str">
        <f>_xlfn.IFNA(VLOOKUP(Tabella1[[#This Row],[Nome]],'ROSE SQUADRE'!$N$3:$O$253,2,0),"")</f>
        <v>ATL. IMPROVVISATO</v>
      </c>
      <c r="S126" s="312">
        <f>Tabella1[[#This Row],[Gf]]+Tabella1[[#This Row],[Rf]]</f>
        <v>0</v>
      </c>
      <c r="T126" s="193"/>
      <c r="U126" s="285" t="str">
        <f>IF(Tabella1[[#This Row],[N° FantaTit]]=1,Tabella1[[#This Row],[Voto]],"")</f>
        <v/>
      </c>
      <c r="V12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26" s="195"/>
      <c r="X126" s="193" t="str">
        <f>IF(Tabella1[[#This Row],[Best 11]]=1,Tabella1[[#This Row],[fanta voto]],"")</f>
        <v/>
      </c>
      <c r="Z126" s="193" t="str">
        <f>IF(Tabella1[[#This Row],[Best 11 MOD]]=1,Tabella1[[#This Row],[fanta voto]],"")</f>
        <v/>
      </c>
      <c r="AA126" t="str">
        <f>CONCATENATE(Tabella1[[#This Row],[GG]],Tabella1[[#This Row],[Nome]])</f>
        <v>1Cambiaso</v>
      </c>
      <c r="AC126" t="str">
        <f>_xlfn.CONCAT(Tabella1[[#This Row],[Ruolo]],Tabella1[[#This Row],[Gs]])</f>
        <v>D0</v>
      </c>
    </row>
    <row r="127" spans="1:29" hidden="1" x14ac:dyDescent="0.3">
      <c r="A127" s="286">
        <v>46254</v>
      </c>
      <c r="B127" s="15">
        <v>1</v>
      </c>
      <c r="C127" s="283" t="s">
        <v>777</v>
      </c>
      <c r="D127" t="s">
        <v>161</v>
      </c>
      <c r="E127" t="s">
        <v>782</v>
      </c>
      <c r="F127" s="194">
        <v>5.5</v>
      </c>
      <c r="G127" s="328">
        <v>0</v>
      </c>
      <c r="H127" s="328">
        <v>0</v>
      </c>
      <c r="I127" s="328">
        <v>0</v>
      </c>
      <c r="J127" s="328">
        <v>0</v>
      </c>
      <c r="K127" s="328">
        <v>0</v>
      </c>
      <c r="L127" s="328">
        <v>0</v>
      </c>
      <c r="M127" s="328">
        <v>0</v>
      </c>
      <c r="N127" s="328">
        <v>0</v>
      </c>
      <c r="O127" s="328">
        <v>0</v>
      </c>
      <c r="P127" s="300"/>
      <c r="Q127" s="284">
        <f t="shared" si="2"/>
        <v>0</v>
      </c>
      <c r="R127" s="3" t="str">
        <f>_xlfn.IFNA(VLOOKUP(Tabella1[[#This Row],[Nome]],'ROSE SQUADRE'!$N$3:$O$253,2,0),"")</f>
        <v/>
      </c>
      <c r="S127" s="312">
        <f>Tabella1[[#This Row],[Gf]]+Tabella1[[#This Row],[Rf]]</f>
        <v>0</v>
      </c>
      <c r="T127" s="193"/>
      <c r="U127" s="285" t="str">
        <f>IF(Tabella1[[#This Row],[N° FantaTit]]=1,Tabella1[[#This Row],[Voto]],"")</f>
        <v/>
      </c>
      <c r="V12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27" s="195"/>
      <c r="X127" s="193" t="str">
        <f>IF(Tabella1[[#This Row],[Best 11]]=1,Tabella1[[#This Row],[fanta voto]],"")</f>
        <v/>
      </c>
      <c r="Z127" s="193" t="str">
        <f>IF(Tabella1[[#This Row],[Best 11 MOD]]=1,Tabella1[[#This Row],[fanta voto]],"")</f>
        <v/>
      </c>
      <c r="AA127" t="str">
        <f>CONCATENATE(Tabella1[[#This Row],[GG]],Tabella1[[#This Row],[Nome]])</f>
        <v>1Kelly L.</v>
      </c>
      <c r="AC127" t="str">
        <f>_xlfn.CONCAT(Tabella1[[#This Row],[Ruolo]],Tabella1[[#This Row],[Gs]])</f>
        <v>D0</v>
      </c>
    </row>
    <row r="128" spans="1:29" hidden="1" x14ac:dyDescent="0.3">
      <c r="A128" s="286">
        <v>46254</v>
      </c>
      <c r="B128" s="15">
        <v>1</v>
      </c>
      <c r="C128" s="283" t="s">
        <v>777</v>
      </c>
      <c r="D128" s="330" t="s">
        <v>162</v>
      </c>
      <c r="E128" s="330" t="s">
        <v>263</v>
      </c>
      <c r="F128" s="331">
        <v>6</v>
      </c>
      <c r="G128" s="332">
        <v>0</v>
      </c>
      <c r="H128" s="332">
        <v>0</v>
      </c>
      <c r="I128" s="332">
        <v>0</v>
      </c>
      <c r="J128" s="332">
        <v>0</v>
      </c>
      <c r="K128" s="332">
        <v>0</v>
      </c>
      <c r="L128" s="332">
        <v>0</v>
      </c>
      <c r="M128" s="332">
        <v>0</v>
      </c>
      <c r="N128" s="332">
        <v>0</v>
      </c>
      <c r="O128" s="332">
        <v>0</v>
      </c>
      <c r="P128" s="300"/>
      <c r="Q128" s="284">
        <f t="shared" si="2"/>
        <v>0</v>
      </c>
      <c r="R128" s="3" t="str">
        <f>_xlfn.IFNA(VLOOKUP(Tabella1[[#This Row],[Nome]],'ROSE SQUADRE'!$N$3:$O$253,2,0),"")</f>
        <v>ATL. IMPROVVISATO</v>
      </c>
      <c r="S128" s="312">
        <f>Tabella1[[#This Row],[Gf]]+Tabella1[[#This Row],[Rf]]</f>
        <v>0</v>
      </c>
      <c r="T128" s="193"/>
      <c r="U128" s="285" t="str">
        <f>IF(Tabella1[[#This Row],[N° FantaTit]]=1,Tabella1[[#This Row],[Voto]],"")</f>
        <v/>
      </c>
      <c r="V12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28" s="195"/>
      <c r="X128" s="193" t="str">
        <f>IF(Tabella1[[#This Row],[Best 11]]=1,Tabella1[[#This Row],[fanta voto]],"")</f>
        <v/>
      </c>
      <c r="Z128" s="193" t="str">
        <f>IF(Tabella1[[#This Row],[Best 11 MOD]]=1,Tabella1[[#This Row],[fanta voto]],"")</f>
        <v/>
      </c>
      <c r="AA128" t="str">
        <f>CONCATENATE(Tabella1[[#This Row],[GG]],Tabella1[[#This Row],[Nome]])</f>
        <v>1Locatelli</v>
      </c>
      <c r="AC128" t="str">
        <f>_xlfn.CONCAT(Tabella1[[#This Row],[Ruolo]],Tabella1[[#This Row],[Gs]])</f>
        <v>C0</v>
      </c>
    </row>
    <row r="129" spans="1:29" hidden="1" x14ac:dyDescent="0.3">
      <c r="A129" s="286">
        <v>46254</v>
      </c>
      <c r="B129" s="15">
        <v>1</v>
      </c>
      <c r="C129" s="283" t="s">
        <v>777</v>
      </c>
      <c r="D129" t="s">
        <v>162</v>
      </c>
      <c r="E129" t="s">
        <v>533</v>
      </c>
      <c r="F129" s="194">
        <v>5.5</v>
      </c>
      <c r="G129" s="328">
        <v>0</v>
      </c>
      <c r="H129" s="328">
        <v>0</v>
      </c>
      <c r="I129" s="328">
        <v>0</v>
      </c>
      <c r="J129" s="328">
        <v>0</v>
      </c>
      <c r="K129" s="328">
        <v>0</v>
      </c>
      <c r="L129" s="328">
        <v>0</v>
      </c>
      <c r="M129" s="328">
        <v>0</v>
      </c>
      <c r="N129" s="328">
        <v>0</v>
      </c>
      <c r="O129" s="328">
        <v>0</v>
      </c>
      <c r="P129" s="300"/>
      <c r="Q129" s="284">
        <f t="shared" si="2"/>
        <v>0</v>
      </c>
      <c r="R129" s="3" t="str">
        <f>_xlfn.IFNA(VLOOKUP(Tabella1[[#This Row],[Nome]],'ROSE SQUADRE'!$N$3:$O$253,2,0),"")</f>
        <v>AS PIPPERIA</v>
      </c>
      <c r="S129" s="312">
        <f>Tabella1[[#This Row],[Gf]]+Tabella1[[#This Row],[Rf]]</f>
        <v>0</v>
      </c>
      <c r="T129" s="193"/>
      <c r="U129" s="285" t="str">
        <f>IF(Tabella1[[#This Row],[N° FantaTit]]=1,Tabella1[[#This Row],[Voto]],"")</f>
        <v/>
      </c>
      <c r="V12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29" s="195"/>
      <c r="X129" s="193" t="str">
        <f>IF(Tabella1[[#This Row],[Best 11]]=1,Tabella1[[#This Row],[fanta voto]],"")</f>
        <v/>
      </c>
      <c r="Z129" s="193" t="str">
        <f>IF(Tabella1[[#This Row],[Best 11 MOD]]=1,Tabella1[[#This Row],[fanta voto]],"")</f>
        <v/>
      </c>
      <c r="AA129" t="str">
        <f>CONCATENATE(Tabella1[[#This Row],[GG]],Tabella1[[#This Row],[Nome]])</f>
        <v>1Douglas Luiz</v>
      </c>
      <c r="AC129" t="str">
        <f>_xlfn.CONCAT(Tabella1[[#This Row],[Ruolo]],Tabella1[[#This Row],[Gs]])</f>
        <v>C0</v>
      </c>
    </row>
    <row r="130" spans="1:29" hidden="1" x14ac:dyDescent="0.3">
      <c r="A130" s="286">
        <v>46254</v>
      </c>
      <c r="B130" s="15">
        <v>1</v>
      </c>
      <c r="C130" s="283" t="s">
        <v>777</v>
      </c>
      <c r="D130" s="330" t="s">
        <v>162</v>
      </c>
      <c r="E130" s="330" t="s">
        <v>788</v>
      </c>
      <c r="F130" s="331">
        <v>6</v>
      </c>
      <c r="G130" s="332">
        <v>0</v>
      </c>
      <c r="H130" s="332">
        <v>0</v>
      </c>
      <c r="I130" s="332">
        <v>0</v>
      </c>
      <c r="J130" s="332">
        <v>0</v>
      </c>
      <c r="K130" s="332">
        <v>0</v>
      </c>
      <c r="L130" s="332">
        <v>0</v>
      </c>
      <c r="M130" s="332">
        <v>0</v>
      </c>
      <c r="N130" s="332">
        <v>0</v>
      </c>
      <c r="O130" s="332">
        <v>0</v>
      </c>
      <c r="P130" s="300"/>
      <c r="Q130" s="284">
        <f t="shared" si="2"/>
        <v>0</v>
      </c>
      <c r="R130" s="3" t="str">
        <f>_xlfn.IFNA(VLOOKUP(Tabella1[[#This Row],[Nome]],'ROSE SQUADRE'!$N$3:$O$253,2,0),"")</f>
        <v>AS PIPPERIA</v>
      </c>
      <c r="S130" s="312">
        <f>Tabella1[[#This Row],[Gf]]+Tabella1[[#This Row],[Rf]]</f>
        <v>0</v>
      </c>
      <c r="T130" s="193"/>
      <c r="U130" s="285" t="str">
        <f>IF(Tabella1[[#This Row],[N° FantaTit]]=1,Tabella1[[#This Row],[Voto]],"")</f>
        <v/>
      </c>
      <c r="V13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30" s="195"/>
      <c r="X130" s="193" t="str">
        <f>IF(Tabella1[[#This Row],[Best 11]]=1,Tabella1[[#This Row],[fanta voto]],"")</f>
        <v/>
      </c>
      <c r="Z130" s="193" t="str">
        <f>IF(Tabella1[[#This Row],[Best 11 MOD]]=1,Tabella1[[#This Row],[fanta voto]],"")</f>
        <v/>
      </c>
      <c r="AA130" t="str">
        <f>CONCATENATE(Tabella1[[#This Row],[GG]],Tabella1[[#This Row],[Nome]])</f>
        <v>1McKennie</v>
      </c>
      <c r="AC130" t="str">
        <f>_xlfn.CONCAT(Tabella1[[#This Row],[Ruolo]],Tabella1[[#This Row],[Gs]])</f>
        <v>C0</v>
      </c>
    </row>
    <row r="131" spans="1:29" hidden="1" x14ac:dyDescent="0.3">
      <c r="A131" s="286">
        <v>46254</v>
      </c>
      <c r="B131" s="15">
        <v>1</v>
      </c>
      <c r="C131" s="283" t="s">
        <v>777</v>
      </c>
      <c r="D131" s="330" t="s">
        <v>162</v>
      </c>
      <c r="E131" s="330" t="s">
        <v>790</v>
      </c>
      <c r="F131" s="331">
        <v>6</v>
      </c>
      <c r="G131" s="332">
        <v>0</v>
      </c>
      <c r="H131" s="332">
        <v>0</v>
      </c>
      <c r="I131" s="332">
        <v>0</v>
      </c>
      <c r="J131" s="332">
        <v>0</v>
      </c>
      <c r="K131" s="332">
        <v>0</v>
      </c>
      <c r="L131" s="332">
        <v>0</v>
      </c>
      <c r="M131" s="332">
        <v>0</v>
      </c>
      <c r="N131" s="332">
        <v>0</v>
      </c>
      <c r="O131" s="332">
        <v>0</v>
      </c>
      <c r="P131" s="300"/>
      <c r="Q131" s="284">
        <f t="shared" si="2"/>
        <v>0</v>
      </c>
      <c r="R131" s="3" t="str">
        <f>_xlfn.IFNA(VLOOKUP(Tabella1[[#This Row],[Nome]],'ROSE SQUADRE'!$N$3:$O$253,2,0),"")</f>
        <v/>
      </c>
      <c r="S131" s="312">
        <f>Tabella1[[#This Row],[Gf]]+Tabella1[[#This Row],[Rf]]</f>
        <v>0</v>
      </c>
      <c r="T131" s="193"/>
      <c r="U131" s="285" t="str">
        <f>IF(Tabella1[[#This Row],[N° FantaTit]]=1,Tabella1[[#This Row],[Voto]],"")</f>
        <v/>
      </c>
      <c r="V13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31" s="195"/>
      <c r="X131" s="193" t="str">
        <f>IF(Tabella1[[#This Row],[Best 11]]=1,Tabella1[[#This Row],[fanta voto]],"")</f>
        <v/>
      </c>
      <c r="Z131" s="193" t="str">
        <f>IF(Tabella1[[#This Row],[Best 11 MOD]]=1,Tabella1[[#This Row],[fanta voto]],"")</f>
        <v/>
      </c>
      <c r="AA131" t="str">
        <f>CONCATENATE(Tabella1[[#This Row],[GG]],Tabella1[[#This Row],[Nome]])</f>
        <v>1Zhegrova</v>
      </c>
      <c r="AC131" t="str">
        <f>_xlfn.CONCAT(Tabella1[[#This Row],[Ruolo]],Tabella1[[#This Row],[Gs]])</f>
        <v>C0</v>
      </c>
    </row>
    <row r="132" spans="1:29" hidden="1" x14ac:dyDescent="0.3">
      <c r="A132" s="286">
        <v>46254</v>
      </c>
      <c r="B132" s="15">
        <v>1</v>
      </c>
      <c r="C132" s="283" t="s">
        <v>777</v>
      </c>
      <c r="D132" t="s">
        <v>162</v>
      </c>
      <c r="E132" t="s">
        <v>786</v>
      </c>
      <c r="F132" s="194">
        <v>6.5</v>
      </c>
      <c r="G132" s="328">
        <v>0</v>
      </c>
      <c r="H132" s="328">
        <v>0</v>
      </c>
      <c r="I132" s="328">
        <v>0</v>
      </c>
      <c r="J132" s="328">
        <v>0</v>
      </c>
      <c r="K132" s="328">
        <v>0</v>
      </c>
      <c r="L132" s="328">
        <v>0</v>
      </c>
      <c r="M132" s="328">
        <v>0</v>
      </c>
      <c r="N132" s="328">
        <v>0</v>
      </c>
      <c r="O132" s="329">
        <v>1</v>
      </c>
      <c r="P132" s="300"/>
      <c r="Q132" s="284">
        <f t="shared" si="2"/>
        <v>0</v>
      </c>
      <c r="R132" s="3" t="str">
        <f>_xlfn.IFNA(VLOOKUP(Tabella1[[#This Row],[Nome]],'ROSE SQUADRE'!$N$3:$O$253,2,0),"")</f>
        <v>SAN GRIA</v>
      </c>
      <c r="S132" s="312">
        <f>Tabella1[[#This Row],[Gf]]+Tabella1[[#This Row],[Rf]]</f>
        <v>0</v>
      </c>
      <c r="T132" s="193"/>
      <c r="U132" s="285" t="str">
        <f>IF(Tabella1[[#This Row],[N° FantaTit]]=1,Tabella1[[#This Row],[Voto]],"")</f>
        <v/>
      </c>
      <c r="V13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7.5</v>
      </c>
      <c r="W132" s="195"/>
      <c r="X132" s="193" t="str">
        <f>IF(Tabella1[[#This Row],[Best 11]]=1,Tabella1[[#This Row],[fanta voto]],"")</f>
        <v/>
      </c>
      <c r="Z132" s="193" t="str">
        <f>IF(Tabella1[[#This Row],[Best 11 MOD]]=1,Tabella1[[#This Row],[fanta voto]],"")</f>
        <v/>
      </c>
      <c r="AA132" t="str">
        <f>CONCATENATE(Tabella1[[#This Row],[GG]],Tabella1[[#This Row],[Nome]])</f>
        <v>1Conceicao</v>
      </c>
      <c r="AC132" t="str">
        <f>_xlfn.CONCAT(Tabella1[[#This Row],[Ruolo]],Tabella1[[#This Row],[Gs]])</f>
        <v>C0</v>
      </c>
    </row>
    <row r="133" spans="1:29" hidden="1" x14ac:dyDescent="0.3">
      <c r="A133" s="286">
        <v>46254</v>
      </c>
      <c r="B133" s="15">
        <v>1</v>
      </c>
      <c r="C133" s="283" t="s">
        <v>777</v>
      </c>
      <c r="D133" s="330" t="s">
        <v>163</v>
      </c>
      <c r="E133" s="330" t="s">
        <v>791</v>
      </c>
      <c r="F133" s="331">
        <v>6</v>
      </c>
      <c r="G133" s="332">
        <v>0</v>
      </c>
      <c r="H133" s="332">
        <v>0</v>
      </c>
      <c r="I133" s="332">
        <v>0</v>
      </c>
      <c r="J133" s="332">
        <v>0</v>
      </c>
      <c r="K133" s="332">
        <v>0</v>
      </c>
      <c r="L133" s="332">
        <v>0</v>
      </c>
      <c r="M133" s="332">
        <v>0</v>
      </c>
      <c r="N133" s="332">
        <v>0</v>
      </c>
      <c r="O133" s="332">
        <v>0</v>
      </c>
      <c r="P133" s="300"/>
      <c r="Q133" s="284">
        <f t="shared" si="2"/>
        <v>0</v>
      </c>
      <c r="R133" s="3" t="str">
        <f>_xlfn.IFNA(VLOOKUP(Tabella1[[#This Row],[Nome]],'ROSE SQUADRE'!$N$3:$O$253,2,0),"")</f>
        <v>TRICCHETRACHT</v>
      </c>
      <c r="S133" s="312">
        <f>Tabella1[[#This Row],[Gf]]+Tabella1[[#This Row],[Rf]]</f>
        <v>0</v>
      </c>
      <c r="T133" s="193"/>
      <c r="U133" s="285" t="str">
        <f>IF(Tabella1[[#This Row],[N° FantaTit]]=1,Tabella1[[#This Row],[Voto]],"")</f>
        <v/>
      </c>
      <c r="V13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33" s="195"/>
      <c r="X133" s="193" t="str">
        <f>IF(Tabella1[[#This Row],[Best 11]]=1,Tabella1[[#This Row],[fanta voto]],"")</f>
        <v/>
      </c>
      <c r="Z133" s="193" t="str">
        <f>IF(Tabella1[[#This Row],[Best 11 MOD]]=1,Tabella1[[#This Row],[fanta voto]],"")</f>
        <v/>
      </c>
      <c r="AA133" t="str">
        <f>CONCATENATE(Tabella1[[#This Row],[GG]],Tabella1[[#This Row],[Nome]])</f>
        <v>1Boga</v>
      </c>
      <c r="AC133" t="str">
        <f>_xlfn.CONCAT(Tabella1[[#This Row],[Ruolo]],Tabella1[[#This Row],[Gs]])</f>
        <v>A0</v>
      </c>
    </row>
    <row r="134" spans="1:29" hidden="1" x14ac:dyDescent="0.3">
      <c r="A134" s="286">
        <v>46254</v>
      </c>
      <c r="B134" s="15">
        <v>1</v>
      </c>
      <c r="C134" s="283" t="s">
        <v>777</v>
      </c>
      <c r="D134" t="s">
        <v>163</v>
      </c>
      <c r="E134" t="s">
        <v>793</v>
      </c>
      <c r="F134" s="194">
        <v>5</v>
      </c>
      <c r="G134" s="328">
        <v>0</v>
      </c>
      <c r="H134" s="328">
        <v>0</v>
      </c>
      <c r="I134" s="328">
        <v>0</v>
      </c>
      <c r="J134" s="328">
        <v>0</v>
      </c>
      <c r="K134" s="328">
        <v>0</v>
      </c>
      <c r="L134" s="328">
        <v>0</v>
      </c>
      <c r="M134" s="328">
        <v>0</v>
      </c>
      <c r="N134" s="328">
        <v>0</v>
      </c>
      <c r="O134" s="328">
        <v>0</v>
      </c>
      <c r="P134" s="300"/>
      <c r="Q134" s="284">
        <f t="shared" si="2"/>
        <v>0</v>
      </c>
      <c r="R134" s="3" t="str">
        <f>_xlfn.IFNA(VLOOKUP(Tabella1[[#This Row],[Nome]],'ROSE SQUADRE'!$N$3:$O$253,2,0),"")</f>
        <v>SAN GRIA</v>
      </c>
      <c r="S134" s="312">
        <f>Tabella1[[#This Row],[Gf]]+Tabella1[[#This Row],[Rf]]</f>
        <v>0</v>
      </c>
      <c r="T134" s="193"/>
      <c r="U134" s="285" t="str">
        <f>IF(Tabella1[[#This Row],[N° FantaTit]]=1,Tabella1[[#This Row],[Voto]],"")</f>
        <v/>
      </c>
      <c r="V13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134" s="195"/>
      <c r="X134" s="193" t="str">
        <f>IF(Tabella1[[#This Row],[Best 11]]=1,Tabella1[[#This Row],[fanta voto]],"")</f>
        <v/>
      </c>
      <c r="Z134" s="193" t="str">
        <f>IF(Tabella1[[#This Row],[Best 11 MOD]]=1,Tabella1[[#This Row],[fanta voto]],"")</f>
        <v/>
      </c>
      <c r="AA134" t="str">
        <f>CONCATENATE(Tabella1[[#This Row],[GG]],Tabella1[[#This Row],[Nome]])</f>
        <v>1Kolo Muani</v>
      </c>
      <c r="AC134" t="str">
        <f>_xlfn.CONCAT(Tabella1[[#This Row],[Ruolo]],Tabella1[[#This Row],[Gs]])</f>
        <v>A0</v>
      </c>
    </row>
    <row r="135" spans="1:29" hidden="1" x14ac:dyDescent="0.3">
      <c r="A135" s="286">
        <v>46254</v>
      </c>
      <c r="B135" s="15">
        <v>1</v>
      </c>
      <c r="C135" s="283" t="s">
        <v>777</v>
      </c>
      <c r="D135" s="330" t="s">
        <v>163</v>
      </c>
      <c r="E135" s="330" t="s">
        <v>455</v>
      </c>
      <c r="F135" s="331">
        <v>5.5</v>
      </c>
      <c r="G135" s="332">
        <v>0</v>
      </c>
      <c r="H135" s="332">
        <v>0</v>
      </c>
      <c r="I135" s="332">
        <v>0</v>
      </c>
      <c r="J135" s="332">
        <v>0</v>
      </c>
      <c r="K135" s="332">
        <v>0</v>
      </c>
      <c r="L135" s="332">
        <v>0</v>
      </c>
      <c r="M135" s="332">
        <v>0</v>
      </c>
      <c r="N135" s="332">
        <v>0</v>
      </c>
      <c r="O135" s="332">
        <v>0</v>
      </c>
      <c r="P135" s="300"/>
      <c r="Q135" s="284">
        <f t="shared" si="2"/>
        <v>0</v>
      </c>
      <c r="R135" s="3" t="str">
        <f>_xlfn.IFNA(VLOOKUP(Tabella1[[#This Row],[Nome]],'ROSE SQUADRE'!$N$3:$O$253,2,0),"")</f>
        <v>PARTIZAN DEGRADO</v>
      </c>
      <c r="S135" s="312">
        <f>Tabella1[[#This Row],[Gf]]+Tabella1[[#This Row],[Rf]]</f>
        <v>0</v>
      </c>
      <c r="T135" s="193"/>
      <c r="U135" s="285" t="str">
        <f>IF(Tabella1[[#This Row],[N° FantaTit]]=1,Tabella1[[#This Row],[Voto]],"")</f>
        <v/>
      </c>
      <c r="V13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35" s="195"/>
      <c r="X135" s="193" t="str">
        <f>IF(Tabella1[[#This Row],[Best 11]]=1,Tabella1[[#This Row],[fanta voto]],"")</f>
        <v/>
      </c>
      <c r="Z135" s="193" t="str">
        <f>IF(Tabella1[[#This Row],[Best 11 MOD]]=1,Tabella1[[#This Row],[fanta voto]],"")</f>
        <v/>
      </c>
      <c r="AA135" t="str">
        <f>CONCATENATE(Tabella1[[#This Row],[GG]],Tabella1[[#This Row],[Nome]])</f>
        <v>1Yildiz</v>
      </c>
      <c r="AC135" t="str">
        <f>_xlfn.CONCAT(Tabella1[[#This Row],[Ruolo]],Tabella1[[#This Row],[Gs]])</f>
        <v>A0</v>
      </c>
    </row>
    <row r="136" spans="1:29" hidden="1" x14ac:dyDescent="0.3">
      <c r="A136" s="286">
        <v>46254</v>
      </c>
      <c r="B136" s="15">
        <v>1</v>
      </c>
      <c r="C136" s="283" t="s">
        <v>796</v>
      </c>
      <c r="D136" s="330" t="s">
        <v>5</v>
      </c>
      <c r="E136" s="330" t="s">
        <v>795</v>
      </c>
      <c r="F136" s="331">
        <v>6.5</v>
      </c>
      <c r="G136" s="332">
        <v>0</v>
      </c>
      <c r="H136" s="332">
        <v>0</v>
      </c>
      <c r="I136" s="332">
        <v>0</v>
      </c>
      <c r="J136" s="332">
        <v>0</v>
      </c>
      <c r="K136" s="332">
        <v>0</v>
      </c>
      <c r="L136" s="332">
        <v>0</v>
      </c>
      <c r="M136" s="332">
        <v>0</v>
      </c>
      <c r="N136" s="332">
        <v>0</v>
      </c>
      <c r="O136" s="332">
        <v>0</v>
      </c>
      <c r="P136" s="300"/>
      <c r="Q136" s="284">
        <f t="shared" si="2"/>
        <v>1</v>
      </c>
      <c r="R136" s="3" t="str">
        <f>_xlfn.IFNA(VLOOKUP(Tabella1[[#This Row],[Nome]],'ROSE SQUADRE'!$N$3:$O$253,2,0),"")</f>
        <v>AS PIPPERIA</v>
      </c>
      <c r="S136" s="312">
        <f>Tabella1[[#This Row],[Gf]]+Tabella1[[#This Row],[Rf]]</f>
        <v>0</v>
      </c>
      <c r="T136" s="193"/>
      <c r="U136" s="285" t="str">
        <f>IF(Tabella1[[#This Row],[N° FantaTit]]=1,Tabella1[[#This Row],[Voto]],"")</f>
        <v/>
      </c>
      <c r="V13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7.5</v>
      </c>
      <c r="W136" s="195"/>
      <c r="X136" s="193" t="str">
        <f>IF(Tabella1[[#This Row],[Best 11]]=1,Tabella1[[#This Row],[fanta voto]],"")</f>
        <v/>
      </c>
      <c r="Z136" s="193" t="str">
        <f>IF(Tabella1[[#This Row],[Best 11 MOD]]=1,Tabella1[[#This Row],[fanta voto]],"")</f>
        <v/>
      </c>
      <c r="AA136" t="str">
        <f>CONCATENATE(Tabella1[[#This Row],[GG]],Tabella1[[#This Row],[Nome]])</f>
        <v>1Mandas</v>
      </c>
      <c r="AC136" t="str">
        <f>_xlfn.CONCAT(Tabella1[[#This Row],[Ruolo]],Tabella1[[#This Row],[Gs]])</f>
        <v>P0</v>
      </c>
    </row>
    <row r="137" spans="1:29" hidden="1" x14ac:dyDescent="0.3">
      <c r="A137" s="286">
        <v>46254</v>
      </c>
      <c r="B137" s="15">
        <v>1</v>
      </c>
      <c r="C137" s="283" t="s">
        <v>796</v>
      </c>
      <c r="D137" t="s">
        <v>161</v>
      </c>
      <c r="E137" t="s">
        <v>245</v>
      </c>
      <c r="F137" s="194">
        <v>6</v>
      </c>
      <c r="G137" s="328">
        <v>0</v>
      </c>
      <c r="H137" s="328">
        <v>0</v>
      </c>
      <c r="I137" s="328">
        <v>0</v>
      </c>
      <c r="J137" s="328">
        <v>0</v>
      </c>
      <c r="K137" s="328">
        <v>0</v>
      </c>
      <c r="L137" s="328">
        <v>0</v>
      </c>
      <c r="M137" s="328">
        <v>0</v>
      </c>
      <c r="N137" s="328">
        <v>0</v>
      </c>
      <c r="O137" s="328">
        <v>0</v>
      </c>
      <c r="P137" s="300"/>
      <c r="Q137" s="284">
        <f t="shared" si="2"/>
        <v>0</v>
      </c>
      <c r="R137" s="3" t="str">
        <f>_xlfn.IFNA(VLOOKUP(Tabella1[[#This Row],[Nome]],'ROSE SQUADRE'!$N$3:$O$253,2,0),"")</f>
        <v/>
      </c>
      <c r="S137" s="312">
        <f>Tabella1[[#This Row],[Gf]]+Tabella1[[#This Row],[Rf]]</f>
        <v>0</v>
      </c>
      <c r="T137" s="193"/>
      <c r="U137" s="285" t="str">
        <f>IF(Tabella1[[#This Row],[N° FantaTit]]=1,Tabella1[[#This Row],[Voto]],"")</f>
        <v/>
      </c>
      <c r="V13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37" s="195"/>
      <c r="X137" s="193" t="str">
        <f>IF(Tabella1[[#This Row],[Best 11]]=1,Tabella1[[#This Row],[fanta voto]],"")</f>
        <v/>
      </c>
      <c r="Z137" s="193" t="str">
        <f>IF(Tabella1[[#This Row],[Best 11 MOD]]=1,Tabella1[[#This Row],[fanta voto]],"")</f>
        <v/>
      </c>
      <c r="AA137" t="str">
        <f>CONCATENATE(Tabella1[[#This Row],[GG]],Tabella1[[#This Row],[Nome]])</f>
        <v>1Marusic</v>
      </c>
      <c r="AC137" t="str">
        <f>_xlfn.CONCAT(Tabella1[[#This Row],[Ruolo]],Tabella1[[#This Row],[Gs]])</f>
        <v>D0</v>
      </c>
    </row>
    <row r="138" spans="1:29" hidden="1" x14ac:dyDescent="0.3">
      <c r="A138" s="286">
        <v>46254</v>
      </c>
      <c r="B138" s="15">
        <v>1</v>
      </c>
      <c r="C138" s="283" t="s">
        <v>796</v>
      </c>
      <c r="D138" s="330" t="s">
        <v>161</v>
      </c>
      <c r="E138" s="330" t="s">
        <v>801</v>
      </c>
      <c r="F138" s="331">
        <v>6</v>
      </c>
      <c r="G138" s="332">
        <v>0</v>
      </c>
      <c r="H138" s="332">
        <v>0</v>
      </c>
      <c r="I138" s="332">
        <v>0</v>
      </c>
      <c r="J138" s="332">
        <v>0</v>
      </c>
      <c r="K138" s="332">
        <v>0</v>
      </c>
      <c r="L138" s="332">
        <v>0</v>
      </c>
      <c r="M138" s="332">
        <v>0</v>
      </c>
      <c r="N138" s="332">
        <v>0</v>
      </c>
      <c r="O138" s="332">
        <v>0</v>
      </c>
      <c r="P138" s="300"/>
      <c r="Q138" s="284">
        <f t="shared" si="2"/>
        <v>0</v>
      </c>
      <c r="R138" s="3" t="str">
        <f>_xlfn.IFNA(VLOOKUP(Tabella1[[#This Row],[Nome]],'ROSE SQUADRE'!$N$3:$O$253,2,0),"")</f>
        <v>TRICCHETRACHT</v>
      </c>
      <c r="S138" s="312">
        <f>Tabella1[[#This Row],[Gf]]+Tabella1[[#This Row],[Rf]]</f>
        <v>0</v>
      </c>
      <c r="T138" s="193"/>
      <c r="U138" s="285" t="str">
        <f>IF(Tabella1[[#This Row],[N° FantaTit]]=1,Tabella1[[#This Row],[Voto]],"")</f>
        <v/>
      </c>
      <c r="V13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38" s="195"/>
      <c r="X138" s="193" t="str">
        <f>IF(Tabella1[[#This Row],[Best 11]]=1,Tabella1[[#This Row],[fanta voto]],"")</f>
        <v/>
      </c>
      <c r="Z138" s="193" t="str">
        <f>IF(Tabella1[[#This Row],[Best 11 MOD]]=1,Tabella1[[#This Row],[fanta voto]],"")</f>
        <v/>
      </c>
      <c r="AA138" t="str">
        <f>CONCATENATE(Tabella1[[#This Row],[GG]],Tabella1[[#This Row],[Nome]])</f>
        <v>1Pedraza</v>
      </c>
      <c r="AC138" t="str">
        <f>_xlfn.CONCAT(Tabella1[[#This Row],[Ruolo]],Tabella1[[#This Row],[Gs]])</f>
        <v>D0</v>
      </c>
    </row>
    <row r="139" spans="1:29" hidden="1" x14ac:dyDescent="0.3">
      <c r="A139" s="286">
        <v>46254</v>
      </c>
      <c r="B139" s="15">
        <v>1</v>
      </c>
      <c r="C139" s="283" t="s">
        <v>796</v>
      </c>
      <c r="D139" s="330" t="s">
        <v>161</v>
      </c>
      <c r="E139" s="330" t="s">
        <v>799</v>
      </c>
      <c r="F139" s="331">
        <v>6.5</v>
      </c>
      <c r="G139" s="332">
        <v>0</v>
      </c>
      <c r="H139" s="332">
        <v>0</v>
      </c>
      <c r="I139" s="332">
        <v>0</v>
      </c>
      <c r="J139" s="332">
        <v>0</v>
      </c>
      <c r="K139" s="332">
        <v>0</v>
      </c>
      <c r="L139" s="332">
        <v>0</v>
      </c>
      <c r="M139" s="332">
        <v>0</v>
      </c>
      <c r="N139" s="332">
        <v>0</v>
      </c>
      <c r="O139" s="332">
        <v>0</v>
      </c>
      <c r="P139" s="300"/>
      <c r="Q139" s="284">
        <f t="shared" si="2"/>
        <v>0</v>
      </c>
      <c r="R139" s="3" t="str">
        <f>_xlfn.IFNA(VLOOKUP(Tabella1[[#This Row],[Nome]],'ROSE SQUADRE'!$N$3:$O$253,2,0),"")</f>
        <v>AC ASPARAGHESE</v>
      </c>
      <c r="S139" s="312">
        <f>Tabella1[[#This Row],[Gf]]+Tabella1[[#This Row],[Rf]]</f>
        <v>0</v>
      </c>
      <c r="T139" s="193"/>
      <c r="U139" s="285" t="str">
        <f>IF(Tabella1[[#This Row],[N° FantaTit]]=1,Tabella1[[#This Row],[Voto]],"")</f>
        <v/>
      </c>
      <c r="V13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39" s="195"/>
      <c r="X139" s="193" t="str">
        <f>IF(Tabella1[[#This Row],[Best 11]]=1,Tabella1[[#This Row],[fanta voto]],"")</f>
        <v/>
      </c>
      <c r="Z139" s="193" t="str">
        <f>IF(Tabella1[[#This Row],[Best 11 MOD]]=1,Tabella1[[#This Row],[fanta voto]],"")</f>
        <v/>
      </c>
      <c r="AA139" t="str">
        <f>CONCATENATE(Tabella1[[#This Row],[GG]],Tabella1[[#This Row],[Nome]])</f>
        <v>1Doekhi</v>
      </c>
      <c r="AC139" t="str">
        <f>_xlfn.CONCAT(Tabella1[[#This Row],[Ruolo]],Tabella1[[#This Row],[Gs]])</f>
        <v>D0</v>
      </c>
    </row>
    <row r="140" spans="1:29" hidden="1" x14ac:dyDescent="0.3">
      <c r="A140" s="286">
        <v>46254</v>
      </c>
      <c r="B140" s="15">
        <v>1</v>
      </c>
      <c r="C140" s="283" t="s">
        <v>796</v>
      </c>
      <c r="D140" t="s">
        <v>161</v>
      </c>
      <c r="E140" t="s">
        <v>803</v>
      </c>
      <c r="F140" s="194">
        <v>6</v>
      </c>
      <c r="G140" s="328">
        <v>0</v>
      </c>
      <c r="H140" s="328">
        <v>0</v>
      </c>
      <c r="I140" s="328">
        <v>0</v>
      </c>
      <c r="J140" s="328">
        <v>0</v>
      </c>
      <c r="K140" s="328">
        <v>0</v>
      </c>
      <c r="L140" s="328">
        <v>0</v>
      </c>
      <c r="M140" s="329">
        <v>1</v>
      </c>
      <c r="N140" s="328">
        <v>0</v>
      </c>
      <c r="O140" s="328">
        <v>0</v>
      </c>
      <c r="P140" s="300"/>
      <c r="Q140" s="284">
        <f t="shared" si="2"/>
        <v>0</v>
      </c>
      <c r="R140" s="3" t="str">
        <f>_xlfn.IFNA(VLOOKUP(Tabella1[[#This Row],[Nome]],'ROSE SQUADRE'!$N$3:$O$253,2,0),"")</f>
        <v/>
      </c>
      <c r="S140" s="312">
        <f>Tabella1[[#This Row],[Gf]]+Tabella1[[#This Row],[Rf]]</f>
        <v>0</v>
      </c>
      <c r="T140" s="193"/>
      <c r="U140" s="285" t="str">
        <f>IF(Tabella1[[#This Row],[N° FantaTit]]=1,Tabella1[[#This Row],[Voto]],"")</f>
        <v/>
      </c>
      <c r="V14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40" s="195"/>
      <c r="X140" s="193" t="str">
        <f>IF(Tabella1[[#This Row],[Best 11]]=1,Tabella1[[#This Row],[fanta voto]],"")</f>
        <v/>
      </c>
      <c r="Z140" s="193" t="str">
        <f>IF(Tabella1[[#This Row],[Best 11 MOD]]=1,Tabella1[[#This Row],[fanta voto]],"")</f>
        <v/>
      </c>
      <c r="AA140" t="str">
        <f>CONCATENATE(Tabella1[[#This Row],[GG]],Tabella1[[#This Row],[Nome]])</f>
        <v>1Provstgaard</v>
      </c>
      <c r="AC140" t="str">
        <f>_xlfn.CONCAT(Tabella1[[#This Row],[Ruolo]],Tabella1[[#This Row],[Gs]])</f>
        <v>D0</v>
      </c>
    </row>
    <row r="141" spans="1:29" hidden="1" x14ac:dyDescent="0.3">
      <c r="A141" s="286">
        <v>46254</v>
      </c>
      <c r="B141" s="15">
        <v>1</v>
      </c>
      <c r="C141" s="283" t="s">
        <v>796</v>
      </c>
      <c r="D141" s="330" t="s">
        <v>161</v>
      </c>
      <c r="E141" s="330" t="s">
        <v>800</v>
      </c>
      <c r="F141" s="331">
        <v>6</v>
      </c>
      <c r="G141" s="332">
        <v>0</v>
      </c>
      <c r="H141" s="332">
        <v>0</v>
      </c>
      <c r="I141" s="332">
        <v>0</v>
      </c>
      <c r="J141" s="332">
        <v>0</v>
      </c>
      <c r="K141" s="332">
        <v>0</v>
      </c>
      <c r="L141" s="332">
        <v>0</v>
      </c>
      <c r="M141" s="333">
        <v>1</v>
      </c>
      <c r="N141" s="332">
        <v>0</v>
      </c>
      <c r="O141" s="332">
        <v>0</v>
      </c>
      <c r="P141" s="300"/>
      <c r="Q141" s="284">
        <f t="shared" si="2"/>
        <v>0</v>
      </c>
      <c r="R141" s="3" t="str">
        <f>_xlfn.IFNA(VLOOKUP(Tabella1[[#This Row],[Nome]],'ROSE SQUADRE'!$N$3:$O$253,2,0),"")</f>
        <v/>
      </c>
      <c r="S141" s="312">
        <f>Tabella1[[#This Row],[Gf]]+Tabella1[[#This Row],[Rf]]</f>
        <v>0</v>
      </c>
      <c r="T141" s="193"/>
      <c r="U141" s="285" t="str">
        <f>IF(Tabella1[[#This Row],[N° FantaTit]]=1,Tabella1[[#This Row],[Voto]],"")</f>
        <v/>
      </c>
      <c r="V14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41" s="195"/>
      <c r="X141" s="193" t="str">
        <f>IF(Tabella1[[#This Row],[Best 11]]=1,Tabella1[[#This Row],[fanta voto]],"")</f>
        <v/>
      </c>
      <c r="Z141" s="193" t="str">
        <f>IF(Tabella1[[#This Row],[Best 11 MOD]]=1,Tabella1[[#This Row],[fanta voto]],"")</f>
        <v/>
      </c>
      <c r="AA141" t="str">
        <f>CONCATENATE(Tabella1[[#This Row],[GG]],Tabella1[[#This Row],[Nome]])</f>
        <v>1Floriani Mussolini</v>
      </c>
      <c r="AC141" t="str">
        <f>_xlfn.CONCAT(Tabella1[[#This Row],[Ruolo]],Tabella1[[#This Row],[Gs]])</f>
        <v>D0</v>
      </c>
    </row>
    <row r="142" spans="1:29" hidden="1" x14ac:dyDescent="0.3">
      <c r="A142" s="286">
        <v>46254</v>
      </c>
      <c r="B142" s="15">
        <v>1</v>
      </c>
      <c r="C142" s="283" t="s">
        <v>796</v>
      </c>
      <c r="D142" t="s">
        <v>162</v>
      </c>
      <c r="E142" t="s">
        <v>302</v>
      </c>
      <c r="F142" s="194">
        <v>6</v>
      </c>
      <c r="G142" s="328">
        <v>0</v>
      </c>
      <c r="H142" s="328">
        <v>0</v>
      </c>
      <c r="I142" s="328">
        <v>0</v>
      </c>
      <c r="J142" s="328">
        <v>0</v>
      </c>
      <c r="K142" s="328">
        <v>0</v>
      </c>
      <c r="L142" s="328">
        <v>0</v>
      </c>
      <c r="M142" s="328">
        <v>0</v>
      </c>
      <c r="N142" s="328">
        <v>0</v>
      </c>
      <c r="O142" s="328">
        <v>0</v>
      </c>
      <c r="P142" s="300"/>
      <c r="Q142" s="284">
        <f t="shared" si="2"/>
        <v>0</v>
      </c>
      <c r="R142" s="3" t="str">
        <f>_xlfn.IFNA(VLOOKUP(Tabella1[[#This Row],[Nome]],'ROSE SQUADRE'!$N$3:$O$253,2,0),"")</f>
        <v>AS PIPPERIA</v>
      </c>
      <c r="S142" s="312">
        <f>Tabella1[[#This Row],[Gf]]+Tabella1[[#This Row],[Rf]]</f>
        <v>0</v>
      </c>
      <c r="T142" s="193"/>
      <c r="U142" s="285" t="str">
        <f>IF(Tabella1[[#This Row],[N° FantaTit]]=1,Tabella1[[#This Row],[Voto]],"")</f>
        <v/>
      </c>
      <c r="V14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42" s="195"/>
      <c r="X142" s="193" t="str">
        <f>IF(Tabella1[[#This Row],[Best 11]]=1,Tabella1[[#This Row],[fanta voto]],"")</f>
        <v/>
      </c>
      <c r="Z142" s="193" t="str">
        <f>IF(Tabella1[[#This Row],[Best 11 MOD]]=1,Tabella1[[#This Row],[fanta voto]],"")</f>
        <v/>
      </c>
      <c r="AA142" t="str">
        <f>CONCATENATE(Tabella1[[#This Row],[GG]],Tabella1[[#This Row],[Nome]])</f>
        <v>1Zaccagni</v>
      </c>
      <c r="AC142" t="str">
        <f>_xlfn.CONCAT(Tabella1[[#This Row],[Ruolo]],Tabella1[[#This Row],[Gs]])</f>
        <v>C0</v>
      </c>
    </row>
    <row r="143" spans="1:29" hidden="1" x14ac:dyDescent="0.3">
      <c r="A143" s="286">
        <v>46254</v>
      </c>
      <c r="B143" s="15">
        <v>1</v>
      </c>
      <c r="C143" s="283" t="s">
        <v>796</v>
      </c>
      <c r="D143" s="330" t="s">
        <v>162</v>
      </c>
      <c r="E143" s="330" t="s">
        <v>258</v>
      </c>
      <c r="F143" s="331">
        <v>7.5</v>
      </c>
      <c r="G143" s="333">
        <v>1</v>
      </c>
      <c r="H143" s="332">
        <v>0</v>
      </c>
      <c r="I143" s="332">
        <v>0</v>
      </c>
      <c r="J143" s="332">
        <v>0</v>
      </c>
      <c r="K143" s="332">
        <v>0</v>
      </c>
      <c r="L143" s="332">
        <v>0</v>
      </c>
      <c r="M143" s="332">
        <v>0</v>
      </c>
      <c r="N143" s="332">
        <v>0</v>
      </c>
      <c r="O143" s="332">
        <v>0</v>
      </c>
      <c r="P143" s="300">
        <v>1</v>
      </c>
      <c r="Q143" s="284">
        <f t="shared" si="2"/>
        <v>0</v>
      </c>
      <c r="R143" s="3" t="str">
        <f>_xlfn.IFNA(VLOOKUP(Tabella1[[#This Row],[Nome]],'ROSE SQUADRE'!$N$3:$O$253,2,0),"")</f>
        <v>TRICCHETRACHT</v>
      </c>
      <c r="S143" s="312">
        <f>Tabella1[[#This Row],[Gf]]+Tabella1[[#This Row],[Rf]]</f>
        <v>1</v>
      </c>
      <c r="T143" s="193"/>
      <c r="U143" s="285" t="str">
        <f>IF(Tabella1[[#This Row],[N° FantaTit]]=1,Tabella1[[#This Row],[Voto]],"")</f>
        <v/>
      </c>
      <c r="V14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11.5</v>
      </c>
      <c r="W143" s="195"/>
      <c r="X143" s="193" t="str">
        <f>IF(Tabella1[[#This Row],[Best 11]]=1,Tabella1[[#This Row],[fanta voto]],"")</f>
        <v/>
      </c>
      <c r="Z143" s="193" t="str">
        <f>IF(Tabella1[[#This Row],[Best 11 MOD]]=1,Tabella1[[#This Row],[fanta voto]],"")</f>
        <v/>
      </c>
      <c r="AA143" t="str">
        <f>CONCATENATE(Tabella1[[#This Row],[GG]],Tabella1[[#This Row],[Nome]])</f>
        <v>1Frattesi</v>
      </c>
      <c r="AC143" t="str">
        <f>_xlfn.CONCAT(Tabella1[[#This Row],[Ruolo]],Tabella1[[#This Row],[Gs]])</f>
        <v>C0</v>
      </c>
    </row>
    <row r="144" spans="1:29" hidden="1" x14ac:dyDescent="0.3">
      <c r="A144" s="286">
        <v>46254</v>
      </c>
      <c r="B144" s="15">
        <v>1</v>
      </c>
      <c r="C144" s="283" t="s">
        <v>796</v>
      </c>
      <c r="D144" t="s">
        <v>162</v>
      </c>
      <c r="E144" t="s">
        <v>339</v>
      </c>
      <c r="F144" s="194">
        <v>6.5</v>
      </c>
      <c r="G144" s="328">
        <v>0</v>
      </c>
      <c r="H144" s="328">
        <v>0</v>
      </c>
      <c r="I144" s="328">
        <v>0</v>
      </c>
      <c r="J144" s="328">
        <v>0</v>
      </c>
      <c r="K144" s="328">
        <v>0</v>
      </c>
      <c r="L144" s="328">
        <v>0</v>
      </c>
      <c r="M144" s="328">
        <v>0</v>
      </c>
      <c r="N144" s="328">
        <v>0</v>
      </c>
      <c r="O144" s="328">
        <v>0</v>
      </c>
      <c r="P144" s="300"/>
      <c r="Q144" s="284">
        <f t="shared" si="2"/>
        <v>0</v>
      </c>
      <c r="R144" s="3" t="str">
        <f>_xlfn.IFNA(VLOOKUP(Tabella1[[#This Row],[Nome]],'ROSE SQUADRE'!$N$3:$O$253,2,0),"")</f>
        <v/>
      </c>
      <c r="S144" s="312">
        <f>Tabella1[[#This Row],[Gf]]+Tabella1[[#This Row],[Rf]]</f>
        <v>0</v>
      </c>
      <c r="T144" s="193"/>
      <c r="U144" s="285" t="str">
        <f>IF(Tabella1[[#This Row],[N° FantaTit]]=1,Tabella1[[#This Row],[Voto]],"")</f>
        <v/>
      </c>
      <c r="V14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44" s="195"/>
      <c r="X144" s="193" t="str">
        <f>IF(Tabella1[[#This Row],[Best 11]]=1,Tabella1[[#This Row],[fanta voto]],"")</f>
        <v/>
      </c>
      <c r="Z144" s="193" t="str">
        <f>IF(Tabella1[[#This Row],[Best 11 MOD]]=1,Tabella1[[#This Row],[fanta voto]],"")</f>
        <v/>
      </c>
      <c r="AA144" t="str">
        <f>CONCATENATE(Tabella1[[#This Row],[GG]],Tabella1[[#This Row],[Nome]])</f>
        <v>1Rovella</v>
      </c>
      <c r="AC144" t="str">
        <f>_xlfn.CONCAT(Tabella1[[#This Row],[Ruolo]],Tabella1[[#This Row],[Gs]])</f>
        <v>C0</v>
      </c>
    </row>
    <row r="145" spans="1:29" hidden="1" x14ac:dyDescent="0.3">
      <c r="A145" s="286">
        <v>46254</v>
      </c>
      <c r="B145" s="15">
        <v>1</v>
      </c>
      <c r="C145" s="283" t="s">
        <v>796</v>
      </c>
      <c r="D145" s="330" t="s">
        <v>162</v>
      </c>
      <c r="E145" s="330" t="s">
        <v>330</v>
      </c>
      <c r="F145" s="331">
        <v>5.5</v>
      </c>
      <c r="G145" s="332">
        <v>0</v>
      </c>
      <c r="H145" s="332">
        <v>0</v>
      </c>
      <c r="I145" s="332">
        <v>0</v>
      </c>
      <c r="J145" s="332">
        <v>0</v>
      </c>
      <c r="K145" s="332">
        <v>0</v>
      </c>
      <c r="L145" s="332">
        <v>0</v>
      </c>
      <c r="M145" s="333">
        <v>1</v>
      </c>
      <c r="N145" s="332">
        <v>0</v>
      </c>
      <c r="O145" s="332">
        <v>0</v>
      </c>
      <c r="P145" s="300"/>
      <c r="Q145" s="284">
        <f t="shared" si="2"/>
        <v>0</v>
      </c>
      <c r="R145" s="3" t="str">
        <f>_xlfn.IFNA(VLOOKUP(Tabella1[[#This Row],[Nome]],'ROSE SQUADRE'!$N$3:$O$253,2,0),"")</f>
        <v>ATL. IMPROVVISATO</v>
      </c>
      <c r="S145" s="312">
        <f>Tabella1[[#This Row],[Gf]]+Tabella1[[#This Row],[Rf]]</f>
        <v>0</v>
      </c>
      <c r="T145" s="193"/>
      <c r="U145" s="285" t="str">
        <f>IF(Tabella1[[#This Row],[N° FantaTit]]=1,Tabella1[[#This Row],[Voto]],"")</f>
        <v/>
      </c>
      <c r="V14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145" s="195"/>
      <c r="X145" s="193" t="str">
        <f>IF(Tabella1[[#This Row],[Best 11]]=1,Tabella1[[#This Row],[fanta voto]],"")</f>
        <v/>
      </c>
      <c r="Z145" s="193" t="str">
        <f>IF(Tabella1[[#This Row],[Best 11 MOD]]=1,Tabella1[[#This Row],[fanta voto]],"")</f>
        <v/>
      </c>
      <c r="AA145" t="str">
        <f>CONCATENATE(Tabella1[[#This Row],[GG]],Tabella1[[#This Row],[Nome]])</f>
        <v>1Cancellieri</v>
      </c>
      <c r="AC145" t="str">
        <f>_xlfn.CONCAT(Tabella1[[#This Row],[Ruolo]],Tabella1[[#This Row],[Gs]])</f>
        <v>C0</v>
      </c>
    </row>
    <row r="146" spans="1:29" hidden="1" x14ac:dyDescent="0.3">
      <c r="A146" s="286">
        <v>46254</v>
      </c>
      <c r="B146" s="15">
        <v>1</v>
      </c>
      <c r="C146" s="283" t="s">
        <v>796</v>
      </c>
      <c r="D146" t="s">
        <v>162</v>
      </c>
      <c r="E146" t="s">
        <v>457</v>
      </c>
      <c r="F146" s="194">
        <v>6</v>
      </c>
      <c r="G146" s="328">
        <v>0</v>
      </c>
      <c r="H146" s="328">
        <v>0</v>
      </c>
      <c r="I146" s="328">
        <v>0</v>
      </c>
      <c r="J146" s="328">
        <v>0</v>
      </c>
      <c r="K146" s="328">
        <v>0</v>
      </c>
      <c r="L146" s="328">
        <v>0</v>
      </c>
      <c r="M146" s="328">
        <v>0</v>
      </c>
      <c r="N146" s="328">
        <v>0</v>
      </c>
      <c r="O146" s="328">
        <v>0</v>
      </c>
      <c r="P146" s="300"/>
      <c r="Q146" s="284">
        <f t="shared" si="2"/>
        <v>0</v>
      </c>
      <c r="R146" s="3" t="str">
        <f>_xlfn.IFNA(VLOOKUP(Tabella1[[#This Row],[Nome]],'ROSE SQUADRE'!$N$3:$O$253,2,0),"")</f>
        <v>PESCICULINI</v>
      </c>
      <c r="S146" s="312">
        <f>Tabella1[[#This Row],[Gf]]+Tabella1[[#This Row],[Rf]]</f>
        <v>0</v>
      </c>
      <c r="T146" s="193"/>
      <c r="U146" s="285" t="str">
        <f>IF(Tabella1[[#This Row],[N° FantaTit]]=1,Tabella1[[#This Row],[Voto]],"")</f>
        <v/>
      </c>
      <c r="V14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46" s="195"/>
      <c r="X146" s="193" t="str">
        <f>IF(Tabella1[[#This Row],[Best 11]]=1,Tabella1[[#This Row],[fanta voto]],"")</f>
        <v/>
      </c>
      <c r="Z146" s="193" t="str">
        <f>IF(Tabella1[[#This Row],[Best 11 MOD]]=1,Tabella1[[#This Row],[fanta voto]],"")</f>
        <v/>
      </c>
      <c r="AA146" t="str">
        <f>CONCATENATE(Tabella1[[#This Row],[GG]],Tabella1[[#This Row],[Nome]])</f>
        <v>1Isaksen</v>
      </c>
      <c r="AC146" t="str">
        <f>_xlfn.CONCAT(Tabella1[[#This Row],[Ruolo]],Tabella1[[#This Row],[Gs]])</f>
        <v>C0</v>
      </c>
    </row>
    <row r="147" spans="1:29" hidden="1" x14ac:dyDescent="0.3">
      <c r="A147" s="286">
        <v>46254</v>
      </c>
      <c r="B147" s="15">
        <v>1</v>
      </c>
      <c r="C147" s="283" t="s">
        <v>796</v>
      </c>
      <c r="D147" s="330" t="s">
        <v>162</v>
      </c>
      <c r="E147" s="330" t="s">
        <v>538</v>
      </c>
      <c r="F147" s="331">
        <v>5.5</v>
      </c>
      <c r="G147" s="332">
        <v>0</v>
      </c>
      <c r="H147" s="332">
        <v>0</v>
      </c>
      <c r="I147" s="332">
        <v>0</v>
      </c>
      <c r="J147" s="332">
        <v>0</v>
      </c>
      <c r="K147" s="332">
        <v>0</v>
      </c>
      <c r="L147" s="332">
        <v>0</v>
      </c>
      <c r="M147" s="332">
        <v>0</v>
      </c>
      <c r="N147" s="332">
        <v>0</v>
      </c>
      <c r="O147" s="332">
        <v>0</v>
      </c>
      <c r="P147" s="300"/>
      <c r="Q147" s="284">
        <f t="shared" si="2"/>
        <v>0</v>
      </c>
      <c r="R147" s="3" t="str">
        <f>_xlfn.IFNA(VLOOKUP(Tabella1[[#This Row],[Nome]],'ROSE SQUADRE'!$N$3:$O$253,2,0),"")</f>
        <v/>
      </c>
      <c r="S147" s="312">
        <f>Tabella1[[#This Row],[Gf]]+Tabella1[[#This Row],[Rf]]</f>
        <v>0</v>
      </c>
      <c r="T147" s="193"/>
      <c r="U147" s="285" t="str">
        <f>IF(Tabella1[[#This Row],[N° FantaTit]]=1,Tabella1[[#This Row],[Voto]],"")</f>
        <v/>
      </c>
      <c r="V14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47" s="195"/>
      <c r="X147" s="193" t="str">
        <f>IF(Tabella1[[#This Row],[Best 11]]=1,Tabella1[[#This Row],[fanta voto]],"")</f>
        <v/>
      </c>
      <c r="Z147" s="193" t="str">
        <f>IF(Tabella1[[#This Row],[Best 11 MOD]]=1,Tabella1[[#This Row],[fanta voto]],"")</f>
        <v/>
      </c>
      <c r="AA147" t="str">
        <f>CONCATENATE(Tabella1[[#This Row],[GG]],Tabella1[[#This Row],[Nome]])</f>
        <v>1Dele-Bashiru</v>
      </c>
      <c r="AC147" t="str">
        <f>_xlfn.CONCAT(Tabella1[[#This Row],[Ruolo]],Tabella1[[#This Row],[Gs]])</f>
        <v>C0</v>
      </c>
    </row>
    <row r="148" spans="1:29" hidden="1" x14ac:dyDescent="0.3">
      <c r="A148" s="286">
        <v>46254</v>
      </c>
      <c r="B148" s="15">
        <v>1</v>
      </c>
      <c r="C148" s="283" t="s">
        <v>796</v>
      </c>
      <c r="D148" t="s">
        <v>162</v>
      </c>
      <c r="E148" t="s">
        <v>807</v>
      </c>
      <c r="F148" s="194">
        <v>6</v>
      </c>
      <c r="G148" s="328">
        <v>0</v>
      </c>
      <c r="H148" s="328">
        <v>0</v>
      </c>
      <c r="I148" s="328">
        <v>0</v>
      </c>
      <c r="J148" s="328">
        <v>0</v>
      </c>
      <c r="K148" s="328">
        <v>0</v>
      </c>
      <c r="L148" s="328">
        <v>0</v>
      </c>
      <c r="M148" s="328">
        <v>0</v>
      </c>
      <c r="N148" s="328">
        <v>0</v>
      </c>
      <c r="O148" s="328">
        <v>0</v>
      </c>
      <c r="P148" s="300"/>
      <c r="Q148" s="284">
        <f t="shared" si="2"/>
        <v>0</v>
      </c>
      <c r="R148" s="3" t="str">
        <f>_xlfn.IFNA(VLOOKUP(Tabella1[[#This Row],[Nome]],'ROSE SQUADRE'!$N$3:$O$253,2,0),"")</f>
        <v>SHARK</v>
      </c>
      <c r="S148" s="312">
        <f>Tabella1[[#This Row],[Gf]]+Tabella1[[#This Row],[Rf]]</f>
        <v>0</v>
      </c>
      <c r="T148" s="193"/>
      <c r="U148" s="285" t="str">
        <f>IF(Tabella1[[#This Row],[N° FantaTit]]=1,Tabella1[[#This Row],[Voto]],"")</f>
        <v/>
      </c>
      <c r="V14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48" s="195"/>
      <c r="X148" s="193" t="str">
        <f>IF(Tabella1[[#This Row],[Best 11]]=1,Tabella1[[#This Row],[fanta voto]],"")</f>
        <v/>
      </c>
      <c r="Z148" s="193" t="str">
        <f>IF(Tabella1[[#This Row],[Best 11 MOD]]=1,Tabella1[[#This Row],[fanta voto]],"")</f>
        <v/>
      </c>
      <c r="AA148" t="str">
        <f>CONCATENATE(Tabella1[[#This Row],[GG]],Tabella1[[#This Row],[Nome]])</f>
        <v>1Taylor K.</v>
      </c>
      <c r="AC148" t="str">
        <f>_xlfn.CONCAT(Tabella1[[#This Row],[Ruolo]],Tabella1[[#This Row],[Gs]])</f>
        <v>C0</v>
      </c>
    </row>
    <row r="149" spans="1:29" hidden="1" x14ac:dyDescent="0.3">
      <c r="A149" s="286">
        <v>46254</v>
      </c>
      <c r="B149" s="15">
        <v>1</v>
      </c>
      <c r="C149" s="283" t="s">
        <v>796</v>
      </c>
      <c r="D149" s="330" t="s">
        <v>163</v>
      </c>
      <c r="E149" s="330" t="s">
        <v>614</v>
      </c>
      <c r="F149" s="331">
        <v>6.5</v>
      </c>
      <c r="G149" s="332">
        <v>0</v>
      </c>
      <c r="H149" s="332">
        <v>0</v>
      </c>
      <c r="I149" s="332">
        <v>0</v>
      </c>
      <c r="J149" s="332">
        <v>0</v>
      </c>
      <c r="K149" s="332">
        <v>0</v>
      </c>
      <c r="L149" s="332">
        <v>0</v>
      </c>
      <c r="M149" s="333">
        <v>1</v>
      </c>
      <c r="N149" s="332">
        <v>0</v>
      </c>
      <c r="O149" s="333">
        <v>1</v>
      </c>
      <c r="P149" s="300"/>
      <c r="Q149" s="284">
        <f t="shared" si="2"/>
        <v>0</v>
      </c>
      <c r="R149" s="3" t="str">
        <f>_xlfn.IFNA(VLOOKUP(Tabella1[[#This Row],[Nome]],'ROSE SQUADRE'!$N$3:$O$253,2,0),"")</f>
        <v/>
      </c>
      <c r="S149" s="312">
        <f>Tabella1[[#This Row],[Gf]]+Tabella1[[#This Row],[Rf]]</f>
        <v>0</v>
      </c>
      <c r="T149" s="193"/>
      <c r="U149" s="285" t="str">
        <f>IF(Tabella1[[#This Row],[N° FantaTit]]=1,Tabella1[[#This Row],[Voto]],"")</f>
        <v/>
      </c>
      <c r="V14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149" s="195"/>
      <c r="X149" s="193" t="str">
        <f>IF(Tabella1[[#This Row],[Best 11]]=1,Tabella1[[#This Row],[fanta voto]],"")</f>
        <v/>
      </c>
      <c r="Z149" s="193" t="str">
        <f>IF(Tabella1[[#This Row],[Best 11 MOD]]=1,Tabella1[[#This Row],[fanta voto]],"")</f>
        <v/>
      </c>
      <c r="AA149" t="str">
        <f>CONCATENATE(Tabella1[[#This Row],[GG]],Tabella1[[#This Row],[Nome]])</f>
        <v>1Dia</v>
      </c>
      <c r="AC149" t="str">
        <f>_xlfn.CONCAT(Tabella1[[#This Row],[Ruolo]],Tabella1[[#This Row],[Gs]])</f>
        <v>A0</v>
      </c>
    </row>
    <row r="150" spans="1:29" hidden="1" x14ac:dyDescent="0.3">
      <c r="A150" s="286">
        <v>46254</v>
      </c>
      <c r="B150" s="15">
        <v>1</v>
      </c>
      <c r="C150" s="283" t="s">
        <v>810</v>
      </c>
      <c r="D150" t="s">
        <v>5</v>
      </c>
      <c r="E150" t="s">
        <v>296</v>
      </c>
      <c r="F150" s="194">
        <v>7</v>
      </c>
      <c r="G150" s="328">
        <v>0</v>
      </c>
      <c r="H150" s="328">
        <v>0</v>
      </c>
      <c r="I150" s="328">
        <v>0</v>
      </c>
      <c r="J150" s="328">
        <v>0</v>
      </c>
      <c r="K150" s="328">
        <v>0</v>
      </c>
      <c r="L150" s="328">
        <v>0</v>
      </c>
      <c r="M150" s="328">
        <v>0</v>
      </c>
      <c r="N150" s="328">
        <v>0</v>
      </c>
      <c r="O150" s="328">
        <v>0</v>
      </c>
      <c r="P150" s="300"/>
      <c r="Q150" s="284">
        <f t="shared" si="2"/>
        <v>1</v>
      </c>
      <c r="R150" s="3" t="str">
        <f>_xlfn.IFNA(VLOOKUP(Tabella1[[#This Row],[Nome]],'ROSE SQUADRE'!$N$3:$O$253,2,0),"")</f>
        <v>PARTIZAN DEGRADO</v>
      </c>
      <c r="S150" s="312">
        <f>Tabella1[[#This Row],[Gf]]+Tabella1[[#This Row],[Rf]]</f>
        <v>0</v>
      </c>
      <c r="T150" s="193"/>
      <c r="U150" s="285" t="str">
        <f>IF(Tabella1[[#This Row],[N° FantaTit]]=1,Tabella1[[#This Row],[Voto]],"")</f>
        <v/>
      </c>
      <c r="V15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8</v>
      </c>
      <c r="W150" s="195"/>
      <c r="X150" s="193" t="str">
        <f>IF(Tabella1[[#This Row],[Best 11]]=1,Tabella1[[#This Row],[fanta voto]],"")</f>
        <v/>
      </c>
      <c r="Z150" s="193" t="str">
        <f>IF(Tabella1[[#This Row],[Best 11 MOD]]=1,Tabella1[[#This Row],[fanta voto]],"")</f>
        <v/>
      </c>
      <c r="AA150" t="str">
        <f>CONCATENATE(Tabella1[[#This Row],[GG]],Tabella1[[#This Row],[Nome]])</f>
        <v>1Falcone</v>
      </c>
      <c r="AC150" t="str">
        <f>_xlfn.CONCAT(Tabella1[[#This Row],[Ruolo]],Tabella1[[#This Row],[Gs]])</f>
        <v>P0</v>
      </c>
    </row>
    <row r="151" spans="1:29" hidden="1" x14ac:dyDescent="0.3">
      <c r="A151" s="286">
        <v>46254</v>
      </c>
      <c r="B151" s="15">
        <v>1</v>
      </c>
      <c r="C151" s="283" t="s">
        <v>810</v>
      </c>
      <c r="D151" s="330" t="s">
        <v>161</v>
      </c>
      <c r="E151" s="330" t="s">
        <v>212</v>
      </c>
      <c r="F151" s="331">
        <v>5.5</v>
      </c>
      <c r="G151" s="332">
        <v>0</v>
      </c>
      <c r="H151" s="332">
        <v>0</v>
      </c>
      <c r="I151" s="332">
        <v>0</v>
      </c>
      <c r="J151" s="332">
        <v>0</v>
      </c>
      <c r="K151" s="332">
        <v>0</v>
      </c>
      <c r="L151" s="332">
        <v>0</v>
      </c>
      <c r="M151" s="332">
        <v>0</v>
      </c>
      <c r="N151" s="332">
        <v>0</v>
      </c>
      <c r="O151" s="332">
        <v>0</v>
      </c>
      <c r="P151" s="300"/>
      <c r="Q151" s="284">
        <f t="shared" si="2"/>
        <v>0</v>
      </c>
      <c r="R151" s="3" t="str">
        <f>_xlfn.IFNA(VLOOKUP(Tabella1[[#This Row],[Nome]],'ROSE SQUADRE'!$N$3:$O$253,2,0),"")</f>
        <v>ATL. IMPROVVISATO</v>
      </c>
      <c r="S151" s="312">
        <f>Tabella1[[#This Row],[Gf]]+Tabella1[[#This Row],[Rf]]</f>
        <v>0</v>
      </c>
      <c r="T151" s="193"/>
      <c r="U151" s="285" t="str">
        <f>IF(Tabella1[[#This Row],[N° FantaTit]]=1,Tabella1[[#This Row],[Voto]],"")</f>
        <v/>
      </c>
      <c r="V15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51" s="195"/>
      <c r="X151" s="193" t="str">
        <f>IF(Tabella1[[#This Row],[Best 11]]=1,Tabella1[[#This Row],[fanta voto]],"")</f>
        <v/>
      </c>
      <c r="Z151" s="193" t="str">
        <f>IF(Tabella1[[#This Row],[Best 11 MOD]]=1,Tabella1[[#This Row],[fanta voto]],"")</f>
        <v/>
      </c>
      <c r="AA151" t="str">
        <f>CONCATENATE(Tabella1[[#This Row],[GG]],Tabella1[[#This Row],[Nome]])</f>
        <v>1Gallo</v>
      </c>
      <c r="AC151" t="str">
        <f>_xlfn.CONCAT(Tabella1[[#This Row],[Ruolo]],Tabella1[[#This Row],[Gs]])</f>
        <v>D0</v>
      </c>
    </row>
    <row r="152" spans="1:29" hidden="1" x14ac:dyDescent="0.3">
      <c r="A152" s="286">
        <v>46254</v>
      </c>
      <c r="B152" s="15">
        <v>1</v>
      </c>
      <c r="C152" s="283" t="s">
        <v>810</v>
      </c>
      <c r="D152" t="s">
        <v>161</v>
      </c>
      <c r="E152" t="s">
        <v>540</v>
      </c>
      <c r="F152" s="194">
        <v>7</v>
      </c>
      <c r="G152" s="328">
        <v>0</v>
      </c>
      <c r="H152" s="328">
        <v>0</v>
      </c>
      <c r="I152" s="328">
        <v>0</v>
      </c>
      <c r="J152" s="328">
        <v>0</v>
      </c>
      <c r="K152" s="328">
        <v>0</v>
      </c>
      <c r="L152" s="328">
        <v>0</v>
      </c>
      <c r="M152" s="329">
        <v>1</v>
      </c>
      <c r="N152" s="328">
        <v>0</v>
      </c>
      <c r="O152" s="328">
        <v>0</v>
      </c>
      <c r="P152" s="300"/>
      <c r="Q152" s="284">
        <f t="shared" si="2"/>
        <v>0</v>
      </c>
      <c r="R152" s="3" t="str">
        <f>_xlfn.IFNA(VLOOKUP(Tabella1[[#This Row],[Nome]],'ROSE SQUADRE'!$N$3:$O$253,2,0),"")</f>
        <v>AS PIPPERIA</v>
      </c>
      <c r="S152" s="312">
        <f>Tabella1[[#This Row],[Gf]]+Tabella1[[#This Row],[Rf]]</f>
        <v>0</v>
      </c>
      <c r="T152" s="193"/>
      <c r="U152" s="285" t="str">
        <f>IF(Tabella1[[#This Row],[N° FantaTit]]=1,Tabella1[[#This Row],[Voto]],"")</f>
        <v/>
      </c>
      <c r="V15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52" s="195"/>
      <c r="X152" s="193" t="str">
        <f>IF(Tabella1[[#This Row],[Best 11]]=1,Tabella1[[#This Row],[fanta voto]],"")</f>
        <v/>
      </c>
      <c r="Z152" s="193" t="str">
        <f>IF(Tabella1[[#This Row],[Best 11 MOD]]=1,Tabella1[[#This Row],[fanta voto]],"")</f>
        <v/>
      </c>
      <c r="AA152" t="str">
        <f>CONCATENATE(Tabella1[[#This Row],[GG]],Tabella1[[#This Row],[Nome]])</f>
        <v>1Gaspar K.</v>
      </c>
      <c r="AC152" t="str">
        <f>_xlfn.CONCAT(Tabella1[[#This Row],[Ruolo]],Tabella1[[#This Row],[Gs]])</f>
        <v>D0</v>
      </c>
    </row>
    <row r="153" spans="1:29" hidden="1" x14ac:dyDescent="0.3">
      <c r="A153" s="286">
        <v>46254</v>
      </c>
      <c r="B153" s="15">
        <v>1</v>
      </c>
      <c r="C153" s="283" t="s">
        <v>810</v>
      </c>
      <c r="D153" s="330" t="s">
        <v>161</v>
      </c>
      <c r="E153" s="330" t="s">
        <v>815</v>
      </c>
      <c r="F153" s="331">
        <v>7</v>
      </c>
      <c r="G153" s="333">
        <v>1</v>
      </c>
      <c r="H153" s="332">
        <v>0</v>
      </c>
      <c r="I153" s="332">
        <v>0</v>
      </c>
      <c r="J153" s="332">
        <v>0</v>
      </c>
      <c r="K153" s="332">
        <v>0</v>
      </c>
      <c r="L153" s="332">
        <v>0</v>
      </c>
      <c r="M153" s="332">
        <v>0</v>
      </c>
      <c r="N153" s="332">
        <v>0</v>
      </c>
      <c r="O153" s="332">
        <v>0</v>
      </c>
      <c r="P153" s="300">
        <v>1</v>
      </c>
      <c r="Q153" s="284">
        <f t="shared" si="2"/>
        <v>0</v>
      </c>
      <c r="R153" s="3" t="str">
        <f>_xlfn.IFNA(VLOOKUP(Tabella1[[#This Row],[Nome]],'ROSE SQUADRE'!$N$3:$O$253,2,0),"")</f>
        <v>PARTIZAN DEGRADO</v>
      </c>
      <c r="S153" s="312">
        <f>Tabella1[[#This Row],[Gf]]+Tabella1[[#This Row],[Rf]]</f>
        <v>1</v>
      </c>
      <c r="T153" s="193"/>
      <c r="U153" s="285" t="str">
        <f>IF(Tabella1[[#This Row],[N° FantaTit]]=1,Tabella1[[#This Row],[Voto]],"")</f>
        <v/>
      </c>
      <c r="V15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11</v>
      </c>
      <c r="W153" s="195"/>
      <c r="X153" s="193" t="str">
        <f>IF(Tabella1[[#This Row],[Best 11]]=1,Tabella1[[#This Row],[fanta voto]],"")</f>
        <v/>
      </c>
      <c r="Z153" s="193" t="str">
        <f>IF(Tabella1[[#This Row],[Best 11 MOD]]=1,Tabella1[[#This Row],[fanta voto]],"")</f>
        <v/>
      </c>
      <c r="AA153" t="str">
        <f>CONCATENATE(Tabella1[[#This Row],[GG]],Tabella1[[#This Row],[Nome]])</f>
        <v>1Tiago Gabriel</v>
      </c>
      <c r="AC153" t="str">
        <f>_xlfn.CONCAT(Tabella1[[#This Row],[Ruolo]],Tabella1[[#This Row],[Gs]])</f>
        <v>D0</v>
      </c>
    </row>
    <row r="154" spans="1:29" hidden="1" x14ac:dyDescent="0.3">
      <c r="A154" s="286">
        <v>46254</v>
      </c>
      <c r="B154" s="15">
        <v>1</v>
      </c>
      <c r="C154" s="283" t="s">
        <v>810</v>
      </c>
      <c r="D154" t="s">
        <v>161</v>
      </c>
      <c r="E154" t="s">
        <v>816</v>
      </c>
      <c r="F154" s="194">
        <v>6.5</v>
      </c>
      <c r="G154" s="328">
        <v>0</v>
      </c>
      <c r="H154" s="328">
        <v>0</v>
      </c>
      <c r="I154" s="328">
        <v>0</v>
      </c>
      <c r="J154" s="328">
        <v>0</v>
      </c>
      <c r="K154" s="328">
        <v>0</v>
      </c>
      <c r="L154" s="328">
        <v>0</v>
      </c>
      <c r="M154" s="329">
        <v>1</v>
      </c>
      <c r="N154" s="328">
        <v>0</v>
      </c>
      <c r="O154" s="329">
        <v>1</v>
      </c>
      <c r="P154" s="300"/>
      <c r="Q154" s="284">
        <f t="shared" si="2"/>
        <v>0</v>
      </c>
      <c r="R154" s="3" t="str">
        <f>_xlfn.IFNA(VLOOKUP(Tabella1[[#This Row],[Nome]],'ROSE SQUADRE'!$N$3:$O$253,2,0),"")</f>
        <v>TRICCHETRACHT</v>
      </c>
      <c r="S154" s="312">
        <f>Tabella1[[#This Row],[Gf]]+Tabella1[[#This Row],[Rf]]</f>
        <v>0</v>
      </c>
      <c r="T154" s="193"/>
      <c r="U154" s="285" t="str">
        <f>IF(Tabella1[[#This Row],[N° FantaTit]]=1,Tabella1[[#This Row],[Voto]],"")</f>
        <v/>
      </c>
      <c r="V15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154" s="195"/>
      <c r="X154" s="193" t="str">
        <f>IF(Tabella1[[#This Row],[Best 11]]=1,Tabella1[[#This Row],[fanta voto]],"")</f>
        <v/>
      </c>
      <c r="Z154" s="193" t="str">
        <f>IF(Tabella1[[#This Row],[Best 11 MOD]]=1,Tabella1[[#This Row],[fanta voto]],"")</f>
        <v/>
      </c>
      <c r="AA154" t="str">
        <f>CONCATENATE(Tabella1[[#This Row],[GG]],Tabella1[[#This Row],[Nome]])</f>
        <v>1Veiga D.</v>
      </c>
      <c r="AC154" t="str">
        <f>_xlfn.CONCAT(Tabella1[[#This Row],[Ruolo]],Tabella1[[#This Row],[Gs]])</f>
        <v>D0</v>
      </c>
    </row>
    <row r="155" spans="1:29" hidden="1" x14ac:dyDescent="0.3">
      <c r="A155" s="286">
        <v>46254</v>
      </c>
      <c r="B155" s="15">
        <v>1</v>
      </c>
      <c r="C155" s="283" t="s">
        <v>810</v>
      </c>
      <c r="D155" s="330" t="s">
        <v>161</v>
      </c>
      <c r="E155" s="330" t="s">
        <v>813</v>
      </c>
      <c r="F155" s="331">
        <v>6</v>
      </c>
      <c r="G155" s="332">
        <v>0</v>
      </c>
      <c r="H155" s="332">
        <v>0</v>
      </c>
      <c r="I155" s="332">
        <v>0</v>
      </c>
      <c r="J155" s="332">
        <v>0</v>
      </c>
      <c r="K155" s="332">
        <v>0</v>
      </c>
      <c r="L155" s="332">
        <v>0</v>
      </c>
      <c r="M155" s="332">
        <v>0</v>
      </c>
      <c r="N155" s="332">
        <v>0</v>
      </c>
      <c r="O155" s="332">
        <v>0</v>
      </c>
      <c r="P155" s="300"/>
      <c r="Q155" s="284">
        <f t="shared" ref="Q155:Q205" si="3">IF(AC155="P0",1,0)</f>
        <v>0</v>
      </c>
      <c r="R155" s="3" t="str">
        <f>_xlfn.IFNA(VLOOKUP(Tabella1[[#This Row],[Nome]],'ROSE SQUADRE'!$N$3:$O$253,2,0),"")</f>
        <v/>
      </c>
      <c r="S155" s="312">
        <f>Tabella1[[#This Row],[Gf]]+Tabella1[[#This Row],[Rf]]</f>
        <v>0</v>
      </c>
      <c r="T155" s="193"/>
      <c r="U155" s="285" t="str">
        <f>IF(Tabella1[[#This Row],[N° FantaTit]]=1,Tabella1[[#This Row],[Voto]],"")</f>
        <v/>
      </c>
      <c r="V15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55" s="195"/>
      <c r="X155" s="193" t="str">
        <f>IF(Tabella1[[#This Row],[Best 11]]=1,Tabella1[[#This Row],[fanta voto]],"")</f>
        <v/>
      </c>
      <c r="Z155" s="193" t="str">
        <f>IF(Tabella1[[#This Row],[Best 11 MOD]]=1,Tabella1[[#This Row],[fanta voto]],"")</f>
        <v/>
      </c>
      <c r="AA155" t="str">
        <f>CONCATENATE(Tabella1[[#This Row],[GG]],Tabella1[[#This Row],[Nome]])</f>
        <v>1Ndaba</v>
      </c>
      <c r="AC155" t="str">
        <f>_xlfn.CONCAT(Tabella1[[#This Row],[Ruolo]],Tabella1[[#This Row],[Gs]])</f>
        <v>D0</v>
      </c>
    </row>
    <row r="156" spans="1:29" hidden="1" x14ac:dyDescent="0.3">
      <c r="A156" s="286">
        <v>46254</v>
      </c>
      <c r="B156" s="15">
        <v>1</v>
      </c>
      <c r="C156" s="283" t="s">
        <v>810</v>
      </c>
      <c r="D156" t="s">
        <v>161</v>
      </c>
      <c r="E156" t="s">
        <v>814</v>
      </c>
      <c r="F156" s="194">
        <v>6.5</v>
      </c>
      <c r="G156" s="328">
        <v>0</v>
      </c>
      <c r="H156" s="328">
        <v>0</v>
      </c>
      <c r="I156" s="328">
        <v>0</v>
      </c>
      <c r="J156" s="328">
        <v>0</v>
      </c>
      <c r="K156" s="328">
        <v>0</v>
      </c>
      <c r="L156" s="328">
        <v>0</v>
      </c>
      <c r="M156" s="328">
        <v>0</v>
      </c>
      <c r="N156" s="328">
        <v>0</v>
      </c>
      <c r="O156" s="328">
        <v>0</v>
      </c>
      <c r="P156" s="300"/>
      <c r="Q156" s="284">
        <f t="shared" si="3"/>
        <v>0</v>
      </c>
      <c r="R156" s="3" t="str">
        <f>_xlfn.IFNA(VLOOKUP(Tabella1[[#This Row],[Nome]],'ROSE SQUADRE'!$N$3:$O$253,2,0),"")</f>
        <v/>
      </c>
      <c r="S156" s="312">
        <f>Tabella1[[#This Row],[Gf]]+Tabella1[[#This Row],[Rf]]</f>
        <v>0</v>
      </c>
      <c r="T156" s="193"/>
      <c r="U156" s="285" t="str">
        <f>IF(Tabella1[[#This Row],[N° FantaTit]]=1,Tabella1[[#This Row],[Voto]],"")</f>
        <v/>
      </c>
      <c r="V15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56" s="195"/>
      <c r="X156" s="193" t="str">
        <f>IF(Tabella1[[#This Row],[Best 11]]=1,Tabella1[[#This Row],[fanta voto]],"")</f>
        <v/>
      </c>
      <c r="Z156" s="193" t="str">
        <f>IF(Tabella1[[#This Row],[Best 11 MOD]]=1,Tabella1[[#This Row],[fanta voto]],"")</f>
        <v/>
      </c>
      <c r="AA156" t="str">
        <f>CONCATENATE(Tabella1[[#This Row],[GG]],Tabella1[[#This Row],[Nome]])</f>
        <v>1Siebert</v>
      </c>
      <c r="AC156" t="str">
        <f>_xlfn.CONCAT(Tabella1[[#This Row],[Ruolo]],Tabella1[[#This Row],[Gs]])</f>
        <v>D0</v>
      </c>
    </row>
    <row r="157" spans="1:29" hidden="1" x14ac:dyDescent="0.3">
      <c r="A157" s="286">
        <v>46254</v>
      </c>
      <c r="B157" s="15">
        <v>1</v>
      </c>
      <c r="C157" s="283" t="s">
        <v>810</v>
      </c>
      <c r="D157" s="330" t="s">
        <v>162</v>
      </c>
      <c r="E157" s="330" t="s">
        <v>242</v>
      </c>
      <c r="F157" s="331">
        <v>6.5</v>
      </c>
      <c r="G157" s="332">
        <v>0</v>
      </c>
      <c r="H157" s="332">
        <v>0</v>
      </c>
      <c r="I157" s="332">
        <v>0</v>
      </c>
      <c r="J157" s="332">
        <v>0</v>
      </c>
      <c r="K157" s="332">
        <v>0</v>
      </c>
      <c r="L157" s="332">
        <v>0</v>
      </c>
      <c r="M157" s="332">
        <v>0</v>
      </c>
      <c r="N157" s="332">
        <v>0</v>
      </c>
      <c r="O157" s="332">
        <v>0</v>
      </c>
      <c r="P157" s="300"/>
      <c r="Q157" s="284">
        <f t="shared" si="3"/>
        <v>0</v>
      </c>
      <c r="R157" s="3" t="str">
        <f>_xlfn.IFNA(VLOOKUP(Tabella1[[#This Row],[Nome]],'ROSE SQUADRE'!$N$3:$O$253,2,0),"")</f>
        <v>SHARK</v>
      </c>
      <c r="S157" s="312">
        <f>Tabella1[[#This Row],[Gf]]+Tabella1[[#This Row],[Rf]]</f>
        <v>0</v>
      </c>
      <c r="T157" s="193"/>
      <c r="U157" s="285" t="str">
        <f>IF(Tabella1[[#This Row],[N° FantaTit]]=1,Tabella1[[#This Row],[Voto]],"")</f>
        <v/>
      </c>
      <c r="V15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57" s="195"/>
      <c r="X157" s="193" t="str">
        <f>IF(Tabella1[[#This Row],[Best 11]]=1,Tabella1[[#This Row],[fanta voto]],"")</f>
        <v/>
      </c>
      <c r="Z157" s="193" t="str">
        <f>IF(Tabella1[[#This Row],[Best 11 MOD]]=1,Tabella1[[#This Row],[fanta voto]],"")</f>
        <v/>
      </c>
      <c r="AA157" t="str">
        <f>CONCATENATE(Tabella1[[#This Row],[GG]],Tabella1[[#This Row],[Nome]])</f>
        <v>1Maleh</v>
      </c>
      <c r="AC157" t="str">
        <f>_xlfn.CONCAT(Tabella1[[#This Row],[Ruolo]],Tabella1[[#This Row],[Gs]])</f>
        <v>C0</v>
      </c>
    </row>
    <row r="158" spans="1:29" hidden="1" x14ac:dyDescent="0.3">
      <c r="A158" s="286">
        <v>46254</v>
      </c>
      <c r="B158" s="15">
        <v>1</v>
      </c>
      <c r="C158" s="283" t="s">
        <v>810</v>
      </c>
      <c r="D158" t="s">
        <v>162</v>
      </c>
      <c r="E158" t="s">
        <v>209</v>
      </c>
      <c r="F158" s="194">
        <v>7</v>
      </c>
      <c r="G158" s="328">
        <v>0</v>
      </c>
      <c r="H158" s="328">
        <v>0</v>
      </c>
      <c r="I158" s="328">
        <v>0</v>
      </c>
      <c r="J158" s="328">
        <v>0</v>
      </c>
      <c r="K158" s="328">
        <v>0</v>
      </c>
      <c r="L158" s="328">
        <v>0</v>
      </c>
      <c r="M158" s="328">
        <v>0</v>
      </c>
      <c r="N158" s="328">
        <v>0</v>
      </c>
      <c r="O158" s="329">
        <v>1</v>
      </c>
      <c r="P158" s="300"/>
      <c r="Q158" s="284">
        <f t="shared" si="3"/>
        <v>0</v>
      </c>
      <c r="R158" s="3" t="str">
        <f>_xlfn.IFNA(VLOOKUP(Tabella1[[#This Row],[Nome]],'ROSE SQUADRE'!$N$3:$O$253,2,0),"")</f>
        <v/>
      </c>
      <c r="S158" s="312">
        <f>Tabella1[[#This Row],[Gf]]+Tabella1[[#This Row],[Rf]]</f>
        <v>0</v>
      </c>
      <c r="T158" s="193"/>
      <c r="U158" s="285" t="str">
        <f>IF(Tabella1[[#This Row],[N° FantaTit]]=1,Tabella1[[#This Row],[Voto]],"")</f>
        <v/>
      </c>
      <c r="V15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8</v>
      </c>
      <c r="W158" s="195"/>
      <c r="X158" s="193" t="str">
        <f>IF(Tabella1[[#This Row],[Best 11]]=1,Tabella1[[#This Row],[fanta voto]],"")</f>
        <v/>
      </c>
      <c r="Z158" s="193" t="str">
        <f>IF(Tabella1[[#This Row],[Best 11 MOD]]=1,Tabella1[[#This Row],[fanta voto]],"")</f>
        <v/>
      </c>
      <c r="AA158" t="str">
        <f>CONCATENATE(Tabella1[[#This Row],[GG]],Tabella1[[#This Row],[Nome]])</f>
        <v>1Coulibaly L.</v>
      </c>
      <c r="AC158" t="str">
        <f>_xlfn.CONCAT(Tabella1[[#This Row],[Ruolo]],Tabella1[[#This Row],[Gs]])</f>
        <v>C0</v>
      </c>
    </row>
    <row r="159" spans="1:29" hidden="1" x14ac:dyDescent="0.3">
      <c r="A159" s="286">
        <v>46254</v>
      </c>
      <c r="B159" s="15">
        <v>1</v>
      </c>
      <c r="C159" s="283" t="s">
        <v>810</v>
      </c>
      <c r="D159" s="330" t="s">
        <v>162</v>
      </c>
      <c r="E159" s="330" t="s">
        <v>546</v>
      </c>
      <c r="F159" s="331">
        <v>6</v>
      </c>
      <c r="G159" s="332">
        <v>0</v>
      </c>
      <c r="H159" s="332">
        <v>0</v>
      </c>
      <c r="I159" s="332">
        <v>0</v>
      </c>
      <c r="J159" s="332">
        <v>0</v>
      </c>
      <c r="K159" s="332">
        <v>0</v>
      </c>
      <c r="L159" s="332">
        <v>0</v>
      </c>
      <c r="M159" s="332">
        <v>0</v>
      </c>
      <c r="N159" s="332">
        <v>0</v>
      </c>
      <c r="O159" s="332">
        <v>0</v>
      </c>
      <c r="P159" s="300"/>
      <c r="Q159" s="284">
        <f t="shared" si="3"/>
        <v>0</v>
      </c>
      <c r="R159" s="3" t="str">
        <f>_xlfn.IFNA(VLOOKUP(Tabella1[[#This Row],[Nome]],'ROSE SQUADRE'!$N$3:$O$253,2,0),"")</f>
        <v/>
      </c>
      <c r="S159" s="312">
        <f>Tabella1[[#This Row],[Gf]]+Tabella1[[#This Row],[Rf]]</f>
        <v>0</v>
      </c>
      <c r="T159" s="193"/>
      <c r="U159" s="285" t="str">
        <f>IF(Tabella1[[#This Row],[N° FantaTit]]=1,Tabella1[[#This Row],[Voto]],"")</f>
        <v/>
      </c>
      <c r="V15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59" s="195"/>
      <c r="X159" s="193" t="str">
        <f>IF(Tabella1[[#This Row],[Best 11]]=1,Tabella1[[#This Row],[fanta voto]],"")</f>
        <v/>
      </c>
      <c r="Z159" s="193" t="str">
        <f>IF(Tabella1[[#This Row],[Best 11 MOD]]=1,Tabella1[[#This Row],[fanta voto]],"")</f>
        <v/>
      </c>
      <c r="AA159" t="str">
        <f>CONCATENATE(Tabella1[[#This Row],[GG]],Tabella1[[#This Row],[Nome]])</f>
        <v>1Pierotti</v>
      </c>
      <c r="AC159" t="str">
        <f>_xlfn.CONCAT(Tabella1[[#This Row],[Ruolo]],Tabella1[[#This Row],[Gs]])</f>
        <v>C0</v>
      </c>
    </row>
    <row r="160" spans="1:29" hidden="1" x14ac:dyDescent="0.3">
      <c r="A160" s="286">
        <v>46254</v>
      </c>
      <c r="B160" s="15">
        <v>1</v>
      </c>
      <c r="C160" s="283" t="s">
        <v>810</v>
      </c>
      <c r="D160" t="s">
        <v>162</v>
      </c>
      <c r="E160" t="s">
        <v>819</v>
      </c>
      <c r="F160" s="194">
        <v>7</v>
      </c>
      <c r="G160" s="329">
        <v>1</v>
      </c>
      <c r="H160" s="328">
        <v>0</v>
      </c>
      <c r="I160" s="328">
        <v>0</v>
      </c>
      <c r="J160" s="328">
        <v>0</v>
      </c>
      <c r="K160" s="328">
        <v>0</v>
      </c>
      <c r="L160" s="328">
        <v>0</v>
      </c>
      <c r="M160" s="328">
        <v>0</v>
      </c>
      <c r="N160" s="328">
        <v>0</v>
      </c>
      <c r="O160" s="328">
        <v>0</v>
      </c>
      <c r="P160" s="300"/>
      <c r="Q160" s="284">
        <f t="shared" si="3"/>
        <v>0</v>
      </c>
      <c r="R160" s="3" t="str">
        <f>_xlfn.IFNA(VLOOKUP(Tabella1[[#This Row],[Nome]],'ROSE SQUADRE'!$N$3:$O$253,2,0),"")</f>
        <v/>
      </c>
      <c r="S160" s="312">
        <f>Tabella1[[#This Row],[Gf]]+Tabella1[[#This Row],[Rf]]</f>
        <v>1</v>
      </c>
      <c r="T160" s="193"/>
      <c r="U160" s="285" t="str">
        <f>IF(Tabella1[[#This Row],[N° FantaTit]]=1,Tabella1[[#This Row],[Voto]],"")</f>
        <v/>
      </c>
      <c r="V16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160" s="195"/>
      <c r="X160" s="193" t="str">
        <f>IF(Tabella1[[#This Row],[Best 11]]=1,Tabella1[[#This Row],[fanta voto]],"")</f>
        <v/>
      </c>
      <c r="Z160" s="193" t="str">
        <f>IF(Tabella1[[#This Row],[Best 11 MOD]]=1,Tabella1[[#This Row],[fanta voto]],"")</f>
        <v/>
      </c>
      <c r="AA160" t="str">
        <f>CONCATENATE(Tabella1[[#This Row],[GG]],Tabella1[[#This Row],[Nome]])</f>
        <v>1Gorter</v>
      </c>
      <c r="AC160" t="str">
        <f>_xlfn.CONCAT(Tabella1[[#This Row],[Ruolo]],Tabella1[[#This Row],[Gs]])</f>
        <v>C0</v>
      </c>
    </row>
    <row r="161" spans="1:29" hidden="1" x14ac:dyDescent="0.3">
      <c r="A161" s="286">
        <v>46254</v>
      </c>
      <c r="B161" s="15">
        <v>1</v>
      </c>
      <c r="C161" s="283" t="s">
        <v>810</v>
      </c>
      <c r="D161" t="s">
        <v>162</v>
      </c>
      <c r="E161" t="s">
        <v>822</v>
      </c>
      <c r="F161" s="194">
        <v>6</v>
      </c>
      <c r="G161" s="328">
        <v>0</v>
      </c>
      <c r="H161" s="328">
        <v>0</v>
      </c>
      <c r="I161" s="328">
        <v>0</v>
      </c>
      <c r="J161" s="328">
        <v>0</v>
      </c>
      <c r="K161" s="328">
        <v>0</v>
      </c>
      <c r="L161" s="328">
        <v>0</v>
      </c>
      <c r="M161" s="329">
        <v>1</v>
      </c>
      <c r="N161" s="328">
        <v>0</v>
      </c>
      <c r="O161" s="328">
        <v>0</v>
      </c>
      <c r="P161" s="300"/>
      <c r="Q161" s="284">
        <f t="shared" si="3"/>
        <v>0</v>
      </c>
      <c r="R161" s="3" t="str">
        <f>_xlfn.IFNA(VLOOKUP(Tabella1[[#This Row],[Nome]],'ROSE SQUADRE'!$N$3:$O$253,2,0),"")</f>
        <v/>
      </c>
      <c r="S161" s="312">
        <f>Tabella1[[#This Row],[Gf]]+Tabella1[[#This Row],[Rf]]</f>
        <v>0</v>
      </c>
      <c r="T161" s="193"/>
      <c r="U161" s="285" t="str">
        <f>IF(Tabella1[[#This Row],[N° FantaTit]]=1,Tabella1[[#This Row],[Voto]],"")</f>
        <v/>
      </c>
      <c r="V16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61" s="195"/>
      <c r="X161" s="193" t="str">
        <f>IF(Tabella1[[#This Row],[Best 11]]=1,Tabella1[[#This Row],[fanta voto]],"")</f>
        <v/>
      </c>
      <c r="Z161" s="193" t="str">
        <f>IF(Tabella1[[#This Row],[Best 11 MOD]]=1,Tabella1[[#This Row],[fanta voto]],"")</f>
        <v/>
      </c>
      <c r="AA161" t="str">
        <f>CONCATENATE(Tabella1[[#This Row],[GG]],Tabella1[[#This Row],[Nome]])</f>
        <v>1Ngom</v>
      </c>
      <c r="AC161" t="str">
        <f>_xlfn.CONCAT(Tabella1[[#This Row],[Ruolo]],Tabella1[[#This Row],[Gs]])</f>
        <v>C0</v>
      </c>
    </row>
    <row r="162" spans="1:29" hidden="1" x14ac:dyDescent="0.3">
      <c r="A162" s="286">
        <v>46254</v>
      </c>
      <c r="B162" s="15">
        <v>1</v>
      </c>
      <c r="C162" s="283" t="s">
        <v>810</v>
      </c>
      <c r="D162" s="330" t="s">
        <v>163</v>
      </c>
      <c r="E162" s="330" t="s">
        <v>823</v>
      </c>
      <c r="F162" s="331">
        <v>5.5</v>
      </c>
      <c r="G162" s="332">
        <v>0</v>
      </c>
      <c r="H162" s="332">
        <v>0</v>
      </c>
      <c r="I162" s="332">
        <v>0</v>
      </c>
      <c r="J162" s="332">
        <v>0</v>
      </c>
      <c r="K162" s="332">
        <v>0</v>
      </c>
      <c r="L162" s="332">
        <v>0</v>
      </c>
      <c r="M162" s="332">
        <v>0</v>
      </c>
      <c r="N162" s="332">
        <v>0</v>
      </c>
      <c r="O162" s="332">
        <v>0</v>
      </c>
      <c r="P162" s="300"/>
      <c r="Q162" s="284">
        <f t="shared" si="3"/>
        <v>0</v>
      </c>
      <c r="R162" s="3" t="str">
        <f>_xlfn.IFNA(VLOOKUP(Tabella1[[#This Row],[Nome]],'ROSE SQUADRE'!$N$3:$O$253,2,0),"")</f>
        <v>AS PIPPERIA</v>
      </c>
      <c r="S162" s="312">
        <f>Tabella1[[#This Row],[Gf]]+Tabella1[[#This Row],[Rf]]</f>
        <v>0</v>
      </c>
      <c r="T162" s="193"/>
      <c r="U162" s="285" t="str">
        <f>IF(Tabella1[[#This Row],[N° FantaTit]]=1,Tabella1[[#This Row],[Voto]],"")</f>
        <v/>
      </c>
      <c r="V16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62" s="195"/>
      <c r="X162" s="193" t="str">
        <f>IF(Tabella1[[#This Row],[Best 11]]=1,Tabella1[[#This Row],[fanta voto]],"")</f>
        <v/>
      </c>
      <c r="Z162" s="193" t="str">
        <f>IF(Tabella1[[#This Row],[Best 11 MOD]]=1,Tabella1[[#This Row],[fanta voto]],"")</f>
        <v/>
      </c>
      <c r="AA162" t="str">
        <f>CONCATENATE(Tabella1[[#This Row],[GG]],Tabella1[[#This Row],[Nome]])</f>
        <v>1Geubbels</v>
      </c>
      <c r="AC162" t="str">
        <f>_xlfn.CONCAT(Tabella1[[#This Row],[Ruolo]],Tabella1[[#This Row],[Gs]])</f>
        <v>A0</v>
      </c>
    </row>
    <row r="163" spans="1:29" hidden="1" x14ac:dyDescent="0.3">
      <c r="A163" s="286">
        <v>46254</v>
      </c>
      <c r="B163" s="15">
        <v>1</v>
      </c>
      <c r="C163" s="283" t="s">
        <v>810</v>
      </c>
      <c r="D163" t="s">
        <v>163</v>
      </c>
      <c r="E163" t="s">
        <v>824</v>
      </c>
      <c r="F163" s="194">
        <v>5.5</v>
      </c>
      <c r="G163" s="328">
        <v>0</v>
      </c>
      <c r="H163" s="328">
        <v>0</v>
      </c>
      <c r="I163" s="328">
        <v>0</v>
      </c>
      <c r="J163" s="328">
        <v>0</v>
      </c>
      <c r="K163" s="328">
        <v>0</v>
      </c>
      <c r="L163" s="328">
        <v>0</v>
      </c>
      <c r="M163" s="328">
        <v>0</v>
      </c>
      <c r="N163" s="328">
        <v>0</v>
      </c>
      <c r="O163" s="328">
        <v>0</v>
      </c>
      <c r="P163" s="300"/>
      <c r="Q163" s="284">
        <f t="shared" si="3"/>
        <v>0</v>
      </c>
      <c r="R163" s="3" t="str">
        <f>_xlfn.IFNA(VLOOKUP(Tabella1[[#This Row],[Nome]],'ROSE SQUADRE'!$N$3:$O$253,2,0),"")</f>
        <v/>
      </c>
      <c r="S163" s="312">
        <f>Tabella1[[#This Row],[Gf]]+Tabella1[[#This Row],[Rf]]</f>
        <v>0</v>
      </c>
      <c r="T163" s="193"/>
      <c r="U163" s="285" t="str">
        <f>IF(Tabella1[[#This Row],[N° FantaTit]]=1,Tabella1[[#This Row],[Voto]],"")</f>
        <v/>
      </c>
      <c r="V16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63" s="195"/>
      <c r="X163" s="193" t="str">
        <f>IF(Tabella1[[#This Row],[Best 11]]=1,Tabella1[[#This Row],[fanta voto]],"")</f>
        <v/>
      </c>
      <c r="Z163" s="193" t="str">
        <f>IF(Tabella1[[#This Row],[Best 11 MOD]]=1,Tabella1[[#This Row],[fanta voto]],"")</f>
        <v/>
      </c>
      <c r="AA163" t="str">
        <f>CONCATENATE(Tabella1[[#This Row],[GG]],Tabella1[[#This Row],[Nome]])</f>
        <v>1N'Dri</v>
      </c>
      <c r="AC163" t="str">
        <f>_xlfn.CONCAT(Tabella1[[#This Row],[Ruolo]],Tabella1[[#This Row],[Gs]])</f>
        <v>A0</v>
      </c>
    </row>
    <row r="164" spans="1:29" hidden="1" x14ac:dyDescent="0.3">
      <c r="A164" s="286">
        <v>46254</v>
      </c>
      <c r="B164" s="15">
        <v>1</v>
      </c>
      <c r="C164" s="283" t="s">
        <v>810</v>
      </c>
      <c r="D164" s="330" t="s">
        <v>163</v>
      </c>
      <c r="E164" s="330" t="s">
        <v>825</v>
      </c>
      <c r="F164" s="331">
        <v>5.5</v>
      </c>
      <c r="G164" s="332">
        <v>0</v>
      </c>
      <c r="H164" s="332">
        <v>0</v>
      </c>
      <c r="I164" s="332">
        <v>0</v>
      </c>
      <c r="J164" s="332">
        <v>0</v>
      </c>
      <c r="K164" s="332">
        <v>0</v>
      </c>
      <c r="L164" s="332">
        <v>0</v>
      </c>
      <c r="M164" s="332">
        <v>0</v>
      </c>
      <c r="N164" s="332">
        <v>0</v>
      </c>
      <c r="O164" s="332">
        <v>0</v>
      </c>
      <c r="P164" s="300"/>
      <c r="Q164" s="284">
        <f t="shared" si="3"/>
        <v>0</v>
      </c>
      <c r="R164" s="3" t="str">
        <f>_xlfn.IFNA(VLOOKUP(Tabella1[[#This Row],[Nome]],'ROSE SQUADRE'!$N$3:$O$253,2,0),"")</f>
        <v/>
      </c>
      <c r="S164" s="312">
        <f>Tabella1[[#This Row],[Gf]]+Tabella1[[#This Row],[Rf]]</f>
        <v>0</v>
      </c>
      <c r="T164" s="193"/>
      <c r="U164" s="285" t="str">
        <f>IF(Tabella1[[#This Row],[N° FantaTit]]=1,Tabella1[[#This Row],[Voto]],"")</f>
        <v/>
      </c>
      <c r="V16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64" s="195"/>
      <c r="X164" s="193" t="str">
        <f>IF(Tabella1[[#This Row],[Best 11]]=1,Tabella1[[#This Row],[fanta voto]],"")</f>
        <v/>
      </c>
      <c r="Z164" s="193" t="str">
        <f>IF(Tabella1[[#This Row],[Best 11 MOD]]=1,Tabella1[[#This Row],[fanta voto]],"")</f>
        <v/>
      </c>
      <c r="AA164" t="str">
        <f>CONCATENATE(Tabella1[[#This Row],[GG]],Tabella1[[#This Row],[Nome]])</f>
        <v>1Stulic</v>
      </c>
      <c r="AC164" t="str">
        <f>_xlfn.CONCAT(Tabella1[[#This Row],[Ruolo]],Tabella1[[#This Row],[Gs]])</f>
        <v>A0</v>
      </c>
    </row>
    <row r="165" spans="1:29" hidden="1" x14ac:dyDescent="0.3">
      <c r="A165" s="286">
        <v>46254</v>
      </c>
      <c r="B165" s="15">
        <v>1</v>
      </c>
      <c r="C165" s="283" t="s">
        <v>826</v>
      </c>
      <c r="D165" s="330" t="s">
        <v>5</v>
      </c>
      <c r="E165" s="330" t="s">
        <v>265</v>
      </c>
      <c r="F165" s="331">
        <v>6</v>
      </c>
      <c r="G165" s="332">
        <v>0</v>
      </c>
      <c r="H165" s="333">
        <v>1</v>
      </c>
      <c r="I165" s="332">
        <v>0</v>
      </c>
      <c r="J165" s="332">
        <v>0</v>
      </c>
      <c r="K165" s="332">
        <v>0</v>
      </c>
      <c r="L165" s="332">
        <v>0</v>
      </c>
      <c r="M165" s="332">
        <v>0</v>
      </c>
      <c r="N165" s="332">
        <v>0</v>
      </c>
      <c r="O165" s="332">
        <v>0</v>
      </c>
      <c r="P165" s="300"/>
      <c r="Q165" s="284">
        <f t="shared" si="3"/>
        <v>0</v>
      </c>
      <c r="R165" s="3" t="str">
        <f>_xlfn.IFNA(VLOOKUP(Tabella1[[#This Row],[Nome]],'ROSE SQUADRE'!$N$3:$O$253,2,0),"")</f>
        <v>SESTO ASENSIO</v>
      </c>
      <c r="S165" s="312">
        <f>Tabella1[[#This Row],[Gf]]+Tabella1[[#This Row],[Rf]]</f>
        <v>0</v>
      </c>
      <c r="T165" s="193"/>
      <c r="U165" s="285" t="str">
        <f>IF(Tabella1[[#This Row],[N° FantaTit]]=1,Tabella1[[#This Row],[Voto]],"")</f>
        <v/>
      </c>
      <c r="V16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165" s="195"/>
      <c r="X165" s="193" t="str">
        <f>IF(Tabella1[[#This Row],[Best 11]]=1,Tabella1[[#This Row],[fanta voto]],"")</f>
        <v/>
      </c>
      <c r="Z165" s="193" t="str">
        <f>IF(Tabella1[[#This Row],[Best 11 MOD]]=1,Tabella1[[#This Row],[fanta voto]],"")</f>
        <v/>
      </c>
      <c r="AA165" t="str">
        <f>CONCATENATE(Tabella1[[#This Row],[GG]],Tabella1[[#This Row],[Nome]])</f>
        <v>1Maignan</v>
      </c>
      <c r="AC165" t="str">
        <f>_xlfn.CONCAT(Tabella1[[#This Row],[Ruolo]],Tabella1[[#This Row],[Gs]])</f>
        <v>P1</v>
      </c>
    </row>
    <row r="166" spans="1:29" hidden="1" x14ac:dyDescent="0.3">
      <c r="A166" s="286">
        <v>46254</v>
      </c>
      <c r="B166" s="15">
        <v>1</v>
      </c>
      <c r="C166" s="283" t="s">
        <v>826</v>
      </c>
      <c r="D166" t="s">
        <v>161</v>
      </c>
      <c r="E166" t="s">
        <v>831</v>
      </c>
      <c r="F166" s="194">
        <v>6</v>
      </c>
      <c r="G166" s="328">
        <v>0</v>
      </c>
      <c r="H166" s="328">
        <v>0</v>
      </c>
      <c r="I166" s="328">
        <v>0</v>
      </c>
      <c r="J166" s="328">
        <v>0</v>
      </c>
      <c r="K166" s="328">
        <v>0</v>
      </c>
      <c r="L166" s="328">
        <v>0</v>
      </c>
      <c r="M166" s="328">
        <v>0</v>
      </c>
      <c r="N166" s="328">
        <v>0</v>
      </c>
      <c r="O166" s="328">
        <v>0</v>
      </c>
      <c r="P166" s="300"/>
      <c r="Q166" s="284">
        <f t="shared" si="3"/>
        <v>0</v>
      </c>
      <c r="R166" s="3" t="str">
        <f>_xlfn.IFNA(VLOOKUP(Tabella1[[#This Row],[Nome]],'ROSE SQUADRE'!$N$3:$O$253,2,0),"")</f>
        <v>AC ASPARAGHESE</v>
      </c>
      <c r="S166" s="312">
        <f>Tabella1[[#This Row],[Gf]]+Tabella1[[#This Row],[Rf]]</f>
        <v>0</v>
      </c>
      <c r="T166" s="193"/>
      <c r="U166" s="285" t="str">
        <f>IF(Tabella1[[#This Row],[N° FantaTit]]=1,Tabella1[[#This Row],[Voto]],"")</f>
        <v/>
      </c>
      <c r="V16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66" s="195"/>
      <c r="X166" s="193" t="str">
        <f>IF(Tabella1[[#This Row],[Best 11]]=1,Tabella1[[#This Row],[fanta voto]],"")</f>
        <v/>
      </c>
      <c r="Z166" s="193" t="str">
        <f>IF(Tabella1[[#This Row],[Best 11 MOD]]=1,Tabella1[[#This Row],[fanta voto]],"")</f>
        <v/>
      </c>
      <c r="AA166" t="str">
        <f>CONCATENATE(Tabella1[[#This Row],[GG]],Tabella1[[#This Row],[Nome]])</f>
        <v>1Gabbia</v>
      </c>
      <c r="AC166" t="str">
        <f>_xlfn.CONCAT(Tabella1[[#This Row],[Ruolo]],Tabella1[[#This Row],[Gs]])</f>
        <v>D0</v>
      </c>
    </row>
    <row r="167" spans="1:29" hidden="1" x14ac:dyDescent="0.3">
      <c r="A167" s="286">
        <v>46254</v>
      </c>
      <c r="B167" s="15">
        <v>1</v>
      </c>
      <c r="C167" s="283" t="s">
        <v>826</v>
      </c>
      <c r="D167" s="330" t="s">
        <v>161</v>
      </c>
      <c r="E167" s="330" t="s">
        <v>615</v>
      </c>
      <c r="F167" s="331">
        <v>6</v>
      </c>
      <c r="G167" s="332">
        <v>0</v>
      </c>
      <c r="H167" s="332">
        <v>0</v>
      </c>
      <c r="I167" s="332">
        <v>0</v>
      </c>
      <c r="J167" s="332">
        <v>0</v>
      </c>
      <c r="K167" s="332">
        <v>0</v>
      </c>
      <c r="L167" s="332">
        <v>0</v>
      </c>
      <c r="M167" s="332">
        <v>0</v>
      </c>
      <c r="N167" s="332">
        <v>0</v>
      </c>
      <c r="O167" s="332">
        <v>0</v>
      </c>
      <c r="P167" s="300"/>
      <c r="Q167" s="284">
        <f t="shared" si="3"/>
        <v>0</v>
      </c>
      <c r="R167" s="3" t="str">
        <f>_xlfn.IFNA(VLOOKUP(Tabella1[[#This Row],[Nome]],'ROSE SQUADRE'!$N$3:$O$253,2,0),"")</f>
        <v>SESTO ASENSIO</v>
      </c>
      <c r="S167" s="312">
        <f>Tabella1[[#This Row],[Gf]]+Tabella1[[#This Row],[Rf]]</f>
        <v>0</v>
      </c>
      <c r="T167" s="193"/>
      <c r="U167" s="285" t="str">
        <f>IF(Tabella1[[#This Row],[N° FantaTit]]=1,Tabella1[[#This Row],[Voto]],"")</f>
        <v/>
      </c>
      <c r="V16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67" s="195"/>
      <c r="X167" s="193" t="str">
        <f>IF(Tabella1[[#This Row],[Best 11]]=1,Tabella1[[#This Row],[fanta voto]],"")</f>
        <v/>
      </c>
      <c r="Z167" s="193" t="str">
        <f>IF(Tabella1[[#This Row],[Best 11 MOD]]=1,Tabella1[[#This Row],[fanta voto]],"")</f>
        <v/>
      </c>
      <c r="AA167" t="str">
        <f>CONCATENATE(Tabella1[[#This Row],[GG]],Tabella1[[#This Row],[Nome]])</f>
        <v>1Pavlovic</v>
      </c>
      <c r="AC167" t="str">
        <f>_xlfn.CONCAT(Tabella1[[#This Row],[Ruolo]],Tabella1[[#This Row],[Gs]])</f>
        <v>D0</v>
      </c>
    </row>
    <row r="168" spans="1:29" hidden="1" x14ac:dyDescent="0.3">
      <c r="A168" s="286">
        <v>46254</v>
      </c>
      <c r="B168" s="15">
        <v>1</v>
      </c>
      <c r="C168" s="283" t="s">
        <v>826</v>
      </c>
      <c r="D168" t="s">
        <v>161</v>
      </c>
      <c r="E168" t="s">
        <v>830</v>
      </c>
      <c r="F168" s="194">
        <v>6</v>
      </c>
      <c r="G168" s="328">
        <v>0</v>
      </c>
      <c r="H168" s="328">
        <v>0</v>
      </c>
      <c r="I168" s="328">
        <v>0</v>
      </c>
      <c r="J168" s="328">
        <v>0</v>
      </c>
      <c r="K168" s="328">
        <v>0</v>
      </c>
      <c r="L168" s="328">
        <v>0</v>
      </c>
      <c r="M168" s="328">
        <v>0</v>
      </c>
      <c r="N168" s="328">
        <v>0</v>
      </c>
      <c r="O168" s="328">
        <v>0</v>
      </c>
      <c r="P168" s="300"/>
      <c r="Q168" s="284">
        <f t="shared" si="3"/>
        <v>0</v>
      </c>
      <c r="R168" s="3" t="str">
        <f>_xlfn.IFNA(VLOOKUP(Tabella1[[#This Row],[Nome]],'ROSE SQUADRE'!$N$3:$O$253,2,0),"")</f>
        <v>PESCICULINI</v>
      </c>
      <c r="S168" s="312">
        <f>Tabella1[[#This Row],[Gf]]+Tabella1[[#This Row],[Rf]]</f>
        <v>0</v>
      </c>
      <c r="T168" s="193"/>
      <c r="U168" s="285" t="str">
        <f>IF(Tabella1[[#This Row],[N° FantaTit]]=1,Tabella1[[#This Row],[Voto]],"")</f>
        <v/>
      </c>
      <c r="V16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68" s="195"/>
      <c r="X168" s="193" t="str">
        <f>IF(Tabella1[[#This Row],[Best 11]]=1,Tabella1[[#This Row],[fanta voto]],"")</f>
        <v/>
      </c>
      <c r="Z168" s="193" t="str">
        <f>IF(Tabella1[[#This Row],[Best 11 MOD]]=1,Tabella1[[#This Row],[fanta voto]],"")</f>
        <v/>
      </c>
      <c r="AA168" t="str">
        <f>CONCATENATE(Tabella1[[#This Row],[GG]],Tabella1[[#This Row],[Nome]])</f>
        <v>1Estupinan</v>
      </c>
      <c r="AC168" t="str">
        <f>_xlfn.CONCAT(Tabella1[[#This Row],[Ruolo]],Tabella1[[#This Row],[Gs]])</f>
        <v>D0</v>
      </c>
    </row>
    <row r="169" spans="1:29" hidden="1" x14ac:dyDescent="0.3">
      <c r="A169" s="286">
        <v>46254</v>
      </c>
      <c r="B169" s="15">
        <v>1</v>
      </c>
      <c r="C169" s="283" t="s">
        <v>826</v>
      </c>
      <c r="D169" s="330" t="s">
        <v>161</v>
      </c>
      <c r="E169" s="330" t="s">
        <v>307</v>
      </c>
      <c r="F169" s="331">
        <v>7</v>
      </c>
      <c r="G169" s="332">
        <v>0</v>
      </c>
      <c r="H169" s="332">
        <v>0</v>
      </c>
      <c r="I169" s="332">
        <v>0</v>
      </c>
      <c r="J169" s="332">
        <v>0</v>
      </c>
      <c r="K169" s="332">
        <v>0</v>
      </c>
      <c r="L169" s="332">
        <v>0</v>
      </c>
      <c r="M169" s="332">
        <v>0</v>
      </c>
      <c r="N169" s="332">
        <v>0</v>
      </c>
      <c r="O169" s="332">
        <v>0</v>
      </c>
      <c r="P169" s="300"/>
      <c r="Q169" s="284">
        <f t="shared" si="3"/>
        <v>0</v>
      </c>
      <c r="R169" s="3" t="str">
        <f>_xlfn.IFNA(VLOOKUP(Tabella1[[#This Row],[Nome]],'ROSE SQUADRE'!$N$3:$O$253,2,0),"")</f>
        <v>SESTO ASENSIO</v>
      </c>
      <c r="S169" s="312">
        <f>Tabella1[[#This Row],[Gf]]+Tabella1[[#This Row],[Rf]]</f>
        <v>0</v>
      </c>
      <c r="T169" s="193"/>
      <c r="U169" s="285" t="str">
        <f>IF(Tabella1[[#This Row],[N° FantaTit]]=1,Tabella1[[#This Row],[Voto]],"")</f>
        <v/>
      </c>
      <c r="V16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169" s="195"/>
      <c r="X169" s="193" t="str">
        <f>IF(Tabella1[[#This Row],[Best 11]]=1,Tabella1[[#This Row],[fanta voto]],"")</f>
        <v/>
      </c>
      <c r="Z169" s="193" t="str">
        <f>IF(Tabella1[[#This Row],[Best 11 MOD]]=1,Tabella1[[#This Row],[fanta voto]],"")</f>
        <v/>
      </c>
      <c r="AA169" t="str">
        <f>CONCATENATE(Tabella1[[#This Row],[GG]],Tabella1[[#This Row],[Nome]])</f>
        <v>1De Winter</v>
      </c>
      <c r="AC169" t="str">
        <f>_xlfn.CONCAT(Tabella1[[#This Row],[Ruolo]],Tabella1[[#This Row],[Gs]])</f>
        <v>D0</v>
      </c>
    </row>
    <row r="170" spans="1:29" hidden="1" x14ac:dyDescent="0.3">
      <c r="A170" s="286">
        <v>46254</v>
      </c>
      <c r="B170" s="15">
        <v>1</v>
      </c>
      <c r="C170" s="283" t="s">
        <v>826</v>
      </c>
      <c r="D170" t="s">
        <v>161</v>
      </c>
      <c r="E170" t="s">
        <v>832</v>
      </c>
      <c r="F170" s="194">
        <v>6.5</v>
      </c>
      <c r="G170" s="328">
        <v>0</v>
      </c>
      <c r="H170" s="328">
        <v>0</v>
      </c>
      <c r="I170" s="328">
        <v>0</v>
      </c>
      <c r="J170" s="328">
        <v>0</v>
      </c>
      <c r="K170" s="328">
        <v>0</v>
      </c>
      <c r="L170" s="328">
        <v>0</v>
      </c>
      <c r="M170" s="328">
        <v>0</v>
      </c>
      <c r="N170" s="328">
        <v>0</v>
      </c>
      <c r="O170" s="328">
        <v>0</v>
      </c>
      <c r="P170" s="300"/>
      <c r="Q170" s="284">
        <f t="shared" si="3"/>
        <v>0</v>
      </c>
      <c r="R170" s="3" t="str">
        <f>_xlfn.IFNA(VLOOKUP(Tabella1[[#This Row],[Nome]],'ROSE SQUADRE'!$N$3:$O$253,2,0),"")</f>
        <v>SAN GRIA</v>
      </c>
      <c r="S170" s="312">
        <f>Tabella1[[#This Row],[Gf]]+Tabella1[[#This Row],[Rf]]</f>
        <v>0</v>
      </c>
      <c r="T170" s="193"/>
      <c r="U170" s="285" t="str">
        <f>IF(Tabella1[[#This Row],[N° FantaTit]]=1,Tabella1[[#This Row],[Voto]],"")</f>
        <v/>
      </c>
      <c r="V17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70" s="195"/>
      <c r="X170" s="193" t="str">
        <f>IF(Tabella1[[#This Row],[Best 11]]=1,Tabella1[[#This Row],[fanta voto]],"")</f>
        <v/>
      </c>
      <c r="Z170" s="193" t="str">
        <f>IF(Tabella1[[#This Row],[Best 11 MOD]]=1,Tabella1[[#This Row],[fanta voto]],"")</f>
        <v/>
      </c>
      <c r="AA170" t="str">
        <f>CONCATENATE(Tabella1[[#This Row],[GG]],Tabella1[[#This Row],[Nome]])</f>
        <v>1Gila</v>
      </c>
      <c r="AC170" t="str">
        <f>_xlfn.CONCAT(Tabella1[[#This Row],[Ruolo]],Tabella1[[#This Row],[Gs]])</f>
        <v>D0</v>
      </c>
    </row>
    <row r="171" spans="1:29" hidden="1" x14ac:dyDescent="0.3">
      <c r="A171" s="286">
        <v>46254</v>
      </c>
      <c r="B171" s="15">
        <v>1</v>
      </c>
      <c r="C171" s="283" t="s">
        <v>826</v>
      </c>
      <c r="D171" s="330" t="s">
        <v>161</v>
      </c>
      <c r="E171" s="330" t="s">
        <v>828</v>
      </c>
      <c r="F171" s="331">
        <v>6</v>
      </c>
      <c r="G171" s="332">
        <v>0</v>
      </c>
      <c r="H171" s="332">
        <v>0</v>
      </c>
      <c r="I171" s="332">
        <v>0</v>
      </c>
      <c r="J171" s="332">
        <v>0</v>
      </c>
      <c r="K171" s="332">
        <v>0</v>
      </c>
      <c r="L171" s="332">
        <v>0</v>
      </c>
      <c r="M171" s="332">
        <v>0</v>
      </c>
      <c r="N171" s="332">
        <v>0</v>
      </c>
      <c r="O171" s="332">
        <v>0</v>
      </c>
      <c r="P171" s="300"/>
      <c r="Q171" s="284">
        <f t="shared" si="3"/>
        <v>0</v>
      </c>
      <c r="R171" s="3" t="str">
        <f>_xlfn.IFNA(VLOOKUP(Tabella1[[#This Row],[Nome]],'ROSE SQUADRE'!$N$3:$O$253,2,0),"")</f>
        <v>AS PIPPERIA</v>
      </c>
      <c r="S171" s="312">
        <f>Tabella1[[#This Row],[Gf]]+Tabella1[[#This Row],[Rf]]</f>
        <v>0</v>
      </c>
      <c r="T171" s="193"/>
      <c r="U171" s="285" t="str">
        <f>IF(Tabella1[[#This Row],[N° FantaTit]]=1,Tabella1[[#This Row],[Voto]],"")</f>
        <v/>
      </c>
      <c r="V17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71" s="195"/>
      <c r="X171" s="193" t="str">
        <f>IF(Tabella1[[#This Row],[Best 11]]=1,Tabella1[[#This Row],[fanta voto]],"")</f>
        <v/>
      </c>
      <c r="Z171" s="193" t="str">
        <f>IF(Tabella1[[#This Row],[Best 11 MOD]]=1,Tabella1[[#This Row],[fanta voto]],"")</f>
        <v/>
      </c>
      <c r="AA171" t="str">
        <f>CONCATENATE(Tabella1[[#This Row],[GG]],Tabella1[[#This Row],[Nome]])</f>
        <v>1Bartesaghi</v>
      </c>
      <c r="AC171" t="str">
        <f>_xlfn.CONCAT(Tabella1[[#This Row],[Ruolo]],Tabella1[[#This Row],[Gs]])</f>
        <v>D0</v>
      </c>
    </row>
    <row r="172" spans="1:29" hidden="1" x14ac:dyDescent="0.3">
      <c r="A172" s="286">
        <v>46254</v>
      </c>
      <c r="B172" s="15">
        <v>1</v>
      </c>
      <c r="C172" s="283" t="s">
        <v>826</v>
      </c>
      <c r="D172" t="s">
        <v>162</v>
      </c>
      <c r="E172" t="s">
        <v>838</v>
      </c>
      <c r="F172" s="194">
        <v>7.5</v>
      </c>
      <c r="G172" s="329">
        <v>1</v>
      </c>
      <c r="H172" s="328">
        <v>0</v>
      </c>
      <c r="I172" s="328">
        <v>0</v>
      </c>
      <c r="J172" s="328">
        <v>0</v>
      </c>
      <c r="K172" s="328">
        <v>0</v>
      </c>
      <c r="L172" s="328">
        <v>0</v>
      </c>
      <c r="M172" s="328">
        <v>0</v>
      </c>
      <c r="N172" s="328">
        <v>0</v>
      </c>
      <c r="O172" s="329">
        <v>1</v>
      </c>
      <c r="P172" s="300">
        <v>1</v>
      </c>
      <c r="Q172" s="284">
        <f t="shared" si="3"/>
        <v>0</v>
      </c>
      <c r="R172" s="3" t="str">
        <f>_xlfn.IFNA(VLOOKUP(Tabella1[[#This Row],[Nome]],'ROSE SQUADRE'!$N$3:$O$253,2,0),"")</f>
        <v>SAN GRIA</v>
      </c>
      <c r="S172" s="312">
        <f>Tabella1[[#This Row],[Gf]]+Tabella1[[#This Row],[Rf]]</f>
        <v>1</v>
      </c>
      <c r="T172" s="193"/>
      <c r="U172" s="285" t="str">
        <f>IF(Tabella1[[#This Row],[N° FantaTit]]=1,Tabella1[[#This Row],[Voto]],"")</f>
        <v/>
      </c>
      <c r="V17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12.5</v>
      </c>
      <c r="W172" s="195"/>
      <c r="X172" s="193" t="str">
        <f>IF(Tabella1[[#This Row],[Best 11]]=1,Tabella1[[#This Row],[fanta voto]],"")</f>
        <v/>
      </c>
      <c r="Z172" s="193" t="str">
        <f>IF(Tabella1[[#This Row],[Best 11 MOD]]=1,Tabella1[[#This Row],[fanta voto]],"")</f>
        <v/>
      </c>
      <c r="AA172" t="str">
        <f>CONCATENATE(Tabella1[[#This Row],[GG]],Tabella1[[#This Row],[Nome]])</f>
        <v>1Rabiot</v>
      </c>
      <c r="AC172" t="str">
        <f>_xlfn.CONCAT(Tabella1[[#This Row],[Ruolo]],Tabella1[[#This Row],[Gs]])</f>
        <v>C0</v>
      </c>
    </row>
    <row r="173" spans="1:29" hidden="1" x14ac:dyDescent="0.3">
      <c r="A173" s="286">
        <v>46254</v>
      </c>
      <c r="B173" s="15">
        <v>1</v>
      </c>
      <c r="C173" s="283" t="s">
        <v>826</v>
      </c>
      <c r="D173" s="330" t="s">
        <v>162</v>
      </c>
      <c r="E173" s="330" t="s">
        <v>836</v>
      </c>
      <c r="F173" s="331">
        <v>6</v>
      </c>
      <c r="G173" s="332">
        <v>0</v>
      </c>
      <c r="H173" s="332">
        <v>0</v>
      </c>
      <c r="I173" s="332">
        <v>0</v>
      </c>
      <c r="J173" s="332">
        <v>0</v>
      </c>
      <c r="K173" s="332">
        <v>0</v>
      </c>
      <c r="L173" s="332">
        <v>0</v>
      </c>
      <c r="M173" s="332">
        <v>0</v>
      </c>
      <c r="N173" s="332">
        <v>0</v>
      </c>
      <c r="O173" s="332">
        <v>0</v>
      </c>
      <c r="P173" s="300"/>
      <c r="Q173" s="284">
        <f t="shared" si="3"/>
        <v>0</v>
      </c>
      <c r="R173" s="3" t="str">
        <f>_xlfn.IFNA(VLOOKUP(Tabella1[[#This Row],[Nome]],'ROSE SQUADRE'!$N$3:$O$253,2,0),"")</f>
        <v>SESTO ASENSIO</v>
      </c>
      <c r="S173" s="312">
        <f>Tabella1[[#This Row],[Gf]]+Tabella1[[#This Row],[Rf]]</f>
        <v>0</v>
      </c>
      <c r="T173" s="193"/>
      <c r="U173" s="285" t="str">
        <f>IF(Tabella1[[#This Row],[N° FantaTit]]=1,Tabella1[[#This Row],[Voto]],"")</f>
        <v/>
      </c>
      <c r="V17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73" s="195"/>
      <c r="X173" s="193" t="str">
        <f>IF(Tabella1[[#This Row],[Best 11]]=1,Tabella1[[#This Row],[fanta voto]],"")</f>
        <v/>
      </c>
      <c r="Z173" s="193" t="str">
        <f>IF(Tabella1[[#This Row],[Best 11 MOD]]=1,Tabella1[[#This Row],[fanta voto]],"")</f>
        <v/>
      </c>
      <c r="AA173" t="str">
        <f>CONCATENATE(Tabella1[[#This Row],[GG]],Tabella1[[#This Row],[Nome]])</f>
        <v>1Modric</v>
      </c>
      <c r="AC173" t="str">
        <f>_xlfn.CONCAT(Tabella1[[#This Row],[Ruolo]],Tabella1[[#This Row],[Gs]])</f>
        <v>C0</v>
      </c>
    </row>
    <row r="174" spans="1:29" hidden="1" x14ac:dyDescent="0.3">
      <c r="A174" s="286">
        <v>46254</v>
      </c>
      <c r="B174" s="15">
        <v>1</v>
      </c>
      <c r="C174" s="283" t="s">
        <v>826</v>
      </c>
      <c r="D174" t="s">
        <v>162</v>
      </c>
      <c r="E174" t="s">
        <v>464</v>
      </c>
      <c r="F174" s="194">
        <v>6</v>
      </c>
      <c r="G174" s="328">
        <v>0</v>
      </c>
      <c r="H174" s="328">
        <v>0</v>
      </c>
      <c r="I174" s="328">
        <v>0</v>
      </c>
      <c r="J174" s="328">
        <v>0</v>
      </c>
      <c r="K174" s="328">
        <v>0</v>
      </c>
      <c r="L174" s="328">
        <v>0</v>
      </c>
      <c r="M174" s="329">
        <v>1</v>
      </c>
      <c r="N174" s="328">
        <v>0</v>
      </c>
      <c r="O174" s="328">
        <v>0</v>
      </c>
      <c r="P174" s="300"/>
      <c r="Q174" s="284">
        <f t="shared" si="3"/>
        <v>0</v>
      </c>
      <c r="R174" s="3" t="str">
        <f>_xlfn.IFNA(VLOOKUP(Tabella1[[#This Row],[Nome]],'ROSE SQUADRE'!$N$3:$O$253,2,0),"")</f>
        <v>SHARK</v>
      </c>
      <c r="S174" s="312">
        <f>Tabella1[[#This Row],[Gf]]+Tabella1[[#This Row],[Rf]]</f>
        <v>0</v>
      </c>
      <c r="T174" s="193"/>
      <c r="U174" s="285" t="str">
        <f>IF(Tabella1[[#This Row],[N° FantaTit]]=1,Tabella1[[#This Row],[Voto]],"")</f>
        <v/>
      </c>
      <c r="V17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74" s="195"/>
      <c r="X174" s="193" t="str">
        <f>IF(Tabella1[[#This Row],[Best 11]]=1,Tabella1[[#This Row],[fanta voto]],"")</f>
        <v/>
      </c>
      <c r="Z174" s="193" t="str">
        <f>IF(Tabella1[[#This Row],[Best 11 MOD]]=1,Tabella1[[#This Row],[fanta voto]],"")</f>
        <v/>
      </c>
      <c r="AA174" t="str">
        <f>CONCATENATE(Tabella1[[#This Row],[GG]],Tabella1[[#This Row],[Nome]])</f>
        <v>1Loftus-Cheek</v>
      </c>
      <c r="AC174" t="str">
        <f>_xlfn.CONCAT(Tabella1[[#This Row],[Ruolo]],Tabella1[[#This Row],[Gs]])</f>
        <v>C0</v>
      </c>
    </row>
    <row r="175" spans="1:29" hidden="1" x14ac:dyDescent="0.3">
      <c r="A175" s="286">
        <v>46254</v>
      </c>
      <c r="B175" s="15">
        <v>1</v>
      </c>
      <c r="C175" s="283" t="s">
        <v>826</v>
      </c>
      <c r="D175" s="330" t="s">
        <v>162</v>
      </c>
      <c r="E175" s="330" t="s">
        <v>462</v>
      </c>
      <c r="F175" s="331">
        <v>7</v>
      </c>
      <c r="G175" s="332">
        <v>0</v>
      </c>
      <c r="H175" s="332">
        <v>0</v>
      </c>
      <c r="I175" s="332">
        <v>0</v>
      </c>
      <c r="J175" s="332">
        <v>0</v>
      </c>
      <c r="K175" s="332">
        <v>0</v>
      </c>
      <c r="L175" s="332">
        <v>0</v>
      </c>
      <c r="M175" s="332">
        <v>0</v>
      </c>
      <c r="N175" s="332">
        <v>0</v>
      </c>
      <c r="O175" s="333">
        <v>1</v>
      </c>
      <c r="P175" s="300"/>
      <c r="Q175" s="284">
        <f t="shared" si="3"/>
        <v>0</v>
      </c>
      <c r="R175" s="3" t="str">
        <f>_xlfn.IFNA(VLOOKUP(Tabella1[[#This Row],[Nome]],'ROSE SQUADRE'!$N$3:$O$253,2,0),"")</f>
        <v>SAN GRIA</v>
      </c>
      <c r="S175" s="312">
        <f>Tabella1[[#This Row],[Gf]]+Tabella1[[#This Row],[Rf]]</f>
        <v>0</v>
      </c>
      <c r="T175" s="193"/>
      <c r="U175" s="285" t="str">
        <f>IF(Tabella1[[#This Row],[N° FantaTit]]=1,Tabella1[[#This Row],[Voto]],"")</f>
        <v/>
      </c>
      <c r="V17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8</v>
      </c>
      <c r="W175" s="195"/>
      <c r="X175" s="193" t="str">
        <f>IF(Tabella1[[#This Row],[Best 11]]=1,Tabella1[[#This Row],[fanta voto]],"")</f>
        <v/>
      </c>
      <c r="Z175" s="193" t="str">
        <f>IF(Tabella1[[#This Row],[Best 11 MOD]]=1,Tabella1[[#This Row],[fanta voto]],"")</f>
        <v/>
      </c>
      <c r="AA175" t="str">
        <f>CONCATENATE(Tabella1[[#This Row],[GG]],Tabella1[[#This Row],[Nome]])</f>
        <v>1Chukwueze</v>
      </c>
      <c r="AC175" t="str">
        <f>_xlfn.CONCAT(Tabella1[[#This Row],[Ruolo]],Tabella1[[#This Row],[Gs]])</f>
        <v>C0</v>
      </c>
    </row>
    <row r="176" spans="1:29" hidden="1" x14ac:dyDescent="0.3">
      <c r="A176" s="286">
        <v>46254</v>
      </c>
      <c r="B176" s="15">
        <v>1</v>
      </c>
      <c r="C176" s="283" t="s">
        <v>826</v>
      </c>
      <c r="D176" t="s">
        <v>162</v>
      </c>
      <c r="E176" t="s">
        <v>249</v>
      </c>
      <c r="F176" s="194">
        <v>6</v>
      </c>
      <c r="G176" s="328">
        <v>0</v>
      </c>
      <c r="H176" s="328">
        <v>0</v>
      </c>
      <c r="I176" s="328">
        <v>0</v>
      </c>
      <c r="J176" s="328">
        <v>0</v>
      </c>
      <c r="K176" s="328">
        <v>0</v>
      </c>
      <c r="L176" s="328">
        <v>0</v>
      </c>
      <c r="M176" s="328">
        <v>0</v>
      </c>
      <c r="N176" s="328">
        <v>0</v>
      </c>
      <c r="O176" s="328">
        <v>0</v>
      </c>
      <c r="P176" s="300"/>
      <c r="Q176" s="284">
        <f t="shared" si="3"/>
        <v>0</v>
      </c>
      <c r="R176" s="3" t="str">
        <f>_xlfn.IFNA(VLOOKUP(Tabella1[[#This Row],[Nome]],'ROSE SQUADRE'!$N$3:$O$253,2,0),"")</f>
        <v>SAN GRIA</v>
      </c>
      <c r="S176" s="312">
        <f>Tabella1[[#This Row],[Gf]]+Tabella1[[#This Row],[Rf]]</f>
        <v>0</v>
      </c>
      <c r="T176" s="193"/>
      <c r="U176" s="285" t="str">
        <f>IF(Tabella1[[#This Row],[N° FantaTit]]=1,Tabella1[[#This Row],[Voto]],"")</f>
        <v/>
      </c>
      <c r="V17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76" s="195"/>
      <c r="X176" s="193" t="str">
        <f>IF(Tabella1[[#This Row],[Best 11]]=1,Tabella1[[#This Row],[fanta voto]],"")</f>
        <v/>
      </c>
      <c r="Z176" s="193" t="str">
        <f>IF(Tabella1[[#This Row],[Best 11 MOD]]=1,Tabella1[[#This Row],[fanta voto]],"")</f>
        <v/>
      </c>
      <c r="AA176" t="str">
        <f>CONCATENATE(Tabella1[[#This Row],[GG]],Tabella1[[#This Row],[Nome]])</f>
        <v>1Saelemaekers</v>
      </c>
      <c r="AC176" t="str">
        <f>_xlfn.CONCAT(Tabella1[[#This Row],[Ruolo]],Tabella1[[#This Row],[Gs]])</f>
        <v>C0</v>
      </c>
    </row>
    <row r="177" spans="1:29" hidden="1" x14ac:dyDescent="0.3">
      <c r="A177" s="286">
        <v>46254</v>
      </c>
      <c r="B177" s="15">
        <v>1</v>
      </c>
      <c r="C177" s="283" t="s">
        <v>826</v>
      </c>
      <c r="D177" s="330" t="s">
        <v>162</v>
      </c>
      <c r="E177" s="330" t="s">
        <v>466</v>
      </c>
      <c r="F177" s="331">
        <v>6</v>
      </c>
      <c r="G177" s="332">
        <v>0</v>
      </c>
      <c r="H177" s="332">
        <v>0</v>
      </c>
      <c r="I177" s="332">
        <v>0</v>
      </c>
      <c r="J177" s="332">
        <v>0</v>
      </c>
      <c r="K177" s="332">
        <v>0</v>
      </c>
      <c r="L177" s="332">
        <v>0</v>
      </c>
      <c r="M177" s="332">
        <v>0</v>
      </c>
      <c r="N177" s="332">
        <v>0</v>
      </c>
      <c r="O177" s="332">
        <v>0</v>
      </c>
      <c r="P177" s="300"/>
      <c r="Q177" s="284">
        <f t="shared" si="3"/>
        <v>0</v>
      </c>
      <c r="R177" s="3" t="str">
        <f>_xlfn.IFNA(VLOOKUP(Tabella1[[#This Row],[Nome]],'ROSE SQUADRE'!$N$3:$O$253,2,0),"")</f>
        <v>SHARK</v>
      </c>
      <c r="S177" s="312">
        <f>Tabella1[[#This Row],[Gf]]+Tabella1[[#This Row],[Rf]]</f>
        <v>0</v>
      </c>
      <c r="T177" s="193"/>
      <c r="U177" s="285" t="str">
        <f>IF(Tabella1[[#This Row],[N° FantaTit]]=1,Tabella1[[#This Row],[Voto]],"")</f>
        <v/>
      </c>
      <c r="V17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77" s="195"/>
      <c r="X177" s="193" t="str">
        <f>IF(Tabella1[[#This Row],[Best 11]]=1,Tabella1[[#This Row],[fanta voto]],"")</f>
        <v/>
      </c>
      <c r="Z177" s="193" t="str">
        <f>IF(Tabella1[[#This Row],[Best 11 MOD]]=1,Tabella1[[#This Row],[fanta voto]],"")</f>
        <v/>
      </c>
      <c r="AA177" t="str">
        <f>CONCATENATE(Tabella1[[#This Row],[GG]],Tabella1[[#This Row],[Nome]])</f>
        <v>1Musah</v>
      </c>
      <c r="AC177" t="str">
        <f>_xlfn.CONCAT(Tabella1[[#This Row],[Ruolo]],Tabella1[[#This Row],[Gs]])</f>
        <v>C0</v>
      </c>
    </row>
    <row r="178" spans="1:29" hidden="1" x14ac:dyDescent="0.3">
      <c r="A178" s="286">
        <v>46254</v>
      </c>
      <c r="B178" s="15">
        <v>1</v>
      </c>
      <c r="C178" s="283" t="s">
        <v>826</v>
      </c>
      <c r="D178" t="s">
        <v>162</v>
      </c>
      <c r="E178" t="s">
        <v>833</v>
      </c>
      <c r="F178" s="194">
        <v>7</v>
      </c>
      <c r="G178" s="329">
        <v>1</v>
      </c>
      <c r="H178" s="328">
        <v>0</v>
      </c>
      <c r="I178" s="328">
        <v>0</v>
      </c>
      <c r="J178" s="328">
        <v>0</v>
      </c>
      <c r="K178" s="328">
        <v>0</v>
      </c>
      <c r="L178" s="328">
        <v>0</v>
      </c>
      <c r="M178" s="328">
        <v>0</v>
      </c>
      <c r="N178" s="328">
        <v>0</v>
      </c>
      <c r="O178" s="328">
        <v>0</v>
      </c>
      <c r="P178" s="300"/>
      <c r="Q178" s="284">
        <f t="shared" si="3"/>
        <v>0</v>
      </c>
      <c r="R178" s="3" t="str">
        <f>_xlfn.IFNA(VLOOKUP(Tabella1[[#This Row],[Nome]],'ROSE SQUADRE'!$N$3:$O$253,2,0),"")</f>
        <v>SESTO ASENSIO</v>
      </c>
      <c r="S178" s="312">
        <f>Tabella1[[#This Row],[Gf]]+Tabella1[[#This Row],[Rf]]</f>
        <v>1</v>
      </c>
      <c r="T178" s="193"/>
      <c r="U178" s="285" t="str">
        <f>IF(Tabella1[[#This Row],[N° FantaTit]]=1,Tabella1[[#This Row],[Voto]],"")</f>
        <v/>
      </c>
      <c r="V17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178" s="195"/>
      <c r="X178" s="193" t="str">
        <f>IF(Tabella1[[#This Row],[Best 11]]=1,Tabella1[[#This Row],[fanta voto]],"")</f>
        <v/>
      </c>
      <c r="Z178" s="193" t="str">
        <f>IF(Tabella1[[#This Row],[Best 11 MOD]]=1,Tabella1[[#This Row],[fanta voto]],"")</f>
        <v/>
      </c>
      <c r="AA178" t="str">
        <f>CONCATENATE(Tabella1[[#This Row],[GG]],Tabella1[[#This Row],[Nome]])</f>
        <v>1Cissè A.</v>
      </c>
      <c r="AC178" t="str">
        <f>_xlfn.CONCAT(Tabella1[[#This Row],[Ruolo]],Tabella1[[#This Row],[Gs]])</f>
        <v>C0</v>
      </c>
    </row>
    <row r="179" spans="1:29" hidden="1" x14ac:dyDescent="0.3">
      <c r="A179" s="286">
        <v>46254</v>
      </c>
      <c r="B179" s="15">
        <v>1</v>
      </c>
      <c r="C179" s="283" t="s">
        <v>826</v>
      </c>
      <c r="D179" s="330" t="s">
        <v>162</v>
      </c>
      <c r="E179" s="330" t="s">
        <v>835</v>
      </c>
      <c r="F179" s="331">
        <v>6.5</v>
      </c>
      <c r="G179" s="332">
        <v>0</v>
      </c>
      <c r="H179" s="332">
        <v>0</v>
      </c>
      <c r="I179" s="332">
        <v>0</v>
      </c>
      <c r="J179" s="332">
        <v>0</v>
      </c>
      <c r="K179" s="332">
        <v>0</v>
      </c>
      <c r="L179" s="332">
        <v>0</v>
      </c>
      <c r="M179" s="332">
        <v>0</v>
      </c>
      <c r="N179" s="332">
        <v>0</v>
      </c>
      <c r="O179" s="332">
        <v>0</v>
      </c>
      <c r="P179" s="300"/>
      <c r="Q179" s="284">
        <f t="shared" si="3"/>
        <v>0</v>
      </c>
      <c r="R179" s="3" t="str">
        <f>_xlfn.IFNA(VLOOKUP(Tabella1[[#This Row],[Nome]],'ROSE SQUADRE'!$N$3:$O$253,2,0),"")</f>
        <v>ATL. IMPROVVISATO</v>
      </c>
      <c r="S179" s="312">
        <f>Tabella1[[#This Row],[Gf]]+Tabella1[[#This Row],[Rf]]</f>
        <v>0</v>
      </c>
      <c r="T179" s="193"/>
      <c r="U179" s="285" t="str">
        <f>IF(Tabella1[[#This Row],[N° FantaTit]]=1,Tabella1[[#This Row],[Voto]],"")</f>
        <v/>
      </c>
      <c r="V17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79" s="195"/>
      <c r="X179" s="193" t="str">
        <f>IF(Tabella1[[#This Row],[Best 11]]=1,Tabella1[[#This Row],[fanta voto]],"")</f>
        <v/>
      </c>
      <c r="Z179" s="193" t="str">
        <f>IF(Tabella1[[#This Row],[Best 11 MOD]]=1,Tabella1[[#This Row],[fanta voto]],"")</f>
        <v/>
      </c>
      <c r="AA179" t="str">
        <f>CONCATENATE(Tabella1[[#This Row],[GG]],Tabella1[[#This Row],[Nome]])</f>
        <v>1Jashari</v>
      </c>
      <c r="AC179" t="str">
        <f>_xlfn.CONCAT(Tabella1[[#This Row],[Ruolo]],Tabella1[[#This Row],[Gs]])</f>
        <v>C0</v>
      </c>
    </row>
    <row r="180" spans="1:29" hidden="1" x14ac:dyDescent="0.3">
      <c r="A180" s="286">
        <v>46254</v>
      </c>
      <c r="B180" s="15">
        <v>1</v>
      </c>
      <c r="C180" s="283" t="s">
        <v>826</v>
      </c>
      <c r="D180" t="s">
        <v>163</v>
      </c>
      <c r="E180" t="s">
        <v>841</v>
      </c>
      <c r="F180" s="194">
        <v>6</v>
      </c>
      <c r="G180" s="328">
        <v>0</v>
      </c>
      <c r="H180" s="328">
        <v>0</v>
      </c>
      <c r="I180" s="328">
        <v>0</v>
      </c>
      <c r="J180" s="328">
        <v>0</v>
      </c>
      <c r="K180" s="328">
        <v>0</v>
      </c>
      <c r="L180" s="328">
        <v>0</v>
      </c>
      <c r="M180" s="328">
        <v>0</v>
      </c>
      <c r="N180" s="328">
        <v>0</v>
      </c>
      <c r="O180" s="328">
        <v>0</v>
      </c>
      <c r="P180" s="300"/>
      <c r="Q180" s="284">
        <f t="shared" si="3"/>
        <v>0</v>
      </c>
      <c r="R180" s="3" t="str">
        <f>_xlfn.IFNA(VLOOKUP(Tabella1[[#This Row],[Nome]],'ROSE SQUADRE'!$N$3:$O$253,2,0),"")</f>
        <v>AS PIPPERIA</v>
      </c>
      <c r="S180" s="312">
        <f>Tabella1[[#This Row],[Gf]]+Tabella1[[#This Row],[Rf]]</f>
        <v>0</v>
      </c>
      <c r="T180" s="193"/>
      <c r="U180" s="285" t="str">
        <f>IF(Tabella1[[#This Row],[N° FantaTit]]=1,Tabella1[[#This Row],[Voto]],"")</f>
        <v/>
      </c>
      <c r="V18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80" s="195"/>
      <c r="X180" s="193" t="str">
        <f>IF(Tabella1[[#This Row],[Best 11]]=1,Tabella1[[#This Row],[fanta voto]],"")</f>
        <v/>
      </c>
      <c r="Z180" s="193" t="str">
        <f>IF(Tabella1[[#This Row],[Best 11 MOD]]=1,Tabella1[[#This Row],[fanta voto]],"")</f>
        <v/>
      </c>
      <c r="AA180" t="str">
        <f>CONCATENATE(Tabella1[[#This Row],[GG]],Tabella1[[#This Row],[Nome]])</f>
        <v>1Ramos G.</v>
      </c>
      <c r="AC180" t="str">
        <f>_xlfn.CONCAT(Tabella1[[#This Row],[Ruolo]],Tabella1[[#This Row],[Gs]])</f>
        <v>A0</v>
      </c>
    </row>
    <row r="181" spans="1:29" hidden="1" x14ac:dyDescent="0.3">
      <c r="A181" s="286">
        <v>46254</v>
      </c>
      <c r="B181" s="15">
        <v>1</v>
      </c>
      <c r="C181" s="283" t="s">
        <v>842</v>
      </c>
      <c r="D181" t="s">
        <v>5</v>
      </c>
      <c r="E181" t="s">
        <v>549</v>
      </c>
      <c r="F181" s="194">
        <v>5</v>
      </c>
      <c r="G181" s="328">
        <v>0</v>
      </c>
      <c r="H181" s="329">
        <v>4</v>
      </c>
      <c r="I181" s="328">
        <v>0</v>
      </c>
      <c r="J181" s="328">
        <v>0</v>
      </c>
      <c r="K181" s="328">
        <v>0</v>
      </c>
      <c r="L181" s="328">
        <v>0</v>
      </c>
      <c r="M181" s="328">
        <v>0</v>
      </c>
      <c r="N181" s="328">
        <v>0</v>
      </c>
      <c r="O181" s="328">
        <v>0</v>
      </c>
      <c r="P181" s="300"/>
      <c r="Q181" s="284">
        <f t="shared" si="3"/>
        <v>0</v>
      </c>
      <c r="R181" s="3" t="str">
        <f>_xlfn.IFNA(VLOOKUP(Tabella1[[#This Row],[Nome]],'ROSE SQUADRE'!$N$3:$O$253,2,0),"")</f>
        <v/>
      </c>
      <c r="S181" s="312">
        <f>Tabella1[[#This Row],[Gf]]+Tabella1[[#This Row],[Rf]]</f>
        <v>0</v>
      </c>
      <c r="T181" s="193"/>
      <c r="U181" s="285" t="str">
        <f>IF(Tabella1[[#This Row],[N° FantaTit]]=1,Tabella1[[#This Row],[Voto]],"")</f>
        <v/>
      </c>
      <c r="V18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</v>
      </c>
      <c r="W181" s="195"/>
      <c r="X181" s="193" t="str">
        <f>IF(Tabella1[[#This Row],[Best 11]]=1,Tabella1[[#This Row],[fanta voto]],"")</f>
        <v/>
      </c>
      <c r="Z181" s="193" t="str">
        <f>IF(Tabella1[[#This Row],[Best 11 MOD]]=1,Tabella1[[#This Row],[fanta voto]],"")</f>
        <v/>
      </c>
      <c r="AA181" t="str">
        <f>CONCATENATE(Tabella1[[#This Row],[GG]],Tabella1[[#This Row],[Nome]])</f>
        <v>1Pizzignacco</v>
      </c>
      <c r="AC181" t="str">
        <f>_xlfn.CONCAT(Tabella1[[#This Row],[Ruolo]],Tabella1[[#This Row],[Gs]])</f>
        <v>P4</v>
      </c>
    </row>
    <row r="182" spans="1:29" hidden="1" x14ac:dyDescent="0.3">
      <c r="A182" s="286">
        <v>46254</v>
      </c>
      <c r="B182" s="15">
        <v>1</v>
      </c>
      <c r="C182" s="283" t="s">
        <v>842</v>
      </c>
      <c r="D182" t="s">
        <v>161</v>
      </c>
      <c r="E182" t="s">
        <v>847</v>
      </c>
      <c r="F182" s="194">
        <v>5.5</v>
      </c>
      <c r="G182" s="328">
        <v>0</v>
      </c>
      <c r="H182" s="328">
        <v>0</v>
      </c>
      <c r="I182" s="328">
        <v>0</v>
      </c>
      <c r="J182" s="328">
        <v>0</v>
      </c>
      <c r="K182" s="328">
        <v>0</v>
      </c>
      <c r="L182" s="328">
        <v>0</v>
      </c>
      <c r="M182" s="328">
        <v>0</v>
      </c>
      <c r="N182" s="328">
        <v>0</v>
      </c>
      <c r="O182" s="328">
        <v>0</v>
      </c>
      <c r="P182" s="300"/>
      <c r="Q182" s="284">
        <f t="shared" si="3"/>
        <v>0</v>
      </c>
      <c r="R182" s="3" t="str">
        <f>_xlfn.IFNA(VLOOKUP(Tabella1[[#This Row],[Nome]],'ROSE SQUADRE'!$N$3:$O$253,2,0),"")</f>
        <v/>
      </c>
      <c r="S182" s="312">
        <f>Tabella1[[#This Row],[Gf]]+Tabella1[[#This Row],[Rf]]</f>
        <v>0</v>
      </c>
      <c r="T182" s="193"/>
      <c r="U182" s="285" t="str">
        <f>IF(Tabella1[[#This Row],[N° FantaTit]]=1,Tabella1[[#This Row],[Voto]],"")</f>
        <v/>
      </c>
      <c r="V18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82" s="195"/>
      <c r="X182" s="193" t="str">
        <f>IF(Tabella1[[#This Row],[Best 11]]=1,Tabella1[[#This Row],[fanta voto]],"")</f>
        <v/>
      </c>
      <c r="Z182" s="193" t="str">
        <f>IF(Tabella1[[#This Row],[Best 11 MOD]]=1,Tabella1[[#This Row],[fanta voto]],"")</f>
        <v/>
      </c>
      <c r="AA182" t="str">
        <f>CONCATENATE(Tabella1[[#This Row],[GG]],Tabella1[[#This Row],[Nome]])</f>
        <v>1Carboni A.</v>
      </c>
      <c r="AC182" t="str">
        <f>_xlfn.CONCAT(Tabella1[[#This Row],[Ruolo]],Tabella1[[#This Row],[Gs]])</f>
        <v>D0</v>
      </c>
    </row>
    <row r="183" spans="1:29" hidden="1" x14ac:dyDescent="0.3">
      <c r="A183" s="286">
        <v>46254</v>
      </c>
      <c r="B183" s="15">
        <v>1</v>
      </c>
      <c r="C183" s="283" t="s">
        <v>842</v>
      </c>
      <c r="D183" s="330" t="s">
        <v>161</v>
      </c>
      <c r="E183" s="330" t="s">
        <v>250</v>
      </c>
      <c r="F183" s="331">
        <v>5.5</v>
      </c>
      <c r="G183" s="332">
        <v>0</v>
      </c>
      <c r="H183" s="332">
        <v>0</v>
      </c>
      <c r="I183" s="332">
        <v>0</v>
      </c>
      <c r="J183" s="332">
        <v>0</v>
      </c>
      <c r="K183" s="332">
        <v>0</v>
      </c>
      <c r="L183" s="332">
        <v>0</v>
      </c>
      <c r="M183" s="332">
        <v>0</v>
      </c>
      <c r="N183" s="332">
        <v>0</v>
      </c>
      <c r="O183" s="332">
        <v>0</v>
      </c>
      <c r="P183" s="300"/>
      <c r="Q183" s="284">
        <f t="shared" si="3"/>
        <v>0</v>
      </c>
      <c r="R183" s="3" t="str">
        <f>_xlfn.IFNA(VLOOKUP(Tabella1[[#This Row],[Nome]],'ROSE SQUADRE'!$N$3:$O$253,2,0),"")</f>
        <v/>
      </c>
      <c r="S183" s="312">
        <f>Tabella1[[#This Row],[Gf]]+Tabella1[[#This Row],[Rf]]</f>
        <v>0</v>
      </c>
      <c r="T183" s="193"/>
      <c r="U183" s="285" t="str">
        <f>IF(Tabella1[[#This Row],[N° FantaTit]]=1,Tabella1[[#This Row],[Voto]],"")</f>
        <v/>
      </c>
      <c r="V18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83" s="195"/>
      <c r="X183" s="193" t="str">
        <f>IF(Tabella1[[#This Row],[Best 11]]=1,Tabella1[[#This Row],[fanta voto]],"")</f>
        <v/>
      </c>
      <c r="Z183" s="193" t="str">
        <f>IF(Tabella1[[#This Row],[Best 11 MOD]]=1,Tabella1[[#This Row],[fanta voto]],"")</f>
        <v/>
      </c>
      <c r="AA183" t="str">
        <f>CONCATENATE(Tabella1[[#This Row],[GG]],Tabella1[[#This Row],[Nome]])</f>
        <v>1Birindelli</v>
      </c>
      <c r="AC183" t="str">
        <f>_xlfn.CONCAT(Tabella1[[#This Row],[Ruolo]],Tabella1[[#This Row],[Gs]])</f>
        <v>D0</v>
      </c>
    </row>
    <row r="184" spans="1:29" hidden="1" x14ac:dyDescent="0.3">
      <c r="A184" s="286">
        <v>46254</v>
      </c>
      <c r="B184" s="15">
        <v>1</v>
      </c>
      <c r="C184" s="283" t="s">
        <v>842</v>
      </c>
      <c r="D184" t="s">
        <v>161</v>
      </c>
      <c r="E184" t="s">
        <v>850</v>
      </c>
      <c r="F184" s="194">
        <v>5</v>
      </c>
      <c r="G184" s="328">
        <v>0</v>
      </c>
      <c r="H184" s="328">
        <v>0</v>
      </c>
      <c r="I184" s="328">
        <v>0</v>
      </c>
      <c r="J184" s="328">
        <v>0</v>
      </c>
      <c r="K184" s="328">
        <v>0</v>
      </c>
      <c r="L184" s="328">
        <v>0</v>
      </c>
      <c r="M184" s="329">
        <v>1</v>
      </c>
      <c r="N184" s="328">
        <v>0</v>
      </c>
      <c r="O184" s="328">
        <v>0</v>
      </c>
      <c r="P184" s="300"/>
      <c r="Q184" s="284">
        <f t="shared" si="3"/>
        <v>0</v>
      </c>
      <c r="R184" s="3" t="str">
        <f>_xlfn.IFNA(VLOOKUP(Tabella1[[#This Row],[Nome]],'ROSE SQUADRE'!$N$3:$O$253,2,0),"")</f>
        <v/>
      </c>
      <c r="S184" s="312">
        <f>Tabella1[[#This Row],[Gf]]+Tabella1[[#This Row],[Rf]]</f>
        <v>0</v>
      </c>
      <c r="T184" s="193"/>
      <c r="U184" s="285" t="str">
        <f>IF(Tabella1[[#This Row],[N° FantaTit]]=1,Tabella1[[#This Row],[Voto]],"")</f>
        <v/>
      </c>
      <c r="V18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4.5</v>
      </c>
      <c r="W184" s="195"/>
      <c r="X184" s="193" t="str">
        <f>IF(Tabella1[[#This Row],[Best 11]]=1,Tabella1[[#This Row],[fanta voto]],"")</f>
        <v/>
      </c>
      <c r="Z184" s="193" t="str">
        <f>IF(Tabella1[[#This Row],[Best 11 MOD]]=1,Tabella1[[#This Row],[fanta voto]],"")</f>
        <v/>
      </c>
      <c r="AA184" t="str">
        <f>CONCATENATE(Tabella1[[#This Row],[GG]],Tabella1[[#This Row],[Nome]])</f>
        <v>1Lucchesi</v>
      </c>
      <c r="AC184" t="str">
        <f>_xlfn.CONCAT(Tabella1[[#This Row],[Ruolo]],Tabella1[[#This Row],[Gs]])</f>
        <v>D0</v>
      </c>
    </row>
    <row r="185" spans="1:29" hidden="1" x14ac:dyDescent="0.3">
      <c r="A185" s="286">
        <v>46254</v>
      </c>
      <c r="B185" s="15">
        <v>1</v>
      </c>
      <c r="C185" s="283" t="s">
        <v>842</v>
      </c>
      <c r="D185" s="330" t="s">
        <v>161</v>
      </c>
      <c r="E185" s="330" t="s">
        <v>849</v>
      </c>
      <c r="F185" s="331">
        <v>5.5</v>
      </c>
      <c r="G185" s="332">
        <v>0</v>
      </c>
      <c r="H185" s="332">
        <v>0</v>
      </c>
      <c r="I185" s="332">
        <v>0</v>
      </c>
      <c r="J185" s="332">
        <v>0</v>
      </c>
      <c r="K185" s="332">
        <v>0</v>
      </c>
      <c r="L185" s="332">
        <v>0</v>
      </c>
      <c r="M185" s="333">
        <v>1</v>
      </c>
      <c r="N185" s="332">
        <v>0</v>
      </c>
      <c r="O185" s="332">
        <v>0</v>
      </c>
      <c r="P185" s="300"/>
      <c r="Q185" s="284">
        <f t="shared" si="3"/>
        <v>0</v>
      </c>
      <c r="R185" s="3" t="str">
        <f>_xlfn.IFNA(VLOOKUP(Tabella1[[#This Row],[Nome]],'ROSE SQUADRE'!$N$3:$O$253,2,0),"")</f>
        <v/>
      </c>
      <c r="S185" s="312">
        <f>Tabella1[[#This Row],[Gf]]+Tabella1[[#This Row],[Rf]]</f>
        <v>0</v>
      </c>
      <c r="T185" s="193"/>
      <c r="U185" s="285" t="str">
        <f>IF(Tabella1[[#This Row],[N° FantaTit]]=1,Tabella1[[#This Row],[Voto]],"")</f>
        <v/>
      </c>
      <c r="V18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185" s="195"/>
      <c r="X185" s="193" t="str">
        <f>IF(Tabella1[[#This Row],[Best 11]]=1,Tabella1[[#This Row],[fanta voto]],"")</f>
        <v/>
      </c>
      <c r="Z185" s="193" t="str">
        <f>IF(Tabella1[[#This Row],[Best 11 MOD]]=1,Tabella1[[#This Row],[fanta voto]],"")</f>
        <v/>
      </c>
      <c r="AA185" t="str">
        <f>CONCATENATE(Tabella1[[#This Row],[GG]],Tabella1[[#This Row],[Nome]])</f>
        <v>1Kouadio</v>
      </c>
      <c r="AC185" t="str">
        <f>_xlfn.CONCAT(Tabella1[[#This Row],[Ruolo]],Tabella1[[#This Row],[Gs]])</f>
        <v>D0</v>
      </c>
    </row>
    <row r="186" spans="1:29" hidden="1" x14ac:dyDescent="0.3">
      <c r="A186" s="286">
        <v>46254</v>
      </c>
      <c r="B186" s="15">
        <v>1</v>
      </c>
      <c r="C186" s="283" t="s">
        <v>842</v>
      </c>
      <c r="D186" t="s">
        <v>161</v>
      </c>
      <c r="E186" t="s">
        <v>846</v>
      </c>
      <c r="F186" s="194">
        <v>6</v>
      </c>
      <c r="G186" s="328">
        <v>0</v>
      </c>
      <c r="H186" s="328">
        <v>0</v>
      </c>
      <c r="I186" s="328">
        <v>0</v>
      </c>
      <c r="J186" s="328">
        <v>0</v>
      </c>
      <c r="K186" s="328">
        <v>0</v>
      </c>
      <c r="L186" s="328">
        <v>0</v>
      </c>
      <c r="M186" s="328">
        <v>0</v>
      </c>
      <c r="N186" s="328">
        <v>0</v>
      </c>
      <c r="O186" s="328">
        <v>0</v>
      </c>
      <c r="P186" s="300"/>
      <c r="Q186" s="284">
        <f t="shared" si="3"/>
        <v>0</v>
      </c>
      <c r="R186" s="3" t="str">
        <f>_xlfn.IFNA(VLOOKUP(Tabella1[[#This Row],[Nome]],'ROSE SQUADRE'!$N$3:$O$253,2,0),"")</f>
        <v/>
      </c>
      <c r="S186" s="312">
        <f>Tabella1[[#This Row],[Gf]]+Tabella1[[#This Row],[Rf]]</f>
        <v>0</v>
      </c>
      <c r="T186" s="193"/>
      <c r="U186" s="285" t="str">
        <f>IF(Tabella1[[#This Row],[N° FantaTit]]=1,Tabella1[[#This Row],[Voto]],"")</f>
        <v/>
      </c>
      <c r="V18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86" s="195"/>
      <c r="X186" s="193" t="str">
        <f>IF(Tabella1[[#This Row],[Best 11]]=1,Tabella1[[#This Row],[fanta voto]],"")</f>
        <v/>
      </c>
      <c r="Z186" s="193" t="str">
        <f>IF(Tabella1[[#This Row],[Best 11 MOD]]=1,Tabella1[[#This Row],[fanta voto]],"")</f>
        <v/>
      </c>
      <c r="AA186" t="str">
        <f>CONCATENATE(Tabella1[[#This Row],[GG]],Tabella1[[#This Row],[Nome]])</f>
        <v>1Bakoune</v>
      </c>
      <c r="AC186" t="str">
        <f>_xlfn.CONCAT(Tabella1[[#This Row],[Ruolo]],Tabella1[[#This Row],[Gs]])</f>
        <v>D0</v>
      </c>
    </row>
    <row r="187" spans="1:29" hidden="1" x14ac:dyDescent="0.3">
      <c r="A187" s="286">
        <v>46254</v>
      </c>
      <c r="B187" s="15">
        <v>1</v>
      </c>
      <c r="C187" s="283" t="s">
        <v>842</v>
      </c>
      <c r="D187" s="330" t="s">
        <v>161</v>
      </c>
      <c r="E187" s="330" t="s">
        <v>851</v>
      </c>
      <c r="F187" s="331">
        <v>5.5</v>
      </c>
      <c r="G187" s="332">
        <v>0</v>
      </c>
      <c r="H187" s="332">
        <v>0</v>
      </c>
      <c r="I187" s="332">
        <v>0</v>
      </c>
      <c r="J187" s="332">
        <v>0</v>
      </c>
      <c r="K187" s="332">
        <v>0</v>
      </c>
      <c r="L187" s="332">
        <v>0</v>
      </c>
      <c r="M187" s="332">
        <v>0</v>
      </c>
      <c r="N187" s="332">
        <v>0</v>
      </c>
      <c r="O187" s="332">
        <v>0</v>
      </c>
      <c r="P187" s="300"/>
      <c r="Q187" s="284">
        <f t="shared" si="3"/>
        <v>0</v>
      </c>
      <c r="R187" s="3" t="str">
        <f>_xlfn.IFNA(VLOOKUP(Tabella1[[#This Row],[Nome]],'ROSE SQUADRE'!$N$3:$O$253,2,0),"")</f>
        <v/>
      </c>
      <c r="S187" s="312">
        <f>Tabella1[[#This Row],[Gf]]+Tabella1[[#This Row],[Rf]]</f>
        <v>0</v>
      </c>
      <c r="T187" s="193"/>
      <c r="U187" s="285" t="str">
        <f>IF(Tabella1[[#This Row],[N° FantaTit]]=1,Tabella1[[#This Row],[Voto]],"")</f>
        <v/>
      </c>
      <c r="V18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87" s="195"/>
      <c r="X187" s="193" t="str">
        <f>IF(Tabella1[[#This Row],[Best 11]]=1,Tabella1[[#This Row],[fanta voto]],"")</f>
        <v/>
      </c>
      <c r="Z187" s="193" t="str">
        <f>IF(Tabella1[[#This Row],[Best 11 MOD]]=1,Tabella1[[#This Row],[fanta voto]],"")</f>
        <v/>
      </c>
      <c r="AA187" t="str">
        <f>CONCATENATE(Tabella1[[#This Row],[GG]],Tabella1[[#This Row],[Nome]])</f>
        <v>1Mangas</v>
      </c>
      <c r="AC187" t="str">
        <f>_xlfn.CONCAT(Tabella1[[#This Row],[Ruolo]],Tabella1[[#This Row],[Gs]])</f>
        <v>D0</v>
      </c>
    </row>
    <row r="188" spans="1:29" hidden="1" x14ac:dyDescent="0.3">
      <c r="A188" s="286">
        <v>46254</v>
      </c>
      <c r="B188" s="15">
        <v>1</v>
      </c>
      <c r="C188" s="283" t="s">
        <v>842</v>
      </c>
      <c r="D188" t="s">
        <v>162</v>
      </c>
      <c r="E188" t="s">
        <v>989</v>
      </c>
      <c r="F188" s="194">
        <v>6</v>
      </c>
      <c r="G188" s="328">
        <v>0</v>
      </c>
      <c r="H188" s="328">
        <v>0</v>
      </c>
      <c r="I188" s="328">
        <v>0</v>
      </c>
      <c r="J188" s="328">
        <v>0</v>
      </c>
      <c r="K188" s="328">
        <v>0</v>
      </c>
      <c r="L188" s="328">
        <v>0</v>
      </c>
      <c r="M188" s="328">
        <v>0</v>
      </c>
      <c r="N188" s="328">
        <v>0</v>
      </c>
      <c r="O188" s="328">
        <v>0</v>
      </c>
      <c r="P188" s="300"/>
      <c r="Q188" s="284">
        <f t="shared" si="3"/>
        <v>0</v>
      </c>
      <c r="R188" s="3" t="str">
        <f>_xlfn.IFNA(VLOOKUP(Tabella1[[#This Row],[Nome]],'ROSE SQUADRE'!$N$3:$O$253,2,0),"")</f>
        <v/>
      </c>
      <c r="S188" s="312">
        <f>Tabella1[[#This Row],[Gf]]+Tabella1[[#This Row],[Rf]]</f>
        <v>0</v>
      </c>
      <c r="T188" s="193"/>
      <c r="U188" s="285" t="str">
        <f>IF(Tabella1[[#This Row],[N° FantaTit]]=1,Tabella1[[#This Row],[Voto]],"")</f>
        <v/>
      </c>
      <c r="V18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88" s="195"/>
      <c r="X188" s="193" t="str">
        <f>IF(Tabella1[[#This Row],[Best 11]]=1,Tabella1[[#This Row],[fanta voto]],"")</f>
        <v/>
      </c>
      <c r="Z188" s="193" t="str">
        <f>IF(Tabella1[[#This Row],[Best 11 MOD]]=1,Tabella1[[#This Row],[fanta voto]],"")</f>
        <v/>
      </c>
      <c r="AA188" t="str">
        <f>CONCATENATE(Tabella1[[#This Row],[GG]],Tabella1[[#This Row],[Nome]])</f>
        <v>1Galazzi</v>
      </c>
      <c r="AC188" t="str">
        <f>_xlfn.CONCAT(Tabella1[[#This Row],[Ruolo]],Tabella1[[#This Row],[Gs]])</f>
        <v>C0</v>
      </c>
    </row>
    <row r="189" spans="1:29" hidden="1" x14ac:dyDescent="0.3">
      <c r="A189" s="286">
        <v>46254</v>
      </c>
      <c r="B189" s="15">
        <v>1</v>
      </c>
      <c r="C189" s="283" t="s">
        <v>842</v>
      </c>
      <c r="D189" s="330" t="s">
        <v>162</v>
      </c>
      <c r="E189" s="330" t="s">
        <v>328</v>
      </c>
      <c r="F189" s="331">
        <v>5</v>
      </c>
      <c r="G189" s="332">
        <v>0</v>
      </c>
      <c r="H189" s="332">
        <v>0</v>
      </c>
      <c r="I189" s="332">
        <v>0</v>
      </c>
      <c r="J189" s="332">
        <v>0</v>
      </c>
      <c r="K189" s="332">
        <v>0</v>
      </c>
      <c r="L189" s="332">
        <v>0</v>
      </c>
      <c r="M189" s="332">
        <v>0</v>
      </c>
      <c r="N189" s="332">
        <v>0</v>
      </c>
      <c r="O189" s="332">
        <v>0</v>
      </c>
      <c r="P189" s="300"/>
      <c r="Q189" s="284">
        <f t="shared" si="3"/>
        <v>0</v>
      </c>
      <c r="R189" s="3" t="str">
        <f>_xlfn.IFNA(VLOOKUP(Tabella1[[#This Row],[Nome]],'ROSE SQUADRE'!$N$3:$O$253,2,0),"")</f>
        <v>AS PIPPERIA</v>
      </c>
      <c r="S189" s="312">
        <f>Tabella1[[#This Row],[Gf]]+Tabella1[[#This Row],[Rf]]</f>
        <v>0</v>
      </c>
      <c r="T189" s="193"/>
      <c r="U189" s="285" t="str">
        <f>IF(Tabella1[[#This Row],[N° FantaTit]]=1,Tabella1[[#This Row],[Voto]],"")</f>
        <v/>
      </c>
      <c r="V18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189" s="195"/>
      <c r="X189" s="193" t="str">
        <f>IF(Tabella1[[#This Row],[Best 11]]=1,Tabella1[[#This Row],[fanta voto]],"")</f>
        <v/>
      </c>
      <c r="Z189" s="193" t="str">
        <f>IF(Tabella1[[#This Row],[Best 11 MOD]]=1,Tabella1[[#This Row],[fanta voto]],"")</f>
        <v/>
      </c>
      <c r="AA189" t="str">
        <f>CONCATENATE(Tabella1[[#This Row],[GG]],Tabella1[[#This Row],[Nome]])</f>
        <v>1Colpani</v>
      </c>
      <c r="AC189" t="str">
        <f>_xlfn.CONCAT(Tabella1[[#This Row],[Ruolo]],Tabella1[[#This Row],[Gs]])</f>
        <v>C0</v>
      </c>
    </row>
    <row r="190" spans="1:29" hidden="1" x14ac:dyDescent="0.3">
      <c r="A190" s="286">
        <v>46254</v>
      </c>
      <c r="B190" s="15">
        <v>1</v>
      </c>
      <c r="C190" s="283" t="s">
        <v>842</v>
      </c>
      <c r="D190" t="s">
        <v>162</v>
      </c>
      <c r="E190" t="s">
        <v>855</v>
      </c>
      <c r="F190" s="194">
        <v>6</v>
      </c>
      <c r="G190" s="328">
        <v>0</v>
      </c>
      <c r="H190" s="328">
        <v>0</v>
      </c>
      <c r="I190" s="328">
        <v>0</v>
      </c>
      <c r="J190" s="328">
        <v>0</v>
      </c>
      <c r="K190" s="328">
        <v>0</v>
      </c>
      <c r="L190" s="328">
        <v>0</v>
      </c>
      <c r="M190" s="328">
        <v>0</v>
      </c>
      <c r="N190" s="328">
        <v>0</v>
      </c>
      <c r="O190" s="328">
        <v>0</v>
      </c>
      <c r="P190" s="300"/>
      <c r="Q190" s="284">
        <f t="shared" si="3"/>
        <v>0</v>
      </c>
      <c r="R190" s="3" t="str">
        <f>_xlfn.IFNA(VLOOKUP(Tabella1[[#This Row],[Nome]],'ROSE SQUADRE'!$N$3:$O$253,2,0),"")</f>
        <v/>
      </c>
      <c r="S190" s="312">
        <f>Tabella1[[#This Row],[Gf]]+Tabella1[[#This Row],[Rf]]</f>
        <v>0</v>
      </c>
      <c r="T190" s="193"/>
      <c r="U190" s="285" t="str">
        <f>IF(Tabella1[[#This Row],[N° FantaTit]]=1,Tabella1[[#This Row],[Voto]],"")</f>
        <v/>
      </c>
      <c r="V19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90" s="195"/>
      <c r="X190" s="193" t="str">
        <f>IF(Tabella1[[#This Row],[Best 11]]=1,Tabella1[[#This Row],[fanta voto]],"")</f>
        <v/>
      </c>
      <c r="Z190" s="193" t="str">
        <f>IF(Tabella1[[#This Row],[Best 11 MOD]]=1,Tabella1[[#This Row],[fanta voto]],"")</f>
        <v/>
      </c>
      <c r="AA190" t="str">
        <f>CONCATENATE(Tabella1[[#This Row],[GG]],Tabella1[[#This Row],[Nome]])</f>
        <v>1Forson O.</v>
      </c>
      <c r="AC190" t="str">
        <f>_xlfn.CONCAT(Tabella1[[#This Row],[Ruolo]],Tabella1[[#This Row],[Gs]])</f>
        <v>C0</v>
      </c>
    </row>
    <row r="191" spans="1:29" hidden="1" x14ac:dyDescent="0.3">
      <c r="A191" s="286">
        <v>46254</v>
      </c>
      <c r="B191" s="15">
        <v>1</v>
      </c>
      <c r="C191" s="283" t="s">
        <v>842</v>
      </c>
      <c r="D191" s="330" t="s">
        <v>162</v>
      </c>
      <c r="E191" s="330" t="s">
        <v>990</v>
      </c>
      <c r="F191" s="331">
        <v>6</v>
      </c>
      <c r="G191" s="332">
        <v>0</v>
      </c>
      <c r="H191" s="332">
        <v>0</v>
      </c>
      <c r="I191" s="332">
        <v>0</v>
      </c>
      <c r="J191" s="332">
        <v>0</v>
      </c>
      <c r="K191" s="332">
        <v>0</v>
      </c>
      <c r="L191" s="332">
        <v>0</v>
      </c>
      <c r="M191" s="332">
        <v>0</v>
      </c>
      <c r="N191" s="332">
        <v>0</v>
      </c>
      <c r="O191" s="332">
        <v>0</v>
      </c>
      <c r="P191" s="300"/>
      <c r="Q191" s="284">
        <f t="shared" si="3"/>
        <v>0</v>
      </c>
      <c r="R191" s="3" t="str">
        <f>_xlfn.IFNA(VLOOKUP(Tabella1[[#This Row],[Nome]],'ROSE SQUADRE'!$N$3:$O$253,2,0),"")</f>
        <v/>
      </c>
      <c r="S191" s="312">
        <f>Tabella1[[#This Row],[Gf]]+Tabella1[[#This Row],[Rf]]</f>
        <v>0</v>
      </c>
      <c r="T191" s="193"/>
      <c r="U191" s="285" t="str">
        <f>IF(Tabella1[[#This Row],[N° FantaTit]]=1,Tabella1[[#This Row],[Voto]],"")</f>
        <v/>
      </c>
      <c r="V19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91" s="195"/>
      <c r="X191" s="193" t="str">
        <f>IF(Tabella1[[#This Row],[Best 11]]=1,Tabella1[[#This Row],[fanta voto]],"")</f>
        <v/>
      </c>
      <c r="Z191" s="193" t="str">
        <f>IF(Tabella1[[#This Row],[Best 11 MOD]]=1,Tabella1[[#This Row],[fanta voto]],"")</f>
        <v/>
      </c>
      <c r="AA191" t="str">
        <f>CONCATENATE(Tabella1[[#This Row],[GG]],Tabella1[[#This Row],[Nome]])</f>
        <v>1Foe Ondoa</v>
      </c>
      <c r="AC191" t="str">
        <f>_xlfn.CONCAT(Tabella1[[#This Row],[Ruolo]],Tabella1[[#This Row],[Gs]])</f>
        <v>C0</v>
      </c>
    </row>
    <row r="192" spans="1:29" hidden="1" x14ac:dyDescent="0.3">
      <c r="A192" s="286">
        <v>46254</v>
      </c>
      <c r="B192" s="15">
        <v>1</v>
      </c>
      <c r="C192" s="283" t="s">
        <v>842</v>
      </c>
      <c r="D192" t="s">
        <v>162</v>
      </c>
      <c r="E192" t="s">
        <v>991</v>
      </c>
      <c r="F192" s="194">
        <v>6</v>
      </c>
      <c r="G192" s="328">
        <v>0</v>
      </c>
      <c r="H192" s="328">
        <v>0</v>
      </c>
      <c r="I192" s="328">
        <v>0</v>
      </c>
      <c r="J192" s="328">
        <v>0</v>
      </c>
      <c r="K192" s="328">
        <v>0</v>
      </c>
      <c r="L192" s="328">
        <v>0</v>
      </c>
      <c r="M192" s="328">
        <v>0</v>
      </c>
      <c r="N192" s="328">
        <v>0</v>
      </c>
      <c r="O192" s="329">
        <v>1</v>
      </c>
      <c r="P192" s="300"/>
      <c r="Q192" s="284">
        <f t="shared" si="3"/>
        <v>0</v>
      </c>
      <c r="R192" s="3" t="str">
        <f>_xlfn.IFNA(VLOOKUP(Tabella1[[#This Row],[Nome]],'ROSE SQUADRE'!$N$3:$O$253,2,0),"")</f>
        <v/>
      </c>
      <c r="S192" s="312">
        <f>Tabella1[[#This Row],[Gf]]+Tabella1[[#This Row],[Rf]]</f>
        <v>0</v>
      </c>
      <c r="T192" s="193"/>
      <c r="U192" s="285" t="str">
        <f>IF(Tabella1[[#This Row],[N° FantaTit]]=1,Tabella1[[#This Row],[Voto]],"")</f>
        <v/>
      </c>
      <c r="V19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192" s="195"/>
      <c r="X192" s="193" t="str">
        <f>IF(Tabella1[[#This Row],[Best 11]]=1,Tabella1[[#This Row],[fanta voto]],"")</f>
        <v/>
      </c>
      <c r="Z192" s="193" t="str">
        <f>IF(Tabella1[[#This Row],[Best 11 MOD]]=1,Tabella1[[#This Row],[fanta voto]],"")</f>
        <v/>
      </c>
      <c r="AA192" t="str">
        <f>CONCATENATE(Tabella1[[#This Row],[GG]],Tabella1[[#This Row],[Nome]])</f>
        <v>1Mout</v>
      </c>
      <c r="AC192" t="str">
        <f>_xlfn.CONCAT(Tabella1[[#This Row],[Ruolo]],Tabella1[[#This Row],[Gs]])</f>
        <v>C0</v>
      </c>
    </row>
    <row r="193" spans="1:29" hidden="1" x14ac:dyDescent="0.3">
      <c r="A193" s="286">
        <v>46254</v>
      </c>
      <c r="B193" s="15">
        <v>1</v>
      </c>
      <c r="C193" s="283" t="s">
        <v>842</v>
      </c>
      <c r="D193" s="330" t="s">
        <v>163</v>
      </c>
      <c r="E193" s="330" t="s">
        <v>522</v>
      </c>
      <c r="F193" s="331">
        <v>6</v>
      </c>
      <c r="G193" s="332">
        <v>0</v>
      </c>
      <c r="H193" s="332">
        <v>0</v>
      </c>
      <c r="I193" s="332">
        <v>0</v>
      </c>
      <c r="J193" s="332">
        <v>0</v>
      </c>
      <c r="K193" s="332">
        <v>0</v>
      </c>
      <c r="L193" s="332">
        <v>0</v>
      </c>
      <c r="M193" s="332">
        <v>0</v>
      </c>
      <c r="N193" s="332">
        <v>0</v>
      </c>
      <c r="O193" s="332">
        <v>0</v>
      </c>
      <c r="P193" s="300"/>
      <c r="Q193" s="284">
        <f t="shared" si="3"/>
        <v>0</v>
      </c>
      <c r="R193" s="3" t="str">
        <f>_xlfn.IFNA(VLOOKUP(Tabella1[[#This Row],[Nome]],'ROSE SQUADRE'!$N$3:$O$253,2,0),"")</f>
        <v>SHARK</v>
      </c>
      <c r="S193" s="312">
        <f>Tabella1[[#This Row],[Gf]]+Tabella1[[#This Row],[Rf]]</f>
        <v>0</v>
      </c>
      <c r="T193" s="193"/>
      <c r="U193" s="285" t="str">
        <f>IF(Tabella1[[#This Row],[N° FantaTit]]=1,Tabella1[[#This Row],[Voto]],"")</f>
        <v/>
      </c>
      <c r="V19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93" s="195"/>
      <c r="X193" s="193" t="str">
        <f>IF(Tabella1[[#This Row],[Best 11]]=1,Tabella1[[#This Row],[fanta voto]],"")</f>
        <v/>
      </c>
      <c r="Z193" s="193" t="str">
        <f>IF(Tabella1[[#This Row],[Best 11 MOD]]=1,Tabella1[[#This Row],[fanta voto]],"")</f>
        <v/>
      </c>
      <c r="AA193" t="str">
        <f>CONCATENATE(Tabella1[[#This Row],[GG]],Tabella1[[#This Row],[Nome]])</f>
        <v>1Cutrone</v>
      </c>
      <c r="AC193" t="str">
        <f>_xlfn.CONCAT(Tabella1[[#This Row],[Ruolo]],Tabella1[[#This Row],[Gs]])</f>
        <v>A0</v>
      </c>
    </row>
    <row r="194" spans="1:29" hidden="1" x14ac:dyDescent="0.3">
      <c r="A194" s="286">
        <v>46254</v>
      </c>
      <c r="B194" s="15">
        <v>1</v>
      </c>
      <c r="C194" s="283" t="s">
        <v>842</v>
      </c>
      <c r="D194" t="s">
        <v>163</v>
      </c>
      <c r="E194" t="s">
        <v>858</v>
      </c>
      <c r="F194" s="194">
        <v>7</v>
      </c>
      <c r="G194" s="329">
        <v>1</v>
      </c>
      <c r="H194" s="328">
        <v>0</v>
      </c>
      <c r="I194" s="328">
        <v>0</v>
      </c>
      <c r="J194" s="328">
        <v>0</v>
      </c>
      <c r="K194" s="328">
        <v>0</v>
      </c>
      <c r="L194" s="328">
        <v>0</v>
      </c>
      <c r="M194" s="328">
        <v>0</v>
      </c>
      <c r="N194" s="328">
        <v>0</v>
      </c>
      <c r="O194" s="328">
        <v>0</v>
      </c>
      <c r="P194" s="300"/>
      <c r="Q194" s="284">
        <f t="shared" si="3"/>
        <v>0</v>
      </c>
      <c r="R194" s="3" t="str">
        <f>_xlfn.IFNA(VLOOKUP(Tabella1[[#This Row],[Nome]],'ROSE SQUADRE'!$N$3:$O$253,2,0),"")</f>
        <v>AC ASPARAGHESE</v>
      </c>
      <c r="S194" s="312">
        <f>Tabella1[[#This Row],[Gf]]+Tabella1[[#This Row],[Rf]]</f>
        <v>1</v>
      </c>
      <c r="T194" s="193"/>
      <c r="U194" s="285" t="str">
        <f>IF(Tabella1[[#This Row],[N° FantaTit]]=1,Tabella1[[#This Row],[Voto]],"")</f>
        <v/>
      </c>
      <c r="V19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194" s="195"/>
      <c r="X194" s="193" t="str">
        <f>IF(Tabella1[[#This Row],[Best 11]]=1,Tabella1[[#This Row],[fanta voto]],"")</f>
        <v/>
      </c>
      <c r="Z194" s="193" t="str">
        <f>IF(Tabella1[[#This Row],[Best 11 MOD]]=1,Tabella1[[#This Row],[fanta voto]],"")</f>
        <v/>
      </c>
      <c r="AA194" t="str">
        <f>CONCATENATE(Tabella1[[#This Row],[GG]],Tabella1[[#This Row],[Nome]])</f>
        <v>1Varela G.</v>
      </c>
      <c r="AC194" t="str">
        <f>_xlfn.CONCAT(Tabella1[[#This Row],[Ruolo]],Tabella1[[#This Row],[Gs]])</f>
        <v>A0</v>
      </c>
    </row>
    <row r="195" spans="1:29" hidden="1" x14ac:dyDescent="0.3">
      <c r="A195" s="286">
        <v>46254</v>
      </c>
      <c r="B195" s="15">
        <v>1</v>
      </c>
      <c r="C195" s="283" t="s">
        <v>860</v>
      </c>
      <c r="D195" s="330" t="s">
        <v>5</v>
      </c>
      <c r="E195" s="330" t="s">
        <v>266</v>
      </c>
      <c r="F195" s="331">
        <v>6</v>
      </c>
      <c r="G195" s="332">
        <v>0</v>
      </c>
      <c r="H195" s="332">
        <v>0</v>
      </c>
      <c r="I195" s="332">
        <v>0</v>
      </c>
      <c r="J195" s="332">
        <v>0</v>
      </c>
      <c r="K195" s="332">
        <v>0</v>
      </c>
      <c r="L195" s="332">
        <v>0</v>
      </c>
      <c r="M195" s="332">
        <v>0</v>
      </c>
      <c r="N195" s="332">
        <v>0</v>
      </c>
      <c r="O195" s="332">
        <v>0</v>
      </c>
      <c r="P195" s="300"/>
      <c r="Q195" s="284">
        <f t="shared" si="3"/>
        <v>1</v>
      </c>
      <c r="R195" s="3" t="str">
        <f>_xlfn.IFNA(VLOOKUP(Tabella1[[#This Row],[Nome]],'ROSE SQUADRE'!$N$3:$O$253,2,0),"")</f>
        <v>PESCICULINI</v>
      </c>
      <c r="S195" s="312">
        <f>Tabella1[[#This Row],[Gf]]+Tabella1[[#This Row],[Rf]]</f>
        <v>0</v>
      </c>
      <c r="T195" s="193"/>
      <c r="U195" s="285" t="str">
        <f>IF(Tabella1[[#This Row],[N° FantaTit]]=1,Tabella1[[#This Row],[Voto]],"")</f>
        <v/>
      </c>
      <c r="V19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195" s="195"/>
      <c r="X195" s="193" t="str">
        <f>IF(Tabella1[[#This Row],[Best 11]]=1,Tabella1[[#This Row],[fanta voto]],"")</f>
        <v/>
      </c>
      <c r="Z195" s="193" t="str">
        <f>IF(Tabella1[[#This Row],[Best 11 MOD]]=1,Tabella1[[#This Row],[fanta voto]],"")</f>
        <v/>
      </c>
      <c r="AA195" t="str">
        <f>CONCATENATE(Tabella1[[#This Row],[GG]],Tabella1[[#This Row],[Nome]])</f>
        <v>1Meret</v>
      </c>
      <c r="AC195" t="str">
        <f>_xlfn.CONCAT(Tabella1[[#This Row],[Ruolo]],Tabella1[[#This Row],[Gs]])</f>
        <v>P0</v>
      </c>
    </row>
    <row r="196" spans="1:29" hidden="1" x14ac:dyDescent="0.3">
      <c r="A196" s="286">
        <v>46254</v>
      </c>
      <c r="B196" s="15">
        <v>1</v>
      </c>
      <c r="C196" s="283" t="s">
        <v>860</v>
      </c>
      <c r="D196" t="s">
        <v>161</v>
      </c>
      <c r="E196" t="s">
        <v>298</v>
      </c>
      <c r="F196" s="194">
        <v>5.5</v>
      </c>
      <c r="G196" s="328">
        <v>0</v>
      </c>
      <c r="H196" s="328">
        <v>0</v>
      </c>
      <c r="I196" s="328">
        <v>0</v>
      </c>
      <c r="J196" s="328">
        <v>0</v>
      </c>
      <c r="K196" s="328">
        <v>0</v>
      </c>
      <c r="L196" s="328">
        <v>0</v>
      </c>
      <c r="M196" s="328">
        <v>0</v>
      </c>
      <c r="N196" s="328">
        <v>0</v>
      </c>
      <c r="O196" s="328">
        <v>0</v>
      </c>
      <c r="P196" s="300"/>
      <c r="Q196" s="284">
        <f t="shared" si="3"/>
        <v>0</v>
      </c>
      <c r="R196" s="3" t="str">
        <f>_xlfn.IFNA(VLOOKUP(Tabella1[[#This Row],[Nome]],'ROSE SQUADRE'!$N$3:$O$253,2,0),"")</f>
        <v>ATL. IMPROVVISATO</v>
      </c>
      <c r="S196" s="312">
        <f>Tabella1[[#This Row],[Gf]]+Tabella1[[#This Row],[Rf]]</f>
        <v>0</v>
      </c>
      <c r="T196" s="193"/>
      <c r="U196" s="285" t="str">
        <f>IF(Tabella1[[#This Row],[N° FantaTit]]=1,Tabella1[[#This Row],[Voto]],"")</f>
        <v/>
      </c>
      <c r="V19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96" s="195"/>
      <c r="X196" s="193" t="str">
        <f>IF(Tabella1[[#This Row],[Best 11]]=1,Tabella1[[#This Row],[fanta voto]],"")</f>
        <v/>
      </c>
      <c r="Z196" s="193" t="str">
        <f>IF(Tabella1[[#This Row],[Best 11 MOD]]=1,Tabella1[[#This Row],[fanta voto]],"")</f>
        <v/>
      </c>
      <c r="AA196" t="str">
        <f>CONCATENATE(Tabella1[[#This Row],[GG]],Tabella1[[#This Row],[Nome]])</f>
        <v>1Spinazzola</v>
      </c>
      <c r="AC196" t="str">
        <f>_xlfn.CONCAT(Tabella1[[#This Row],[Ruolo]],Tabella1[[#This Row],[Gs]])</f>
        <v>D0</v>
      </c>
    </row>
    <row r="197" spans="1:29" hidden="1" x14ac:dyDescent="0.3">
      <c r="A197" s="286">
        <v>46254</v>
      </c>
      <c r="B197" s="15">
        <v>1</v>
      </c>
      <c r="C197" s="283" t="s">
        <v>860</v>
      </c>
      <c r="D197" s="330" t="s">
        <v>161</v>
      </c>
      <c r="E197" s="330" t="s">
        <v>270</v>
      </c>
      <c r="F197" s="331">
        <v>6.5</v>
      </c>
      <c r="G197" s="332">
        <v>0</v>
      </c>
      <c r="H197" s="332">
        <v>0</v>
      </c>
      <c r="I197" s="332">
        <v>0</v>
      </c>
      <c r="J197" s="332">
        <v>0</v>
      </c>
      <c r="K197" s="332">
        <v>0</v>
      </c>
      <c r="L197" s="332">
        <v>0</v>
      </c>
      <c r="M197" s="332">
        <v>0</v>
      </c>
      <c r="N197" s="332">
        <v>0</v>
      </c>
      <c r="O197" s="332">
        <v>0</v>
      </c>
      <c r="P197" s="300"/>
      <c r="Q197" s="284">
        <f t="shared" si="3"/>
        <v>0</v>
      </c>
      <c r="R197" s="3" t="str">
        <f>_xlfn.IFNA(VLOOKUP(Tabella1[[#This Row],[Nome]],'ROSE SQUADRE'!$N$3:$O$253,2,0),"")</f>
        <v>AS PIPPERIA</v>
      </c>
      <c r="S197" s="312">
        <f>Tabella1[[#This Row],[Gf]]+Tabella1[[#This Row],[Rf]]</f>
        <v>0</v>
      </c>
      <c r="T197" s="193"/>
      <c r="U197" s="285" t="str">
        <f>IF(Tabella1[[#This Row],[N° FantaTit]]=1,Tabella1[[#This Row],[Voto]],"")</f>
        <v/>
      </c>
      <c r="V19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97" s="195"/>
      <c r="X197" s="193" t="str">
        <f>IF(Tabella1[[#This Row],[Best 11]]=1,Tabella1[[#This Row],[fanta voto]],"")</f>
        <v/>
      </c>
      <c r="Z197" s="193" t="str">
        <f>IF(Tabella1[[#This Row],[Best 11 MOD]]=1,Tabella1[[#This Row],[fanta voto]],"")</f>
        <v/>
      </c>
      <c r="AA197" t="str">
        <f>CONCATENATE(Tabella1[[#This Row],[GG]],Tabella1[[#This Row],[Nome]])</f>
        <v>1Di Lorenzo</v>
      </c>
      <c r="AC197" t="str">
        <f>_xlfn.CONCAT(Tabella1[[#This Row],[Ruolo]],Tabella1[[#This Row],[Gs]])</f>
        <v>D0</v>
      </c>
    </row>
    <row r="198" spans="1:29" hidden="1" x14ac:dyDescent="0.3">
      <c r="A198" s="286">
        <v>46254</v>
      </c>
      <c r="B198" s="15">
        <v>1</v>
      </c>
      <c r="C198" s="283" t="s">
        <v>860</v>
      </c>
      <c r="D198" t="s">
        <v>161</v>
      </c>
      <c r="E198" t="s">
        <v>253</v>
      </c>
      <c r="F198" s="194">
        <v>6.5</v>
      </c>
      <c r="G198" s="328">
        <v>0</v>
      </c>
      <c r="H198" s="328">
        <v>0</v>
      </c>
      <c r="I198" s="328">
        <v>0</v>
      </c>
      <c r="J198" s="328">
        <v>0</v>
      </c>
      <c r="K198" s="328">
        <v>0</v>
      </c>
      <c r="L198" s="328">
        <v>0</v>
      </c>
      <c r="M198" s="328">
        <v>0</v>
      </c>
      <c r="N198" s="328">
        <v>0</v>
      </c>
      <c r="O198" s="328">
        <v>0</v>
      </c>
      <c r="P198" s="300"/>
      <c r="Q198" s="284">
        <f t="shared" si="3"/>
        <v>0</v>
      </c>
      <c r="R198" s="3" t="str">
        <f>_xlfn.IFNA(VLOOKUP(Tabella1[[#This Row],[Nome]],'ROSE SQUADRE'!$N$3:$O$253,2,0),"")</f>
        <v>SHARK</v>
      </c>
      <c r="S198" s="312">
        <f>Tabella1[[#This Row],[Gf]]+Tabella1[[#This Row],[Rf]]</f>
        <v>0</v>
      </c>
      <c r="T198" s="193"/>
      <c r="U198" s="285" t="str">
        <f>IF(Tabella1[[#This Row],[N° FantaTit]]=1,Tabella1[[#This Row],[Voto]],"")</f>
        <v/>
      </c>
      <c r="V19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98" s="195"/>
      <c r="X198" s="193" t="str">
        <f>IF(Tabella1[[#This Row],[Best 11]]=1,Tabella1[[#This Row],[fanta voto]],"")</f>
        <v/>
      </c>
      <c r="Z198" s="193" t="str">
        <f>IF(Tabella1[[#This Row],[Best 11 MOD]]=1,Tabella1[[#This Row],[fanta voto]],"")</f>
        <v/>
      </c>
      <c r="AA198" t="str">
        <f>CONCATENATE(Tabella1[[#This Row],[GG]],Tabella1[[#This Row],[Nome]])</f>
        <v>1Rrahmani</v>
      </c>
      <c r="AC198" t="str">
        <f>_xlfn.CONCAT(Tabella1[[#This Row],[Ruolo]],Tabella1[[#This Row],[Gs]])</f>
        <v>D0</v>
      </c>
    </row>
    <row r="199" spans="1:29" hidden="1" x14ac:dyDescent="0.3">
      <c r="A199" s="286">
        <v>46254</v>
      </c>
      <c r="B199" s="15">
        <v>1</v>
      </c>
      <c r="C199" s="283" t="s">
        <v>860</v>
      </c>
      <c r="D199" t="s">
        <v>161</v>
      </c>
      <c r="E199" t="s">
        <v>863</v>
      </c>
      <c r="F199" s="194">
        <v>5.5</v>
      </c>
      <c r="G199" s="328">
        <v>0</v>
      </c>
      <c r="H199" s="328">
        <v>0</v>
      </c>
      <c r="I199" s="328">
        <v>0</v>
      </c>
      <c r="J199" s="328">
        <v>0</v>
      </c>
      <c r="K199" s="328">
        <v>0</v>
      </c>
      <c r="L199" s="328">
        <v>0</v>
      </c>
      <c r="M199" s="328">
        <v>0</v>
      </c>
      <c r="N199" s="328">
        <v>0</v>
      </c>
      <c r="O199" s="328">
        <v>0</v>
      </c>
      <c r="P199" s="300"/>
      <c r="Q199" s="284">
        <f t="shared" si="3"/>
        <v>0</v>
      </c>
      <c r="R199" s="3" t="str">
        <f>_xlfn.IFNA(VLOOKUP(Tabella1[[#This Row],[Nome]],'ROSE SQUADRE'!$N$3:$O$253,2,0),"")</f>
        <v/>
      </c>
      <c r="S199" s="312">
        <f>Tabella1[[#This Row],[Gf]]+Tabella1[[#This Row],[Rf]]</f>
        <v>0</v>
      </c>
      <c r="T199" s="193"/>
      <c r="U199" s="285" t="str">
        <f>IF(Tabella1[[#This Row],[N° FantaTit]]=1,Tabella1[[#This Row],[Voto]],"")</f>
        <v/>
      </c>
      <c r="V19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99" s="195"/>
      <c r="X199" s="193" t="str">
        <f>IF(Tabella1[[#This Row],[Best 11]]=1,Tabella1[[#This Row],[fanta voto]],"")</f>
        <v/>
      </c>
      <c r="Z199" s="193" t="str">
        <f>IF(Tabella1[[#This Row],[Best 11 MOD]]=1,Tabella1[[#This Row],[fanta voto]],"")</f>
        <v/>
      </c>
      <c r="AA199" t="str">
        <f>CONCATENATE(Tabella1[[#This Row],[GG]],Tabella1[[#This Row],[Nome]])</f>
        <v>1Marin R.</v>
      </c>
      <c r="AC199" t="str">
        <f>_xlfn.CONCAT(Tabella1[[#This Row],[Ruolo]],Tabella1[[#This Row],[Gs]])</f>
        <v>D0</v>
      </c>
    </row>
    <row r="200" spans="1:29" hidden="1" x14ac:dyDescent="0.3">
      <c r="A200" s="286">
        <v>46254</v>
      </c>
      <c r="B200" s="15">
        <v>1</v>
      </c>
      <c r="C200" s="283" t="s">
        <v>860</v>
      </c>
      <c r="D200" s="330" t="s">
        <v>162</v>
      </c>
      <c r="E200" s="330" t="s">
        <v>268</v>
      </c>
      <c r="F200" s="331">
        <v>5.5</v>
      </c>
      <c r="G200" s="332">
        <v>0</v>
      </c>
      <c r="H200" s="332">
        <v>0</v>
      </c>
      <c r="I200" s="332">
        <v>0</v>
      </c>
      <c r="J200" s="332">
        <v>0</v>
      </c>
      <c r="K200" s="332">
        <v>0</v>
      </c>
      <c r="L200" s="332">
        <v>0</v>
      </c>
      <c r="M200" s="333">
        <v>1</v>
      </c>
      <c r="N200" s="332">
        <v>0</v>
      </c>
      <c r="O200" s="332">
        <v>0</v>
      </c>
      <c r="P200" s="300"/>
      <c r="Q200" s="284">
        <f t="shared" si="3"/>
        <v>0</v>
      </c>
      <c r="R200" s="3" t="str">
        <f>_xlfn.IFNA(VLOOKUP(Tabella1[[#This Row],[Nome]],'ROSE SQUADRE'!$N$3:$O$253,2,0),"")</f>
        <v>PESCICULINI</v>
      </c>
      <c r="S200" s="312">
        <f>Tabella1[[#This Row],[Gf]]+Tabella1[[#This Row],[Rf]]</f>
        <v>0</v>
      </c>
      <c r="T200" s="193"/>
      <c r="U200" s="285" t="str">
        <f>IF(Tabella1[[#This Row],[N° FantaTit]]=1,Tabella1[[#This Row],[Voto]],"")</f>
        <v/>
      </c>
      <c r="V20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200" s="195"/>
      <c r="X200" s="193" t="str">
        <f>IF(Tabella1[[#This Row],[Best 11]]=1,Tabella1[[#This Row],[fanta voto]],"")</f>
        <v/>
      </c>
      <c r="Z200" s="193" t="str">
        <f>IF(Tabella1[[#This Row],[Best 11 MOD]]=1,Tabella1[[#This Row],[fanta voto]],"")</f>
        <v/>
      </c>
      <c r="AA200" t="str">
        <f>CONCATENATE(Tabella1[[#This Row],[GG]],Tabella1[[#This Row],[Nome]])</f>
        <v>1Politano</v>
      </c>
      <c r="AC200" t="str">
        <f>_xlfn.CONCAT(Tabella1[[#This Row],[Ruolo]],Tabella1[[#This Row],[Gs]])</f>
        <v>C0</v>
      </c>
    </row>
    <row r="201" spans="1:29" hidden="1" x14ac:dyDescent="0.3">
      <c r="A201" s="286">
        <v>46254</v>
      </c>
      <c r="B201" s="15">
        <v>1</v>
      </c>
      <c r="C201" s="283" t="s">
        <v>860</v>
      </c>
      <c r="D201" t="s">
        <v>162</v>
      </c>
      <c r="E201" t="s">
        <v>864</v>
      </c>
      <c r="F201" s="194">
        <v>7.5</v>
      </c>
      <c r="G201" s="329">
        <v>1</v>
      </c>
      <c r="H201" s="328">
        <v>0</v>
      </c>
      <c r="I201" s="328">
        <v>0</v>
      </c>
      <c r="J201" s="328">
        <v>0</v>
      </c>
      <c r="K201" s="328">
        <v>0</v>
      </c>
      <c r="L201" s="328">
        <v>0</v>
      </c>
      <c r="M201" s="328">
        <v>0</v>
      </c>
      <c r="N201" s="328">
        <v>0</v>
      </c>
      <c r="O201" s="329">
        <v>1</v>
      </c>
      <c r="P201" s="300">
        <v>1</v>
      </c>
      <c r="Q201" s="284">
        <f t="shared" si="3"/>
        <v>0</v>
      </c>
      <c r="R201" s="3" t="str">
        <f>_xlfn.IFNA(VLOOKUP(Tabella1[[#This Row],[Nome]],'ROSE SQUADRE'!$N$3:$O$253,2,0),"")</f>
        <v>FC INTERNAZIOANALE</v>
      </c>
      <c r="S201" s="312">
        <f>Tabella1[[#This Row],[Gf]]+Tabella1[[#This Row],[Rf]]</f>
        <v>1</v>
      </c>
      <c r="T201" s="193"/>
      <c r="U201" s="285" t="str">
        <f>IF(Tabella1[[#This Row],[N° FantaTit]]=1,Tabella1[[#This Row],[Voto]],"")</f>
        <v/>
      </c>
      <c r="V20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12.5</v>
      </c>
      <c r="W201" s="195"/>
      <c r="X201" s="193" t="str">
        <f>IF(Tabella1[[#This Row],[Best 11]]=1,Tabella1[[#This Row],[fanta voto]],"")</f>
        <v/>
      </c>
      <c r="Z201" s="193" t="str">
        <f>IF(Tabella1[[#This Row],[Best 11 MOD]]=1,Tabella1[[#This Row],[fanta voto]],"")</f>
        <v/>
      </c>
      <c r="AA201" t="str">
        <f>CONCATENATE(Tabella1[[#This Row],[GG]],Tabella1[[#This Row],[Nome]])</f>
        <v>1De Bruyne</v>
      </c>
      <c r="AC201" t="str">
        <f>_xlfn.CONCAT(Tabella1[[#This Row],[Ruolo]],Tabella1[[#This Row],[Gs]])</f>
        <v>C0</v>
      </c>
    </row>
    <row r="202" spans="1:29" hidden="1" x14ac:dyDescent="0.3">
      <c r="A202" s="286">
        <v>46254</v>
      </c>
      <c r="B202" s="15">
        <v>1</v>
      </c>
      <c r="C202" s="283" t="s">
        <v>860</v>
      </c>
      <c r="D202" s="330" t="s">
        <v>162</v>
      </c>
      <c r="E202" s="330" t="s">
        <v>254</v>
      </c>
      <c r="F202" s="331">
        <v>5.5</v>
      </c>
      <c r="G202" s="332">
        <v>0</v>
      </c>
      <c r="H202" s="332">
        <v>0</v>
      </c>
      <c r="I202" s="332">
        <v>0</v>
      </c>
      <c r="J202" s="332">
        <v>0</v>
      </c>
      <c r="K202" s="332">
        <v>0</v>
      </c>
      <c r="L202" s="332">
        <v>0</v>
      </c>
      <c r="M202" s="332">
        <v>0</v>
      </c>
      <c r="N202" s="332">
        <v>0</v>
      </c>
      <c r="O202" s="332">
        <v>0</v>
      </c>
      <c r="P202" s="300"/>
      <c r="Q202" s="284">
        <f t="shared" si="3"/>
        <v>0</v>
      </c>
      <c r="R202" s="3" t="str">
        <f>_xlfn.IFNA(VLOOKUP(Tabella1[[#This Row],[Nome]],'ROSE SQUADRE'!$N$3:$O$253,2,0),"")</f>
        <v>ATL. IMPROVVISATO</v>
      </c>
      <c r="S202" s="312">
        <f>Tabella1[[#This Row],[Gf]]+Tabella1[[#This Row],[Rf]]</f>
        <v>0</v>
      </c>
      <c r="T202" s="193"/>
      <c r="U202" s="285" t="str">
        <f>IF(Tabella1[[#This Row],[N° FantaTit]]=1,Tabella1[[#This Row],[Voto]],"")</f>
        <v/>
      </c>
      <c r="V20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02" s="195"/>
      <c r="X202" s="193" t="str">
        <f>IF(Tabella1[[#This Row],[Best 11]]=1,Tabella1[[#This Row],[fanta voto]],"")</f>
        <v/>
      </c>
      <c r="Z202" s="193" t="str">
        <f>IF(Tabella1[[#This Row],[Best 11 MOD]]=1,Tabella1[[#This Row],[fanta voto]],"")</f>
        <v/>
      </c>
      <c r="AA202" t="str">
        <f>CONCATENATE(Tabella1[[#This Row],[GG]],Tabella1[[#This Row],[Nome]])</f>
        <v>1Zambo Anguissa</v>
      </c>
      <c r="AC202" t="str">
        <f>_xlfn.CONCAT(Tabella1[[#This Row],[Ruolo]],Tabella1[[#This Row],[Gs]])</f>
        <v>C0</v>
      </c>
    </row>
    <row r="203" spans="1:29" hidden="1" x14ac:dyDescent="0.3">
      <c r="A203" s="286">
        <v>46254</v>
      </c>
      <c r="B203" s="15">
        <v>1</v>
      </c>
      <c r="C203" s="283" t="s">
        <v>860</v>
      </c>
      <c r="D203" t="s">
        <v>162</v>
      </c>
      <c r="E203" t="s">
        <v>295</v>
      </c>
      <c r="F203" s="194">
        <v>6.5</v>
      </c>
      <c r="G203" s="328">
        <v>0</v>
      </c>
      <c r="H203" s="328">
        <v>0</v>
      </c>
      <c r="I203" s="328">
        <v>0</v>
      </c>
      <c r="J203" s="328">
        <v>0</v>
      </c>
      <c r="K203" s="328">
        <v>0</v>
      </c>
      <c r="L203" s="328">
        <v>0</v>
      </c>
      <c r="M203" s="328">
        <v>0</v>
      </c>
      <c r="N203" s="328">
        <v>0</v>
      </c>
      <c r="O203" s="328">
        <v>0</v>
      </c>
      <c r="P203" s="300"/>
      <c r="Q203" s="284">
        <f t="shared" si="3"/>
        <v>0</v>
      </c>
      <c r="R203" s="3" t="str">
        <f>_xlfn.IFNA(VLOOKUP(Tabella1[[#This Row],[Nome]],'ROSE SQUADRE'!$N$3:$O$253,2,0),"")</f>
        <v>SHARK</v>
      </c>
      <c r="S203" s="312">
        <f>Tabella1[[#This Row],[Gf]]+Tabella1[[#This Row],[Rf]]</f>
        <v>0</v>
      </c>
      <c r="T203" s="193"/>
      <c r="U203" s="285" t="str">
        <f>IF(Tabella1[[#This Row],[N° FantaTit]]=1,Tabella1[[#This Row],[Voto]],"")</f>
        <v/>
      </c>
      <c r="V20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03" s="195"/>
      <c r="X203" s="193" t="str">
        <f>IF(Tabella1[[#This Row],[Best 11]]=1,Tabella1[[#This Row],[fanta voto]],"")</f>
        <v/>
      </c>
      <c r="Z203" s="193" t="str">
        <f>IF(Tabella1[[#This Row],[Best 11 MOD]]=1,Tabella1[[#This Row],[fanta voto]],"")</f>
        <v/>
      </c>
      <c r="AA203" t="str">
        <f>CONCATENATE(Tabella1[[#This Row],[GG]],Tabella1[[#This Row],[Nome]])</f>
        <v>1Lobotka</v>
      </c>
      <c r="AC203" t="str">
        <f>_xlfn.CONCAT(Tabella1[[#This Row],[Ruolo]],Tabella1[[#This Row],[Gs]])</f>
        <v>C0</v>
      </c>
    </row>
    <row r="204" spans="1:29" hidden="1" x14ac:dyDescent="0.3">
      <c r="A204" s="286">
        <v>46254</v>
      </c>
      <c r="B204" s="15">
        <v>1</v>
      </c>
      <c r="C204" s="283" t="s">
        <v>860</v>
      </c>
      <c r="D204" s="330" t="s">
        <v>162</v>
      </c>
      <c r="E204" s="330" t="s">
        <v>867</v>
      </c>
      <c r="F204" s="331">
        <v>6</v>
      </c>
      <c r="G204" s="332">
        <v>0</v>
      </c>
      <c r="H204" s="332">
        <v>0</v>
      </c>
      <c r="I204" s="332">
        <v>0</v>
      </c>
      <c r="J204" s="332">
        <v>0</v>
      </c>
      <c r="K204" s="332">
        <v>0</v>
      </c>
      <c r="L204" s="332">
        <v>0</v>
      </c>
      <c r="M204" s="332">
        <v>0</v>
      </c>
      <c r="N204" s="332">
        <v>0</v>
      </c>
      <c r="O204" s="332">
        <v>0</v>
      </c>
      <c r="P204" s="300"/>
      <c r="Q204" s="284">
        <f t="shared" si="3"/>
        <v>0</v>
      </c>
      <c r="R204" s="3" t="str">
        <f>_xlfn.IFNA(VLOOKUP(Tabella1[[#This Row],[Nome]],'ROSE SQUADRE'!$N$3:$O$253,2,0),"")</f>
        <v>FC INTERNAZIOANALE</v>
      </c>
      <c r="S204" s="312">
        <f>Tabella1[[#This Row],[Gf]]+Tabella1[[#This Row],[Rf]]</f>
        <v>0</v>
      </c>
      <c r="T204" s="193"/>
      <c r="U204" s="285" t="str">
        <f>IF(Tabella1[[#This Row],[N° FantaTit]]=1,Tabella1[[#This Row],[Voto]],"")</f>
        <v/>
      </c>
      <c r="V20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04" s="195"/>
      <c r="X204" s="193" t="str">
        <f>IF(Tabella1[[#This Row],[Best 11]]=1,Tabella1[[#This Row],[fanta voto]],"")</f>
        <v/>
      </c>
      <c r="Z204" s="193" t="str">
        <f>IF(Tabella1[[#This Row],[Best 11 MOD]]=1,Tabella1[[#This Row],[fanta voto]],"")</f>
        <v/>
      </c>
      <c r="AA204" t="str">
        <f>CONCATENATE(Tabella1[[#This Row],[GG]],Tabella1[[#This Row],[Nome]])</f>
        <v>1McTominay</v>
      </c>
      <c r="AC204" t="str">
        <f>_xlfn.CONCAT(Tabella1[[#This Row],[Ruolo]],Tabella1[[#This Row],[Gs]])</f>
        <v>C0</v>
      </c>
    </row>
    <row r="205" spans="1:29" hidden="1" x14ac:dyDescent="0.3">
      <c r="A205" s="286">
        <v>46254</v>
      </c>
      <c r="B205" s="15">
        <v>1</v>
      </c>
      <c r="C205" s="283" t="s">
        <v>860</v>
      </c>
      <c r="D205" t="s">
        <v>162</v>
      </c>
      <c r="E205" t="s">
        <v>868</v>
      </c>
      <c r="F205" s="194">
        <v>7.5</v>
      </c>
      <c r="G205" s="329">
        <v>1</v>
      </c>
      <c r="H205" s="328">
        <v>0</v>
      </c>
      <c r="I205" s="328">
        <v>0</v>
      </c>
      <c r="J205" s="328">
        <v>0</v>
      </c>
      <c r="K205" s="328">
        <v>0</v>
      </c>
      <c r="L205" s="328">
        <v>0</v>
      </c>
      <c r="M205" s="328">
        <v>0</v>
      </c>
      <c r="N205" s="328">
        <v>0</v>
      </c>
      <c r="O205" s="329">
        <v>1</v>
      </c>
      <c r="P205" s="300"/>
      <c r="Q205" s="284">
        <f t="shared" si="3"/>
        <v>0</v>
      </c>
      <c r="R205" s="3" t="str">
        <f>_xlfn.IFNA(VLOOKUP(Tabella1[[#This Row],[Nome]],'ROSE SQUADRE'!$N$3:$O$253,2,0),"")</f>
        <v>SESTO ASENSIO</v>
      </c>
      <c r="S205" s="312">
        <f>Tabella1[[#This Row],[Gf]]+Tabella1[[#This Row],[Rf]]</f>
        <v>1</v>
      </c>
      <c r="T205" s="193"/>
      <c r="U205" s="285" t="str">
        <f>IF(Tabella1[[#This Row],[N° FantaTit]]=1,Tabella1[[#This Row],[Voto]],"")</f>
        <v/>
      </c>
      <c r="V20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11.5</v>
      </c>
      <c r="W205" s="195"/>
      <c r="X205" s="193" t="str">
        <f>IF(Tabella1[[#This Row],[Best 11]]=1,Tabella1[[#This Row],[fanta voto]],"")</f>
        <v/>
      </c>
      <c r="Z205" s="193" t="str">
        <f>IF(Tabella1[[#This Row],[Best 11 MOD]]=1,Tabella1[[#This Row],[fanta voto]],"")</f>
        <v/>
      </c>
      <c r="AA205" t="str">
        <f>CONCATENATE(Tabella1[[#This Row],[GG]],Tabella1[[#This Row],[Nome]])</f>
        <v>1Vergara</v>
      </c>
      <c r="AC205" t="str">
        <f>_xlfn.CONCAT(Tabella1[[#This Row],[Ruolo]],Tabella1[[#This Row],[Gs]])</f>
        <v>C0</v>
      </c>
    </row>
    <row r="206" spans="1:29" hidden="1" x14ac:dyDescent="0.3">
      <c r="A206" s="286">
        <v>46254</v>
      </c>
      <c r="B206" s="15">
        <v>1</v>
      </c>
      <c r="C206" s="283" t="s">
        <v>860</v>
      </c>
      <c r="D206" s="330" t="s">
        <v>163</v>
      </c>
      <c r="E206" s="330" t="s">
        <v>870</v>
      </c>
      <c r="F206" s="331">
        <v>5.5</v>
      </c>
      <c r="G206" s="332">
        <v>0</v>
      </c>
      <c r="H206" s="332">
        <v>0</v>
      </c>
      <c r="I206" s="332">
        <v>0</v>
      </c>
      <c r="J206" s="332">
        <v>0</v>
      </c>
      <c r="K206" s="332">
        <v>0</v>
      </c>
      <c r="L206" s="332">
        <v>0</v>
      </c>
      <c r="M206" s="332">
        <v>0</v>
      </c>
      <c r="N206" s="332">
        <v>0</v>
      </c>
      <c r="O206" s="332">
        <v>0</v>
      </c>
      <c r="P206" s="300"/>
      <c r="Q206" s="284">
        <f t="shared" ref="Q206:Q250" si="4">IF(AC206="P0",1,0)</f>
        <v>0</v>
      </c>
      <c r="R206" s="3" t="str">
        <f>_xlfn.IFNA(VLOOKUP(Tabella1[[#This Row],[Nome]],'ROSE SQUADRE'!$N$3:$O$253,2,0),"")</f>
        <v>AS PIPPERIA</v>
      </c>
      <c r="S206" s="312">
        <f>Tabella1[[#This Row],[Gf]]+Tabella1[[#This Row],[Rf]]</f>
        <v>0</v>
      </c>
      <c r="T206" s="193"/>
      <c r="U206" s="285" t="str">
        <f>IF(Tabella1[[#This Row],[N° FantaTit]]=1,Tabella1[[#This Row],[Voto]],"")</f>
        <v/>
      </c>
      <c r="V20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06" s="195"/>
      <c r="X206" s="193" t="str">
        <f>IF(Tabella1[[#This Row],[Best 11]]=1,Tabella1[[#This Row],[fanta voto]],"")</f>
        <v/>
      </c>
      <c r="Z206" s="193" t="str">
        <f>IF(Tabella1[[#This Row],[Best 11 MOD]]=1,Tabella1[[#This Row],[fanta voto]],"")</f>
        <v/>
      </c>
      <c r="AA206" t="str">
        <f>CONCATENATE(Tabella1[[#This Row],[GG]],Tabella1[[#This Row],[Nome]])</f>
        <v>1Hojlund</v>
      </c>
      <c r="AC206" t="str">
        <f>_xlfn.CONCAT(Tabella1[[#This Row],[Ruolo]],Tabella1[[#This Row],[Gs]])</f>
        <v>A0</v>
      </c>
    </row>
    <row r="207" spans="1:29" hidden="1" x14ac:dyDescent="0.3">
      <c r="A207" s="286">
        <v>46254</v>
      </c>
      <c r="B207" s="15">
        <v>1</v>
      </c>
      <c r="C207" s="283" t="s">
        <v>860</v>
      </c>
      <c r="D207" t="s">
        <v>163</v>
      </c>
      <c r="E207" t="s">
        <v>472</v>
      </c>
      <c r="F207" s="194">
        <v>6.5</v>
      </c>
      <c r="G207" s="328">
        <v>0</v>
      </c>
      <c r="H207" s="328">
        <v>0</v>
      </c>
      <c r="I207" s="328">
        <v>0</v>
      </c>
      <c r="J207" s="328">
        <v>0</v>
      </c>
      <c r="K207" s="328">
        <v>0</v>
      </c>
      <c r="L207" s="328">
        <v>0</v>
      </c>
      <c r="M207" s="328">
        <v>0</v>
      </c>
      <c r="N207" s="328">
        <v>0</v>
      </c>
      <c r="O207" s="328">
        <v>0</v>
      </c>
      <c r="P207" s="300"/>
      <c r="Q207" s="284">
        <f t="shared" si="4"/>
        <v>0</v>
      </c>
      <c r="R207" s="3" t="str">
        <f>_xlfn.IFNA(VLOOKUP(Tabella1[[#This Row],[Nome]],'ROSE SQUADRE'!$N$3:$O$253,2,0),"")</f>
        <v>PESCICULINI</v>
      </c>
      <c r="S207" s="312">
        <f>Tabella1[[#This Row],[Gf]]+Tabella1[[#This Row],[Rf]]</f>
        <v>0</v>
      </c>
      <c r="T207" s="193"/>
      <c r="U207" s="285" t="str">
        <f>IF(Tabella1[[#This Row],[N° FantaTit]]=1,Tabella1[[#This Row],[Voto]],"")</f>
        <v/>
      </c>
      <c r="V20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07" s="195"/>
      <c r="X207" s="193" t="str">
        <f>IF(Tabella1[[#This Row],[Best 11]]=1,Tabella1[[#This Row],[fanta voto]],"")</f>
        <v/>
      </c>
      <c r="Z207" s="193" t="str">
        <f>IF(Tabella1[[#This Row],[Best 11 MOD]]=1,Tabella1[[#This Row],[fanta voto]],"")</f>
        <v/>
      </c>
      <c r="AA207" t="str">
        <f>CONCATENATE(Tabella1[[#This Row],[GG]],Tabella1[[#This Row],[Nome]])</f>
        <v>1Lucca</v>
      </c>
      <c r="AC207" t="str">
        <f>_xlfn.CONCAT(Tabella1[[#This Row],[Ruolo]],Tabella1[[#This Row],[Gs]])</f>
        <v>A0</v>
      </c>
    </row>
    <row r="208" spans="1:29" hidden="1" x14ac:dyDescent="0.3">
      <c r="A208" s="286">
        <v>46254</v>
      </c>
      <c r="B208" s="15">
        <v>1</v>
      </c>
      <c r="C208" s="283" t="s">
        <v>860</v>
      </c>
      <c r="D208" s="330" t="s">
        <v>163</v>
      </c>
      <c r="E208" s="330" t="s">
        <v>871</v>
      </c>
      <c r="F208" s="331">
        <v>6</v>
      </c>
      <c r="G208" s="332">
        <v>0</v>
      </c>
      <c r="H208" s="332">
        <v>0</v>
      </c>
      <c r="I208" s="332">
        <v>0</v>
      </c>
      <c r="J208" s="332">
        <v>0</v>
      </c>
      <c r="K208" s="332">
        <v>0</v>
      </c>
      <c r="L208" s="332">
        <v>0</v>
      </c>
      <c r="M208" s="332">
        <v>0</v>
      </c>
      <c r="N208" s="332">
        <v>0</v>
      </c>
      <c r="O208" s="332">
        <v>0</v>
      </c>
      <c r="P208" s="300"/>
      <c r="Q208" s="284">
        <f t="shared" si="4"/>
        <v>0</v>
      </c>
      <c r="R208" s="3" t="str">
        <f>_xlfn.IFNA(VLOOKUP(Tabella1[[#This Row],[Nome]],'ROSE SQUADRE'!$N$3:$O$253,2,0),"")</f>
        <v>ATL. IMPROVVISATO</v>
      </c>
      <c r="S208" s="312">
        <f>Tabella1[[#This Row],[Gf]]+Tabella1[[#This Row],[Rf]]</f>
        <v>0</v>
      </c>
      <c r="T208" s="193"/>
      <c r="U208" s="285" t="str">
        <f>IF(Tabella1[[#This Row],[N° FantaTit]]=1,Tabella1[[#This Row],[Voto]],"")</f>
        <v/>
      </c>
      <c r="V20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08" s="195"/>
      <c r="X208" s="193" t="str">
        <f>IF(Tabella1[[#This Row],[Best 11]]=1,Tabella1[[#This Row],[fanta voto]],"")</f>
        <v/>
      </c>
      <c r="Z208" s="193" t="str">
        <f>IF(Tabella1[[#This Row],[Best 11 MOD]]=1,Tabella1[[#This Row],[fanta voto]],"")</f>
        <v/>
      </c>
      <c r="AA208" t="str">
        <f>CONCATENATE(Tabella1[[#This Row],[GG]],Tabella1[[#This Row],[Nome]])</f>
        <v>1Lang</v>
      </c>
      <c r="AC208" t="str">
        <f>_xlfn.CONCAT(Tabella1[[#This Row],[Ruolo]],Tabella1[[#This Row],[Gs]])</f>
        <v>A0</v>
      </c>
    </row>
    <row r="209" spans="1:29" hidden="1" x14ac:dyDescent="0.3">
      <c r="A209" s="286">
        <v>46254</v>
      </c>
      <c r="B209" s="15">
        <v>1</v>
      </c>
      <c r="C209" s="283" t="s">
        <v>860</v>
      </c>
      <c r="D209" t="s">
        <v>163</v>
      </c>
      <c r="E209" t="s">
        <v>872</v>
      </c>
      <c r="F209" s="194">
        <v>6</v>
      </c>
      <c r="G209" s="328">
        <v>0</v>
      </c>
      <c r="H209" s="328">
        <v>0</v>
      </c>
      <c r="I209" s="328">
        <v>0</v>
      </c>
      <c r="J209" s="328">
        <v>0</v>
      </c>
      <c r="K209" s="328">
        <v>0</v>
      </c>
      <c r="L209" s="328">
        <v>0</v>
      </c>
      <c r="M209" s="328">
        <v>0</v>
      </c>
      <c r="N209" s="328">
        <v>0</v>
      </c>
      <c r="O209" s="328">
        <v>0</v>
      </c>
      <c r="P209" s="300"/>
      <c r="Q209" s="284">
        <f t="shared" si="4"/>
        <v>0</v>
      </c>
      <c r="R209" s="3" t="str">
        <f>_xlfn.IFNA(VLOOKUP(Tabella1[[#This Row],[Nome]],'ROSE SQUADRE'!$N$3:$O$253,2,0),"")</f>
        <v>TRICCHETRACHT</v>
      </c>
      <c r="S209" s="312">
        <f>Tabella1[[#This Row],[Gf]]+Tabella1[[#This Row],[Rf]]</f>
        <v>0</v>
      </c>
      <c r="T209" s="193"/>
      <c r="U209" s="285" t="str">
        <f>IF(Tabella1[[#This Row],[N° FantaTit]]=1,Tabella1[[#This Row],[Voto]],"")</f>
        <v/>
      </c>
      <c r="V20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09" s="195"/>
      <c r="X209" s="193" t="str">
        <f>IF(Tabella1[[#This Row],[Best 11]]=1,Tabella1[[#This Row],[fanta voto]],"")</f>
        <v/>
      </c>
      <c r="Z209" s="193" t="str">
        <f>IF(Tabella1[[#This Row],[Best 11 MOD]]=1,Tabella1[[#This Row],[fanta voto]],"")</f>
        <v/>
      </c>
      <c r="AA209" t="str">
        <f>CONCATENATE(Tabella1[[#This Row],[GG]],Tabella1[[#This Row],[Nome]])</f>
        <v>1Santos A.</v>
      </c>
      <c r="AC209" t="str">
        <f>_xlfn.CONCAT(Tabella1[[#This Row],[Ruolo]],Tabella1[[#This Row],[Gs]])</f>
        <v>A0</v>
      </c>
    </row>
    <row r="210" spans="1:29" hidden="1" x14ac:dyDescent="0.3">
      <c r="A210" s="286">
        <v>46254</v>
      </c>
      <c r="B210" s="15">
        <v>1</v>
      </c>
      <c r="C210" s="283" t="s">
        <v>874</v>
      </c>
      <c r="D210" t="s">
        <v>5</v>
      </c>
      <c r="E210" t="s">
        <v>873</v>
      </c>
      <c r="F210" s="194">
        <v>5.5</v>
      </c>
      <c r="G210" s="328">
        <v>0</v>
      </c>
      <c r="H210" s="329">
        <v>1</v>
      </c>
      <c r="I210" s="328">
        <v>0</v>
      </c>
      <c r="J210" s="328">
        <v>0</v>
      </c>
      <c r="K210" s="328">
        <v>0</v>
      </c>
      <c r="L210" s="328">
        <v>0</v>
      </c>
      <c r="M210" s="328">
        <v>0</v>
      </c>
      <c r="N210" s="328">
        <v>0</v>
      </c>
      <c r="O210" s="328">
        <v>0</v>
      </c>
      <c r="P210" s="300"/>
      <c r="Q210" s="284">
        <f t="shared" si="4"/>
        <v>0</v>
      </c>
      <c r="R210" s="3" t="str">
        <f>_xlfn.IFNA(VLOOKUP(Tabella1[[#This Row],[Nome]],'ROSE SQUADRE'!$N$3:$O$253,2,0),"")</f>
        <v>PARTIZAN DEGRADO</v>
      </c>
      <c r="S210" s="312">
        <f>Tabella1[[#This Row],[Gf]]+Tabella1[[#This Row],[Rf]]</f>
        <v>0</v>
      </c>
      <c r="T210" s="193"/>
      <c r="U210" s="285" t="str">
        <f>IF(Tabella1[[#This Row],[N° FantaTit]]=1,Tabella1[[#This Row],[Voto]],"")</f>
        <v/>
      </c>
      <c r="V21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4.5</v>
      </c>
      <c r="W210" s="195"/>
      <c r="X210" s="193" t="str">
        <f>IF(Tabella1[[#This Row],[Best 11]]=1,Tabella1[[#This Row],[fanta voto]],"")</f>
        <v/>
      </c>
      <c r="Z210" s="193" t="str">
        <f>IF(Tabella1[[#This Row],[Best 11 MOD]]=1,Tabella1[[#This Row],[fanta voto]],"")</f>
        <v/>
      </c>
      <c r="AA210" t="str">
        <f>CONCATENATE(Tabella1[[#This Row],[GG]],Tabella1[[#This Row],[Nome]])</f>
        <v>1Corvi</v>
      </c>
      <c r="AC210" t="str">
        <f>_xlfn.CONCAT(Tabella1[[#This Row],[Ruolo]],Tabella1[[#This Row],[Gs]])</f>
        <v>P1</v>
      </c>
    </row>
    <row r="211" spans="1:29" hidden="1" x14ac:dyDescent="0.3">
      <c r="A211" s="286">
        <v>46254</v>
      </c>
      <c r="B211" s="15">
        <v>1</v>
      </c>
      <c r="C211" s="283" t="s">
        <v>874</v>
      </c>
      <c r="D211" s="330" t="s">
        <v>161</v>
      </c>
      <c r="E211" s="330" t="s">
        <v>554</v>
      </c>
      <c r="F211" s="331">
        <v>6</v>
      </c>
      <c r="G211" s="332">
        <v>0</v>
      </c>
      <c r="H211" s="332">
        <v>0</v>
      </c>
      <c r="I211" s="332">
        <v>0</v>
      </c>
      <c r="J211" s="332">
        <v>0</v>
      </c>
      <c r="K211" s="332">
        <v>0</v>
      </c>
      <c r="L211" s="332">
        <v>0</v>
      </c>
      <c r="M211" s="332">
        <v>0</v>
      </c>
      <c r="N211" s="332">
        <v>0</v>
      </c>
      <c r="O211" s="332">
        <v>0</v>
      </c>
      <c r="P211" s="300"/>
      <c r="Q211" s="284">
        <f t="shared" si="4"/>
        <v>0</v>
      </c>
      <c r="R211" s="3" t="str">
        <f>_xlfn.IFNA(VLOOKUP(Tabella1[[#This Row],[Nome]],'ROSE SQUADRE'!$N$3:$O$253,2,0),"")</f>
        <v>TRICCHETRACHT</v>
      </c>
      <c r="S211" s="312">
        <f>Tabella1[[#This Row],[Gf]]+Tabella1[[#This Row],[Rf]]</f>
        <v>0</v>
      </c>
      <c r="T211" s="193"/>
      <c r="U211" s="285" t="str">
        <f>IF(Tabella1[[#This Row],[N° FantaTit]]=1,Tabella1[[#This Row],[Voto]],"")</f>
        <v/>
      </c>
      <c r="V21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11" s="195"/>
      <c r="X211" s="193" t="str">
        <f>IF(Tabella1[[#This Row],[Best 11]]=1,Tabella1[[#This Row],[fanta voto]],"")</f>
        <v/>
      </c>
      <c r="Z211" s="193" t="str">
        <f>IF(Tabella1[[#This Row],[Best 11 MOD]]=1,Tabella1[[#This Row],[fanta voto]],"")</f>
        <v/>
      </c>
      <c r="AA211" t="str">
        <f>CONCATENATE(Tabella1[[#This Row],[GG]],Tabella1[[#This Row],[Nome]])</f>
        <v>1Valeri</v>
      </c>
      <c r="AC211" t="str">
        <f>_xlfn.CONCAT(Tabella1[[#This Row],[Ruolo]],Tabella1[[#This Row],[Gs]])</f>
        <v>D0</v>
      </c>
    </row>
    <row r="212" spans="1:29" hidden="1" x14ac:dyDescent="0.3">
      <c r="A212" s="286">
        <v>46254</v>
      </c>
      <c r="B212" s="15">
        <v>1</v>
      </c>
      <c r="C212" s="283" t="s">
        <v>874</v>
      </c>
      <c r="D212" t="s">
        <v>161</v>
      </c>
      <c r="E212" t="s">
        <v>619</v>
      </c>
      <c r="F212" s="194">
        <v>6</v>
      </c>
      <c r="G212" s="328">
        <v>0</v>
      </c>
      <c r="H212" s="328">
        <v>0</v>
      </c>
      <c r="I212" s="328">
        <v>0</v>
      </c>
      <c r="J212" s="328">
        <v>0</v>
      </c>
      <c r="K212" s="328">
        <v>0</v>
      </c>
      <c r="L212" s="328">
        <v>0</v>
      </c>
      <c r="M212" s="328">
        <v>0</v>
      </c>
      <c r="N212" s="328">
        <v>0</v>
      </c>
      <c r="O212" s="328">
        <v>0</v>
      </c>
      <c r="P212" s="300"/>
      <c r="Q212" s="284">
        <f t="shared" si="4"/>
        <v>0</v>
      </c>
      <c r="R212" s="3" t="str">
        <f>_xlfn.IFNA(VLOOKUP(Tabella1[[#This Row],[Nome]],'ROSE SQUADRE'!$N$3:$O$253,2,0),"")</f>
        <v>AS PIPPERIA</v>
      </c>
      <c r="S212" s="312">
        <f>Tabella1[[#This Row],[Gf]]+Tabella1[[#This Row],[Rf]]</f>
        <v>0</v>
      </c>
      <c r="T212" s="193"/>
      <c r="U212" s="285" t="str">
        <f>IF(Tabella1[[#This Row],[N° FantaTit]]=1,Tabella1[[#This Row],[Voto]],"")</f>
        <v/>
      </c>
      <c r="V21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12" s="195"/>
      <c r="X212" s="193" t="str">
        <f>IF(Tabella1[[#This Row],[Best 11]]=1,Tabella1[[#This Row],[fanta voto]],"")</f>
        <v/>
      </c>
      <c r="Z212" s="193" t="str">
        <f>IF(Tabella1[[#This Row],[Best 11 MOD]]=1,Tabella1[[#This Row],[fanta voto]],"")</f>
        <v/>
      </c>
      <c r="AA212" t="str">
        <f>CONCATENATE(Tabella1[[#This Row],[GG]],Tabella1[[#This Row],[Nome]])</f>
        <v>1Delprato</v>
      </c>
      <c r="AC212" t="str">
        <f>_xlfn.CONCAT(Tabella1[[#This Row],[Ruolo]],Tabella1[[#This Row],[Gs]])</f>
        <v>D0</v>
      </c>
    </row>
    <row r="213" spans="1:29" hidden="1" x14ac:dyDescent="0.3">
      <c r="A213" s="286">
        <v>46254</v>
      </c>
      <c r="B213" s="15">
        <v>1</v>
      </c>
      <c r="C213" s="283" t="s">
        <v>874</v>
      </c>
      <c r="D213" s="330" t="s">
        <v>161</v>
      </c>
      <c r="E213" s="330" t="s">
        <v>878</v>
      </c>
      <c r="F213" s="331">
        <v>6</v>
      </c>
      <c r="G213" s="332">
        <v>0</v>
      </c>
      <c r="H213" s="332">
        <v>0</v>
      </c>
      <c r="I213" s="332">
        <v>0</v>
      </c>
      <c r="J213" s="332">
        <v>0</v>
      </c>
      <c r="K213" s="332">
        <v>0</v>
      </c>
      <c r="L213" s="332">
        <v>0</v>
      </c>
      <c r="M213" s="332">
        <v>0</v>
      </c>
      <c r="N213" s="332">
        <v>0</v>
      </c>
      <c r="O213" s="332">
        <v>0</v>
      </c>
      <c r="P213" s="300"/>
      <c r="Q213" s="284">
        <f t="shared" si="4"/>
        <v>0</v>
      </c>
      <c r="R213" s="3" t="str">
        <f>_xlfn.IFNA(VLOOKUP(Tabella1[[#This Row],[Nome]],'ROSE SQUADRE'!$N$3:$O$253,2,0),"")</f>
        <v/>
      </c>
      <c r="S213" s="312">
        <f>Tabella1[[#This Row],[Gf]]+Tabella1[[#This Row],[Rf]]</f>
        <v>0</v>
      </c>
      <c r="T213" s="193"/>
      <c r="U213" s="285" t="str">
        <f>IF(Tabella1[[#This Row],[N° FantaTit]]=1,Tabella1[[#This Row],[Voto]],"")</f>
        <v/>
      </c>
      <c r="V21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13" s="195"/>
      <c r="X213" s="193" t="str">
        <f>IF(Tabella1[[#This Row],[Best 11]]=1,Tabella1[[#This Row],[fanta voto]],"")</f>
        <v/>
      </c>
      <c r="Z213" s="193" t="str">
        <f>IF(Tabella1[[#This Row],[Best 11 MOD]]=1,Tabella1[[#This Row],[fanta voto]],"")</f>
        <v/>
      </c>
      <c r="AA213" t="str">
        <f>CONCATENATE(Tabella1[[#This Row],[GG]],Tabella1[[#This Row],[Nome]])</f>
        <v>1Ndiaye</v>
      </c>
      <c r="AC213" t="str">
        <f>_xlfn.CONCAT(Tabella1[[#This Row],[Ruolo]],Tabella1[[#This Row],[Gs]])</f>
        <v>D0</v>
      </c>
    </row>
    <row r="214" spans="1:29" hidden="1" x14ac:dyDescent="0.3">
      <c r="A214" s="286">
        <v>46254</v>
      </c>
      <c r="B214" s="15">
        <v>1</v>
      </c>
      <c r="C214" s="283" t="s">
        <v>874</v>
      </c>
      <c r="D214" t="s">
        <v>161</v>
      </c>
      <c r="E214" t="s">
        <v>879</v>
      </c>
      <c r="F214" s="194">
        <v>6</v>
      </c>
      <c r="G214" s="328">
        <v>0</v>
      </c>
      <c r="H214" s="328">
        <v>0</v>
      </c>
      <c r="I214" s="328">
        <v>0</v>
      </c>
      <c r="J214" s="328">
        <v>0</v>
      </c>
      <c r="K214" s="328">
        <v>0</v>
      </c>
      <c r="L214" s="328">
        <v>0</v>
      </c>
      <c r="M214" s="328">
        <v>0</v>
      </c>
      <c r="N214" s="328">
        <v>0</v>
      </c>
      <c r="O214" s="328">
        <v>0</v>
      </c>
      <c r="P214" s="300"/>
      <c r="Q214" s="284">
        <f t="shared" si="4"/>
        <v>0</v>
      </c>
      <c r="R214" s="3" t="str">
        <f>_xlfn.IFNA(VLOOKUP(Tabella1[[#This Row],[Nome]],'ROSE SQUADRE'!$N$3:$O$253,2,0),"")</f>
        <v>SHARK</v>
      </c>
      <c r="S214" s="312">
        <f>Tabella1[[#This Row],[Gf]]+Tabella1[[#This Row],[Rf]]</f>
        <v>0</v>
      </c>
      <c r="T214" s="193"/>
      <c r="U214" s="285" t="str">
        <f>IF(Tabella1[[#This Row],[N° FantaTit]]=1,Tabella1[[#This Row],[Voto]],"")</f>
        <v/>
      </c>
      <c r="V21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14" s="195"/>
      <c r="X214" s="193" t="str">
        <f>IF(Tabella1[[#This Row],[Best 11]]=1,Tabella1[[#This Row],[fanta voto]],"")</f>
        <v/>
      </c>
      <c r="Z214" s="193" t="str">
        <f>IF(Tabella1[[#This Row],[Best 11 MOD]]=1,Tabella1[[#This Row],[fanta voto]],"")</f>
        <v/>
      </c>
      <c r="AA214" t="str">
        <f>CONCATENATE(Tabella1[[#This Row],[GG]],Tabella1[[#This Row],[Nome]])</f>
        <v>1Troilo</v>
      </c>
      <c r="AC214" t="str">
        <f>_xlfn.CONCAT(Tabella1[[#This Row],[Ruolo]],Tabella1[[#This Row],[Gs]])</f>
        <v>D0</v>
      </c>
    </row>
    <row r="215" spans="1:29" hidden="1" x14ac:dyDescent="0.3">
      <c r="A215" s="286">
        <v>46254</v>
      </c>
      <c r="B215" s="15">
        <v>1</v>
      </c>
      <c r="C215" s="283" t="s">
        <v>874</v>
      </c>
      <c r="D215" s="330" t="s">
        <v>162</v>
      </c>
      <c r="E215" s="330" t="s">
        <v>461</v>
      </c>
      <c r="F215" s="331">
        <v>6</v>
      </c>
      <c r="G215" s="332">
        <v>0</v>
      </c>
      <c r="H215" s="332">
        <v>0</v>
      </c>
      <c r="I215" s="332">
        <v>0</v>
      </c>
      <c r="J215" s="332">
        <v>0</v>
      </c>
      <c r="K215" s="332">
        <v>0</v>
      </c>
      <c r="L215" s="332">
        <v>0</v>
      </c>
      <c r="M215" s="332">
        <v>0</v>
      </c>
      <c r="N215" s="332">
        <v>0</v>
      </c>
      <c r="O215" s="332">
        <v>0</v>
      </c>
      <c r="P215" s="300"/>
      <c r="Q215" s="284">
        <f t="shared" si="4"/>
        <v>0</v>
      </c>
      <c r="R215" s="3" t="str">
        <f>_xlfn.IFNA(VLOOKUP(Tabella1[[#This Row],[Nome]],'ROSE SQUADRE'!$N$3:$O$253,2,0),"")</f>
        <v/>
      </c>
      <c r="S215" s="312">
        <f>Tabella1[[#This Row],[Gf]]+Tabella1[[#This Row],[Rf]]</f>
        <v>0</v>
      </c>
      <c r="T215" s="193"/>
      <c r="U215" s="285" t="str">
        <f>IF(Tabella1[[#This Row],[N° FantaTit]]=1,Tabella1[[#This Row],[Voto]],"")</f>
        <v/>
      </c>
      <c r="V21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15" s="195"/>
      <c r="X215" s="193" t="str">
        <f>IF(Tabella1[[#This Row],[Best 11]]=1,Tabella1[[#This Row],[fanta voto]],"")</f>
        <v/>
      </c>
      <c r="Z215" s="193" t="str">
        <f>IF(Tabella1[[#This Row],[Best 11 MOD]]=1,Tabella1[[#This Row],[fanta voto]],"")</f>
        <v/>
      </c>
      <c r="AA215" t="str">
        <f>CONCATENATE(Tabella1[[#This Row],[GG]],Tabella1[[#This Row],[Nome]])</f>
        <v>1Almqvist</v>
      </c>
      <c r="AC215" t="str">
        <f>_xlfn.CONCAT(Tabella1[[#This Row],[Ruolo]],Tabella1[[#This Row],[Gs]])</f>
        <v>C0</v>
      </c>
    </row>
    <row r="216" spans="1:29" hidden="1" x14ac:dyDescent="0.3">
      <c r="A216" s="286">
        <v>46254</v>
      </c>
      <c r="B216" s="15">
        <v>1</v>
      </c>
      <c r="C216" s="283" t="s">
        <v>874</v>
      </c>
      <c r="D216" t="s">
        <v>162</v>
      </c>
      <c r="E216" t="s">
        <v>881</v>
      </c>
      <c r="F216" s="194">
        <v>6</v>
      </c>
      <c r="G216" s="328">
        <v>0</v>
      </c>
      <c r="H216" s="328">
        <v>0</v>
      </c>
      <c r="I216" s="328">
        <v>0</v>
      </c>
      <c r="J216" s="328">
        <v>0</v>
      </c>
      <c r="K216" s="328">
        <v>0</v>
      </c>
      <c r="L216" s="328">
        <v>0</v>
      </c>
      <c r="M216" s="328">
        <v>0</v>
      </c>
      <c r="N216" s="328">
        <v>0</v>
      </c>
      <c r="O216" s="328">
        <v>0</v>
      </c>
      <c r="P216" s="300"/>
      <c r="Q216" s="284">
        <f t="shared" si="4"/>
        <v>0</v>
      </c>
      <c r="R216" s="3" t="str">
        <f>_xlfn.IFNA(VLOOKUP(Tabella1[[#This Row],[Nome]],'ROSE SQUADRE'!$N$3:$O$253,2,0),"")</f>
        <v>ATL. IMPROVVISATO</v>
      </c>
      <c r="S216" s="312">
        <f>Tabella1[[#This Row],[Gf]]+Tabella1[[#This Row],[Rf]]</f>
        <v>0</v>
      </c>
      <c r="T216" s="193"/>
      <c r="U216" s="285" t="str">
        <f>IF(Tabella1[[#This Row],[N° FantaTit]]=1,Tabella1[[#This Row],[Voto]],"")</f>
        <v/>
      </c>
      <c r="V21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16" s="195"/>
      <c r="X216" s="193" t="str">
        <f>IF(Tabella1[[#This Row],[Best 11]]=1,Tabella1[[#This Row],[fanta voto]],"")</f>
        <v/>
      </c>
      <c r="Z216" s="193" t="str">
        <f>IF(Tabella1[[#This Row],[Best 11 MOD]]=1,Tabella1[[#This Row],[fanta voto]],"")</f>
        <v/>
      </c>
      <c r="AA216" t="str">
        <f>CONCATENATE(Tabella1[[#This Row],[GG]],Tabella1[[#This Row],[Nome]])</f>
        <v>1Bernabè</v>
      </c>
      <c r="AC216" t="str">
        <f>_xlfn.CONCAT(Tabella1[[#This Row],[Ruolo]],Tabella1[[#This Row],[Gs]])</f>
        <v>C0</v>
      </c>
    </row>
    <row r="217" spans="1:29" hidden="1" x14ac:dyDescent="0.3">
      <c r="A217" s="286">
        <v>46254</v>
      </c>
      <c r="B217" s="15">
        <v>1</v>
      </c>
      <c r="C217" s="283" t="s">
        <v>874</v>
      </c>
      <c r="D217" s="330" t="s">
        <v>162</v>
      </c>
      <c r="E217" s="330" t="s">
        <v>992</v>
      </c>
      <c r="F217" s="331">
        <v>5.5</v>
      </c>
      <c r="G217" s="332">
        <v>0</v>
      </c>
      <c r="H217" s="332">
        <v>0</v>
      </c>
      <c r="I217" s="332">
        <v>0</v>
      </c>
      <c r="J217" s="332">
        <v>0</v>
      </c>
      <c r="K217" s="332">
        <v>0</v>
      </c>
      <c r="L217" s="332">
        <v>0</v>
      </c>
      <c r="M217" s="332">
        <v>0</v>
      </c>
      <c r="N217" s="332">
        <v>0</v>
      </c>
      <c r="O217" s="332">
        <v>0</v>
      </c>
      <c r="P217" s="300"/>
      <c r="Q217" s="284">
        <f t="shared" si="4"/>
        <v>0</v>
      </c>
      <c r="R217" s="3" t="str">
        <f>_xlfn.IFNA(VLOOKUP(Tabella1[[#This Row],[Nome]],'ROSE SQUADRE'!$N$3:$O$253,2,0),"")</f>
        <v/>
      </c>
      <c r="S217" s="312">
        <f>Tabella1[[#This Row],[Gf]]+Tabella1[[#This Row],[Rf]]</f>
        <v>0</v>
      </c>
      <c r="T217" s="193"/>
      <c r="U217" s="285" t="str">
        <f>IF(Tabella1[[#This Row],[N° FantaTit]]=1,Tabella1[[#This Row],[Voto]],"")</f>
        <v/>
      </c>
      <c r="V21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17" s="195"/>
      <c r="X217" s="193" t="str">
        <f>IF(Tabella1[[#This Row],[Best 11]]=1,Tabella1[[#This Row],[fanta voto]],"")</f>
        <v/>
      </c>
      <c r="Z217" s="193" t="str">
        <f>IF(Tabella1[[#This Row],[Best 11 MOD]]=1,Tabella1[[#This Row],[fanta voto]],"")</f>
        <v/>
      </c>
      <c r="AA217" t="str">
        <f>CONCATENATE(Tabella1[[#This Row],[GG]],Tabella1[[#This Row],[Nome]])</f>
        <v>1Kouda</v>
      </c>
      <c r="AC217" t="str">
        <f>_xlfn.CONCAT(Tabella1[[#This Row],[Ruolo]],Tabella1[[#This Row],[Gs]])</f>
        <v>C0</v>
      </c>
    </row>
    <row r="218" spans="1:29" hidden="1" x14ac:dyDescent="0.3">
      <c r="A218" s="286">
        <v>46254</v>
      </c>
      <c r="B218" s="15">
        <v>1</v>
      </c>
      <c r="C218" s="283" t="s">
        <v>874</v>
      </c>
      <c r="D218" t="s">
        <v>162</v>
      </c>
      <c r="E218" t="s">
        <v>884</v>
      </c>
      <c r="F218" s="194">
        <v>6</v>
      </c>
      <c r="G218" s="328">
        <v>0</v>
      </c>
      <c r="H218" s="328">
        <v>0</v>
      </c>
      <c r="I218" s="328">
        <v>0</v>
      </c>
      <c r="J218" s="328">
        <v>0</v>
      </c>
      <c r="K218" s="328">
        <v>0</v>
      </c>
      <c r="L218" s="328">
        <v>0</v>
      </c>
      <c r="M218" s="328">
        <v>0</v>
      </c>
      <c r="N218" s="328">
        <v>0</v>
      </c>
      <c r="O218" s="328">
        <v>0</v>
      </c>
      <c r="P218" s="300"/>
      <c r="Q218" s="284">
        <f t="shared" si="4"/>
        <v>0</v>
      </c>
      <c r="R218" s="3" t="str">
        <f>_xlfn.IFNA(VLOOKUP(Tabella1[[#This Row],[Nome]],'ROSE SQUADRE'!$N$3:$O$253,2,0),"")</f>
        <v>SHARK</v>
      </c>
      <c r="S218" s="312">
        <f>Tabella1[[#This Row],[Gf]]+Tabella1[[#This Row],[Rf]]</f>
        <v>0</v>
      </c>
      <c r="T218" s="193"/>
      <c r="U218" s="285" t="str">
        <f>IF(Tabella1[[#This Row],[N° FantaTit]]=1,Tabella1[[#This Row],[Voto]],"")</f>
        <v/>
      </c>
      <c r="V21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18" s="195"/>
      <c r="X218" s="193" t="str">
        <f>IF(Tabella1[[#This Row],[Best 11]]=1,Tabella1[[#This Row],[fanta voto]],"")</f>
        <v/>
      </c>
      <c r="Z218" s="193" t="str">
        <f>IF(Tabella1[[#This Row],[Best 11 MOD]]=1,Tabella1[[#This Row],[fanta voto]],"")</f>
        <v/>
      </c>
      <c r="AA218" t="str">
        <f>CONCATENATE(Tabella1[[#This Row],[GG]],Tabella1[[#This Row],[Nome]])</f>
        <v>1Keita M.</v>
      </c>
      <c r="AC218" t="str">
        <f>_xlfn.CONCAT(Tabella1[[#This Row],[Ruolo]],Tabella1[[#This Row],[Gs]])</f>
        <v>C0</v>
      </c>
    </row>
    <row r="219" spans="1:29" hidden="1" x14ac:dyDescent="0.3">
      <c r="A219" s="286">
        <v>46254</v>
      </c>
      <c r="B219" s="15">
        <v>1</v>
      </c>
      <c r="C219" s="283" t="s">
        <v>874</v>
      </c>
      <c r="D219" s="330" t="s">
        <v>162</v>
      </c>
      <c r="E219" s="330" t="s">
        <v>885</v>
      </c>
      <c r="F219" s="331">
        <v>6</v>
      </c>
      <c r="G219" s="332">
        <v>0</v>
      </c>
      <c r="H219" s="332">
        <v>0</v>
      </c>
      <c r="I219" s="332">
        <v>0</v>
      </c>
      <c r="J219" s="332">
        <v>0</v>
      </c>
      <c r="K219" s="332">
        <v>0</v>
      </c>
      <c r="L219" s="332">
        <v>0</v>
      </c>
      <c r="M219" s="332">
        <v>0</v>
      </c>
      <c r="N219" s="332">
        <v>0</v>
      </c>
      <c r="O219" s="332">
        <v>0</v>
      </c>
      <c r="P219" s="300"/>
      <c r="Q219" s="284">
        <f t="shared" si="4"/>
        <v>0</v>
      </c>
      <c r="R219" s="3" t="str">
        <f>_xlfn.IFNA(VLOOKUP(Tabella1[[#This Row],[Nome]],'ROSE SQUADRE'!$N$3:$O$253,2,0),"")</f>
        <v/>
      </c>
      <c r="S219" s="312">
        <f>Tabella1[[#This Row],[Gf]]+Tabella1[[#This Row],[Rf]]</f>
        <v>0</v>
      </c>
      <c r="T219" s="193"/>
      <c r="U219" s="285" t="str">
        <f>IF(Tabella1[[#This Row],[N° FantaTit]]=1,Tabella1[[#This Row],[Voto]],"")</f>
        <v/>
      </c>
      <c r="V21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19" s="195"/>
      <c r="X219" s="193" t="str">
        <f>IF(Tabella1[[#This Row],[Best 11]]=1,Tabella1[[#This Row],[fanta voto]],"")</f>
        <v/>
      </c>
      <c r="Z219" s="193" t="str">
        <f>IF(Tabella1[[#This Row],[Best 11 MOD]]=1,Tabella1[[#This Row],[fanta voto]],"")</f>
        <v/>
      </c>
      <c r="AA219" t="str">
        <f>CONCATENATE(Tabella1[[#This Row],[GG]],Tabella1[[#This Row],[Nome]])</f>
        <v>1Ordonez C.</v>
      </c>
      <c r="AC219" t="str">
        <f>_xlfn.CONCAT(Tabella1[[#This Row],[Ruolo]],Tabella1[[#This Row],[Gs]])</f>
        <v>C0</v>
      </c>
    </row>
    <row r="220" spans="1:29" hidden="1" x14ac:dyDescent="0.3">
      <c r="A220" s="286">
        <v>46254</v>
      </c>
      <c r="B220" s="15">
        <v>1</v>
      </c>
      <c r="C220" s="283" t="s">
        <v>874</v>
      </c>
      <c r="D220" s="330" t="s">
        <v>162</v>
      </c>
      <c r="E220" s="330" t="s">
        <v>883</v>
      </c>
      <c r="F220" s="331">
        <v>6</v>
      </c>
      <c r="G220" s="332">
        <v>0</v>
      </c>
      <c r="H220" s="332">
        <v>0</v>
      </c>
      <c r="I220" s="332">
        <v>0</v>
      </c>
      <c r="J220" s="332">
        <v>0</v>
      </c>
      <c r="K220" s="332">
        <v>0</v>
      </c>
      <c r="L220" s="332">
        <v>0</v>
      </c>
      <c r="M220" s="332">
        <v>0</v>
      </c>
      <c r="N220" s="332">
        <v>0</v>
      </c>
      <c r="O220" s="332">
        <v>0</v>
      </c>
      <c r="P220" s="300"/>
      <c r="Q220" s="284">
        <f t="shared" si="4"/>
        <v>0</v>
      </c>
      <c r="R220" s="3" t="str">
        <f>_xlfn.IFNA(VLOOKUP(Tabella1[[#This Row],[Nome]],'ROSE SQUADRE'!$N$3:$O$253,2,0),"")</f>
        <v/>
      </c>
      <c r="S220" s="312">
        <f>Tabella1[[#This Row],[Gf]]+Tabella1[[#This Row],[Rf]]</f>
        <v>0</v>
      </c>
      <c r="T220" s="193"/>
      <c r="U220" s="285" t="str">
        <f>IF(Tabella1[[#This Row],[N° FantaTit]]=1,Tabella1[[#This Row],[Voto]],"")</f>
        <v/>
      </c>
      <c r="V22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20" s="195"/>
      <c r="X220" s="193" t="str">
        <f>IF(Tabella1[[#This Row],[Best 11]]=1,Tabella1[[#This Row],[fanta voto]],"")</f>
        <v/>
      </c>
      <c r="Z220" s="193" t="str">
        <f>IF(Tabella1[[#This Row],[Best 11 MOD]]=1,Tabella1[[#This Row],[fanta voto]],"")</f>
        <v/>
      </c>
      <c r="AA220" t="str">
        <f>CONCATENATE(Tabella1[[#This Row],[GG]],Tabella1[[#This Row],[Nome]])</f>
        <v>1Diallo O.</v>
      </c>
      <c r="AC220" t="str">
        <f>_xlfn.CONCAT(Tabella1[[#This Row],[Ruolo]],Tabella1[[#This Row],[Gs]])</f>
        <v>C0</v>
      </c>
    </row>
    <row r="221" spans="1:29" hidden="1" x14ac:dyDescent="0.3">
      <c r="A221" s="286">
        <v>46254</v>
      </c>
      <c r="B221" s="15">
        <v>1</v>
      </c>
      <c r="C221" s="283" t="s">
        <v>874</v>
      </c>
      <c r="D221" t="s">
        <v>162</v>
      </c>
      <c r="E221" t="s">
        <v>993</v>
      </c>
      <c r="F221" s="194">
        <v>5.5</v>
      </c>
      <c r="G221" s="328">
        <v>0</v>
      </c>
      <c r="H221" s="328">
        <v>0</v>
      </c>
      <c r="I221" s="328">
        <v>0</v>
      </c>
      <c r="J221" s="328">
        <v>0</v>
      </c>
      <c r="K221" s="328">
        <v>0</v>
      </c>
      <c r="L221" s="328">
        <v>0</v>
      </c>
      <c r="M221" s="328">
        <v>0</v>
      </c>
      <c r="N221" s="328">
        <v>0</v>
      </c>
      <c r="O221" s="328">
        <v>0</v>
      </c>
      <c r="P221" s="300"/>
      <c r="Q221" s="284">
        <f t="shared" si="4"/>
        <v>0</v>
      </c>
      <c r="R221" s="3" t="str">
        <f>_xlfn.IFNA(VLOOKUP(Tabella1[[#This Row],[Nome]],'ROSE SQUADRE'!$N$3:$O$253,2,0),"")</f>
        <v/>
      </c>
      <c r="S221" s="312">
        <f>Tabella1[[#This Row],[Gf]]+Tabella1[[#This Row],[Rf]]</f>
        <v>0</v>
      </c>
      <c r="T221" s="193"/>
      <c r="U221" s="285" t="str">
        <f>IF(Tabella1[[#This Row],[N° FantaTit]]=1,Tabella1[[#This Row],[Voto]],"")</f>
        <v/>
      </c>
      <c r="V22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21" s="195"/>
      <c r="X221" s="193" t="str">
        <f>IF(Tabella1[[#This Row],[Best 11]]=1,Tabella1[[#This Row],[fanta voto]],"")</f>
        <v/>
      </c>
      <c r="Z221" s="193" t="str">
        <f>IF(Tabella1[[#This Row],[Best 11 MOD]]=1,Tabella1[[#This Row],[fanta voto]],"")</f>
        <v/>
      </c>
      <c r="AA221" t="str">
        <f>CONCATENATE(Tabella1[[#This Row],[GG]],Tabella1[[#This Row],[Nome]])</f>
        <v>1Konate A.</v>
      </c>
      <c r="AC221" t="str">
        <f>_xlfn.CONCAT(Tabella1[[#This Row],[Ruolo]],Tabella1[[#This Row],[Gs]])</f>
        <v>C0</v>
      </c>
    </row>
    <row r="222" spans="1:29" hidden="1" x14ac:dyDescent="0.3">
      <c r="A222" s="286">
        <v>46254</v>
      </c>
      <c r="B222" s="15">
        <v>1</v>
      </c>
      <c r="C222" s="283" t="s">
        <v>874</v>
      </c>
      <c r="D222" s="330" t="s">
        <v>163</v>
      </c>
      <c r="E222" s="330" t="s">
        <v>892</v>
      </c>
      <c r="F222" s="331">
        <v>5.5</v>
      </c>
      <c r="G222" s="332">
        <v>0</v>
      </c>
      <c r="H222" s="332">
        <v>0</v>
      </c>
      <c r="I222" s="332">
        <v>0</v>
      </c>
      <c r="J222" s="332">
        <v>0</v>
      </c>
      <c r="K222" s="332">
        <v>0</v>
      </c>
      <c r="L222" s="332">
        <v>0</v>
      </c>
      <c r="M222" s="332">
        <v>0</v>
      </c>
      <c r="N222" s="332">
        <v>0</v>
      </c>
      <c r="O222" s="332">
        <v>0</v>
      </c>
      <c r="P222" s="300"/>
      <c r="Q222" s="284">
        <f t="shared" si="4"/>
        <v>0</v>
      </c>
      <c r="R222" s="3" t="str">
        <f>_xlfn.IFNA(VLOOKUP(Tabella1[[#This Row],[Nome]],'ROSE SQUADRE'!$N$3:$O$253,2,0),"")</f>
        <v>ATL. IMPROVVISATO</v>
      </c>
      <c r="S222" s="312">
        <f>Tabella1[[#This Row],[Gf]]+Tabella1[[#This Row],[Rf]]</f>
        <v>0</v>
      </c>
      <c r="T222" s="193"/>
      <c r="U222" s="285" t="str">
        <f>IF(Tabella1[[#This Row],[N° FantaTit]]=1,Tabella1[[#This Row],[Voto]],"")</f>
        <v/>
      </c>
      <c r="V22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22" s="195"/>
      <c r="X222" s="193" t="str">
        <f>IF(Tabella1[[#This Row],[Best 11]]=1,Tabella1[[#This Row],[fanta voto]],"")</f>
        <v/>
      </c>
      <c r="Z222" s="193" t="str">
        <f>IF(Tabella1[[#This Row],[Best 11 MOD]]=1,Tabella1[[#This Row],[fanta voto]],"")</f>
        <v/>
      </c>
      <c r="AA222" t="str">
        <f>CONCATENATE(Tabella1[[#This Row],[GG]],Tabella1[[#This Row],[Nome]])</f>
        <v>1Tourè E.</v>
      </c>
      <c r="AC222" t="str">
        <f>_xlfn.CONCAT(Tabella1[[#This Row],[Ruolo]],Tabella1[[#This Row],[Gs]])</f>
        <v>A0</v>
      </c>
    </row>
    <row r="223" spans="1:29" hidden="1" x14ac:dyDescent="0.3">
      <c r="A223" s="286">
        <v>46254</v>
      </c>
      <c r="B223" s="15">
        <v>1</v>
      </c>
      <c r="C223" s="283" t="s">
        <v>874</v>
      </c>
      <c r="D223" t="s">
        <v>163</v>
      </c>
      <c r="E223" t="s">
        <v>888</v>
      </c>
      <c r="F223" s="194">
        <v>5.5</v>
      </c>
      <c r="G223" s="328">
        <v>0</v>
      </c>
      <c r="H223" s="328">
        <v>0</v>
      </c>
      <c r="I223" s="328">
        <v>0</v>
      </c>
      <c r="J223" s="328">
        <v>0</v>
      </c>
      <c r="K223" s="328">
        <v>0</v>
      </c>
      <c r="L223" s="328">
        <v>0</v>
      </c>
      <c r="M223" s="328">
        <v>0</v>
      </c>
      <c r="N223" s="328">
        <v>0</v>
      </c>
      <c r="O223" s="328">
        <v>0</v>
      </c>
      <c r="P223" s="300"/>
      <c r="Q223" s="284">
        <f t="shared" si="4"/>
        <v>0</v>
      </c>
      <c r="R223" s="3" t="str">
        <f>_xlfn.IFNA(VLOOKUP(Tabella1[[#This Row],[Nome]],'ROSE SQUADRE'!$N$3:$O$253,2,0),"")</f>
        <v>TRICCHETRACHT</v>
      </c>
      <c r="S223" s="312">
        <f>Tabella1[[#This Row],[Gf]]+Tabella1[[#This Row],[Rf]]</f>
        <v>0</v>
      </c>
      <c r="T223" s="193"/>
      <c r="U223" s="285" t="str">
        <f>IF(Tabella1[[#This Row],[N° FantaTit]]=1,Tabella1[[#This Row],[Voto]],"")</f>
        <v/>
      </c>
      <c r="V22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23" s="195"/>
      <c r="X223" s="193" t="str">
        <f>IF(Tabella1[[#This Row],[Best 11]]=1,Tabella1[[#This Row],[fanta voto]],"")</f>
        <v/>
      </c>
      <c r="Z223" s="193" t="str">
        <f>IF(Tabella1[[#This Row],[Best 11 MOD]]=1,Tabella1[[#This Row],[fanta voto]],"")</f>
        <v/>
      </c>
      <c r="AA223" t="str">
        <f>CONCATENATE(Tabella1[[#This Row],[GG]],Tabella1[[#This Row],[Nome]])</f>
        <v>1Elphege</v>
      </c>
      <c r="AC223" t="str">
        <f>_xlfn.CONCAT(Tabella1[[#This Row],[Ruolo]],Tabella1[[#This Row],[Gs]])</f>
        <v>A0</v>
      </c>
    </row>
    <row r="224" spans="1:29" hidden="1" x14ac:dyDescent="0.3">
      <c r="A224" s="286">
        <v>46254</v>
      </c>
      <c r="B224" s="15">
        <v>1</v>
      </c>
      <c r="C224" s="283" t="s">
        <v>874</v>
      </c>
      <c r="D224" s="330" t="s">
        <v>163</v>
      </c>
      <c r="E224" s="330" t="s">
        <v>890</v>
      </c>
      <c r="F224" s="331">
        <v>6.5</v>
      </c>
      <c r="G224" s="332">
        <v>0</v>
      </c>
      <c r="H224" s="332">
        <v>0</v>
      </c>
      <c r="I224" s="332">
        <v>0</v>
      </c>
      <c r="J224" s="332">
        <v>0</v>
      </c>
      <c r="K224" s="332">
        <v>0</v>
      </c>
      <c r="L224" s="332">
        <v>0</v>
      </c>
      <c r="M224" s="332">
        <v>0</v>
      </c>
      <c r="N224" s="332">
        <v>0</v>
      </c>
      <c r="O224" s="332">
        <v>0</v>
      </c>
      <c r="P224" s="300"/>
      <c r="Q224" s="284">
        <f t="shared" si="4"/>
        <v>0</v>
      </c>
      <c r="R224" s="3" t="str">
        <f>_xlfn.IFNA(VLOOKUP(Tabella1[[#This Row],[Nome]],'ROSE SQUADRE'!$N$3:$O$253,2,0),"")</f>
        <v>PESCICULINI</v>
      </c>
      <c r="S224" s="312">
        <f>Tabella1[[#This Row],[Gf]]+Tabella1[[#This Row],[Rf]]</f>
        <v>0</v>
      </c>
      <c r="T224" s="193"/>
      <c r="U224" s="285" t="str">
        <f>IF(Tabella1[[#This Row],[N° FantaTit]]=1,Tabella1[[#This Row],[Voto]],"")</f>
        <v/>
      </c>
      <c r="V22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24" s="195"/>
      <c r="X224" s="193" t="str">
        <f>IF(Tabella1[[#This Row],[Best 11]]=1,Tabella1[[#This Row],[fanta voto]],"")</f>
        <v/>
      </c>
      <c r="Z224" s="193" t="str">
        <f>IF(Tabella1[[#This Row],[Best 11 MOD]]=1,Tabella1[[#This Row],[fanta voto]],"")</f>
        <v/>
      </c>
      <c r="AA224" t="str">
        <f>CONCATENATE(Tabella1[[#This Row],[GG]],Tabella1[[#This Row],[Nome]])</f>
        <v>1Lontani</v>
      </c>
      <c r="AC224" t="str">
        <f>_xlfn.CONCAT(Tabella1[[#This Row],[Ruolo]],Tabella1[[#This Row],[Gs]])</f>
        <v>A0</v>
      </c>
    </row>
    <row r="225" spans="1:29" hidden="1" x14ac:dyDescent="0.3">
      <c r="A225" s="286">
        <v>46254</v>
      </c>
      <c r="B225" s="15">
        <v>1</v>
      </c>
      <c r="C225" s="283" t="s">
        <v>894</v>
      </c>
      <c r="D225" s="330" t="s">
        <v>5</v>
      </c>
      <c r="E225" s="330" t="s">
        <v>421</v>
      </c>
      <c r="F225" s="331">
        <v>6</v>
      </c>
      <c r="G225" s="332">
        <v>0</v>
      </c>
      <c r="H225" s="332">
        <v>0</v>
      </c>
      <c r="I225" s="332">
        <v>0</v>
      </c>
      <c r="J225" s="332">
        <v>0</v>
      </c>
      <c r="K225" s="332">
        <v>0</v>
      </c>
      <c r="L225" s="332">
        <v>0</v>
      </c>
      <c r="M225" s="332">
        <v>0</v>
      </c>
      <c r="N225" s="332">
        <v>0</v>
      </c>
      <c r="O225" s="332">
        <v>0</v>
      </c>
      <c r="P225" s="300"/>
      <c r="Q225" s="284">
        <f t="shared" si="4"/>
        <v>1</v>
      </c>
      <c r="R225" s="3" t="str">
        <f>_xlfn.IFNA(VLOOKUP(Tabella1[[#This Row],[Nome]],'ROSE SQUADRE'!$N$3:$O$253,2,0),"")</f>
        <v>SAN GRIA</v>
      </c>
      <c r="S225" s="312">
        <f>Tabella1[[#This Row],[Gf]]+Tabella1[[#This Row],[Rf]]</f>
        <v>0</v>
      </c>
      <c r="T225" s="193"/>
      <c r="U225" s="285" t="str">
        <f>IF(Tabella1[[#This Row],[N° FantaTit]]=1,Tabella1[[#This Row],[Voto]],"")</f>
        <v/>
      </c>
      <c r="V22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225" s="195"/>
      <c r="X225" s="193" t="str">
        <f>IF(Tabella1[[#This Row],[Best 11]]=1,Tabella1[[#This Row],[fanta voto]],"")</f>
        <v/>
      </c>
      <c r="Z225" s="193" t="str">
        <f>IF(Tabella1[[#This Row],[Best 11 MOD]]=1,Tabella1[[#This Row],[fanta voto]],"")</f>
        <v/>
      </c>
      <c r="AA225" t="str">
        <f>CONCATENATE(Tabella1[[#This Row],[GG]],Tabella1[[#This Row],[Nome]])</f>
        <v>1Svilar</v>
      </c>
      <c r="AC225" t="str">
        <f>_xlfn.CONCAT(Tabella1[[#This Row],[Ruolo]],Tabella1[[#This Row],[Gs]])</f>
        <v>P0</v>
      </c>
    </row>
    <row r="226" spans="1:29" hidden="1" x14ac:dyDescent="0.3">
      <c r="A226" s="286">
        <v>46254</v>
      </c>
      <c r="B226" s="15">
        <v>1</v>
      </c>
      <c r="C226" s="283" t="s">
        <v>894</v>
      </c>
      <c r="D226" t="s">
        <v>161</v>
      </c>
      <c r="E226" t="s">
        <v>277</v>
      </c>
      <c r="F226" s="194">
        <v>6.5</v>
      </c>
      <c r="G226" s="328">
        <v>0</v>
      </c>
      <c r="H226" s="328">
        <v>0</v>
      </c>
      <c r="I226" s="328">
        <v>0</v>
      </c>
      <c r="J226" s="328">
        <v>0</v>
      </c>
      <c r="K226" s="328">
        <v>0</v>
      </c>
      <c r="L226" s="328">
        <v>0</v>
      </c>
      <c r="M226" s="328">
        <v>0</v>
      </c>
      <c r="N226" s="328">
        <v>0</v>
      </c>
      <c r="O226" s="328">
        <v>0</v>
      </c>
      <c r="P226" s="300"/>
      <c r="Q226" s="284">
        <f t="shared" si="4"/>
        <v>0</v>
      </c>
      <c r="R226" s="3" t="str">
        <f>_xlfn.IFNA(VLOOKUP(Tabella1[[#This Row],[Nome]],'ROSE SQUADRE'!$N$3:$O$253,2,0),"")</f>
        <v>PESCICULINI</v>
      </c>
      <c r="S226" s="312">
        <f>Tabella1[[#This Row],[Gf]]+Tabella1[[#This Row],[Rf]]</f>
        <v>0</v>
      </c>
      <c r="T226" s="193"/>
      <c r="U226" s="285" t="str">
        <f>IF(Tabella1[[#This Row],[N° FantaTit]]=1,Tabella1[[#This Row],[Voto]],"")</f>
        <v/>
      </c>
      <c r="V22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26" s="195"/>
      <c r="X226" s="193" t="str">
        <f>IF(Tabella1[[#This Row],[Best 11]]=1,Tabella1[[#This Row],[fanta voto]],"")</f>
        <v/>
      </c>
      <c r="Z226" s="193" t="str">
        <f>IF(Tabella1[[#This Row],[Best 11 MOD]]=1,Tabella1[[#This Row],[fanta voto]],"")</f>
        <v/>
      </c>
      <c r="AA226" t="str">
        <f>CONCATENATE(Tabella1[[#This Row],[GG]],Tabella1[[#This Row],[Nome]])</f>
        <v>1Mancini</v>
      </c>
      <c r="AC226" t="str">
        <f>_xlfn.CONCAT(Tabella1[[#This Row],[Ruolo]],Tabella1[[#This Row],[Gs]])</f>
        <v>D0</v>
      </c>
    </row>
    <row r="227" spans="1:29" hidden="1" x14ac:dyDescent="0.3">
      <c r="A227" s="286">
        <v>46254</v>
      </c>
      <c r="B227" s="15">
        <v>1</v>
      </c>
      <c r="C227" s="283" t="s">
        <v>894</v>
      </c>
      <c r="D227" s="330" t="s">
        <v>161</v>
      </c>
      <c r="E227" s="330" t="s">
        <v>566</v>
      </c>
      <c r="F227" s="331">
        <v>6</v>
      </c>
      <c r="G227" s="332">
        <v>0</v>
      </c>
      <c r="H227" s="332">
        <v>0</v>
      </c>
      <c r="I227" s="332">
        <v>0</v>
      </c>
      <c r="J227" s="332">
        <v>0</v>
      </c>
      <c r="K227" s="332">
        <v>0</v>
      </c>
      <c r="L227" s="332">
        <v>0</v>
      </c>
      <c r="M227" s="332">
        <v>0</v>
      </c>
      <c r="N227" s="332">
        <v>0</v>
      </c>
      <c r="O227" s="332">
        <v>0</v>
      </c>
      <c r="P227" s="300"/>
      <c r="Q227" s="284">
        <f t="shared" si="4"/>
        <v>0</v>
      </c>
      <c r="R227" s="3" t="str">
        <f>_xlfn.IFNA(VLOOKUP(Tabella1[[#This Row],[Nome]],'ROSE SQUADRE'!$N$3:$O$253,2,0),"")</f>
        <v>FC INTERNAZIOANALE</v>
      </c>
      <c r="S227" s="312">
        <f>Tabella1[[#This Row],[Gf]]+Tabella1[[#This Row],[Rf]]</f>
        <v>0</v>
      </c>
      <c r="T227" s="193"/>
      <c r="U227" s="285" t="str">
        <f>IF(Tabella1[[#This Row],[N° FantaTit]]=1,Tabella1[[#This Row],[Voto]],"")</f>
        <v/>
      </c>
      <c r="V22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27" s="195"/>
      <c r="X227" s="193" t="str">
        <f>IF(Tabella1[[#This Row],[Best 11]]=1,Tabella1[[#This Row],[fanta voto]],"")</f>
        <v/>
      </c>
      <c r="Z227" s="193" t="str">
        <f>IF(Tabella1[[#This Row],[Best 11 MOD]]=1,Tabella1[[#This Row],[fanta voto]],"")</f>
        <v/>
      </c>
      <c r="AA227" t="str">
        <f>CONCATENATE(Tabella1[[#This Row],[GG]],Tabella1[[#This Row],[Nome]])</f>
        <v>1N'Dicka</v>
      </c>
      <c r="AC227" t="str">
        <f>_xlfn.CONCAT(Tabella1[[#This Row],[Ruolo]],Tabella1[[#This Row],[Gs]])</f>
        <v>D0</v>
      </c>
    </row>
    <row r="228" spans="1:29" hidden="1" x14ac:dyDescent="0.3">
      <c r="A228" s="286">
        <v>46254</v>
      </c>
      <c r="B228" s="15">
        <v>1</v>
      </c>
      <c r="C228" s="283" t="s">
        <v>894</v>
      </c>
      <c r="D228" t="s">
        <v>161</v>
      </c>
      <c r="E228" t="s">
        <v>896</v>
      </c>
      <c r="F228" s="194">
        <v>6.5</v>
      </c>
      <c r="G228" s="328">
        <v>0</v>
      </c>
      <c r="H228" s="328">
        <v>0</v>
      </c>
      <c r="I228" s="328">
        <v>0</v>
      </c>
      <c r="J228" s="328">
        <v>0</v>
      </c>
      <c r="K228" s="328">
        <v>0</v>
      </c>
      <c r="L228" s="328">
        <v>0</v>
      </c>
      <c r="M228" s="329">
        <v>1</v>
      </c>
      <c r="N228" s="328">
        <v>0</v>
      </c>
      <c r="O228" s="328">
        <v>0</v>
      </c>
      <c r="P228" s="300"/>
      <c r="Q228" s="284">
        <f t="shared" si="4"/>
        <v>0</v>
      </c>
      <c r="R228" s="3" t="str">
        <f>_xlfn.IFNA(VLOOKUP(Tabella1[[#This Row],[Nome]],'ROSE SQUADRE'!$N$3:$O$253,2,0),"")</f>
        <v>PARTIZAN DEGRADO</v>
      </c>
      <c r="S228" s="312">
        <f>Tabella1[[#This Row],[Gf]]+Tabella1[[#This Row],[Rf]]</f>
        <v>0</v>
      </c>
      <c r="T228" s="193"/>
      <c r="U228" s="285" t="str">
        <f>IF(Tabella1[[#This Row],[N° FantaTit]]=1,Tabella1[[#This Row],[Voto]],"")</f>
        <v/>
      </c>
      <c r="V22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28" s="195"/>
      <c r="X228" s="193" t="str">
        <f>IF(Tabella1[[#This Row],[Best 11]]=1,Tabella1[[#This Row],[fanta voto]],"")</f>
        <v/>
      </c>
      <c r="Z228" s="193" t="str">
        <f>IF(Tabella1[[#This Row],[Best 11 MOD]]=1,Tabella1[[#This Row],[fanta voto]],"")</f>
        <v/>
      </c>
      <c r="AA228" t="str">
        <f>CONCATENATE(Tabella1[[#This Row],[GG]],Tabella1[[#This Row],[Nome]])</f>
        <v>1Hermoso</v>
      </c>
      <c r="AC228" t="str">
        <f>_xlfn.CONCAT(Tabella1[[#This Row],[Ruolo]],Tabella1[[#This Row],[Gs]])</f>
        <v>D0</v>
      </c>
    </row>
    <row r="229" spans="1:29" hidden="1" x14ac:dyDescent="0.3">
      <c r="A229" s="286">
        <v>46254</v>
      </c>
      <c r="B229" s="15">
        <v>1</v>
      </c>
      <c r="C229" s="283" t="s">
        <v>894</v>
      </c>
      <c r="D229" s="330" t="s">
        <v>161</v>
      </c>
      <c r="E229" s="330" t="s">
        <v>900</v>
      </c>
      <c r="F229" s="331">
        <v>6.5</v>
      </c>
      <c r="G229" s="332">
        <v>0</v>
      </c>
      <c r="H229" s="332">
        <v>0</v>
      </c>
      <c r="I229" s="332">
        <v>0</v>
      </c>
      <c r="J229" s="332">
        <v>0</v>
      </c>
      <c r="K229" s="332">
        <v>0</v>
      </c>
      <c r="L229" s="332">
        <v>0</v>
      </c>
      <c r="M229" s="332">
        <v>0</v>
      </c>
      <c r="N229" s="332">
        <v>0</v>
      </c>
      <c r="O229" s="332">
        <v>0</v>
      </c>
      <c r="P229" s="300"/>
      <c r="Q229" s="284">
        <f t="shared" si="4"/>
        <v>0</v>
      </c>
      <c r="R229" s="3" t="str">
        <f>_xlfn.IFNA(VLOOKUP(Tabella1[[#This Row],[Nome]],'ROSE SQUADRE'!$N$3:$O$253,2,0),"")</f>
        <v>PESCICULINI</v>
      </c>
      <c r="S229" s="312">
        <f>Tabella1[[#This Row],[Gf]]+Tabella1[[#This Row],[Rf]]</f>
        <v>0</v>
      </c>
      <c r="T229" s="193"/>
      <c r="U229" s="285" t="str">
        <f>IF(Tabella1[[#This Row],[N° FantaTit]]=1,Tabella1[[#This Row],[Voto]],"")</f>
        <v/>
      </c>
      <c r="V22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29" s="195"/>
      <c r="X229" s="193" t="str">
        <f>IF(Tabella1[[#This Row],[Best 11]]=1,Tabella1[[#This Row],[fanta voto]],"")</f>
        <v/>
      </c>
      <c r="Z229" s="193" t="str">
        <f>IF(Tabella1[[#This Row],[Best 11 MOD]]=1,Tabella1[[#This Row],[fanta voto]],"")</f>
        <v/>
      </c>
      <c r="AA229" t="str">
        <f>CONCATENATE(Tabella1[[#This Row],[GG]],Tabella1[[#This Row],[Nome]])</f>
        <v>1Wesley</v>
      </c>
      <c r="AC229" t="str">
        <f>_xlfn.CONCAT(Tabella1[[#This Row],[Ruolo]],Tabella1[[#This Row],[Gs]])</f>
        <v>D0</v>
      </c>
    </row>
    <row r="230" spans="1:29" hidden="1" x14ac:dyDescent="0.3">
      <c r="A230" s="286">
        <v>46254</v>
      </c>
      <c r="B230" s="15">
        <v>1</v>
      </c>
      <c r="C230" s="283" t="s">
        <v>894</v>
      </c>
      <c r="D230" t="s">
        <v>161</v>
      </c>
      <c r="E230" t="s">
        <v>897</v>
      </c>
      <c r="F230" s="194">
        <v>6</v>
      </c>
      <c r="G230" s="328">
        <v>0</v>
      </c>
      <c r="H230" s="328">
        <v>0</v>
      </c>
      <c r="I230" s="328">
        <v>0</v>
      </c>
      <c r="J230" s="328">
        <v>0</v>
      </c>
      <c r="K230" s="328">
        <v>0</v>
      </c>
      <c r="L230" s="328">
        <v>0</v>
      </c>
      <c r="M230" s="328">
        <v>0</v>
      </c>
      <c r="N230" s="328">
        <v>0</v>
      </c>
      <c r="O230" s="328">
        <v>0</v>
      </c>
      <c r="P230" s="300"/>
      <c r="Q230" s="284">
        <f t="shared" si="4"/>
        <v>0</v>
      </c>
      <c r="R230" s="3" t="str">
        <f>_xlfn.IFNA(VLOOKUP(Tabella1[[#This Row],[Nome]],'ROSE SQUADRE'!$N$3:$O$253,2,0),"")</f>
        <v>SESTO ASENSIO</v>
      </c>
      <c r="S230" s="312">
        <f>Tabella1[[#This Row],[Gf]]+Tabella1[[#This Row],[Rf]]</f>
        <v>0</v>
      </c>
      <c r="T230" s="193"/>
      <c r="U230" s="285" t="str">
        <f>IF(Tabella1[[#This Row],[N° FantaTit]]=1,Tabella1[[#This Row],[Voto]],"")</f>
        <v/>
      </c>
      <c r="V23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30" s="195"/>
      <c r="X230" s="193" t="str">
        <f>IF(Tabella1[[#This Row],[Best 11]]=1,Tabella1[[#This Row],[fanta voto]],"")</f>
        <v/>
      </c>
      <c r="Z230" s="193" t="str">
        <f>IF(Tabella1[[#This Row],[Best 11 MOD]]=1,Tabella1[[#This Row],[fanta voto]],"")</f>
        <v/>
      </c>
      <c r="AA230" t="str">
        <f>CONCATENATE(Tabella1[[#This Row],[GG]],Tabella1[[#This Row],[Nome]])</f>
        <v>1Koulierakis</v>
      </c>
      <c r="AC230" t="str">
        <f>_xlfn.CONCAT(Tabella1[[#This Row],[Ruolo]],Tabella1[[#This Row],[Gs]])</f>
        <v>D0</v>
      </c>
    </row>
    <row r="231" spans="1:29" hidden="1" x14ac:dyDescent="0.3">
      <c r="A231" s="286">
        <v>46254</v>
      </c>
      <c r="B231" s="15">
        <v>1</v>
      </c>
      <c r="C231" s="283" t="s">
        <v>894</v>
      </c>
      <c r="D231" s="330" t="s">
        <v>161</v>
      </c>
      <c r="E231" s="330" t="s">
        <v>994</v>
      </c>
      <c r="F231" s="331">
        <v>6.5</v>
      </c>
      <c r="G231" s="332">
        <v>0</v>
      </c>
      <c r="H231" s="332">
        <v>0</v>
      </c>
      <c r="I231" s="332">
        <v>0</v>
      </c>
      <c r="J231" s="332">
        <v>0</v>
      </c>
      <c r="K231" s="332">
        <v>0</v>
      </c>
      <c r="L231" s="332">
        <v>0</v>
      </c>
      <c r="M231" s="332">
        <v>0</v>
      </c>
      <c r="N231" s="332">
        <v>0</v>
      </c>
      <c r="O231" s="332">
        <v>0</v>
      </c>
      <c r="P231" s="300"/>
      <c r="Q231" s="284">
        <f t="shared" si="4"/>
        <v>0</v>
      </c>
      <c r="R231" s="3" t="str">
        <f>_xlfn.IFNA(VLOOKUP(Tabella1[[#This Row],[Nome]],'ROSE SQUADRE'!$N$3:$O$253,2,0),"")</f>
        <v>PARTIZAN DEGRADO</v>
      </c>
      <c r="S231" s="312">
        <f>Tabella1[[#This Row],[Gf]]+Tabella1[[#This Row],[Rf]]</f>
        <v>0</v>
      </c>
      <c r="T231" s="193"/>
      <c r="U231" s="285" t="str">
        <f>IF(Tabella1[[#This Row],[N° FantaTit]]=1,Tabella1[[#This Row],[Voto]],"")</f>
        <v/>
      </c>
      <c r="V23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31" s="195"/>
      <c r="X231" s="193" t="str">
        <f>IF(Tabella1[[#This Row],[Best 11]]=1,Tabella1[[#This Row],[fanta voto]],"")</f>
        <v/>
      </c>
      <c r="Z231" s="193" t="str">
        <f>IF(Tabella1[[#This Row],[Best 11 MOD]]=1,Tabella1[[#This Row],[fanta voto]],"")</f>
        <v/>
      </c>
      <c r="AA231" t="str">
        <f>CONCATENATE(Tabella1[[#This Row],[GG]],Tabella1[[#This Row],[Nome]])</f>
        <v>1Lulli</v>
      </c>
      <c r="AC231" t="str">
        <f>_xlfn.CONCAT(Tabella1[[#This Row],[Ruolo]],Tabella1[[#This Row],[Gs]])</f>
        <v>D0</v>
      </c>
    </row>
    <row r="232" spans="1:29" hidden="1" x14ac:dyDescent="0.3">
      <c r="A232" s="286">
        <v>46254</v>
      </c>
      <c r="B232" s="15">
        <v>1</v>
      </c>
      <c r="C232" s="283" t="s">
        <v>894</v>
      </c>
      <c r="D232" t="s">
        <v>162</v>
      </c>
      <c r="E232" t="s">
        <v>281</v>
      </c>
      <c r="F232" s="194">
        <v>6.5</v>
      </c>
      <c r="G232" s="328">
        <v>0</v>
      </c>
      <c r="H232" s="328">
        <v>0</v>
      </c>
      <c r="I232" s="328">
        <v>0</v>
      </c>
      <c r="J232" s="328">
        <v>0</v>
      </c>
      <c r="K232" s="328">
        <v>0</v>
      </c>
      <c r="L232" s="328">
        <v>0</v>
      </c>
      <c r="M232" s="328">
        <v>0</v>
      </c>
      <c r="N232" s="328">
        <v>0</v>
      </c>
      <c r="O232" s="328">
        <v>0</v>
      </c>
      <c r="P232" s="300"/>
      <c r="Q232" s="284">
        <f t="shared" si="4"/>
        <v>0</v>
      </c>
      <c r="R232" s="3" t="str">
        <f>_xlfn.IFNA(VLOOKUP(Tabella1[[#This Row],[Nome]],'ROSE SQUADRE'!$N$3:$O$253,2,0),"")</f>
        <v>SAN GRIA</v>
      </c>
      <c r="S232" s="312">
        <f>Tabella1[[#This Row],[Gf]]+Tabella1[[#This Row],[Rf]]</f>
        <v>0</v>
      </c>
      <c r="T232" s="193"/>
      <c r="U232" s="285" t="str">
        <f>IF(Tabella1[[#This Row],[N° FantaTit]]=1,Tabella1[[#This Row],[Voto]],"")</f>
        <v/>
      </c>
      <c r="V23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32" s="195"/>
      <c r="X232" s="193" t="str">
        <f>IF(Tabella1[[#This Row],[Best 11]]=1,Tabella1[[#This Row],[fanta voto]],"")</f>
        <v/>
      </c>
      <c r="Z232" s="193" t="str">
        <f>IF(Tabella1[[#This Row],[Best 11 MOD]]=1,Tabella1[[#This Row],[fanta voto]],"")</f>
        <v/>
      </c>
      <c r="AA232" t="str">
        <f>CONCATENATE(Tabella1[[#This Row],[GG]],Tabella1[[#This Row],[Nome]])</f>
        <v>1Cristante</v>
      </c>
      <c r="AC232" t="str">
        <f>_xlfn.CONCAT(Tabella1[[#This Row],[Ruolo]],Tabella1[[#This Row],[Gs]])</f>
        <v>C0</v>
      </c>
    </row>
    <row r="233" spans="1:29" hidden="1" x14ac:dyDescent="0.3">
      <c r="A233" s="286">
        <v>46254</v>
      </c>
      <c r="B233" s="15">
        <v>1</v>
      </c>
      <c r="C233" s="283" t="s">
        <v>894</v>
      </c>
      <c r="D233" s="330" t="s">
        <v>162</v>
      </c>
      <c r="E233" s="330" t="s">
        <v>903</v>
      </c>
      <c r="F233" s="331">
        <v>6</v>
      </c>
      <c r="G233" s="332">
        <v>0</v>
      </c>
      <c r="H233" s="332">
        <v>0</v>
      </c>
      <c r="I233" s="332">
        <v>0</v>
      </c>
      <c r="J233" s="332">
        <v>0</v>
      </c>
      <c r="K233" s="332">
        <v>0</v>
      </c>
      <c r="L233" s="332">
        <v>0</v>
      </c>
      <c r="M233" s="333">
        <v>1</v>
      </c>
      <c r="N233" s="332">
        <v>0</v>
      </c>
      <c r="O233" s="332">
        <v>0</v>
      </c>
      <c r="P233" s="300"/>
      <c r="Q233" s="284">
        <f t="shared" si="4"/>
        <v>0</v>
      </c>
      <c r="R233" s="3" t="str">
        <f>_xlfn.IFNA(VLOOKUP(Tabella1[[#This Row],[Nome]],'ROSE SQUADRE'!$N$3:$O$253,2,0),"")</f>
        <v>AC ASPARAGHESE</v>
      </c>
      <c r="S233" s="312">
        <f>Tabella1[[#This Row],[Gf]]+Tabella1[[#This Row],[Rf]]</f>
        <v>0</v>
      </c>
      <c r="T233" s="193"/>
      <c r="U233" s="285" t="str">
        <f>IF(Tabella1[[#This Row],[N° FantaTit]]=1,Tabella1[[#This Row],[Voto]],"")</f>
        <v/>
      </c>
      <c r="V23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33" s="195"/>
      <c r="X233" s="193" t="str">
        <f>IF(Tabella1[[#This Row],[Best 11]]=1,Tabella1[[#This Row],[fanta voto]],"")</f>
        <v/>
      </c>
      <c r="Z233" s="193" t="str">
        <f>IF(Tabella1[[#This Row],[Best 11 MOD]]=1,Tabella1[[#This Row],[fanta voto]],"")</f>
        <v/>
      </c>
      <c r="AA233" t="str">
        <f>CONCATENATE(Tabella1[[#This Row],[GG]],Tabella1[[#This Row],[Nome]])</f>
        <v>1Konè M.</v>
      </c>
      <c r="AC233" t="str">
        <f>_xlfn.CONCAT(Tabella1[[#This Row],[Ruolo]],Tabella1[[#This Row],[Gs]])</f>
        <v>C0</v>
      </c>
    </row>
    <row r="234" spans="1:29" hidden="1" x14ac:dyDescent="0.3">
      <c r="A234" s="286">
        <v>46254</v>
      </c>
      <c r="B234" s="15">
        <v>1</v>
      </c>
      <c r="C234" s="283" t="s">
        <v>894</v>
      </c>
      <c r="D234" t="s">
        <v>162</v>
      </c>
      <c r="E234" t="s">
        <v>905</v>
      </c>
      <c r="F234" s="194">
        <v>6.5</v>
      </c>
      <c r="G234" s="329">
        <v>1</v>
      </c>
      <c r="H234" s="328">
        <v>0</v>
      </c>
      <c r="I234" s="328">
        <v>0</v>
      </c>
      <c r="J234" s="328">
        <v>0</v>
      </c>
      <c r="K234" s="328">
        <v>0</v>
      </c>
      <c r="L234" s="328">
        <v>0</v>
      </c>
      <c r="M234" s="328">
        <v>0</v>
      </c>
      <c r="N234" s="328">
        <v>0</v>
      </c>
      <c r="O234" s="328">
        <v>0</v>
      </c>
      <c r="P234" s="300"/>
      <c r="Q234" s="284">
        <f t="shared" si="4"/>
        <v>0</v>
      </c>
      <c r="R234" s="3" t="str">
        <f>_xlfn.IFNA(VLOOKUP(Tabella1[[#This Row],[Nome]],'ROSE SQUADRE'!$N$3:$O$253,2,0),"")</f>
        <v/>
      </c>
      <c r="S234" s="312">
        <f>Tabella1[[#This Row],[Gf]]+Tabella1[[#This Row],[Rf]]</f>
        <v>1</v>
      </c>
      <c r="T234" s="193"/>
      <c r="U234" s="285" t="str">
        <f>IF(Tabella1[[#This Row],[N° FantaTit]]=1,Tabella1[[#This Row],[Voto]],"")</f>
        <v/>
      </c>
      <c r="V23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9.5</v>
      </c>
      <c r="W234" s="195"/>
      <c r="X234" s="193" t="str">
        <f>IF(Tabella1[[#This Row],[Best 11]]=1,Tabella1[[#This Row],[fanta voto]],"")</f>
        <v/>
      </c>
      <c r="Z234" s="193" t="str">
        <f>IF(Tabella1[[#This Row],[Best 11 MOD]]=1,Tabella1[[#This Row],[fanta voto]],"")</f>
        <v/>
      </c>
      <c r="AA234" t="str">
        <f>CONCATENATE(Tabella1[[#This Row],[GG]],Tabella1[[#This Row],[Nome]])</f>
        <v>1Pisilli</v>
      </c>
      <c r="AC234" t="str">
        <f>_xlfn.CONCAT(Tabella1[[#This Row],[Ruolo]],Tabella1[[#This Row],[Gs]])</f>
        <v>C0</v>
      </c>
    </row>
    <row r="235" spans="1:29" hidden="1" x14ac:dyDescent="0.3">
      <c r="A235" s="286">
        <v>46254</v>
      </c>
      <c r="B235" s="15">
        <v>1</v>
      </c>
      <c r="C235" s="283" t="s">
        <v>894</v>
      </c>
      <c r="D235" t="s">
        <v>162</v>
      </c>
      <c r="E235" t="s">
        <v>904</v>
      </c>
      <c r="F235" s="194">
        <v>6.5</v>
      </c>
      <c r="G235" s="328">
        <v>0</v>
      </c>
      <c r="H235" s="328">
        <v>0</v>
      </c>
      <c r="I235" s="328">
        <v>0</v>
      </c>
      <c r="J235" s="328">
        <v>0</v>
      </c>
      <c r="K235" s="328">
        <v>0</v>
      </c>
      <c r="L235" s="328">
        <v>0</v>
      </c>
      <c r="M235" s="328">
        <v>0</v>
      </c>
      <c r="N235" s="328">
        <v>0</v>
      </c>
      <c r="O235" s="328">
        <v>0</v>
      </c>
      <c r="P235" s="300"/>
      <c r="Q235" s="284">
        <f t="shared" si="4"/>
        <v>0</v>
      </c>
      <c r="R235" s="3" t="str">
        <f>_xlfn.IFNA(VLOOKUP(Tabella1[[#This Row],[Nome]],'ROSE SQUADRE'!$N$3:$O$253,2,0),"")</f>
        <v>SESTO ASENSIO</v>
      </c>
      <c r="S235" s="312">
        <f>Tabella1[[#This Row],[Gf]]+Tabella1[[#This Row],[Rf]]</f>
        <v>0</v>
      </c>
      <c r="T235" s="193"/>
      <c r="U235" s="285" t="str">
        <f>IF(Tabella1[[#This Row],[N° FantaTit]]=1,Tabella1[[#This Row],[Voto]],"")</f>
        <v/>
      </c>
      <c r="V23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35" s="195"/>
      <c r="X235" s="193" t="str">
        <f>IF(Tabella1[[#This Row],[Best 11]]=1,Tabella1[[#This Row],[fanta voto]],"")</f>
        <v/>
      </c>
      <c r="Z235" s="193" t="str">
        <f>IF(Tabella1[[#This Row],[Best 11 MOD]]=1,Tabella1[[#This Row],[fanta voto]],"")</f>
        <v/>
      </c>
      <c r="AA235" t="str">
        <f>CONCATENATE(Tabella1[[#This Row],[GG]],Tabella1[[#This Row],[Nome]])</f>
        <v>1Mora</v>
      </c>
      <c r="AC235" t="str">
        <f>_xlfn.CONCAT(Tabella1[[#This Row],[Ruolo]],Tabella1[[#This Row],[Gs]])</f>
        <v>C0</v>
      </c>
    </row>
    <row r="236" spans="1:29" hidden="1" x14ac:dyDescent="0.3">
      <c r="A236" s="286">
        <v>46254</v>
      </c>
      <c r="B236" s="15">
        <v>1</v>
      </c>
      <c r="C236" s="283" t="s">
        <v>894</v>
      </c>
      <c r="D236" s="330" t="s">
        <v>163</v>
      </c>
      <c r="E236" s="330" t="s">
        <v>256</v>
      </c>
      <c r="F236" s="331">
        <v>8</v>
      </c>
      <c r="G236" s="332">
        <v>0</v>
      </c>
      <c r="H236" s="332">
        <v>0</v>
      </c>
      <c r="I236" s="332">
        <v>0</v>
      </c>
      <c r="J236" s="332">
        <v>0</v>
      </c>
      <c r="K236" s="332">
        <v>0</v>
      </c>
      <c r="L236" s="332">
        <v>0</v>
      </c>
      <c r="M236" s="332">
        <v>0</v>
      </c>
      <c r="N236" s="332">
        <v>0</v>
      </c>
      <c r="O236" s="333">
        <v>3</v>
      </c>
      <c r="P236" s="300"/>
      <c r="Q236" s="284">
        <f t="shared" si="4"/>
        <v>0</v>
      </c>
      <c r="R236" s="3" t="str">
        <f>_xlfn.IFNA(VLOOKUP(Tabella1[[#This Row],[Nome]],'ROSE SQUADRE'!$N$3:$O$253,2,0),"")</f>
        <v>FC INTERNAZIOANALE</v>
      </c>
      <c r="S236" s="312">
        <f>Tabella1[[#This Row],[Gf]]+Tabella1[[#This Row],[Rf]]</f>
        <v>0</v>
      </c>
      <c r="T236" s="193"/>
      <c r="U236" s="285" t="str">
        <f>IF(Tabella1[[#This Row],[N° FantaTit]]=1,Tabella1[[#This Row],[Voto]],"")</f>
        <v/>
      </c>
      <c r="V23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11</v>
      </c>
      <c r="W236" s="195"/>
      <c r="X236" s="193" t="str">
        <f>IF(Tabella1[[#This Row],[Best 11]]=1,Tabella1[[#This Row],[fanta voto]],"")</f>
        <v/>
      </c>
      <c r="Z236" s="193" t="str">
        <f>IF(Tabella1[[#This Row],[Best 11 MOD]]=1,Tabella1[[#This Row],[fanta voto]],"")</f>
        <v/>
      </c>
      <c r="AA236" t="str">
        <f>CONCATENATE(Tabella1[[#This Row],[GG]],Tabella1[[#This Row],[Nome]])</f>
        <v>1Dybala</v>
      </c>
      <c r="AC236" t="str">
        <f>_xlfn.CONCAT(Tabella1[[#This Row],[Ruolo]],Tabella1[[#This Row],[Gs]])</f>
        <v>A0</v>
      </c>
    </row>
    <row r="237" spans="1:29" hidden="1" x14ac:dyDescent="0.3">
      <c r="A237" s="286">
        <v>46254</v>
      </c>
      <c r="B237" s="15">
        <v>1</v>
      </c>
      <c r="C237" s="283" t="s">
        <v>894</v>
      </c>
      <c r="D237" t="s">
        <v>163</v>
      </c>
      <c r="E237" t="s">
        <v>906</v>
      </c>
      <c r="F237" s="194">
        <v>8.5</v>
      </c>
      <c r="G237" s="329">
        <v>3</v>
      </c>
      <c r="H237" s="328">
        <v>0</v>
      </c>
      <c r="I237" s="328">
        <v>0</v>
      </c>
      <c r="J237" s="328">
        <v>0</v>
      </c>
      <c r="K237" s="328">
        <v>0</v>
      </c>
      <c r="L237" s="328">
        <v>0</v>
      </c>
      <c r="M237" s="328">
        <v>0</v>
      </c>
      <c r="N237" s="328">
        <v>0</v>
      </c>
      <c r="O237" s="328">
        <v>0</v>
      </c>
      <c r="P237" s="300">
        <v>1</v>
      </c>
      <c r="Q237" s="284">
        <f t="shared" si="4"/>
        <v>0</v>
      </c>
      <c r="R237" s="3" t="str">
        <f>_xlfn.IFNA(VLOOKUP(Tabella1[[#This Row],[Nome]],'ROSE SQUADRE'!$N$3:$O$253,2,0),"")</f>
        <v>AC ASPARAGHESE</v>
      </c>
      <c r="S237" s="312">
        <f>Tabella1[[#This Row],[Gf]]+Tabella1[[#This Row],[Rf]]</f>
        <v>3</v>
      </c>
      <c r="T237" s="193"/>
      <c r="U237" s="285" t="str">
        <f>IF(Tabella1[[#This Row],[N° FantaTit]]=1,Tabella1[[#This Row],[Voto]],"")</f>
        <v/>
      </c>
      <c r="V23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18.5</v>
      </c>
      <c r="W237" s="195"/>
      <c r="X237" s="193" t="str">
        <f>IF(Tabella1[[#This Row],[Best 11]]=1,Tabella1[[#This Row],[fanta voto]],"")</f>
        <v/>
      </c>
      <c r="Z237" s="193" t="str">
        <f>IF(Tabella1[[#This Row],[Best 11 MOD]]=1,Tabella1[[#This Row],[fanta voto]],"")</f>
        <v/>
      </c>
      <c r="AA237" t="str">
        <f>CONCATENATE(Tabella1[[#This Row],[GG]],Tabella1[[#This Row],[Nome]])</f>
        <v>1Malen</v>
      </c>
      <c r="AC237" t="str">
        <f>_xlfn.CONCAT(Tabella1[[#This Row],[Ruolo]],Tabella1[[#This Row],[Gs]])</f>
        <v>A0</v>
      </c>
    </row>
    <row r="238" spans="1:29" hidden="1" x14ac:dyDescent="0.3">
      <c r="A238" s="286">
        <v>46254</v>
      </c>
      <c r="B238" s="15">
        <v>1</v>
      </c>
      <c r="C238" s="283" t="s">
        <v>894</v>
      </c>
      <c r="D238" s="330" t="s">
        <v>163</v>
      </c>
      <c r="E238" s="330" t="s">
        <v>907</v>
      </c>
      <c r="F238" s="331">
        <v>6</v>
      </c>
      <c r="G238" s="332">
        <v>0</v>
      </c>
      <c r="H238" s="332">
        <v>0</v>
      </c>
      <c r="I238" s="332">
        <v>0</v>
      </c>
      <c r="J238" s="332">
        <v>0</v>
      </c>
      <c r="K238" s="332">
        <v>0</v>
      </c>
      <c r="L238" s="332">
        <v>0</v>
      </c>
      <c r="M238" s="332">
        <v>0</v>
      </c>
      <c r="N238" s="332">
        <v>0</v>
      </c>
      <c r="O238" s="332">
        <v>0</v>
      </c>
      <c r="P238" s="300"/>
      <c r="Q238" s="284">
        <f t="shared" si="4"/>
        <v>0</v>
      </c>
      <c r="R238" s="3" t="str">
        <f>_xlfn.IFNA(VLOOKUP(Tabella1[[#This Row],[Nome]],'ROSE SQUADRE'!$N$3:$O$253,2,0),"")</f>
        <v>AC ASPARAGHESE</v>
      </c>
      <c r="S238" s="312">
        <f>Tabella1[[#This Row],[Gf]]+Tabella1[[#This Row],[Rf]]</f>
        <v>0</v>
      </c>
      <c r="T238" s="193"/>
      <c r="U238" s="285" t="str">
        <f>IF(Tabella1[[#This Row],[N° FantaTit]]=1,Tabella1[[#This Row],[Voto]],"")</f>
        <v/>
      </c>
      <c r="V23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38" s="195"/>
      <c r="X238" s="193" t="str">
        <f>IF(Tabella1[[#This Row],[Best 11]]=1,Tabella1[[#This Row],[fanta voto]],"")</f>
        <v/>
      </c>
      <c r="Z238" s="193" t="str">
        <f>IF(Tabella1[[#This Row],[Best 11 MOD]]=1,Tabella1[[#This Row],[fanta voto]],"")</f>
        <v/>
      </c>
      <c r="AA238" t="str">
        <f>CONCATENATE(Tabella1[[#This Row],[GG]],Tabella1[[#This Row],[Nome]])</f>
        <v>1Soulè</v>
      </c>
      <c r="AC238" t="str">
        <f>_xlfn.CONCAT(Tabella1[[#This Row],[Ruolo]],Tabella1[[#This Row],[Gs]])</f>
        <v>A0</v>
      </c>
    </row>
    <row r="239" spans="1:29" hidden="1" x14ac:dyDescent="0.3">
      <c r="A239" s="286">
        <v>46254</v>
      </c>
      <c r="B239" s="15">
        <v>1</v>
      </c>
      <c r="C239" s="283" t="s">
        <v>894</v>
      </c>
      <c r="D239" t="s">
        <v>163</v>
      </c>
      <c r="E239" t="s">
        <v>509</v>
      </c>
      <c r="F239" s="194">
        <v>6</v>
      </c>
      <c r="G239" s="328">
        <v>0</v>
      </c>
      <c r="H239" s="328">
        <v>0</v>
      </c>
      <c r="I239" s="328">
        <v>0</v>
      </c>
      <c r="J239" s="328">
        <v>0</v>
      </c>
      <c r="K239" s="328">
        <v>0</v>
      </c>
      <c r="L239" s="328">
        <v>0</v>
      </c>
      <c r="M239" s="328">
        <v>0</v>
      </c>
      <c r="N239" s="328">
        <v>0</v>
      </c>
      <c r="O239" s="328">
        <v>0</v>
      </c>
      <c r="P239" s="300"/>
      <c r="Q239" s="284">
        <f t="shared" si="4"/>
        <v>0</v>
      </c>
      <c r="R239" s="3" t="str">
        <f>_xlfn.IFNA(VLOOKUP(Tabella1[[#This Row],[Nome]],'ROSE SQUADRE'!$N$3:$O$253,2,0),"")</f>
        <v>SESTO ASENSIO</v>
      </c>
      <c r="S239" s="312">
        <f>Tabella1[[#This Row],[Gf]]+Tabella1[[#This Row],[Rf]]</f>
        <v>0</v>
      </c>
      <c r="T239" s="193"/>
      <c r="U239" s="285" t="str">
        <f>IF(Tabella1[[#This Row],[N° FantaTit]]=1,Tabella1[[#This Row],[Voto]],"")</f>
        <v/>
      </c>
      <c r="V23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39" s="195"/>
      <c r="X239" s="193" t="str">
        <f>IF(Tabella1[[#This Row],[Best 11]]=1,Tabella1[[#This Row],[fanta voto]],"")</f>
        <v/>
      </c>
      <c r="Z239" s="193" t="str">
        <f>IF(Tabella1[[#This Row],[Best 11 MOD]]=1,Tabella1[[#This Row],[fanta voto]],"")</f>
        <v/>
      </c>
      <c r="AA239" t="str">
        <f>CONCATENATE(Tabella1[[#This Row],[GG]],Tabella1[[#This Row],[Nome]])</f>
        <v>1Castro S.</v>
      </c>
      <c r="AC239" t="str">
        <f>_xlfn.CONCAT(Tabella1[[#This Row],[Ruolo]],Tabella1[[#This Row],[Gs]])</f>
        <v>A0</v>
      </c>
    </row>
    <row r="240" spans="1:29" hidden="1" x14ac:dyDescent="0.3">
      <c r="A240" s="286">
        <v>46254</v>
      </c>
      <c r="B240" s="15">
        <v>1</v>
      </c>
      <c r="C240" s="283" t="s">
        <v>910</v>
      </c>
      <c r="D240" t="s">
        <v>5</v>
      </c>
      <c r="E240" t="s">
        <v>909</v>
      </c>
      <c r="F240" s="194">
        <v>6</v>
      </c>
      <c r="G240" s="328">
        <v>0</v>
      </c>
      <c r="H240" s="329">
        <v>2</v>
      </c>
      <c r="I240" s="328">
        <v>0</v>
      </c>
      <c r="J240" s="328">
        <v>0</v>
      </c>
      <c r="K240" s="328">
        <v>0</v>
      </c>
      <c r="L240" s="328">
        <v>0</v>
      </c>
      <c r="M240" s="328">
        <v>0</v>
      </c>
      <c r="N240" s="328">
        <v>0</v>
      </c>
      <c r="O240" s="328">
        <v>0</v>
      </c>
      <c r="P240" s="300"/>
      <c r="Q240" s="284">
        <f t="shared" si="4"/>
        <v>0</v>
      </c>
      <c r="R240" s="3" t="str">
        <f>_xlfn.IFNA(VLOOKUP(Tabella1[[#This Row],[Nome]],'ROSE SQUADRE'!$N$3:$O$253,2,0),"")</f>
        <v>AC ASPARAGHESE</v>
      </c>
      <c r="S240" s="312">
        <f>Tabella1[[#This Row],[Gf]]+Tabella1[[#This Row],[Rf]]</f>
        <v>0</v>
      </c>
      <c r="T240" s="193"/>
      <c r="U240" s="285" t="str">
        <f>IF(Tabella1[[#This Row],[N° FantaTit]]=1,Tabella1[[#This Row],[Voto]],"")</f>
        <v/>
      </c>
      <c r="V24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</v>
      </c>
      <c r="W240" s="195"/>
      <c r="X240" s="193" t="str">
        <f>IF(Tabella1[[#This Row],[Best 11]]=1,Tabella1[[#This Row],[fanta voto]],"")</f>
        <v/>
      </c>
      <c r="Z240" s="193" t="str">
        <f>IF(Tabella1[[#This Row],[Best 11 MOD]]=1,Tabella1[[#This Row],[fanta voto]],"")</f>
        <v/>
      </c>
      <c r="AA240" t="str">
        <f>CONCATENATE(Tabella1[[#This Row],[GG]],Tabella1[[#This Row],[Nome]])</f>
        <v>1Muric</v>
      </c>
      <c r="AC240" t="str">
        <f>_xlfn.CONCAT(Tabella1[[#This Row],[Ruolo]],Tabella1[[#This Row],[Gs]])</f>
        <v>P2</v>
      </c>
    </row>
    <row r="241" spans="1:29" hidden="1" x14ac:dyDescent="0.3">
      <c r="A241" s="286">
        <v>46254</v>
      </c>
      <c r="B241" s="15">
        <v>1</v>
      </c>
      <c r="C241" s="283" t="s">
        <v>910</v>
      </c>
      <c r="D241" s="330" t="s">
        <v>161</v>
      </c>
      <c r="E241" s="330" t="s">
        <v>915</v>
      </c>
      <c r="F241" s="331">
        <v>6</v>
      </c>
      <c r="G241" s="332">
        <v>0</v>
      </c>
      <c r="H241" s="332">
        <v>0</v>
      </c>
      <c r="I241" s="332">
        <v>0</v>
      </c>
      <c r="J241" s="332">
        <v>0</v>
      </c>
      <c r="K241" s="332">
        <v>0</v>
      </c>
      <c r="L241" s="332">
        <v>0</v>
      </c>
      <c r="M241" s="332">
        <v>0</v>
      </c>
      <c r="N241" s="332">
        <v>0</v>
      </c>
      <c r="O241" s="332">
        <v>0</v>
      </c>
      <c r="P241" s="300"/>
      <c r="Q241" s="284">
        <f t="shared" si="4"/>
        <v>0</v>
      </c>
      <c r="R241" s="3" t="str">
        <f>_xlfn.IFNA(VLOOKUP(Tabella1[[#This Row],[Nome]],'ROSE SQUADRE'!$N$3:$O$253,2,0),"")</f>
        <v/>
      </c>
      <c r="S241" s="312">
        <f>Tabella1[[#This Row],[Gf]]+Tabella1[[#This Row],[Rf]]</f>
        <v>0</v>
      </c>
      <c r="T241" s="193"/>
      <c r="U241" s="285" t="str">
        <f>IF(Tabella1[[#This Row],[N° FantaTit]]=1,Tabella1[[#This Row],[Voto]],"")</f>
        <v/>
      </c>
      <c r="V24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41" s="195"/>
      <c r="X241" s="193" t="str">
        <f>IF(Tabella1[[#This Row],[Best 11]]=1,Tabella1[[#This Row],[fanta voto]],"")</f>
        <v/>
      </c>
      <c r="Z241" s="193" t="str">
        <f>IF(Tabella1[[#This Row],[Best 11 MOD]]=1,Tabella1[[#This Row],[fanta voto]],"")</f>
        <v/>
      </c>
      <c r="AA241" t="str">
        <f>CONCATENATE(Tabella1[[#This Row],[GG]],Tabella1[[#This Row],[Nome]])</f>
        <v>1Doig</v>
      </c>
      <c r="AC241" t="str">
        <f>_xlfn.CONCAT(Tabella1[[#This Row],[Ruolo]],Tabella1[[#This Row],[Gs]])</f>
        <v>D0</v>
      </c>
    </row>
    <row r="242" spans="1:29" hidden="1" x14ac:dyDescent="0.3">
      <c r="A242" s="286">
        <v>46254</v>
      </c>
      <c r="B242" s="15">
        <v>1</v>
      </c>
      <c r="C242" s="283" t="s">
        <v>910</v>
      </c>
      <c r="D242" t="s">
        <v>161</v>
      </c>
      <c r="E242" t="s">
        <v>918</v>
      </c>
      <c r="F242" s="194">
        <v>7</v>
      </c>
      <c r="G242" s="329">
        <v>1</v>
      </c>
      <c r="H242" s="328">
        <v>0</v>
      </c>
      <c r="I242" s="328">
        <v>0</v>
      </c>
      <c r="J242" s="328">
        <v>0</v>
      </c>
      <c r="K242" s="328">
        <v>0</v>
      </c>
      <c r="L242" s="328">
        <v>0</v>
      </c>
      <c r="M242" s="328">
        <v>0</v>
      </c>
      <c r="N242" s="328">
        <v>0</v>
      </c>
      <c r="O242" s="328">
        <v>0</v>
      </c>
      <c r="P242" s="300"/>
      <c r="Q242" s="284">
        <f t="shared" si="4"/>
        <v>0</v>
      </c>
      <c r="R242" s="3" t="str">
        <f>_xlfn.IFNA(VLOOKUP(Tabella1[[#This Row],[Nome]],'ROSE SQUADRE'!$N$3:$O$253,2,0),"")</f>
        <v>TRICCHETRACHT</v>
      </c>
      <c r="S242" s="312">
        <f>Tabella1[[#This Row],[Gf]]+Tabella1[[#This Row],[Rf]]</f>
        <v>1</v>
      </c>
      <c r="T242" s="193"/>
      <c r="U242" s="285" t="str">
        <f>IF(Tabella1[[#This Row],[N° FantaTit]]=1,Tabella1[[#This Row],[Voto]],"")</f>
        <v/>
      </c>
      <c r="V24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242" s="195"/>
      <c r="X242" s="193" t="str">
        <f>IF(Tabella1[[#This Row],[Best 11]]=1,Tabella1[[#This Row],[fanta voto]],"")</f>
        <v/>
      </c>
      <c r="Z242" s="193" t="str">
        <f>IF(Tabella1[[#This Row],[Best 11 MOD]]=1,Tabella1[[#This Row],[fanta voto]],"")</f>
        <v/>
      </c>
      <c r="AA242" t="str">
        <f>CONCATENATE(Tabella1[[#This Row],[GG]],Tabella1[[#This Row],[Nome]])</f>
        <v>1Odenthal</v>
      </c>
      <c r="AC242" t="str">
        <f>_xlfn.CONCAT(Tabella1[[#This Row],[Ruolo]],Tabella1[[#This Row],[Gs]])</f>
        <v>D0</v>
      </c>
    </row>
    <row r="243" spans="1:29" hidden="1" x14ac:dyDescent="0.3">
      <c r="A243" s="286">
        <v>46254</v>
      </c>
      <c r="B243" s="15">
        <v>1</v>
      </c>
      <c r="C243" s="283" t="s">
        <v>910</v>
      </c>
      <c r="D243" s="330" t="s">
        <v>161</v>
      </c>
      <c r="E243" s="330" t="s">
        <v>995</v>
      </c>
      <c r="F243" s="331">
        <v>5</v>
      </c>
      <c r="G243" s="332">
        <v>0</v>
      </c>
      <c r="H243" s="332">
        <v>0</v>
      </c>
      <c r="I243" s="332">
        <v>0</v>
      </c>
      <c r="J243" s="332">
        <v>0</v>
      </c>
      <c r="K243" s="332">
        <v>0</v>
      </c>
      <c r="L243" s="332">
        <v>0</v>
      </c>
      <c r="M243" s="332">
        <v>0</v>
      </c>
      <c r="N243" s="332">
        <v>0</v>
      </c>
      <c r="O243" s="332">
        <v>0</v>
      </c>
      <c r="P243" s="300"/>
      <c r="Q243" s="284">
        <f t="shared" si="4"/>
        <v>0</v>
      </c>
      <c r="R243" s="3" t="str">
        <f>_xlfn.IFNA(VLOOKUP(Tabella1[[#This Row],[Nome]],'ROSE SQUADRE'!$N$3:$O$253,2,0),"")</f>
        <v/>
      </c>
      <c r="S243" s="312">
        <f>Tabella1[[#This Row],[Gf]]+Tabella1[[#This Row],[Rf]]</f>
        <v>0</v>
      </c>
      <c r="T243" s="193"/>
      <c r="U243" s="285" t="str">
        <f>IF(Tabella1[[#This Row],[N° FantaTit]]=1,Tabella1[[#This Row],[Voto]],"")</f>
        <v/>
      </c>
      <c r="V24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243" s="195"/>
      <c r="X243" s="193" t="str">
        <f>IF(Tabella1[[#This Row],[Best 11]]=1,Tabella1[[#This Row],[fanta voto]],"")</f>
        <v/>
      </c>
      <c r="Z243" s="193" t="str">
        <f>IF(Tabella1[[#This Row],[Best 11 MOD]]=1,Tabella1[[#This Row],[fanta voto]],"")</f>
        <v/>
      </c>
      <c r="AA243" t="str">
        <f>CONCATENATE(Tabella1[[#This Row],[GG]],Tabella1[[#This Row],[Nome]])</f>
        <v>1Macchioni</v>
      </c>
      <c r="AC243" t="str">
        <f>_xlfn.CONCAT(Tabella1[[#This Row],[Ruolo]],Tabella1[[#This Row],[Gs]])</f>
        <v>D0</v>
      </c>
    </row>
    <row r="244" spans="1:29" hidden="1" x14ac:dyDescent="0.3">
      <c r="A244" s="286">
        <v>46254</v>
      </c>
      <c r="B244" s="15">
        <v>1</v>
      </c>
      <c r="C244" s="283" t="s">
        <v>910</v>
      </c>
      <c r="D244" t="s">
        <v>161</v>
      </c>
      <c r="E244" t="s">
        <v>996</v>
      </c>
      <c r="F244" s="194">
        <v>5.5</v>
      </c>
      <c r="G244" s="328">
        <v>0</v>
      </c>
      <c r="H244" s="328">
        <v>0</v>
      </c>
      <c r="I244" s="328">
        <v>0</v>
      </c>
      <c r="J244" s="328">
        <v>0</v>
      </c>
      <c r="K244" s="328">
        <v>0</v>
      </c>
      <c r="L244" s="328">
        <v>0</v>
      </c>
      <c r="M244" s="328">
        <v>0</v>
      </c>
      <c r="N244" s="328">
        <v>0</v>
      </c>
      <c r="O244" s="328">
        <v>0</v>
      </c>
      <c r="P244" s="300"/>
      <c r="Q244" s="284">
        <f t="shared" si="4"/>
        <v>0</v>
      </c>
      <c r="R244" s="3" t="str">
        <f>_xlfn.IFNA(VLOOKUP(Tabella1[[#This Row],[Nome]],'ROSE SQUADRE'!$N$3:$O$253,2,0),"")</f>
        <v>SAN GRIA</v>
      </c>
      <c r="S244" s="312">
        <f>Tabella1[[#This Row],[Gf]]+Tabella1[[#This Row],[Rf]]</f>
        <v>0</v>
      </c>
      <c r="T244" s="193"/>
      <c r="U244" s="285" t="str">
        <f>IF(Tabella1[[#This Row],[N° FantaTit]]=1,Tabella1[[#This Row],[Voto]],"")</f>
        <v/>
      </c>
      <c r="V24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44" s="195"/>
      <c r="X244" s="193" t="str">
        <f>IF(Tabella1[[#This Row],[Best 11]]=1,Tabella1[[#This Row],[fanta voto]],"")</f>
        <v/>
      </c>
      <c r="Z244" s="193" t="str">
        <f>IF(Tabella1[[#This Row],[Best 11 MOD]]=1,Tabella1[[#This Row],[fanta voto]],"")</f>
        <v/>
      </c>
      <c r="AA244" t="str">
        <f>CONCATENATE(Tabella1[[#This Row],[GG]],Tabella1[[#This Row],[Nome]])</f>
        <v>1Leysen F.</v>
      </c>
      <c r="AC244" t="str">
        <f>_xlfn.CONCAT(Tabella1[[#This Row],[Ruolo]],Tabella1[[#This Row],[Gs]])</f>
        <v>D0</v>
      </c>
    </row>
    <row r="245" spans="1:29" hidden="1" x14ac:dyDescent="0.3">
      <c r="A245" s="286">
        <v>46254</v>
      </c>
      <c r="B245" s="15">
        <v>1</v>
      </c>
      <c r="C245" s="283" t="s">
        <v>910</v>
      </c>
      <c r="D245" s="330" t="s">
        <v>161</v>
      </c>
      <c r="E245" s="330" t="s">
        <v>997</v>
      </c>
      <c r="F245" s="331">
        <v>5.5</v>
      </c>
      <c r="G245" s="332">
        <v>0</v>
      </c>
      <c r="H245" s="332">
        <v>0</v>
      </c>
      <c r="I245" s="332">
        <v>0</v>
      </c>
      <c r="J245" s="332">
        <v>0</v>
      </c>
      <c r="K245" s="332">
        <v>0</v>
      </c>
      <c r="L245" s="332">
        <v>0</v>
      </c>
      <c r="M245" s="332">
        <v>0</v>
      </c>
      <c r="N245" s="332">
        <v>0</v>
      </c>
      <c r="O245" s="332">
        <v>0</v>
      </c>
      <c r="P245" s="300"/>
      <c r="Q245" s="284">
        <f t="shared" si="4"/>
        <v>0</v>
      </c>
      <c r="R245" s="3" t="str">
        <f>_xlfn.IFNA(VLOOKUP(Tabella1[[#This Row],[Nome]],'ROSE SQUADRE'!$N$3:$O$253,2,0),"")</f>
        <v/>
      </c>
      <c r="S245" s="312">
        <f>Tabella1[[#This Row],[Gf]]+Tabella1[[#This Row],[Rf]]</f>
        <v>0</v>
      </c>
      <c r="T245" s="193"/>
      <c r="U245" s="285" t="str">
        <f>IF(Tabella1[[#This Row],[N° FantaTit]]=1,Tabella1[[#This Row],[Voto]],"")</f>
        <v/>
      </c>
      <c r="V24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45" s="195"/>
      <c r="X245" s="193" t="str">
        <f>IF(Tabella1[[#This Row],[Best 11]]=1,Tabella1[[#This Row],[fanta voto]],"")</f>
        <v/>
      </c>
      <c r="Z245" s="193" t="str">
        <f>IF(Tabella1[[#This Row],[Best 11 MOD]]=1,Tabella1[[#This Row],[fanta voto]],"")</f>
        <v/>
      </c>
      <c r="AA245" t="str">
        <f>CONCATENATE(Tabella1[[#This Row],[GG]],Tabella1[[#This Row],[Nome]])</f>
        <v>1Cinquegrano</v>
      </c>
      <c r="AC245" t="str">
        <f>_xlfn.CONCAT(Tabella1[[#This Row],[Ruolo]],Tabella1[[#This Row],[Gs]])</f>
        <v>D0</v>
      </c>
    </row>
    <row r="246" spans="1:29" hidden="1" x14ac:dyDescent="0.3">
      <c r="A246" s="286">
        <v>46254</v>
      </c>
      <c r="B246" s="15">
        <v>1</v>
      </c>
      <c r="C246" s="283" t="s">
        <v>910</v>
      </c>
      <c r="D246" t="s">
        <v>162</v>
      </c>
      <c r="E246" t="s">
        <v>927</v>
      </c>
      <c r="F246" s="194">
        <v>6.5</v>
      </c>
      <c r="G246" s="328">
        <v>0</v>
      </c>
      <c r="H246" s="328">
        <v>0</v>
      </c>
      <c r="I246" s="328">
        <v>0</v>
      </c>
      <c r="J246" s="328">
        <v>0</v>
      </c>
      <c r="K246" s="328">
        <v>0</v>
      </c>
      <c r="L246" s="328">
        <v>0</v>
      </c>
      <c r="M246" s="328">
        <v>0</v>
      </c>
      <c r="N246" s="328">
        <v>0</v>
      </c>
      <c r="O246" s="328">
        <v>0</v>
      </c>
      <c r="P246" s="300"/>
      <c r="Q246" s="284">
        <f t="shared" si="4"/>
        <v>0</v>
      </c>
      <c r="R246" s="3" t="str">
        <f>_xlfn.IFNA(VLOOKUP(Tabella1[[#This Row],[Nome]],'ROSE SQUADRE'!$N$3:$O$253,2,0),"")</f>
        <v/>
      </c>
      <c r="S246" s="312">
        <f>Tabella1[[#This Row],[Gf]]+Tabella1[[#This Row],[Rf]]</f>
        <v>0</v>
      </c>
      <c r="T246" s="193"/>
      <c r="U246" s="285" t="str">
        <f>IF(Tabella1[[#This Row],[N° FantaTit]]=1,Tabella1[[#This Row],[Voto]],"")</f>
        <v/>
      </c>
      <c r="V24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46" s="195"/>
      <c r="X246" s="193" t="str">
        <f>IF(Tabella1[[#This Row],[Best 11]]=1,Tabella1[[#This Row],[fanta voto]],"")</f>
        <v/>
      </c>
      <c r="Z246" s="193" t="str">
        <f>IF(Tabella1[[#This Row],[Best 11 MOD]]=1,Tabella1[[#This Row],[fanta voto]],"")</f>
        <v/>
      </c>
      <c r="AA246" t="str">
        <f>CONCATENATE(Tabella1[[#This Row],[GG]],Tabella1[[#This Row],[Nome]])</f>
        <v>1Matic</v>
      </c>
      <c r="AC246" t="str">
        <f>_xlfn.CONCAT(Tabella1[[#This Row],[Ruolo]],Tabella1[[#This Row],[Gs]])</f>
        <v>C0</v>
      </c>
    </row>
    <row r="247" spans="1:29" hidden="1" x14ac:dyDescent="0.3">
      <c r="A247" s="286">
        <v>46254</v>
      </c>
      <c r="B247" s="15">
        <v>1</v>
      </c>
      <c r="C247" s="283" t="s">
        <v>910</v>
      </c>
      <c r="D247" t="s">
        <v>162</v>
      </c>
      <c r="E247" t="s">
        <v>929</v>
      </c>
      <c r="F247" s="194">
        <v>6.5</v>
      </c>
      <c r="G247" s="328">
        <v>0</v>
      </c>
      <c r="H247" s="328">
        <v>0</v>
      </c>
      <c r="I247" s="328">
        <v>0</v>
      </c>
      <c r="J247" s="328">
        <v>0</v>
      </c>
      <c r="K247" s="328">
        <v>0</v>
      </c>
      <c r="L247" s="328">
        <v>0</v>
      </c>
      <c r="M247" s="328">
        <v>0</v>
      </c>
      <c r="N247" s="328">
        <v>0</v>
      </c>
      <c r="O247" s="328">
        <v>0</v>
      </c>
      <c r="P247" s="300"/>
      <c r="Q247" s="284">
        <f t="shared" si="4"/>
        <v>0</v>
      </c>
      <c r="R247" s="3" t="str">
        <f>_xlfn.IFNA(VLOOKUP(Tabella1[[#This Row],[Nome]],'ROSE SQUADRE'!$N$3:$O$253,2,0),"")</f>
        <v>TRICCHETRACHT</v>
      </c>
      <c r="S247" s="312">
        <f>Tabella1[[#This Row],[Gf]]+Tabella1[[#This Row],[Rf]]</f>
        <v>0</v>
      </c>
      <c r="T247" s="193"/>
      <c r="U247" s="285" t="str">
        <f>IF(Tabella1[[#This Row],[N° FantaTit]]=1,Tabella1[[#This Row],[Voto]],"")</f>
        <v/>
      </c>
      <c r="V24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47" s="195"/>
      <c r="X247" s="193" t="str">
        <f>IF(Tabella1[[#This Row],[Best 11]]=1,Tabella1[[#This Row],[fanta voto]],"")</f>
        <v/>
      </c>
      <c r="Z247" s="193" t="str">
        <f>IF(Tabella1[[#This Row],[Best 11 MOD]]=1,Tabella1[[#This Row],[fanta voto]],"")</f>
        <v/>
      </c>
      <c r="AA247" t="str">
        <f>CONCATENATE(Tabella1[[#This Row],[GG]],Tabella1[[#This Row],[Nome]])</f>
        <v>1Volpato</v>
      </c>
      <c r="AC247" t="str">
        <f>_xlfn.CONCAT(Tabella1[[#This Row],[Ruolo]],Tabella1[[#This Row],[Gs]])</f>
        <v>C0</v>
      </c>
    </row>
    <row r="248" spans="1:29" hidden="1" x14ac:dyDescent="0.3">
      <c r="A248" s="286">
        <v>46254</v>
      </c>
      <c r="B248" s="15">
        <v>1</v>
      </c>
      <c r="C248" s="283" t="s">
        <v>910</v>
      </c>
      <c r="D248" s="330" t="s">
        <v>162</v>
      </c>
      <c r="E248" s="330" t="s">
        <v>928</v>
      </c>
      <c r="F248" s="331">
        <v>6</v>
      </c>
      <c r="G248" s="332">
        <v>0</v>
      </c>
      <c r="H248" s="332">
        <v>0</v>
      </c>
      <c r="I248" s="332">
        <v>0</v>
      </c>
      <c r="J248" s="332">
        <v>0</v>
      </c>
      <c r="K248" s="332">
        <v>0</v>
      </c>
      <c r="L248" s="332">
        <v>0</v>
      </c>
      <c r="M248" s="332">
        <v>0</v>
      </c>
      <c r="N248" s="332">
        <v>0</v>
      </c>
      <c r="O248" s="332">
        <v>0</v>
      </c>
      <c r="P248" s="300"/>
      <c r="Q248" s="284">
        <f t="shared" si="4"/>
        <v>0</v>
      </c>
      <c r="R248" s="3" t="str">
        <f>_xlfn.IFNA(VLOOKUP(Tabella1[[#This Row],[Nome]],'ROSE SQUADRE'!$N$3:$O$253,2,0),"")</f>
        <v>FC INTERNAZIOANALE</v>
      </c>
      <c r="S248" s="312">
        <f>Tabella1[[#This Row],[Gf]]+Tabella1[[#This Row],[Rf]]</f>
        <v>0</v>
      </c>
      <c r="T248" s="193"/>
      <c r="U248" s="285" t="str">
        <f>IF(Tabella1[[#This Row],[N° FantaTit]]=1,Tabella1[[#This Row],[Voto]],"")</f>
        <v/>
      </c>
      <c r="V24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48" s="195"/>
      <c r="X248" s="193" t="str">
        <f>IF(Tabella1[[#This Row],[Best 11]]=1,Tabella1[[#This Row],[fanta voto]],"")</f>
        <v/>
      </c>
      <c r="Z248" s="193" t="str">
        <f>IF(Tabella1[[#This Row],[Best 11 MOD]]=1,Tabella1[[#This Row],[fanta voto]],"")</f>
        <v/>
      </c>
      <c r="AA248" t="str">
        <f>CONCATENATE(Tabella1[[#This Row],[GG]],Tabella1[[#This Row],[Nome]])</f>
        <v>1Thorstvedt</v>
      </c>
      <c r="AC248" t="str">
        <f>_xlfn.CONCAT(Tabella1[[#This Row],[Ruolo]],Tabella1[[#This Row],[Gs]])</f>
        <v>C0</v>
      </c>
    </row>
    <row r="249" spans="1:29" hidden="1" x14ac:dyDescent="0.3">
      <c r="A249" s="286">
        <v>46254</v>
      </c>
      <c r="B249" s="15">
        <v>1</v>
      </c>
      <c r="C249" s="283" t="s">
        <v>910</v>
      </c>
      <c r="D249" t="s">
        <v>162</v>
      </c>
      <c r="E249" t="s">
        <v>920</v>
      </c>
      <c r="F249" s="194">
        <v>5.5</v>
      </c>
      <c r="G249" s="328">
        <v>0</v>
      </c>
      <c r="H249" s="328">
        <v>0</v>
      </c>
      <c r="I249" s="328">
        <v>0</v>
      </c>
      <c r="J249" s="328">
        <v>0</v>
      </c>
      <c r="K249" s="328">
        <v>0</v>
      </c>
      <c r="L249" s="328">
        <v>0</v>
      </c>
      <c r="M249" s="328">
        <v>0</v>
      </c>
      <c r="N249" s="328">
        <v>0</v>
      </c>
      <c r="O249" s="328">
        <v>0</v>
      </c>
      <c r="P249" s="300"/>
      <c r="Q249" s="284">
        <f t="shared" si="4"/>
        <v>0</v>
      </c>
      <c r="R249" s="3" t="str">
        <f>_xlfn.IFNA(VLOOKUP(Tabella1[[#This Row],[Nome]],'ROSE SQUADRE'!$N$3:$O$253,2,0),"")</f>
        <v/>
      </c>
      <c r="S249" s="312">
        <f>Tabella1[[#This Row],[Gf]]+Tabella1[[#This Row],[Rf]]</f>
        <v>0</v>
      </c>
      <c r="T249" s="193"/>
      <c r="U249" s="285" t="str">
        <f>IF(Tabella1[[#This Row],[N° FantaTit]]=1,Tabella1[[#This Row],[Voto]],"")</f>
        <v/>
      </c>
      <c r="V24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49" s="195"/>
      <c r="X249" s="193" t="str">
        <f>IF(Tabella1[[#This Row],[Best 11]]=1,Tabella1[[#This Row],[fanta voto]],"")</f>
        <v/>
      </c>
      <c r="Z249" s="193" t="str">
        <f>IF(Tabella1[[#This Row],[Best 11 MOD]]=1,Tabella1[[#This Row],[fanta voto]],"")</f>
        <v/>
      </c>
      <c r="AA249" t="str">
        <f>CONCATENATE(Tabella1[[#This Row],[GG]],Tabella1[[#This Row],[Nome]])</f>
        <v>1Adzic</v>
      </c>
      <c r="AC249" t="str">
        <f>_xlfn.CONCAT(Tabella1[[#This Row],[Ruolo]],Tabella1[[#This Row],[Gs]])</f>
        <v>C0</v>
      </c>
    </row>
    <row r="250" spans="1:29" hidden="1" x14ac:dyDescent="0.3">
      <c r="A250" s="286">
        <v>46254</v>
      </c>
      <c r="B250" s="15">
        <v>1</v>
      </c>
      <c r="C250" s="283" t="s">
        <v>910</v>
      </c>
      <c r="D250" s="330" t="s">
        <v>162</v>
      </c>
      <c r="E250" s="330" t="s">
        <v>923</v>
      </c>
      <c r="F250" s="331">
        <v>6</v>
      </c>
      <c r="G250" s="332">
        <v>0</v>
      </c>
      <c r="H250" s="332">
        <v>0</v>
      </c>
      <c r="I250" s="332">
        <v>0</v>
      </c>
      <c r="J250" s="332">
        <v>0</v>
      </c>
      <c r="K250" s="332">
        <v>0</v>
      </c>
      <c r="L250" s="332">
        <v>0</v>
      </c>
      <c r="M250" s="332">
        <v>0</v>
      </c>
      <c r="N250" s="332">
        <v>0</v>
      </c>
      <c r="O250" s="332">
        <v>0</v>
      </c>
      <c r="P250" s="300"/>
      <c r="Q250" s="284">
        <f t="shared" si="4"/>
        <v>0</v>
      </c>
      <c r="R250" s="3" t="str">
        <f>_xlfn.IFNA(VLOOKUP(Tabella1[[#This Row],[Nome]],'ROSE SQUADRE'!$N$3:$O$253,2,0),"")</f>
        <v/>
      </c>
      <c r="S250" s="193">
        <f>SUM(Tabella1[[#This Row],[Gf]],Tabella1[[#This Row],[Rf]])</f>
        <v>0</v>
      </c>
      <c r="T250" s="193"/>
      <c r="U250" s="285" t="str">
        <f>IF(Tabella1[[#This Row],[N° FantaTit]]=1,Tabella1[[#This Row],[Voto]],"")</f>
        <v/>
      </c>
      <c r="V25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50" s="195"/>
      <c r="X250" s="193" t="str">
        <f>IF(Tabella1[[#This Row],[Best 11]]=1,Tabella1[[#This Row],[fanta voto]],"")</f>
        <v/>
      </c>
      <c r="Z250" s="193" t="str">
        <f>IF(Tabella1[[#This Row],[Best 11 MOD]]=1,Tabella1[[#This Row],[fanta voto]],"")</f>
        <v/>
      </c>
      <c r="AA250" t="str">
        <f>CONCATENATE(Tabella1[[#This Row],[GG]],Tabella1[[#This Row],[Nome]])</f>
        <v>1Dominguez B.</v>
      </c>
      <c r="AC250" t="str">
        <f>_xlfn.CONCAT(Tabella1[[#This Row],[Ruolo]],Tabella1[[#This Row],[Gs]])</f>
        <v>C0</v>
      </c>
    </row>
    <row r="251" spans="1:29" hidden="1" x14ac:dyDescent="0.3">
      <c r="A251" s="286">
        <v>46254</v>
      </c>
      <c r="B251" s="15">
        <v>1</v>
      </c>
      <c r="C251" s="283" t="s">
        <v>910</v>
      </c>
      <c r="D251" t="s">
        <v>162</v>
      </c>
      <c r="E251" t="s">
        <v>921</v>
      </c>
      <c r="F251" s="194">
        <v>6</v>
      </c>
      <c r="G251" s="328">
        <v>0</v>
      </c>
      <c r="H251" s="328">
        <v>0</v>
      </c>
      <c r="I251" s="328">
        <v>0</v>
      </c>
      <c r="J251" s="328">
        <v>0</v>
      </c>
      <c r="K251" s="328">
        <v>0</v>
      </c>
      <c r="L251" s="328">
        <v>0</v>
      </c>
      <c r="M251" s="328">
        <v>0</v>
      </c>
      <c r="N251" s="328">
        <v>0</v>
      </c>
      <c r="O251" s="328">
        <v>0</v>
      </c>
      <c r="P251" s="300"/>
      <c r="Q251" s="284">
        <f t="shared" ref="Q251:Q280" si="5">IF(AC251="P0",1,0)</f>
        <v>0</v>
      </c>
      <c r="R251" s="3" t="str">
        <f>_xlfn.IFNA(VLOOKUP(Tabella1[[#This Row],[Nome]],'ROSE SQUADRE'!$N$3:$O$253,2,0),"")</f>
        <v/>
      </c>
      <c r="S251" s="193">
        <f>SUM(Tabella1[[#This Row],[Gf]],Tabella1[[#This Row],[Rf]])</f>
        <v>0</v>
      </c>
      <c r="T251" s="193"/>
      <c r="U251" s="285" t="str">
        <f>IF(Tabella1[[#This Row],[N° FantaTit]]=1,Tabella1[[#This Row],[Voto]],"")</f>
        <v/>
      </c>
      <c r="V25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51" s="195"/>
      <c r="X251" s="193" t="str">
        <f>IF(Tabella1[[#This Row],[Best 11]]=1,Tabella1[[#This Row],[fanta voto]],"")</f>
        <v/>
      </c>
      <c r="Z251" s="193" t="str">
        <f>IF(Tabella1[[#This Row],[Best 11 MOD]]=1,Tabella1[[#This Row],[fanta voto]],"")</f>
        <v/>
      </c>
      <c r="AA251" t="str">
        <f>CONCATENATE(Tabella1[[#This Row],[GG]],Tabella1[[#This Row],[Nome]])</f>
        <v>1Bakola</v>
      </c>
      <c r="AC251" t="str">
        <f>_xlfn.CONCAT(Tabella1[[#This Row],[Ruolo]],Tabella1[[#This Row],[Gs]])</f>
        <v>C0</v>
      </c>
    </row>
    <row r="252" spans="1:29" hidden="1" x14ac:dyDescent="0.3">
      <c r="A252" s="286">
        <v>46254</v>
      </c>
      <c r="B252" s="15">
        <v>1</v>
      </c>
      <c r="C252" s="283" t="s">
        <v>910</v>
      </c>
      <c r="D252" s="330" t="s">
        <v>163</v>
      </c>
      <c r="E252" s="330" t="s">
        <v>932</v>
      </c>
      <c r="F252" s="331">
        <v>6</v>
      </c>
      <c r="G252" s="332">
        <v>0</v>
      </c>
      <c r="H252" s="332">
        <v>0</v>
      </c>
      <c r="I252" s="332">
        <v>0</v>
      </c>
      <c r="J252" s="332">
        <v>0</v>
      </c>
      <c r="K252" s="332">
        <v>0</v>
      </c>
      <c r="L252" s="332">
        <v>0</v>
      </c>
      <c r="M252" s="332">
        <v>0</v>
      </c>
      <c r="N252" s="332">
        <v>0</v>
      </c>
      <c r="O252" s="332">
        <v>0</v>
      </c>
      <c r="P252" s="300"/>
      <c r="Q252" s="284">
        <f t="shared" si="5"/>
        <v>0</v>
      </c>
      <c r="R252" s="3" t="str">
        <f>_xlfn.IFNA(VLOOKUP(Tabella1[[#This Row],[Nome]],'ROSE SQUADRE'!$N$3:$O$253,2,0),"")</f>
        <v>SESTO ASENSIO</v>
      </c>
      <c r="S252" s="193">
        <f>SUM(Tabella1[[#This Row],[Gf]],Tabella1[[#This Row],[Rf]])</f>
        <v>0</v>
      </c>
      <c r="T252" s="193"/>
      <c r="U252" s="285" t="str">
        <f>IF(Tabella1[[#This Row],[N° FantaTit]]=1,Tabella1[[#This Row],[Voto]],"")</f>
        <v/>
      </c>
      <c r="V25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52" s="195"/>
      <c r="X252" s="193" t="str">
        <f>IF(Tabella1[[#This Row],[Best 11]]=1,Tabella1[[#This Row],[fanta voto]],"")</f>
        <v/>
      </c>
      <c r="Z252" s="193" t="str">
        <f>IF(Tabella1[[#This Row],[Best 11 MOD]]=1,Tabella1[[#This Row],[fanta voto]],"")</f>
        <v/>
      </c>
      <c r="AA252" t="str">
        <f>CONCATENATE(Tabella1[[#This Row],[GG]],Tabella1[[#This Row],[Nome]])</f>
        <v>1Laurientè</v>
      </c>
      <c r="AC252" t="str">
        <f>_xlfn.CONCAT(Tabella1[[#This Row],[Ruolo]],Tabella1[[#This Row],[Gs]])</f>
        <v>A0</v>
      </c>
    </row>
    <row r="253" spans="1:29" hidden="1" x14ac:dyDescent="0.3">
      <c r="A253" s="286">
        <v>46254</v>
      </c>
      <c r="B253" s="15">
        <v>1</v>
      </c>
      <c r="C253" s="283" t="s">
        <v>910</v>
      </c>
      <c r="D253" t="s">
        <v>163</v>
      </c>
      <c r="E253" t="s">
        <v>931</v>
      </c>
      <c r="F253" s="194">
        <v>5.5</v>
      </c>
      <c r="G253" s="328">
        <v>0</v>
      </c>
      <c r="H253" s="328">
        <v>0</v>
      </c>
      <c r="I253" s="328">
        <v>0</v>
      </c>
      <c r="J253" s="328">
        <v>0</v>
      </c>
      <c r="K253" s="328">
        <v>0</v>
      </c>
      <c r="L253" s="328">
        <v>0</v>
      </c>
      <c r="M253" s="328">
        <v>0</v>
      </c>
      <c r="N253" s="328">
        <v>0</v>
      </c>
      <c r="O253" s="328">
        <v>0</v>
      </c>
      <c r="P253" s="300"/>
      <c r="Q253" s="284">
        <f t="shared" si="5"/>
        <v>0</v>
      </c>
      <c r="R253" s="3" t="str">
        <f>_xlfn.IFNA(VLOOKUP(Tabella1[[#This Row],[Nome]],'ROSE SQUADRE'!$N$3:$O$253,2,0),"")</f>
        <v>FC INTERNAZIOANALE</v>
      </c>
      <c r="S253" s="193">
        <f>SUM(Tabella1[[#This Row],[Gf]],Tabella1[[#This Row],[Rf]])</f>
        <v>0</v>
      </c>
      <c r="T253" s="193"/>
      <c r="U253" s="285" t="str">
        <f>IF(Tabella1[[#This Row],[N° FantaTit]]=1,Tabella1[[#This Row],[Voto]],"")</f>
        <v/>
      </c>
      <c r="V25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53" s="195"/>
      <c r="X253" s="193" t="str">
        <f>IF(Tabella1[[#This Row],[Best 11]]=1,Tabella1[[#This Row],[fanta voto]],"")</f>
        <v/>
      </c>
      <c r="Z253" s="193" t="str">
        <f>IF(Tabella1[[#This Row],[Best 11 MOD]]=1,Tabella1[[#This Row],[fanta voto]],"")</f>
        <v/>
      </c>
      <c r="AA253" t="str">
        <f>CONCATENATE(Tabella1[[#This Row],[GG]],Tabella1[[#This Row],[Nome]])</f>
        <v>1Bowie</v>
      </c>
      <c r="AC253" t="str">
        <f>_xlfn.CONCAT(Tabella1[[#This Row],[Ruolo]],Tabella1[[#This Row],[Gs]])</f>
        <v>A0</v>
      </c>
    </row>
    <row r="254" spans="1:29" hidden="1" x14ac:dyDescent="0.3">
      <c r="A254" s="286">
        <v>46254</v>
      </c>
      <c r="B254" s="15">
        <v>1</v>
      </c>
      <c r="C254" s="283" t="s">
        <v>934</v>
      </c>
      <c r="D254" s="330" t="s">
        <v>5</v>
      </c>
      <c r="E254" s="330" t="s">
        <v>933</v>
      </c>
      <c r="F254" s="331">
        <v>6</v>
      </c>
      <c r="G254" s="332">
        <v>0</v>
      </c>
      <c r="H254" s="333">
        <v>2</v>
      </c>
      <c r="I254" s="332">
        <v>0</v>
      </c>
      <c r="J254" s="332">
        <v>0</v>
      </c>
      <c r="K254" s="332">
        <v>0</v>
      </c>
      <c r="L254" s="332">
        <v>0</v>
      </c>
      <c r="M254" s="332">
        <v>0</v>
      </c>
      <c r="N254" s="332">
        <v>0</v>
      </c>
      <c r="O254" s="332">
        <v>0</v>
      </c>
      <c r="P254" s="300"/>
      <c r="Q254" s="284">
        <f t="shared" si="5"/>
        <v>0</v>
      </c>
      <c r="R254" s="3" t="str">
        <f>_xlfn.IFNA(VLOOKUP(Tabella1[[#This Row],[Nome]],'ROSE SQUADRE'!$N$3:$O$253,2,0),"")</f>
        <v/>
      </c>
      <c r="S254" s="193">
        <f>SUM(Tabella1[[#This Row],[Gf]],Tabella1[[#This Row],[Rf]])</f>
        <v>0</v>
      </c>
      <c r="T254" s="193"/>
      <c r="U254" s="285" t="str">
        <f>IF(Tabella1[[#This Row],[N° FantaTit]]=1,Tabella1[[#This Row],[Voto]],"")</f>
        <v/>
      </c>
      <c r="V25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</v>
      </c>
      <c r="W254" s="195"/>
      <c r="X254" s="193" t="str">
        <f>IF(Tabella1[[#This Row],[Best 11]]=1,Tabella1[[#This Row],[fanta voto]],"")</f>
        <v/>
      </c>
      <c r="Z254" s="193" t="str">
        <f>IF(Tabella1[[#This Row],[Best 11 MOD]]=1,Tabella1[[#This Row],[fanta voto]],"")</f>
        <v/>
      </c>
      <c r="AA254" t="str">
        <f>CONCATENATE(Tabella1[[#This Row],[GG]],Tabella1[[#This Row],[Nome]])</f>
        <v>1Mascardi</v>
      </c>
      <c r="AC254" t="str">
        <f>_xlfn.CONCAT(Tabella1[[#This Row],[Ruolo]],Tabella1[[#This Row],[Gs]])</f>
        <v>P2</v>
      </c>
    </row>
    <row r="255" spans="1:29" hidden="1" x14ac:dyDescent="0.3">
      <c r="A255" s="286">
        <v>46254</v>
      </c>
      <c r="B255" s="15">
        <v>1</v>
      </c>
      <c r="C255" s="283" t="s">
        <v>934</v>
      </c>
      <c r="D255" t="s">
        <v>161</v>
      </c>
      <c r="E255" t="s">
        <v>214</v>
      </c>
      <c r="F255" s="194">
        <v>6</v>
      </c>
      <c r="G255" s="328">
        <v>0</v>
      </c>
      <c r="H255" s="328">
        <v>0</v>
      </c>
      <c r="I255" s="328">
        <v>0</v>
      </c>
      <c r="J255" s="328">
        <v>0</v>
      </c>
      <c r="K255" s="328">
        <v>0</v>
      </c>
      <c r="L255" s="328">
        <v>0</v>
      </c>
      <c r="M255" s="328">
        <v>0</v>
      </c>
      <c r="N255" s="328">
        <v>0</v>
      </c>
      <c r="O255" s="328">
        <v>0</v>
      </c>
      <c r="P255" s="300"/>
      <c r="Q255" s="284">
        <f t="shared" si="5"/>
        <v>0</v>
      </c>
      <c r="R255" s="3" t="str">
        <f>_xlfn.IFNA(VLOOKUP(Tabella1[[#This Row],[Nome]],'ROSE SQUADRE'!$N$3:$O$253,2,0),"")</f>
        <v/>
      </c>
      <c r="S255" s="193">
        <f>SUM(Tabella1[[#This Row],[Gf]],Tabella1[[#This Row],[Rf]])</f>
        <v>0</v>
      </c>
      <c r="T255" s="193"/>
      <c r="U255" s="285" t="str">
        <f>IF(Tabella1[[#This Row],[N° FantaTit]]=1,Tabella1[[#This Row],[Voto]],"")</f>
        <v/>
      </c>
      <c r="V25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55" s="195"/>
      <c r="X255" s="193" t="str">
        <f>IF(Tabella1[[#This Row],[Best 11]]=1,Tabella1[[#This Row],[fanta voto]],"")</f>
        <v/>
      </c>
      <c r="Z255" s="193" t="str">
        <f>IF(Tabella1[[#This Row],[Best 11 MOD]]=1,Tabella1[[#This Row],[fanta voto]],"")</f>
        <v/>
      </c>
      <c r="AA255" t="str">
        <f>CONCATENATE(Tabella1[[#This Row],[GG]],Tabella1[[#This Row],[Nome]])</f>
        <v>1Ismajli</v>
      </c>
      <c r="AC255" t="str">
        <f>_xlfn.CONCAT(Tabella1[[#This Row],[Ruolo]],Tabella1[[#This Row],[Gs]])</f>
        <v>D0</v>
      </c>
    </row>
    <row r="256" spans="1:29" hidden="1" x14ac:dyDescent="0.3">
      <c r="A256" s="286">
        <v>46254</v>
      </c>
      <c r="B256" s="15">
        <v>1</v>
      </c>
      <c r="C256" s="283" t="s">
        <v>934</v>
      </c>
      <c r="D256" s="330" t="s">
        <v>161</v>
      </c>
      <c r="E256" s="330" t="s">
        <v>939</v>
      </c>
      <c r="F256" s="331">
        <v>6</v>
      </c>
      <c r="G256" s="332">
        <v>0</v>
      </c>
      <c r="H256" s="332">
        <v>0</v>
      </c>
      <c r="I256" s="332">
        <v>0</v>
      </c>
      <c r="J256" s="332">
        <v>0</v>
      </c>
      <c r="K256" s="332">
        <v>0</v>
      </c>
      <c r="L256" s="332">
        <v>0</v>
      </c>
      <c r="M256" s="332">
        <v>0</v>
      </c>
      <c r="N256" s="332">
        <v>0</v>
      </c>
      <c r="O256" s="332">
        <v>0</v>
      </c>
      <c r="P256" s="300"/>
      <c r="Q256" s="284">
        <f t="shared" si="5"/>
        <v>0</v>
      </c>
      <c r="R256" s="3" t="str">
        <f>_xlfn.IFNA(VLOOKUP(Tabella1[[#This Row],[Nome]],'ROSE SQUADRE'!$N$3:$O$253,2,0),"")</f>
        <v/>
      </c>
      <c r="S256" s="193">
        <f>SUM(Tabella1[[#This Row],[Gf]],Tabella1[[#This Row],[Rf]])</f>
        <v>0</v>
      </c>
      <c r="T256" s="193"/>
      <c r="U256" s="285" t="str">
        <f>IF(Tabella1[[#This Row],[N° FantaTit]]=1,Tabella1[[#This Row],[Voto]],"")</f>
        <v/>
      </c>
      <c r="V25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56" s="195"/>
      <c r="X256" s="193" t="str">
        <f>IF(Tabella1[[#This Row],[Best 11]]=1,Tabella1[[#This Row],[fanta voto]],"")</f>
        <v/>
      </c>
      <c r="Z256" s="193" t="str">
        <f>IF(Tabella1[[#This Row],[Best 11 MOD]]=1,Tabella1[[#This Row],[fanta voto]],"")</f>
        <v/>
      </c>
      <c r="AA256" t="str">
        <f>CONCATENATE(Tabella1[[#This Row],[GG]],Tabella1[[#This Row],[Nome]])</f>
        <v>1Pedersen</v>
      </c>
      <c r="AC256" t="str">
        <f>_xlfn.CONCAT(Tabella1[[#This Row],[Ruolo]],Tabella1[[#This Row],[Gs]])</f>
        <v>D0</v>
      </c>
    </row>
    <row r="257" spans="1:29" hidden="1" x14ac:dyDescent="0.3">
      <c r="A257" s="286">
        <v>46254</v>
      </c>
      <c r="B257" s="15">
        <v>1</v>
      </c>
      <c r="C257" s="283" t="s">
        <v>934</v>
      </c>
      <c r="D257" t="s">
        <v>161</v>
      </c>
      <c r="E257" t="s">
        <v>526</v>
      </c>
      <c r="F257" s="194">
        <v>6</v>
      </c>
      <c r="G257" s="328">
        <v>0</v>
      </c>
      <c r="H257" s="328">
        <v>0</v>
      </c>
      <c r="I257" s="328">
        <v>0</v>
      </c>
      <c r="J257" s="328">
        <v>0</v>
      </c>
      <c r="K257" s="328">
        <v>0</v>
      </c>
      <c r="L257" s="328">
        <v>0</v>
      </c>
      <c r="M257" s="328">
        <v>0</v>
      </c>
      <c r="N257" s="328">
        <v>0</v>
      </c>
      <c r="O257" s="328">
        <v>0</v>
      </c>
      <c r="P257" s="300"/>
      <c r="Q257" s="284">
        <f t="shared" si="5"/>
        <v>0</v>
      </c>
      <c r="R257" s="3" t="str">
        <f>_xlfn.IFNA(VLOOKUP(Tabella1[[#This Row],[Nome]],'ROSE SQUADRE'!$N$3:$O$253,2,0),"")</f>
        <v>SESTO ASENSIO</v>
      </c>
      <c r="S257" s="193">
        <f>SUM(Tabella1[[#This Row],[Gf]],Tabella1[[#This Row],[Rf]])</f>
        <v>0</v>
      </c>
      <c r="T257" s="193"/>
      <c r="U257" s="285" t="str">
        <f>IF(Tabella1[[#This Row],[N° FantaTit]]=1,Tabella1[[#This Row],[Voto]],"")</f>
        <v/>
      </c>
      <c r="V25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57" s="195"/>
      <c r="X257" s="193" t="str">
        <f>IF(Tabella1[[#This Row],[Best 11]]=1,Tabella1[[#This Row],[fanta voto]],"")</f>
        <v/>
      </c>
      <c r="Z257" s="193" t="str">
        <f>IF(Tabella1[[#This Row],[Best 11 MOD]]=1,Tabella1[[#This Row],[fanta voto]],"")</f>
        <v/>
      </c>
      <c r="AA257" t="str">
        <f>CONCATENATE(Tabella1[[#This Row],[GG]],Tabella1[[#This Row],[Nome]])</f>
        <v>1Comuzzo</v>
      </c>
      <c r="AC257" t="str">
        <f>_xlfn.CONCAT(Tabella1[[#This Row],[Ruolo]],Tabella1[[#This Row],[Gs]])</f>
        <v>D0</v>
      </c>
    </row>
    <row r="258" spans="1:29" hidden="1" x14ac:dyDescent="0.3">
      <c r="A258" s="286">
        <v>46254</v>
      </c>
      <c r="B258" s="15">
        <v>1</v>
      </c>
      <c r="C258" s="283" t="s">
        <v>934</v>
      </c>
      <c r="D258" s="330" t="s">
        <v>161</v>
      </c>
      <c r="E258" s="330" t="s">
        <v>572</v>
      </c>
      <c r="F258" s="331">
        <v>5.5</v>
      </c>
      <c r="G258" s="332">
        <v>0</v>
      </c>
      <c r="H258" s="332">
        <v>0</v>
      </c>
      <c r="I258" s="332">
        <v>0</v>
      </c>
      <c r="J258" s="332">
        <v>0</v>
      </c>
      <c r="K258" s="332">
        <v>0</v>
      </c>
      <c r="L258" s="332">
        <v>0</v>
      </c>
      <c r="M258" s="332">
        <v>0</v>
      </c>
      <c r="N258" s="332">
        <v>0</v>
      </c>
      <c r="O258" s="332">
        <v>0</v>
      </c>
      <c r="P258" s="300"/>
      <c r="Q258" s="284">
        <f t="shared" si="5"/>
        <v>0</v>
      </c>
      <c r="R258" s="3" t="str">
        <f>_xlfn.IFNA(VLOOKUP(Tabella1[[#This Row],[Nome]],'ROSE SQUADRE'!$N$3:$O$253,2,0),"")</f>
        <v/>
      </c>
      <c r="S258" s="193">
        <f>SUM(Tabella1[[#This Row],[Gf]],Tabella1[[#This Row],[Rf]])</f>
        <v>0</v>
      </c>
      <c r="T258" s="193"/>
      <c r="U258" s="285" t="str">
        <f>IF(Tabella1[[#This Row],[N° FantaTit]]=1,Tabella1[[#This Row],[Voto]],"")</f>
        <v/>
      </c>
      <c r="V25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58" s="195"/>
      <c r="X258" s="193" t="str">
        <f>IF(Tabella1[[#This Row],[Best 11]]=1,Tabella1[[#This Row],[fanta voto]],"")</f>
        <v/>
      </c>
      <c r="Z258" s="193" t="str">
        <f>IF(Tabella1[[#This Row],[Best 11 MOD]]=1,Tabella1[[#This Row],[fanta voto]],"")</f>
        <v/>
      </c>
      <c r="AA258" t="str">
        <f>CONCATENATE(Tabella1[[#This Row],[GG]],Tabella1[[#This Row],[Nome]])</f>
        <v>1Coco</v>
      </c>
      <c r="AC258" t="str">
        <f>_xlfn.CONCAT(Tabella1[[#This Row],[Ruolo]],Tabella1[[#This Row],[Gs]])</f>
        <v>D0</v>
      </c>
    </row>
    <row r="259" spans="1:29" hidden="1" x14ac:dyDescent="0.3">
      <c r="A259" s="286">
        <v>46254</v>
      </c>
      <c r="B259" s="15">
        <v>1</v>
      </c>
      <c r="C259" s="283" t="s">
        <v>934</v>
      </c>
      <c r="D259" t="s">
        <v>161</v>
      </c>
      <c r="E259" t="s">
        <v>938</v>
      </c>
      <c r="F259" s="194">
        <v>6</v>
      </c>
      <c r="G259" s="328">
        <v>0</v>
      </c>
      <c r="H259" s="328">
        <v>0</v>
      </c>
      <c r="I259" s="328">
        <v>0</v>
      </c>
      <c r="J259" s="328">
        <v>0</v>
      </c>
      <c r="K259" s="328">
        <v>0</v>
      </c>
      <c r="L259" s="328">
        <v>0</v>
      </c>
      <c r="M259" s="328">
        <v>0</v>
      </c>
      <c r="N259" s="328">
        <v>0</v>
      </c>
      <c r="O259" s="328">
        <v>0</v>
      </c>
      <c r="P259" s="300"/>
      <c r="Q259" s="284">
        <f t="shared" si="5"/>
        <v>0</v>
      </c>
      <c r="R259" s="3" t="str">
        <f>_xlfn.IFNA(VLOOKUP(Tabella1[[#This Row],[Nome]],'ROSE SQUADRE'!$N$3:$O$253,2,0),"")</f>
        <v>FC INTERNAZIOANALE</v>
      </c>
      <c r="S259" s="193">
        <f>SUM(Tabella1[[#This Row],[Gf]],Tabella1[[#This Row],[Rf]])</f>
        <v>0</v>
      </c>
      <c r="T259" s="193"/>
      <c r="U259" s="285" t="str">
        <f>IF(Tabella1[[#This Row],[N° FantaTit]]=1,Tabella1[[#This Row],[Voto]],"")</f>
        <v/>
      </c>
      <c r="V25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59" s="195"/>
      <c r="X259" s="193" t="str">
        <f>IF(Tabella1[[#This Row],[Best 11]]=1,Tabella1[[#This Row],[fanta voto]],"")</f>
        <v/>
      </c>
      <c r="Z259" s="193" t="str">
        <f>IF(Tabella1[[#This Row],[Best 11 MOD]]=1,Tabella1[[#This Row],[fanta voto]],"")</f>
        <v/>
      </c>
      <c r="AA259" t="str">
        <f>CONCATENATE(Tabella1[[#This Row],[GG]],Tabella1[[#This Row],[Nome]])</f>
        <v>1Fortini</v>
      </c>
      <c r="AC259" t="str">
        <f>_xlfn.CONCAT(Tabella1[[#This Row],[Ruolo]],Tabella1[[#This Row],[Gs]])</f>
        <v>D0</v>
      </c>
    </row>
    <row r="260" spans="1:29" hidden="1" x14ac:dyDescent="0.3">
      <c r="A260" s="286">
        <v>46254</v>
      </c>
      <c r="B260" s="15">
        <v>1</v>
      </c>
      <c r="C260" s="283" t="s">
        <v>934</v>
      </c>
      <c r="D260" s="330" t="s">
        <v>162</v>
      </c>
      <c r="E260" s="330" t="s">
        <v>948</v>
      </c>
      <c r="F260" s="331">
        <v>5</v>
      </c>
      <c r="G260" s="332">
        <v>0</v>
      </c>
      <c r="H260" s="332">
        <v>0</v>
      </c>
      <c r="I260" s="332">
        <v>0</v>
      </c>
      <c r="J260" s="332">
        <v>0</v>
      </c>
      <c r="K260" s="332">
        <v>0</v>
      </c>
      <c r="L260" s="332">
        <v>0</v>
      </c>
      <c r="M260" s="332">
        <v>0</v>
      </c>
      <c r="N260" s="332">
        <v>0</v>
      </c>
      <c r="O260" s="332">
        <v>0</v>
      </c>
      <c r="P260" s="300"/>
      <c r="Q260" s="284">
        <f t="shared" si="5"/>
        <v>0</v>
      </c>
      <c r="R260" s="3" t="str">
        <f>_xlfn.IFNA(VLOOKUP(Tabella1[[#This Row],[Nome]],'ROSE SQUADRE'!$N$3:$O$253,2,0),"")</f>
        <v>FC INTERNAZIOANALE</v>
      </c>
      <c r="S260" s="193">
        <f>SUM(Tabella1[[#This Row],[Gf]],Tabella1[[#This Row],[Rf]])</f>
        <v>0</v>
      </c>
      <c r="T260" s="193"/>
      <c r="U260" s="285" t="str">
        <f>IF(Tabella1[[#This Row],[N° FantaTit]]=1,Tabella1[[#This Row],[Voto]],"")</f>
        <v/>
      </c>
      <c r="V26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260" s="195"/>
      <c r="X260" s="193" t="str">
        <f>IF(Tabella1[[#This Row],[Best 11]]=1,Tabella1[[#This Row],[fanta voto]],"")</f>
        <v/>
      </c>
      <c r="Z260" s="193" t="str">
        <f>IF(Tabella1[[#This Row],[Best 11 MOD]]=1,Tabella1[[#This Row],[fanta voto]],"")</f>
        <v/>
      </c>
      <c r="AA260" t="str">
        <f>CONCATENATE(Tabella1[[#This Row],[GG]],Tabella1[[#This Row],[Nome]])</f>
        <v>1Vlasic</v>
      </c>
      <c r="AC260" t="str">
        <f>_xlfn.CONCAT(Tabella1[[#This Row],[Ruolo]],Tabella1[[#This Row],[Gs]])</f>
        <v>C0</v>
      </c>
    </row>
    <row r="261" spans="1:29" hidden="1" x14ac:dyDescent="0.3">
      <c r="A261" s="286">
        <v>46254</v>
      </c>
      <c r="B261" s="15">
        <v>1</v>
      </c>
      <c r="C261" s="283" t="s">
        <v>934</v>
      </c>
      <c r="D261" t="s">
        <v>162</v>
      </c>
      <c r="E261" t="s">
        <v>943</v>
      </c>
      <c r="F261" s="194">
        <v>5</v>
      </c>
      <c r="G261" s="328">
        <v>0</v>
      </c>
      <c r="H261" s="328">
        <v>0</v>
      </c>
      <c r="I261" s="328">
        <v>0</v>
      </c>
      <c r="J261" s="328">
        <v>0</v>
      </c>
      <c r="K261" s="328">
        <v>0</v>
      </c>
      <c r="L261" s="328">
        <v>0</v>
      </c>
      <c r="M261" s="328">
        <v>0</v>
      </c>
      <c r="N261" s="328">
        <v>0</v>
      </c>
      <c r="O261" s="328">
        <v>0</v>
      </c>
      <c r="P261" s="300"/>
      <c r="Q261" s="284">
        <f t="shared" si="5"/>
        <v>0</v>
      </c>
      <c r="R261" s="3" t="str">
        <f>_xlfn.IFNA(VLOOKUP(Tabella1[[#This Row],[Nome]],'ROSE SQUADRE'!$N$3:$O$253,2,0),"")</f>
        <v>PARTIZAN DEGRADO</v>
      </c>
      <c r="S261" s="193">
        <f>SUM(Tabella1[[#This Row],[Gf]],Tabella1[[#This Row],[Rf]])</f>
        <v>0</v>
      </c>
      <c r="T261" s="193"/>
      <c r="U261" s="285" t="str">
        <f>IF(Tabella1[[#This Row],[N° FantaTit]]=1,Tabella1[[#This Row],[Voto]],"")</f>
        <v/>
      </c>
      <c r="V26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261" s="195"/>
      <c r="X261" s="193" t="str">
        <f>IF(Tabella1[[#This Row],[Best 11]]=1,Tabella1[[#This Row],[fanta voto]],"")</f>
        <v/>
      </c>
      <c r="Z261" s="193" t="str">
        <f>IF(Tabella1[[#This Row],[Best 11 MOD]]=1,Tabella1[[#This Row],[fanta voto]],"")</f>
        <v/>
      </c>
      <c r="AA261" t="str">
        <f>CONCATENATE(Tabella1[[#This Row],[GG]],Tabella1[[#This Row],[Nome]])</f>
        <v>1Casadei</v>
      </c>
      <c r="AC261" t="str">
        <f>_xlfn.CONCAT(Tabella1[[#This Row],[Ruolo]],Tabella1[[#This Row],[Gs]])</f>
        <v>C0</v>
      </c>
    </row>
    <row r="262" spans="1:29" hidden="1" x14ac:dyDescent="0.3">
      <c r="A262" s="286">
        <v>46254</v>
      </c>
      <c r="B262" s="15">
        <v>1</v>
      </c>
      <c r="C262" s="283" t="s">
        <v>934</v>
      </c>
      <c r="D262" s="330" t="s">
        <v>162</v>
      </c>
      <c r="E262" s="330" t="s">
        <v>945</v>
      </c>
      <c r="F262" s="331">
        <v>5.5</v>
      </c>
      <c r="G262" s="332">
        <v>0</v>
      </c>
      <c r="H262" s="332">
        <v>0</v>
      </c>
      <c r="I262" s="332">
        <v>0</v>
      </c>
      <c r="J262" s="332">
        <v>0</v>
      </c>
      <c r="K262" s="332">
        <v>0</v>
      </c>
      <c r="L262" s="332">
        <v>0</v>
      </c>
      <c r="M262" s="332">
        <v>0</v>
      </c>
      <c r="N262" s="332">
        <v>0</v>
      </c>
      <c r="O262" s="333">
        <v>1</v>
      </c>
      <c r="P262" s="300"/>
      <c r="Q262" s="284">
        <f t="shared" si="5"/>
        <v>0</v>
      </c>
      <c r="R262" s="3" t="str">
        <f>_xlfn.IFNA(VLOOKUP(Tabella1[[#This Row],[Nome]],'ROSE SQUADRE'!$N$3:$O$253,2,0),"")</f>
        <v/>
      </c>
      <c r="S262" s="193">
        <f>SUM(Tabella1[[#This Row],[Gf]],Tabella1[[#This Row],[Rf]])</f>
        <v>0</v>
      </c>
      <c r="T262" s="193"/>
      <c r="U262" s="285" t="str">
        <f>IF(Tabella1[[#This Row],[N° FantaTit]]=1,Tabella1[[#This Row],[Voto]],"")</f>
        <v/>
      </c>
      <c r="V26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62" s="195"/>
      <c r="X262" s="193" t="str">
        <f>IF(Tabella1[[#This Row],[Best 11]]=1,Tabella1[[#This Row],[fanta voto]],"")</f>
        <v/>
      </c>
      <c r="Z262" s="193" t="str">
        <f>IF(Tabella1[[#This Row],[Best 11 MOD]]=1,Tabella1[[#This Row],[fanta voto]],"")</f>
        <v/>
      </c>
      <c r="AA262" t="str">
        <f>CONCATENATE(Tabella1[[#This Row],[GG]],Tabella1[[#This Row],[Nome]])</f>
        <v>1Gineitis</v>
      </c>
      <c r="AC262" t="str">
        <f>_xlfn.CONCAT(Tabella1[[#This Row],[Ruolo]],Tabella1[[#This Row],[Gs]])</f>
        <v>C0</v>
      </c>
    </row>
    <row r="263" spans="1:29" hidden="1" x14ac:dyDescent="0.3">
      <c r="A263" s="286">
        <v>46254</v>
      </c>
      <c r="B263" s="15">
        <v>1</v>
      </c>
      <c r="C263" s="283" t="s">
        <v>934</v>
      </c>
      <c r="D263" t="s">
        <v>162</v>
      </c>
      <c r="E263" t="s">
        <v>947</v>
      </c>
      <c r="F263" s="194">
        <v>6.5</v>
      </c>
      <c r="G263" s="328">
        <v>0</v>
      </c>
      <c r="H263" s="328">
        <v>0</v>
      </c>
      <c r="I263" s="328">
        <v>0</v>
      </c>
      <c r="J263" s="328">
        <v>0</v>
      </c>
      <c r="K263" s="328">
        <v>0</v>
      </c>
      <c r="L263" s="328">
        <v>0</v>
      </c>
      <c r="M263" s="328">
        <v>0</v>
      </c>
      <c r="N263" s="328">
        <v>0</v>
      </c>
      <c r="O263" s="328">
        <v>0</v>
      </c>
      <c r="P263" s="300"/>
      <c r="Q263" s="284">
        <f t="shared" si="5"/>
        <v>0</v>
      </c>
      <c r="R263" s="3" t="str">
        <f>_xlfn.IFNA(VLOOKUP(Tabella1[[#This Row],[Nome]],'ROSE SQUADRE'!$N$3:$O$253,2,0),"")</f>
        <v>PESCICULINI</v>
      </c>
      <c r="S263" s="193">
        <f>SUM(Tabella1[[#This Row],[Gf]],Tabella1[[#This Row],[Rf]])</f>
        <v>0</v>
      </c>
      <c r="T263" s="193"/>
      <c r="U263" s="285" t="str">
        <f>IF(Tabella1[[#This Row],[N° FantaTit]]=1,Tabella1[[#This Row],[Voto]],"")</f>
        <v/>
      </c>
      <c r="V26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63" s="195"/>
      <c r="X263" s="193" t="str">
        <f>IF(Tabella1[[#This Row],[Best 11]]=1,Tabella1[[#This Row],[fanta voto]],"")</f>
        <v/>
      </c>
      <c r="Z263" s="193" t="str">
        <f>IF(Tabella1[[#This Row],[Best 11 MOD]]=1,Tabella1[[#This Row],[fanta voto]],"")</f>
        <v/>
      </c>
      <c r="AA263" t="str">
        <f>CONCATENATE(Tabella1[[#This Row],[GG]],Tabella1[[#This Row],[Nome]])</f>
        <v>1Njie</v>
      </c>
      <c r="AC263" t="str">
        <f>_xlfn.CONCAT(Tabella1[[#This Row],[Ruolo]],Tabella1[[#This Row],[Gs]])</f>
        <v>C0</v>
      </c>
    </row>
    <row r="264" spans="1:29" hidden="1" x14ac:dyDescent="0.3">
      <c r="A264" s="286">
        <v>46254</v>
      </c>
      <c r="B264" s="15">
        <v>1</v>
      </c>
      <c r="C264" s="283" t="s">
        <v>934</v>
      </c>
      <c r="D264" s="330" t="s">
        <v>162</v>
      </c>
      <c r="E264" s="330" t="s">
        <v>942</v>
      </c>
      <c r="F264" s="331">
        <v>5.5</v>
      </c>
      <c r="G264" s="332">
        <v>0</v>
      </c>
      <c r="H264" s="332">
        <v>0</v>
      </c>
      <c r="I264" s="332">
        <v>0</v>
      </c>
      <c r="J264" s="332">
        <v>0</v>
      </c>
      <c r="K264" s="332">
        <v>0</v>
      </c>
      <c r="L264" s="332">
        <v>0</v>
      </c>
      <c r="M264" s="332">
        <v>0</v>
      </c>
      <c r="N264" s="332">
        <v>0</v>
      </c>
      <c r="O264" s="332">
        <v>0</v>
      </c>
      <c r="P264" s="300"/>
      <c r="Q264" s="284">
        <f t="shared" si="5"/>
        <v>0</v>
      </c>
      <c r="R264" s="3" t="str">
        <f>_xlfn.IFNA(VLOOKUP(Tabella1[[#This Row],[Nome]],'ROSE SQUADRE'!$N$3:$O$253,2,0),"")</f>
        <v>PARTIZAN DEGRADO</v>
      </c>
      <c r="S264" s="193">
        <f>SUM(Tabella1[[#This Row],[Gf]],Tabella1[[#This Row],[Rf]])</f>
        <v>0</v>
      </c>
      <c r="T264" s="193"/>
      <c r="U264" s="285" t="str">
        <f>IF(Tabella1[[#This Row],[N° FantaTit]]=1,Tabella1[[#This Row],[Voto]],"")</f>
        <v/>
      </c>
      <c r="V26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64" s="195"/>
      <c r="X264" s="193" t="str">
        <f>IF(Tabella1[[#This Row],[Best 11]]=1,Tabella1[[#This Row],[fanta voto]],"")</f>
        <v/>
      </c>
      <c r="Z264" s="193" t="str">
        <f>IF(Tabella1[[#This Row],[Best 11 MOD]]=1,Tabella1[[#This Row],[fanta voto]],"")</f>
        <v/>
      </c>
      <c r="AA264" t="str">
        <f>CONCATENATE(Tabella1[[#This Row],[GG]],Tabella1[[#This Row],[Nome]])</f>
        <v>1Cacciamani</v>
      </c>
      <c r="AC264" t="str">
        <f>_xlfn.CONCAT(Tabella1[[#This Row],[Ruolo]],Tabella1[[#This Row],[Gs]])</f>
        <v>C0</v>
      </c>
    </row>
    <row r="265" spans="1:29" hidden="1" x14ac:dyDescent="0.3">
      <c r="A265" s="286">
        <v>46254</v>
      </c>
      <c r="B265" s="15">
        <v>1</v>
      </c>
      <c r="C265" s="283" t="s">
        <v>934</v>
      </c>
      <c r="D265" t="s">
        <v>162</v>
      </c>
      <c r="E265" t="s">
        <v>940</v>
      </c>
      <c r="F265" s="194">
        <v>5.5</v>
      </c>
      <c r="G265" s="328">
        <v>0</v>
      </c>
      <c r="H265" s="328">
        <v>0</v>
      </c>
      <c r="I265" s="328">
        <v>0</v>
      </c>
      <c r="J265" s="328">
        <v>0</v>
      </c>
      <c r="K265" s="328">
        <v>0</v>
      </c>
      <c r="L265" s="328">
        <v>0</v>
      </c>
      <c r="M265" s="328">
        <v>0</v>
      </c>
      <c r="N265" s="328">
        <v>0</v>
      </c>
      <c r="O265" s="328">
        <v>0</v>
      </c>
      <c r="P265" s="300"/>
      <c r="Q265" s="284">
        <f t="shared" si="5"/>
        <v>0</v>
      </c>
      <c r="R265" s="3" t="str">
        <f>_xlfn.IFNA(VLOOKUP(Tabella1[[#This Row],[Nome]],'ROSE SQUADRE'!$N$3:$O$253,2,0),"")</f>
        <v/>
      </c>
      <c r="S265" s="193">
        <f>SUM(Tabella1[[#This Row],[Gf]],Tabella1[[#This Row],[Rf]])</f>
        <v>0</v>
      </c>
      <c r="T265" s="193"/>
      <c r="U265" s="285" t="str">
        <f>IF(Tabella1[[#This Row],[N° FantaTit]]=1,Tabella1[[#This Row],[Voto]],"")</f>
        <v/>
      </c>
      <c r="V26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65" s="195"/>
      <c r="X265" s="193" t="str">
        <f>IF(Tabella1[[#This Row],[Best 11]]=1,Tabella1[[#This Row],[fanta voto]],"")</f>
        <v/>
      </c>
      <c r="Z265" s="193" t="str">
        <f>IF(Tabella1[[#This Row],[Best 11 MOD]]=1,Tabella1[[#This Row],[fanta voto]],"")</f>
        <v/>
      </c>
      <c r="AA265" t="str">
        <f>CONCATENATE(Tabella1[[#This Row],[GG]],Tabella1[[#This Row],[Nome]])</f>
        <v>1Aboukhlal</v>
      </c>
      <c r="AC265" t="str">
        <f>_xlfn.CONCAT(Tabella1[[#This Row],[Ruolo]],Tabella1[[#This Row],[Gs]])</f>
        <v>C0</v>
      </c>
    </row>
    <row r="266" spans="1:29" hidden="1" x14ac:dyDescent="0.3">
      <c r="A266" s="286">
        <v>46254</v>
      </c>
      <c r="B266" s="15">
        <v>1</v>
      </c>
      <c r="C266" s="283" t="s">
        <v>934</v>
      </c>
      <c r="D266" s="330" t="s">
        <v>162</v>
      </c>
      <c r="E266" s="330" t="s">
        <v>944</v>
      </c>
      <c r="F266" s="331">
        <v>6</v>
      </c>
      <c r="G266" s="332">
        <v>0</v>
      </c>
      <c r="H266" s="332">
        <v>0</v>
      </c>
      <c r="I266" s="332">
        <v>0</v>
      </c>
      <c r="J266" s="332">
        <v>0</v>
      </c>
      <c r="K266" s="332">
        <v>0</v>
      </c>
      <c r="L266" s="332">
        <v>0</v>
      </c>
      <c r="M266" s="332">
        <v>0</v>
      </c>
      <c r="N266" s="332">
        <v>0</v>
      </c>
      <c r="O266" s="332">
        <v>0</v>
      </c>
      <c r="P266" s="300"/>
      <c r="Q266" s="284">
        <f t="shared" si="5"/>
        <v>0</v>
      </c>
      <c r="R266" s="3" t="str">
        <f>_xlfn.IFNA(VLOOKUP(Tabella1[[#This Row],[Nome]],'ROSE SQUADRE'!$N$3:$O$253,2,0),"")</f>
        <v/>
      </c>
      <c r="S266" s="193">
        <f>SUM(Tabella1[[#This Row],[Gf]],Tabella1[[#This Row],[Rf]])</f>
        <v>0</v>
      </c>
      <c r="T266" s="193"/>
      <c r="U266" s="285" t="str">
        <f>IF(Tabella1[[#This Row],[N° FantaTit]]=1,Tabella1[[#This Row],[Voto]],"")</f>
        <v/>
      </c>
      <c r="V26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66" s="195"/>
      <c r="X266" s="193" t="str">
        <f>IF(Tabella1[[#This Row],[Best 11]]=1,Tabella1[[#This Row],[fanta voto]],"")</f>
        <v/>
      </c>
      <c r="Z266" s="193" t="str">
        <f>IF(Tabella1[[#This Row],[Best 11 MOD]]=1,Tabella1[[#This Row],[fanta voto]],"")</f>
        <v/>
      </c>
      <c r="AA266" t="str">
        <f>CONCATENATE(Tabella1[[#This Row],[GG]],Tabella1[[#This Row],[Nome]])</f>
        <v>1Fitz-Jim</v>
      </c>
      <c r="AC266" t="str">
        <f>_xlfn.CONCAT(Tabella1[[#This Row],[Ruolo]],Tabella1[[#This Row],[Gs]])</f>
        <v>C0</v>
      </c>
    </row>
    <row r="267" spans="1:29" hidden="1" x14ac:dyDescent="0.3">
      <c r="A267" s="286">
        <v>46254</v>
      </c>
      <c r="B267" s="15">
        <v>1</v>
      </c>
      <c r="C267" s="283" t="s">
        <v>934</v>
      </c>
      <c r="D267" t="s">
        <v>163</v>
      </c>
      <c r="E267" t="s">
        <v>345</v>
      </c>
      <c r="F267" s="194">
        <v>5.5</v>
      </c>
      <c r="G267" s="328">
        <v>0</v>
      </c>
      <c r="H267" s="328">
        <v>0</v>
      </c>
      <c r="I267" s="328">
        <v>0</v>
      </c>
      <c r="J267" s="328">
        <v>0</v>
      </c>
      <c r="K267" s="328">
        <v>0</v>
      </c>
      <c r="L267" s="328">
        <v>0</v>
      </c>
      <c r="M267" s="328">
        <v>0</v>
      </c>
      <c r="N267" s="328">
        <v>0</v>
      </c>
      <c r="O267" s="328">
        <v>0</v>
      </c>
      <c r="P267" s="300"/>
      <c r="Q267" s="284">
        <f t="shared" si="5"/>
        <v>0</v>
      </c>
      <c r="R267" s="3" t="str">
        <f>_xlfn.IFNA(VLOOKUP(Tabella1[[#This Row],[Nome]],'ROSE SQUADRE'!$N$3:$O$253,2,0),"")</f>
        <v>AS PIPPERIA</v>
      </c>
      <c r="S267" s="193">
        <f>SUM(Tabella1[[#This Row],[Gf]],Tabella1[[#This Row],[Rf]])</f>
        <v>0</v>
      </c>
      <c r="T267" s="193"/>
      <c r="U267" s="285" t="str">
        <f>IF(Tabella1[[#This Row],[N° FantaTit]]=1,Tabella1[[#This Row],[Voto]],"")</f>
        <v/>
      </c>
      <c r="V26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67" s="195"/>
      <c r="X267" s="193" t="str">
        <f>IF(Tabella1[[#This Row],[Best 11]]=1,Tabella1[[#This Row],[fanta voto]],"")</f>
        <v/>
      </c>
      <c r="Z267" s="193" t="str">
        <f>IF(Tabella1[[#This Row],[Best 11 MOD]]=1,Tabella1[[#This Row],[fanta voto]],"")</f>
        <v/>
      </c>
      <c r="AA267" t="str">
        <f>CONCATENATE(Tabella1[[#This Row],[GG]],Tabella1[[#This Row],[Nome]])</f>
        <v>1Simeone</v>
      </c>
      <c r="AC267" t="str">
        <f>_xlfn.CONCAT(Tabella1[[#This Row],[Ruolo]],Tabella1[[#This Row],[Gs]])</f>
        <v>A0</v>
      </c>
    </row>
    <row r="268" spans="1:29" hidden="1" x14ac:dyDescent="0.3">
      <c r="A268" s="286">
        <v>46254</v>
      </c>
      <c r="B268" s="15">
        <v>1</v>
      </c>
      <c r="C268" s="283" t="s">
        <v>934</v>
      </c>
      <c r="D268" s="330" t="s">
        <v>163</v>
      </c>
      <c r="E268" s="330" t="s">
        <v>574</v>
      </c>
      <c r="F268" s="331">
        <v>7</v>
      </c>
      <c r="G268" s="333">
        <v>1</v>
      </c>
      <c r="H268" s="332">
        <v>0</v>
      </c>
      <c r="I268" s="332">
        <v>0</v>
      </c>
      <c r="J268" s="332">
        <v>0</v>
      </c>
      <c r="K268" s="332">
        <v>0</v>
      </c>
      <c r="L268" s="332">
        <v>0</v>
      </c>
      <c r="M268" s="332">
        <v>0</v>
      </c>
      <c r="N268" s="332">
        <v>0</v>
      </c>
      <c r="O268" s="332">
        <v>0</v>
      </c>
      <c r="P268" s="300"/>
      <c r="Q268" s="284">
        <f t="shared" si="5"/>
        <v>0</v>
      </c>
      <c r="R268" s="3" t="str">
        <f>_xlfn.IFNA(VLOOKUP(Tabella1[[#This Row],[Nome]],'ROSE SQUADRE'!$N$3:$O$253,2,0),"")</f>
        <v>FC INTERNAZIOANALE</v>
      </c>
      <c r="S268" s="193">
        <f>SUM(Tabella1[[#This Row],[Gf]],Tabella1[[#This Row],[Rf]])</f>
        <v>1</v>
      </c>
      <c r="T268" s="193"/>
      <c r="U268" s="285" t="str">
        <f>IF(Tabella1[[#This Row],[N° FantaTit]]=1,Tabella1[[#This Row],[Voto]],"")</f>
        <v/>
      </c>
      <c r="V26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268" s="195"/>
      <c r="X268" s="193" t="str">
        <f>IF(Tabella1[[#This Row],[Best 11]]=1,Tabella1[[#This Row],[fanta voto]],"")</f>
        <v/>
      </c>
      <c r="Z268" s="193" t="str">
        <f>IF(Tabella1[[#This Row],[Best 11 MOD]]=1,Tabella1[[#This Row],[fanta voto]],"")</f>
        <v/>
      </c>
      <c r="AA268" t="str">
        <f>CONCATENATE(Tabella1[[#This Row],[GG]],Tabella1[[#This Row],[Nome]])</f>
        <v>1Adams C.</v>
      </c>
      <c r="AC268" t="str">
        <f>_xlfn.CONCAT(Tabella1[[#This Row],[Ruolo]],Tabella1[[#This Row],[Gs]])</f>
        <v>A0</v>
      </c>
    </row>
    <row r="269" spans="1:29" hidden="1" x14ac:dyDescent="0.3">
      <c r="A269" s="286">
        <v>46254</v>
      </c>
      <c r="B269" s="15">
        <v>1</v>
      </c>
      <c r="C269" s="283" t="s">
        <v>950</v>
      </c>
      <c r="D269" t="s">
        <v>5</v>
      </c>
      <c r="E269" t="s">
        <v>575</v>
      </c>
      <c r="F269" s="194">
        <v>6.5</v>
      </c>
      <c r="G269" s="328">
        <v>0</v>
      </c>
      <c r="H269" s="329">
        <v>1</v>
      </c>
      <c r="I269" s="328">
        <v>0</v>
      </c>
      <c r="J269" s="328">
        <v>0</v>
      </c>
      <c r="K269" s="328">
        <v>0</v>
      </c>
      <c r="L269" s="328">
        <v>0</v>
      </c>
      <c r="M269" s="328">
        <v>0</v>
      </c>
      <c r="N269" s="328">
        <v>0</v>
      </c>
      <c r="O269" s="328">
        <v>0</v>
      </c>
      <c r="P269" s="300"/>
      <c r="Q269" s="284">
        <f t="shared" si="5"/>
        <v>0</v>
      </c>
      <c r="R269" s="3" t="str">
        <f>_xlfn.IFNA(VLOOKUP(Tabella1[[#This Row],[Nome]],'ROSE SQUADRE'!$N$3:$O$253,2,0),"")</f>
        <v>ATL. IMPROVVISATO</v>
      </c>
      <c r="S269" s="193">
        <f>SUM(Tabella1[[#This Row],[Gf]],Tabella1[[#This Row],[Rf]])</f>
        <v>0</v>
      </c>
      <c r="T269" s="193"/>
      <c r="U269" s="285" t="str">
        <f>IF(Tabella1[[#This Row],[N° FantaTit]]=1,Tabella1[[#This Row],[Voto]],"")</f>
        <v/>
      </c>
      <c r="V26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69" s="195"/>
      <c r="X269" s="193" t="str">
        <f>IF(Tabella1[[#This Row],[Best 11]]=1,Tabella1[[#This Row],[fanta voto]],"")</f>
        <v/>
      </c>
      <c r="Z269" s="193" t="str">
        <f>IF(Tabella1[[#This Row],[Best 11 MOD]]=1,Tabella1[[#This Row],[fanta voto]],"")</f>
        <v/>
      </c>
      <c r="AA269" t="str">
        <f>CONCATENATE(Tabella1[[#This Row],[GG]],Tabella1[[#This Row],[Nome]])</f>
        <v>1Okoye</v>
      </c>
      <c r="AC269" t="str">
        <f>_xlfn.CONCAT(Tabella1[[#This Row],[Ruolo]],Tabella1[[#This Row],[Gs]])</f>
        <v>P1</v>
      </c>
    </row>
    <row r="270" spans="1:29" hidden="1" x14ac:dyDescent="0.3">
      <c r="A270" s="286">
        <v>46254</v>
      </c>
      <c r="B270" s="15">
        <v>1</v>
      </c>
      <c r="C270" s="283" t="s">
        <v>950</v>
      </c>
      <c r="D270" s="330" t="s">
        <v>161</v>
      </c>
      <c r="E270" s="330" t="s">
        <v>326</v>
      </c>
      <c r="F270" s="331">
        <v>6.5</v>
      </c>
      <c r="G270" s="332">
        <v>0</v>
      </c>
      <c r="H270" s="332">
        <v>0</v>
      </c>
      <c r="I270" s="332">
        <v>0</v>
      </c>
      <c r="J270" s="332">
        <v>0</v>
      </c>
      <c r="K270" s="332">
        <v>0</v>
      </c>
      <c r="L270" s="332">
        <v>0</v>
      </c>
      <c r="M270" s="332">
        <v>0</v>
      </c>
      <c r="N270" s="332">
        <v>0</v>
      </c>
      <c r="O270" s="332">
        <v>0</v>
      </c>
      <c r="P270" s="300"/>
      <c r="Q270" s="284">
        <f t="shared" si="5"/>
        <v>0</v>
      </c>
      <c r="R270" s="3" t="str">
        <f>_xlfn.IFNA(VLOOKUP(Tabella1[[#This Row],[Nome]],'ROSE SQUADRE'!$N$3:$O$253,2,0),"")</f>
        <v>PARTIZAN DEGRADO</v>
      </c>
      <c r="S270" s="193">
        <f>SUM(Tabella1[[#This Row],[Gf]],Tabella1[[#This Row],[Rf]])</f>
        <v>0</v>
      </c>
      <c r="T270" s="193"/>
      <c r="U270" s="285" t="str">
        <f>IF(Tabella1[[#This Row],[N° FantaTit]]=1,Tabella1[[#This Row],[Voto]],"")</f>
        <v/>
      </c>
      <c r="V27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70" s="195"/>
      <c r="X270" s="193" t="str">
        <f>IF(Tabella1[[#This Row],[Best 11]]=1,Tabella1[[#This Row],[fanta voto]],"")</f>
        <v/>
      </c>
      <c r="Z270" s="193" t="str">
        <f>IF(Tabella1[[#This Row],[Best 11 MOD]]=1,Tabella1[[#This Row],[fanta voto]],"")</f>
        <v/>
      </c>
      <c r="AA270" t="str">
        <f>CONCATENATE(Tabella1[[#This Row],[GG]],Tabella1[[#This Row],[Nome]])</f>
        <v>1Vojvoda</v>
      </c>
      <c r="AC270" t="str">
        <f>_xlfn.CONCAT(Tabella1[[#This Row],[Ruolo]],Tabella1[[#This Row],[Gs]])</f>
        <v>D0</v>
      </c>
    </row>
    <row r="271" spans="1:29" hidden="1" x14ac:dyDescent="0.3">
      <c r="A271" s="286">
        <v>46254</v>
      </c>
      <c r="B271" s="15">
        <v>1</v>
      </c>
      <c r="C271" s="283" t="s">
        <v>950</v>
      </c>
      <c r="D271" t="s">
        <v>161</v>
      </c>
      <c r="E271" t="s">
        <v>469</v>
      </c>
      <c r="F271" s="194">
        <v>7</v>
      </c>
      <c r="G271" s="329">
        <v>1</v>
      </c>
      <c r="H271" s="328">
        <v>0</v>
      </c>
      <c r="I271" s="328">
        <v>0</v>
      </c>
      <c r="J271" s="328">
        <v>0</v>
      </c>
      <c r="K271" s="328">
        <v>0</v>
      </c>
      <c r="L271" s="328">
        <v>0</v>
      </c>
      <c r="M271" s="328">
        <v>0</v>
      </c>
      <c r="N271" s="328">
        <v>0</v>
      </c>
      <c r="O271" s="328">
        <v>0</v>
      </c>
      <c r="P271" s="300"/>
      <c r="Q271" s="284">
        <f t="shared" si="5"/>
        <v>0</v>
      </c>
      <c r="R271" s="3" t="str">
        <f>_xlfn.IFNA(VLOOKUP(Tabella1[[#This Row],[Nome]],'ROSE SQUADRE'!$N$3:$O$253,2,0),"")</f>
        <v>TRICCHETRACHT</v>
      </c>
      <c r="S271" s="193">
        <f>SUM(Tabella1[[#This Row],[Gf]],Tabella1[[#This Row],[Rf]])</f>
        <v>1</v>
      </c>
      <c r="T271" s="193"/>
      <c r="U271" s="285" t="str">
        <f>IF(Tabella1[[#This Row],[N° FantaTit]]=1,Tabella1[[#This Row],[Voto]],"")</f>
        <v/>
      </c>
      <c r="V27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271" s="195"/>
      <c r="X271" s="193" t="str">
        <f>IF(Tabella1[[#This Row],[Best 11]]=1,Tabella1[[#This Row],[fanta voto]],"")</f>
        <v/>
      </c>
      <c r="Z271" s="193" t="str">
        <f>IF(Tabella1[[#This Row],[Best 11 MOD]]=1,Tabella1[[#This Row],[fanta voto]],"")</f>
        <v/>
      </c>
      <c r="AA271" t="str">
        <f>CONCATENATE(Tabella1[[#This Row],[GG]],Tabella1[[#This Row],[Nome]])</f>
        <v>1Kamara H.</v>
      </c>
      <c r="AC271" t="str">
        <f>_xlfn.CONCAT(Tabella1[[#This Row],[Ruolo]],Tabella1[[#This Row],[Gs]])</f>
        <v>D0</v>
      </c>
    </row>
    <row r="272" spans="1:29" hidden="1" x14ac:dyDescent="0.3">
      <c r="A272" s="286">
        <v>46254</v>
      </c>
      <c r="B272" s="15">
        <v>1</v>
      </c>
      <c r="C272" s="283" t="s">
        <v>950</v>
      </c>
      <c r="D272" s="330" t="s">
        <v>161</v>
      </c>
      <c r="E272" s="330" t="s">
        <v>956</v>
      </c>
      <c r="F272" s="331">
        <v>6</v>
      </c>
      <c r="G272" s="332">
        <v>0</v>
      </c>
      <c r="H272" s="332">
        <v>0</v>
      </c>
      <c r="I272" s="332">
        <v>0</v>
      </c>
      <c r="J272" s="332">
        <v>0</v>
      </c>
      <c r="K272" s="332">
        <v>0</v>
      </c>
      <c r="L272" s="332">
        <v>0</v>
      </c>
      <c r="M272" s="332">
        <v>0</v>
      </c>
      <c r="N272" s="332">
        <v>0</v>
      </c>
      <c r="O272" s="332">
        <v>0</v>
      </c>
      <c r="P272" s="300"/>
      <c r="Q272" s="284">
        <f t="shared" si="5"/>
        <v>0</v>
      </c>
      <c r="R272" s="3" t="str">
        <f>_xlfn.IFNA(VLOOKUP(Tabella1[[#This Row],[Nome]],'ROSE SQUADRE'!$N$3:$O$253,2,0),"")</f>
        <v/>
      </c>
      <c r="S272" s="193">
        <f>SUM(Tabella1[[#This Row],[Gf]],Tabella1[[#This Row],[Rf]])</f>
        <v>0</v>
      </c>
      <c r="T272" s="193"/>
      <c r="U272" s="285" t="str">
        <f>IF(Tabella1[[#This Row],[N° FantaTit]]=1,Tabella1[[#This Row],[Voto]],"")</f>
        <v/>
      </c>
      <c r="V27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72" s="195"/>
      <c r="X272" s="193" t="str">
        <f>IF(Tabella1[[#This Row],[Best 11]]=1,Tabella1[[#This Row],[fanta voto]],"")</f>
        <v/>
      </c>
      <c r="Z272" s="193" t="str">
        <f>IF(Tabella1[[#This Row],[Best 11 MOD]]=1,Tabella1[[#This Row],[fanta voto]],"")</f>
        <v/>
      </c>
      <c r="AA272" t="str">
        <f>CONCATENATE(Tabella1[[#This Row],[GG]],Tabella1[[#This Row],[Nome]])</f>
        <v>1Ebosse</v>
      </c>
      <c r="AC272" t="str">
        <f>_xlfn.CONCAT(Tabella1[[#This Row],[Ruolo]],Tabella1[[#This Row],[Gs]])</f>
        <v>D0</v>
      </c>
    </row>
    <row r="273" spans="1:29" hidden="1" x14ac:dyDescent="0.3">
      <c r="A273" s="286">
        <v>46254</v>
      </c>
      <c r="B273" s="15">
        <v>1</v>
      </c>
      <c r="C273" s="283" t="s">
        <v>950</v>
      </c>
      <c r="D273" t="s">
        <v>161</v>
      </c>
      <c r="E273" t="s">
        <v>953</v>
      </c>
      <c r="F273" s="194">
        <v>6</v>
      </c>
      <c r="G273" s="328">
        <v>0</v>
      </c>
      <c r="H273" s="328">
        <v>0</v>
      </c>
      <c r="I273" s="328">
        <v>0</v>
      </c>
      <c r="J273" s="328">
        <v>0</v>
      </c>
      <c r="K273" s="328">
        <v>0</v>
      </c>
      <c r="L273" s="328">
        <v>0</v>
      </c>
      <c r="M273" s="329">
        <v>1</v>
      </c>
      <c r="N273" s="328">
        <v>0</v>
      </c>
      <c r="O273" s="328">
        <v>0</v>
      </c>
      <c r="P273" s="300"/>
      <c r="Q273" s="284">
        <f t="shared" si="5"/>
        <v>0</v>
      </c>
      <c r="R273" s="3" t="str">
        <f>_xlfn.IFNA(VLOOKUP(Tabella1[[#This Row],[Nome]],'ROSE SQUADRE'!$N$3:$O$253,2,0),"")</f>
        <v/>
      </c>
      <c r="S273" s="193">
        <f>SUM(Tabella1[[#This Row],[Gf]],Tabella1[[#This Row],[Rf]])</f>
        <v>0</v>
      </c>
      <c r="T273" s="193"/>
      <c r="U273" s="285" t="str">
        <f>IF(Tabella1[[#This Row],[N° FantaTit]]=1,Tabella1[[#This Row],[Voto]],"")</f>
        <v/>
      </c>
      <c r="V27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73" s="195"/>
      <c r="X273" s="193" t="str">
        <f>IF(Tabella1[[#This Row],[Best 11]]=1,Tabella1[[#This Row],[fanta voto]],"")</f>
        <v/>
      </c>
      <c r="Z273" s="193" t="str">
        <f>IF(Tabella1[[#This Row],[Best 11 MOD]]=1,Tabella1[[#This Row],[fanta voto]],"")</f>
        <v/>
      </c>
      <c r="AA273" t="str">
        <f>CONCATENATE(Tabella1[[#This Row],[GG]],Tabella1[[#This Row],[Nome]])</f>
        <v>1Abankwah</v>
      </c>
      <c r="AC273" t="str">
        <f>_xlfn.CONCAT(Tabella1[[#This Row],[Ruolo]],Tabella1[[#This Row],[Gs]])</f>
        <v>D0</v>
      </c>
    </row>
    <row r="274" spans="1:29" hidden="1" x14ac:dyDescent="0.3">
      <c r="A274" s="286">
        <v>46254</v>
      </c>
      <c r="B274" s="15">
        <v>1</v>
      </c>
      <c r="C274" s="283" t="s">
        <v>950</v>
      </c>
      <c r="D274" s="330" t="s">
        <v>161</v>
      </c>
      <c r="E274" s="330" t="s">
        <v>958</v>
      </c>
      <c r="F274" s="331">
        <v>6.5</v>
      </c>
      <c r="G274" s="332">
        <v>0</v>
      </c>
      <c r="H274" s="332">
        <v>0</v>
      </c>
      <c r="I274" s="332">
        <v>0</v>
      </c>
      <c r="J274" s="332">
        <v>0</v>
      </c>
      <c r="K274" s="332">
        <v>0</v>
      </c>
      <c r="L274" s="332">
        <v>0</v>
      </c>
      <c r="M274" s="332">
        <v>0</v>
      </c>
      <c r="N274" s="332">
        <v>0</v>
      </c>
      <c r="O274" s="332">
        <v>0</v>
      </c>
      <c r="P274" s="300"/>
      <c r="Q274" s="284">
        <f t="shared" si="5"/>
        <v>0</v>
      </c>
      <c r="R274" s="3" t="str">
        <f>_xlfn.IFNA(VLOOKUP(Tabella1[[#This Row],[Nome]],'ROSE SQUADRE'!$N$3:$O$253,2,0),"")</f>
        <v/>
      </c>
      <c r="S274" s="193">
        <f>SUM(Tabella1[[#This Row],[Gf]],Tabella1[[#This Row],[Rf]])</f>
        <v>0</v>
      </c>
      <c r="T274" s="193"/>
      <c r="U274" s="285" t="str">
        <f>IF(Tabella1[[#This Row],[N° FantaTit]]=1,Tabella1[[#This Row],[Voto]],"")</f>
        <v/>
      </c>
      <c r="V27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74" s="195"/>
      <c r="X274" s="193" t="str">
        <f>IF(Tabella1[[#This Row],[Best 11]]=1,Tabella1[[#This Row],[fanta voto]],"")</f>
        <v/>
      </c>
      <c r="Z274" s="193" t="str">
        <f>IF(Tabella1[[#This Row],[Best 11 MOD]]=1,Tabella1[[#This Row],[fanta voto]],"")</f>
        <v/>
      </c>
      <c r="AA274" t="str">
        <f>CONCATENATE(Tabella1[[#This Row],[GG]],Tabella1[[#This Row],[Nome]])</f>
        <v>1Palma</v>
      </c>
      <c r="AC274" t="str">
        <f>_xlfn.CONCAT(Tabella1[[#This Row],[Ruolo]],Tabella1[[#This Row],[Gs]])</f>
        <v>D0</v>
      </c>
    </row>
    <row r="275" spans="1:29" hidden="1" x14ac:dyDescent="0.3">
      <c r="A275" s="286">
        <v>46254</v>
      </c>
      <c r="B275" s="15">
        <v>1</v>
      </c>
      <c r="C275" s="283" t="s">
        <v>950</v>
      </c>
      <c r="D275" t="s">
        <v>161</v>
      </c>
      <c r="E275" t="s">
        <v>959</v>
      </c>
      <c r="F275" s="194">
        <v>6</v>
      </c>
      <c r="G275" s="328">
        <v>0</v>
      </c>
      <c r="H275" s="328">
        <v>0</v>
      </c>
      <c r="I275" s="328">
        <v>0</v>
      </c>
      <c r="J275" s="328">
        <v>0</v>
      </c>
      <c r="K275" s="328">
        <v>0</v>
      </c>
      <c r="L275" s="328">
        <v>0</v>
      </c>
      <c r="M275" s="328">
        <v>0</v>
      </c>
      <c r="N275" s="328">
        <v>0</v>
      </c>
      <c r="O275" s="328">
        <v>0</v>
      </c>
      <c r="P275" s="300"/>
      <c r="Q275" s="284">
        <f t="shared" si="5"/>
        <v>0</v>
      </c>
      <c r="R275" s="3" t="str">
        <f>_xlfn.IFNA(VLOOKUP(Tabella1[[#This Row],[Nome]],'ROSE SQUADRE'!$N$3:$O$253,2,0),"")</f>
        <v>PARTIZAN DEGRADO</v>
      </c>
      <c r="S275" s="193">
        <f>SUM(Tabella1[[#This Row],[Gf]],Tabella1[[#This Row],[Rf]])</f>
        <v>0</v>
      </c>
      <c r="T275" s="193"/>
      <c r="U275" s="285" t="str">
        <f>IF(Tabella1[[#This Row],[N° FantaTit]]=1,Tabella1[[#This Row],[Voto]],"")</f>
        <v/>
      </c>
      <c r="V27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75" s="195"/>
      <c r="X275" s="193" t="str">
        <f>IF(Tabella1[[#This Row],[Best 11]]=1,Tabella1[[#This Row],[fanta voto]],"")</f>
        <v/>
      </c>
      <c r="Z275" s="193" t="str">
        <f>IF(Tabella1[[#This Row],[Best 11 MOD]]=1,Tabella1[[#This Row],[fanta voto]],"")</f>
        <v/>
      </c>
      <c r="AA275" t="str">
        <f>CONCATENATE(Tabella1[[#This Row],[GG]],Tabella1[[#This Row],[Nome]])</f>
        <v>1Solet</v>
      </c>
      <c r="AC275" t="str">
        <f>_xlfn.CONCAT(Tabella1[[#This Row],[Ruolo]],Tabella1[[#This Row],[Gs]])</f>
        <v>D0</v>
      </c>
    </row>
    <row r="276" spans="1:29" hidden="1" x14ac:dyDescent="0.3">
      <c r="A276" s="286">
        <v>46254</v>
      </c>
      <c r="B276" s="15">
        <v>1</v>
      </c>
      <c r="C276" s="283" t="s">
        <v>950</v>
      </c>
      <c r="D276" s="330" t="s">
        <v>162</v>
      </c>
      <c r="E276" s="330" t="s">
        <v>605</v>
      </c>
      <c r="F276" s="331">
        <v>6.5</v>
      </c>
      <c r="G276" s="332">
        <v>0</v>
      </c>
      <c r="H276" s="332">
        <v>0</v>
      </c>
      <c r="I276" s="332">
        <v>0</v>
      </c>
      <c r="J276" s="332">
        <v>0</v>
      </c>
      <c r="K276" s="332">
        <v>0</v>
      </c>
      <c r="L276" s="332">
        <v>0</v>
      </c>
      <c r="M276" s="332">
        <v>0</v>
      </c>
      <c r="N276" s="332">
        <v>0</v>
      </c>
      <c r="O276" s="332">
        <v>0</v>
      </c>
      <c r="P276" s="300"/>
      <c r="Q276" s="284">
        <f t="shared" si="5"/>
        <v>0</v>
      </c>
      <c r="R276" s="3" t="str">
        <f>_xlfn.IFNA(VLOOKUP(Tabella1[[#This Row],[Nome]],'ROSE SQUADRE'!$N$3:$O$253,2,0),"")</f>
        <v>SAN GRIA</v>
      </c>
      <c r="S276" s="193">
        <f>SUM(Tabella1[[#This Row],[Gf]],Tabella1[[#This Row],[Rf]])</f>
        <v>0</v>
      </c>
      <c r="T276" s="193"/>
      <c r="U276" s="285" t="str">
        <f>IF(Tabella1[[#This Row],[N° FantaTit]]=1,Tabella1[[#This Row],[Voto]],"")</f>
        <v/>
      </c>
      <c r="V27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76" s="195"/>
      <c r="X276" s="193" t="str">
        <f>IF(Tabella1[[#This Row],[Best 11]]=1,Tabella1[[#This Row],[fanta voto]],"")</f>
        <v/>
      </c>
      <c r="Z276" s="193" t="str">
        <f>IF(Tabella1[[#This Row],[Best 11 MOD]]=1,Tabella1[[#This Row],[fanta voto]],"")</f>
        <v/>
      </c>
      <c r="AA276" t="str">
        <f>CONCATENATE(Tabella1[[#This Row],[GG]],Tabella1[[#This Row],[Nome]])</f>
        <v>1Zaniolo</v>
      </c>
      <c r="AC276" t="str">
        <f>_xlfn.CONCAT(Tabella1[[#This Row],[Ruolo]],Tabella1[[#This Row],[Gs]])</f>
        <v>C0</v>
      </c>
    </row>
    <row r="277" spans="1:29" hidden="1" x14ac:dyDescent="0.3">
      <c r="A277" s="286">
        <v>46254</v>
      </c>
      <c r="B277" s="15">
        <v>1</v>
      </c>
      <c r="C277" s="283" t="s">
        <v>950</v>
      </c>
      <c r="D277" s="330" t="s">
        <v>162</v>
      </c>
      <c r="E277" s="330" t="s">
        <v>578</v>
      </c>
      <c r="F277" s="331">
        <v>6.5</v>
      </c>
      <c r="G277" s="332">
        <v>0</v>
      </c>
      <c r="H277" s="332">
        <v>0</v>
      </c>
      <c r="I277" s="332">
        <v>0</v>
      </c>
      <c r="J277" s="332">
        <v>0</v>
      </c>
      <c r="K277" s="332">
        <v>0</v>
      </c>
      <c r="L277" s="332">
        <v>0</v>
      </c>
      <c r="M277" s="332">
        <v>0</v>
      </c>
      <c r="N277" s="332">
        <v>0</v>
      </c>
      <c r="O277" s="332">
        <v>0</v>
      </c>
      <c r="P277" s="300"/>
      <c r="Q277" s="284">
        <f t="shared" si="5"/>
        <v>0</v>
      </c>
      <c r="R277" s="3" t="str">
        <f>_xlfn.IFNA(VLOOKUP(Tabella1[[#This Row],[Nome]],'ROSE SQUADRE'!$N$3:$O$253,2,0),"")</f>
        <v>SHARK</v>
      </c>
      <c r="S277" s="193">
        <f>SUM(Tabella1[[#This Row],[Gf]],Tabella1[[#This Row],[Rf]])</f>
        <v>0</v>
      </c>
      <c r="T277" s="193"/>
      <c r="U277" s="285" t="str">
        <f>IF(Tabella1[[#This Row],[N° FantaTit]]="","",Tabella1[[#This Row],[fanta voto]])</f>
        <v/>
      </c>
      <c r="V277" s="193">
        <f>SUM(Tabella1[[#This Row],[Voto]],(G277*3),Q277,P277,O277,-(N277),(-M277/2),(-L277*2),(-H277),(I277*3),(-J277*3),(K277*3))</f>
        <v>6.5</v>
      </c>
      <c r="W277" s="193"/>
      <c r="X277" s="193" t="str">
        <f>IF(Tabella1[[#This Row],[Best 11]]=1,Tabella1[[#This Row],[fanta voto]],"")</f>
        <v/>
      </c>
      <c r="Z277" s="193" t="str">
        <f>IF(Tabella1[[#This Row],[Best 11 MOD]]=1,Tabella1[[#This Row],[fanta voto]],"")</f>
        <v/>
      </c>
      <c r="AA277" t="str">
        <f>CONCATENATE(Tabella1[[#This Row],[GG]],Tabella1[[#This Row],[Nome]])</f>
        <v>1Karlstrom</v>
      </c>
      <c r="AB277" t="str">
        <f>CONCATENATE(B277,R277,T277)</f>
        <v>1SHARK</v>
      </c>
      <c r="AC277" t="str">
        <f>_xlfn.CONCAT(Tabella1[[#This Row],[Ruolo]],Tabella1[[#This Row],[Gs]])</f>
        <v>C0</v>
      </c>
    </row>
    <row r="278" spans="1:29" hidden="1" x14ac:dyDescent="0.3">
      <c r="A278" s="286">
        <v>46254</v>
      </c>
      <c r="B278" s="15">
        <v>1</v>
      </c>
      <c r="C278" s="283" t="s">
        <v>950</v>
      </c>
      <c r="D278" t="s">
        <v>162</v>
      </c>
      <c r="E278" t="s">
        <v>579</v>
      </c>
      <c r="F278" s="194">
        <v>6.5</v>
      </c>
      <c r="G278" s="328">
        <v>0</v>
      </c>
      <c r="H278" s="328">
        <v>0</v>
      </c>
      <c r="I278" s="328">
        <v>0</v>
      </c>
      <c r="J278" s="328">
        <v>0</v>
      </c>
      <c r="K278" s="328">
        <v>0</v>
      </c>
      <c r="L278" s="328">
        <v>0</v>
      </c>
      <c r="M278" s="328">
        <v>0</v>
      </c>
      <c r="N278" s="328">
        <v>0</v>
      </c>
      <c r="O278" s="329">
        <v>1</v>
      </c>
      <c r="P278" s="313"/>
      <c r="Q278" s="284">
        <f t="shared" si="5"/>
        <v>0</v>
      </c>
      <c r="R278" s="3" t="str">
        <f>_xlfn.IFNA(VLOOKUP(Tabella1[[#This Row],[Nome]],'ROSE SQUADRE'!$N$3:$O$253,2,0),"")</f>
        <v>PARTIZAN DEGRADO</v>
      </c>
      <c r="S278">
        <f>SUM(Tabella1[[#This Row],[Gf]],Tabella1[[#This Row],[Rf]])</f>
        <v>0</v>
      </c>
      <c r="U278" s="314" t="str">
        <f>IF(Tabella1[[#This Row],[N° FantaTit]]="","",Tabella1[[#This Row],[fanta voto]])</f>
        <v/>
      </c>
      <c r="V278" s="315">
        <f>SUM(Tabella1[[#This Row],[Voto]],(G278*3),Q278,P278,O278,-(N278),(-M278/2),(-L278*2),(-H278),(I278*3),(-J278*3),(K278*3))</f>
        <v>7.5</v>
      </c>
      <c r="W278" s="193"/>
      <c r="X278" t="str">
        <f>IF(Tabella1[[#This Row],[Best 11]]=1,Tabella1[[#This Row],[fanta voto]],"")</f>
        <v/>
      </c>
      <c r="Z278" t="str">
        <f>IF(Tabella1[[#This Row],[Best 11 MOD]]=1,Tabella1[[#This Row],[fanta voto]],"")</f>
        <v/>
      </c>
      <c r="AA278" t="str">
        <f>CONCATENATE(Tabella1[[#This Row],[GG]],Tabella1[[#This Row],[Nome]])</f>
        <v>1Ekkelenkamp</v>
      </c>
      <c r="AB278" t="str">
        <f>CONCATENATE(B278,R278,T278)</f>
        <v>1PARTIZAN DEGRADO</v>
      </c>
      <c r="AC278" t="str">
        <f>_xlfn.CONCAT(Tabella1[[#This Row],[Ruolo]],Tabella1[[#This Row],[Gs]])</f>
        <v>C0</v>
      </c>
    </row>
    <row r="279" spans="1:29" hidden="1" x14ac:dyDescent="0.3">
      <c r="A279" s="14">
        <v>46254</v>
      </c>
      <c r="B279" s="15">
        <v>1</v>
      </c>
      <c r="C279" s="283" t="s">
        <v>950</v>
      </c>
      <c r="D279" s="330" t="s">
        <v>162</v>
      </c>
      <c r="E279" s="330" t="s">
        <v>963</v>
      </c>
      <c r="F279" s="335">
        <v>6</v>
      </c>
      <c r="G279" s="332">
        <v>0</v>
      </c>
      <c r="H279" s="332">
        <v>0</v>
      </c>
      <c r="I279" s="332">
        <v>0</v>
      </c>
      <c r="J279" s="332">
        <v>0</v>
      </c>
      <c r="K279" s="332">
        <v>0</v>
      </c>
      <c r="L279" s="332">
        <v>0</v>
      </c>
      <c r="M279" s="333">
        <v>1</v>
      </c>
      <c r="N279" s="332">
        <v>0</v>
      </c>
      <c r="O279" s="332">
        <v>0</v>
      </c>
      <c r="P279" s="284"/>
      <c r="Q279" s="284">
        <f t="shared" si="5"/>
        <v>0</v>
      </c>
      <c r="R279" s="3" t="str">
        <f>_xlfn.IFNA(VLOOKUP(Tabella1[[#This Row],[Nome]],'ROSE SQUADRE'!$N$3:$O$253,2,0),"")</f>
        <v/>
      </c>
      <c r="S279" s="193">
        <f>SUM(Tabella1[[#This Row],[Gf]],Tabella1[[#This Row],[Rf]])</f>
        <v>0</v>
      </c>
      <c r="T279" s="193"/>
      <c r="U279" s="285" t="str">
        <f>IF(Tabella1[[#This Row],[N° FantaTit]]="","",Tabella1[[#This Row],[fanta voto]])</f>
        <v/>
      </c>
      <c r="V279" s="193">
        <f>SUM(Tabella1[[#This Row],[Voto]],(G279*3),Q279,P279,O279,-(N279),(-M279/2),(-L279*2),(-H279),(I279*3),(-J279*3),(K279*3))</f>
        <v>5.5</v>
      </c>
      <c r="W279" s="193"/>
      <c r="X279" s="193" t="str">
        <f>IF(Tabella1[[#This Row],[Best 11]]=1,Tabella1[[#This Row],[fanta voto]],"")</f>
        <v/>
      </c>
      <c r="Z279" s="193" t="str">
        <f>IF(Tabella1[[#This Row],[Best 11 MOD]]=1,Tabella1[[#This Row],[fanta voto]],"")</f>
        <v/>
      </c>
      <c r="AA279" t="str">
        <f>CONCATENATE(Tabella1[[#This Row],[GG]],Tabella1[[#This Row],[Nome]])</f>
        <v>1Unai Gomez</v>
      </c>
      <c r="AB279" t="str">
        <f>CONCATENATE(B279,R279,T279)</f>
        <v>1</v>
      </c>
      <c r="AC279" t="str">
        <f>_xlfn.CONCAT(Tabella1[[#This Row],[Ruolo]],Tabella1[[#This Row],[Gs]])</f>
        <v>C0</v>
      </c>
    </row>
    <row r="280" spans="1:29" hidden="1" x14ac:dyDescent="0.3">
      <c r="A280" s="286">
        <v>46254</v>
      </c>
      <c r="B280" s="15">
        <v>1</v>
      </c>
      <c r="C280" s="283" t="s">
        <v>950</v>
      </c>
      <c r="D280" t="s">
        <v>162</v>
      </c>
      <c r="E280" t="s">
        <v>962</v>
      </c>
      <c r="F280" s="194">
        <v>6</v>
      </c>
      <c r="G280" s="328">
        <v>0</v>
      </c>
      <c r="H280" s="328">
        <v>0</v>
      </c>
      <c r="I280" s="328">
        <v>0</v>
      </c>
      <c r="J280" s="328">
        <v>0</v>
      </c>
      <c r="K280" s="328">
        <v>0</v>
      </c>
      <c r="L280" s="328">
        <v>0</v>
      </c>
      <c r="M280" s="329">
        <v>1</v>
      </c>
      <c r="N280" s="328">
        <v>0</v>
      </c>
      <c r="O280" s="328">
        <v>0</v>
      </c>
      <c r="P280" s="313"/>
      <c r="Q280" s="284">
        <f t="shared" si="5"/>
        <v>0</v>
      </c>
      <c r="R280" s="3" t="str">
        <f>_xlfn.IFNA(VLOOKUP(Tabella1[[#This Row],[Nome]],'ROSE SQUADRE'!$N$3:$O$253,2,0),"")</f>
        <v/>
      </c>
      <c r="S280">
        <f>SUM(Tabella1[[#This Row],[Gf]],Tabella1[[#This Row],[Rf]])</f>
        <v>0</v>
      </c>
      <c r="U280" s="314" t="str">
        <f>IF(Tabella1[[#This Row],[N° FantaTit]]="","",Tabella1[[#This Row],[fanta voto]])</f>
        <v/>
      </c>
      <c r="V280" s="315">
        <f>SUM(Tabella1[[#This Row],[Voto]],(G280*3),Q280,P280,O280,-(N280),(-M280/2),(-L280*2),(-H280),(I280*3),(-J280*3),(K280*3))</f>
        <v>5.5</v>
      </c>
      <c r="W280" s="193"/>
      <c r="X280" t="str">
        <f>IF(Tabella1[[#This Row],[Best 11]]=1,Tabella1[[#This Row],[fanta voto]],"")</f>
        <v/>
      </c>
      <c r="Z280" t="str">
        <f>IF(Tabella1[[#This Row],[Best 11 MOD]]=1,Tabella1[[#This Row],[fanta voto]],"")</f>
        <v/>
      </c>
      <c r="AA280" t="str">
        <f>CONCATENATE(Tabella1[[#This Row],[GG]],Tabella1[[#This Row],[Nome]])</f>
        <v>1Piotrowski</v>
      </c>
      <c r="AB280" t="str">
        <f>CONCATENATE(B280,R280,T280)</f>
        <v>1</v>
      </c>
      <c r="AC280" t="str">
        <f>_xlfn.CONCAT(Tabella1[[#This Row],[Ruolo]],Tabella1[[#This Row],[Gs]])</f>
        <v>C0</v>
      </c>
    </row>
    <row r="281" spans="1:29" hidden="1" x14ac:dyDescent="0.3">
      <c r="A281" s="286">
        <v>46254</v>
      </c>
      <c r="B281" s="15">
        <v>1</v>
      </c>
      <c r="C281" s="283" t="s">
        <v>950</v>
      </c>
      <c r="D281" s="330" t="s">
        <v>162</v>
      </c>
      <c r="E281" s="330" t="s">
        <v>961</v>
      </c>
      <c r="F281" s="331">
        <v>6</v>
      </c>
      <c r="G281" s="332">
        <v>0</v>
      </c>
      <c r="H281" s="332">
        <v>0</v>
      </c>
      <c r="I281" s="332">
        <v>0</v>
      </c>
      <c r="J281" s="332">
        <v>0</v>
      </c>
      <c r="K281" s="332">
        <v>0</v>
      </c>
      <c r="L281" s="332">
        <v>0</v>
      </c>
      <c r="M281" s="332">
        <v>0</v>
      </c>
      <c r="N281" s="332">
        <v>0</v>
      </c>
      <c r="O281" s="332">
        <v>0</v>
      </c>
      <c r="P281" s="313"/>
      <c r="Q281" s="313">
        <f t="shared" ref="Q281:Q321" si="6">IF(AC281="P0",1,0)</f>
        <v>0</v>
      </c>
      <c r="R281" s="3" t="str">
        <f>_xlfn.IFNA(VLOOKUP(Tabella1[[#This Row],[Nome]],'ROSE SQUADRE'!$N$3:$O$253,2,0),"")</f>
        <v/>
      </c>
      <c r="S281">
        <f>SUM(Tabella1[[#This Row],[Gf]],Tabella1[[#This Row],[Rf]])</f>
        <v>0</v>
      </c>
      <c r="U281" s="314" t="str">
        <f>IF(Tabella1[[#This Row],[N° FantaTit]]="","",Tabella1[[#This Row],[fanta voto]])</f>
        <v/>
      </c>
      <c r="V281" s="315">
        <f>SUM(Tabella1[[#This Row],[Voto]],(G281*3),Q281,P281,O281,-(N281),(-M281/2),(-L281*2),(-H281),(I281*3),(-J281*3),(K281*3))</f>
        <v>6</v>
      </c>
      <c r="W281" s="193"/>
      <c r="X281" t="str">
        <f>IF(Tabella1[[#This Row],[Best 11]]=1,Tabella1[[#This Row],[fanta voto]],"")</f>
        <v/>
      </c>
      <c r="Z281" t="str">
        <f>IF(Tabella1[[#This Row],[Best 11 MOD]]=1,Tabella1[[#This Row],[fanta voto]],"")</f>
        <v/>
      </c>
      <c r="AA281" t="str">
        <f>CONCATENATE(Tabella1[[#This Row],[GG]],Tabella1[[#This Row],[Nome]])</f>
        <v>1Miller L.</v>
      </c>
      <c r="AB281" t="str">
        <f t="shared" ref="AB281:AB321" si="7">CONCATENATE(B281,R281,T281)</f>
        <v>1</v>
      </c>
      <c r="AC281" t="str">
        <f>_xlfn.CONCAT(Tabella1[[#This Row],[Ruolo]],Tabella1[[#This Row],[Gs]])</f>
        <v>C0</v>
      </c>
    </row>
    <row r="282" spans="1:29" hidden="1" x14ac:dyDescent="0.3">
      <c r="A282" s="14">
        <v>46254</v>
      </c>
      <c r="B282" s="15">
        <v>1</v>
      </c>
      <c r="C282" s="321" t="s">
        <v>950</v>
      </c>
      <c r="D282" t="s">
        <v>163</v>
      </c>
      <c r="E282" t="s">
        <v>964</v>
      </c>
      <c r="F282" s="194">
        <v>5</v>
      </c>
      <c r="G282" s="328">
        <v>0</v>
      </c>
      <c r="H282" s="328">
        <v>0</v>
      </c>
      <c r="I282" s="328">
        <v>0</v>
      </c>
      <c r="J282" s="328">
        <v>0</v>
      </c>
      <c r="K282" s="328">
        <v>0</v>
      </c>
      <c r="L282" s="328">
        <v>0</v>
      </c>
      <c r="M282" s="328">
        <v>0</v>
      </c>
      <c r="N282" s="328">
        <v>0</v>
      </c>
      <c r="O282" s="328">
        <v>0</v>
      </c>
      <c r="P282" s="284"/>
      <c r="Q282" s="284">
        <f t="shared" si="6"/>
        <v>0</v>
      </c>
      <c r="R282" s="3" t="str">
        <f>_xlfn.IFNA(VLOOKUP(Tabella1[[#This Row],[Nome]],'ROSE SQUADRE'!$N$3:$O$253,2,0),"")</f>
        <v/>
      </c>
      <c r="S282" s="193">
        <f>SUM(Tabella1[[#This Row],[Gf]],Tabella1[[#This Row],[Rf]])</f>
        <v>0</v>
      </c>
      <c r="T282" s="193"/>
      <c r="U282" s="285" t="str">
        <f>IF(Tabella1[[#This Row],[N° FantaTit]]="","",Tabella1[[#This Row],[fanta voto]])</f>
        <v/>
      </c>
      <c r="V282" s="193">
        <f>SUM(Tabella1[[#This Row],[Voto]],(G282*3),Q282,P282,O282,-(N282),(-M282/2),(-L282*2),(-H282),(I282*3),(-J282*3),(K282*3))</f>
        <v>5</v>
      </c>
      <c r="W282" s="193"/>
      <c r="X282" s="193" t="str">
        <f>IF(Tabella1[[#This Row],[Best 11]]=1,Tabella1[[#This Row],[fanta voto]],"")</f>
        <v/>
      </c>
      <c r="Z282" s="193" t="str">
        <f>IF(Tabella1[[#This Row],[Best 11 MOD]]=1,Tabella1[[#This Row],[fanta voto]],"")</f>
        <v/>
      </c>
      <c r="AA282" t="str">
        <f>CONCATENATE(Tabella1[[#This Row],[GG]],Tabella1[[#This Row],[Nome]])</f>
        <v>1Bayo V.</v>
      </c>
      <c r="AB282" t="str">
        <f t="shared" si="7"/>
        <v>1</v>
      </c>
      <c r="AC282" t="str">
        <f>_xlfn.CONCAT(Tabella1[[#This Row],[Ruolo]],Tabella1[[#This Row],[Gs]])</f>
        <v>A0</v>
      </c>
    </row>
    <row r="283" spans="1:29" hidden="1" x14ac:dyDescent="0.3">
      <c r="A283" s="14">
        <v>46254</v>
      </c>
      <c r="B283" s="15">
        <v>1</v>
      </c>
      <c r="C283" s="321" t="s">
        <v>950</v>
      </c>
      <c r="D283" s="330" t="s">
        <v>163</v>
      </c>
      <c r="E283" s="330" t="s">
        <v>965</v>
      </c>
      <c r="F283" s="331">
        <v>5.5</v>
      </c>
      <c r="G283" s="332">
        <v>0</v>
      </c>
      <c r="H283" s="332">
        <v>0</v>
      </c>
      <c r="I283" s="332">
        <v>0</v>
      </c>
      <c r="J283" s="332">
        <v>0</v>
      </c>
      <c r="K283" s="332">
        <v>0</v>
      </c>
      <c r="L283" s="332">
        <v>0</v>
      </c>
      <c r="M283" s="332">
        <v>0</v>
      </c>
      <c r="N283" s="332">
        <v>0</v>
      </c>
      <c r="O283" s="332">
        <v>0</v>
      </c>
      <c r="P283" s="284"/>
      <c r="Q283" s="284">
        <f t="shared" si="6"/>
        <v>0</v>
      </c>
      <c r="R283" s="3" t="str">
        <f>_xlfn.IFNA(VLOOKUP(Tabella1[[#This Row],[Nome]],'ROSE SQUADRE'!$N$3:$O$253,2,0),"")</f>
        <v>AC ASPARAGHESE</v>
      </c>
      <c r="S283" s="193">
        <f>SUM(Tabella1[[#This Row],[Gf]],Tabella1[[#This Row],[Rf]])</f>
        <v>0</v>
      </c>
      <c r="T283" s="193"/>
      <c r="U283" s="285" t="str">
        <f>IF(Tabella1[[#This Row],[N° FantaTit]]="","",Tabella1[[#This Row],[fanta voto]])</f>
        <v/>
      </c>
      <c r="V283" s="193">
        <f>SUM(Tabella1[[#This Row],[Voto]],(G283*3),Q283,P283,O283,-(N283),(-M283/2),(-L283*2),(-H283),(I283*3),(-J283*3),(K283*3))</f>
        <v>5.5</v>
      </c>
      <c r="W283" s="193"/>
      <c r="X283" s="193" t="str">
        <f>IF(Tabella1[[#This Row],[Best 11]]=1,Tabella1[[#This Row],[fanta voto]],"")</f>
        <v/>
      </c>
      <c r="Z283" s="193" t="str">
        <f>IF(Tabella1[[#This Row],[Best 11 MOD]]=1,Tabella1[[#This Row],[fanta voto]],"")</f>
        <v/>
      </c>
      <c r="AA283" t="str">
        <f>CONCATENATE(Tabella1[[#This Row],[GG]],Tabella1[[#This Row],[Nome]])</f>
        <v>1Gueye</v>
      </c>
      <c r="AB283" t="str">
        <f t="shared" si="7"/>
        <v>1AC ASPARAGHESE</v>
      </c>
      <c r="AC283" t="str">
        <f>_xlfn.CONCAT(Tabella1[[#This Row],[Ruolo]],Tabella1[[#This Row],[Gs]])</f>
        <v>A0</v>
      </c>
    </row>
    <row r="284" spans="1:29" hidden="1" x14ac:dyDescent="0.3">
      <c r="A284" s="14">
        <v>46254</v>
      </c>
      <c r="B284" s="15">
        <v>1</v>
      </c>
      <c r="C284" s="321" t="s">
        <v>967</v>
      </c>
      <c r="D284" s="330" t="s">
        <v>5</v>
      </c>
      <c r="E284" s="330" t="s">
        <v>970</v>
      </c>
      <c r="F284" s="331">
        <v>5.5</v>
      </c>
      <c r="G284" s="332">
        <v>0</v>
      </c>
      <c r="H284" s="333">
        <v>2</v>
      </c>
      <c r="I284" s="332">
        <v>0</v>
      </c>
      <c r="J284" s="332">
        <v>0</v>
      </c>
      <c r="K284" s="332">
        <v>0</v>
      </c>
      <c r="L284" s="332">
        <v>0</v>
      </c>
      <c r="M284" s="332">
        <v>0</v>
      </c>
      <c r="N284" s="332">
        <v>0</v>
      </c>
      <c r="O284" s="332">
        <v>0</v>
      </c>
      <c r="P284" s="284"/>
      <c r="Q284" s="284">
        <f t="shared" si="6"/>
        <v>0</v>
      </c>
      <c r="R284" s="3" t="str">
        <f>_xlfn.IFNA(VLOOKUP(Tabella1[[#This Row],[Nome]],'ROSE SQUADRE'!$N$3:$O$253,2,0),"")</f>
        <v>SHARK</v>
      </c>
      <c r="S284" s="193">
        <f>SUM(Tabella1[[#This Row],[Gf]],Tabella1[[#This Row],[Rf]])</f>
        <v>0</v>
      </c>
      <c r="T284" s="193"/>
      <c r="U284" s="285" t="str">
        <f>IF(Tabella1[[#This Row],[N° FantaTit]]="","",Tabella1[[#This Row],[fanta voto]])</f>
        <v/>
      </c>
      <c r="V284" s="193">
        <f>SUM(Tabella1[[#This Row],[Voto]],(G284*3),Q284,P284,O284,-(N284),(-M284/2),(-L284*2),(-H284),(I284*3),(-J284*3),(K284*3))</f>
        <v>3.5</v>
      </c>
      <c r="W284" s="193"/>
      <c r="X284" s="193" t="str">
        <f>IF(Tabella1[[#This Row],[Best 11]]=1,Tabella1[[#This Row],[fanta voto]],"")</f>
        <v/>
      </c>
      <c r="Z284" s="193" t="str">
        <f>IF(Tabella1[[#This Row],[Best 11 MOD]]=1,Tabella1[[#This Row],[fanta voto]],"")</f>
        <v/>
      </c>
      <c r="AA284" t="str">
        <f>CONCATENATE(Tabella1[[#This Row],[GG]],Tabella1[[#This Row],[Nome]])</f>
        <v>1Stankovic F.</v>
      </c>
      <c r="AB284" t="str">
        <f t="shared" si="7"/>
        <v>1SHARK</v>
      </c>
      <c r="AC284" t="str">
        <f>_xlfn.CONCAT(Tabella1[[#This Row],[Ruolo]],Tabella1[[#This Row],[Gs]])</f>
        <v>P2</v>
      </c>
    </row>
    <row r="285" spans="1:29" hidden="1" x14ac:dyDescent="0.3">
      <c r="A285" s="14">
        <v>46254</v>
      </c>
      <c r="B285" s="15">
        <v>1</v>
      </c>
      <c r="C285" s="321" t="s">
        <v>967</v>
      </c>
      <c r="D285" t="s">
        <v>161</v>
      </c>
      <c r="E285" t="s">
        <v>972</v>
      </c>
      <c r="F285" s="194">
        <v>6.5</v>
      </c>
      <c r="G285" s="328">
        <v>0</v>
      </c>
      <c r="H285" s="328">
        <v>0</v>
      </c>
      <c r="I285" s="328">
        <v>0</v>
      </c>
      <c r="J285" s="328">
        <v>0</v>
      </c>
      <c r="K285" s="328">
        <v>0</v>
      </c>
      <c r="L285" s="328">
        <v>0</v>
      </c>
      <c r="M285" s="328">
        <v>0</v>
      </c>
      <c r="N285" s="328">
        <v>0</v>
      </c>
      <c r="O285" s="328">
        <v>0</v>
      </c>
      <c r="P285" s="284"/>
      <c r="Q285" s="284">
        <f t="shared" si="6"/>
        <v>0</v>
      </c>
      <c r="R285" s="3" t="str">
        <f>_xlfn.IFNA(VLOOKUP(Tabella1[[#This Row],[Nome]],'ROSE SQUADRE'!$N$3:$O$253,2,0),"")</f>
        <v>SHARK</v>
      </c>
      <c r="S285" s="193">
        <f>SUM(Tabella1[[#This Row],[Gf]],Tabella1[[#This Row],[Rf]])</f>
        <v>0</v>
      </c>
      <c r="T285" s="193"/>
      <c r="U285" s="285" t="str">
        <f>IF(Tabella1[[#This Row],[N° FantaTit]]="","",Tabella1[[#This Row],[fanta voto]])</f>
        <v/>
      </c>
      <c r="V285" s="193">
        <f>SUM(Tabella1[[#This Row],[Voto]],(G285*3),Q285,P285,O285,-(N285),(-M285/2),(-L285*2),(-H285),(I285*3),(-J285*3),(K285*3))</f>
        <v>6.5</v>
      </c>
      <c r="W285" s="193"/>
      <c r="X285" s="193" t="str">
        <f>IF(Tabella1[[#This Row],[Best 11]]=1,Tabella1[[#This Row],[fanta voto]],"")</f>
        <v/>
      </c>
      <c r="Z285" s="193" t="str">
        <f>IF(Tabella1[[#This Row],[Best 11 MOD]]=1,Tabella1[[#This Row],[fanta voto]],"")</f>
        <v/>
      </c>
      <c r="AA285" t="str">
        <f>CONCATENATE(Tabella1[[#This Row],[GG]],Tabella1[[#This Row],[Nome]])</f>
        <v>1Correia T.</v>
      </c>
      <c r="AB285" t="str">
        <f t="shared" si="7"/>
        <v>1SHARK</v>
      </c>
      <c r="AC285" t="str">
        <f>_xlfn.CONCAT(Tabella1[[#This Row],[Ruolo]],Tabella1[[#This Row],[Gs]])</f>
        <v>D0</v>
      </c>
    </row>
    <row r="286" spans="1:29" hidden="1" x14ac:dyDescent="0.3">
      <c r="A286" s="14">
        <v>46254</v>
      </c>
      <c r="B286" s="15">
        <v>1</v>
      </c>
      <c r="C286" s="321" t="s">
        <v>967</v>
      </c>
      <c r="D286" s="330" t="s">
        <v>161</v>
      </c>
      <c r="E286" s="330" t="s">
        <v>584</v>
      </c>
      <c r="F286" s="331">
        <v>5.5</v>
      </c>
      <c r="G286" s="332">
        <v>0</v>
      </c>
      <c r="H286" s="332">
        <v>0</v>
      </c>
      <c r="I286" s="332">
        <v>0</v>
      </c>
      <c r="J286" s="332">
        <v>0</v>
      </c>
      <c r="K286" s="332">
        <v>0</v>
      </c>
      <c r="L286" s="332">
        <v>0</v>
      </c>
      <c r="M286" s="332">
        <v>0</v>
      </c>
      <c r="N286" s="332">
        <v>0</v>
      </c>
      <c r="O286" s="332">
        <v>0</v>
      </c>
      <c r="P286" s="284"/>
      <c r="Q286" s="284">
        <f t="shared" si="6"/>
        <v>0</v>
      </c>
      <c r="R286" s="3" t="str">
        <f>_xlfn.IFNA(VLOOKUP(Tabella1[[#This Row],[Nome]],'ROSE SQUADRE'!$N$3:$O$253,2,0),"")</f>
        <v>FC INTERNAZIOANALE</v>
      </c>
      <c r="S286" s="193">
        <f>SUM(Tabella1[[#This Row],[Gf]],Tabella1[[#This Row],[Rf]])</f>
        <v>0</v>
      </c>
      <c r="T286" s="193"/>
      <c r="U286" s="285" t="str">
        <f>IF(Tabella1[[#This Row],[N° FantaTit]]="","",Tabella1[[#This Row],[fanta voto]])</f>
        <v/>
      </c>
      <c r="V286" s="193">
        <f>SUM(Tabella1[[#This Row],[Voto]],(G286*3),Q286,P286,O286,-(N286),(-M286/2),(-L286*2),(-H286),(I286*3),(-J286*3),(K286*3))</f>
        <v>5.5</v>
      </c>
      <c r="W286" s="193"/>
      <c r="X286" s="193" t="str">
        <f>IF(Tabella1[[#This Row],[Best 11]]=1,Tabella1[[#This Row],[fanta voto]],"")</f>
        <v/>
      </c>
      <c r="Z286" s="193" t="str">
        <f>IF(Tabella1[[#This Row],[Best 11 MOD]]=1,Tabella1[[#This Row],[fanta voto]],"")</f>
        <v/>
      </c>
      <c r="AA286" t="str">
        <f>CONCATENATE(Tabella1[[#This Row],[GG]],Tabella1[[#This Row],[Nome]])</f>
        <v>1Haps</v>
      </c>
      <c r="AB286" t="str">
        <f t="shared" si="7"/>
        <v>1FC INTERNAZIOANALE</v>
      </c>
      <c r="AC286" t="str">
        <f>_xlfn.CONCAT(Tabella1[[#This Row],[Ruolo]],Tabella1[[#This Row],[Gs]])</f>
        <v>D0</v>
      </c>
    </row>
    <row r="287" spans="1:29" hidden="1" x14ac:dyDescent="0.3">
      <c r="A287" s="14">
        <v>46254</v>
      </c>
      <c r="B287" s="15">
        <v>1</v>
      </c>
      <c r="C287" s="321" t="s">
        <v>967</v>
      </c>
      <c r="D287" s="330" t="s">
        <v>161</v>
      </c>
      <c r="E287" s="330" t="s">
        <v>563</v>
      </c>
      <c r="F287" s="331">
        <v>5.5</v>
      </c>
      <c r="G287" s="332">
        <v>0</v>
      </c>
      <c r="H287" s="332">
        <v>0</v>
      </c>
      <c r="I287" s="332">
        <v>0</v>
      </c>
      <c r="J287" s="332">
        <v>0</v>
      </c>
      <c r="K287" s="332">
        <v>0</v>
      </c>
      <c r="L287" s="332">
        <v>0</v>
      </c>
      <c r="M287" s="332">
        <v>0</v>
      </c>
      <c r="N287" s="332">
        <v>0</v>
      </c>
      <c r="O287" s="332">
        <v>0</v>
      </c>
      <c r="P287" s="284"/>
      <c r="Q287" s="284">
        <f t="shared" si="6"/>
        <v>0</v>
      </c>
      <c r="R287" s="3" t="str">
        <f>_xlfn.IFNA(VLOOKUP(Tabella1[[#This Row],[Nome]],'ROSE SQUADRE'!$N$3:$O$253,2,0),"")</f>
        <v/>
      </c>
      <c r="S287" s="193">
        <f>SUM(Tabella1[[#This Row],[Gf]],Tabella1[[#This Row],[Rf]])</f>
        <v>0</v>
      </c>
      <c r="T287" s="193"/>
      <c r="U287" s="285" t="str">
        <f>IF(Tabella1[[#This Row],[N° FantaTit]]="","",Tabella1[[#This Row],[fanta voto]])</f>
        <v/>
      </c>
      <c r="V287" s="193">
        <f>SUM(Tabella1[[#This Row],[Voto]],(G287*3),Q287,P287,O287,-(N287),(-M287/2),(-L287*2),(-H287),(I287*3),(-J287*3),(K287*3))</f>
        <v>5.5</v>
      </c>
      <c r="W287" s="193"/>
      <c r="X287" s="193" t="str">
        <f>IF(Tabella1[[#This Row],[Best 11]]=1,Tabella1[[#This Row],[fanta voto]],"")</f>
        <v/>
      </c>
      <c r="Z287" s="193" t="str">
        <f>IF(Tabella1[[#This Row],[Best 11 MOD]]=1,Tabella1[[#This Row],[fanta voto]],"")</f>
        <v/>
      </c>
      <c r="AA287" t="str">
        <f>CONCATENATE(Tabella1[[#This Row],[GG]],Tabella1[[#This Row],[Nome]])</f>
        <v>1Hainaut</v>
      </c>
      <c r="AB287" t="str">
        <f t="shared" si="7"/>
        <v>1</v>
      </c>
      <c r="AC287" t="str">
        <f>_xlfn.CONCAT(Tabella1[[#This Row],[Ruolo]],Tabella1[[#This Row],[Gs]])</f>
        <v>D0</v>
      </c>
    </row>
    <row r="288" spans="1:29" hidden="1" x14ac:dyDescent="0.3">
      <c r="A288" s="14">
        <v>46254</v>
      </c>
      <c r="B288" s="15">
        <v>1</v>
      </c>
      <c r="C288" s="321" t="s">
        <v>967</v>
      </c>
      <c r="D288" t="s">
        <v>161</v>
      </c>
      <c r="E288" t="s">
        <v>977</v>
      </c>
      <c r="F288" s="194">
        <v>5</v>
      </c>
      <c r="G288" s="328">
        <v>0</v>
      </c>
      <c r="H288" s="328">
        <v>0</v>
      </c>
      <c r="I288" s="328">
        <v>0</v>
      </c>
      <c r="J288" s="328">
        <v>0</v>
      </c>
      <c r="K288" s="328">
        <v>0</v>
      </c>
      <c r="L288" s="328">
        <v>0</v>
      </c>
      <c r="M288" s="328">
        <v>0</v>
      </c>
      <c r="N288" s="328">
        <v>0</v>
      </c>
      <c r="O288" s="328">
        <v>0</v>
      </c>
      <c r="P288" s="284"/>
      <c r="Q288" s="284">
        <f t="shared" si="6"/>
        <v>0</v>
      </c>
      <c r="R288" s="3" t="str">
        <f>_xlfn.IFNA(VLOOKUP(Tabella1[[#This Row],[Nome]],'ROSE SQUADRE'!$N$3:$O$253,2,0),"")</f>
        <v/>
      </c>
      <c r="S288" s="193">
        <f>SUM(Tabella1[[#This Row],[Gf]],Tabella1[[#This Row],[Rf]])</f>
        <v>0</v>
      </c>
      <c r="T288" s="193"/>
      <c r="U288" s="285" t="str">
        <f>IF(Tabella1[[#This Row],[N° FantaTit]]="","",Tabella1[[#This Row],[fanta voto]])</f>
        <v/>
      </c>
      <c r="V288" s="193">
        <f>SUM(Tabella1[[#This Row],[Voto]],(G288*3),Q288,P288,O288,-(N288),(-M288/2),(-L288*2),(-H288),(I288*3),(-J288*3),(K288*3))</f>
        <v>5</v>
      </c>
      <c r="W288" s="193"/>
      <c r="X288" s="193" t="str">
        <f>IF(Tabella1[[#This Row],[Best 11]]=1,Tabella1[[#This Row],[fanta voto]],"")</f>
        <v/>
      </c>
      <c r="Z288" s="193" t="str">
        <f>IF(Tabella1[[#This Row],[Best 11 MOD]]=1,Tabella1[[#This Row],[fanta voto]],"")</f>
        <v/>
      </c>
      <c r="AA288" t="str">
        <f>CONCATENATE(Tabella1[[#This Row],[GG]],Tabella1[[#This Row],[Nome]])</f>
        <v>1Schingtienne</v>
      </c>
      <c r="AB288" t="str">
        <f t="shared" si="7"/>
        <v>1</v>
      </c>
      <c r="AC288" t="str">
        <f>_xlfn.CONCAT(Tabella1[[#This Row],[Ruolo]],Tabella1[[#This Row],[Gs]])</f>
        <v>D0</v>
      </c>
    </row>
    <row r="289" spans="1:29" hidden="1" x14ac:dyDescent="0.3">
      <c r="A289" s="14">
        <v>46254</v>
      </c>
      <c r="B289" s="15">
        <v>1</v>
      </c>
      <c r="C289" s="321" t="s">
        <v>967</v>
      </c>
      <c r="D289" s="330" t="s">
        <v>161</v>
      </c>
      <c r="E289" s="330" t="s">
        <v>971</v>
      </c>
      <c r="F289" s="331">
        <v>5</v>
      </c>
      <c r="G289" s="332">
        <v>0</v>
      </c>
      <c r="H289" s="332">
        <v>0</v>
      </c>
      <c r="I289" s="332">
        <v>0</v>
      </c>
      <c r="J289" s="332">
        <v>0</v>
      </c>
      <c r="K289" s="332">
        <v>0</v>
      </c>
      <c r="L289" s="332">
        <v>0</v>
      </c>
      <c r="M289" s="332">
        <v>0</v>
      </c>
      <c r="N289" s="332">
        <v>0</v>
      </c>
      <c r="O289" s="332">
        <v>0</v>
      </c>
      <c r="P289" s="284"/>
      <c r="Q289" s="284">
        <f t="shared" si="6"/>
        <v>0</v>
      </c>
      <c r="R289" s="3" t="str">
        <f>_xlfn.IFNA(VLOOKUP(Tabella1[[#This Row],[Nome]],'ROSE SQUADRE'!$N$3:$O$253,2,0),"")</f>
        <v>ATL. IMPROVVISATO</v>
      </c>
      <c r="S289" s="193">
        <f>SUM(Tabella1[[#This Row],[Gf]],Tabella1[[#This Row],[Rf]])</f>
        <v>0</v>
      </c>
      <c r="T289" s="193"/>
      <c r="U289" s="285" t="str">
        <f>IF(Tabella1[[#This Row],[N° FantaTit]]="","",Tabella1[[#This Row],[fanta voto]])</f>
        <v/>
      </c>
      <c r="V289" s="193">
        <f>SUM(Tabella1[[#This Row],[Voto]],(G289*3),Q289,P289,O289,-(N289),(-M289/2),(-L289*2),(-H289),(I289*3),(-J289*3),(K289*3))</f>
        <v>5</v>
      </c>
      <c r="W289" s="193"/>
      <c r="X289" s="193" t="str">
        <f>IF(Tabella1[[#This Row],[Best 11]]=1,Tabella1[[#This Row],[fanta voto]],"")</f>
        <v/>
      </c>
      <c r="Z289" s="193" t="str">
        <f>IF(Tabella1[[#This Row],[Best 11 MOD]]=1,Tabella1[[#This Row],[fanta voto]],"")</f>
        <v/>
      </c>
      <c r="AA289" t="str">
        <f>CONCATENATE(Tabella1[[#This Row],[GG]],Tabella1[[#This Row],[Nome]])</f>
        <v>1Bella-Kotchap</v>
      </c>
      <c r="AB289" t="str">
        <f t="shared" si="7"/>
        <v>1ATL. IMPROVVISATO</v>
      </c>
      <c r="AC289" t="str">
        <f>_xlfn.CONCAT(Tabella1[[#This Row],[Ruolo]],Tabella1[[#This Row],[Gs]])</f>
        <v>D0</v>
      </c>
    </row>
    <row r="290" spans="1:29" hidden="1" x14ac:dyDescent="0.3">
      <c r="A290" s="14">
        <v>46254</v>
      </c>
      <c r="B290" s="15">
        <v>1</v>
      </c>
      <c r="C290" s="321" t="s">
        <v>967</v>
      </c>
      <c r="D290" t="s">
        <v>161</v>
      </c>
      <c r="E290" t="s">
        <v>973</v>
      </c>
      <c r="F290" s="194">
        <v>5.5</v>
      </c>
      <c r="G290" s="328">
        <v>0</v>
      </c>
      <c r="H290" s="328">
        <v>0</v>
      </c>
      <c r="I290" s="328">
        <v>0</v>
      </c>
      <c r="J290" s="328">
        <v>0</v>
      </c>
      <c r="K290" s="328">
        <v>0</v>
      </c>
      <c r="L290" s="328">
        <v>0</v>
      </c>
      <c r="M290" s="328">
        <v>0</v>
      </c>
      <c r="N290" s="328">
        <v>0</v>
      </c>
      <c r="O290" s="328">
        <v>0</v>
      </c>
      <c r="P290" s="284"/>
      <c r="Q290" s="284">
        <f t="shared" si="6"/>
        <v>0</v>
      </c>
      <c r="R290" s="3" t="str">
        <f>_xlfn.IFNA(VLOOKUP(Tabella1[[#This Row],[Nome]],'ROSE SQUADRE'!$N$3:$O$253,2,0),"")</f>
        <v/>
      </c>
      <c r="S290" s="193">
        <f>SUM(Tabella1[[#This Row],[Gf]],Tabella1[[#This Row],[Rf]])</f>
        <v>0</v>
      </c>
      <c r="T290" s="193"/>
      <c r="U290" s="285" t="str">
        <f>IF(Tabella1[[#This Row],[N° FantaTit]]="","",Tabella1[[#This Row],[fanta voto]])</f>
        <v/>
      </c>
      <c r="V290" s="193">
        <f>SUM(Tabella1[[#This Row],[Voto]],(G290*3),Q290,P290,O290,-(N290),(-M290/2),(-L290*2),(-H290),(I290*3),(-J290*3),(K290*3))</f>
        <v>5.5</v>
      </c>
      <c r="W290" s="193"/>
      <c r="X290" s="193" t="str">
        <f>IF(Tabella1[[#This Row],[Best 11]]=1,Tabella1[[#This Row],[fanta voto]],"")</f>
        <v/>
      </c>
      <c r="Z290" s="193" t="str">
        <f>IF(Tabella1[[#This Row],[Best 11 MOD]]=1,Tabella1[[#This Row],[fanta voto]],"")</f>
        <v/>
      </c>
      <c r="AA290" t="str">
        <f>CONCATENATE(Tabella1[[#This Row],[GG]],Tabella1[[#This Row],[Nome]])</f>
        <v>1Franjic</v>
      </c>
      <c r="AB290" t="str">
        <f t="shared" si="7"/>
        <v>1</v>
      </c>
      <c r="AC290" t="str">
        <f>_xlfn.CONCAT(Tabella1[[#This Row],[Ruolo]],Tabella1[[#This Row],[Gs]])</f>
        <v>D0</v>
      </c>
    </row>
    <row r="291" spans="1:29" hidden="1" x14ac:dyDescent="0.3">
      <c r="A291" s="14">
        <v>46254</v>
      </c>
      <c r="B291" s="15">
        <v>1</v>
      </c>
      <c r="C291" s="321" t="s">
        <v>967</v>
      </c>
      <c r="D291" s="330" t="s">
        <v>162</v>
      </c>
      <c r="E291" s="330" t="s">
        <v>979</v>
      </c>
      <c r="F291" s="331">
        <v>6</v>
      </c>
      <c r="G291" s="332">
        <v>0</v>
      </c>
      <c r="H291" s="332">
        <v>0</v>
      </c>
      <c r="I291" s="332">
        <v>0</v>
      </c>
      <c r="J291" s="332">
        <v>0</v>
      </c>
      <c r="K291" s="332">
        <v>0</v>
      </c>
      <c r="L291" s="332">
        <v>0</v>
      </c>
      <c r="M291" s="332">
        <v>0</v>
      </c>
      <c r="N291" s="332">
        <v>0</v>
      </c>
      <c r="O291" s="332">
        <v>0</v>
      </c>
      <c r="P291" s="284"/>
      <c r="Q291" s="284">
        <f t="shared" si="6"/>
        <v>0</v>
      </c>
      <c r="R291" s="3" t="str">
        <f>_xlfn.IFNA(VLOOKUP(Tabella1[[#This Row],[Nome]],'ROSE SQUADRE'!$N$3:$O$253,2,0),"")</f>
        <v/>
      </c>
      <c r="S291" s="193">
        <f>SUM(Tabella1[[#This Row],[Gf]],Tabella1[[#This Row],[Rf]])</f>
        <v>0</v>
      </c>
      <c r="T291" s="193"/>
      <c r="U291" s="285" t="str">
        <f>IF(Tabella1[[#This Row],[N° FantaTit]]="","",Tabella1[[#This Row],[fanta voto]])</f>
        <v/>
      </c>
      <c r="V291" s="193">
        <f>SUM(Tabella1[[#This Row],[Voto]],(G291*3),Q291,P291,O291,-(N291),(-M291/2),(-L291*2),(-H291),(I291*3),(-J291*3),(K291*3))</f>
        <v>6</v>
      </c>
      <c r="W291" s="193"/>
      <c r="X291" s="193" t="str">
        <f>IF(Tabella1[[#This Row],[Best 11]]=1,Tabella1[[#This Row],[fanta voto]],"")</f>
        <v/>
      </c>
      <c r="Z291" s="193" t="str">
        <f>IF(Tabella1[[#This Row],[Best 11 MOD]]=1,Tabella1[[#This Row],[fanta voto]],"")</f>
        <v/>
      </c>
      <c r="AA291" t="str">
        <f>CONCATENATE(Tabella1[[#This Row],[GG]],Tabella1[[#This Row],[Nome]])</f>
        <v>1Busio</v>
      </c>
      <c r="AB291" t="str">
        <f t="shared" si="7"/>
        <v>1</v>
      </c>
      <c r="AC291" t="str">
        <f>_xlfn.CONCAT(Tabella1[[#This Row],[Ruolo]],Tabella1[[#This Row],[Gs]])</f>
        <v>C0</v>
      </c>
    </row>
    <row r="292" spans="1:29" hidden="1" x14ac:dyDescent="0.3">
      <c r="A292" s="14">
        <v>46254</v>
      </c>
      <c r="B292" s="15">
        <v>1</v>
      </c>
      <c r="C292" s="321" t="s">
        <v>967</v>
      </c>
      <c r="D292" t="s">
        <v>162</v>
      </c>
      <c r="E292" t="s">
        <v>978</v>
      </c>
      <c r="F292" s="194">
        <v>5.5</v>
      </c>
      <c r="G292" s="328">
        <v>0</v>
      </c>
      <c r="H292" s="328">
        <v>0</v>
      </c>
      <c r="I292" s="328">
        <v>0</v>
      </c>
      <c r="J292" s="328">
        <v>0</v>
      </c>
      <c r="K292" s="328">
        <v>0</v>
      </c>
      <c r="L292" s="328">
        <v>0</v>
      </c>
      <c r="M292" s="328">
        <v>0</v>
      </c>
      <c r="N292" s="328">
        <v>0</v>
      </c>
      <c r="O292" s="328">
        <v>0</v>
      </c>
      <c r="P292" s="284"/>
      <c r="Q292" s="284">
        <f t="shared" si="6"/>
        <v>0</v>
      </c>
      <c r="R292" s="3" t="str">
        <f>_xlfn.IFNA(VLOOKUP(Tabella1[[#This Row],[Nome]],'ROSE SQUADRE'!$N$3:$O$253,2,0),"")</f>
        <v/>
      </c>
      <c r="S292" s="193">
        <f>SUM(Tabella1[[#This Row],[Gf]],Tabella1[[#This Row],[Rf]])</f>
        <v>0</v>
      </c>
      <c r="T292" s="193"/>
      <c r="U292" s="285" t="str">
        <f>IF(Tabella1[[#This Row],[N° FantaTit]]="","",Tabella1[[#This Row],[fanta voto]])</f>
        <v/>
      </c>
      <c r="V292" s="193">
        <f>SUM(Tabella1[[#This Row],[Voto]],(G292*3),Q292,P292,O292,-(N292),(-M292/2),(-L292*2),(-H292),(I292*3),(-J292*3),(K292*3))</f>
        <v>5.5</v>
      </c>
      <c r="W292" s="193"/>
      <c r="X292" s="193" t="str">
        <f>IF(Tabella1[[#This Row],[Best 11]]=1,Tabella1[[#This Row],[fanta voto]],"")</f>
        <v/>
      </c>
      <c r="Z292" s="193" t="str">
        <f>IF(Tabella1[[#This Row],[Best 11 MOD]]=1,Tabella1[[#This Row],[fanta voto]],"")</f>
        <v/>
      </c>
      <c r="AA292" t="str">
        <f>CONCATENATE(Tabella1[[#This Row],[GG]],Tabella1[[#This Row],[Nome]])</f>
        <v>1Basic</v>
      </c>
      <c r="AB292" t="str">
        <f t="shared" si="7"/>
        <v>1</v>
      </c>
      <c r="AC292" t="str">
        <f>_xlfn.CONCAT(Tabella1[[#This Row],[Ruolo]],Tabella1[[#This Row],[Gs]])</f>
        <v>C0</v>
      </c>
    </row>
    <row r="293" spans="1:29" hidden="1" x14ac:dyDescent="0.3">
      <c r="A293" s="14">
        <v>46254</v>
      </c>
      <c r="B293" s="15">
        <v>1</v>
      </c>
      <c r="C293" s="321" t="s">
        <v>967</v>
      </c>
      <c r="D293" s="330" t="s">
        <v>162</v>
      </c>
      <c r="E293" s="330" t="s">
        <v>982</v>
      </c>
      <c r="F293" s="331">
        <v>5.5</v>
      </c>
      <c r="G293" s="332">
        <v>0</v>
      </c>
      <c r="H293" s="332">
        <v>0</v>
      </c>
      <c r="I293" s="332">
        <v>0</v>
      </c>
      <c r="J293" s="332">
        <v>0</v>
      </c>
      <c r="K293" s="332">
        <v>0</v>
      </c>
      <c r="L293" s="332">
        <v>0</v>
      </c>
      <c r="M293" s="332">
        <v>0</v>
      </c>
      <c r="N293" s="332">
        <v>0</v>
      </c>
      <c r="O293" s="332">
        <v>0</v>
      </c>
      <c r="P293" s="284"/>
      <c r="Q293" s="284">
        <f t="shared" si="6"/>
        <v>0</v>
      </c>
      <c r="R293" s="3" t="str">
        <f>_xlfn.IFNA(VLOOKUP(Tabella1[[#This Row],[Nome]],'ROSE SQUADRE'!$N$3:$O$253,2,0),"")</f>
        <v/>
      </c>
      <c r="S293" s="193">
        <f>SUM(Tabella1[[#This Row],[Gf]],Tabella1[[#This Row],[Rf]])</f>
        <v>0</v>
      </c>
      <c r="T293" s="193"/>
      <c r="U293" s="285" t="str">
        <f>IF(Tabella1[[#This Row],[N° FantaTit]]="","",Tabella1[[#This Row],[fanta voto]])</f>
        <v/>
      </c>
      <c r="V293" s="193">
        <f>SUM(Tabella1[[#This Row],[Voto]],(G293*3),Q293,P293,O293,-(N293),(-M293/2),(-L293*2),(-H293),(I293*3),(-J293*3),(K293*3))</f>
        <v>5.5</v>
      </c>
      <c r="W293" s="193"/>
      <c r="X293" s="193" t="str">
        <f>IF(Tabella1[[#This Row],[Best 11]]=1,Tabella1[[#This Row],[fanta voto]],"")</f>
        <v/>
      </c>
      <c r="Z293" s="193" t="str">
        <f>IF(Tabella1[[#This Row],[Best 11 MOD]]=1,Tabella1[[#This Row],[fanta voto]],"")</f>
        <v/>
      </c>
      <c r="AA293" t="str">
        <f>CONCATENATE(Tabella1[[#This Row],[GG]],Tabella1[[#This Row],[Nome]])</f>
        <v>1Perez K.</v>
      </c>
      <c r="AB293" t="str">
        <f t="shared" si="7"/>
        <v>1</v>
      </c>
      <c r="AC293" t="str">
        <f>_xlfn.CONCAT(Tabella1[[#This Row],[Ruolo]],Tabella1[[#This Row],[Gs]])</f>
        <v>C0</v>
      </c>
    </row>
    <row r="294" spans="1:29" hidden="1" x14ac:dyDescent="0.3">
      <c r="A294" s="14">
        <v>46254</v>
      </c>
      <c r="B294" s="15">
        <v>1</v>
      </c>
      <c r="C294" s="321" t="s">
        <v>967</v>
      </c>
      <c r="D294" t="s">
        <v>162</v>
      </c>
      <c r="E294" t="s">
        <v>980</v>
      </c>
      <c r="F294" s="194">
        <v>5</v>
      </c>
      <c r="G294" s="328">
        <v>0</v>
      </c>
      <c r="H294" s="328">
        <v>0</v>
      </c>
      <c r="I294" s="328">
        <v>0</v>
      </c>
      <c r="J294" s="328">
        <v>0</v>
      </c>
      <c r="K294" s="328">
        <v>0</v>
      </c>
      <c r="L294" s="328">
        <v>0</v>
      </c>
      <c r="M294" s="329">
        <v>1</v>
      </c>
      <c r="N294" s="328">
        <v>0</v>
      </c>
      <c r="O294" s="328">
        <v>0</v>
      </c>
      <c r="P294" s="284"/>
      <c r="Q294" s="284">
        <f t="shared" si="6"/>
        <v>0</v>
      </c>
      <c r="R294" s="3" t="str">
        <f>_xlfn.IFNA(VLOOKUP(Tabella1[[#This Row],[Nome]],'ROSE SQUADRE'!$N$3:$O$253,2,0),"")</f>
        <v/>
      </c>
      <c r="S294" s="193">
        <f>SUM(Tabella1[[#This Row],[Gf]],Tabella1[[#This Row],[Rf]])</f>
        <v>0</v>
      </c>
      <c r="T294" s="193"/>
      <c r="U294" s="285" t="str">
        <f>IF(Tabella1[[#This Row],[N° FantaTit]]="","",Tabella1[[#This Row],[fanta voto]])</f>
        <v/>
      </c>
      <c r="V294" s="193">
        <f>SUM(Tabella1[[#This Row],[Voto]],(G294*3),Q294,P294,O294,-(N294),(-M294/2),(-L294*2),(-H294),(I294*3),(-J294*3),(K294*3))</f>
        <v>4.5</v>
      </c>
      <c r="W294" s="193"/>
      <c r="X294" s="193" t="str">
        <f>IF(Tabella1[[#This Row],[Best 11]]=1,Tabella1[[#This Row],[fanta voto]],"")</f>
        <v/>
      </c>
      <c r="Z294" s="193" t="str">
        <f>IF(Tabella1[[#This Row],[Best 11 MOD]]=1,Tabella1[[#This Row],[fanta voto]],"")</f>
        <v/>
      </c>
      <c r="AA294" t="str">
        <f>CONCATENATE(Tabella1[[#This Row],[GG]],Tabella1[[#This Row],[Nome]])</f>
        <v>1Dagasso</v>
      </c>
      <c r="AB294" t="str">
        <f t="shared" si="7"/>
        <v>1</v>
      </c>
      <c r="AC294" t="str">
        <f>_xlfn.CONCAT(Tabella1[[#This Row],[Ruolo]],Tabella1[[#This Row],[Gs]])</f>
        <v>C0</v>
      </c>
    </row>
    <row r="295" spans="1:29" hidden="1" x14ac:dyDescent="0.3">
      <c r="A295" s="14">
        <v>46254</v>
      </c>
      <c r="B295" s="15">
        <v>1</v>
      </c>
      <c r="C295" s="321" t="s">
        <v>967</v>
      </c>
      <c r="D295" s="330" t="s">
        <v>163</v>
      </c>
      <c r="E295" s="330" t="s">
        <v>988</v>
      </c>
      <c r="F295" s="331">
        <v>6</v>
      </c>
      <c r="G295" s="332">
        <v>0</v>
      </c>
      <c r="H295" s="332">
        <v>0</v>
      </c>
      <c r="I295" s="332">
        <v>0</v>
      </c>
      <c r="J295" s="332">
        <v>0</v>
      </c>
      <c r="K295" s="332">
        <v>0</v>
      </c>
      <c r="L295" s="332">
        <v>0</v>
      </c>
      <c r="M295" s="332">
        <v>0</v>
      </c>
      <c r="N295" s="332">
        <v>0</v>
      </c>
      <c r="O295" s="332">
        <v>0</v>
      </c>
      <c r="P295" s="284"/>
      <c r="Q295" s="284">
        <f t="shared" si="6"/>
        <v>0</v>
      </c>
      <c r="R295" s="3" t="str">
        <f>_xlfn.IFNA(VLOOKUP(Tabella1[[#This Row],[Nome]],'ROSE SQUADRE'!$N$3:$O$253,2,0),"")</f>
        <v>TRICCHETRACHT</v>
      </c>
      <c r="S295" s="193">
        <f>SUM(Tabella1[[#This Row],[Gf]],Tabella1[[#This Row],[Rf]])</f>
        <v>0</v>
      </c>
      <c r="T295" s="193"/>
      <c r="U295" s="285" t="str">
        <f>IF(Tabella1[[#This Row],[N° FantaTit]]="","",Tabella1[[#This Row],[fanta voto]])</f>
        <v/>
      </c>
      <c r="V295" s="193">
        <f>SUM(Tabella1[[#This Row],[Voto]],(G295*3),Q295,P295,O295,-(N295),(-M295/2),(-L295*2),(-H295),(I295*3),(-J295*3),(K295*3))</f>
        <v>6</v>
      </c>
      <c r="W295" s="193"/>
      <c r="X295" s="193" t="str">
        <f>IF(Tabella1[[#This Row],[Best 11]]=1,Tabella1[[#This Row],[fanta voto]],"")</f>
        <v/>
      </c>
      <c r="Z295" s="193" t="str">
        <f>IF(Tabella1[[#This Row],[Best 11 MOD]]=1,Tabella1[[#This Row],[fanta voto]],"")</f>
        <v/>
      </c>
      <c r="AA295" t="str">
        <f>CONCATENATE(Tabella1[[#This Row],[GG]],Tabella1[[#This Row],[Nome]])</f>
        <v>1Yeboah J.</v>
      </c>
      <c r="AB295" t="str">
        <f t="shared" si="7"/>
        <v>1TRICCHETRACHT</v>
      </c>
      <c r="AC295" t="str">
        <f>_xlfn.CONCAT(Tabella1[[#This Row],[Ruolo]],Tabella1[[#This Row],[Gs]])</f>
        <v>A0</v>
      </c>
    </row>
    <row r="296" spans="1:29" hidden="1" x14ac:dyDescent="0.3">
      <c r="A296" s="14">
        <v>46254</v>
      </c>
      <c r="B296" s="15">
        <v>1</v>
      </c>
      <c r="C296" s="321" t="s">
        <v>967</v>
      </c>
      <c r="D296" s="330" t="s">
        <v>163</v>
      </c>
      <c r="E296" s="330" t="s">
        <v>983</v>
      </c>
      <c r="F296" s="331">
        <v>5.5</v>
      </c>
      <c r="G296" s="332">
        <v>0</v>
      </c>
      <c r="H296" s="332">
        <v>0</v>
      </c>
      <c r="I296" s="332">
        <v>0</v>
      </c>
      <c r="J296" s="332">
        <v>0</v>
      </c>
      <c r="K296" s="332">
        <v>0</v>
      </c>
      <c r="L296" s="332">
        <v>0</v>
      </c>
      <c r="M296" s="332">
        <v>0</v>
      </c>
      <c r="N296" s="332">
        <v>0</v>
      </c>
      <c r="O296" s="332">
        <v>0</v>
      </c>
      <c r="P296" s="284"/>
      <c r="Q296" s="284">
        <f t="shared" si="6"/>
        <v>0</v>
      </c>
      <c r="R296" s="3" t="str">
        <f>_xlfn.IFNA(VLOOKUP(Tabella1[[#This Row],[Nome]],'ROSE SQUADRE'!$N$3:$O$253,2,0),"")</f>
        <v>AS PIPPERIA</v>
      </c>
      <c r="S296" s="193">
        <f>SUM(Tabella1[[#This Row],[Gf]],Tabella1[[#This Row],[Rf]])</f>
        <v>0</v>
      </c>
      <c r="T296" s="193"/>
      <c r="U296" s="285" t="str">
        <f>IF(Tabella1[[#This Row],[N° FantaTit]]="","",Tabella1[[#This Row],[fanta voto]])</f>
        <v/>
      </c>
      <c r="V296" s="193">
        <f>SUM(Tabella1[[#This Row],[Voto]],(G296*3),Q296,P296,O296,-(N296),(-M296/2),(-L296*2),(-H296),(I296*3),(-J296*3),(K296*3))</f>
        <v>5.5</v>
      </c>
      <c r="W296" s="193"/>
      <c r="X296" s="193" t="str">
        <f>IF(Tabella1[[#This Row],[Best 11]]=1,Tabella1[[#This Row],[fanta voto]],"")</f>
        <v/>
      </c>
      <c r="Z296" s="193" t="str">
        <f>IF(Tabella1[[#This Row],[Best 11 MOD]]=1,Tabella1[[#This Row],[fanta voto]],"")</f>
        <v/>
      </c>
      <c r="AA296" t="str">
        <f>CONCATENATE(Tabella1[[#This Row],[GG]],Tabella1[[#This Row],[Nome]])</f>
        <v>1Adams A.</v>
      </c>
      <c r="AB296" t="str">
        <f t="shared" si="7"/>
        <v>1AS PIPPERIA</v>
      </c>
      <c r="AC296" t="str">
        <f>_xlfn.CONCAT(Tabella1[[#This Row],[Ruolo]],Tabella1[[#This Row],[Gs]])</f>
        <v>A0</v>
      </c>
    </row>
    <row r="297" spans="1:29" hidden="1" x14ac:dyDescent="0.3">
      <c r="A297" s="14">
        <v>46261</v>
      </c>
      <c r="B297" s="15">
        <v>2</v>
      </c>
      <c r="C297" s="321" t="s">
        <v>642</v>
      </c>
      <c r="D297" t="s">
        <v>5</v>
      </c>
      <c r="E297" t="s">
        <v>604</v>
      </c>
      <c r="F297" s="194">
        <v>7</v>
      </c>
      <c r="G297" s="328">
        <v>0</v>
      </c>
      <c r="H297" s="328">
        <v>0</v>
      </c>
      <c r="I297" s="328">
        <v>0</v>
      </c>
      <c r="J297" s="328">
        <v>0</v>
      </c>
      <c r="K297" s="328">
        <v>0</v>
      </c>
      <c r="L297" s="328">
        <v>0</v>
      </c>
      <c r="M297" s="328">
        <v>0</v>
      </c>
      <c r="N297" s="328">
        <v>0</v>
      </c>
      <c r="O297" s="328">
        <v>0</v>
      </c>
      <c r="P297" s="284"/>
      <c r="Q297" s="284">
        <f t="shared" si="6"/>
        <v>1</v>
      </c>
      <c r="R297" s="3" t="str">
        <f>_xlfn.IFNA(VLOOKUP(Tabella1[[#This Row],[Nome]],'ROSE SQUADRE'!$N$3:$O$253,2,0),"")</f>
        <v>PARTIZAN DEGRADO</v>
      </c>
      <c r="S297" s="193">
        <f>SUM(Tabella1[[#This Row],[Gf]],Tabella1[[#This Row],[Rf]])</f>
        <v>0</v>
      </c>
      <c r="T297" s="193"/>
      <c r="U297" s="285" t="str">
        <f>IF(Tabella1[[#This Row],[N° FantaTit]]="","",Tabella1[[#This Row],[fanta voto]])</f>
        <v/>
      </c>
      <c r="V297" s="193">
        <f>SUM(Tabella1[[#This Row],[Voto]],(G297*3),Q297,P297,O297,-(N297),(-M297/2),(-L297*2),(-H297),(I297*3),(-J297*3),(K297*3))</f>
        <v>8</v>
      </c>
      <c r="W297" s="193"/>
      <c r="X297" s="193" t="str">
        <f>IF(Tabella1[[#This Row],[Best 11]]=1,Tabella1[[#This Row],[fanta voto]],"")</f>
        <v/>
      </c>
      <c r="Z297" s="193" t="str">
        <f>IF(Tabella1[[#This Row],[Best 11 MOD]]=1,Tabella1[[#This Row],[fanta voto]],"")</f>
        <v/>
      </c>
      <c r="AA297" t="str">
        <f>CONCATENATE(Tabella1[[#This Row],[GG]],Tabella1[[#This Row],[Nome]])</f>
        <v>2Carnesecchi</v>
      </c>
      <c r="AB297" t="str">
        <f t="shared" si="7"/>
        <v>2PARTIZAN DEGRADO</v>
      </c>
      <c r="AC297" t="str">
        <f>_xlfn.CONCAT(Tabella1[[#This Row],[Ruolo]],Tabella1[[#This Row],[Gs]])</f>
        <v>P0</v>
      </c>
    </row>
    <row r="298" spans="1:29" hidden="1" x14ac:dyDescent="0.3">
      <c r="A298" s="14">
        <v>46261</v>
      </c>
      <c r="B298" s="15">
        <v>2</v>
      </c>
      <c r="C298" s="321" t="s">
        <v>642</v>
      </c>
      <c r="D298" s="330" t="s">
        <v>161</v>
      </c>
      <c r="E298" s="330" t="s">
        <v>331</v>
      </c>
      <c r="F298" s="331">
        <v>5.5</v>
      </c>
      <c r="G298" s="332">
        <v>0</v>
      </c>
      <c r="H298" s="332">
        <v>0</v>
      </c>
      <c r="I298" s="332">
        <v>0</v>
      </c>
      <c r="J298" s="332">
        <v>0</v>
      </c>
      <c r="K298" s="332">
        <v>0</v>
      </c>
      <c r="L298" s="332">
        <v>0</v>
      </c>
      <c r="M298" s="332">
        <v>0</v>
      </c>
      <c r="N298" s="332">
        <v>0</v>
      </c>
      <c r="O298" s="332">
        <v>0</v>
      </c>
      <c r="P298" s="284"/>
      <c r="Q298" s="284">
        <f t="shared" si="6"/>
        <v>0</v>
      </c>
      <c r="R298" s="3" t="str">
        <f>_xlfn.IFNA(VLOOKUP(Tabella1[[#This Row],[Nome]],'ROSE SQUADRE'!$N$3:$O$253,2,0),"")</f>
        <v/>
      </c>
      <c r="S298" s="193">
        <f>SUM(Tabella1[[#This Row],[Gf]],Tabella1[[#This Row],[Rf]])</f>
        <v>0</v>
      </c>
      <c r="T298" s="193"/>
      <c r="U298" s="285" t="str">
        <f>IF(Tabella1[[#This Row],[N° FantaTit]]="","",Tabella1[[#This Row],[fanta voto]])</f>
        <v/>
      </c>
      <c r="V298" s="193">
        <f>SUM(Tabella1[[#This Row],[Voto]],(G298*3),Q298,P298,O298,-(N298),(-M298/2),(-L298*2),(-H298),(I298*3),(-J298*3),(K298*3))</f>
        <v>5.5</v>
      </c>
      <c r="W298" s="193"/>
      <c r="X298" s="193" t="str">
        <f>IF(Tabella1[[#This Row],[Best 11]]=1,Tabella1[[#This Row],[fanta voto]],"")</f>
        <v/>
      </c>
      <c r="Z298" s="193" t="str">
        <f>IF(Tabella1[[#This Row],[Best 11 MOD]]=1,Tabella1[[#This Row],[fanta voto]],"")</f>
        <v/>
      </c>
      <c r="AA298" t="str">
        <f>CONCATENATE(Tabella1[[#This Row],[GG]],Tabella1[[#This Row],[Nome]])</f>
        <v>2Zappacosta</v>
      </c>
      <c r="AB298" t="str">
        <f t="shared" si="7"/>
        <v>2</v>
      </c>
      <c r="AC298" t="str">
        <f>_xlfn.CONCAT(Tabella1[[#This Row],[Ruolo]],Tabella1[[#This Row],[Gs]])</f>
        <v>D0</v>
      </c>
    </row>
    <row r="299" spans="1:29" hidden="1" x14ac:dyDescent="0.3">
      <c r="A299" s="14">
        <v>46261</v>
      </c>
      <c r="B299" s="15">
        <v>2</v>
      </c>
      <c r="C299" s="321" t="s">
        <v>642</v>
      </c>
      <c r="D299" t="s">
        <v>161</v>
      </c>
      <c r="E299" t="s">
        <v>635</v>
      </c>
      <c r="F299" s="194">
        <v>6</v>
      </c>
      <c r="G299" s="328">
        <v>0</v>
      </c>
      <c r="H299" s="328">
        <v>0</v>
      </c>
      <c r="I299" s="328">
        <v>0</v>
      </c>
      <c r="J299" s="328">
        <v>0</v>
      </c>
      <c r="K299" s="328">
        <v>0</v>
      </c>
      <c r="L299" s="328">
        <v>0</v>
      </c>
      <c r="M299" s="328">
        <v>0</v>
      </c>
      <c r="N299" s="328">
        <v>0</v>
      </c>
      <c r="O299" s="328">
        <v>0</v>
      </c>
      <c r="P299" s="284"/>
      <c r="Q299" s="284">
        <f t="shared" si="6"/>
        <v>0</v>
      </c>
      <c r="R299" s="3" t="str">
        <f>_xlfn.IFNA(VLOOKUP(Tabella1[[#This Row],[Nome]],'ROSE SQUADRE'!$N$3:$O$253,2,0),"")</f>
        <v/>
      </c>
      <c r="S299" s="193">
        <f>SUM(Tabella1[[#This Row],[Gf]],Tabella1[[#This Row],[Rf]])</f>
        <v>0</v>
      </c>
      <c r="T299" s="193"/>
      <c r="U299" s="285" t="str">
        <f>IF(Tabella1[[#This Row],[N° FantaTit]]="","",Tabella1[[#This Row],[fanta voto]])</f>
        <v/>
      </c>
      <c r="V299" s="193">
        <f>SUM(Tabella1[[#This Row],[Voto]],(G299*3),Q299,P299,O299,-(N299),(-M299/2),(-L299*2),(-H299),(I299*3),(-J299*3),(K299*3))</f>
        <v>6</v>
      </c>
      <c r="W299" s="193"/>
      <c r="X299" s="193" t="str">
        <f>IF(Tabella1[[#This Row],[Best 11]]=1,Tabella1[[#This Row],[fanta voto]],"")</f>
        <v/>
      </c>
      <c r="Z299" s="193" t="str">
        <f>IF(Tabella1[[#This Row],[Best 11 MOD]]=1,Tabella1[[#This Row],[fanta voto]],"")</f>
        <v/>
      </c>
      <c r="AA299" t="str">
        <f>CONCATENATE(Tabella1[[#This Row],[GG]],Tabella1[[#This Row],[Nome]])</f>
        <v>2Kolasinac</v>
      </c>
      <c r="AB299" t="str">
        <f t="shared" si="7"/>
        <v>2</v>
      </c>
      <c r="AC299" t="str">
        <f>_xlfn.CONCAT(Tabella1[[#This Row],[Ruolo]],Tabella1[[#This Row],[Gs]])</f>
        <v>D0</v>
      </c>
    </row>
    <row r="300" spans="1:29" hidden="1" x14ac:dyDescent="0.3">
      <c r="A300" s="14">
        <v>46261</v>
      </c>
      <c r="B300" s="15">
        <v>2</v>
      </c>
      <c r="C300" s="321" t="s">
        <v>642</v>
      </c>
      <c r="D300" t="s">
        <v>161</v>
      </c>
      <c r="E300" t="s">
        <v>636</v>
      </c>
      <c r="F300" s="194">
        <v>6</v>
      </c>
      <c r="G300" s="328">
        <v>0</v>
      </c>
      <c r="H300" s="328">
        <v>0</v>
      </c>
      <c r="I300" s="328">
        <v>0</v>
      </c>
      <c r="J300" s="328">
        <v>0</v>
      </c>
      <c r="K300" s="328">
        <v>0</v>
      </c>
      <c r="L300" s="328">
        <v>0</v>
      </c>
      <c r="M300" s="328">
        <v>0</v>
      </c>
      <c r="N300" s="328">
        <v>0</v>
      </c>
      <c r="O300" s="328">
        <v>0</v>
      </c>
      <c r="P300" s="284"/>
      <c r="Q300" s="284">
        <f t="shared" si="6"/>
        <v>0</v>
      </c>
      <c r="R300" s="3" t="str">
        <f>_xlfn.IFNA(VLOOKUP(Tabella1[[#This Row],[Nome]],'ROSE SQUADRE'!$N$3:$O$253,2,0),"")</f>
        <v>SESTO ASENSIO</v>
      </c>
      <c r="S300" s="193">
        <f>SUM(Tabella1[[#This Row],[Gf]],Tabella1[[#This Row],[Rf]])</f>
        <v>0</v>
      </c>
      <c r="T300" s="193"/>
      <c r="U300" s="285" t="str">
        <f>IF(Tabella1[[#This Row],[N° FantaTit]]="","",Tabella1[[#This Row],[fanta voto]])</f>
        <v/>
      </c>
      <c r="V300" s="193">
        <f>SUM(Tabella1[[#This Row],[Voto]],(G300*3),Q300,P300,O300,-(N300),(-M300/2),(-L300*2),(-H300),(I300*3),(-J300*3),(K300*3))</f>
        <v>6</v>
      </c>
      <c r="W300" s="193"/>
      <c r="X300" s="193" t="str">
        <f>IF(Tabella1[[#This Row],[Best 11]]=1,Tabella1[[#This Row],[fanta voto]],"")</f>
        <v/>
      </c>
      <c r="Z300" s="193" t="str">
        <f>IF(Tabella1[[#This Row],[Best 11 MOD]]=1,Tabella1[[#This Row],[fanta voto]],"")</f>
        <v/>
      </c>
      <c r="AA300" t="str">
        <f>CONCATENATE(Tabella1[[#This Row],[GG]],Tabella1[[#This Row],[Nome]])</f>
        <v>2Scalvini</v>
      </c>
      <c r="AB300" t="str">
        <f t="shared" si="7"/>
        <v>2SESTO ASENSIO</v>
      </c>
      <c r="AC300" t="str">
        <f>_xlfn.CONCAT(Tabella1[[#This Row],[Ruolo]],Tabella1[[#This Row],[Gs]])</f>
        <v>D0</v>
      </c>
    </row>
    <row r="301" spans="1:29" hidden="1" x14ac:dyDescent="0.3">
      <c r="A301" s="14">
        <v>46261</v>
      </c>
      <c r="B301" s="15">
        <v>2</v>
      </c>
      <c r="C301" s="321" t="s">
        <v>642</v>
      </c>
      <c r="D301" s="330" t="s">
        <v>161</v>
      </c>
      <c r="E301" s="330" t="s">
        <v>637</v>
      </c>
      <c r="F301" s="331">
        <v>6</v>
      </c>
      <c r="G301" s="332">
        <v>0</v>
      </c>
      <c r="H301" s="332">
        <v>0</v>
      </c>
      <c r="I301" s="332">
        <v>0</v>
      </c>
      <c r="J301" s="332">
        <v>0</v>
      </c>
      <c r="K301" s="332">
        <v>0</v>
      </c>
      <c r="L301" s="332">
        <v>0</v>
      </c>
      <c r="M301" s="332">
        <v>0</v>
      </c>
      <c r="N301" s="332">
        <v>0</v>
      </c>
      <c r="O301" s="332">
        <v>0</v>
      </c>
      <c r="P301" s="284"/>
      <c r="Q301" s="284">
        <f t="shared" si="6"/>
        <v>0</v>
      </c>
      <c r="R301" s="3" t="str">
        <f>_xlfn.IFNA(VLOOKUP(Tabella1[[#This Row],[Nome]],'ROSE SQUADRE'!$N$3:$O$253,2,0),"")</f>
        <v/>
      </c>
      <c r="S301" s="193">
        <f>SUM(Tabella1[[#This Row],[Gf]],Tabella1[[#This Row],[Rf]])</f>
        <v>0</v>
      </c>
      <c r="T301" s="193"/>
      <c r="U301" s="285" t="str">
        <f>IF(Tabella1[[#This Row],[N° FantaTit]]="","",Tabella1[[#This Row],[fanta voto]])</f>
        <v/>
      </c>
      <c r="V301" s="193">
        <f>SUM(Tabella1[[#This Row],[Voto]],(G301*3),Q301,P301,O301,-(N301),(-M301/2),(-L301*2),(-H301),(I301*3),(-J301*3),(K301*3))</f>
        <v>6</v>
      </c>
      <c r="W301" s="193"/>
      <c r="X301" s="193" t="str">
        <f>IF(Tabella1[[#This Row],[Best 11]]=1,Tabella1[[#This Row],[fanta voto]],"")</f>
        <v/>
      </c>
      <c r="Z301" s="193" t="str">
        <f>IF(Tabella1[[#This Row],[Best 11 MOD]]=1,Tabella1[[#This Row],[fanta voto]],"")</f>
        <v/>
      </c>
      <c r="AA301" t="str">
        <f>CONCATENATE(Tabella1[[#This Row],[GG]],Tabella1[[#This Row],[Nome]])</f>
        <v>2Kossounou</v>
      </c>
      <c r="AB301" t="str">
        <f t="shared" si="7"/>
        <v>2</v>
      </c>
      <c r="AC301" t="str">
        <f>_xlfn.CONCAT(Tabella1[[#This Row],[Ruolo]],Tabella1[[#This Row],[Gs]])</f>
        <v>D0</v>
      </c>
    </row>
    <row r="302" spans="1:29" hidden="1" x14ac:dyDescent="0.3">
      <c r="A302" s="14">
        <v>46261</v>
      </c>
      <c r="B302" s="15">
        <v>2</v>
      </c>
      <c r="C302" s="321" t="s">
        <v>642</v>
      </c>
      <c r="D302" t="s">
        <v>162</v>
      </c>
      <c r="E302" t="s">
        <v>271</v>
      </c>
      <c r="F302" s="194">
        <v>5.5</v>
      </c>
      <c r="G302" s="328">
        <v>0</v>
      </c>
      <c r="H302" s="328">
        <v>0</v>
      </c>
      <c r="I302" s="328">
        <v>0</v>
      </c>
      <c r="J302" s="328">
        <v>0</v>
      </c>
      <c r="K302" s="328">
        <v>0</v>
      </c>
      <c r="L302" s="328">
        <v>0</v>
      </c>
      <c r="M302" s="328">
        <v>0</v>
      </c>
      <c r="N302" s="328">
        <v>0</v>
      </c>
      <c r="O302" s="328">
        <v>0</v>
      </c>
      <c r="P302" s="284"/>
      <c r="Q302" s="284">
        <f t="shared" si="6"/>
        <v>0</v>
      </c>
      <c r="R302" s="3" t="str">
        <f>_xlfn.IFNA(VLOOKUP(Tabella1[[#This Row],[Nome]],'ROSE SQUADRE'!$N$3:$O$253,2,0),"")</f>
        <v>ATL. IMPROVVISATO</v>
      </c>
      <c r="S302" s="193">
        <f>SUM(Tabella1[[#This Row],[Gf]],Tabella1[[#This Row],[Rf]])</f>
        <v>0</v>
      </c>
      <c r="T302" s="193"/>
      <c r="U302" s="285" t="str">
        <f>IF(Tabella1[[#This Row],[N° FantaTit]]="","",Tabella1[[#This Row],[fanta voto]])</f>
        <v/>
      </c>
      <c r="V302" s="193">
        <f>SUM(Tabella1[[#This Row],[Voto]],(G302*3),Q302,P302,O302,-(N302),(-M302/2),(-L302*2),(-H302),(I302*3),(-J302*3),(K302*3))</f>
        <v>5.5</v>
      </c>
      <c r="W302" s="193"/>
      <c r="X302" s="193" t="str">
        <f>IF(Tabella1[[#This Row],[Best 11]]=1,Tabella1[[#This Row],[fanta voto]],"")</f>
        <v/>
      </c>
      <c r="Z302" s="193" t="str">
        <f>IF(Tabella1[[#This Row],[Best 11 MOD]]=1,Tabella1[[#This Row],[fanta voto]],"")</f>
        <v/>
      </c>
      <c r="AA302" t="str">
        <f>CONCATENATE(Tabella1[[#This Row],[GG]],Tabella1[[#This Row],[Nome]])</f>
        <v>2Pasalic</v>
      </c>
      <c r="AB302" t="str">
        <f t="shared" si="7"/>
        <v>2ATL. IMPROVVISATO</v>
      </c>
      <c r="AC302" t="str">
        <f>_xlfn.CONCAT(Tabella1[[#This Row],[Ruolo]],Tabella1[[#This Row],[Gs]])</f>
        <v>C0</v>
      </c>
    </row>
    <row r="303" spans="1:29" hidden="1" x14ac:dyDescent="0.3">
      <c r="A303" s="14">
        <v>46261</v>
      </c>
      <c r="B303" s="15">
        <v>2</v>
      </c>
      <c r="C303" s="321" t="s">
        <v>642</v>
      </c>
      <c r="D303" s="330" t="s">
        <v>162</v>
      </c>
      <c r="E303" s="330" t="s">
        <v>639</v>
      </c>
      <c r="F303" s="331">
        <v>5</v>
      </c>
      <c r="G303" s="332">
        <v>0</v>
      </c>
      <c r="H303" s="332">
        <v>0</v>
      </c>
      <c r="I303" s="332">
        <v>0</v>
      </c>
      <c r="J303" s="332">
        <v>0</v>
      </c>
      <c r="K303" s="332">
        <v>0</v>
      </c>
      <c r="L303" s="332">
        <v>0</v>
      </c>
      <c r="M303" s="332">
        <v>0</v>
      </c>
      <c r="N303" s="332">
        <v>0</v>
      </c>
      <c r="O303" s="332">
        <v>0</v>
      </c>
      <c r="P303" s="284"/>
      <c r="Q303" s="284">
        <f t="shared" si="6"/>
        <v>0</v>
      </c>
      <c r="R303" s="3" t="str">
        <f>_xlfn.IFNA(VLOOKUP(Tabella1[[#This Row],[Nome]],'ROSE SQUADRE'!$N$3:$O$253,2,0),"")</f>
        <v>TRICCHETRACHT</v>
      </c>
      <c r="S303" s="193">
        <f>SUM(Tabella1[[#This Row],[Gf]],Tabella1[[#This Row],[Rf]])</f>
        <v>0</v>
      </c>
      <c r="T303" s="193"/>
      <c r="U303" s="285" t="str">
        <f>IF(Tabella1[[#This Row],[N° FantaTit]]="","",Tabella1[[#This Row],[fanta voto]])</f>
        <v/>
      </c>
      <c r="V303" s="193">
        <f>SUM(Tabella1[[#This Row],[Voto]],(G303*3),Q303,P303,O303,-(N303),(-M303/2),(-L303*2),(-H303),(I303*3),(-J303*3),(K303*3))</f>
        <v>5</v>
      </c>
      <c r="W303" s="193"/>
      <c r="X303" s="193" t="str">
        <f>IF(Tabella1[[#This Row],[Best 11]]=1,Tabella1[[#This Row],[fanta voto]],"")</f>
        <v/>
      </c>
      <c r="Z303" s="193" t="str">
        <f>IF(Tabella1[[#This Row],[Best 11 MOD]]=1,Tabella1[[#This Row],[fanta voto]],"")</f>
        <v/>
      </c>
      <c r="AA303" t="str">
        <f>CONCATENATE(Tabella1[[#This Row],[GG]],Tabella1[[#This Row],[Nome]])</f>
        <v>2Gaetano</v>
      </c>
      <c r="AB303" t="str">
        <f t="shared" si="7"/>
        <v>2TRICCHETRACHT</v>
      </c>
      <c r="AC303" t="str">
        <f>_xlfn.CONCAT(Tabella1[[#This Row],[Ruolo]],Tabella1[[#This Row],[Gs]])</f>
        <v>C0</v>
      </c>
    </row>
    <row r="304" spans="1:29" hidden="1" x14ac:dyDescent="0.3">
      <c r="A304" s="14">
        <v>46261</v>
      </c>
      <c r="B304" s="15">
        <v>2</v>
      </c>
      <c r="C304" s="321" t="s">
        <v>642</v>
      </c>
      <c r="D304" t="s">
        <v>162</v>
      </c>
      <c r="E304" t="s">
        <v>1013</v>
      </c>
      <c r="F304" s="194">
        <v>5.5</v>
      </c>
      <c r="G304" s="328">
        <v>0</v>
      </c>
      <c r="H304" s="328">
        <v>0</v>
      </c>
      <c r="I304" s="328">
        <v>0</v>
      </c>
      <c r="J304" s="328">
        <v>0</v>
      </c>
      <c r="K304" s="328">
        <v>0</v>
      </c>
      <c r="L304" s="328">
        <v>0</v>
      </c>
      <c r="M304" s="328">
        <v>0</v>
      </c>
      <c r="N304" s="328">
        <v>0</v>
      </c>
      <c r="O304" s="328">
        <v>0</v>
      </c>
      <c r="P304" s="284"/>
      <c r="Q304" s="284">
        <f t="shared" si="6"/>
        <v>0</v>
      </c>
      <c r="R304" s="3" t="str">
        <f>_xlfn.IFNA(VLOOKUP(Tabella1[[#This Row],[Nome]],'ROSE SQUADRE'!$N$3:$O$253,2,0),"")</f>
        <v>FC INTERNAZIOANALE</v>
      </c>
      <c r="S304" s="193">
        <f>SUM(Tabella1[[#This Row],[Gf]],Tabella1[[#This Row],[Rf]])</f>
        <v>0</v>
      </c>
      <c r="T304" s="193"/>
      <c r="U304" s="285" t="str">
        <f>IF(Tabella1[[#This Row],[N° FantaTit]]="","",Tabella1[[#This Row],[fanta voto]])</f>
        <v/>
      </c>
      <c r="V304" s="193">
        <f>SUM(Tabella1[[#This Row],[Voto]],(G304*3),Q304,P304,O304,-(N304),(-M304/2),(-L304*2),(-H304),(I304*3),(-J304*3),(K304*3))</f>
        <v>5.5</v>
      </c>
      <c r="W304" s="193"/>
      <c r="X304" s="193" t="str">
        <f>IF(Tabella1[[#This Row],[Best 11]]=1,Tabella1[[#This Row],[fanta voto]],"")</f>
        <v/>
      </c>
      <c r="Z304" s="193" t="str">
        <f>IF(Tabella1[[#This Row],[Best 11 MOD]]=1,Tabella1[[#This Row],[fanta voto]],"")</f>
        <v/>
      </c>
      <c r="AA304" t="str">
        <f>CONCATENATE(Tabella1[[#This Row],[GG]],Tabella1[[#This Row],[Nome]])</f>
        <v>2Elmas</v>
      </c>
      <c r="AB304" t="str">
        <f t="shared" si="7"/>
        <v>2FC INTERNAZIOANALE</v>
      </c>
      <c r="AC304" t="str">
        <f>_xlfn.CONCAT(Tabella1[[#This Row],[Ruolo]],Tabella1[[#This Row],[Gs]])</f>
        <v>C0</v>
      </c>
    </row>
    <row r="305" spans="1:29" hidden="1" x14ac:dyDescent="0.3">
      <c r="A305" s="14">
        <v>46261</v>
      </c>
      <c r="B305" s="15">
        <v>2</v>
      </c>
      <c r="C305" s="321" t="s">
        <v>642</v>
      </c>
      <c r="D305" s="330" t="s">
        <v>162</v>
      </c>
      <c r="E305" s="330" t="s">
        <v>606</v>
      </c>
      <c r="F305" s="331">
        <v>7</v>
      </c>
      <c r="G305" s="333">
        <v>1</v>
      </c>
      <c r="H305" s="332">
        <v>0</v>
      </c>
      <c r="I305" s="332">
        <v>0</v>
      </c>
      <c r="J305" s="332">
        <v>0</v>
      </c>
      <c r="K305" s="332">
        <v>0</v>
      </c>
      <c r="L305" s="332">
        <v>0</v>
      </c>
      <c r="M305" s="332">
        <v>0</v>
      </c>
      <c r="N305" s="332">
        <v>0</v>
      </c>
      <c r="O305" s="332">
        <v>0</v>
      </c>
      <c r="P305" s="284">
        <v>1</v>
      </c>
      <c r="Q305" s="284">
        <f t="shared" si="6"/>
        <v>0</v>
      </c>
      <c r="R305" s="3" t="str">
        <f>_xlfn.IFNA(VLOOKUP(Tabella1[[#This Row],[Nome]],'ROSE SQUADRE'!$N$3:$O$253,2,0),"")</f>
        <v>AS PIPPERIA</v>
      </c>
      <c r="S305" s="193">
        <f>SUM(Tabella1[[#This Row],[Gf]],Tabella1[[#This Row],[Rf]])</f>
        <v>1</v>
      </c>
      <c r="T305" s="193"/>
      <c r="U305" s="285" t="str">
        <f>IF(Tabella1[[#This Row],[N° FantaTit]]="","",Tabella1[[#This Row],[fanta voto]])</f>
        <v/>
      </c>
      <c r="V305" s="193">
        <f>SUM(Tabella1[[#This Row],[Voto]],(G305*3),Q305,P305,O305,-(N305),(-M305/2),(-L305*2),(-H305),(I305*3),(-J305*3),(K305*3))</f>
        <v>11</v>
      </c>
      <c r="W305" s="193"/>
      <c r="X305" s="193" t="str">
        <f>IF(Tabella1[[#This Row],[Best 11]]=1,Tabella1[[#This Row],[fanta voto]],"")</f>
        <v/>
      </c>
      <c r="Z305" s="193" t="str">
        <f>IF(Tabella1[[#This Row],[Best 11 MOD]]=1,Tabella1[[#This Row],[fanta voto]],"")</f>
        <v/>
      </c>
      <c r="AA305" t="str">
        <f>CONCATENATE(Tabella1[[#This Row],[GG]],Tabella1[[#This Row],[Nome]])</f>
        <v>2Samardzic</v>
      </c>
      <c r="AB305" t="str">
        <f t="shared" si="7"/>
        <v>2AS PIPPERIA</v>
      </c>
      <c r="AC305" t="str">
        <f>_xlfn.CONCAT(Tabella1[[#This Row],[Ruolo]],Tabella1[[#This Row],[Gs]])</f>
        <v>C0</v>
      </c>
    </row>
    <row r="306" spans="1:29" hidden="1" x14ac:dyDescent="0.3">
      <c r="A306" s="14">
        <v>46261</v>
      </c>
      <c r="B306" s="15">
        <v>2</v>
      </c>
      <c r="C306" s="321" t="s">
        <v>642</v>
      </c>
      <c r="D306" t="s">
        <v>162</v>
      </c>
      <c r="E306" t="s">
        <v>317</v>
      </c>
      <c r="F306" s="194">
        <v>6.5</v>
      </c>
      <c r="G306" s="328">
        <v>0</v>
      </c>
      <c r="H306" s="328">
        <v>0</v>
      </c>
      <c r="I306" s="328">
        <v>0</v>
      </c>
      <c r="J306" s="328">
        <v>0</v>
      </c>
      <c r="K306" s="328">
        <v>0</v>
      </c>
      <c r="L306" s="328">
        <v>0</v>
      </c>
      <c r="M306" s="328">
        <v>0</v>
      </c>
      <c r="N306" s="328">
        <v>0</v>
      </c>
      <c r="O306" s="329">
        <v>1</v>
      </c>
      <c r="P306" s="284"/>
      <c r="Q306" s="284">
        <f t="shared" si="6"/>
        <v>0</v>
      </c>
      <c r="R306" s="3" t="str">
        <f>_xlfn.IFNA(VLOOKUP(Tabella1[[#This Row],[Nome]],'ROSE SQUADRE'!$N$3:$O$253,2,0),"")</f>
        <v>PESCICULINI</v>
      </c>
      <c r="S306" s="193">
        <f>SUM(Tabella1[[#This Row],[Gf]],Tabella1[[#This Row],[Rf]])</f>
        <v>0</v>
      </c>
      <c r="T306" s="193"/>
      <c r="U306" s="285" t="str">
        <f>IF(Tabella1[[#This Row],[N° FantaTit]]="","",Tabella1[[#This Row],[fanta voto]])</f>
        <v/>
      </c>
      <c r="V306" s="193">
        <f>SUM(Tabella1[[#This Row],[Voto]],(G306*3),Q306,P306,O306,-(N306),(-M306/2),(-L306*2),(-H306),(I306*3),(-J306*3),(K306*3))</f>
        <v>7.5</v>
      </c>
      <c r="W306" s="193"/>
      <c r="X306" s="193" t="str">
        <f>IF(Tabella1[[#This Row],[Best 11]]=1,Tabella1[[#This Row],[fanta voto]],"")</f>
        <v/>
      </c>
      <c r="Z306" s="193" t="str">
        <f>IF(Tabella1[[#This Row],[Best 11 MOD]]=1,Tabella1[[#This Row],[fanta voto]],"")</f>
        <v/>
      </c>
      <c r="AA306" t="str">
        <f>CONCATENATE(Tabella1[[#This Row],[GG]],Tabella1[[#This Row],[Nome]])</f>
        <v>2Zalewski</v>
      </c>
      <c r="AB306" t="str">
        <f t="shared" si="7"/>
        <v>2PESCICULINI</v>
      </c>
      <c r="AC306" t="str">
        <f>_xlfn.CONCAT(Tabella1[[#This Row],[Ruolo]],Tabella1[[#This Row],[Gs]])</f>
        <v>C0</v>
      </c>
    </row>
    <row r="307" spans="1:29" hidden="1" x14ac:dyDescent="0.3">
      <c r="A307" s="14">
        <v>46261</v>
      </c>
      <c r="B307" s="15">
        <v>2</v>
      </c>
      <c r="C307" s="321" t="s">
        <v>642</v>
      </c>
      <c r="D307" s="330" t="s">
        <v>162</v>
      </c>
      <c r="E307" s="330" t="s">
        <v>640</v>
      </c>
      <c r="F307" s="331">
        <v>5.5</v>
      </c>
      <c r="G307" s="332">
        <v>0</v>
      </c>
      <c r="H307" s="332">
        <v>0</v>
      </c>
      <c r="I307" s="332">
        <v>0</v>
      </c>
      <c r="J307" s="332">
        <v>0</v>
      </c>
      <c r="K307" s="332">
        <v>0</v>
      </c>
      <c r="L307" s="332">
        <v>0</v>
      </c>
      <c r="M307" s="332">
        <v>0</v>
      </c>
      <c r="N307" s="332">
        <v>0</v>
      </c>
      <c r="O307" s="332">
        <v>0</v>
      </c>
      <c r="P307" s="284"/>
      <c r="Q307" s="284">
        <f t="shared" si="6"/>
        <v>0</v>
      </c>
      <c r="R307" s="3" t="str">
        <f>_xlfn.IFNA(VLOOKUP(Tabella1[[#This Row],[Nome]],'ROSE SQUADRE'!$N$3:$O$253,2,0),"")</f>
        <v>FC INTERNAZIOANALE</v>
      </c>
      <c r="S307" s="193">
        <f>SUM(Tabella1[[#This Row],[Gf]],Tabella1[[#This Row],[Rf]])</f>
        <v>0</v>
      </c>
      <c r="T307" s="193"/>
      <c r="U307" s="285" t="str">
        <f>IF(Tabella1[[#This Row],[N° FantaTit]]="","",Tabella1[[#This Row],[fanta voto]])</f>
        <v/>
      </c>
      <c r="V307" s="193">
        <f>SUM(Tabella1[[#This Row],[Voto]],(G307*3),Q307,P307,O307,-(N307),(-M307/2),(-L307*2),(-H307),(I307*3),(-J307*3),(K307*3))</f>
        <v>5.5</v>
      </c>
      <c r="W307" s="193"/>
      <c r="X307" s="193" t="str">
        <f>IF(Tabella1[[#This Row],[Best 11]]=1,Tabella1[[#This Row],[fanta voto]],"")</f>
        <v/>
      </c>
      <c r="Z307" s="193" t="str">
        <f>IF(Tabella1[[#This Row],[Best 11 MOD]]=1,Tabella1[[#This Row],[fanta voto]],"")</f>
        <v/>
      </c>
      <c r="AA307" t="str">
        <f>CONCATENATE(Tabella1[[#This Row],[GG]],Tabella1[[#This Row],[Nome]])</f>
        <v>2Ederson D.S.</v>
      </c>
      <c r="AB307" t="str">
        <f t="shared" si="7"/>
        <v>2FC INTERNAZIOANALE</v>
      </c>
      <c r="AC307" t="str">
        <f>_xlfn.CONCAT(Tabella1[[#This Row],[Ruolo]],Tabella1[[#This Row],[Gs]])</f>
        <v>C0</v>
      </c>
    </row>
    <row r="308" spans="1:29" hidden="1" x14ac:dyDescent="0.3">
      <c r="A308" s="14">
        <v>46261</v>
      </c>
      <c r="B308" s="15">
        <v>2</v>
      </c>
      <c r="C308" s="321" t="s">
        <v>642</v>
      </c>
      <c r="D308" t="s">
        <v>163</v>
      </c>
      <c r="E308" t="s">
        <v>641</v>
      </c>
      <c r="F308" s="194">
        <v>5.5</v>
      </c>
      <c r="G308" s="328">
        <v>0</v>
      </c>
      <c r="H308" s="328">
        <v>0</v>
      </c>
      <c r="I308" s="328">
        <v>0</v>
      </c>
      <c r="J308" s="328">
        <v>0</v>
      </c>
      <c r="K308" s="328">
        <v>0</v>
      </c>
      <c r="L308" s="328">
        <v>0</v>
      </c>
      <c r="M308" s="328">
        <v>0</v>
      </c>
      <c r="N308" s="328">
        <v>0</v>
      </c>
      <c r="O308" s="328">
        <v>0</v>
      </c>
      <c r="P308" s="284"/>
      <c r="Q308" s="284">
        <f t="shared" si="6"/>
        <v>0</v>
      </c>
      <c r="R308" s="3" t="str">
        <f>_xlfn.IFNA(VLOOKUP(Tabella1[[#This Row],[Nome]],'ROSE SQUADRE'!$N$3:$O$253,2,0),"")</f>
        <v>TRICCHETRACHT</v>
      </c>
      <c r="S308" s="193">
        <f>SUM(Tabella1[[#This Row],[Gf]],Tabella1[[#This Row],[Rf]])</f>
        <v>0</v>
      </c>
      <c r="T308" s="193"/>
      <c r="U308" s="285" t="str">
        <f>IF(Tabella1[[#This Row],[N° FantaTit]]="","",Tabella1[[#This Row],[fanta voto]])</f>
        <v/>
      </c>
      <c r="V308" s="193">
        <f>SUM(Tabella1[[#This Row],[Voto]],(G308*3),Q308,P308,O308,-(N308),(-M308/2),(-L308*2),(-H308),(I308*3),(-J308*3),(K308*3))</f>
        <v>5.5</v>
      </c>
      <c r="W308" s="193"/>
      <c r="X308" s="193" t="str">
        <f>IF(Tabella1[[#This Row],[Best 11]]=1,Tabella1[[#This Row],[fanta voto]],"")</f>
        <v/>
      </c>
      <c r="Z308" s="193" t="str">
        <f>IF(Tabella1[[#This Row],[Best 11 MOD]]=1,Tabella1[[#This Row],[fanta voto]],"")</f>
        <v/>
      </c>
      <c r="AA308" t="str">
        <f>CONCATENATE(Tabella1[[#This Row],[GG]],Tabella1[[#This Row],[Nome]])</f>
        <v>2Scamacca</v>
      </c>
      <c r="AB308" t="str">
        <f t="shared" si="7"/>
        <v>2TRICCHETRACHT</v>
      </c>
      <c r="AC308" t="str">
        <f>_xlfn.CONCAT(Tabella1[[#This Row],[Ruolo]],Tabella1[[#This Row],[Gs]])</f>
        <v>A0</v>
      </c>
    </row>
    <row r="309" spans="1:29" hidden="1" x14ac:dyDescent="0.3">
      <c r="A309" s="14">
        <v>46261</v>
      </c>
      <c r="B309" s="15">
        <v>2</v>
      </c>
      <c r="C309" s="321" t="s">
        <v>642</v>
      </c>
      <c r="D309" s="330" t="s">
        <v>163</v>
      </c>
      <c r="E309" s="330" t="s">
        <v>224</v>
      </c>
      <c r="F309" s="331">
        <v>5.5</v>
      </c>
      <c r="G309" s="332">
        <v>0</v>
      </c>
      <c r="H309" s="332">
        <v>0</v>
      </c>
      <c r="I309" s="332">
        <v>0</v>
      </c>
      <c r="J309" s="332">
        <v>0</v>
      </c>
      <c r="K309" s="332">
        <v>0</v>
      </c>
      <c r="L309" s="332">
        <v>0</v>
      </c>
      <c r="M309" s="332">
        <v>0</v>
      </c>
      <c r="N309" s="332">
        <v>0</v>
      </c>
      <c r="O309" s="332">
        <v>0</v>
      </c>
      <c r="P309" s="284"/>
      <c r="Q309" s="284">
        <f t="shared" si="6"/>
        <v>0</v>
      </c>
      <c r="R309" s="3" t="str">
        <f>_xlfn.IFNA(VLOOKUP(Tabella1[[#This Row],[Nome]],'ROSE SQUADRE'!$N$3:$O$253,2,0),"")</f>
        <v>FC INTERNAZIOANALE</v>
      </c>
      <c r="S309" s="193">
        <f>SUM(Tabella1[[#This Row],[Gf]],Tabella1[[#This Row],[Rf]])</f>
        <v>0</v>
      </c>
      <c r="T309" s="193"/>
      <c r="U309" s="285" t="str">
        <f>IF(Tabella1[[#This Row],[N° FantaTit]]="","",Tabella1[[#This Row],[fanta voto]])</f>
        <v/>
      </c>
      <c r="V309" s="193">
        <f>SUM(Tabella1[[#This Row],[Voto]],(G309*3),Q309,P309,O309,-(N309),(-M309/2),(-L309*2),(-H309),(I309*3),(-J309*3),(K309*3))</f>
        <v>5.5</v>
      </c>
      <c r="W309" s="193"/>
      <c r="X309" s="193" t="str">
        <f>IF(Tabella1[[#This Row],[Best 11]]=1,Tabella1[[#This Row],[fanta voto]],"")</f>
        <v/>
      </c>
      <c r="Z309" s="193" t="str">
        <f>IF(Tabella1[[#This Row],[Best 11 MOD]]=1,Tabella1[[#This Row],[fanta voto]],"")</f>
        <v/>
      </c>
      <c r="AA309" t="str">
        <f>CONCATENATE(Tabella1[[#This Row],[GG]],Tabella1[[#This Row],[Nome]])</f>
        <v>2Raspadori</v>
      </c>
      <c r="AB309" t="str">
        <f t="shared" si="7"/>
        <v>2FC INTERNAZIOANALE</v>
      </c>
      <c r="AC309" t="str">
        <f>_xlfn.CONCAT(Tabella1[[#This Row],[Ruolo]],Tabella1[[#This Row],[Gs]])</f>
        <v>A0</v>
      </c>
    </row>
    <row r="310" spans="1:29" hidden="1" x14ac:dyDescent="0.3">
      <c r="A310" s="14">
        <v>46261</v>
      </c>
      <c r="B310" s="15">
        <v>2</v>
      </c>
      <c r="C310" s="321" t="s">
        <v>642</v>
      </c>
      <c r="D310" t="s">
        <v>163</v>
      </c>
      <c r="E310" t="s">
        <v>248</v>
      </c>
      <c r="F310" s="194">
        <v>5.5</v>
      </c>
      <c r="G310" s="328">
        <v>0</v>
      </c>
      <c r="H310" s="328">
        <v>0</v>
      </c>
      <c r="I310" s="328">
        <v>0</v>
      </c>
      <c r="J310" s="328">
        <v>0</v>
      </c>
      <c r="K310" s="328">
        <v>0</v>
      </c>
      <c r="L310" s="328">
        <v>0</v>
      </c>
      <c r="M310" s="328">
        <v>0</v>
      </c>
      <c r="N310" s="328">
        <v>0</v>
      </c>
      <c r="O310" s="328">
        <v>0</v>
      </c>
      <c r="P310" s="284"/>
      <c r="Q310" s="284">
        <f t="shared" si="6"/>
        <v>0</v>
      </c>
      <c r="R310" s="3" t="str">
        <f>_xlfn.IFNA(VLOOKUP(Tabella1[[#This Row],[Nome]],'ROSE SQUADRE'!$N$3:$O$253,2,0),"")</f>
        <v>PESCICULINI</v>
      </c>
      <c r="S310" s="193">
        <f>SUM(Tabella1[[#This Row],[Gf]],Tabella1[[#This Row],[Rf]])</f>
        <v>0</v>
      </c>
      <c r="T310" s="193"/>
      <c r="U310" s="285" t="str">
        <f>IF(Tabella1[[#This Row],[N° FantaTit]]="","",Tabella1[[#This Row],[fanta voto]])</f>
        <v/>
      </c>
      <c r="V310" s="193">
        <f>SUM(Tabella1[[#This Row],[Voto]],(G310*3),Q310,P310,O310,-(N310),(-M310/2),(-L310*2),(-H310),(I310*3),(-J310*3),(K310*3))</f>
        <v>5.5</v>
      </c>
      <c r="W310" s="193"/>
      <c r="X310" s="193" t="str">
        <f>IF(Tabella1[[#This Row],[Best 11]]=1,Tabella1[[#This Row],[fanta voto]],"")</f>
        <v/>
      </c>
      <c r="Z310" s="193" t="str">
        <f>IF(Tabella1[[#This Row],[Best 11 MOD]]=1,Tabella1[[#This Row],[fanta voto]],"")</f>
        <v/>
      </c>
      <c r="AA310" t="str">
        <f>CONCATENATE(Tabella1[[#This Row],[GG]],Tabella1[[#This Row],[Nome]])</f>
        <v>2De Ketelaere</v>
      </c>
      <c r="AB310" t="str">
        <f t="shared" si="7"/>
        <v>2PESCICULINI</v>
      </c>
      <c r="AC310" t="str">
        <f>_xlfn.CONCAT(Tabella1[[#This Row],[Ruolo]],Tabella1[[#This Row],[Gs]])</f>
        <v>A0</v>
      </c>
    </row>
    <row r="311" spans="1:29" hidden="1" x14ac:dyDescent="0.3">
      <c r="A311" s="14">
        <v>46261</v>
      </c>
      <c r="B311" s="15">
        <v>2</v>
      </c>
      <c r="C311" s="321" t="s">
        <v>642</v>
      </c>
      <c r="D311" s="330" t="s">
        <v>163</v>
      </c>
      <c r="E311" s="330" t="s">
        <v>545</v>
      </c>
      <c r="F311" s="331">
        <v>5.5</v>
      </c>
      <c r="G311" s="332">
        <v>0</v>
      </c>
      <c r="H311" s="332">
        <v>0</v>
      </c>
      <c r="I311" s="332">
        <v>0</v>
      </c>
      <c r="J311" s="332">
        <v>0</v>
      </c>
      <c r="K311" s="332">
        <v>0</v>
      </c>
      <c r="L311" s="332">
        <v>0</v>
      </c>
      <c r="M311" s="333">
        <v>1</v>
      </c>
      <c r="N311" s="332">
        <v>0</v>
      </c>
      <c r="O311" s="332">
        <v>0</v>
      </c>
      <c r="P311" s="284"/>
      <c r="Q311" s="284">
        <f t="shared" si="6"/>
        <v>0</v>
      </c>
      <c r="R311" s="3" t="str">
        <f>_xlfn.IFNA(VLOOKUP(Tabella1[[#This Row],[Nome]],'ROSE SQUADRE'!$N$3:$O$253,2,0),"")</f>
        <v>PESCICULINI</v>
      </c>
      <c r="S311" s="193">
        <f>SUM(Tabella1[[#This Row],[Gf]],Tabella1[[#This Row],[Rf]])</f>
        <v>0</v>
      </c>
      <c r="T311" s="193"/>
      <c r="U311" s="285" t="str">
        <f>IF(Tabella1[[#This Row],[N° FantaTit]]="","",Tabella1[[#This Row],[fanta voto]])</f>
        <v/>
      </c>
      <c r="V311" s="193">
        <f>SUM(Tabella1[[#This Row],[Voto]],(G311*3),Q311,P311,O311,-(N311),(-M311/2),(-L311*2),(-H311),(I311*3),(-J311*3),(K311*3))</f>
        <v>5</v>
      </c>
      <c r="W311" s="193"/>
      <c r="X311" s="193" t="str">
        <f>IF(Tabella1[[#This Row],[Best 11]]=1,Tabella1[[#This Row],[fanta voto]],"")</f>
        <v/>
      </c>
      <c r="Z311" s="193" t="str">
        <f>IF(Tabella1[[#This Row],[Best 11 MOD]]=1,Tabella1[[#This Row],[fanta voto]],"")</f>
        <v/>
      </c>
      <c r="AA311" t="str">
        <f>CONCATENATE(Tabella1[[#This Row],[GG]],Tabella1[[#This Row],[Nome]])</f>
        <v>2Krstovic</v>
      </c>
      <c r="AB311" t="str">
        <f t="shared" si="7"/>
        <v>2PESCICULINI</v>
      </c>
      <c r="AC311" t="str">
        <f>_xlfn.CONCAT(Tabella1[[#This Row],[Ruolo]],Tabella1[[#This Row],[Gs]])</f>
        <v>A0</v>
      </c>
    </row>
    <row r="312" spans="1:29" hidden="1" x14ac:dyDescent="0.3">
      <c r="A312" s="14">
        <v>46261</v>
      </c>
      <c r="B312" s="15">
        <v>2</v>
      </c>
      <c r="C312" s="321" t="s">
        <v>646</v>
      </c>
      <c r="D312" s="330" t="s">
        <v>5</v>
      </c>
      <c r="E312" s="330" t="s">
        <v>280</v>
      </c>
      <c r="F312" s="331">
        <v>5</v>
      </c>
      <c r="G312" s="332">
        <v>0</v>
      </c>
      <c r="H312" s="333">
        <v>1</v>
      </c>
      <c r="I312" s="332">
        <v>0</v>
      </c>
      <c r="J312" s="332">
        <v>0</v>
      </c>
      <c r="K312" s="332">
        <v>0</v>
      </c>
      <c r="L312" s="332">
        <v>0</v>
      </c>
      <c r="M312" s="332">
        <v>0</v>
      </c>
      <c r="N312" s="332">
        <v>0</v>
      </c>
      <c r="O312" s="332">
        <v>0</v>
      </c>
      <c r="P312" s="284"/>
      <c r="Q312" s="284">
        <f t="shared" si="6"/>
        <v>0</v>
      </c>
      <c r="R312" s="3" t="str">
        <f>_xlfn.IFNA(VLOOKUP(Tabella1[[#This Row],[Nome]],'ROSE SQUADRE'!$N$3:$O$253,2,0),"")</f>
        <v>SHARK</v>
      </c>
      <c r="S312" s="193">
        <f>SUM(Tabella1[[#This Row],[Gf]],Tabella1[[#This Row],[Rf]])</f>
        <v>0</v>
      </c>
      <c r="T312" s="193"/>
      <c r="U312" s="285" t="str">
        <f>IF(Tabella1[[#This Row],[N° FantaTit]]="","",Tabella1[[#This Row],[fanta voto]])</f>
        <v/>
      </c>
      <c r="V312" s="193">
        <f>SUM(Tabella1[[#This Row],[Voto]],(G312*3),Q312,P312,O312,-(N312),(-M312/2),(-L312*2),(-H312),(I312*3),(-J312*3),(K312*3))</f>
        <v>4</v>
      </c>
      <c r="W312" s="193"/>
      <c r="X312" s="193" t="str">
        <f>IF(Tabella1[[#This Row],[Best 11]]=1,Tabella1[[#This Row],[fanta voto]],"")</f>
        <v/>
      </c>
      <c r="Z312" s="193" t="str">
        <f>IF(Tabella1[[#This Row],[Best 11 MOD]]=1,Tabella1[[#This Row],[fanta voto]],"")</f>
        <v/>
      </c>
      <c r="AA312" t="str">
        <f>CONCATENATE(Tabella1[[#This Row],[GG]],Tabella1[[#This Row],[Nome]])</f>
        <v>2Skorupski</v>
      </c>
      <c r="AB312" t="str">
        <f t="shared" si="7"/>
        <v>2SHARK</v>
      </c>
      <c r="AC312" t="str">
        <f>_xlfn.CONCAT(Tabella1[[#This Row],[Ruolo]],Tabella1[[#This Row],[Gs]])</f>
        <v>P1</v>
      </c>
    </row>
    <row r="313" spans="1:29" hidden="1" x14ac:dyDescent="0.3">
      <c r="A313" s="14">
        <v>46261</v>
      </c>
      <c r="B313" s="15">
        <v>2</v>
      </c>
      <c r="C313" s="321" t="s">
        <v>646</v>
      </c>
      <c r="D313" t="s">
        <v>161</v>
      </c>
      <c r="E313" t="s">
        <v>654</v>
      </c>
      <c r="F313" s="194">
        <v>6</v>
      </c>
      <c r="G313" s="328">
        <v>0</v>
      </c>
      <c r="H313" s="328">
        <v>0</v>
      </c>
      <c r="I313" s="328">
        <v>0</v>
      </c>
      <c r="J313" s="328">
        <v>0</v>
      </c>
      <c r="K313" s="328">
        <v>0</v>
      </c>
      <c r="L313" s="328">
        <v>0</v>
      </c>
      <c r="M313" s="328">
        <v>0</v>
      </c>
      <c r="N313" s="328">
        <v>0</v>
      </c>
      <c r="O313" s="328">
        <v>0</v>
      </c>
      <c r="P313" s="284"/>
      <c r="Q313" s="284">
        <f t="shared" si="6"/>
        <v>0</v>
      </c>
      <c r="R313" s="3" t="str">
        <f>_xlfn.IFNA(VLOOKUP(Tabella1[[#This Row],[Nome]],'ROSE SQUADRE'!$N$3:$O$253,2,0),"")</f>
        <v>FC INTERNAZIOANALE</v>
      </c>
      <c r="S313" s="193">
        <f>SUM(Tabella1[[#This Row],[Gf]],Tabella1[[#This Row],[Rf]])</f>
        <v>0</v>
      </c>
      <c r="T313" s="193"/>
      <c r="U313" s="285" t="str">
        <f>IF(Tabella1[[#This Row],[N° FantaTit]]="","",Tabella1[[#This Row],[fanta voto]])</f>
        <v/>
      </c>
      <c r="V313" s="193">
        <f>SUM(Tabella1[[#This Row],[Voto]],(G313*3),Q313,P313,O313,-(N313),(-M313/2),(-L313*2),(-H313),(I313*3),(-J313*3),(K313*3))</f>
        <v>6</v>
      </c>
      <c r="W313" s="193"/>
      <c r="X313" s="193" t="str">
        <f>IF(Tabella1[[#This Row],[Best 11]]=1,Tabella1[[#This Row],[fanta voto]],"")</f>
        <v/>
      </c>
      <c r="Z313" s="193" t="str">
        <f>IF(Tabella1[[#This Row],[Best 11 MOD]]=1,Tabella1[[#This Row],[fanta voto]],"")</f>
        <v/>
      </c>
      <c r="AA313" t="str">
        <f>CONCATENATE(Tabella1[[#This Row],[GG]],Tabella1[[#This Row],[Nome]])</f>
        <v>2Zortea</v>
      </c>
      <c r="AB313" t="str">
        <f t="shared" si="7"/>
        <v>2FC INTERNAZIOANALE</v>
      </c>
      <c r="AC313" t="str">
        <f>_xlfn.CONCAT(Tabella1[[#This Row],[Ruolo]],Tabella1[[#This Row],[Gs]])</f>
        <v>D0</v>
      </c>
    </row>
    <row r="314" spans="1:29" hidden="1" x14ac:dyDescent="0.3">
      <c r="A314" s="14">
        <v>46261</v>
      </c>
      <c r="B314" s="15">
        <v>2</v>
      </c>
      <c r="C314" s="321" t="s">
        <v>646</v>
      </c>
      <c r="D314" s="330" t="s">
        <v>161</v>
      </c>
      <c r="E314" s="330" t="s">
        <v>652</v>
      </c>
      <c r="F314" s="331">
        <v>6.5</v>
      </c>
      <c r="G314" s="332">
        <v>0</v>
      </c>
      <c r="H314" s="332">
        <v>0</v>
      </c>
      <c r="I314" s="332">
        <v>0</v>
      </c>
      <c r="J314" s="332">
        <v>0</v>
      </c>
      <c r="K314" s="332">
        <v>0</v>
      </c>
      <c r="L314" s="332">
        <v>0</v>
      </c>
      <c r="M314" s="332">
        <v>0</v>
      </c>
      <c r="N314" s="332">
        <v>0</v>
      </c>
      <c r="O314" s="332">
        <v>0</v>
      </c>
      <c r="P314" s="284"/>
      <c r="Q314" s="284">
        <f t="shared" si="6"/>
        <v>0</v>
      </c>
      <c r="R314" s="3" t="str">
        <f>_xlfn.IFNA(VLOOKUP(Tabella1[[#This Row],[Nome]],'ROSE SQUADRE'!$N$3:$O$253,2,0),"")</f>
        <v>SESTO ASENSIO</v>
      </c>
      <c r="S314" s="193">
        <f>SUM(Tabella1[[#This Row],[Gf]],Tabella1[[#This Row],[Rf]])</f>
        <v>0</v>
      </c>
      <c r="T314" s="193"/>
      <c r="U314" s="285" t="str">
        <f>IF(Tabella1[[#This Row],[N° FantaTit]]="","",Tabella1[[#This Row],[fanta voto]])</f>
        <v/>
      </c>
      <c r="V314" s="193">
        <f>SUM(Tabella1[[#This Row],[Voto]],(G314*3),Q314,P314,O314,-(N314),(-M314/2),(-L314*2),(-H314),(I314*3),(-J314*3),(K314*3))</f>
        <v>6.5</v>
      </c>
      <c r="W314" s="193"/>
      <c r="X314" s="193" t="str">
        <f>IF(Tabella1[[#This Row],[Best 11]]=1,Tabella1[[#This Row],[fanta voto]],"")</f>
        <v/>
      </c>
      <c r="Z314" s="193" t="str">
        <f>IF(Tabella1[[#This Row],[Best 11 MOD]]=1,Tabella1[[#This Row],[fanta voto]],"")</f>
        <v/>
      </c>
      <c r="AA314" t="str">
        <f>CONCATENATE(Tabella1[[#This Row],[GG]],Tabella1[[#This Row],[Nome]])</f>
        <v>2Holm</v>
      </c>
      <c r="AB314" t="str">
        <f t="shared" si="7"/>
        <v>2SESTO ASENSIO</v>
      </c>
      <c r="AC314" t="str">
        <f>_xlfn.CONCAT(Tabella1[[#This Row],[Ruolo]],Tabella1[[#This Row],[Gs]])</f>
        <v>D0</v>
      </c>
    </row>
    <row r="315" spans="1:29" hidden="1" x14ac:dyDescent="0.3">
      <c r="A315" s="14">
        <v>46261</v>
      </c>
      <c r="B315" s="15">
        <v>2</v>
      </c>
      <c r="C315" s="321" t="s">
        <v>646</v>
      </c>
      <c r="D315" t="s">
        <v>161</v>
      </c>
      <c r="E315" t="s">
        <v>650</v>
      </c>
      <c r="F315" s="194">
        <v>5.5</v>
      </c>
      <c r="G315" s="328">
        <v>0</v>
      </c>
      <c r="H315" s="328">
        <v>0</v>
      </c>
      <c r="I315" s="328">
        <v>0</v>
      </c>
      <c r="J315" s="328">
        <v>0</v>
      </c>
      <c r="K315" s="328">
        <v>0</v>
      </c>
      <c r="L315" s="328">
        <v>0</v>
      </c>
      <c r="M315" s="328">
        <v>0</v>
      </c>
      <c r="N315" s="328">
        <v>0</v>
      </c>
      <c r="O315" s="328">
        <v>0</v>
      </c>
      <c r="P315" s="284"/>
      <c r="Q315" s="284">
        <f t="shared" si="6"/>
        <v>0</v>
      </c>
      <c r="R315" s="3" t="str">
        <f>_xlfn.IFNA(VLOOKUP(Tabella1[[#This Row],[Nome]],'ROSE SQUADRE'!$N$3:$O$253,2,0),"")</f>
        <v/>
      </c>
      <c r="S315" s="193">
        <f>SUM(Tabella1[[#This Row],[Gf]],Tabella1[[#This Row],[Rf]])</f>
        <v>0</v>
      </c>
      <c r="T315" s="193"/>
      <c r="U315" s="285" t="str">
        <f>IF(Tabella1[[#This Row],[N° FantaTit]]="","",Tabella1[[#This Row],[fanta voto]])</f>
        <v/>
      </c>
      <c r="V315" s="193">
        <f>SUM(Tabella1[[#This Row],[Voto]],(G315*3),Q315,P315,O315,-(N315),(-M315/2),(-L315*2),(-H315),(I315*3),(-J315*3),(K315*3))</f>
        <v>5.5</v>
      </c>
      <c r="W315" s="193"/>
      <c r="X315" s="193" t="str">
        <f>IF(Tabella1[[#This Row],[Best 11]]=1,Tabella1[[#This Row],[fanta voto]],"")</f>
        <v/>
      </c>
      <c r="Z315" s="193" t="str">
        <f>IF(Tabella1[[#This Row],[Best 11 MOD]]=1,Tabella1[[#This Row],[fanta voto]],"")</f>
        <v/>
      </c>
      <c r="AA315" t="str">
        <f>CONCATENATE(Tabella1[[#This Row],[GG]],Tabella1[[#This Row],[Nome]])</f>
        <v>2Heggem</v>
      </c>
      <c r="AB315" t="str">
        <f t="shared" si="7"/>
        <v>2</v>
      </c>
      <c r="AC315" t="str">
        <f>_xlfn.CONCAT(Tabella1[[#This Row],[Ruolo]],Tabella1[[#This Row],[Gs]])</f>
        <v>D0</v>
      </c>
    </row>
    <row r="316" spans="1:29" hidden="1" x14ac:dyDescent="0.3">
      <c r="A316" s="14">
        <v>46261</v>
      </c>
      <c r="B316" s="15">
        <v>2</v>
      </c>
      <c r="C316" s="321" t="s">
        <v>646</v>
      </c>
      <c r="D316" s="330" t="s">
        <v>161</v>
      </c>
      <c r="E316" s="330" t="s">
        <v>651</v>
      </c>
      <c r="F316" s="331">
        <v>6</v>
      </c>
      <c r="G316" s="332">
        <v>0</v>
      </c>
      <c r="H316" s="332">
        <v>0</v>
      </c>
      <c r="I316" s="332">
        <v>0</v>
      </c>
      <c r="J316" s="332">
        <v>0</v>
      </c>
      <c r="K316" s="332">
        <v>0</v>
      </c>
      <c r="L316" s="332">
        <v>0</v>
      </c>
      <c r="M316" s="332">
        <v>0</v>
      </c>
      <c r="N316" s="332">
        <v>0</v>
      </c>
      <c r="O316" s="332">
        <v>0</v>
      </c>
      <c r="P316" s="284"/>
      <c r="Q316" s="284">
        <f t="shared" si="6"/>
        <v>0</v>
      </c>
      <c r="R316" s="3" t="str">
        <f>_xlfn.IFNA(VLOOKUP(Tabella1[[#This Row],[Nome]],'ROSE SQUADRE'!$N$3:$O$253,2,0),"")</f>
        <v/>
      </c>
      <c r="S316" s="193">
        <f>SUM(Tabella1[[#This Row],[Gf]],Tabella1[[#This Row],[Rf]])</f>
        <v>0</v>
      </c>
      <c r="T316" s="193"/>
      <c r="U316" s="285" t="str">
        <f>IF(Tabella1[[#This Row],[N° FantaTit]]="","",Tabella1[[#This Row],[fanta voto]])</f>
        <v/>
      </c>
      <c r="V316" s="193">
        <f>SUM(Tabella1[[#This Row],[Voto]],(G316*3),Q316,P316,O316,-(N316),(-M316/2),(-L316*2),(-H316),(I316*3),(-J316*3),(K316*3))</f>
        <v>6</v>
      </c>
      <c r="W316" s="193"/>
      <c r="X316" s="193" t="str">
        <f>IF(Tabella1[[#This Row],[Best 11]]=1,Tabella1[[#This Row],[fanta voto]],"")</f>
        <v/>
      </c>
      <c r="Z316" s="193" t="str">
        <f>IF(Tabella1[[#This Row],[Best 11 MOD]]=1,Tabella1[[#This Row],[fanta voto]],"")</f>
        <v/>
      </c>
      <c r="AA316" t="str">
        <f>CONCATENATE(Tabella1[[#This Row],[GG]],Tabella1[[#This Row],[Nome]])</f>
        <v>2Helland</v>
      </c>
      <c r="AB316" t="str">
        <f t="shared" si="7"/>
        <v>2</v>
      </c>
      <c r="AC316" t="str">
        <f>_xlfn.CONCAT(Tabella1[[#This Row],[Ruolo]],Tabella1[[#This Row],[Gs]])</f>
        <v>D0</v>
      </c>
    </row>
    <row r="317" spans="1:29" hidden="1" x14ac:dyDescent="0.3">
      <c r="A317" s="14">
        <v>46261</v>
      </c>
      <c r="B317" s="15">
        <v>2</v>
      </c>
      <c r="C317" s="321" t="s">
        <v>646</v>
      </c>
      <c r="D317" t="s">
        <v>161</v>
      </c>
      <c r="E317" t="s">
        <v>648</v>
      </c>
      <c r="F317" s="194">
        <v>6</v>
      </c>
      <c r="G317" s="328">
        <v>0</v>
      </c>
      <c r="H317" s="328">
        <v>0</v>
      </c>
      <c r="I317" s="328">
        <v>0</v>
      </c>
      <c r="J317" s="328">
        <v>0</v>
      </c>
      <c r="K317" s="328">
        <v>0</v>
      </c>
      <c r="L317" s="328">
        <v>0</v>
      </c>
      <c r="M317" s="328">
        <v>0</v>
      </c>
      <c r="N317" s="328">
        <v>0</v>
      </c>
      <c r="O317" s="328">
        <v>0</v>
      </c>
      <c r="P317" s="284"/>
      <c r="Q317" s="284">
        <f t="shared" si="6"/>
        <v>0</v>
      </c>
      <c r="R317" s="3" t="str">
        <f>_xlfn.IFNA(VLOOKUP(Tabella1[[#This Row],[Nome]],'ROSE SQUADRE'!$N$3:$O$253,2,0),"")</f>
        <v/>
      </c>
      <c r="S317" s="193">
        <f>SUM(Tabella1[[#This Row],[Gf]],Tabella1[[#This Row],[Rf]])</f>
        <v>0</v>
      </c>
      <c r="T317" s="193"/>
      <c r="U317" s="285" t="str">
        <f>IF(Tabella1[[#This Row],[N° FantaTit]]="","",Tabella1[[#This Row],[fanta voto]])</f>
        <v/>
      </c>
      <c r="V317" s="193">
        <f>SUM(Tabella1[[#This Row],[Voto]],(G317*3),Q317,P317,O317,-(N317),(-M317/2),(-L317*2),(-H317),(I317*3),(-J317*3),(K317*3))</f>
        <v>6</v>
      </c>
      <c r="W317" s="193"/>
      <c r="X317" s="193" t="str">
        <f>IF(Tabella1[[#This Row],[Best 11]]=1,Tabella1[[#This Row],[fanta voto]],"")</f>
        <v/>
      </c>
      <c r="Z317" s="193" t="str">
        <f>IF(Tabella1[[#This Row],[Best 11 MOD]]=1,Tabella1[[#This Row],[fanta voto]],"")</f>
        <v/>
      </c>
      <c r="AA317" t="str">
        <f>CONCATENATE(Tabella1[[#This Row],[GG]],Tabella1[[#This Row],[Nome]])</f>
        <v>2Alhassane</v>
      </c>
      <c r="AB317" t="str">
        <f t="shared" si="7"/>
        <v>2</v>
      </c>
      <c r="AC317" t="str">
        <f>_xlfn.CONCAT(Tabella1[[#This Row],[Ruolo]],Tabella1[[#This Row],[Gs]])</f>
        <v>D0</v>
      </c>
    </row>
    <row r="318" spans="1:29" hidden="1" x14ac:dyDescent="0.3">
      <c r="A318" s="14">
        <v>46261</v>
      </c>
      <c r="B318" s="15">
        <v>2</v>
      </c>
      <c r="C318" s="321" t="s">
        <v>646</v>
      </c>
      <c r="D318" s="330" t="s">
        <v>162</v>
      </c>
      <c r="E318" s="330" t="s">
        <v>656</v>
      </c>
      <c r="F318" s="331">
        <v>6.5</v>
      </c>
      <c r="G318" s="332">
        <v>0</v>
      </c>
      <c r="H318" s="332">
        <v>0</v>
      </c>
      <c r="I318" s="332">
        <v>0</v>
      </c>
      <c r="J318" s="332">
        <v>0</v>
      </c>
      <c r="K318" s="332">
        <v>0</v>
      </c>
      <c r="L318" s="332">
        <v>0</v>
      </c>
      <c r="M318" s="332">
        <v>0</v>
      </c>
      <c r="N318" s="332">
        <v>0</v>
      </c>
      <c r="O318" s="332">
        <v>0</v>
      </c>
      <c r="P318" s="284"/>
      <c r="Q318" s="284">
        <f t="shared" si="6"/>
        <v>0</v>
      </c>
      <c r="R318" s="3" t="str">
        <f>_xlfn.IFNA(VLOOKUP(Tabella1[[#This Row],[Nome]],'ROSE SQUADRE'!$N$3:$O$253,2,0),"")</f>
        <v>AC ASPARAGHESE</v>
      </c>
      <c r="S318" s="193">
        <f>SUM(Tabella1[[#This Row],[Gf]],Tabella1[[#This Row],[Rf]])</f>
        <v>0</v>
      </c>
      <c r="T318" s="193"/>
      <c r="U318" s="285" t="str">
        <f>IF(Tabella1[[#This Row],[N° FantaTit]]="","",Tabella1[[#This Row],[fanta voto]])</f>
        <v/>
      </c>
      <c r="V318" s="193">
        <f>SUM(Tabella1[[#This Row],[Voto]],(G318*3),Q318,P318,O318,-(N318),(-M318/2),(-L318*2),(-H318),(I318*3),(-J318*3),(K318*3))</f>
        <v>6.5</v>
      </c>
      <c r="W318" s="193"/>
      <c r="X318" s="193" t="str">
        <f>IF(Tabella1[[#This Row],[Best 11]]=1,Tabella1[[#This Row],[fanta voto]],"")</f>
        <v/>
      </c>
      <c r="Z318" s="193" t="str">
        <f>IF(Tabella1[[#This Row],[Best 11 MOD]]=1,Tabella1[[#This Row],[fanta voto]],"")</f>
        <v/>
      </c>
      <c r="AA318" t="str">
        <f>CONCATENATE(Tabella1[[#This Row],[GG]],Tabella1[[#This Row],[Nome]])</f>
        <v>2Bernardeschi</v>
      </c>
      <c r="AB318" t="str">
        <f t="shared" si="7"/>
        <v>2AC ASPARAGHESE</v>
      </c>
      <c r="AC318" t="str">
        <f>_xlfn.CONCAT(Tabella1[[#This Row],[Ruolo]],Tabella1[[#This Row],[Gs]])</f>
        <v>C0</v>
      </c>
    </row>
    <row r="319" spans="1:29" hidden="1" x14ac:dyDescent="0.3">
      <c r="A319" s="14">
        <v>46261</v>
      </c>
      <c r="B319" s="15">
        <v>2</v>
      </c>
      <c r="C319" s="321" t="s">
        <v>646</v>
      </c>
      <c r="D319" t="s">
        <v>162</v>
      </c>
      <c r="E319" t="s">
        <v>303</v>
      </c>
      <c r="F319" s="194">
        <v>6</v>
      </c>
      <c r="G319" s="328">
        <v>0</v>
      </c>
      <c r="H319" s="328">
        <v>0</v>
      </c>
      <c r="I319" s="328">
        <v>0</v>
      </c>
      <c r="J319" s="328">
        <v>0</v>
      </c>
      <c r="K319" s="328">
        <v>0</v>
      </c>
      <c r="L319" s="328">
        <v>0</v>
      </c>
      <c r="M319" s="328">
        <v>0</v>
      </c>
      <c r="N319" s="328">
        <v>0</v>
      </c>
      <c r="O319" s="328">
        <v>0</v>
      </c>
      <c r="P319" s="284"/>
      <c r="Q319" s="284">
        <f t="shared" si="6"/>
        <v>0</v>
      </c>
      <c r="R319" s="3" t="str">
        <f>_xlfn.IFNA(VLOOKUP(Tabella1[[#This Row],[Nome]],'ROSE SQUADRE'!$N$3:$O$253,2,0),"")</f>
        <v>SHARK</v>
      </c>
      <c r="S319" s="193">
        <f>SUM(Tabella1[[#This Row],[Gf]],Tabella1[[#This Row],[Rf]])</f>
        <v>0</v>
      </c>
      <c r="T319" s="193"/>
      <c r="U319" s="285" t="str">
        <f>IF(Tabella1[[#This Row],[N° FantaTit]]="","",Tabella1[[#This Row],[fanta voto]])</f>
        <v/>
      </c>
      <c r="V319" s="193">
        <f>SUM(Tabella1[[#This Row],[Voto]],(G319*3),Q319,P319,O319,-(N319),(-M319/2),(-L319*2),(-H319),(I319*3),(-J319*3),(K319*3))</f>
        <v>6</v>
      </c>
      <c r="W319" s="193"/>
      <c r="X319" s="193" t="str">
        <f>IF(Tabella1[[#This Row],[Best 11]]=1,Tabella1[[#This Row],[fanta voto]],"")</f>
        <v/>
      </c>
      <c r="Z319" s="193" t="str">
        <f>IF(Tabella1[[#This Row],[Best 11 MOD]]=1,Tabella1[[#This Row],[fanta voto]],"")</f>
        <v/>
      </c>
      <c r="AA319" t="str">
        <f>CONCATENATE(Tabella1[[#This Row],[GG]],Tabella1[[#This Row],[Nome]])</f>
        <v>2Orsolini</v>
      </c>
      <c r="AB319" t="str">
        <f t="shared" si="7"/>
        <v>2SHARK</v>
      </c>
      <c r="AC319" t="str">
        <f>_xlfn.CONCAT(Tabella1[[#This Row],[Ruolo]],Tabella1[[#This Row],[Gs]])</f>
        <v>C0</v>
      </c>
    </row>
    <row r="320" spans="1:29" hidden="1" x14ac:dyDescent="0.3">
      <c r="A320" s="14">
        <v>46261</v>
      </c>
      <c r="B320" s="15">
        <v>2</v>
      </c>
      <c r="C320" s="321" t="s">
        <v>646</v>
      </c>
      <c r="D320" s="330" t="s">
        <v>162</v>
      </c>
      <c r="E320" s="330" t="s">
        <v>508</v>
      </c>
      <c r="F320" s="331">
        <v>6</v>
      </c>
      <c r="G320" s="332">
        <v>0</v>
      </c>
      <c r="H320" s="332">
        <v>0</v>
      </c>
      <c r="I320" s="332">
        <v>0</v>
      </c>
      <c r="J320" s="332">
        <v>0</v>
      </c>
      <c r="K320" s="332">
        <v>0</v>
      </c>
      <c r="L320" s="332">
        <v>0</v>
      </c>
      <c r="M320" s="332">
        <v>0</v>
      </c>
      <c r="N320" s="332">
        <v>0</v>
      </c>
      <c r="O320" s="332">
        <v>0</v>
      </c>
      <c r="P320" s="284"/>
      <c r="Q320" s="284">
        <f t="shared" si="6"/>
        <v>0</v>
      </c>
      <c r="R320" s="3" t="str">
        <f>_xlfn.IFNA(VLOOKUP(Tabella1[[#This Row],[Nome]],'ROSE SQUADRE'!$N$3:$O$253,2,0),"")</f>
        <v>AS PIPPERIA</v>
      </c>
      <c r="S320" s="193">
        <f>SUM(Tabella1[[#This Row],[Gf]],Tabella1[[#This Row],[Rf]])</f>
        <v>0</v>
      </c>
      <c r="T320" s="193"/>
      <c r="U320" s="285" t="str">
        <f>IF(Tabella1[[#This Row],[N° FantaTit]]="","",Tabella1[[#This Row],[fanta voto]])</f>
        <v/>
      </c>
      <c r="V320" s="193">
        <f>SUM(Tabella1[[#This Row],[Voto]],(G320*3),Q320,P320,O320,-(N320),(-M320/2),(-L320*2),(-H320),(I320*3),(-J320*3),(K320*3))</f>
        <v>6</v>
      </c>
      <c r="W320" s="193"/>
      <c r="X320" s="193" t="str">
        <f>IF(Tabella1[[#This Row],[Best 11]]=1,Tabella1[[#This Row],[fanta voto]],"")</f>
        <v/>
      </c>
      <c r="Z320" s="193" t="str">
        <f>IF(Tabella1[[#This Row],[Best 11 MOD]]=1,Tabella1[[#This Row],[fanta voto]],"")</f>
        <v/>
      </c>
      <c r="AA320" t="str">
        <f>CONCATENATE(Tabella1[[#This Row],[GG]],Tabella1[[#This Row],[Nome]])</f>
        <v>2Odgaard</v>
      </c>
      <c r="AB320" t="str">
        <f t="shared" si="7"/>
        <v>2AS PIPPERIA</v>
      </c>
      <c r="AC320" t="str">
        <f>_xlfn.CONCAT(Tabella1[[#This Row],[Ruolo]],Tabella1[[#This Row],[Gs]])</f>
        <v>C0</v>
      </c>
    </row>
    <row r="321" spans="1:29" hidden="1" x14ac:dyDescent="0.3">
      <c r="A321" s="14">
        <v>46261</v>
      </c>
      <c r="B321" s="15">
        <v>2</v>
      </c>
      <c r="C321" s="321" t="s">
        <v>646</v>
      </c>
      <c r="D321" t="s">
        <v>162</v>
      </c>
      <c r="E321" t="s">
        <v>239</v>
      </c>
      <c r="F321" s="194">
        <v>6.5</v>
      </c>
      <c r="G321" s="328">
        <v>0</v>
      </c>
      <c r="H321" s="328">
        <v>0</v>
      </c>
      <c r="I321" s="328">
        <v>0</v>
      </c>
      <c r="J321" s="328">
        <v>0</v>
      </c>
      <c r="K321" s="328">
        <v>0</v>
      </c>
      <c r="L321" s="328">
        <v>0</v>
      </c>
      <c r="M321" s="328">
        <v>0</v>
      </c>
      <c r="N321" s="328">
        <v>0</v>
      </c>
      <c r="O321" s="328">
        <v>0</v>
      </c>
      <c r="P321" s="284"/>
      <c r="Q321" s="284">
        <f t="shared" si="6"/>
        <v>0</v>
      </c>
      <c r="R321" s="3" t="str">
        <f>_xlfn.IFNA(VLOOKUP(Tabella1[[#This Row],[Nome]],'ROSE SQUADRE'!$N$3:$O$253,2,0),"")</f>
        <v/>
      </c>
      <c r="S321" s="193">
        <f>SUM(Tabella1[[#This Row],[Gf]],Tabella1[[#This Row],[Rf]])</f>
        <v>0</v>
      </c>
      <c r="T321" s="193"/>
      <c r="U321" s="285" t="str">
        <f>IF(Tabella1[[#This Row],[N° FantaTit]]="","",Tabella1[[#This Row],[fanta voto]])</f>
        <v/>
      </c>
      <c r="V321" s="193">
        <f>SUM(Tabella1[[#This Row],[Voto]],(G321*3),Q321,P321,O321,-(N321),(-M321/2),(-L321*2),(-H321),(I321*3),(-J321*3),(K321*3))</f>
        <v>6.5</v>
      </c>
      <c r="W321" s="193"/>
      <c r="X321" s="193" t="str">
        <f>IF(Tabella1[[#This Row],[Best 11]]=1,Tabella1[[#This Row],[fanta voto]],"")</f>
        <v/>
      </c>
      <c r="Z321" s="193" t="str">
        <f>IF(Tabella1[[#This Row],[Best 11 MOD]]=1,Tabella1[[#This Row],[fanta voto]],"")</f>
        <v/>
      </c>
      <c r="AA321" t="str">
        <f>CONCATENATE(Tabella1[[#This Row],[GG]],Tabella1[[#This Row],[Nome]])</f>
        <v>2Cambiaghi</v>
      </c>
      <c r="AB321" t="str">
        <f t="shared" si="7"/>
        <v>2</v>
      </c>
      <c r="AC321" t="str">
        <f>_xlfn.CONCAT(Tabella1[[#This Row],[Ruolo]],Tabella1[[#This Row],[Gs]])</f>
        <v>C0</v>
      </c>
    </row>
    <row r="322" spans="1:29" hidden="1" x14ac:dyDescent="0.3">
      <c r="A322" s="14">
        <v>46261</v>
      </c>
      <c r="B322" s="15">
        <v>2</v>
      </c>
      <c r="C322" s="321" t="s">
        <v>646</v>
      </c>
      <c r="D322" s="330" t="s">
        <v>162</v>
      </c>
      <c r="E322" s="330" t="s">
        <v>659</v>
      </c>
      <c r="F322" s="331">
        <v>6</v>
      </c>
      <c r="G322" s="332">
        <v>0</v>
      </c>
      <c r="H322" s="332">
        <v>0</v>
      </c>
      <c r="I322" s="332">
        <v>0</v>
      </c>
      <c r="J322" s="332">
        <v>0</v>
      </c>
      <c r="K322" s="332">
        <v>0</v>
      </c>
      <c r="L322" s="332">
        <v>0</v>
      </c>
      <c r="M322" s="332">
        <v>0</v>
      </c>
      <c r="N322" s="332">
        <v>0</v>
      </c>
      <c r="O322" s="332">
        <v>0</v>
      </c>
      <c r="P322" s="284"/>
      <c r="Q322" s="284">
        <f t="shared" ref="Q322:Q364" si="8">IF(AC322="P0",1,0)</f>
        <v>0</v>
      </c>
      <c r="R322" s="3" t="str">
        <f>_xlfn.IFNA(VLOOKUP(Tabella1[[#This Row],[Nome]],'ROSE SQUADRE'!$N$3:$O$253,2,0),"")</f>
        <v/>
      </c>
      <c r="S322" s="193">
        <f>SUM(Tabella1[[#This Row],[Gf]],Tabella1[[#This Row],[Rf]])</f>
        <v>0</v>
      </c>
      <c r="T322" s="193"/>
      <c r="U322" s="285" t="str">
        <f>IF(Tabella1[[#This Row],[N° FantaTit]]="","",Tabella1[[#This Row],[fanta voto]])</f>
        <v/>
      </c>
      <c r="V322" s="193">
        <f>SUM(Tabella1[[#This Row],[Voto]],(G322*3),Q322,P322,O322,-(N322),(-M322/2),(-L322*2),(-H322),(I322*3),(-J322*3),(K322*3))</f>
        <v>6</v>
      </c>
      <c r="W322" s="193"/>
      <c r="X322" s="193" t="str">
        <f>IF(Tabella1[[#This Row],[Best 11]]=1,Tabella1[[#This Row],[fanta voto]],"")</f>
        <v/>
      </c>
      <c r="Z322" s="193" t="str">
        <f>IF(Tabella1[[#This Row],[Best 11 MOD]]=1,Tabella1[[#This Row],[fanta voto]],"")</f>
        <v/>
      </c>
      <c r="AA322" t="str">
        <f>CONCATENATE(Tabella1[[#This Row],[GG]],Tabella1[[#This Row],[Nome]])</f>
        <v>2Pobega</v>
      </c>
      <c r="AB322" t="str">
        <f t="shared" ref="AB322:AB364" si="9">CONCATENATE(B322,R322,T322)</f>
        <v>2</v>
      </c>
      <c r="AC322" t="str">
        <f>_xlfn.CONCAT(Tabella1[[#This Row],[Ruolo]],Tabella1[[#This Row],[Gs]])</f>
        <v>C0</v>
      </c>
    </row>
    <row r="323" spans="1:29" hidden="1" x14ac:dyDescent="0.3">
      <c r="A323" s="14">
        <v>46261</v>
      </c>
      <c r="B323" s="15">
        <v>2</v>
      </c>
      <c r="C323" s="321" t="s">
        <v>646</v>
      </c>
      <c r="D323" t="s">
        <v>162</v>
      </c>
      <c r="E323" t="s">
        <v>658</v>
      </c>
      <c r="F323" s="194">
        <v>6</v>
      </c>
      <c r="G323" s="328">
        <v>0</v>
      </c>
      <c r="H323" s="328">
        <v>0</v>
      </c>
      <c r="I323" s="328">
        <v>0</v>
      </c>
      <c r="J323" s="328">
        <v>0</v>
      </c>
      <c r="K323" s="328">
        <v>0</v>
      </c>
      <c r="L323" s="328">
        <v>0</v>
      </c>
      <c r="M323" s="328">
        <v>0</v>
      </c>
      <c r="N323" s="328">
        <v>0</v>
      </c>
      <c r="O323" s="328">
        <v>0</v>
      </c>
      <c r="P323" s="284"/>
      <c r="Q323" s="284">
        <f t="shared" si="8"/>
        <v>0</v>
      </c>
      <c r="R323" s="3" t="str">
        <f>_xlfn.IFNA(VLOOKUP(Tabella1[[#This Row],[Nome]],'ROSE SQUADRE'!$N$3:$O$253,2,0),"")</f>
        <v/>
      </c>
      <c r="S323" s="193">
        <f>SUM(Tabella1[[#This Row],[Gf]],Tabella1[[#This Row],[Rf]])</f>
        <v>0</v>
      </c>
      <c r="T323" s="193"/>
      <c r="U323" s="285" t="str">
        <f>IF(Tabella1[[#This Row],[N° FantaTit]]="","",Tabella1[[#This Row],[fanta voto]])</f>
        <v/>
      </c>
      <c r="V323" s="193">
        <f>SUM(Tabella1[[#This Row],[Voto]],(G323*3),Q323,P323,O323,-(N323),(-M323/2),(-L323*2),(-H323),(I323*3),(-J323*3),(K323*3))</f>
        <v>6</v>
      </c>
      <c r="W323" s="193"/>
      <c r="X323" s="193" t="str">
        <f>IF(Tabella1[[#This Row],[Best 11]]=1,Tabella1[[#This Row],[fanta voto]],"")</f>
        <v/>
      </c>
      <c r="Z323" s="193" t="str">
        <f>IF(Tabella1[[#This Row],[Best 11 MOD]]=1,Tabella1[[#This Row],[fanta voto]],"")</f>
        <v/>
      </c>
      <c r="AA323" t="str">
        <f>CONCATENATE(Tabella1[[#This Row],[GG]],Tabella1[[#This Row],[Nome]])</f>
        <v>2Ferguson</v>
      </c>
      <c r="AB323" t="str">
        <f t="shared" si="9"/>
        <v>2</v>
      </c>
      <c r="AC323" t="str">
        <f>_xlfn.CONCAT(Tabella1[[#This Row],[Ruolo]],Tabella1[[#This Row],[Gs]])</f>
        <v>C0</v>
      </c>
    </row>
    <row r="324" spans="1:29" hidden="1" x14ac:dyDescent="0.3">
      <c r="A324" s="14">
        <v>46261</v>
      </c>
      <c r="B324" s="15">
        <v>2</v>
      </c>
      <c r="C324" s="321" t="s">
        <v>646</v>
      </c>
      <c r="D324" t="s">
        <v>162</v>
      </c>
      <c r="E324" t="s">
        <v>655</v>
      </c>
      <c r="F324" s="194">
        <v>5.5</v>
      </c>
      <c r="G324" s="328">
        <v>0</v>
      </c>
      <c r="H324" s="328">
        <v>0</v>
      </c>
      <c r="I324" s="328">
        <v>0</v>
      </c>
      <c r="J324" s="328">
        <v>0</v>
      </c>
      <c r="K324" s="328">
        <v>0</v>
      </c>
      <c r="L324" s="328">
        <v>0</v>
      </c>
      <c r="M324" s="328">
        <v>0</v>
      </c>
      <c r="N324" s="328">
        <v>0</v>
      </c>
      <c r="O324" s="328">
        <v>0</v>
      </c>
      <c r="P324" s="284"/>
      <c r="Q324" s="284">
        <f t="shared" si="8"/>
        <v>0</v>
      </c>
      <c r="R324" s="3" t="str">
        <f>_xlfn.IFNA(VLOOKUP(Tabella1[[#This Row],[Nome]],'ROSE SQUADRE'!$N$3:$O$253,2,0),"")</f>
        <v/>
      </c>
      <c r="S324" s="193">
        <f>SUM(Tabella1[[#This Row],[Gf]],Tabella1[[#This Row],[Rf]])</f>
        <v>0</v>
      </c>
      <c r="T324" s="193"/>
      <c r="U324" s="285" t="str">
        <f>IF(Tabella1[[#This Row],[N° FantaTit]]="","",Tabella1[[#This Row],[fanta voto]])</f>
        <v/>
      </c>
      <c r="V324" s="193">
        <f>SUM(Tabella1[[#This Row],[Voto]],(G324*3),Q324,P324,O324,-(N324),(-M324/2),(-L324*2),(-H324),(I324*3),(-J324*3),(K324*3))</f>
        <v>5.5</v>
      </c>
      <c r="W324" s="193"/>
      <c r="X324" s="193" t="str">
        <f>IF(Tabella1[[#This Row],[Best 11]]=1,Tabella1[[#This Row],[fanta voto]],"")</f>
        <v/>
      </c>
      <c r="Z324" s="193" t="str">
        <f>IF(Tabella1[[#This Row],[Best 11 MOD]]=1,Tabella1[[#This Row],[fanta voto]],"")</f>
        <v/>
      </c>
      <c r="AA324" t="str">
        <f>CONCATENATE(Tabella1[[#This Row],[GG]],Tabella1[[#This Row],[Nome]])</f>
        <v>2Amondarain</v>
      </c>
      <c r="AB324" t="str">
        <f t="shared" si="9"/>
        <v>2</v>
      </c>
      <c r="AC324" t="str">
        <f>_xlfn.CONCAT(Tabella1[[#This Row],[Ruolo]],Tabella1[[#This Row],[Gs]])</f>
        <v>C0</v>
      </c>
    </row>
    <row r="325" spans="1:29" hidden="1" x14ac:dyDescent="0.3">
      <c r="A325" s="14">
        <v>46261</v>
      </c>
      <c r="B325" s="15">
        <v>2</v>
      </c>
      <c r="C325" s="321" t="s">
        <v>646</v>
      </c>
      <c r="D325" s="330" t="s">
        <v>163</v>
      </c>
      <c r="E325" s="330" t="s">
        <v>260</v>
      </c>
      <c r="F325" s="331">
        <v>5</v>
      </c>
      <c r="G325" s="332">
        <v>0</v>
      </c>
      <c r="H325" s="332">
        <v>0</v>
      </c>
      <c r="I325" s="332">
        <v>0</v>
      </c>
      <c r="J325" s="332">
        <v>0</v>
      </c>
      <c r="K325" s="332">
        <v>0</v>
      </c>
      <c r="L325" s="332">
        <v>0</v>
      </c>
      <c r="M325" s="332">
        <v>0</v>
      </c>
      <c r="N325" s="332">
        <v>0</v>
      </c>
      <c r="O325" s="332">
        <v>0</v>
      </c>
      <c r="P325" s="284"/>
      <c r="Q325" s="284">
        <f t="shared" si="8"/>
        <v>0</v>
      </c>
      <c r="R325" s="3" t="str">
        <f>_xlfn.IFNA(VLOOKUP(Tabella1[[#This Row],[Nome]],'ROSE SQUADRE'!$N$3:$O$253,2,0),"")</f>
        <v>SHARK</v>
      </c>
      <c r="S325" s="193">
        <f>SUM(Tabella1[[#This Row],[Gf]],Tabella1[[#This Row],[Rf]])</f>
        <v>0</v>
      </c>
      <c r="T325" s="193"/>
      <c r="U325" s="285" t="str">
        <f>IF(Tabella1[[#This Row],[N° FantaTit]]="","",Tabella1[[#This Row],[fanta voto]])</f>
        <v/>
      </c>
      <c r="V325" s="193">
        <f>SUM(Tabella1[[#This Row],[Voto]],(G325*3),Q325,P325,O325,-(N325),(-M325/2),(-L325*2),(-H325),(I325*3),(-J325*3),(K325*3))</f>
        <v>5</v>
      </c>
      <c r="W325" s="193"/>
      <c r="X325" s="193" t="str">
        <f>IF(Tabella1[[#This Row],[Best 11]]=1,Tabella1[[#This Row],[fanta voto]],"")</f>
        <v/>
      </c>
      <c r="Z325" s="193" t="str">
        <f>IF(Tabella1[[#This Row],[Best 11 MOD]]=1,Tabella1[[#This Row],[fanta voto]],"")</f>
        <v/>
      </c>
      <c r="AA325" t="str">
        <f>CONCATENATE(Tabella1[[#This Row],[GG]],Tabella1[[#This Row],[Nome]])</f>
        <v>2Piccoli</v>
      </c>
      <c r="AB325" t="str">
        <f t="shared" si="9"/>
        <v>2SHARK</v>
      </c>
      <c r="AC325" t="str">
        <f>_xlfn.CONCAT(Tabella1[[#This Row],[Ruolo]],Tabella1[[#This Row],[Gs]])</f>
        <v>A0</v>
      </c>
    </row>
    <row r="326" spans="1:29" hidden="1" x14ac:dyDescent="0.3">
      <c r="A326" s="14">
        <v>46261</v>
      </c>
      <c r="B326" s="15">
        <v>2</v>
      </c>
      <c r="C326" s="321" t="s">
        <v>646</v>
      </c>
      <c r="D326" t="s">
        <v>163</v>
      </c>
      <c r="E326" t="s">
        <v>569</v>
      </c>
      <c r="F326" s="194">
        <v>5.5</v>
      </c>
      <c r="G326" s="328">
        <v>0</v>
      </c>
      <c r="H326" s="328">
        <v>0</v>
      </c>
      <c r="I326" s="328">
        <v>0</v>
      </c>
      <c r="J326" s="328">
        <v>0</v>
      </c>
      <c r="K326" s="328">
        <v>0</v>
      </c>
      <c r="L326" s="328">
        <v>0</v>
      </c>
      <c r="M326" s="328">
        <v>0</v>
      </c>
      <c r="N326" s="328">
        <v>0</v>
      </c>
      <c r="O326" s="328">
        <v>0</v>
      </c>
      <c r="P326" s="284"/>
      <c r="Q326" s="284">
        <f t="shared" si="8"/>
        <v>0</v>
      </c>
      <c r="R326" s="3" t="str">
        <f>_xlfn.IFNA(VLOOKUP(Tabella1[[#This Row],[Nome]],'ROSE SQUADRE'!$N$3:$O$253,2,0),"")</f>
        <v>PARTIZAN DEGRADO</v>
      </c>
      <c r="S326" s="193">
        <f>SUM(Tabella1[[#This Row],[Gf]],Tabella1[[#This Row],[Rf]])</f>
        <v>0</v>
      </c>
      <c r="T326" s="193"/>
      <c r="U326" s="285" t="str">
        <f>IF(Tabella1[[#This Row],[N° FantaTit]]="","",Tabella1[[#This Row],[fanta voto]])</f>
        <v/>
      </c>
      <c r="V326" s="193">
        <f>SUM(Tabella1[[#This Row],[Voto]],(G326*3),Q326,P326,O326,-(N326),(-M326/2),(-L326*2),(-H326),(I326*3),(-J326*3),(K326*3))</f>
        <v>5.5</v>
      </c>
      <c r="W326" s="193"/>
      <c r="X326" s="193" t="str">
        <f>IF(Tabella1[[#This Row],[Best 11]]=1,Tabella1[[#This Row],[fanta voto]],"")</f>
        <v/>
      </c>
      <c r="Z326" s="193" t="str">
        <f>IF(Tabella1[[#This Row],[Best 11 MOD]]=1,Tabella1[[#This Row],[fanta voto]],"")</f>
        <v/>
      </c>
      <c r="AA326" t="str">
        <f>CONCATENATE(Tabella1[[#This Row],[GG]],Tabella1[[#This Row],[Nome]])</f>
        <v>2Dovbyk</v>
      </c>
      <c r="AB326" t="str">
        <f t="shared" si="9"/>
        <v>2PARTIZAN DEGRADO</v>
      </c>
      <c r="AC326" t="str">
        <f>_xlfn.CONCAT(Tabella1[[#This Row],[Ruolo]],Tabella1[[#This Row],[Gs]])</f>
        <v>A0</v>
      </c>
    </row>
    <row r="327" spans="1:29" hidden="1" x14ac:dyDescent="0.3">
      <c r="A327" s="14">
        <v>46261</v>
      </c>
      <c r="B327" s="15">
        <v>2</v>
      </c>
      <c r="C327" s="321" t="s">
        <v>662</v>
      </c>
      <c r="D327" t="s">
        <v>5</v>
      </c>
      <c r="E327" t="s">
        <v>661</v>
      </c>
      <c r="F327" s="194">
        <v>7</v>
      </c>
      <c r="G327" s="328">
        <v>0</v>
      </c>
      <c r="H327" s="329">
        <v>1</v>
      </c>
      <c r="I327" s="328">
        <v>0</v>
      </c>
      <c r="J327" s="328">
        <v>0</v>
      </c>
      <c r="K327" s="328">
        <v>0</v>
      </c>
      <c r="L327" s="328">
        <v>0</v>
      </c>
      <c r="M327" s="328">
        <v>0</v>
      </c>
      <c r="N327" s="328">
        <v>0</v>
      </c>
      <c r="O327" s="328">
        <v>0</v>
      </c>
      <c r="P327" s="284"/>
      <c r="Q327" s="284">
        <f t="shared" si="8"/>
        <v>0</v>
      </c>
      <c r="R327" s="3" t="str">
        <f>_xlfn.IFNA(VLOOKUP(Tabella1[[#This Row],[Nome]],'ROSE SQUADRE'!$N$3:$O$253,2,0),"")</f>
        <v>AC ASPARAGHESE</v>
      </c>
      <c r="S327" s="193">
        <f>SUM(Tabella1[[#This Row],[Gf]],Tabella1[[#This Row],[Rf]])</f>
        <v>0</v>
      </c>
      <c r="T327" s="193"/>
      <c r="U327" s="285" t="str">
        <f>IF(Tabella1[[#This Row],[N° FantaTit]]="","",Tabella1[[#This Row],[fanta voto]])</f>
        <v/>
      </c>
      <c r="V327" s="193">
        <f>SUM(Tabella1[[#This Row],[Voto]],(G327*3),Q327,P327,O327,-(N327),(-M327/2),(-L327*2),(-H327),(I327*3),(-J327*3),(K327*3))</f>
        <v>6</v>
      </c>
      <c r="W327" s="193"/>
      <c r="X327" s="193" t="str">
        <f>IF(Tabella1[[#This Row],[Best 11]]=1,Tabella1[[#This Row],[fanta voto]],"")</f>
        <v/>
      </c>
      <c r="Z327" s="193" t="str">
        <f>IF(Tabella1[[#This Row],[Best 11 MOD]]=1,Tabella1[[#This Row],[fanta voto]],"")</f>
        <v/>
      </c>
      <c r="AA327" t="str">
        <f>CONCATENATE(Tabella1[[#This Row],[GG]],Tabella1[[#This Row],[Nome]])</f>
        <v>2Caprile</v>
      </c>
      <c r="AB327" t="str">
        <f t="shared" si="9"/>
        <v>2AC ASPARAGHESE</v>
      </c>
      <c r="AC327" t="str">
        <f>_xlfn.CONCAT(Tabella1[[#This Row],[Ruolo]],Tabella1[[#This Row],[Gs]])</f>
        <v>P1</v>
      </c>
    </row>
    <row r="328" spans="1:29" hidden="1" x14ac:dyDescent="0.3">
      <c r="A328" s="14">
        <v>46261</v>
      </c>
      <c r="B328" s="15">
        <v>2</v>
      </c>
      <c r="C328" s="321" t="s">
        <v>662</v>
      </c>
      <c r="D328" s="330" t="s">
        <v>161</v>
      </c>
      <c r="E328" s="330" t="s">
        <v>668</v>
      </c>
      <c r="F328" s="331">
        <v>5.5</v>
      </c>
      <c r="G328" s="332">
        <v>0</v>
      </c>
      <c r="H328" s="332">
        <v>0</v>
      </c>
      <c r="I328" s="332">
        <v>0</v>
      </c>
      <c r="J328" s="332">
        <v>0</v>
      </c>
      <c r="K328" s="332">
        <v>0</v>
      </c>
      <c r="L328" s="332">
        <v>0</v>
      </c>
      <c r="M328" s="332">
        <v>0</v>
      </c>
      <c r="N328" s="332">
        <v>0</v>
      </c>
      <c r="O328" s="332">
        <v>0</v>
      </c>
      <c r="P328" s="284"/>
      <c r="Q328" s="284">
        <f t="shared" si="8"/>
        <v>0</v>
      </c>
      <c r="R328" s="3" t="str">
        <f>_xlfn.IFNA(VLOOKUP(Tabella1[[#This Row],[Nome]],'ROSE SQUADRE'!$N$3:$O$253,2,0),"")</f>
        <v/>
      </c>
      <c r="S328" s="193">
        <f>SUM(Tabella1[[#This Row],[Gf]],Tabella1[[#This Row],[Rf]])</f>
        <v>0</v>
      </c>
      <c r="T328" s="193"/>
      <c r="U328" s="285" t="str">
        <f>IF(Tabella1[[#This Row],[N° FantaTit]]="","",Tabella1[[#This Row],[fanta voto]])</f>
        <v/>
      </c>
      <c r="V328" s="193">
        <f>SUM(Tabella1[[#This Row],[Voto]],(G328*3),Q328,P328,O328,-(N328),(-M328/2),(-L328*2),(-H328),(I328*3),(-J328*3),(K328*3))</f>
        <v>5.5</v>
      </c>
      <c r="W328" s="193"/>
      <c r="X328" s="193" t="str">
        <f>IF(Tabella1[[#This Row],[Best 11]]=1,Tabella1[[#This Row],[fanta voto]],"")</f>
        <v/>
      </c>
      <c r="Z328" s="193" t="str">
        <f>IF(Tabella1[[#This Row],[Best 11 MOD]]=1,Tabella1[[#This Row],[fanta voto]],"")</f>
        <v/>
      </c>
      <c r="AA328" t="str">
        <f>CONCATENATE(Tabella1[[#This Row],[GG]],Tabella1[[#This Row],[Nome]])</f>
        <v>2Obert</v>
      </c>
      <c r="AB328" t="str">
        <f t="shared" si="9"/>
        <v>2</v>
      </c>
      <c r="AC328" t="str">
        <f>_xlfn.CONCAT(Tabella1[[#This Row],[Ruolo]],Tabella1[[#This Row],[Gs]])</f>
        <v>D0</v>
      </c>
    </row>
    <row r="329" spans="1:29" hidden="1" x14ac:dyDescent="0.3">
      <c r="A329" s="14">
        <v>46261</v>
      </c>
      <c r="B329" s="15">
        <v>2</v>
      </c>
      <c r="C329" s="321" t="s">
        <v>662</v>
      </c>
      <c r="D329" t="s">
        <v>161</v>
      </c>
      <c r="E329" t="s">
        <v>669</v>
      </c>
      <c r="F329" s="194">
        <v>6</v>
      </c>
      <c r="G329" s="328">
        <v>0</v>
      </c>
      <c r="H329" s="328">
        <v>0</v>
      </c>
      <c r="I329" s="328">
        <v>0</v>
      </c>
      <c r="J329" s="328">
        <v>0</v>
      </c>
      <c r="K329" s="328">
        <v>0</v>
      </c>
      <c r="L329" s="328">
        <v>0</v>
      </c>
      <c r="M329" s="328">
        <v>0</v>
      </c>
      <c r="N329" s="328">
        <v>0</v>
      </c>
      <c r="O329" s="328">
        <v>0</v>
      </c>
      <c r="P329" s="284"/>
      <c r="Q329" s="284">
        <f t="shared" si="8"/>
        <v>0</v>
      </c>
      <c r="R329" s="3" t="str">
        <f>_xlfn.IFNA(VLOOKUP(Tabella1[[#This Row],[Nome]],'ROSE SQUADRE'!$N$3:$O$253,2,0),"")</f>
        <v/>
      </c>
      <c r="S329" s="193">
        <f>SUM(Tabella1[[#This Row],[Gf]],Tabella1[[#This Row],[Rf]])</f>
        <v>0</v>
      </c>
      <c r="T329" s="193"/>
      <c r="U329" s="285" t="str">
        <f>IF(Tabella1[[#This Row],[N° FantaTit]]="","",Tabella1[[#This Row],[fanta voto]])</f>
        <v/>
      </c>
      <c r="V329" s="193">
        <f>SUM(Tabella1[[#This Row],[Voto]],(G329*3),Q329,P329,O329,-(N329),(-M329/2),(-L329*2),(-H329),(I329*3),(-J329*3),(K329*3))</f>
        <v>6</v>
      </c>
      <c r="W329" s="193"/>
      <c r="X329" s="193" t="str">
        <f>IF(Tabella1[[#This Row],[Best 11]]=1,Tabella1[[#This Row],[fanta voto]],"")</f>
        <v/>
      </c>
      <c r="Z329" s="193" t="str">
        <f>IF(Tabella1[[#This Row],[Best 11 MOD]]=1,Tabella1[[#This Row],[fanta voto]],"")</f>
        <v/>
      </c>
      <c r="AA329" t="str">
        <f>CONCATENATE(Tabella1[[#This Row],[GG]],Tabella1[[#This Row],[Nome]])</f>
        <v>2Rodriguez Ju.</v>
      </c>
      <c r="AB329" t="str">
        <f t="shared" si="9"/>
        <v>2</v>
      </c>
      <c r="AC329" t="str">
        <f>_xlfn.CONCAT(Tabella1[[#This Row],[Ruolo]],Tabella1[[#This Row],[Gs]])</f>
        <v>D0</v>
      </c>
    </row>
    <row r="330" spans="1:29" hidden="1" x14ac:dyDescent="0.3">
      <c r="A330" s="14">
        <v>46261</v>
      </c>
      <c r="B330" s="15">
        <v>2</v>
      </c>
      <c r="C330" s="321" t="s">
        <v>662</v>
      </c>
      <c r="D330" s="330" t="s">
        <v>161</v>
      </c>
      <c r="E330" s="330" t="s">
        <v>670</v>
      </c>
      <c r="F330" s="331">
        <v>6</v>
      </c>
      <c r="G330" s="332">
        <v>0</v>
      </c>
      <c r="H330" s="332">
        <v>0</v>
      </c>
      <c r="I330" s="332">
        <v>0</v>
      </c>
      <c r="J330" s="332">
        <v>0</v>
      </c>
      <c r="K330" s="332">
        <v>0</v>
      </c>
      <c r="L330" s="332">
        <v>0</v>
      </c>
      <c r="M330" s="332">
        <v>0</v>
      </c>
      <c r="N330" s="332">
        <v>0</v>
      </c>
      <c r="O330" s="332">
        <v>0</v>
      </c>
      <c r="P330" s="284"/>
      <c r="Q330" s="284">
        <f t="shared" si="8"/>
        <v>0</v>
      </c>
      <c r="R330" s="3" t="str">
        <f>_xlfn.IFNA(VLOOKUP(Tabella1[[#This Row],[Nome]],'ROSE SQUADRE'!$N$3:$O$253,2,0),"")</f>
        <v>ATL. IMPROVVISATO</v>
      </c>
      <c r="S330" s="193">
        <f>SUM(Tabella1[[#This Row],[Gf]],Tabella1[[#This Row],[Rf]])</f>
        <v>0</v>
      </c>
      <c r="T330" s="193"/>
      <c r="U330" s="285" t="str">
        <f>IF(Tabella1[[#This Row],[N° FantaTit]]="","",Tabella1[[#This Row],[fanta voto]])</f>
        <v/>
      </c>
      <c r="V330" s="193">
        <f>SUM(Tabella1[[#This Row],[Voto]],(G330*3),Q330,P330,O330,-(N330),(-M330/2),(-L330*2),(-H330),(I330*3),(-J330*3),(K330*3))</f>
        <v>6</v>
      </c>
      <c r="W330" s="193"/>
      <c r="X330" s="193" t="str">
        <f>IF(Tabella1[[#This Row],[Best 11]]=1,Tabella1[[#This Row],[fanta voto]],"")</f>
        <v/>
      </c>
      <c r="Z330" s="193" t="str">
        <f>IF(Tabella1[[#This Row],[Best 11 MOD]]=1,Tabella1[[#This Row],[fanta voto]],"")</f>
        <v/>
      </c>
      <c r="AA330" t="str">
        <f>CONCATENATE(Tabella1[[#This Row],[GG]],Tabella1[[#This Row],[Nome]])</f>
        <v>2Zè Pedro</v>
      </c>
      <c r="AB330" t="str">
        <f t="shared" si="9"/>
        <v>2ATL. IMPROVVISATO</v>
      </c>
      <c r="AC330" t="str">
        <f>_xlfn.CONCAT(Tabella1[[#This Row],[Ruolo]],Tabella1[[#This Row],[Gs]])</f>
        <v>D0</v>
      </c>
    </row>
    <row r="331" spans="1:29" hidden="1" x14ac:dyDescent="0.3">
      <c r="A331" s="14">
        <v>46261</v>
      </c>
      <c r="B331" s="15">
        <v>2</v>
      </c>
      <c r="C331" s="321" t="s">
        <v>662</v>
      </c>
      <c r="D331" t="s">
        <v>161</v>
      </c>
      <c r="E331" t="s">
        <v>667</v>
      </c>
      <c r="F331" s="194">
        <v>6</v>
      </c>
      <c r="G331" s="328">
        <v>0</v>
      </c>
      <c r="H331" s="328">
        <v>0</v>
      </c>
      <c r="I331" s="328">
        <v>0</v>
      </c>
      <c r="J331" s="328">
        <v>0</v>
      </c>
      <c r="K331" s="328">
        <v>0</v>
      </c>
      <c r="L331" s="328">
        <v>0</v>
      </c>
      <c r="M331" s="328">
        <v>0</v>
      </c>
      <c r="N331" s="328">
        <v>0</v>
      </c>
      <c r="O331" s="328">
        <v>0</v>
      </c>
      <c r="P331" s="284"/>
      <c r="Q331" s="284">
        <f t="shared" si="8"/>
        <v>0</v>
      </c>
      <c r="R331" s="3" t="str">
        <f>_xlfn.IFNA(VLOOKUP(Tabella1[[#This Row],[Nome]],'ROSE SQUADRE'!$N$3:$O$253,2,0),"")</f>
        <v>AC ASPARAGHESE</v>
      </c>
      <c r="S331" s="193">
        <f>SUM(Tabella1[[#This Row],[Gf]],Tabella1[[#This Row],[Rf]])</f>
        <v>0</v>
      </c>
      <c r="T331" s="193"/>
      <c r="U331" s="285" t="str">
        <f>IF(Tabella1[[#This Row],[N° FantaTit]]="","",Tabella1[[#This Row],[fanta voto]])</f>
        <v/>
      </c>
      <c r="V331" s="193">
        <f>SUM(Tabella1[[#This Row],[Voto]],(G331*3),Q331,P331,O331,-(N331),(-M331/2),(-L331*2),(-H331),(I331*3),(-J331*3),(K331*3))</f>
        <v>6</v>
      </c>
      <c r="W331" s="193"/>
      <c r="X331" s="193" t="str">
        <f>IF(Tabella1[[#This Row],[Best 11]]=1,Tabella1[[#This Row],[fanta voto]],"")</f>
        <v/>
      </c>
      <c r="Z331" s="193" t="str">
        <f>IF(Tabella1[[#This Row],[Best 11 MOD]]=1,Tabella1[[#This Row],[fanta voto]],"")</f>
        <v/>
      </c>
      <c r="AA331" t="str">
        <f>CONCATENATE(Tabella1[[#This Row],[GG]],Tabella1[[#This Row],[Nome]])</f>
        <v>2Kofler</v>
      </c>
      <c r="AB331" t="str">
        <f t="shared" si="9"/>
        <v>2AC ASPARAGHESE</v>
      </c>
      <c r="AC331" t="str">
        <f>_xlfn.CONCAT(Tabella1[[#This Row],[Ruolo]],Tabella1[[#This Row],[Gs]])</f>
        <v>D0</v>
      </c>
    </row>
    <row r="332" spans="1:29" hidden="1" x14ac:dyDescent="0.3">
      <c r="A332" s="14">
        <v>46261</v>
      </c>
      <c r="B332" s="15">
        <v>2</v>
      </c>
      <c r="C332" s="321" t="s">
        <v>662</v>
      </c>
      <c r="D332" s="330" t="s">
        <v>162</v>
      </c>
      <c r="E332" s="330" t="s">
        <v>433</v>
      </c>
      <c r="F332" s="331">
        <v>5.5</v>
      </c>
      <c r="G332" s="332">
        <v>0</v>
      </c>
      <c r="H332" s="332">
        <v>0</v>
      </c>
      <c r="I332" s="332">
        <v>0</v>
      </c>
      <c r="J332" s="332">
        <v>0</v>
      </c>
      <c r="K332" s="332">
        <v>0</v>
      </c>
      <c r="L332" s="332">
        <v>0</v>
      </c>
      <c r="M332" s="333">
        <v>1</v>
      </c>
      <c r="N332" s="332">
        <v>0</v>
      </c>
      <c r="O332" s="332">
        <v>0</v>
      </c>
      <c r="P332" s="284"/>
      <c r="Q332" s="284">
        <f t="shared" si="8"/>
        <v>0</v>
      </c>
      <c r="R332" s="3" t="str">
        <f>_xlfn.IFNA(VLOOKUP(Tabella1[[#This Row],[Nome]],'ROSE SQUADRE'!$N$3:$O$253,2,0),"")</f>
        <v/>
      </c>
      <c r="S332" s="193">
        <f>SUM(Tabella1[[#This Row],[Gf]],Tabella1[[#This Row],[Rf]])</f>
        <v>0</v>
      </c>
      <c r="T332" s="193"/>
      <c r="U332" s="285" t="str">
        <f>IF(Tabella1[[#This Row],[N° FantaTit]]="","",Tabella1[[#This Row],[fanta voto]])</f>
        <v/>
      </c>
      <c r="V332" s="193">
        <f>SUM(Tabella1[[#This Row],[Voto]],(G332*3),Q332,P332,O332,-(N332),(-M332/2),(-L332*2),(-H332),(I332*3),(-J332*3),(K332*3))</f>
        <v>5</v>
      </c>
      <c r="W332" s="193"/>
      <c r="X332" s="193" t="str">
        <f>IF(Tabella1[[#This Row],[Best 11]]=1,Tabella1[[#This Row],[fanta voto]],"")</f>
        <v/>
      </c>
      <c r="Z332" s="193" t="str">
        <f>IF(Tabella1[[#This Row],[Best 11 MOD]]=1,Tabella1[[#This Row],[fanta voto]],"")</f>
        <v/>
      </c>
      <c r="AA332" t="str">
        <f>CONCATENATE(Tabella1[[#This Row],[GG]],Tabella1[[#This Row],[Nome]])</f>
        <v>2Deiola</v>
      </c>
      <c r="AB332" t="str">
        <f t="shared" si="9"/>
        <v>2</v>
      </c>
      <c r="AC332" t="str">
        <f>_xlfn.CONCAT(Tabella1[[#This Row],[Ruolo]],Tabella1[[#This Row],[Gs]])</f>
        <v>C0</v>
      </c>
    </row>
    <row r="333" spans="1:29" hidden="1" x14ac:dyDescent="0.3">
      <c r="A333" s="14">
        <v>46261</v>
      </c>
      <c r="B333" s="15">
        <v>2</v>
      </c>
      <c r="C333" s="321" t="s">
        <v>662</v>
      </c>
      <c r="D333" t="s">
        <v>162</v>
      </c>
      <c r="E333" t="s">
        <v>674</v>
      </c>
      <c r="F333" s="194">
        <v>5</v>
      </c>
      <c r="G333" s="328">
        <v>0</v>
      </c>
      <c r="H333" s="328">
        <v>0</v>
      </c>
      <c r="I333" s="328">
        <v>0</v>
      </c>
      <c r="J333" s="328">
        <v>0</v>
      </c>
      <c r="K333" s="328">
        <v>0</v>
      </c>
      <c r="L333" s="328">
        <v>0</v>
      </c>
      <c r="M333" s="328">
        <v>0</v>
      </c>
      <c r="N333" s="328">
        <v>0</v>
      </c>
      <c r="O333" s="328">
        <v>0</v>
      </c>
      <c r="P333" s="284"/>
      <c r="Q333" s="284">
        <f t="shared" si="8"/>
        <v>0</v>
      </c>
      <c r="R333" s="3" t="str">
        <f>_xlfn.IFNA(VLOOKUP(Tabella1[[#This Row],[Nome]],'ROSE SQUADRE'!$N$3:$O$253,2,0),"")</f>
        <v/>
      </c>
      <c r="S333" s="193">
        <f>SUM(Tabella1[[#This Row],[Gf]],Tabella1[[#This Row],[Rf]])</f>
        <v>0</v>
      </c>
      <c r="T333" s="193"/>
      <c r="U333" s="285" t="str">
        <f>IF(Tabella1[[#This Row],[N° FantaTit]]="","",Tabella1[[#This Row],[fanta voto]])</f>
        <v/>
      </c>
      <c r="V333" s="193">
        <f>SUM(Tabella1[[#This Row],[Voto]],(G333*3),Q333,P333,O333,-(N333),(-M333/2),(-L333*2),(-H333),(I333*3),(-J333*3),(K333*3))</f>
        <v>5</v>
      </c>
      <c r="W333" s="193"/>
      <c r="X333" s="193" t="str">
        <f>IF(Tabella1[[#This Row],[Best 11]]=1,Tabella1[[#This Row],[fanta voto]],"")</f>
        <v/>
      </c>
      <c r="Z333" s="193" t="str">
        <f>IF(Tabella1[[#This Row],[Best 11 MOD]]=1,Tabella1[[#This Row],[fanta voto]],"")</f>
        <v/>
      </c>
      <c r="AA333" t="str">
        <f>CONCATENATE(Tabella1[[#This Row],[GG]],Tabella1[[#This Row],[Nome]])</f>
        <v>2Winks</v>
      </c>
      <c r="AB333" t="str">
        <f t="shared" si="9"/>
        <v>2</v>
      </c>
      <c r="AC333" t="str">
        <f>_xlfn.CONCAT(Tabella1[[#This Row],[Ruolo]],Tabella1[[#This Row],[Gs]])</f>
        <v>C0</v>
      </c>
    </row>
    <row r="334" spans="1:29" hidden="1" x14ac:dyDescent="0.3">
      <c r="A334" s="14">
        <v>46261</v>
      </c>
      <c r="B334" s="15">
        <v>2</v>
      </c>
      <c r="C334" s="321" t="s">
        <v>662</v>
      </c>
      <c r="D334" s="330" t="s">
        <v>162</v>
      </c>
      <c r="E334" s="330" t="s">
        <v>231</v>
      </c>
      <c r="F334" s="331">
        <v>5.5</v>
      </c>
      <c r="G334" s="332">
        <v>0</v>
      </c>
      <c r="H334" s="332">
        <v>0</v>
      </c>
      <c r="I334" s="332">
        <v>0</v>
      </c>
      <c r="J334" s="332">
        <v>0</v>
      </c>
      <c r="K334" s="332">
        <v>0</v>
      </c>
      <c r="L334" s="332">
        <v>0</v>
      </c>
      <c r="M334" s="332">
        <v>0</v>
      </c>
      <c r="N334" s="332">
        <v>0</v>
      </c>
      <c r="O334" s="332">
        <v>0</v>
      </c>
      <c r="P334" s="284"/>
      <c r="Q334" s="284">
        <f t="shared" si="8"/>
        <v>0</v>
      </c>
      <c r="R334" s="3" t="str">
        <f>_xlfn.IFNA(VLOOKUP(Tabella1[[#This Row],[Nome]],'ROSE SQUADRE'!$N$3:$O$253,2,0),"")</f>
        <v/>
      </c>
      <c r="S334" s="193">
        <f>SUM(Tabella1[[#This Row],[Gf]],Tabella1[[#This Row],[Rf]])</f>
        <v>0</v>
      </c>
      <c r="T334" s="193"/>
      <c r="U334" s="285" t="str">
        <f>IF(Tabella1[[#This Row],[N° FantaTit]]="","",Tabella1[[#This Row],[fanta voto]])</f>
        <v/>
      </c>
      <c r="V334" s="193">
        <f>SUM(Tabella1[[#This Row],[Voto]],(G334*3),Q334,P334,O334,-(N334),(-M334/2),(-L334*2),(-H334),(I334*3),(-J334*3),(K334*3))</f>
        <v>5.5</v>
      </c>
      <c r="W334" s="193"/>
      <c r="X334" s="193" t="str">
        <f>IF(Tabella1[[#This Row],[Best 11]]=1,Tabella1[[#This Row],[fanta voto]],"")</f>
        <v/>
      </c>
      <c r="Z334" s="193" t="str">
        <f>IF(Tabella1[[#This Row],[Best 11 MOD]]=1,Tabella1[[#This Row],[fanta voto]],"")</f>
        <v/>
      </c>
      <c r="AA334" t="str">
        <f>CONCATENATE(Tabella1[[#This Row],[GG]],Tabella1[[#This Row],[Nome]])</f>
        <v>2Adopo</v>
      </c>
      <c r="AB334" t="str">
        <f t="shared" si="9"/>
        <v>2</v>
      </c>
      <c r="AC334" t="str">
        <f>_xlfn.CONCAT(Tabella1[[#This Row],[Ruolo]],Tabella1[[#This Row],[Gs]])</f>
        <v>C0</v>
      </c>
    </row>
    <row r="335" spans="1:29" hidden="1" x14ac:dyDescent="0.3">
      <c r="A335" s="14">
        <v>46261</v>
      </c>
      <c r="B335" s="15">
        <v>2</v>
      </c>
      <c r="C335" s="321" t="s">
        <v>662</v>
      </c>
      <c r="D335" s="330" t="s">
        <v>162</v>
      </c>
      <c r="E335" s="330" t="s">
        <v>352</v>
      </c>
      <c r="F335" s="331">
        <v>5.5</v>
      </c>
      <c r="G335" s="332">
        <v>0</v>
      </c>
      <c r="H335" s="332">
        <v>0</v>
      </c>
      <c r="I335" s="332">
        <v>0</v>
      </c>
      <c r="J335" s="332">
        <v>0</v>
      </c>
      <c r="K335" s="332">
        <v>0</v>
      </c>
      <c r="L335" s="332">
        <v>0</v>
      </c>
      <c r="M335" s="332">
        <v>0</v>
      </c>
      <c r="N335" s="332">
        <v>0</v>
      </c>
      <c r="O335" s="332">
        <v>0</v>
      </c>
      <c r="P335" s="284"/>
      <c r="Q335" s="284">
        <f t="shared" si="8"/>
        <v>0</v>
      </c>
      <c r="R335" s="3" t="str">
        <f>_xlfn.IFNA(VLOOKUP(Tabella1[[#This Row],[Nome]],'ROSE SQUADRE'!$N$3:$O$253,2,0),"")</f>
        <v>FC INTERNAZIOANALE</v>
      </c>
      <c r="S335" s="193">
        <f>SUM(Tabella1[[#This Row],[Gf]],Tabella1[[#This Row],[Rf]])</f>
        <v>0</v>
      </c>
      <c r="T335" s="193"/>
      <c r="U335" s="285" t="str">
        <f>IF(Tabella1[[#This Row],[N° FantaTit]]="","",Tabella1[[#This Row],[fanta voto]])</f>
        <v/>
      </c>
      <c r="V335" s="193">
        <f>SUM(Tabella1[[#This Row],[Voto]],(G335*3),Q335,P335,O335,-(N335),(-M335/2),(-L335*2),(-H335),(I335*3),(-J335*3),(K335*3))</f>
        <v>5.5</v>
      </c>
      <c r="W335" s="193"/>
      <c r="X335" s="193" t="str">
        <f>IF(Tabella1[[#This Row],[Best 11]]=1,Tabella1[[#This Row],[fanta voto]],"")</f>
        <v/>
      </c>
      <c r="Z335" s="193" t="str">
        <f>IF(Tabella1[[#This Row],[Best 11 MOD]]=1,Tabella1[[#This Row],[fanta voto]],"")</f>
        <v/>
      </c>
      <c r="AA335" t="str">
        <f>CONCATENATE(Tabella1[[#This Row],[GG]],Tabella1[[#This Row],[Nome]])</f>
        <v>2Fazzini</v>
      </c>
      <c r="AB335" t="str">
        <f t="shared" si="9"/>
        <v>2FC INTERNAZIOANALE</v>
      </c>
      <c r="AC335" t="str">
        <f>_xlfn.CONCAT(Tabella1[[#This Row],[Ruolo]],Tabella1[[#This Row],[Gs]])</f>
        <v>C0</v>
      </c>
    </row>
    <row r="336" spans="1:29" hidden="1" x14ac:dyDescent="0.3">
      <c r="A336" s="14">
        <v>46261</v>
      </c>
      <c r="B336" s="15">
        <v>2</v>
      </c>
      <c r="C336" s="321" t="s">
        <v>662</v>
      </c>
      <c r="D336" t="s">
        <v>162</v>
      </c>
      <c r="E336" t="s">
        <v>695</v>
      </c>
      <c r="F336" s="194">
        <v>6</v>
      </c>
      <c r="G336" s="328">
        <v>0</v>
      </c>
      <c r="H336" s="328">
        <v>0</v>
      </c>
      <c r="I336" s="328">
        <v>0</v>
      </c>
      <c r="J336" s="328">
        <v>0</v>
      </c>
      <c r="K336" s="328">
        <v>0</v>
      </c>
      <c r="L336" s="328">
        <v>0</v>
      </c>
      <c r="M336" s="328">
        <v>0</v>
      </c>
      <c r="N336" s="328">
        <v>0</v>
      </c>
      <c r="O336" s="328">
        <v>0</v>
      </c>
      <c r="P336" s="284"/>
      <c r="Q336" s="284">
        <f t="shared" si="8"/>
        <v>0</v>
      </c>
      <c r="R336" s="3" t="str">
        <f>_xlfn.IFNA(VLOOKUP(Tabella1[[#This Row],[Nome]],'ROSE SQUADRE'!$N$3:$O$253,2,0),"")</f>
        <v/>
      </c>
      <c r="S336" s="193">
        <f>SUM(Tabella1[[#This Row],[Gf]],Tabella1[[#This Row],[Rf]])</f>
        <v>0</v>
      </c>
      <c r="T336" s="193"/>
      <c r="U336" s="285" t="str">
        <f>IF(Tabella1[[#This Row],[N° FantaTit]]="","",Tabella1[[#This Row],[fanta voto]])</f>
        <v/>
      </c>
      <c r="V336" s="193">
        <f>SUM(Tabella1[[#This Row],[Voto]],(G336*3),Q336,P336,O336,-(N336),(-M336/2),(-L336*2),(-H336),(I336*3),(-J336*3),(K336*3))</f>
        <v>6</v>
      </c>
      <c r="W336" s="193"/>
      <c r="X336" s="193" t="str">
        <f>IF(Tabella1[[#This Row],[Best 11]]=1,Tabella1[[#This Row],[fanta voto]],"")</f>
        <v/>
      </c>
      <c r="Z336" s="193" t="str">
        <f>IF(Tabella1[[#This Row],[Best 11 MOD]]=1,Tabella1[[#This Row],[fanta voto]],"")</f>
        <v/>
      </c>
      <c r="AA336" t="str">
        <f>CONCATENATE(Tabella1[[#This Row],[GG]],Tabella1[[#This Row],[Nome]])</f>
        <v>2Fadera</v>
      </c>
      <c r="AB336" t="str">
        <f t="shared" si="9"/>
        <v>2</v>
      </c>
      <c r="AC336" t="str">
        <f>_xlfn.CONCAT(Tabella1[[#This Row],[Ruolo]],Tabella1[[#This Row],[Gs]])</f>
        <v>C0</v>
      </c>
    </row>
    <row r="337" spans="1:29" hidden="1" x14ac:dyDescent="0.3">
      <c r="A337" s="14">
        <v>46261</v>
      </c>
      <c r="B337" s="15">
        <v>2</v>
      </c>
      <c r="C337" s="321" t="s">
        <v>662</v>
      </c>
      <c r="D337" s="330" t="s">
        <v>162</v>
      </c>
      <c r="E337" s="330" t="s">
        <v>673</v>
      </c>
      <c r="F337" s="331">
        <v>6</v>
      </c>
      <c r="G337" s="332">
        <v>0</v>
      </c>
      <c r="H337" s="332">
        <v>0</v>
      </c>
      <c r="I337" s="332">
        <v>0</v>
      </c>
      <c r="J337" s="332">
        <v>0</v>
      </c>
      <c r="K337" s="332">
        <v>0</v>
      </c>
      <c r="L337" s="332">
        <v>0</v>
      </c>
      <c r="M337" s="332">
        <v>0</v>
      </c>
      <c r="N337" s="332">
        <v>0</v>
      </c>
      <c r="O337" s="332">
        <v>0</v>
      </c>
      <c r="P337" s="284"/>
      <c r="Q337" s="284">
        <f t="shared" si="8"/>
        <v>0</v>
      </c>
      <c r="R337" s="3" t="str">
        <f>_xlfn.IFNA(VLOOKUP(Tabella1[[#This Row],[Nome]],'ROSE SQUADRE'!$N$3:$O$253,2,0),"")</f>
        <v>PARTIZAN DEGRADO</v>
      </c>
      <c r="S337" s="193">
        <f>SUM(Tabella1[[#This Row],[Gf]],Tabella1[[#This Row],[Rf]])</f>
        <v>0</v>
      </c>
      <c r="T337" s="193"/>
      <c r="U337" s="285" t="str">
        <f>IF(Tabella1[[#This Row],[N° FantaTit]]="","",Tabella1[[#This Row],[fanta voto]])</f>
        <v/>
      </c>
      <c r="V337" s="193">
        <f>SUM(Tabella1[[#This Row],[Voto]],(G337*3),Q337,P337,O337,-(N337),(-M337/2),(-L337*2),(-H337),(I337*3),(-J337*3),(K337*3))</f>
        <v>6</v>
      </c>
      <c r="W337" s="193"/>
      <c r="X337" s="193" t="str">
        <f>IF(Tabella1[[#This Row],[Best 11]]=1,Tabella1[[#This Row],[fanta voto]],"")</f>
        <v/>
      </c>
      <c r="Z337" s="193" t="str">
        <f>IF(Tabella1[[#This Row],[Best 11 MOD]]=1,Tabella1[[#This Row],[fanta voto]],"")</f>
        <v/>
      </c>
      <c r="AA337" t="str">
        <f>CONCATENATE(Tabella1[[#This Row],[GG]],Tabella1[[#This Row],[Nome]])</f>
        <v>2Romano</v>
      </c>
      <c r="AB337" t="str">
        <f t="shared" si="9"/>
        <v>2PARTIZAN DEGRADO</v>
      </c>
      <c r="AC337" t="str">
        <f>_xlfn.CONCAT(Tabella1[[#This Row],[Ruolo]],Tabella1[[#This Row],[Gs]])</f>
        <v>C0</v>
      </c>
    </row>
    <row r="338" spans="1:29" hidden="1" x14ac:dyDescent="0.3">
      <c r="A338" s="14">
        <v>46261</v>
      </c>
      <c r="B338" s="15">
        <v>2</v>
      </c>
      <c r="C338" s="321" t="s">
        <v>662</v>
      </c>
      <c r="D338" t="s">
        <v>163</v>
      </c>
      <c r="E338" t="s">
        <v>355</v>
      </c>
      <c r="F338" s="194">
        <v>5.5</v>
      </c>
      <c r="G338" s="328">
        <v>0</v>
      </c>
      <c r="H338" s="328">
        <v>0</v>
      </c>
      <c r="I338" s="328">
        <v>0</v>
      </c>
      <c r="J338" s="328">
        <v>0</v>
      </c>
      <c r="K338" s="328">
        <v>0</v>
      </c>
      <c r="L338" s="328">
        <v>0</v>
      </c>
      <c r="M338" s="328">
        <v>0</v>
      </c>
      <c r="N338" s="328">
        <v>0</v>
      </c>
      <c r="O338" s="328">
        <v>0</v>
      </c>
      <c r="P338" s="284"/>
      <c r="Q338" s="284">
        <f t="shared" si="8"/>
        <v>0</v>
      </c>
      <c r="R338" s="3" t="str">
        <f>_xlfn.IFNA(VLOOKUP(Tabella1[[#This Row],[Nome]],'ROSE SQUADRE'!$N$3:$O$253,2,0),"")</f>
        <v>ATL. IMPROVVISATO</v>
      </c>
      <c r="S338" s="193">
        <f>SUM(Tabella1[[#This Row],[Gf]],Tabella1[[#This Row],[Rf]])</f>
        <v>0</v>
      </c>
      <c r="T338" s="193"/>
      <c r="U338" s="285" t="str">
        <f>IF(Tabella1[[#This Row],[N° FantaTit]]="","",Tabella1[[#This Row],[fanta voto]])</f>
        <v/>
      </c>
      <c r="V338" s="193">
        <f>SUM(Tabella1[[#This Row],[Voto]],(G338*3),Q338,P338,O338,-(N338),(-M338/2),(-L338*2),(-H338),(I338*3),(-J338*3),(K338*3))</f>
        <v>5.5</v>
      </c>
      <c r="W338" s="193"/>
      <c r="X338" s="193" t="str">
        <f>IF(Tabella1[[#This Row],[Best 11]]=1,Tabella1[[#This Row],[fanta voto]],"")</f>
        <v/>
      </c>
      <c r="Z338" s="193" t="str">
        <f>IF(Tabella1[[#This Row],[Best 11 MOD]]=1,Tabella1[[#This Row],[fanta voto]],"")</f>
        <v/>
      </c>
      <c r="AA338" t="str">
        <f>CONCATENATE(Tabella1[[#This Row],[GG]],Tabella1[[#This Row],[Nome]])</f>
        <v>2Maldini</v>
      </c>
      <c r="AB338" t="str">
        <f t="shared" si="9"/>
        <v>2ATL. IMPROVVISATO</v>
      </c>
      <c r="AC338" t="str">
        <f>_xlfn.CONCAT(Tabella1[[#This Row],[Ruolo]],Tabella1[[#This Row],[Gs]])</f>
        <v>A0</v>
      </c>
    </row>
    <row r="339" spans="1:29" hidden="1" x14ac:dyDescent="0.3">
      <c r="A339" s="14">
        <v>46261</v>
      </c>
      <c r="B339" s="15">
        <v>2</v>
      </c>
      <c r="C339" s="321" t="s">
        <v>662</v>
      </c>
      <c r="D339" t="s">
        <v>163</v>
      </c>
      <c r="E339" t="s">
        <v>677</v>
      </c>
      <c r="F339" s="194">
        <v>6</v>
      </c>
      <c r="G339" s="328">
        <v>0</v>
      </c>
      <c r="H339" s="328">
        <v>0</v>
      </c>
      <c r="I339" s="328">
        <v>0</v>
      </c>
      <c r="J339" s="328">
        <v>0</v>
      </c>
      <c r="K339" s="328">
        <v>0</v>
      </c>
      <c r="L339" s="328">
        <v>0</v>
      </c>
      <c r="M339" s="328">
        <v>0</v>
      </c>
      <c r="N339" s="328">
        <v>0</v>
      </c>
      <c r="O339" s="328">
        <v>0</v>
      </c>
      <c r="P339" s="284"/>
      <c r="Q339" s="284">
        <f t="shared" si="8"/>
        <v>0</v>
      </c>
      <c r="R339" s="3" t="str">
        <f>_xlfn.IFNA(VLOOKUP(Tabella1[[#This Row],[Nome]],'ROSE SQUADRE'!$N$3:$O$253,2,0),"")</f>
        <v/>
      </c>
      <c r="S339" s="193">
        <f>SUM(Tabella1[[#This Row],[Gf]],Tabella1[[#This Row],[Rf]])</f>
        <v>0</v>
      </c>
      <c r="T339" s="193"/>
      <c r="U339" s="285" t="str">
        <f>IF(Tabella1[[#This Row],[N° FantaTit]]="","",Tabella1[[#This Row],[fanta voto]])</f>
        <v/>
      </c>
      <c r="V339" s="193">
        <f>SUM(Tabella1[[#This Row],[Voto]],(G339*3),Q339,P339,O339,-(N339),(-M339/2),(-L339*2),(-H339),(I339*3),(-J339*3),(K339*3))</f>
        <v>6</v>
      </c>
      <c r="W339" s="193"/>
      <c r="X339" s="193" t="str">
        <f>IF(Tabella1[[#This Row],[Best 11]]=1,Tabella1[[#This Row],[fanta voto]],"")</f>
        <v/>
      </c>
      <c r="Z339" s="193" t="str">
        <f>IF(Tabella1[[#This Row],[Best 11 MOD]]=1,Tabella1[[#This Row],[fanta voto]],"")</f>
        <v/>
      </c>
      <c r="AA339" t="str">
        <f>CONCATENATE(Tabella1[[#This Row],[GG]],Tabella1[[#This Row],[Nome]])</f>
        <v>2Mendy P.</v>
      </c>
      <c r="AB339" t="str">
        <f t="shared" si="9"/>
        <v>2</v>
      </c>
      <c r="AC339" t="str">
        <f>_xlfn.CONCAT(Tabella1[[#This Row],[Ruolo]],Tabella1[[#This Row],[Gs]])</f>
        <v>A0</v>
      </c>
    </row>
    <row r="340" spans="1:29" hidden="1" x14ac:dyDescent="0.3">
      <c r="A340" s="14">
        <v>46261</v>
      </c>
      <c r="B340" s="15">
        <v>2</v>
      </c>
      <c r="C340" s="321" t="s">
        <v>662</v>
      </c>
      <c r="D340" s="330" t="s">
        <v>163</v>
      </c>
      <c r="E340" s="330" t="s">
        <v>676</v>
      </c>
      <c r="F340" s="331">
        <v>5.5</v>
      </c>
      <c r="G340" s="332">
        <v>0</v>
      </c>
      <c r="H340" s="332">
        <v>0</v>
      </c>
      <c r="I340" s="332">
        <v>0</v>
      </c>
      <c r="J340" s="332">
        <v>0</v>
      </c>
      <c r="K340" s="332">
        <v>0</v>
      </c>
      <c r="L340" s="332">
        <v>0</v>
      </c>
      <c r="M340" s="333">
        <v>1</v>
      </c>
      <c r="N340" s="332">
        <v>0</v>
      </c>
      <c r="O340" s="332">
        <v>0</v>
      </c>
      <c r="P340" s="284"/>
      <c r="Q340" s="284">
        <f t="shared" si="8"/>
        <v>0</v>
      </c>
      <c r="R340" s="3" t="str">
        <f>_xlfn.IFNA(VLOOKUP(Tabella1[[#This Row],[Nome]],'ROSE SQUADRE'!$N$3:$O$253,2,0),"")</f>
        <v/>
      </c>
      <c r="S340" s="193">
        <f>SUM(Tabella1[[#This Row],[Gf]],Tabella1[[#This Row],[Rf]])</f>
        <v>0</v>
      </c>
      <c r="T340" s="193"/>
      <c r="U340" s="285" t="str">
        <f>IF(Tabella1[[#This Row],[N° FantaTit]]="","",Tabella1[[#This Row],[fanta voto]])</f>
        <v/>
      </c>
      <c r="V340" s="193">
        <f>SUM(Tabella1[[#This Row],[Voto]],(G340*3),Q340,P340,O340,-(N340),(-M340/2),(-L340*2),(-H340),(I340*3),(-J340*3),(K340*3))</f>
        <v>5</v>
      </c>
      <c r="W340" s="193"/>
      <c r="X340" s="193" t="str">
        <f>IF(Tabella1[[#This Row],[Best 11]]=1,Tabella1[[#This Row],[fanta voto]],"")</f>
        <v/>
      </c>
      <c r="Z340" s="193" t="str">
        <f>IF(Tabella1[[#This Row],[Best 11 MOD]]=1,Tabella1[[#This Row],[fanta voto]],"")</f>
        <v/>
      </c>
      <c r="AA340" t="str">
        <f>CONCATENATE(Tabella1[[#This Row],[GG]],Tabella1[[#This Row],[Nome]])</f>
        <v>2Kevin Carlos</v>
      </c>
      <c r="AB340" t="str">
        <f t="shared" si="9"/>
        <v>2</v>
      </c>
      <c r="AC340" t="str">
        <f>_xlfn.CONCAT(Tabella1[[#This Row],[Ruolo]],Tabella1[[#This Row],[Gs]])</f>
        <v>A0</v>
      </c>
    </row>
    <row r="341" spans="1:29" hidden="1" x14ac:dyDescent="0.3">
      <c r="A341" s="14">
        <v>46261</v>
      </c>
      <c r="B341" s="15">
        <v>2</v>
      </c>
      <c r="C341" s="321" t="s">
        <v>681</v>
      </c>
      <c r="D341" s="330" t="s">
        <v>5</v>
      </c>
      <c r="E341" s="330" t="s">
        <v>680</v>
      </c>
      <c r="F341" s="331">
        <v>5.5</v>
      </c>
      <c r="G341" s="332">
        <v>0</v>
      </c>
      <c r="H341" s="333">
        <v>1</v>
      </c>
      <c r="I341" s="332">
        <v>0</v>
      </c>
      <c r="J341" s="332">
        <v>0</v>
      </c>
      <c r="K341" s="332">
        <v>0</v>
      </c>
      <c r="L341" s="332">
        <v>0</v>
      </c>
      <c r="M341" s="332">
        <v>0</v>
      </c>
      <c r="N341" s="332">
        <v>0</v>
      </c>
      <c r="O341" s="332">
        <v>0</v>
      </c>
      <c r="P341" s="284"/>
      <c r="Q341" s="284">
        <f t="shared" si="8"/>
        <v>0</v>
      </c>
      <c r="R341" s="3" t="str">
        <f>_xlfn.IFNA(VLOOKUP(Tabella1[[#This Row],[Nome]],'ROSE SQUADRE'!$N$3:$O$253,2,0),"")</f>
        <v>SESTO ASENSIO</v>
      </c>
      <c r="S341" s="193">
        <f>SUM(Tabella1[[#This Row],[Gf]],Tabella1[[#This Row],[Rf]])</f>
        <v>0</v>
      </c>
      <c r="T341" s="193"/>
      <c r="U341" s="285" t="str">
        <f>IF(Tabella1[[#This Row],[N° FantaTit]]="","",Tabella1[[#This Row],[fanta voto]])</f>
        <v/>
      </c>
      <c r="V341" s="193">
        <f>SUM(Tabella1[[#This Row],[Voto]],(G341*3),Q341,P341,O341,-(N341),(-M341/2),(-L341*2),(-H341),(I341*3),(-J341*3),(K341*3))</f>
        <v>4.5</v>
      </c>
      <c r="W341" s="193"/>
      <c r="X341" s="193" t="str">
        <f>IF(Tabella1[[#This Row],[Best 11]]=1,Tabella1[[#This Row],[fanta voto]],"")</f>
        <v/>
      </c>
      <c r="Z341" s="193" t="str">
        <f>IF(Tabella1[[#This Row],[Best 11 MOD]]=1,Tabella1[[#This Row],[fanta voto]],"")</f>
        <v/>
      </c>
      <c r="AA341" t="str">
        <f>CONCATENATE(Tabella1[[#This Row],[GG]],Tabella1[[#This Row],[Nome]])</f>
        <v>2Butez</v>
      </c>
      <c r="AB341" t="str">
        <f t="shared" si="9"/>
        <v>2SESTO ASENSIO</v>
      </c>
      <c r="AC341" t="str">
        <f>_xlfn.CONCAT(Tabella1[[#This Row],[Ruolo]],Tabella1[[#This Row],[Gs]])</f>
        <v>P1</v>
      </c>
    </row>
    <row r="342" spans="1:29" hidden="1" x14ac:dyDescent="0.3">
      <c r="A342" s="14">
        <v>46261</v>
      </c>
      <c r="B342" s="15">
        <v>2</v>
      </c>
      <c r="C342" s="321" t="s">
        <v>681</v>
      </c>
      <c r="D342" t="s">
        <v>161</v>
      </c>
      <c r="E342" t="s">
        <v>684</v>
      </c>
      <c r="F342" s="194">
        <v>6.5</v>
      </c>
      <c r="G342" s="328">
        <v>0</v>
      </c>
      <c r="H342" s="328">
        <v>0</v>
      </c>
      <c r="I342" s="328">
        <v>0</v>
      </c>
      <c r="J342" s="328">
        <v>0</v>
      </c>
      <c r="K342" s="328">
        <v>0</v>
      </c>
      <c r="L342" s="328">
        <v>0</v>
      </c>
      <c r="M342" s="328">
        <v>0</v>
      </c>
      <c r="N342" s="328">
        <v>0</v>
      </c>
      <c r="O342" s="328">
        <v>0</v>
      </c>
      <c r="P342" s="284"/>
      <c r="Q342" s="284">
        <f t="shared" si="8"/>
        <v>0</v>
      </c>
      <c r="R342" s="3" t="str">
        <f>_xlfn.IFNA(VLOOKUP(Tabella1[[#This Row],[Nome]],'ROSE SQUADRE'!$N$3:$O$253,2,0),"")</f>
        <v>SHARK</v>
      </c>
      <c r="S342" s="193">
        <f>SUM(Tabella1[[#This Row],[Gf]],Tabella1[[#This Row],[Rf]])</f>
        <v>0</v>
      </c>
      <c r="T342" s="193"/>
      <c r="U342" s="285" t="str">
        <f>IF(Tabella1[[#This Row],[N° FantaTit]]="","",Tabella1[[#This Row],[fanta voto]])</f>
        <v/>
      </c>
      <c r="V342" s="193">
        <f>SUM(Tabella1[[#This Row],[Voto]],(G342*3),Q342,P342,O342,-(N342),(-M342/2),(-L342*2),(-H342),(I342*3),(-J342*3),(K342*3))</f>
        <v>6.5</v>
      </c>
      <c r="W342" s="193"/>
      <c r="X342" s="193" t="str">
        <f>IF(Tabella1[[#This Row],[Best 11]]=1,Tabella1[[#This Row],[fanta voto]],"")</f>
        <v/>
      </c>
      <c r="Z342" s="193" t="str">
        <f>IF(Tabella1[[#This Row],[Best 11 MOD]]=1,Tabella1[[#This Row],[fanta voto]],"")</f>
        <v/>
      </c>
      <c r="AA342" t="str">
        <f>CONCATENATE(Tabella1[[#This Row],[GG]],Tabella1[[#This Row],[Nome]])</f>
        <v>2Chalobah T.</v>
      </c>
      <c r="AB342" t="str">
        <f t="shared" si="9"/>
        <v>2SHARK</v>
      </c>
      <c r="AC342" t="str">
        <f>_xlfn.CONCAT(Tabella1[[#This Row],[Ruolo]],Tabella1[[#This Row],[Gs]])</f>
        <v>D0</v>
      </c>
    </row>
    <row r="343" spans="1:29" hidden="1" x14ac:dyDescent="0.3">
      <c r="A343" s="14">
        <v>46261</v>
      </c>
      <c r="B343" s="15">
        <v>2</v>
      </c>
      <c r="C343" s="321" t="s">
        <v>681</v>
      </c>
      <c r="D343" s="330" t="s">
        <v>161</v>
      </c>
      <c r="E343" s="330" t="s">
        <v>685</v>
      </c>
      <c r="F343" s="331">
        <v>6</v>
      </c>
      <c r="G343" s="332">
        <v>0</v>
      </c>
      <c r="H343" s="332">
        <v>0</v>
      </c>
      <c r="I343" s="332">
        <v>0</v>
      </c>
      <c r="J343" s="332">
        <v>0</v>
      </c>
      <c r="K343" s="332">
        <v>0</v>
      </c>
      <c r="L343" s="332">
        <v>0</v>
      </c>
      <c r="M343" s="332">
        <v>0</v>
      </c>
      <c r="N343" s="332">
        <v>0</v>
      </c>
      <c r="O343" s="332">
        <v>0</v>
      </c>
      <c r="P343" s="284"/>
      <c r="Q343" s="284">
        <f t="shared" si="8"/>
        <v>0</v>
      </c>
      <c r="R343" s="3" t="str">
        <f>_xlfn.IFNA(VLOOKUP(Tabella1[[#This Row],[Nome]],'ROSE SQUADRE'!$N$3:$O$253,2,0),"")</f>
        <v>AS PIPPERIA</v>
      </c>
      <c r="S343" s="193">
        <f>SUM(Tabella1[[#This Row],[Gf]],Tabella1[[#This Row],[Rf]])</f>
        <v>0</v>
      </c>
      <c r="T343" s="193"/>
      <c r="U343" s="285" t="str">
        <f>IF(Tabella1[[#This Row],[N° FantaTit]]="","",Tabella1[[#This Row],[fanta voto]])</f>
        <v/>
      </c>
      <c r="V343" s="193">
        <f>SUM(Tabella1[[#This Row],[Voto]],(G343*3),Q343,P343,O343,-(N343),(-M343/2),(-L343*2),(-H343),(I343*3),(-J343*3),(K343*3))</f>
        <v>6</v>
      </c>
      <c r="W343" s="193"/>
      <c r="X343" s="193" t="str">
        <f>IF(Tabella1[[#This Row],[Best 11]]=1,Tabella1[[#This Row],[fanta voto]],"")</f>
        <v/>
      </c>
      <c r="Z343" s="193" t="str">
        <f>IF(Tabella1[[#This Row],[Best 11 MOD]]=1,Tabella1[[#This Row],[fanta voto]],"")</f>
        <v/>
      </c>
      <c r="AA343" t="str">
        <f>CONCATENATE(Tabella1[[#This Row],[GG]],Tabella1[[#This Row],[Nome]])</f>
        <v>2Couto</v>
      </c>
      <c r="AB343" t="str">
        <f t="shared" si="9"/>
        <v>2AS PIPPERIA</v>
      </c>
      <c r="AC343" t="str">
        <f>_xlfn.CONCAT(Tabella1[[#This Row],[Ruolo]],Tabella1[[#This Row],[Gs]])</f>
        <v>D0</v>
      </c>
    </row>
    <row r="344" spans="1:29" hidden="1" x14ac:dyDescent="0.3">
      <c r="A344" s="14">
        <v>46261</v>
      </c>
      <c r="B344" s="15">
        <v>2</v>
      </c>
      <c r="C344" s="321" t="s">
        <v>681</v>
      </c>
      <c r="D344" t="s">
        <v>161</v>
      </c>
      <c r="E344" t="s">
        <v>690</v>
      </c>
      <c r="F344" s="194">
        <v>6.5</v>
      </c>
      <c r="G344" s="328">
        <v>0</v>
      </c>
      <c r="H344" s="328">
        <v>0</v>
      </c>
      <c r="I344" s="328">
        <v>0</v>
      </c>
      <c r="J344" s="328">
        <v>0</v>
      </c>
      <c r="K344" s="328">
        <v>0</v>
      </c>
      <c r="L344" s="328">
        <v>0</v>
      </c>
      <c r="M344" s="328">
        <v>0</v>
      </c>
      <c r="N344" s="328">
        <v>0</v>
      </c>
      <c r="O344" s="328">
        <v>0</v>
      </c>
      <c r="P344" s="284"/>
      <c r="Q344" s="284">
        <f t="shared" si="8"/>
        <v>0</v>
      </c>
      <c r="R344" s="3" t="str">
        <f>_xlfn.IFNA(VLOOKUP(Tabella1[[#This Row],[Nome]],'ROSE SQUADRE'!$N$3:$O$253,2,0),"")</f>
        <v>AC ASPARAGHESE</v>
      </c>
      <c r="S344" s="193">
        <f>SUM(Tabella1[[#This Row],[Gf]],Tabella1[[#This Row],[Rf]])</f>
        <v>0</v>
      </c>
      <c r="T344" s="193"/>
      <c r="U344" s="285" t="str">
        <f>IF(Tabella1[[#This Row],[N° FantaTit]]="","",Tabella1[[#This Row],[fanta voto]])</f>
        <v/>
      </c>
      <c r="V344" s="193">
        <f>SUM(Tabella1[[#This Row],[Voto]],(G344*3),Q344,P344,O344,-(N344),(-M344/2),(-L344*2),(-H344),(I344*3),(-J344*3),(K344*3))</f>
        <v>6.5</v>
      </c>
      <c r="W344" s="193"/>
      <c r="X344" s="193" t="str">
        <f>IF(Tabella1[[#This Row],[Best 11]]=1,Tabella1[[#This Row],[fanta voto]],"")</f>
        <v/>
      </c>
      <c r="Z344" s="193" t="str">
        <f>IF(Tabella1[[#This Row],[Best 11 MOD]]=1,Tabella1[[#This Row],[fanta voto]],"")</f>
        <v/>
      </c>
      <c r="AA344" t="str">
        <f>CONCATENATE(Tabella1[[#This Row],[GG]],Tabella1[[#This Row],[Nome]])</f>
        <v>2Valle</v>
      </c>
      <c r="AB344" t="str">
        <f t="shared" si="9"/>
        <v>2AC ASPARAGHESE</v>
      </c>
      <c r="AC344" t="str">
        <f>_xlfn.CONCAT(Tabella1[[#This Row],[Ruolo]],Tabella1[[#This Row],[Gs]])</f>
        <v>D0</v>
      </c>
    </row>
    <row r="345" spans="1:29" hidden="1" x14ac:dyDescent="0.3">
      <c r="A345" s="14">
        <v>46261</v>
      </c>
      <c r="B345" s="15">
        <v>2</v>
      </c>
      <c r="C345" s="321" t="s">
        <v>681</v>
      </c>
      <c r="D345" s="330" t="s">
        <v>161</v>
      </c>
      <c r="E345" s="330" t="s">
        <v>688</v>
      </c>
      <c r="F345" s="331">
        <v>6</v>
      </c>
      <c r="G345" s="332">
        <v>0</v>
      </c>
      <c r="H345" s="332">
        <v>0</v>
      </c>
      <c r="I345" s="332">
        <v>0</v>
      </c>
      <c r="J345" s="332">
        <v>0</v>
      </c>
      <c r="K345" s="332">
        <v>0</v>
      </c>
      <c r="L345" s="332">
        <v>0</v>
      </c>
      <c r="M345" s="332">
        <v>0</v>
      </c>
      <c r="N345" s="332">
        <v>0</v>
      </c>
      <c r="O345" s="332">
        <v>0</v>
      </c>
      <c r="P345" s="284"/>
      <c r="Q345" s="284">
        <f t="shared" si="8"/>
        <v>0</v>
      </c>
      <c r="R345" s="3" t="str">
        <f>_xlfn.IFNA(VLOOKUP(Tabella1[[#This Row],[Nome]],'ROSE SQUADRE'!$N$3:$O$253,2,0),"")</f>
        <v>PARTIZAN DEGRADO</v>
      </c>
      <c r="S345" s="193">
        <f>SUM(Tabella1[[#This Row],[Gf]],Tabella1[[#This Row],[Rf]])</f>
        <v>0</v>
      </c>
      <c r="T345" s="193"/>
      <c r="U345" s="285" t="str">
        <f>IF(Tabella1[[#This Row],[N° FantaTit]]="","",Tabella1[[#This Row],[fanta voto]])</f>
        <v/>
      </c>
      <c r="V345" s="193">
        <f>SUM(Tabella1[[#This Row],[Voto]],(G345*3),Q345,P345,O345,-(N345),(-M345/2),(-L345*2),(-H345),(I345*3),(-J345*3),(K345*3))</f>
        <v>6</v>
      </c>
      <c r="W345" s="193"/>
      <c r="X345" s="193" t="str">
        <f>IF(Tabella1[[#This Row],[Best 11]]=1,Tabella1[[#This Row],[fanta voto]],"")</f>
        <v/>
      </c>
      <c r="Z345" s="193" t="str">
        <f>IF(Tabella1[[#This Row],[Best 11 MOD]]=1,Tabella1[[#This Row],[fanta voto]],"")</f>
        <v/>
      </c>
      <c r="AA345" t="str">
        <f>CONCATENATE(Tabella1[[#This Row],[GG]],Tabella1[[#This Row],[Nome]])</f>
        <v>2Ramon</v>
      </c>
      <c r="AB345" t="str">
        <f t="shared" si="9"/>
        <v>2PARTIZAN DEGRADO</v>
      </c>
      <c r="AC345" t="str">
        <f>_xlfn.CONCAT(Tabella1[[#This Row],[Ruolo]],Tabella1[[#This Row],[Gs]])</f>
        <v>D0</v>
      </c>
    </row>
    <row r="346" spans="1:29" hidden="1" x14ac:dyDescent="0.3">
      <c r="A346" s="14">
        <v>46261</v>
      </c>
      <c r="B346" s="15">
        <v>2</v>
      </c>
      <c r="C346" s="321" t="s">
        <v>681</v>
      </c>
      <c r="D346" t="s">
        <v>161</v>
      </c>
      <c r="E346" t="s">
        <v>687</v>
      </c>
      <c r="F346" s="194">
        <v>6.5</v>
      </c>
      <c r="G346" s="328">
        <v>0</v>
      </c>
      <c r="H346" s="328">
        <v>0</v>
      </c>
      <c r="I346" s="328">
        <v>0</v>
      </c>
      <c r="J346" s="328">
        <v>0</v>
      </c>
      <c r="K346" s="328">
        <v>0</v>
      </c>
      <c r="L346" s="328">
        <v>0</v>
      </c>
      <c r="M346" s="328">
        <v>0</v>
      </c>
      <c r="N346" s="328">
        <v>0</v>
      </c>
      <c r="O346" s="328">
        <v>0</v>
      </c>
      <c r="P346" s="284"/>
      <c r="Q346" s="284">
        <f t="shared" si="8"/>
        <v>0</v>
      </c>
      <c r="R346" s="3" t="str">
        <f>_xlfn.IFNA(VLOOKUP(Tabella1[[#This Row],[Nome]],'ROSE SQUADRE'!$N$3:$O$253,2,0),"")</f>
        <v/>
      </c>
      <c r="S346" s="193">
        <f>SUM(Tabella1[[#This Row],[Gf]],Tabella1[[#This Row],[Rf]])</f>
        <v>0</v>
      </c>
      <c r="T346" s="193"/>
      <c r="U346" s="285" t="str">
        <f>IF(Tabella1[[#This Row],[N° FantaTit]]="","",Tabella1[[#This Row],[fanta voto]])</f>
        <v/>
      </c>
      <c r="V346" s="193">
        <f>SUM(Tabella1[[#This Row],[Voto]],(G346*3),Q346,P346,O346,-(N346),(-M346/2),(-L346*2),(-H346),(I346*3),(-J346*3),(K346*3))</f>
        <v>6.5</v>
      </c>
      <c r="W346" s="193"/>
      <c r="X346" s="193" t="str">
        <f>IF(Tabella1[[#This Row],[Best 11]]=1,Tabella1[[#This Row],[fanta voto]],"")</f>
        <v/>
      </c>
      <c r="Z346" s="193" t="str">
        <f>IF(Tabella1[[#This Row],[Best 11 MOD]]=1,Tabella1[[#This Row],[fanta voto]],"")</f>
        <v/>
      </c>
      <c r="AA346" t="str">
        <f>CONCATENATE(Tabella1[[#This Row],[GG]],Tabella1[[#This Row],[Nome]])</f>
        <v>2Kempf</v>
      </c>
      <c r="AB346" t="str">
        <f t="shared" si="9"/>
        <v>2</v>
      </c>
      <c r="AC346" t="str">
        <f>_xlfn.CONCAT(Tabella1[[#This Row],[Ruolo]],Tabella1[[#This Row],[Gs]])</f>
        <v>D0</v>
      </c>
    </row>
    <row r="347" spans="1:29" hidden="1" x14ac:dyDescent="0.3">
      <c r="A347" s="14">
        <v>46261</v>
      </c>
      <c r="B347" s="15">
        <v>2</v>
      </c>
      <c r="C347" s="321" t="s">
        <v>681</v>
      </c>
      <c r="D347" s="330" t="s">
        <v>161</v>
      </c>
      <c r="E347" s="330" t="s">
        <v>689</v>
      </c>
      <c r="F347" s="331">
        <v>5.5</v>
      </c>
      <c r="G347" s="332">
        <v>0</v>
      </c>
      <c r="H347" s="332">
        <v>0</v>
      </c>
      <c r="I347" s="332">
        <v>0</v>
      </c>
      <c r="J347" s="332">
        <v>0</v>
      </c>
      <c r="K347" s="332">
        <v>0</v>
      </c>
      <c r="L347" s="332">
        <v>0</v>
      </c>
      <c r="M347" s="332">
        <v>0</v>
      </c>
      <c r="N347" s="332">
        <v>0</v>
      </c>
      <c r="O347" s="332">
        <v>0</v>
      </c>
      <c r="P347" s="284"/>
      <c r="Q347" s="284">
        <f t="shared" si="8"/>
        <v>0</v>
      </c>
      <c r="R347" s="3" t="str">
        <f>_xlfn.IFNA(VLOOKUP(Tabella1[[#This Row],[Nome]],'ROSE SQUADRE'!$N$3:$O$253,2,0),"")</f>
        <v/>
      </c>
      <c r="S347" s="193">
        <f>SUM(Tabella1[[#This Row],[Gf]],Tabella1[[#This Row],[Rf]])</f>
        <v>0</v>
      </c>
      <c r="T347" s="193"/>
      <c r="U347" s="285" t="str">
        <f>IF(Tabella1[[#This Row],[N° FantaTit]]="","",Tabella1[[#This Row],[fanta voto]])</f>
        <v/>
      </c>
      <c r="V347" s="193">
        <f>SUM(Tabella1[[#This Row],[Voto]],(G347*3),Q347,P347,O347,-(N347),(-M347/2),(-L347*2),(-H347),(I347*3),(-J347*3),(K347*3))</f>
        <v>5.5</v>
      </c>
      <c r="W347" s="193"/>
      <c r="X347" s="193" t="str">
        <f>IF(Tabella1[[#This Row],[Best 11]]=1,Tabella1[[#This Row],[fanta voto]],"")</f>
        <v/>
      </c>
      <c r="Z347" s="193" t="str">
        <f>IF(Tabella1[[#This Row],[Best 11 MOD]]=1,Tabella1[[#This Row],[fanta voto]],"")</f>
        <v/>
      </c>
      <c r="AA347" t="str">
        <f>CONCATENATE(Tabella1[[#This Row],[GG]],Tabella1[[#This Row],[Nome]])</f>
        <v>2Smolcic I.</v>
      </c>
      <c r="AB347" t="str">
        <f t="shared" si="9"/>
        <v>2</v>
      </c>
      <c r="AC347" t="str">
        <f>_xlfn.CONCAT(Tabella1[[#This Row],[Ruolo]],Tabella1[[#This Row],[Gs]])</f>
        <v>D0</v>
      </c>
    </row>
    <row r="348" spans="1:29" hidden="1" x14ac:dyDescent="0.3">
      <c r="A348" s="14">
        <v>46261</v>
      </c>
      <c r="B348" s="15">
        <v>2</v>
      </c>
      <c r="C348" s="321" t="s">
        <v>681</v>
      </c>
      <c r="D348" s="330" t="s">
        <v>162</v>
      </c>
      <c r="E348" s="330" t="s">
        <v>694</v>
      </c>
      <c r="F348" s="331">
        <v>6</v>
      </c>
      <c r="G348" s="332">
        <v>0</v>
      </c>
      <c r="H348" s="332">
        <v>0</v>
      </c>
      <c r="I348" s="332">
        <v>0</v>
      </c>
      <c r="J348" s="332">
        <v>0</v>
      </c>
      <c r="K348" s="332">
        <v>0</v>
      </c>
      <c r="L348" s="332">
        <v>0</v>
      </c>
      <c r="M348" s="332">
        <v>0</v>
      </c>
      <c r="N348" s="332">
        <v>0</v>
      </c>
      <c r="O348" s="332">
        <v>0</v>
      </c>
      <c r="P348" s="284"/>
      <c r="Q348" s="284">
        <f t="shared" si="8"/>
        <v>0</v>
      </c>
      <c r="R348" s="3" t="str">
        <f>_xlfn.IFNA(VLOOKUP(Tabella1[[#This Row],[Nome]],'ROSE SQUADRE'!$N$3:$O$253,2,0),"")</f>
        <v/>
      </c>
      <c r="S348" s="193">
        <f>SUM(Tabella1[[#This Row],[Gf]],Tabella1[[#This Row],[Rf]])</f>
        <v>0</v>
      </c>
      <c r="T348" s="193"/>
      <c r="U348" s="285" t="str">
        <f>IF(Tabella1[[#This Row],[N° FantaTit]]="","",Tabella1[[#This Row],[fanta voto]])</f>
        <v/>
      </c>
      <c r="V348" s="193">
        <f>SUM(Tabella1[[#This Row],[Voto]],(G348*3),Q348,P348,O348,-(N348),(-M348/2),(-L348*2),(-H348),(I348*3),(-J348*3),(K348*3))</f>
        <v>6</v>
      </c>
      <c r="W348" s="193"/>
      <c r="X348" s="193" t="str">
        <f>IF(Tabella1[[#This Row],[Best 11]]=1,Tabella1[[#This Row],[fanta voto]],"")</f>
        <v/>
      </c>
      <c r="Z348" s="193" t="str">
        <f>IF(Tabella1[[#This Row],[Best 11 MOD]]=1,Tabella1[[#This Row],[fanta voto]],"")</f>
        <v/>
      </c>
      <c r="AA348" t="str">
        <f>CONCATENATE(Tabella1[[#This Row],[GG]],Tabella1[[#This Row],[Nome]])</f>
        <v>2Caqueret</v>
      </c>
      <c r="AB348" t="str">
        <f t="shared" si="9"/>
        <v>2</v>
      </c>
      <c r="AC348" t="str">
        <f>_xlfn.CONCAT(Tabella1[[#This Row],[Ruolo]],Tabella1[[#This Row],[Gs]])</f>
        <v>C0</v>
      </c>
    </row>
    <row r="349" spans="1:29" hidden="1" x14ac:dyDescent="0.3">
      <c r="A349" s="14">
        <v>46261</v>
      </c>
      <c r="B349" s="15">
        <v>2</v>
      </c>
      <c r="C349" s="321" t="s">
        <v>681</v>
      </c>
      <c r="D349" t="s">
        <v>162</v>
      </c>
      <c r="E349" t="s">
        <v>517</v>
      </c>
      <c r="F349" s="194">
        <v>6.5</v>
      </c>
      <c r="G349" s="328">
        <v>0</v>
      </c>
      <c r="H349" s="328">
        <v>0</v>
      </c>
      <c r="I349" s="328">
        <v>0</v>
      </c>
      <c r="J349" s="328">
        <v>0</v>
      </c>
      <c r="K349" s="328">
        <v>0</v>
      </c>
      <c r="L349" s="328">
        <v>0</v>
      </c>
      <c r="M349" s="328">
        <v>0</v>
      </c>
      <c r="N349" s="328">
        <v>0</v>
      </c>
      <c r="O349" s="328">
        <v>0</v>
      </c>
      <c r="P349" s="284"/>
      <c r="Q349" s="284">
        <f t="shared" si="8"/>
        <v>0</v>
      </c>
      <c r="R349" s="3" t="str">
        <f>_xlfn.IFNA(VLOOKUP(Tabella1[[#This Row],[Nome]],'ROSE SQUADRE'!$N$3:$O$253,2,0),"")</f>
        <v>PARTIZAN DEGRADO</v>
      </c>
      <c r="S349" s="193">
        <f>SUM(Tabella1[[#This Row],[Gf]],Tabella1[[#This Row],[Rf]])</f>
        <v>0</v>
      </c>
      <c r="T349" s="193"/>
      <c r="U349" s="285" t="str">
        <f>IF(Tabella1[[#This Row],[N° FantaTit]]="","",Tabella1[[#This Row],[fanta voto]])</f>
        <v/>
      </c>
      <c r="V349" s="193">
        <f>SUM(Tabella1[[#This Row],[Voto]],(G349*3),Q349,P349,O349,-(N349),(-M349/2),(-L349*2),(-H349),(I349*3),(-J349*3),(K349*3))</f>
        <v>6.5</v>
      </c>
      <c r="W349" s="193"/>
      <c r="X349" s="193" t="str">
        <f>IF(Tabella1[[#This Row],[Best 11]]=1,Tabella1[[#This Row],[fanta voto]],"")</f>
        <v/>
      </c>
      <c r="Z349" s="193" t="str">
        <f>IF(Tabella1[[#This Row],[Best 11 MOD]]=1,Tabella1[[#This Row],[fanta voto]],"")</f>
        <v/>
      </c>
      <c r="AA349" t="str">
        <f>CONCATENATE(Tabella1[[#This Row],[GG]],Tabella1[[#This Row],[Nome]])</f>
        <v>2Da Cunha</v>
      </c>
      <c r="AB349" t="str">
        <f t="shared" si="9"/>
        <v>2PARTIZAN DEGRADO</v>
      </c>
      <c r="AC349" t="str">
        <f>_xlfn.CONCAT(Tabella1[[#This Row],[Ruolo]],Tabella1[[#This Row],[Gs]])</f>
        <v>C0</v>
      </c>
    </row>
    <row r="350" spans="1:29" hidden="1" x14ac:dyDescent="0.3">
      <c r="A350" s="14">
        <v>46261</v>
      </c>
      <c r="B350" s="15">
        <v>2</v>
      </c>
      <c r="C350" s="321" t="s">
        <v>681</v>
      </c>
      <c r="D350" s="330" t="s">
        <v>162</v>
      </c>
      <c r="E350" s="330" t="s">
        <v>608</v>
      </c>
      <c r="F350" s="331">
        <v>6</v>
      </c>
      <c r="G350" s="332">
        <v>0</v>
      </c>
      <c r="H350" s="332">
        <v>0</v>
      </c>
      <c r="I350" s="332">
        <v>0</v>
      </c>
      <c r="J350" s="332">
        <v>0</v>
      </c>
      <c r="K350" s="332">
        <v>0</v>
      </c>
      <c r="L350" s="332">
        <v>0</v>
      </c>
      <c r="M350" s="332">
        <v>0</v>
      </c>
      <c r="N350" s="332">
        <v>0</v>
      </c>
      <c r="O350" s="332">
        <v>0</v>
      </c>
      <c r="P350" s="284"/>
      <c r="Q350" s="284">
        <f t="shared" si="8"/>
        <v>0</v>
      </c>
      <c r="R350" s="3" t="str">
        <f>_xlfn.IFNA(VLOOKUP(Tabella1[[#This Row],[Nome]],'ROSE SQUADRE'!$N$3:$O$253,2,0),"")</f>
        <v>SAN GRIA</v>
      </c>
      <c r="S350" s="193">
        <f>SUM(Tabella1[[#This Row],[Gf]],Tabella1[[#This Row],[Rf]])</f>
        <v>0</v>
      </c>
      <c r="T350" s="193"/>
      <c r="U350" s="285" t="str">
        <f>IF(Tabella1[[#This Row],[N° FantaTit]]="","",Tabella1[[#This Row],[fanta voto]])</f>
        <v/>
      </c>
      <c r="V350" s="193">
        <f>SUM(Tabella1[[#This Row],[Voto]],(G350*3),Q350,P350,O350,-(N350),(-M350/2),(-L350*2),(-H350),(I350*3),(-J350*3),(K350*3))</f>
        <v>6</v>
      </c>
      <c r="W350" s="193"/>
      <c r="X350" s="193" t="str">
        <f>IF(Tabella1[[#This Row],[Best 11]]=1,Tabella1[[#This Row],[fanta voto]],"")</f>
        <v/>
      </c>
      <c r="Z350" s="193" t="str">
        <f>IF(Tabella1[[#This Row],[Best 11 MOD]]=1,Tabella1[[#This Row],[fanta voto]],"")</f>
        <v/>
      </c>
      <c r="AA350" t="str">
        <f>CONCATENATE(Tabella1[[#This Row],[GG]],Tabella1[[#This Row],[Nome]])</f>
        <v>2Perrone</v>
      </c>
      <c r="AB350" t="str">
        <f t="shared" si="9"/>
        <v>2SAN GRIA</v>
      </c>
      <c r="AC350" t="str">
        <f>_xlfn.CONCAT(Tabella1[[#This Row],[Ruolo]],Tabella1[[#This Row],[Gs]])</f>
        <v>C0</v>
      </c>
    </row>
    <row r="351" spans="1:29" hidden="1" x14ac:dyDescent="0.3">
      <c r="A351" s="14">
        <v>46261</v>
      </c>
      <c r="B351" s="15">
        <v>2</v>
      </c>
      <c r="C351" s="321" t="s">
        <v>681</v>
      </c>
      <c r="D351" t="s">
        <v>162</v>
      </c>
      <c r="E351" t="s">
        <v>609</v>
      </c>
      <c r="F351" s="194">
        <v>6</v>
      </c>
      <c r="G351" s="328">
        <v>0</v>
      </c>
      <c r="H351" s="328">
        <v>0</v>
      </c>
      <c r="I351" s="328">
        <v>0</v>
      </c>
      <c r="J351" s="328">
        <v>0</v>
      </c>
      <c r="K351" s="328">
        <v>0</v>
      </c>
      <c r="L351" s="328">
        <v>0</v>
      </c>
      <c r="M351" s="328">
        <v>0</v>
      </c>
      <c r="N351" s="328">
        <v>0</v>
      </c>
      <c r="O351" s="328">
        <v>0</v>
      </c>
      <c r="P351" s="284"/>
      <c r="Q351" s="284">
        <f t="shared" si="8"/>
        <v>0</v>
      </c>
      <c r="R351" s="3" t="str">
        <f>_xlfn.IFNA(VLOOKUP(Tabella1[[#This Row],[Nome]],'ROSE SQUADRE'!$N$3:$O$253,2,0),"")</f>
        <v>AS PIPPERIA</v>
      </c>
      <c r="S351" s="193">
        <f>SUM(Tabella1[[#This Row],[Gf]],Tabella1[[#This Row],[Rf]])</f>
        <v>0</v>
      </c>
      <c r="T351" s="193"/>
      <c r="U351" s="285" t="str">
        <f>IF(Tabella1[[#This Row],[N° FantaTit]]="","",Tabella1[[#This Row],[fanta voto]])</f>
        <v/>
      </c>
      <c r="V351" s="193">
        <f>SUM(Tabella1[[#This Row],[Voto]],(G351*3),Q351,P351,O351,-(N351),(-M351/2),(-L351*2),(-H351),(I351*3),(-J351*3),(K351*3))</f>
        <v>6</v>
      </c>
      <c r="W351" s="193"/>
      <c r="X351" s="193" t="str">
        <f>IF(Tabella1[[#This Row],[Best 11]]=1,Tabella1[[#This Row],[fanta voto]],"")</f>
        <v/>
      </c>
      <c r="Z351" s="193" t="str">
        <f>IF(Tabella1[[#This Row],[Best 11 MOD]]=1,Tabella1[[#This Row],[fanta voto]],"")</f>
        <v/>
      </c>
      <c r="AA351" t="str">
        <f>CONCATENATE(Tabella1[[#This Row],[GG]],Tabella1[[#This Row],[Nome]])</f>
        <v>2Paz N.</v>
      </c>
      <c r="AB351" t="str">
        <f t="shared" si="9"/>
        <v>2AS PIPPERIA</v>
      </c>
      <c r="AC351" t="str">
        <f>_xlfn.CONCAT(Tabella1[[#This Row],[Ruolo]],Tabella1[[#This Row],[Gs]])</f>
        <v>C0</v>
      </c>
    </row>
    <row r="352" spans="1:29" hidden="1" x14ac:dyDescent="0.3">
      <c r="A352" s="14">
        <v>46261</v>
      </c>
      <c r="B352" s="15">
        <v>2</v>
      </c>
      <c r="C352" s="321" t="s">
        <v>681</v>
      </c>
      <c r="D352" s="330" t="s">
        <v>162</v>
      </c>
      <c r="E352" s="330" t="s">
        <v>693</v>
      </c>
      <c r="F352" s="331">
        <v>7.5</v>
      </c>
      <c r="G352" s="333">
        <v>1</v>
      </c>
      <c r="H352" s="332">
        <v>0</v>
      </c>
      <c r="I352" s="332">
        <v>0</v>
      </c>
      <c r="J352" s="332">
        <v>0</v>
      </c>
      <c r="K352" s="332">
        <v>0</v>
      </c>
      <c r="L352" s="332">
        <v>0</v>
      </c>
      <c r="M352" s="332">
        <v>0</v>
      </c>
      <c r="N352" s="332">
        <v>0</v>
      </c>
      <c r="O352" s="332">
        <v>0</v>
      </c>
      <c r="P352" s="284"/>
      <c r="Q352" s="284">
        <f t="shared" si="8"/>
        <v>0</v>
      </c>
      <c r="R352" s="3" t="str">
        <f>_xlfn.IFNA(VLOOKUP(Tabella1[[#This Row],[Nome]],'ROSE SQUADRE'!$N$3:$O$253,2,0),"")</f>
        <v>SESTO ASENSIO</v>
      </c>
      <c r="S352" s="193">
        <f>SUM(Tabella1[[#This Row],[Gf]],Tabella1[[#This Row],[Rf]])</f>
        <v>1</v>
      </c>
      <c r="T352" s="193"/>
      <c r="U352" s="285" t="str">
        <f>IF(Tabella1[[#This Row],[N° FantaTit]]="","",Tabella1[[#This Row],[fanta voto]])</f>
        <v/>
      </c>
      <c r="V352" s="193">
        <f>SUM(Tabella1[[#This Row],[Voto]],(G352*3),Q352,P352,O352,-(N352),(-M352/2),(-L352*2),(-H352),(I352*3),(-J352*3),(K352*3))</f>
        <v>10.5</v>
      </c>
      <c r="W352" s="193"/>
      <c r="X352" s="193" t="str">
        <f>IF(Tabella1[[#This Row],[Best 11]]=1,Tabella1[[#This Row],[fanta voto]],"")</f>
        <v/>
      </c>
      <c r="Z352" s="193" t="str">
        <f>IF(Tabella1[[#This Row],[Best 11 MOD]]=1,Tabella1[[#This Row],[fanta voto]],"")</f>
        <v/>
      </c>
      <c r="AA352" t="str">
        <f>CONCATENATE(Tabella1[[#This Row],[GG]],Tabella1[[#This Row],[Nome]])</f>
        <v>2Baturina</v>
      </c>
      <c r="AB352" t="str">
        <f t="shared" si="9"/>
        <v>2SESTO ASENSIO</v>
      </c>
      <c r="AC352" t="str">
        <f>_xlfn.CONCAT(Tabella1[[#This Row],[Ruolo]],Tabella1[[#This Row],[Gs]])</f>
        <v>C0</v>
      </c>
    </row>
    <row r="353" spans="1:29" hidden="1" x14ac:dyDescent="0.3">
      <c r="A353" s="14">
        <v>46261</v>
      </c>
      <c r="B353" s="15">
        <v>2</v>
      </c>
      <c r="C353" s="321" t="s">
        <v>681</v>
      </c>
      <c r="D353" t="s">
        <v>162</v>
      </c>
      <c r="E353" t="s">
        <v>698</v>
      </c>
      <c r="F353" s="194">
        <v>7</v>
      </c>
      <c r="G353" s="328">
        <v>0</v>
      </c>
      <c r="H353" s="328">
        <v>0</v>
      </c>
      <c r="I353" s="328">
        <v>0</v>
      </c>
      <c r="J353" s="328">
        <v>0</v>
      </c>
      <c r="K353" s="328">
        <v>0</v>
      </c>
      <c r="L353" s="328">
        <v>0</v>
      </c>
      <c r="M353" s="328">
        <v>0</v>
      </c>
      <c r="N353" s="328">
        <v>0</v>
      </c>
      <c r="O353" s="328">
        <v>0</v>
      </c>
      <c r="P353" s="284"/>
      <c r="Q353" s="284">
        <f t="shared" si="8"/>
        <v>0</v>
      </c>
      <c r="R353" s="3" t="str">
        <f>_xlfn.IFNA(VLOOKUP(Tabella1[[#This Row],[Nome]],'ROSE SQUADRE'!$N$3:$O$253,2,0),"")</f>
        <v>TRICCHETRACHT</v>
      </c>
      <c r="S353" s="193">
        <f>SUM(Tabella1[[#This Row],[Gf]],Tabella1[[#This Row],[Rf]])</f>
        <v>0</v>
      </c>
      <c r="T353" s="193"/>
      <c r="U353" s="285" t="str">
        <f>IF(Tabella1[[#This Row],[N° FantaTit]]="","",Tabella1[[#This Row],[fanta voto]])</f>
        <v/>
      </c>
      <c r="V353" s="193">
        <f>SUM(Tabella1[[#This Row],[Voto]],(G353*3),Q353,P353,O353,-(N353),(-M353/2),(-L353*2),(-H353),(I353*3),(-J353*3),(K353*3))</f>
        <v>7</v>
      </c>
      <c r="W353" s="193"/>
      <c r="X353" s="193" t="str">
        <f>IF(Tabella1[[#This Row],[Best 11]]=1,Tabella1[[#This Row],[fanta voto]],"")</f>
        <v/>
      </c>
      <c r="Z353" s="193" t="str">
        <f>IF(Tabella1[[#This Row],[Best 11 MOD]]=1,Tabella1[[#This Row],[fanta voto]],"")</f>
        <v/>
      </c>
      <c r="AA353" t="str">
        <f>CONCATENATE(Tabella1[[#This Row],[GG]],Tabella1[[#This Row],[Nome]])</f>
        <v>2Milla</v>
      </c>
      <c r="AB353" t="str">
        <f t="shared" si="9"/>
        <v>2TRICCHETRACHT</v>
      </c>
      <c r="AC353" t="str">
        <f>_xlfn.CONCAT(Tabella1[[#This Row],[Ruolo]],Tabella1[[#This Row],[Gs]])</f>
        <v>C0</v>
      </c>
    </row>
    <row r="354" spans="1:29" hidden="1" x14ac:dyDescent="0.3">
      <c r="A354" s="14">
        <v>46261</v>
      </c>
      <c r="B354" s="15">
        <v>2</v>
      </c>
      <c r="C354" s="321" t="s">
        <v>681</v>
      </c>
      <c r="D354" s="330" t="s">
        <v>163</v>
      </c>
      <c r="E354" s="330" t="s">
        <v>701</v>
      </c>
      <c r="F354" s="331">
        <v>6.5</v>
      </c>
      <c r="G354" s="332">
        <v>0</v>
      </c>
      <c r="H354" s="332">
        <v>0</v>
      </c>
      <c r="I354" s="332">
        <v>0</v>
      </c>
      <c r="J354" s="332">
        <v>0</v>
      </c>
      <c r="K354" s="332">
        <v>0</v>
      </c>
      <c r="L354" s="332">
        <v>0</v>
      </c>
      <c r="M354" s="332">
        <v>0</v>
      </c>
      <c r="N354" s="332">
        <v>0</v>
      </c>
      <c r="O354" s="333">
        <v>1</v>
      </c>
      <c r="P354" s="284"/>
      <c r="Q354" s="284">
        <f t="shared" si="8"/>
        <v>0</v>
      </c>
      <c r="R354" s="3" t="str">
        <f>_xlfn.IFNA(VLOOKUP(Tabella1[[#This Row],[Nome]],'ROSE SQUADRE'!$N$3:$O$253,2,0),"")</f>
        <v>PESCICULINI</v>
      </c>
      <c r="S354" s="193">
        <f>SUM(Tabella1[[#This Row],[Gf]],Tabella1[[#This Row],[Rf]])</f>
        <v>0</v>
      </c>
      <c r="T354" s="193"/>
      <c r="U354" s="285" t="str">
        <f>IF(Tabella1[[#This Row],[N° FantaTit]]="","",Tabella1[[#This Row],[fanta voto]])</f>
        <v/>
      </c>
      <c r="V354" s="193">
        <f>SUM(Tabella1[[#This Row],[Voto]],(G354*3),Q354,P354,O354,-(N354),(-M354/2),(-L354*2),(-H354),(I354*3),(-J354*3),(K354*3))</f>
        <v>7.5</v>
      </c>
      <c r="W354" s="193"/>
      <c r="X354" s="193" t="str">
        <f>IF(Tabella1[[#This Row],[Best 11]]=1,Tabella1[[#This Row],[fanta voto]],"")</f>
        <v/>
      </c>
      <c r="Z354" s="193" t="str">
        <f>IF(Tabella1[[#This Row],[Best 11 MOD]]=1,Tabella1[[#This Row],[fanta voto]],"")</f>
        <v/>
      </c>
      <c r="AA354" t="str">
        <f>CONCATENATE(Tabella1[[#This Row],[GG]],Tabella1[[#This Row],[Nome]])</f>
        <v>2Diao</v>
      </c>
      <c r="AB354" t="str">
        <f t="shared" si="9"/>
        <v>2PESCICULINI</v>
      </c>
      <c r="AC354" t="str">
        <f>_xlfn.CONCAT(Tabella1[[#This Row],[Ruolo]],Tabella1[[#This Row],[Gs]])</f>
        <v>A0</v>
      </c>
    </row>
    <row r="355" spans="1:29" hidden="1" x14ac:dyDescent="0.3">
      <c r="A355" s="14">
        <v>46261</v>
      </c>
      <c r="B355" s="15">
        <v>2</v>
      </c>
      <c r="C355" s="321" t="s">
        <v>681</v>
      </c>
      <c r="D355" t="s">
        <v>163</v>
      </c>
      <c r="E355" t="s">
        <v>702</v>
      </c>
      <c r="F355" s="194">
        <v>7</v>
      </c>
      <c r="G355" s="329">
        <v>1</v>
      </c>
      <c r="H355" s="328">
        <v>0</v>
      </c>
      <c r="I355" s="328">
        <v>0</v>
      </c>
      <c r="J355" s="328">
        <v>0</v>
      </c>
      <c r="K355" s="328">
        <v>0</v>
      </c>
      <c r="L355" s="328">
        <v>0</v>
      </c>
      <c r="M355" s="328">
        <v>0</v>
      </c>
      <c r="N355" s="328">
        <v>0</v>
      </c>
      <c r="O355" s="328">
        <v>0</v>
      </c>
      <c r="P355" s="284"/>
      <c r="Q355" s="284">
        <f t="shared" si="8"/>
        <v>0</v>
      </c>
      <c r="R355" s="3" t="str">
        <f>_xlfn.IFNA(VLOOKUP(Tabella1[[#This Row],[Nome]],'ROSE SQUADRE'!$N$3:$O$253,2,0),"")</f>
        <v>SESTO ASENSIO</v>
      </c>
      <c r="S355" s="193">
        <f>SUM(Tabella1[[#This Row],[Gf]],Tabella1[[#This Row],[Rf]])</f>
        <v>1</v>
      </c>
      <c r="T355" s="193"/>
      <c r="U355" s="285" t="str">
        <f>IF(Tabella1[[#This Row],[N° FantaTit]]="","",Tabella1[[#This Row],[fanta voto]])</f>
        <v/>
      </c>
      <c r="V355" s="193">
        <f>SUM(Tabella1[[#This Row],[Voto]],(G355*3),Q355,P355,O355,-(N355),(-M355/2),(-L355*2),(-H355),(I355*3),(-J355*3),(K355*3))</f>
        <v>10</v>
      </c>
      <c r="W355" s="193"/>
      <c r="X355" s="193" t="str">
        <f>IF(Tabella1[[#This Row],[Best 11]]=1,Tabella1[[#This Row],[fanta voto]],"")</f>
        <v/>
      </c>
      <c r="Z355" s="193" t="str">
        <f>IF(Tabella1[[#This Row],[Best 11 MOD]]=1,Tabella1[[#This Row],[fanta voto]],"")</f>
        <v/>
      </c>
      <c r="AA355" t="str">
        <f>CONCATENATE(Tabella1[[#This Row],[GG]],Tabella1[[#This Row],[Nome]])</f>
        <v>2Douvikas</v>
      </c>
      <c r="AB355" t="str">
        <f t="shared" si="9"/>
        <v>2SESTO ASENSIO</v>
      </c>
      <c r="AC355" t="str">
        <f>_xlfn.CONCAT(Tabella1[[#This Row],[Ruolo]],Tabella1[[#This Row],[Gs]])</f>
        <v>A0</v>
      </c>
    </row>
    <row r="356" spans="1:29" hidden="1" x14ac:dyDescent="0.3">
      <c r="A356" s="14">
        <v>46261</v>
      </c>
      <c r="B356" s="15">
        <v>2</v>
      </c>
      <c r="C356" s="321" t="s">
        <v>705</v>
      </c>
      <c r="D356" t="s">
        <v>5</v>
      </c>
      <c r="E356" t="s">
        <v>706</v>
      </c>
      <c r="F356" s="194">
        <v>5</v>
      </c>
      <c r="G356" s="328">
        <v>0</v>
      </c>
      <c r="H356" s="329">
        <v>3</v>
      </c>
      <c r="I356" s="328">
        <v>0</v>
      </c>
      <c r="J356" s="328">
        <v>0</v>
      </c>
      <c r="K356" s="328">
        <v>0</v>
      </c>
      <c r="L356" s="328">
        <v>0</v>
      </c>
      <c r="M356" s="328">
        <v>0</v>
      </c>
      <c r="N356" s="328">
        <v>0</v>
      </c>
      <c r="O356" s="328">
        <v>0</v>
      </c>
      <c r="P356" s="284"/>
      <c r="Q356" s="284">
        <f t="shared" si="8"/>
        <v>0</v>
      </c>
      <c r="R356" s="3" t="str">
        <f>_xlfn.IFNA(VLOOKUP(Tabella1[[#This Row],[Nome]],'ROSE SQUADRE'!$N$3:$O$253,2,0),"")</f>
        <v>PESCICULINI</v>
      </c>
      <c r="S356" s="193">
        <f>SUM(Tabella1[[#This Row],[Gf]],Tabella1[[#This Row],[Rf]])</f>
        <v>0</v>
      </c>
      <c r="T356" s="193"/>
      <c r="U356" s="285" t="str">
        <f>IF(Tabella1[[#This Row],[N° FantaTit]]="","",Tabella1[[#This Row],[fanta voto]])</f>
        <v/>
      </c>
      <c r="V356" s="193">
        <f>SUM(Tabella1[[#This Row],[Voto]],(G356*3),Q356,P356,O356,-(N356),(-M356/2),(-L356*2),(-H356),(I356*3),(-J356*3),(K356*3))</f>
        <v>2</v>
      </c>
      <c r="W356" s="193"/>
      <c r="X356" s="193" t="str">
        <f>IF(Tabella1[[#This Row],[Best 11]]=1,Tabella1[[#This Row],[fanta voto]],"")</f>
        <v/>
      </c>
      <c r="Z356" s="193" t="str">
        <f>IF(Tabella1[[#This Row],[Best 11 MOD]]=1,Tabella1[[#This Row],[fanta voto]],"")</f>
        <v/>
      </c>
      <c r="AA356" t="str">
        <f>CONCATENATE(Tabella1[[#This Row],[GG]],Tabella1[[#This Row],[Nome]])</f>
        <v>2De Gea</v>
      </c>
      <c r="AB356" t="str">
        <f t="shared" si="9"/>
        <v>2PESCICULINI</v>
      </c>
      <c r="AC356" t="str">
        <f>_xlfn.CONCAT(Tabella1[[#This Row],[Ruolo]],Tabella1[[#This Row],[Gs]])</f>
        <v>P3</v>
      </c>
    </row>
    <row r="357" spans="1:29" hidden="1" x14ac:dyDescent="0.3">
      <c r="A357" s="14">
        <v>46261</v>
      </c>
      <c r="B357" s="15">
        <v>2</v>
      </c>
      <c r="C357" s="321" t="s">
        <v>705</v>
      </c>
      <c r="D357" s="330" t="s">
        <v>161</v>
      </c>
      <c r="E357" s="330" t="s">
        <v>709</v>
      </c>
      <c r="F357" s="331">
        <v>4</v>
      </c>
      <c r="G357" s="332">
        <v>0</v>
      </c>
      <c r="H357" s="332">
        <v>0</v>
      </c>
      <c r="I357" s="332">
        <v>0</v>
      </c>
      <c r="J357" s="332">
        <v>0</v>
      </c>
      <c r="K357" s="332">
        <v>0</v>
      </c>
      <c r="L357" s="332">
        <v>0</v>
      </c>
      <c r="M357" s="333">
        <v>1</v>
      </c>
      <c r="N357" s="332">
        <v>0</v>
      </c>
      <c r="O357" s="332">
        <v>0</v>
      </c>
      <c r="P357" s="284"/>
      <c r="Q357" s="284">
        <f t="shared" si="8"/>
        <v>0</v>
      </c>
      <c r="R357" s="3" t="str">
        <f>_xlfn.IFNA(VLOOKUP(Tabella1[[#This Row],[Nome]],'ROSE SQUADRE'!$N$3:$O$253,2,0),"")</f>
        <v/>
      </c>
      <c r="S357" s="193">
        <f>SUM(Tabella1[[#This Row],[Gf]],Tabella1[[#This Row],[Rf]])</f>
        <v>0</v>
      </c>
      <c r="T357" s="193"/>
      <c r="U357" s="285" t="str">
        <f>IF(Tabella1[[#This Row],[N° FantaTit]]="","",Tabella1[[#This Row],[fanta voto]])</f>
        <v/>
      </c>
      <c r="V357" s="193">
        <f>SUM(Tabella1[[#This Row],[Voto]],(G357*3),Q357,P357,O357,-(N357),(-M357/2),(-L357*2),(-H357),(I357*3),(-J357*3),(K357*3))</f>
        <v>3.5</v>
      </c>
      <c r="W357" s="193"/>
      <c r="X357" s="193" t="str">
        <f>IF(Tabella1[[#This Row],[Best 11]]=1,Tabella1[[#This Row],[fanta voto]],"")</f>
        <v/>
      </c>
      <c r="Z357" s="193" t="str">
        <f>IF(Tabella1[[#This Row],[Best 11 MOD]]=1,Tabella1[[#This Row],[fanta voto]],"")</f>
        <v/>
      </c>
      <c r="AA357" t="str">
        <f>CONCATENATE(Tabella1[[#This Row],[GG]],Tabella1[[#This Row],[Nome]])</f>
        <v>2Dragusin</v>
      </c>
      <c r="AB357" t="str">
        <f t="shared" si="9"/>
        <v>2</v>
      </c>
      <c r="AC357" t="str">
        <f>_xlfn.CONCAT(Tabella1[[#This Row],[Ruolo]],Tabella1[[#This Row],[Gs]])</f>
        <v>D0</v>
      </c>
    </row>
    <row r="358" spans="1:29" hidden="1" x14ac:dyDescent="0.3">
      <c r="A358" s="14">
        <v>46261</v>
      </c>
      <c r="B358" s="15">
        <v>2</v>
      </c>
      <c r="C358" s="321" t="s">
        <v>705</v>
      </c>
      <c r="D358" t="s">
        <v>161</v>
      </c>
      <c r="E358" t="s">
        <v>322</v>
      </c>
      <c r="F358" s="194">
        <v>5</v>
      </c>
      <c r="G358" s="328">
        <v>0</v>
      </c>
      <c r="H358" s="328">
        <v>0</v>
      </c>
      <c r="I358" s="328">
        <v>0</v>
      </c>
      <c r="J358" s="328">
        <v>0</v>
      </c>
      <c r="K358" s="328">
        <v>0</v>
      </c>
      <c r="L358" s="328">
        <v>0</v>
      </c>
      <c r="M358" s="328">
        <v>0</v>
      </c>
      <c r="N358" s="328">
        <v>0</v>
      </c>
      <c r="O358" s="328">
        <v>0</v>
      </c>
      <c r="P358" s="284"/>
      <c r="Q358" s="284">
        <f t="shared" si="8"/>
        <v>0</v>
      </c>
      <c r="R358" s="3" t="str">
        <f>_xlfn.IFNA(VLOOKUP(Tabella1[[#This Row],[Nome]],'ROSE SQUADRE'!$N$3:$O$253,2,0),"")</f>
        <v/>
      </c>
      <c r="S358" s="193">
        <f>SUM(Tabella1[[#This Row],[Gf]],Tabella1[[#This Row],[Rf]])</f>
        <v>0</v>
      </c>
      <c r="T358" s="193"/>
      <c r="U358" s="285" t="str">
        <f>IF(Tabella1[[#This Row],[N° FantaTit]]="","",Tabella1[[#This Row],[fanta voto]])</f>
        <v/>
      </c>
      <c r="V358" s="193">
        <f>SUM(Tabella1[[#This Row],[Voto]],(G358*3),Q358,P358,O358,-(N358),(-M358/2),(-L358*2),(-H358),(I358*3),(-J358*3),(K358*3))</f>
        <v>5</v>
      </c>
      <c r="W358" s="193"/>
      <c r="X358" s="193" t="str">
        <f>IF(Tabella1[[#This Row],[Best 11]]=1,Tabella1[[#This Row],[fanta voto]],"")</f>
        <v/>
      </c>
      <c r="Z358" s="193" t="str">
        <f>IF(Tabella1[[#This Row],[Best 11 MOD]]=1,Tabella1[[#This Row],[fanta voto]],"")</f>
        <v/>
      </c>
      <c r="AA358" t="str">
        <f>CONCATENATE(Tabella1[[#This Row],[GG]],Tabella1[[#This Row],[Nome]])</f>
        <v>2Pongracic</v>
      </c>
      <c r="AB358" t="str">
        <f t="shared" si="9"/>
        <v>2</v>
      </c>
      <c r="AC358" t="str">
        <f>_xlfn.CONCAT(Tabella1[[#This Row],[Ruolo]],Tabella1[[#This Row],[Gs]])</f>
        <v>D0</v>
      </c>
    </row>
    <row r="359" spans="1:29" hidden="1" x14ac:dyDescent="0.3">
      <c r="A359" s="14">
        <v>46261</v>
      </c>
      <c r="B359" s="15">
        <v>2</v>
      </c>
      <c r="C359" s="321" t="s">
        <v>705</v>
      </c>
      <c r="D359" s="330" t="s">
        <v>161</v>
      </c>
      <c r="E359" s="330" t="s">
        <v>710</v>
      </c>
      <c r="F359" s="331">
        <v>4.5</v>
      </c>
      <c r="G359" s="332">
        <v>0</v>
      </c>
      <c r="H359" s="332">
        <v>0</v>
      </c>
      <c r="I359" s="332">
        <v>0</v>
      </c>
      <c r="J359" s="332">
        <v>0</v>
      </c>
      <c r="K359" s="332">
        <v>0</v>
      </c>
      <c r="L359" s="332">
        <v>0</v>
      </c>
      <c r="M359" s="333">
        <v>1</v>
      </c>
      <c r="N359" s="332">
        <v>0</v>
      </c>
      <c r="O359" s="332">
        <v>0</v>
      </c>
      <c r="P359" s="284"/>
      <c r="Q359" s="284">
        <f t="shared" si="8"/>
        <v>0</v>
      </c>
      <c r="R359" s="3" t="str">
        <f>_xlfn.IFNA(VLOOKUP(Tabella1[[#This Row],[Nome]],'ROSE SQUADRE'!$N$3:$O$253,2,0),"")</f>
        <v>AS PIPPERIA</v>
      </c>
      <c r="S359" s="193">
        <f>SUM(Tabella1[[#This Row],[Gf]],Tabella1[[#This Row],[Rf]])</f>
        <v>0</v>
      </c>
      <c r="T359" s="193"/>
      <c r="U359" s="285" t="str">
        <f>IF(Tabella1[[#This Row],[N° FantaTit]]="","",Tabella1[[#This Row],[fanta voto]])</f>
        <v/>
      </c>
      <c r="V359" s="193">
        <f>SUM(Tabella1[[#This Row],[Voto]],(G359*3),Q359,P359,O359,-(N359),(-M359/2),(-L359*2),(-H359),(I359*3),(-J359*3),(K359*3))</f>
        <v>4</v>
      </c>
      <c r="W359" s="193"/>
      <c r="X359" s="193" t="str">
        <f>IF(Tabella1[[#This Row],[Best 11]]=1,Tabella1[[#This Row],[fanta voto]],"")</f>
        <v/>
      </c>
      <c r="Z359" s="193" t="str">
        <f>IF(Tabella1[[#This Row],[Best 11 MOD]]=1,Tabella1[[#This Row],[fanta voto]],"")</f>
        <v/>
      </c>
      <c r="AA359" t="str">
        <f>CONCATENATE(Tabella1[[#This Row],[GG]],Tabella1[[#This Row],[Nome]])</f>
        <v>2Jimenez A.</v>
      </c>
      <c r="AB359" t="str">
        <f t="shared" si="9"/>
        <v>2AS PIPPERIA</v>
      </c>
      <c r="AC359" t="str">
        <f>_xlfn.CONCAT(Tabella1[[#This Row],[Ruolo]],Tabella1[[#This Row],[Gs]])</f>
        <v>D0</v>
      </c>
    </row>
    <row r="360" spans="1:29" hidden="1" x14ac:dyDescent="0.3">
      <c r="A360" s="14">
        <v>46261</v>
      </c>
      <c r="B360" s="15">
        <v>2</v>
      </c>
      <c r="C360" s="321" t="s">
        <v>705</v>
      </c>
      <c r="D360" s="330" t="s">
        <v>161</v>
      </c>
      <c r="E360" s="330" t="s">
        <v>712</v>
      </c>
      <c r="F360" s="331">
        <v>5</v>
      </c>
      <c r="G360" s="332">
        <v>0</v>
      </c>
      <c r="H360" s="332">
        <v>0</v>
      </c>
      <c r="I360" s="332">
        <v>0</v>
      </c>
      <c r="J360" s="332">
        <v>0</v>
      </c>
      <c r="K360" s="332">
        <v>0</v>
      </c>
      <c r="L360" s="332">
        <v>0</v>
      </c>
      <c r="M360" s="332">
        <v>0</v>
      </c>
      <c r="N360" s="332">
        <v>0</v>
      </c>
      <c r="O360" s="332">
        <v>0</v>
      </c>
      <c r="P360" s="284"/>
      <c r="Q360" s="284">
        <f t="shared" si="8"/>
        <v>0</v>
      </c>
      <c r="R360" s="3" t="str">
        <f>_xlfn.IFNA(VLOOKUP(Tabella1[[#This Row],[Nome]],'ROSE SQUADRE'!$N$3:$O$253,2,0),"")</f>
        <v>PARTIZAN DEGRADO</v>
      </c>
      <c r="S360" s="193">
        <f>SUM(Tabella1[[#This Row],[Gf]],Tabella1[[#This Row],[Rf]])</f>
        <v>0</v>
      </c>
      <c r="T360" s="193"/>
      <c r="U360" s="285" t="str">
        <f>IF(Tabella1[[#This Row],[N° FantaTit]]="","",Tabella1[[#This Row],[fanta voto]])</f>
        <v/>
      </c>
      <c r="V360" s="193">
        <f>SUM(Tabella1[[#This Row],[Voto]],(G360*3),Q360,P360,O360,-(N360),(-M360/2),(-L360*2),(-H360),(I360*3),(-J360*3),(K360*3))</f>
        <v>5</v>
      </c>
      <c r="W360" s="193"/>
      <c r="X360" s="193" t="str">
        <f>IF(Tabella1[[#This Row],[Best 11]]=1,Tabella1[[#This Row],[fanta voto]],"")</f>
        <v/>
      </c>
      <c r="Z360" s="193" t="str">
        <f>IF(Tabella1[[#This Row],[Best 11 MOD]]=1,Tabella1[[#This Row],[fanta voto]],"")</f>
        <v/>
      </c>
      <c r="AA360" t="str">
        <f>CONCATENATE(Tabella1[[#This Row],[GG]],Tabella1[[#This Row],[Nome]])</f>
        <v>2Valdepenas</v>
      </c>
      <c r="AB360" t="str">
        <f t="shared" si="9"/>
        <v>2PARTIZAN DEGRADO</v>
      </c>
      <c r="AC360" t="str">
        <f>_xlfn.CONCAT(Tabella1[[#This Row],[Ruolo]],Tabella1[[#This Row],[Gs]])</f>
        <v>D0</v>
      </c>
    </row>
    <row r="361" spans="1:29" hidden="1" x14ac:dyDescent="0.3">
      <c r="A361" s="14">
        <v>46261</v>
      </c>
      <c r="B361" s="15">
        <v>2</v>
      </c>
      <c r="C361" s="321" t="s">
        <v>705</v>
      </c>
      <c r="D361" t="s">
        <v>161</v>
      </c>
      <c r="E361" t="s">
        <v>713</v>
      </c>
      <c r="F361" s="194">
        <v>5.5</v>
      </c>
      <c r="G361" s="328">
        <v>0</v>
      </c>
      <c r="H361" s="328">
        <v>0</v>
      </c>
      <c r="I361" s="328">
        <v>0</v>
      </c>
      <c r="J361" s="328">
        <v>0</v>
      </c>
      <c r="K361" s="328">
        <v>0</v>
      </c>
      <c r="L361" s="328">
        <v>0</v>
      </c>
      <c r="M361" s="328">
        <v>0</v>
      </c>
      <c r="N361" s="328">
        <v>0</v>
      </c>
      <c r="O361" s="328">
        <v>0</v>
      </c>
      <c r="P361" s="284"/>
      <c r="Q361" s="284">
        <f t="shared" si="8"/>
        <v>0</v>
      </c>
      <c r="R361" s="3" t="str">
        <f>_xlfn.IFNA(VLOOKUP(Tabella1[[#This Row],[Nome]],'ROSE SQUADRE'!$N$3:$O$253,2,0),"")</f>
        <v>SAN GRIA</v>
      </c>
      <c r="S361" s="193">
        <f>SUM(Tabella1[[#This Row],[Gf]],Tabella1[[#This Row],[Rf]])</f>
        <v>0</v>
      </c>
      <c r="T361" s="193"/>
      <c r="U361" s="285" t="str">
        <f>IF(Tabella1[[#This Row],[N° FantaTit]]="","",Tabella1[[#This Row],[fanta voto]])</f>
        <v/>
      </c>
      <c r="V361" s="193">
        <f>SUM(Tabella1[[#This Row],[Voto]],(G361*3),Q361,P361,O361,-(N361),(-M361/2),(-L361*2),(-H361),(I361*3),(-J361*3),(K361*3))</f>
        <v>5.5</v>
      </c>
      <c r="W361" s="193"/>
      <c r="X361" s="193" t="str">
        <f>IF(Tabella1[[#This Row],[Best 11]]=1,Tabella1[[#This Row],[fanta voto]],"")</f>
        <v/>
      </c>
      <c r="Z361" s="193" t="str">
        <f>IF(Tabella1[[#This Row],[Best 11 MOD]]=1,Tabella1[[#This Row],[fanta voto]],"")</f>
        <v/>
      </c>
      <c r="AA361" t="str">
        <f>CONCATENATE(Tabella1[[#This Row],[GG]],Tabella1[[#This Row],[Nome]])</f>
        <v>2Viery</v>
      </c>
      <c r="AB361" t="str">
        <f t="shared" si="9"/>
        <v>2SAN GRIA</v>
      </c>
      <c r="AC361" t="str">
        <f>_xlfn.CONCAT(Tabella1[[#This Row],[Ruolo]],Tabella1[[#This Row],[Gs]])</f>
        <v>D0</v>
      </c>
    </row>
    <row r="362" spans="1:29" hidden="1" x14ac:dyDescent="0.3">
      <c r="A362" s="14">
        <v>46261</v>
      </c>
      <c r="B362" s="15">
        <v>2</v>
      </c>
      <c r="C362" s="321" t="s">
        <v>705</v>
      </c>
      <c r="D362" s="330" t="s">
        <v>162</v>
      </c>
      <c r="E362" s="330" t="s">
        <v>282</v>
      </c>
      <c r="F362" s="331">
        <v>5.5</v>
      </c>
      <c r="G362" s="332">
        <v>0</v>
      </c>
      <c r="H362" s="332">
        <v>0</v>
      </c>
      <c r="I362" s="332">
        <v>0</v>
      </c>
      <c r="J362" s="332">
        <v>0</v>
      </c>
      <c r="K362" s="332">
        <v>0</v>
      </c>
      <c r="L362" s="332">
        <v>0</v>
      </c>
      <c r="M362" s="332">
        <v>0</v>
      </c>
      <c r="N362" s="332">
        <v>0</v>
      </c>
      <c r="O362" s="332">
        <v>0</v>
      </c>
      <c r="P362" s="284"/>
      <c r="Q362" s="284">
        <f t="shared" si="8"/>
        <v>0</v>
      </c>
      <c r="R362" s="3" t="str">
        <f>_xlfn.IFNA(VLOOKUP(Tabella1[[#This Row],[Nome]],'ROSE SQUADRE'!$N$3:$O$253,2,0),"")</f>
        <v/>
      </c>
      <c r="S362" s="193">
        <f>SUM(Tabella1[[#This Row],[Gf]],Tabella1[[#This Row],[Rf]])</f>
        <v>0</v>
      </c>
      <c r="T362" s="193"/>
      <c r="U362" s="285" t="str">
        <f>IF(Tabella1[[#This Row],[N° FantaTit]]="","",Tabella1[[#This Row],[fanta voto]])</f>
        <v/>
      </c>
      <c r="V362" s="193">
        <f>SUM(Tabella1[[#This Row],[Voto]],(G362*3),Q362,P362,O362,-(N362),(-M362/2),(-L362*2),(-H362),(I362*3),(-J362*3),(K362*3))</f>
        <v>5.5</v>
      </c>
      <c r="W362" s="193"/>
      <c r="X362" s="193" t="str">
        <f>IF(Tabella1[[#This Row],[Best 11]]=1,Tabella1[[#This Row],[fanta voto]],"")</f>
        <v/>
      </c>
      <c r="Z362" s="193" t="str">
        <f>IF(Tabella1[[#This Row],[Best 11 MOD]]=1,Tabella1[[#This Row],[fanta voto]],"")</f>
        <v/>
      </c>
      <c r="AA362" t="str">
        <f>CONCATENATE(Tabella1[[#This Row],[GG]],Tabella1[[#This Row],[Nome]])</f>
        <v>2Mandragora</v>
      </c>
      <c r="AB362" t="str">
        <f t="shared" si="9"/>
        <v>2</v>
      </c>
      <c r="AC362" t="str">
        <f>_xlfn.CONCAT(Tabella1[[#This Row],[Ruolo]],Tabella1[[#This Row],[Gs]])</f>
        <v>C0</v>
      </c>
    </row>
    <row r="363" spans="1:29" hidden="1" x14ac:dyDescent="0.3">
      <c r="A363" s="14">
        <v>46261</v>
      </c>
      <c r="B363" s="15">
        <v>2</v>
      </c>
      <c r="C363" s="321" t="s">
        <v>705</v>
      </c>
      <c r="D363" t="s">
        <v>162</v>
      </c>
      <c r="E363" t="s">
        <v>342</v>
      </c>
      <c r="F363" s="194">
        <v>5.5</v>
      </c>
      <c r="G363" s="328">
        <v>0</v>
      </c>
      <c r="H363" s="328">
        <v>0</v>
      </c>
      <c r="I363" s="328">
        <v>0</v>
      </c>
      <c r="J363" s="328">
        <v>0</v>
      </c>
      <c r="K363" s="328">
        <v>0</v>
      </c>
      <c r="L363" s="328">
        <v>0</v>
      </c>
      <c r="M363" s="328">
        <v>0</v>
      </c>
      <c r="N363" s="328">
        <v>0</v>
      </c>
      <c r="O363" s="328">
        <v>0</v>
      </c>
      <c r="P363" s="284"/>
      <c r="Q363" s="284">
        <f t="shared" si="8"/>
        <v>0</v>
      </c>
      <c r="R363" s="3" t="str">
        <f>_xlfn.IFNA(VLOOKUP(Tabella1[[#This Row],[Nome]],'ROSE SQUADRE'!$N$3:$O$253,2,0),"")</f>
        <v/>
      </c>
      <c r="S363" s="193">
        <f>SUM(Tabella1[[#This Row],[Gf]],Tabella1[[#This Row],[Rf]])</f>
        <v>0</v>
      </c>
      <c r="T363" s="193"/>
      <c r="U363" s="285" t="str">
        <f>IF(Tabella1[[#This Row],[N° FantaTit]]="","",Tabella1[[#This Row],[fanta voto]])</f>
        <v/>
      </c>
      <c r="V363" s="193">
        <f>SUM(Tabella1[[#This Row],[Voto]],(G363*3),Q363,P363,O363,-(N363),(-M363/2),(-L363*2),(-H363),(I363*3),(-J363*3),(K363*3))</f>
        <v>5.5</v>
      </c>
      <c r="W363" s="193"/>
      <c r="X363" s="193" t="str">
        <f>IF(Tabella1[[#This Row],[Best 11]]=1,Tabella1[[#This Row],[fanta voto]],"")</f>
        <v/>
      </c>
      <c r="Z363" s="193" t="str">
        <f>IF(Tabella1[[#This Row],[Best 11 MOD]]=1,Tabella1[[#This Row],[fanta voto]],"")</f>
        <v/>
      </c>
      <c r="AA363" t="str">
        <f>CONCATENATE(Tabella1[[#This Row],[GG]],Tabella1[[#This Row],[Nome]])</f>
        <v>2Fagioli</v>
      </c>
      <c r="AB363" t="str">
        <f t="shared" si="9"/>
        <v>2</v>
      </c>
      <c r="AC363" t="str">
        <f>_xlfn.CONCAT(Tabella1[[#This Row],[Ruolo]],Tabella1[[#This Row],[Gs]])</f>
        <v>C0</v>
      </c>
    </row>
    <row r="364" spans="1:29" hidden="1" x14ac:dyDescent="0.3">
      <c r="A364" s="14">
        <v>46261</v>
      </c>
      <c r="B364" s="15">
        <v>2</v>
      </c>
      <c r="C364" s="321" t="s">
        <v>705</v>
      </c>
      <c r="D364" s="330" t="s">
        <v>162</v>
      </c>
      <c r="E364" s="330" t="s">
        <v>441</v>
      </c>
      <c r="F364" s="331">
        <v>5.5</v>
      </c>
      <c r="G364" s="332">
        <v>0</v>
      </c>
      <c r="H364" s="332">
        <v>0</v>
      </c>
      <c r="I364" s="332">
        <v>0</v>
      </c>
      <c r="J364" s="332">
        <v>0</v>
      </c>
      <c r="K364" s="332">
        <v>0</v>
      </c>
      <c r="L364" s="332">
        <v>0</v>
      </c>
      <c r="M364" s="332">
        <v>0</v>
      </c>
      <c r="N364" s="332">
        <v>0</v>
      </c>
      <c r="O364" s="332">
        <v>0</v>
      </c>
      <c r="P364" s="284"/>
      <c r="Q364" s="284">
        <f t="shared" si="8"/>
        <v>0</v>
      </c>
      <c r="R364" s="3" t="str">
        <f>_xlfn.IFNA(VLOOKUP(Tabella1[[#This Row],[Nome]],'ROSE SQUADRE'!$N$3:$O$253,2,0),"")</f>
        <v/>
      </c>
      <c r="S364" s="193">
        <f>SUM(Tabella1[[#This Row],[Gf]],Tabella1[[#This Row],[Rf]])</f>
        <v>0</v>
      </c>
      <c r="T364" s="193"/>
      <c r="U364" s="285" t="str">
        <f>IF(Tabella1[[#This Row],[N° FantaTit]]="","",Tabella1[[#This Row],[fanta voto]])</f>
        <v/>
      </c>
      <c r="V364" s="193">
        <f>SUM(Tabella1[[#This Row],[Voto]],(G364*3),Q364,P364,O364,-(N364),(-M364/2),(-L364*2),(-H364),(I364*3),(-J364*3),(K364*3))</f>
        <v>5.5</v>
      </c>
      <c r="W364" s="193"/>
      <c r="X364" s="193" t="str">
        <f>IF(Tabella1[[#This Row],[Best 11]]=1,Tabella1[[#This Row],[fanta voto]],"")</f>
        <v/>
      </c>
      <c r="Z364" s="193" t="str">
        <f>IF(Tabella1[[#This Row],[Best 11 MOD]]=1,Tabella1[[#This Row],[fanta voto]],"")</f>
        <v/>
      </c>
      <c r="AA364" t="str">
        <f>CONCATENATE(Tabella1[[#This Row],[GG]],Tabella1[[#This Row],[Nome]])</f>
        <v>2Brescianini</v>
      </c>
      <c r="AB364" t="str">
        <f t="shared" si="9"/>
        <v>2</v>
      </c>
      <c r="AC364" t="str">
        <f>_xlfn.CONCAT(Tabella1[[#This Row],[Ruolo]],Tabella1[[#This Row],[Gs]])</f>
        <v>C0</v>
      </c>
    </row>
    <row r="365" spans="1:29" hidden="1" x14ac:dyDescent="0.3">
      <c r="A365" s="14">
        <v>46261</v>
      </c>
      <c r="B365" s="15">
        <v>2</v>
      </c>
      <c r="C365" s="321" t="s">
        <v>705</v>
      </c>
      <c r="D365" t="s">
        <v>162</v>
      </c>
      <c r="E365" t="s">
        <v>715</v>
      </c>
      <c r="F365" s="194">
        <v>4.5</v>
      </c>
      <c r="G365" s="328">
        <v>0</v>
      </c>
      <c r="H365" s="328">
        <v>0</v>
      </c>
      <c r="I365" s="328">
        <v>0</v>
      </c>
      <c r="J365" s="328">
        <v>0</v>
      </c>
      <c r="K365" s="328">
        <v>0</v>
      </c>
      <c r="L365" s="328">
        <v>0</v>
      </c>
      <c r="M365" s="329">
        <v>1</v>
      </c>
      <c r="N365" s="328">
        <v>0</v>
      </c>
      <c r="O365" s="328">
        <v>0</v>
      </c>
      <c r="P365" s="284"/>
      <c r="Q365" s="284">
        <f t="shared" ref="Q365:Q414" si="10">IF(AC365="P0",1,0)</f>
        <v>0</v>
      </c>
      <c r="R365" s="3" t="str">
        <f>_xlfn.IFNA(VLOOKUP(Tabella1[[#This Row],[Nome]],'ROSE SQUADRE'!$N$3:$O$253,2,0),"")</f>
        <v>TRICCHETRACHT</v>
      </c>
      <c r="S365" s="193">
        <f>SUM(Tabella1[[#This Row],[Gf]],Tabella1[[#This Row],[Rf]])</f>
        <v>0</v>
      </c>
      <c r="T365" s="193"/>
      <c r="U365" s="285" t="str">
        <f>IF(Tabella1[[#This Row],[N° FantaTit]]="","",Tabella1[[#This Row],[fanta voto]])</f>
        <v/>
      </c>
      <c r="V365" s="193">
        <f>SUM(Tabella1[[#This Row],[Voto]],(G365*3),Q365,P365,O365,-(N365),(-M365/2),(-L365*2),(-H365),(I365*3),(-J365*3),(K365*3))</f>
        <v>4</v>
      </c>
      <c r="W365" s="193"/>
      <c r="X365" s="193" t="str">
        <f>IF(Tabella1[[#This Row],[Best 11]]=1,Tabella1[[#This Row],[fanta voto]],"")</f>
        <v/>
      </c>
      <c r="Z365" s="193" t="str">
        <f>IF(Tabella1[[#This Row],[Best 11 MOD]]=1,Tabella1[[#This Row],[fanta voto]],"")</f>
        <v/>
      </c>
      <c r="AA365" t="str">
        <f>CONCATENATE(Tabella1[[#This Row],[GG]],Tabella1[[#This Row],[Nome]])</f>
        <v>2Gudmundsson A.</v>
      </c>
      <c r="AB365" t="str">
        <f t="shared" ref="AB365:AB414" si="11">CONCATENATE(B365,R365,T365)</f>
        <v>2TRICCHETRACHT</v>
      </c>
      <c r="AC365" t="str">
        <f>_xlfn.CONCAT(Tabella1[[#This Row],[Ruolo]],Tabella1[[#This Row],[Gs]])</f>
        <v>C0</v>
      </c>
    </row>
    <row r="366" spans="1:29" hidden="1" x14ac:dyDescent="0.3">
      <c r="A366" s="14">
        <v>46261</v>
      </c>
      <c r="B366" s="15">
        <v>2</v>
      </c>
      <c r="C366" s="321" t="s">
        <v>705</v>
      </c>
      <c r="D366" s="330" t="s">
        <v>162</v>
      </c>
      <c r="E366" s="330" t="s">
        <v>717</v>
      </c>
      <c r="F366" s="331">
        <v>4.5</v>
      </c>
      <c r="G366" s="332">
        <v>0</v>
      </c>
      <c r="H366" s="332">
        <v>0</v>
      </c>
      <c r="I366" s="332">
        <v>0</v>
      </c>
      <c r="J366" s="332">
        <v>0</v>
      </c>
      <c r="K366" s="332">
        <v>0</v>
      </c>
      <c r="L366" s="332">
        <v>0</v>
      </c>
      <c r="M366" s="332">
        <v>0</v>
      </c>
      <c r="N366" s="332">
        <v>0</v>
      </c>
      <c r="O366" s="332">
        <v>0</v>
      </c>
      <c r="P366" s="284"/>
      <c r="Q366" s="284">
        <f t="shared" si="10"/>
        <v>0</v>
      </c>
      <c r="R366" s="3" t="str">
        <f>_xlfn.IFNA(VLOOKUP(Tabella1[[#This Row],[Nome]],'ROSE SQUADRE'!$N$3:$O$253,2,0),"")</f>
        <v>FC INTERNAZIOANALE</v>
      </c>
      <c r="S366" s="193">
        <f>SUM(Tabella1[[#This Row],[Gf]],Tabella1[[#This Row],[Rf]])</f>
        <v>0</v>
      </c>
      <c r="T366" s="193"/>
      <c r="U366" s="285" t="str">
        <f>IF(Tabella1[[#This Row],[N° FantaTit]]="","",Tabella1[[#This Row],[fanta voto]])</f>
        <v/>
      </c>
      <c r="V366" s="193">
        <f>SUM(Tabella1[[#This Row],[Voto]],(G366*3),Q366,P366,O366,-(N366),(-M366/2),(-L366*2),(-H366),(I366*3),(-J366*3),(K366*3))</f>
        <v>4.5</v>
      </c>
      <c r="W366" s="193"/>
      <c r="X366" s="193" t="str">
        <f>IF(Tabella1[[#This Row],[Best 11]]=1,Tabella1[[#This Row],[fanta voto]],"")</f>
        <v/>
      </c>
      <c r="Z366" s="193" t="str">
        <f>IF(Tabella1[[#This Row],[Best 11 MOD]]=1,Tabella1[[#This Row],[fanta voto]],"")</f>
        <v/>
      </c>
      <c r="AA366" t="str">
        <f>CONCATENATE(Tabella1[[#This Row],[GG]],Tabella1[[#This Row],[Nome]])</f>
        <v>2Ndour</v>
      </c>
      <c r="AB366" t="str">
        <f t="shared" si="11"/>
        <v>2FC INTERNAZIOANALE</v>
      </c>
      <c r="AC366" t="str">
        <f>_xlfn.CONCAT(Tabella1[[#This Row],[Ruolo]],Tabella1[[#This Row],[Gs]])</f>
        <v>C0</v>
      </c>
    </row>
    <row r="367" spans="1:29" hidden="1" x14ac:dyDescent="0.3">
      <c r="A367" s="14">
        <v>46261</v>
      </c>
      <c r="B367" s="15">
        <v>2</v>
      </c>
      <c r="C367" s="321" t="s">
        <v>705</v>
      </c>
      <c r="D367" t="s">
        <v>162</v>
      </c>
      <c r="E367" t="s">
        <v>714</v>
      </c>
      <c r="F367" s="194">
        <v>4</v>
      </c>
      <c r="G367" s="328">
        <v>0</v>
      </c>
      <c r="H367" s="328">
        <v>0</v>
      </c>
      <c r="I367" s="328">
        <v>0</v>
      </c>
      <c r="J367" s="328">
        <v>0</v>
      </c>
      <c r="K367" s="328">
        <v>0</v>
      </c>
      <c r="L367" s="328">
        <v>0</v>
      </c>
      <c r="M367" s="328">
        <v>0</v>
      </c>
      <c r="N367" s="328">
        <v>0</v>
      </c>
      <c r="O367" s="328">
        <v>0</v>
      </c>
      <c r="P367" s="284"/>
      <c r="Q367" s="284">
        <f t="shared" si="10"/>
        <v>0</v>
      </c>
      <c r="R367" s="3" t="str">
        <f>_xlfn.IFNA(VLOOKUP(Tabella1[[#This Row],[Nome]],'ROSE SQUADRE'!$N$3:$O$253,2,0),"")</f>
        <v>AC ASPARAGHESE</v>
      </c>
      <c r="S367" s="193">
        <f>SUM(Tabella1[[#This Row],[Gf]],Tabella1[[#This Row],[Rf]])</f>
        <v>0</v>
      </c>
      <c r="T367" s="193"/>
      <c r="U367" s="285" t="str">
        <f>IF(Tabella1[[#This Row],[N° FantaTit]]="","",Tabella1[[#This Row],[fanta voto]])</f>
        <v/>
      </c>
      <c r="V367" s="193">
        <f>SUM(Tabella1[[#This Row],[Voto]],(G367*3),Q367,P367,O367,-(N367),(-M367/2),(-L367*2),(-H367),(I367*3),(-J367*3),(K367*3))</f>
        <v>4</v>
      </c>
      <c r="W367" s="193"/>
      <c r="X367" s="193" t="str">
        <f>IF(Tabella1[[#This Row],[Best 11]]=1,Tabella1[[#This Row],[fanta voto]],"")</f>
        <v/>
      </c>
      <c r="Z367" s="193" t="str">
        <f>IF(Tabella1[[#This Row],[Best 11 MOD]]=1,Tabella1[[#This Row],[fanta voto]],"")</f>
        <v/>
      </c>
      <c r="AA367" t="str">
        <f>CONCATENATE(Tabella1[[#This Row],[GG]],Tabella1[[#This Row],[Nome]])</f>
        <v>2Atta</v>
      </c>
      <c r="AB367" t="str">
        <f t="shared" si="11"/>
        <v>2AC ASPARAGHESE</v>
      </c>
      <c r="AC367" t="str">
        <f>_xlfn.CONCAT(Tabella1[[#This Row],[Ruolo]],Tabella1[[#This Row],[Gs]])</f>
        <v>C0</v>
      </c>
    </row>
    <row r="368" spans="1:29" hidden="1" x14ac:dyDescent="0.3">
      <c r="A368" s="14">
        <v>46261</v>
      </c>
      <c r="B368" s="15">
        <v>2</v>
      </c>
      <c r="C368" s="321" t="s">
        <v>705</v>
      </c>
      <c r="D368" s="330" t="s">
        <v>162</v>
      </c>
      <c r="E368" s="330" t="s">
        <v>716</v>
      </c>
      <c r="F368" s="331">
        <v>5</v>
      </c>
      <c r="G368" s="332">
        <v>0</v>
      </c>
      <c r="H368" s="332">
        <v>0</v>
      </c>
      <c r="I368" s="332">
        <v>0</v>
      </c>
      <c r="J368" s="332">
        <v>0</v>
      </c>
      <c r="K368" s="332">
        <v>0</v>
      </c>
      <c r="L368" s="332">
        <v>0</v>
      </c>
      <c r="M368" s="332">
        <v>0</v>
      </c>
      <c r="N368" s="332">
        <v>0</v>
      </c>
      <c r="O368" s="332">
        <v>0</v>
      </c>
      <c r="P368" s="284"/>
      <c r="Q368" s="284">
        <f t="shared" si="10"/>
        <v>0</v>
      </c>
      <c r="R368" s="3" t="str">
        <f>_xlfn.IFNA(VLOOKUP(Tabella1[[#This Row],[Nome]],'ROSE SQUADRE'!$N$3:$O$253,2,0),"")</f>
        <v>AC ASPARAGHESE</v>
      </c>
      <c r="S368" s="193">
        <f>SUM(Tabella1[[#This Row],[Gf]],Tabella1[[#This Row],[Rf]])</f>
        <v>0</v>
      </c>
      <c r="T368" s="193"/>
      <c r="U368" s="285" t="str">
        <f>IF(Tabella1[[#This Row],[N° FantaTit]]="","",Tabella1[[#This Row],[fanta voto]])</f>
        <v/>
      </c>
      <c r="V368" s="193">
        <f>SUM(Tabella1[[#This Row],[Voto]],(G368*3),Q368,P368,O368,-(N368),(-M368/2),(-L368*2),(-H368),(I368*3),(-J368*3),(K368*3))</f>
        <v>5</v>
      </c>
      <c r="W368" s="193"/>
      <c r="X368" s="193" t="str">
        <f>IF(Tabella1[[#This Row],[Best 11]]=1,Tabella1[[#This Row],[fanta voto]],"")</f>
        <v/>
      </c>
      <c r="Z368" s="193" t="str">
        <f>IF(Tabella1[[#This Row],[Best 11 MOD]]=1,Tabella1[[#This Row],[fanta voto]],"")</f>
        <v/>
      </c>
      <c r="AA368" t="str">
        <f>CONCATENATE(Tabella1[[#This Row],[GG]],Tabella1[[#This Row],[Nome]])</f>
        <v>2Mastantuono</v>
      </c>
      <c r="AB368" t="str">
        <f t="shared" si="11"/>
        <v>2AC ASPARAGHESE</v>
      </c>
      <c r="AC368" t="str">
        <f>_xlfn.CONCAT(Tabella1[[#This Row],[Ruolo]],Tabella1[[#This Row],[Gs]])</f>
        <v>C0</v>
      </c>
    </row>
    <row r="369" spans="1:29" hidden="1" x14ac:dyDescent="0.3">
      <c r="A369" s="14">
        <v>46261</v>
      </c>
      <c r="B369" s="15">
        <v>2</v>
      </c>
      <c r="C369" s="321" t="s">
        <v>705</v>
      </c>
      <c r="D369" t="s">
        <v>162</v>
      </c>
      <c r="E369" t="s">
        <v>718</v>
      </c>
      <c r="F369" s="194">
        <v>5</v>
      </c>
      <c r="G369" s="328">
        <v>0</v>
      </c>
      <c r="H369" s="328">
        <v>0</v>
      </c>
      <c r="I369" s="328">
        <v>0</v>
      </c>
      <c r="J369" s="328">
        <v>0</v>
      </c>
      <c r="K369" s="328">
        <v>0</v>
      </c>
      <c r="L369" s="328">
        <v>0</v>
      </c>
      <c r="M369" s="328">
        <v>0</v>
      </c>
      <c r="N369" s="328">
        <v>0</v>
      </c>
      <c r="O369" s="328">
        <v>0</v>
      </c>
      <c r="P369" s="284"/>
      <c r="Q369" s="284">
        <f t="shared" si="10"/>
        <v>0</v>
      </c>
      <c r="R369" s="3" t="str">
        <f>_xlfn.IFNA(VLOOKUP(Tabella1[[#This Row],[Nome]],'ROSE SQUADRE'!$N$3:$O$253,2,0),"")</f>
        <v/>
      </c>
      <c r="S369" s="193">
        <f>SUM(Tabella1[[#This Row],[Gf]],Tabella1[[#This Row],[Rf]])</f>
        <v>0</v>
      </c>
      <c r="T369" s="193"/>
      <c r="U369" s="285" t="str">
        <f>IF(Tabella1[[#This Row],[N° FantaTit]]="","",Tabella1[[#This Row],[fanta voto]])</f>
        <v/>
      </c>
      <c r="V369" s="193">
        <f>SUM(Tabella1[[#This Row],[Voto]],(G369*3),Q369,P369,O369,-(N369),(-M369/2),(-L369*2),(-H369),(I369*3),(-J369*3),(K369*3))</f>
        <v>5</v>
      </c>
      <c r="W369" s="193"/>
      <c r="X369" s="193" t="str">
        <f>IF(Tabella1[[#This Row],[Best 11]]=1,Tabella1[[#This Row],[fanta voto]],"")</f>
        <v/>
      </c>
      <c r="Z369" s="193" t="str">
        <f>IF(Tabella1[[#This Row],[Best 11 MOD]]=1,Tabella1[[#This Row],[fanta voto]],"")</f>
        <v/>
      </c>
      <c r="AA369" t="str">
        <f>CONCATENATE(Tabella1[[#This Row],[GG]],Tabella1[[#This Row],[Nome]])</f>
        <v>2Oulai</v>
      </c>
      <c r="AB369" t="str">
        <f t="shared" si="11"/>
        <v>2</v>
      </c>
      <c r="AC369" t="str">
        <f>_xlfn.CONCAT(Tabella1[[#This Row],[Ruolo]],Tabella1[[#This Row],[Gs]])</f>
        <v>C0</v>
      </c>
    </row>
    <row r="370" spans="1:29" hidden="1" x14ac:dyDescent="0.3">
      <c r="A370" s="14">
        <v>46261</v>
      </c>
      <c r="B370" s="15">
        <v>2</v>
      </c>
      <c r="C370" s="321" t="s">
        <v>705</v>
      </c>
      <c r="D370" s="330" t="s">
        <v>163</v>
      </c>
      <c r="E370" s="330" t="s">
        <v>719</v>
      </c>
      <c r="F370" s="331">
        <v>4.5</v>
      </c>
      <c r="G370" s="332">
        <v>0</v>
      </c>
      <c r="H370" s="332">
        <v>0</v>
      </c>
      <c r="I370" s="332">
        <v>0</v>
      </c>
      <c r="J370" s="332">
        <v>0</v>
      </c>
      <c r="K370" s="332">
        <v>0</v>
      </c>
      <c r="L370" s="332">
        <v>0</v>
      </c>
      <c r="M370" s="332">
        <v>0</v>
      </c>
      <c r="N370" s="332">
        <v>0</v>
      </c>
      <c r="O370" s="332">
        <v>0</v>
      </c>
      <c r="P370" s="284"/>
      <c r="Q370" s="284">
        <f t="shared" si="10"/>
        <v>0</v>
      </c>
      <c r="R370" s="3" t="str">
        <f>_xlfn.IFNA(VLOOKUP(Tabella1[[#This Row],[Nome]],'ROSE SQUADRE'!$N$3:$O$253,2,0),"")</f>
        <v>SHARK</v>
      </c>
      <c r="S370" s="193">
        <f>SUM(Tabella1[[#This Row],[Gf]],Tabella1[[#This Row],[Rf]])</f>
        <v>0</v>
      </c>
      <c r="T370" s="193"/>
      <c r="U370" s="285" t="str">
        <f>IF(Tabella1[[#This Row],[N° FantaTit]]="","",Tabella1[[#This Row],[fanta voto]])</f>
        <v/>
      </c>
      <c r="V370" s="193">
        <f>SUM(Tabella1[[#This Row],[Voto]],(G370*3),Q370,P370,O370,-(N370),(-M370/2),(-L370*2),(-H370),(I370*3),(-J370*3),(K370*3))</f>
        <v>4.5</v>
      </c>
      <c r="W370" s="193"/>
      <c r="X370" s="193" t="str">
        <f>IF(Tabella1[[#This Row],[Best 11]]=1,Tabella1[[#This Row],[fanta voto]],"")</f>
        <v/>
      </c>
      <c r="Z370" s="193" t="str">
        <f>IF(Tabella1[[#This Row],[Best 11 MOD]]=1,Tabella1[[#This Row],[fanta voto]],"")</f>
        <v/>
      </c>
      <c r="AA370" t="str">
        <f>CONCATENATE(Tabella1[[#This Row],[GG]],Tabella1[[#This Row],[Nome]])</f>
        <v>2Pellegrino M.</v>
      </c>
      <c r="AB370" t="str">
        <f t="shared" si="11"/>
        <v>2SHARK</v>
      </c>
      <c r="AC370" t="str">
        <f>_xlfn.CONCAT(Tabella1[[#This Row],[Ruolo]],Tabella1[[#This Row],[Gs]])</f>
        <v>A0</v>
      </c>
    </row>
    <row r="371" spans="1:29" hidden="1" x14ac:dyDescent="0.3">
      <c r="A371" s="14">
        <v>46261</v>
      </c>
      <c r="B371" s="15">
        <v>2</v>
      </c>
      <c r="C371" s="321" t="s">
        <v>721</v>
      </c>
      <c r="D371" s="330" t="s">
        <v>5</v>
      </c>
      <c r="E371" s="330" t="s">
        <v>723</v>
      </c>
      <c r="F371" s="331">
        <v>6</v>
      </c>
      <c r="G371" s="332">
        <v>0</v>
      </c>
      <c r="H371" s="332">
        <v>0</v>
      </c>
      <c r="I371" s="332">
        <v>0</v>
      </c>
      <c r="J371" s="332">
        <v>0</v>
      </c>
      <c r="K371" s="332">
        <v>0</v>
      </c>
      <c r="L371" s="332">
        <v>0</v>
      </c>
      <c r="M371" s="332">
        <v>0</v>
      </c>
      <c r="N371" s="332">
        <v>0</v>
      </c>
      <c r="O371" s="332">
        <v>0</v>
      </c>
      <c r="P371" s="284"/>
      <c r="Q371" s="284">
        <f t="shared" si="10"/>
        <v>1</v>
      </c>
      <c r="R371" s="3" t="str">
        <f>_xlfn.IFNA(VLOOKUP(Tabella1[[#This Row],[Nome]],'ROSE SQUADRE'!$N$3:$O$253,2,0),"")</f>
        <v>TRICCHETRACHT</v>
      </c>
      <c r="S371" s="193">
        <f>SUM(Tabella1[[#This Row],[Gf]],Tabella1[[#This Row],[Rf]])</f>
        <v>0</v>
      </c>
      <c r="T371" s="193"/>
      <c r="U371" s="285" t="str">
        <f>IF(Tabella1[[#This Row],[N° FantaTit]]="","",Tabella1[[#This Row],[fanta voto]])</f>
        <v/>
      </c>
      <c r="V371" s="193">
        <f>SUM(Tabella1[[#This Row],[Voto]],(G371*3),Q371,P371,O371,-(N371),(-M371/2),(-L371*2),(-H371),(I371*3),(-J371*3),(K371*3))</f>
        <v>7</v>
      </c>
      <c r="W371" s="193"/>
      <c r="X371" s="193" t="str">
        <f>IF(Tabella1[[#This Row],[Best 11]]=1,Tabella1[[#This Row],[fanta voto]],"")</f>
        <v/>
      </c>
      <c r="Z371" s="193" t="str">
        <f>IF(Tabella1[[#This Row],[Best 11 MOD]]=1,Tabella1[[#This Row],[fanta voto]],"")</f>
        <v/>
      </c>
      <c r="AA371" t="str">
        <f>CONCATENATE(Tabella1[[#This Row],[GG]],Tabella1[[#This Row],[Nome]])</f>
        <v>2Palmisani</v>
      </c>
      <c r="AB371" t="str">
        <f t="shared" si="11"/>
        <v>2TRICCHETRACHT</v>
      </c>
      <c r="AC371" t="str">
        <f>_xlfn.CONCAT(Tabella1[[#This Row],[Ruolo]],Tabella1[[#This Row],[Gs]])</f>
        <v>P0</v>
      </c>
    </row>
    <row r="372" spans="1:29" hidden="1" x14ac:dyDescent="0.3">
      <c r="A372" s="14">
        <v>46261</v>
      </c>
      <c r="B372" s="15">
        <v>2</v>
      </c>
      <c r="C372" s="321" t="s">
        <v>721</v>
      </c>
      <c r="D372" t="s">
        <v>161</v>
      </c>
      <c r="E372" t="s">
        <v>733</v>
      </c>
      <c r="F372" s="194">
        <v>6</v>
      </c>
      <c r="G372" s="328">
        <v>0</v>
      </c>
      <c r="H372" s="328">
        <v>0</v>
      </c>
      <c r="I372" s="328">
        <v>0</v>
      </c>
      <c r="J372" s="328">
        <v>0</v>
      </c>
      <c r="K372" s="328">
        <v>0</v>
      </c>
      <c r="L372" s="328">
        <v>0</v>
      </c>
      <c r="M372" s="328">
        <v>0</v>
      </c>
      <c r="N372" s="328">
        <v>0</v>
      </c>
      <c r="O372" s="328">
        <v>0</v>
      </c>
      <c r="P372" s="284"/>
      <c r="Q372" s="284">
        <f t="shared" si="10"/>
        <v>0</v>
      </c>
      <c r="R372" s="3" t="str">
        <f>_xlfn.IFNA(VLOOKUP(Tabella1[[#This Row],[Nome]],'ROSE SQUADRE'!$N$3:$O$253,2,0),"")</f>
        <v/>
      </c>
      <c r="S372" s="193">
        <f>SUM(Tabella1[[#This Row],[Gf]],Tabella1[[#This Row],[Rf]])</f>
        <v>0</v>
      </c>
      <c r="T372" s="193"/>
      <c r="U372" s="285" t="str">
        <f>IF(Tabella1[[#This Row],[N° FantaTit]]="","",Tabella1[[#This Row],[fanta voto]])</f>
        <v/>
      </c>
      <c r="V372" s="193">
        <f>SUM(Tabella1[[#This Row],[Voto]],(G372*3),Q372,P372,O372,-(N372),(-M372/2),(-L372*2),(-H372),(I372*3),(-J372*3),(K372*3))</f>
        <v>6</v>
      </c>
      <c r="W372" s="193"/>
      <c r="X372" s="193" t="str">
        <f>IF(Tabella1[[#This Row],[Best 11]]=1,Tabella1[[#This Row],[fanta voto]],"")</f>
        <v/>
      </c>
      <c r="Z372" s="193" t="str">
        <f>IF(Tabella1[[#This Row],[Best 11 MOD]]=1,Tabella1[[#This Row],[fanta voto]],"")</f>
        <v/>
      </c>
      <c r="AA372" t="str">
        <f>CONCATENATE(Tabella1[[#This Row],[GG]],Tabella1[[#This Row],[Nome]])</f>
        <v>2Terzic</v>
      </c>
      <c r="AB372" t="str">
        <f t="shared" si="11"/>
        <v>2</v>
      </c>
      <c r="AC372" t="str">
        <f>_xlfn.CONCAT(Tabella1[[#This Row],[Ruolo]],Tabella1[[#This Row],[Gs]])</f>
        <v>D0</v>
      </c>
    </row>
    <row r="373" spans="1:29" hidden="1" x14ac:dyDescent="0.3">
      <c r="A373" s="14">
        <v>46261</v>
      </c>
      <c r="B373" s="15">
        <v>2</v>
      </c>
      <c r="C373" s="321" t="s">
        <v>721</v>
      </c>
      <c r="D373" s="330" t="s">
        <v>161</v>
      </c>
      <c r="E373" s="330" t="s">
        <v>730</v>
      </c>
      <c r="F373" s="331">
        <v>7</v>
      </c>
      <c r="G373" s="332">
        <v>0</v>
      </c>
      <c r="H373" s="332">
        <v>0</v>
      </c>
      <c r="I373" s="332">
        <v>0</v>
      </c>
      <c r="J373" s="332">
        <v>0</v>
      </c>
      <c r="K373" s="332">
        <v>0</v>
      </c>
      <c r="L373" s="332">
        <v>0</v>
      </c>
      <c r="M373" s="332">
        <v>0</v>
      </c>
      <c r="N373" s="332">
        <v>0</v>
      </c>
      <c r="O373" s="332">
        <v>0</v>
      </c>
      <c r="P373" s="284"/>
      <c r="Q373" s="284">
        <f t="shared" si="10"/>
        <v>0</v>
      </c>
      <c r="R373" s="3" t="str">
        <f>_xlfn.IFNA(VLOOKUP(Tabella1[[#This Row],[Nome]],'ROSE SQUADRE'!$N$3:$O$253,2,0),"")</f>
        <v/>
      </c>
      <c r="S373" s="193">
        <f>SUM(Tabella1[[#This Row],[Gf]],Tabella1[[#This Row],[Rf]])</f>
        <v>0</v>
      </c>
      <c r="T373" s="193"/>
      <c r="U373" s="285" t="str">
        <f>IF(Tabella1[[#This Row],[N° FantaTit]]="","",Tabella1[[#This Row],[fanta voto]])</f>
        <v/>
      </c>
      <c r="V373" s="193">
        <f>SUM(Tabella1[[#This Row],[Voto]],(G373*3),Q373,P373,O373,-(N373),(-M373/2),(-L373*2),(-H373),(I373*3),(-J373*3),(K373*3))</f>
        <v>7</v>
      </c>
      <c r="W373" s="193"/>
      <c r="X373" s="193" t="str">
        <f>IF(Tabella1[[#This Row],[Best 11]]=1,Tabella1[[#This Row],[fanta voto]],"")</f>
        <v/>
      </c>
      <c r="Z373" s="193" t="str">
        <f>IF(Tabella1[[#This Row],[Best 11 MOD]]=1,Tabella1[[#This Row],[fanta voto]],"")</f>
        <v/>
      </c>
      <c r="AA373" t="str">
        <f>CONCATENATE(Tabella1[[#This Row],[GG]],Tabella1[[#This Row],[Nome]])</f>
        <v>2Monterisi</v>
      </c>
      <c r="AB373" t="str">
        <f t="shared" si="11"/>
        <v>2</v>
      </c>
      <c r="AC373" t="str">
        <f>_xlfn.CONCAT(Tabella1[[#This Row],[Ruolo]],Tabella1[[#This Row],[Gs]])</f>
        <v>D0</v>
      </c>
    </row>
    <row r="374" spans="1:29" hidden="1" x14ac:dyDescent="0.3">
      <c r="A374" s="14">
        <v>46261</v>
      </c>
      <c r="B374" s="15">
        <v>2</v>
      </c>
      <c r="C374" s="321" t="s">
        <v>721</v>
      </c>
      <c r="D374" t="s">
        <v>161</v>
      </c>
      <c r="E374" t="s">
        <v>729</v>
      </c>
      <c r="F374" s="194">
        <v>6</v>
      </c>
      <c r="G374" s="328">
        <v>0</v>
      </c>
      <c r="H374" s="328">
        <v>0</v>
      </c>
      <c r="I374" s="328">
        <v>0</v>
      </c>
      <c r="J374" s="328">
        <v>0</v>
      </c>
      <c r="K374" s="328">
        <v>0</v>
      </c>
      <c r="L374" s="328">
        <v>0</v>
      </c>
      <c r="M374" s="328">
        <v>0</v>
      </c>
      <c r="N374" s="328">
        <v>0</v>
      </c>
      <c r="O374" s="328">
        <v>0</v>
      </c>
      <c r="P374" s="284"/>
      <c r="Q374" s="284">
        <f t="shared" si="10"/>
        <v>0</v>
      </c>
      <c r="R374" s="3" t="str">
        <f>_xlfn.IFNA(VLOOKUP(Tabella1[[#This Row],[Nome]],'ROSE SQUADRE'!$N$3:$O$253,2,0),"")</f>
        <v/>
      </c>
      <c r="S374" s="193">
        <f>SUM(Tabella1[[#This Row],[Gf]],Tabella1[[#This Row],[Rf]])</f>
        <v>0</v>
      </c>
      <c r="T374" s="193"/>
      <c r="U374" s="285" t="str">
        <f>IF(Tabella1[[#This Row],[N° FantaTit]]="","",Tabella1[[#This Row],[fanta voto]])</f>
        <v/>
      </c>
      <c r="V374" s="193">
        <f>SUM(Tabella1[[#This Row],[Voto]],(G374*3),Q374,P374,O374,-(N374),(-M374/2),(-L374*2),(-H374),(I374*3),(-J374*3),(K374*3))</f>
        <v>6</v>
      </c>
      <c r="W374" s="193"/>
      <c r="X374" s="193" t="str">
        <f>IF(Tabella1[[#This Row],[Best 11]]=1,Tabella1[[#This Row],[fanta voto]],"")</f>
        <v/>
      </c>
      <c r="Z374" s="193" t="str">
        <f>IF(Tabella1[[#This Row],[Best 11 MOD]]=1,Tabella1[[#This Row],[fanta voto]],"")</f>
        <v/>
      </c>
      <c r="AA374" t="str">
        <f>CONCATENATE(Tabella1[[#This Row],[GG]],Tabella1[[#This Row],[Nome]])</f>
        <v>2Cittadini</v>
      </c>
      <c r="AB374" t="str">
        <f t="shared" si="11"/>
        <v>2</v>
      </c>
      <c r="AC374" t="str">
        <f>_xlfn.CONCAT(Tabella1[[#This Row],[Ruolo]],Tabella1[[#This Row],[Gs]])</f>
        <v>D0</v>
      </c>
    </row>
    <row r="375" spans="1:29" hidden="1" x14ac:dyDescent="0.3">
      <c r="A375" s="14">
        <v>46261</v>
      </c>
      <c r="B375" s="15">
        <v>2</v>
      </c>
      <c r="C375" s="321" t="s">
        <v>721</v>
      </c>
      <c r="D375" s="330" t="s">
        <v>161</v>
      </c>
      <c r="E375" s="330" t="s">
        <v>732</v>
      </c>
      <c r="F375" s="331">
        <v>6.5</v>
      </c>
      <c r="G375" s="332">
        <v>0</v>
      </c>
      <c r="H375" s="332">
        <v>0</v>
      </c>
      <c r="I375" s="332">
        <v>0</v>
      </c>
      <c r="J375" s="332">
        <v>0</v>
      </c>
      <c r="K375" s="332">
        <v>0</v>
      </c>
      <c r="L375" s="332">
        <v>0</v>
      </c>
      <c r="M375" s="332">
        <v>0</v>
      </c>
      <c r="N375" s="332">
        <v>0</v>
      </c>
      <c r="O375" s="332">
        <v>0</v>
      </c>
      <c r="P375" s="284"/>
      <c r="Q375" s="284">
        <f t="shared" si="10"/>
        <v>0</v>
      </c>
      <c r="R375" s="3" t="str">
        <f>_xlfn.IFNA(VLOOKUP(Tabella1[[#This Row],[Nome]],'ROSE SQUADRE'!$N$3:$O$253,2,0),"")</f>
        <v/>
      </c>
      <c r="S375" s="193">
        <f>SUM(Tabella1[[#This Row],[Gf]],Tabella1[[#This Row],[Rf]])</f>
        <v>0</v>
      </c>
      <c r="T375" s="193"/>
      <c r="U375" s="285" t="str">
        <f>IF(Tabella1[[#This Row],[N° FantaTit]]="","",Tabella1[[#This Row],[fanta voto]])</f>
        <v/>
      </c>
      <c r="V375" s="193">
        <f>SUM(Tabella1[[#This Row],[Voto]],(G375*3),Q375,P375,O375,-(N375),(-M375/2),(-L375*2),(-H375),(I375*3),(-J375*3),(K375*3))</f>
        <v>6.5</v>
      </c>
      <c r="W375" s="193"/>
      <c r="X375" s="193" t="str">
        <f>IF(Tabella1[[#This Row],[Best 11]]=1,Tabella1[[#This Row],[fanta voto]],"")</f>
        <v/>
      </c>
      <c r="Z375" s="193" t="str">
        <f>IF(Tabella1[[#This Row],[Best 11 MOD]]=1,Tabella1[[#This Row],[fanta voto]],"")</f>
        <v/>
      </c>
      <c r="AA375" t="str">
        <f>CONCATENATE(Tabella1[[#This Row],[GG]],Tabella1[[#This Row],[Nome]])</f>
        <v>2Oyono A.</v>
      </c>
      <c r="AB375" t="str">
        <f t="shared" si="11"/>
        <v>2</v>
      </c>
      <c r="AC375" t="str">
        <f>_xlfn.CONCAT(Tabella1[[#This Row],[Ruolo]],Tabella1[[#This Row],[Gs]])</f>
        <v>D0</v>
      </c>
    </row>
    <row r="376" spans="1:29" hidden="1" x14ac:dyDescent="0.3">
      <c r="A376" s="14">
        <v>46261</v>
      </c>
      <c r="B376" s="15">
        <v>2</v>
      </c>
      <c r="C376" s="321" t="s">
        <v>721</v>
      </c>
      <c r="D376" t="s">
        <v>161</v>
      </c>
      <c r="E376" t="s">
        <v>728</v>
      </c>
      <c r="F376" s="194">
        <v>6.5</v>
      </c>
      <c r="G376" s="328">
        <v>0</v>
      </c>
      <c r="H376" s="328">
        <v>0</v>
      </c>
      <c r="I376" s="328">
        <v>0</v>
      </c>
      <c r="J376" s="328">
        <v>0</v>
      </c>
      <c r="K376" s="328">
        <v>0</v>
      </c>
      <c r="L376" s="328">
        <v>0</v>
      </c>
      <c r="M376" s="329">
        <v>1</v>
      </c>
      <c r="N376" s="328">
        <v>0</v>
      </c>
      <c r="O376" s="328">
        <v>0</v>
      </c>
      <c r="P376" s="284"/>
      <c r="Q376" s="284">
        <f t="shared" si="10"/>
        <v>0</v>
      </c>
      <c r="R376" s="3" t="str">
        <f>_xlfn.IFNA(VLOOKUP(Tabella1[[#This Row],[Nome]],'ROSE SQUADRE'!$N$3:$O$253,2,0),"")</f>
        <v/>
      </c>
      <c r="S376" s="193">
        <f>SUM(Tabella1[[#This Row],[Gf]],Tabella1[[#This Row],[Rf]])</f>
        <v>0</v>
      </c>
      <c r="T376" s="193"/>
      <c r="U376" s="285" t="str">
        <f>IF(Tabella1[[#This Row],[N° FantaTit]]="","",Tabella1[[#This Row],[fanta voto]])</f>
        <v/>
      </c>
      <c r="V376" s="193">
        <f>SUM(Tabella1[[#This Row],[Voto]],(G376*3),Q376,P376,O376,-(N376),(-M376/2),(-L376*2),(-H376),(I376*3),(-J376*3),(K376*3))</f>
        <v>6</v>
      </c>
      <c r="W376" s="193"/>
      <c r="X376" s="193" t="str">
        <f>IF(Tabella1[[#This Row],[Best 11]]=1,Tabella1[[#This Row],[fanta voto]],"")</f>
        <v/>
      </c>
      <c r="Z376" s="193" t="str">
        <f>IF(Tabella1[[#This Row],[Best 11 MOD]]=1,Tabella1[[#This Row],[fanta voto]],"")</f>
        <v/>
      </c>
      <c r="AA376" t="str">
        <f>CONCATENATE(Tabella1[[#This Row],[GG]],Tabella1[[#This Row],[Nome]])</f>
        <v>2Calvani</v>
      </c>
      <c r="AB376" t="str">
        <f t="shared" si="11"/>
        <v>2</v>
      </c>
      <c r="AC376" t="str">
        <f>_xlfn.CONCAT(Tabella1[[#This Row],[Ruolo]],Tabella1[[#This Row],[Gs]])</f>
        <v>D0</v>
      </c>
    </row>
    <row r="377" spans="1:29" hidden="1" x14ac:dyDescent="0.3">
      <c r="A377" s="14">
        <v>46261</v>
      </c>
      <c r="B377" s="15">
        <v>2</v>
      </c>
      <c r="C377" s="321" t="s">
        <v>721</v>
      </c>
      <c r="D377" s="330" t="s">
        <v>161</v>
      </c>
      <c r="E377" s="330" t="s">
        <v>727</v>
      </c>
      <c r="F377" s="331">
        <v>7.5</v>
      </c>
      <c r="G377" s="333">
        <v>1</v>
      </c>
      <c r="H377" s="332">
        <v>0</v>
      </c>
      <c r="I377" s="332">
        <v>0</v>
      </c>
      <c r="J377" s="332">
        <v>0</v>
      </c>
      <c r="K377" s="332">
        <v>0</v>
      </c>
      <c r="L377" s="332">
        <v>0</v>
      </c>
      <c r="M377" s="333">
        <v>1</v>
      </c>
      <c r="N377" s="332">
        <v>0</v>
      </c>
      <c r="O377" s="333">
        <v>1</v>
      </c>
      <c r="P377" s="284"/>
      <c r="Q377" s="284">
        <f t="shared" si="10"/>
        <v>0</v>
      </c>
      <c r="R377" s="3" t="str">
        <f>_xlfn.IFNA(VLOOKUP(Tabella1[[#This Row],[Nome]],'ROSE SQUADRE'!$N$3:$O$253,2,0),"")</f>
        <v>SAN GRIA</v>
      </c>
      <c r="S377" s="193">
        <f>SUM(Tabella1[[#This Row],[Gf]],Tabella1[[#This Row],[Rf]])</f>
        <v>1</v>
      </c>
      <c r="T377" s="193"/>
      <c r="U377" s="285" t="str">
        <f>IF(Tabella1[[#This Row],[N° FantaTit]]="","",Tabella1[[#This Row],[fanta voto]])</f>
        <v/>
      </c>
      <c r="V377" s="193">
        <f>SUM(Tabella1[[#This Row],[Voto]],(G377*3),Q377,P377,O377,-(N377),(-M377/2),(-L377*2),(-H377),(I377*3),(-J377*3),(K377*3))</f>
        <v>11</v>
      </c>
      <c r="W377" s="193"/>
      <c r="X377" s="193" t="str">
        <f>IF(Tabella1[[#This Row],[Best 11]]=1,Tabella1[[#This Row],[fanta voto]],"")</f>
        <v/>
      </c>
      <c r="Z377" s="193" t="str">
        <f>IF(Tabella1[[#This Row],[Best 11 MOD]]=1,Tabella1[[#This Row],[fanta voto]],"")</f>
        <v/>
      </c>
      <c r="AA377" t="str">
        <f>CONCATENATE(Tabella1[[#This Row],[GG]],Tabella1[[#This Row],[Nome]])</f>
        <v>2Bracaglia</v>
      </c>
      <c r="AB377" t="str">
        <f t="shared" si="11"/>
        <v>2SAN GRIA</v>
      </c>
      <c r="AC377" t="str">
        <f>_xlfn.CONCAT(Tabella1[[#This Row],[Ruolo]],Tabella1[[#This Row],[Gs]])</f>
        <v>D0</v>
      </c>
    </row>
    <row r="378" spans="1:29" hidden="1" x14ac:dyDescent="0.3">
      <c r="A378" s="14">
        <v>46261</v>
      </c>
      <c r="B378" s="15">
        <v>2</v>
      </c>
      <c r="C378" s="321" t="s">
        <v>721</v>
      </c>
      <c r="D378" t="s">
        <v>162</v>
      </c>
      <c r="E378" t="s">
        <v>745</v>
      </c>
      <c r="F378" s="194">
        <v>6.5</v>
      </c>
      <c r="G378" s="328">
        <v>0</v>
      </c>
      <c r="H378" s="328">
        <v>0</v>
      </c>
      <c r="I378" s="328">
        <v>0</v>
      </c>
      <c r="J378" s="328">
        <v>0</v>
      </c>
      <c r="K378" s="328">
        <v>0</v>
      </c>
      <c r="L378" s="328">
        <v>0</v>
      </c>
      <c r="M378" s="328">
        <v>0</v>
      </c>
      <c r="N378" s="328">
        <v>0</v>
      </c>
      <c r="O378" s="328">
        <v>0</v>
      </c>
      <c r="P378" s="284"/>
      <c r="Q378" s="284">
        <f t="shared" si="10"/>
        <v>0</v>
      </c>
      <c r="R378" s="3" t="str">
        <f>_xlfn.IFNA(VLOOKUP(Tabella1[[#This Row],[Nome]],'ROSE SQUADRE'!$N$3:$O$253,2,0),"")</f>
        <v/>
      </c>
      <c r="S378" s="193">
        <f>SUM(Tabella1[[#This Row],[Gf]],Tabella1[[#This Row],[Rf]])</f>
        <v>0</v>
      </c>
      <c r="T378" s="193"/>
      <c r="U378" s="285" t="str">
        <f>IF(Tabella1[[#This Row],[N° FantaTit]]="","",Tabella1[[#This Row],[fanta voto]])</f>
        <v/>
      </c>
      <c r="V378" s="193">
        <f>SUM(Tabella1[[#This Row],[Voto]],(G378*3),Q378,P378,O378,-(N378),(-M378/2),(-L378*2),(-H378),(I378*3),(-J378*3),(K378*3))</f>
        <v>6.5</v>
      </c>
      <c r="W378" s="193"/>
      <c r="X378" s="193" t="str">
        <f>IF(Tabella1[[#This Row],[Best 11]]=1,Tabella1[[#This Row],[fanta voto]],"")</f>
        <v/>
      </c>
      <c r="Z378" s="193" t="str">
        <f>IF(Tabella1[[#This Row],[Best 11 MOD]]=1,Tabella1[[#This Row],[fanta voto]],"")</f>
        <v/>
      </c>
      <c r="AA378" t="str">
        <f>CONCATENATE(Tabella1[[#This Row],[GG]],Tabella1[[#This Row],[Nome]])</f>
        <v>2Zerbin</v>
      </c>
      <c r="AB378" t="str">
        <f t="shared" si="11"/>
        <v>2</v>
      </c>
      <c r="AC378" t="str">
        <f>_xlfn.CONCAT(Tabella1[[#This Row],[Ruolo]],Tabella1[[#This Row],[Gs]])</f>
        <v>C0</v>
      </c>
    </row>
    <row r="379" spans="1:29" hidden="1" x14ac:dyDescent="0.3">
      <c r="A379" s="14">
        <v>46261</v>
      </c>
      <c r="B379" s="15">
        <v>2</v>
      </c>
      <c r="C379" s="321" t="s">
        <v>721</v>
      </c>
      <c r="D379" s="330" t="s">
        <v>162</v>
      </c>
      <c r="E379" s="330" t="s">
        <v>737</v>
      </c>
      <c r="F379" s="331">
        <v>6</v>
      </c>
      <c r="G379" s="332">
        <v>0</v>
      </c>
      <c r="H379" s="332">
        <v>0</v>
      </c>
      <c r="I379" s="332">
        <v>0</v>
      </c>
      <c r="J379" s="332">
        <v>0</v>
      </c>
      <c r="K379" s="332">
        <v>0</v>
      </c>
      <c r="L379" s="332">
        <v>0</v>
      </c>
      <c r="M379" s="332">
        <v>0</v>
      </c>
      <c r="N379" s="332">
        <v>0</v>
      </c>
      <c r="O379" s="332">
        <v>0</v>
      </c>
      <c r="P379" s="284"/>
      <c r="Q379" s="284">
        <f t="shared" si="10"/>
        <v>0</v>
      </c>
      <c r="R379" s="3" t="str">
        <f>_xlfn.IFNA(VLOOKUP(Tabella1[[#This Row],[Nome]],'ROSE SQUADRE'!$N$3:$O$253,2,0),"")</f>
        <v/>
      </c>
      <c r="S379" s="193">
        <f>SUM(Tabella1[[#This Row],[Gf]],Tabella1[[#This Row],[Rf]])</f>
        <v>0</v>
      </c>
      <c r="T379" s="193"/>
      <c r="U379" s="285" t="str">
        <f>IF(Tabella1[[#This Row],[N° FantaTit]]="","",Tabella1[[#This Row],[fanta voto]])</f>
        <v/>
      </c>
      <c r="V379" s="193">
        <f>SUM(Tabella1[[#This Row],[Voto]],(G379*3),Q379,P379,O379,-(N379),(-M379/2),(-L379*2),(-H379),(I379*3),(-J379*3),(K379*3))</f>
        <v>6</v>
      </c>
      <c r="W379" s="193"/>
      <c r="X379" s="193" t="str">
        <f>IF(Tabella1[[#This Row],[Best 11]]=1,Tabella1[[#This Row],[fanta voto]],"")</f>
        <v/>
      </c>
      <c r="Z379" s="193" t="str">
        <f>IF(Tabella1[[#This Row],[Best 11 MOD]]=1,Tabella1[[#This Row],[fanta voto]],"")</f>
        <v/>
      </c>
      <c r="AA379" t="str">
        <f>CONCATENATE(Tabella1[[#This Row],[GG]],Tabella1[[#This Row],[Nome]])</f>
        <v xml:space="preserve">2Fini </v>
      </c>
      <c r="AB379" t="str">
        <f t="shared" si="11"/>
        <v>2</v>
      </c>
      <c r="AC379" t="str">
        <f>_xlfn.CONCAT(Tabella1[[#This Row],[Ruolo]],Tabella1[[#This Row],[Gs]])</f>
        <v>C0</v>
      </c>
    </row>
    <row r="380" spans="1:29" hidden="1" x14ac:dyDescent="0.3">
      <c r="A380" s="14">
        <v>46261</v>
      </c>
      <c r="B380" s="15">
        <v>2</v>
      </c>
      <c r="C380" s="321" t="s">
        <v>721</v>
      </c>
      <c r="D380" t="s">
        <v>162</v>
      </c>
      <c r="E380" t="s">
        <v>743</v>
      </c>
      <c r="F380" s="194">
        <v>6.5</v>
      </c>
      <c r="G380" s="328">
        <v>0</v>
      </c>
      <c r="H380" s="328">
        <v>0</v>
      </c>
      <c r="I380" s="328">
        <v>0</v>
      </c>
      <c r="J380" s="328">
        <v>0</v>
      </c>
      <c r="K380" s="328">
        <v>0</v>
      </c>
      <c r="L380" s="328">
        <v>0</v>
      </c>
      <c r="M380" s="328">
        <v>0</v>
      </c>
      <c r="N380" s="328">
        <v>0</v>
      </c>
      <c r="O380" s="328">
        <v>0</v>
      </c>
      <c r="P380" s="284"/>
      <c r="Q380" s="284">
        <f t="shared" si="10"/>
        <v>0</v>
      </c>
      <c r="R380" s="3" t="str">
        <f>_xlfn.IFNA(VLOOKUP(Tabella1[[#This Row],[Nome]],'ROSE SQUADRE'!$N$3:$O$253,2,0),"")</f>
        <v/>
      </c>
      <c r="S380" s="193">
        <f>SUM(Tabella1[[#This Row],[Gf]],Tabella1[[#This Row],[Rf]])</f>
        <v>0</v>
      </c>
      <c r="T380" s="193"/>
      <c r="U380" s="285" t="str">
        <f>IF(Tabella1[[#This Row],[N° FantaTit]]="","",Tabella1[[#This Row],[fanta voto]])</f>
        <v/>
      </c>
      <c r="V380" s="193">
        <f>SUM(Tabella1[[#This Row],[Voto]],(G380*3),Q380,P380,O380,-(N380),(-M380/2),(-L380*2),(-H380),(I380*3),(-J380*3),(K380*3))</f>
        <v>6.5</v>
      </c>
      <c r="W380" s="193"/>
      <c r="X380" s="193" t="str">
        <f>IF(Tabella1[[#This Row],[Best 11]]=1,Tabella1[[#This Row],[fanta voto]],"")</f>
        <v/>
      </c>
      <c r="Z380" s="193" t="str">
        <f>IF(Tabella1[[#This Row],[Best 11 MOD]]=1,Tabella1[[#This Row],[fanta voto]],"")</f>
        <v/>
      </c>
      <c r="AA380" t="str">
        <f>CONCATENATE(Tabella1[[#This Row],[GG]],Tabella1[[#This Row],[Nome]])</f>
        <v>2Masini</v>
      </c>
      <c r="AB380" t="str">
        <f t="shared" si="11"/>
        <v>2</v>
      </c>
      <c r="AC380" t="str">
        <f>_xlfn.CONCAT(Tabella1[[#This Row],[Ruolo]],Tabella1[[#This Row],[Gs]])</f>
        <v>C0</v>
      </c>
    </row>
    <row r="381" spans="1:29" hidden="1" x14ac:dyDescent="0.3">
      <c r="A381" s="14">
        <v>46261</v>
      </c>
      <c r="B381" s="15">
        <v>2</v>
      </c>
      <c r="C381" s="321" t="s">
        <v>721</v>
      </c>
      <c r="D381" s="330" t="s">
        <v>162</v>
      </c>
      <c r="E381" s="330" t="s">
        <v>734</v>
      </c>
      <c r="F381" s="331">
        <v>7</v>
      </c>
      <c r="G381" s="332">
        <v>0</v>
      </c>
      <c r="H381" s="332">
        <v>0</v>
      </c>
      <c r="I381" s="332">
        <v>0</v>
      </c>
      <c r="J381" s="332">
        <v>0</v>
      </c>
      <c r="K381" s="332">
        <v>0</v>
      </c>
      <c r="L381" s="332">
        <v>0</v>
      </c>
      <c r="M381" s="332">
        <v>0</v>
      </c>
      <c r="N381" s="332">
        <v>0</v>
      </c>
      <c r="O381" s="333">
        <v>1</v>
      </c>
      <c r="P381" s="284"/>
      <c r="Q381" s="284">
        <f t="shared" si="10"/>
        <v>0</v>
      </c>
      <c r="R381" s="3" t="str">
        <f>_xlfn.IFNA(VLOOKUP(Tabella1[[#This Row],[Nome]],'ROSE SQUADRE'!$N$3:$O$253,2,0),"")</f>
        <v>TRICCHETRACHT</v>
      </c>
      <c r="S381" s="193">
        <f>SUM(Tabella1[[#This Row],[Gf]],Tabella1[[#This Row],[Rf]])</f>
        <v>0</v>
      </c>
      <c r="T381" s="193"/>
      <c r="U381" s="285" t="str">
        <f>IF(Tabella1[[#This Row],[N° FantaTit]]="","",Tabella1[[#This Row],[fanta voto]])</f>
        <v/>
      </c>
      <c r="V381" s="193">
        <f>SUM(Tabella1[[#This Row],[Voto]],(G381*3),Q381,P381,O381,-(N381),(-M381/2),(-L381*2),(-H381),(I381*3),(-J381*3),(K381*3))</f>
        <v>8</v>
      </c>
      <c r="W381" s="193"/>
      <c r="X381" s="193" t="str">
        <f>IF(Tabella1[[#This Row],[Best 11]]=1,Tabella1[[#This Row],[fanta voto]],"")</f>
        <v/>
      </c>
      <c r="Z381" s="193" t="str">
        <f>IF(Tabella1[[#This Row],[Best 11 MOD]]=1,Tabella1[[#This Row],[fanta voto]],"")</f>
        <v/>
      </c>
      <c r="AA381" t="str">
        <f>CONCATENATE(Tabella1[[#This Row],[GG]],Tabella1[[#This Row],[Nome]])</f>
        <v>2Calò</v>
      </c>
      <c r="AB381" t="str">
        <f t="shared" si="11"/>
        <v>2TRICCHETRACHT</v>
      </c>
      <c r="AC381" t="str">
        <f>_xlfn.CONCAT(Tabella1[[#This Row],[Ruolo]],Tabella1[[#This Row],[Gs]])</f>
        <v>C0</v>
      </c>
    </row>
    <row r="382" spans="1:29" hidden="1" x14ac:dyDescent="0.3">
      <c r="A382" s="14">
        <v>46261</v>
      </c>
      <c r="B382" s="15">
        <v>2</v>
      </c>
      <c r="C382" s="321" t="s">
        <v>721</v>
      </c>
      <c r="D382" s="330" t="s">
        <v>162</v>
      </c>
      <c r="E382" s="330" t="s">
        <v>744</v>
      </c>
      <c r="F382" s="331">
        <v>6.5</v>
      </c>
      <c r="G382" s="332">
        <v>0</v>
      </c>
      <c r="H382" s="332">
        <v>0</v>
      </c>
      <c r="I382" s="332">
        <v>0</v>
      </c>
      <c r="J382" s="332">
        <v>0</v>
      </c>
      <c r="K382" s="332">
        <v>0</v>
      </c>
      <c r="L382" s="332">
        <v>0</v>
      </c>
      <c r="M382" s="332">
        <v>0</v>
      </c>
      <c r="N382" s="332">
        <v>0</v>
      </c>
      <c r="O382" s="332">
        <v>0</v>
      </c>
      <c r="P382" s="284"/>
      <c r="Q382" s="284">
        <f t="shared" si="10"/>
        <v>0</v>
      </c>
      <c r="R382" s="3" t="str">
        <f>_xlfn.IFNA(VLOOKUP(Tabella1[[#This Row],[Nome]],'ROSE SQUADRE'!$N$3:$O$253,2,0),"")</f>
        <v/>
      </c>
      <c r="S382" s="193">
        <f>SUM(Tabella1[[#This Row],[Gf]],Tabella1[[#This Row],[Rf]])</f>
        <v>0</v>
      </c>
      <c r="T382" s="193"/>
      <c r="U382" s="285" t="str">
        <f>IF(Tabella1[[#This Row],[N° FantaTit]]="","",Tabella1[[#This Row],[fanta voto]])</f>
        <v/>
      </c>
      <c r="V382" s="193">
        <f>SUM(Tabella1[[#This Row],[Voto]],(G382*3),Q382,P382,O382,-(N382),(-M382/2),(-L382*2),(-H382),(I382*3),(-J382*3),(K382*3))</f>
        <v>6.5</v>
      </c>
      <c r="W382" s="193"/>
      <c r="X382" s="193" t="str">
        <f>IF(Tabella1[[#This Row],[Best 11]]=1,Tabella1[[#This Row],[fanta voto]],"")</f>
        <v/>
      </c>
      <c r="Z382" s="193" t="str">
        <f>IF(Tabella1[[#This Row],[Best 11 MOD]]=1,Tabella1[[#This Row],[fanta voto]],"")</f>
        <v/>
      </c>
      <c r="AA382" t="str">
        <f>CONCATENATE(Tabella1[[#This Row],[GG]],Tabella1[[#This Row],[Nome]])</f>
        <v>2Schmid</v>
      </c>
      <c r="AB382" t="str">
        <f t="shared" si="11"/>
        <v>2</v>
      </c>
      <c r="AC382" t="str">
        <f>_xlfn.CONCAT(Tabella1[[#This Row],[Ruolo]],Tabella1[[#This Row],[Gs]])</f>
        <v>C0</v>
      </c>
    </row>
    <row r="383" spans="1:29" hidden="1" x14ac:dyDescent="0.3">
      <c r="A383" s="14">
        <v>46261</v>
      </c>
      <c r="B383" s="15">
        <v>2</v>
      </c>
      <c r="C383" s="321" t="s">
        <v>721</v>
      </c>
      <c r="D383" t="s">
        <v>163</v>
      </c>
      <c r="E383" t="s">
        <v>591</v>
      </c>
      <c r="F383" s="194">
        <v>8</v>
      </c>
      <c r="G383" s="329">
        <v>2</v>
      </c>
      <c r="H383" s="328">
        <v>0</v>
      </c>
      <c r="I383" s="328">
        <v>0</v>
      </c>
      <c r="J383" s="328">
        <v>0</v>
      </c>
      <c r="K383" s="328">
        <v>0</v>
      </c>
      <c r="L383" s="328">
        <v>0</v>
      </c>
      <c r="M383" s="329">
        <v>1</v>
      </c>
      <c r="N383" s="328">
        <v>0</v>
      </c>
      <c r="O383" s="328">
        <v>0</v>
      </c>
      <c r="P383" s="284">
        <v>1</v>
      </c>
      <c r="Q383" s="284">
        <f t="shared" si="10"/>
        <v>0</v>
      </c>
      <c r="R383" s="3" t="str">
        <f>_xlfn.IFNA(VLOOKUP(Tabella1[[#This Row],[Nome]],'ROSE SQUADRE'!$N$3:$O$253,2,0),"")</f>
        <v>SESTO ASENSIO</v>
      </c>
      <c r="S383" s="193">
        <f>SUM(Tabella1[[#This Row],[Gf]],Tabella1[[#This Row],[Rf]])</f>
        <v>2</v>
      </c>
      <c r="T383" s="193"/>
      <c r="U383" s="285" t="str">
        <f>IF(Tabella1[[#This Row],[N° FantaTit]]="","",Tabella1[[#This Row],[fanta voto]])</f>
        <v/>
      </c>
      <c r="V383" s="193">
        <f>SUM(Tabella1[[#This Row],[Voto]],(G383*3),Q383,P383,O383,-(N383),(-M383/2),(-L383*2),(-H383),(I383*3),(-J383*3),(K383*3))</f>
        <v>14.5</v>
      </c>
      <c r="W383" s="193"/>
      <c r="X383" s="193" t="str">
        <f>IF(Tabella1[[#This Row],[Best 11]]=1,Tabella1[[#This Row],[fanta voto]],"")</f>
        <v/>
      </c>
      <c r="Z383" s="193" t="str">
        <f>IF(Tabella1[[#This Row],[Best 11 MOD]]=1,Tabella1[[#This Row],[fanta voto]],"")</f>
        <v/>
      </c>
      <c r="AA383" t="str">
        <f>CONCATENATE(Tabella1[[#This Row],[GG]],Tabella1[[#This Row],[Nome]])</f>
        <v>2Raimondo</v>
      </c>
      <c r="AB383" t="str">
        <f t="shared" si="11"/>
        <v>2SESTO ASENSIO</v>
      </c>
      <c r="AC383" t="str">
        <f>_xlfn.CONCAT(Tabella1[[#This Row],[Ruolo]],Tabella1[[#This Row],[Gs]])</f>
        <v>A0</v>
      </c>
    </row>
    <row r="384" spans="1:29" hidden="1" x14ac:dyDescent="0.3">
      <c r="A384" s="14">
        <v>46261</v>
      </c>
      <c r="B384" s="15">
        <v>2</v>
      </c>
      <c r="C384" s="321" t="s">
        <v>721</v>
      </c>
      <c r="D384" s="330" t="s">
        <v>163</v>
      </c>
      <c r="E384" s="330" t="s">
        <v>747</v>
      </c>
      <c r="F384" s="331">
        <v>7.5</v>
      </c>
      <c r="G384" s="332">
        <v>0</v>
      </c>
      <c r="H384" s="332">
        <v>0</v>
      </c>
      <c r="I384" s="332">
        <v>0</v>
      </c>
      <c r="J384" s="332">
        <v>0</v>
      </c>
      <c r="K384" s="332">
        <v>0</v>
      </c>
      <c r="L384" s="332">
        <v>0</v>
      </c>
      <c r="M384" s="332">
        <v>0</v>
      </c>
      <c r="N384" s="332">
        <v>0</v>
      </c>
      <c r="O384" s="333">
        <v>1</v>
      </c>
      <c r="P384" s="284"/>
      <c r="Q384" s="284">
        <f t="shared" si="10"/>
        <v>0</v>
      </c>
      <c r="R384" s="3" t="str">
        <f>_xlfn.IFNA(VLOOKUP(Tabella1[[#This Row],[Nome]],'ROSE SQUADRE'!$N$3:$O$253,2,0),"")</f>
        <v>PARTIZAN DEGRADO</v>
      </c>
      <c r="S384" s="193">
        <f>SUM(Tabella1[[#This Row],[Gf]],Tabella1[[#This Row],[Rf]])</f>
        <v>0</v>
      </c>
      <c r="T384" s="193"/>
      <c r="U384" s="285" t="str">
        <f>IF(Tabella1[[#This Row],[N° FantaTit]]="","",Tabella1[[#This Row],[fanta voto]])</f>
        <v/>
      </c>
      <c r="V384" s="193">
        <f>SUM(Tabella1[[#This Row],[Voto]],(G384*3),Q384,P384,O384,-(N384),(-M384/2),(-L384*2),(-H384),(I384*3),(-J384*3),(K384*3))</f>
        <v>8.5</v>
      </c>
      <c r="W384" s="193"/>
      <c r="X384" s="193" t="str">
        <f>IF(Tabella1[[#This Row],[Best 11]]=1,Tabella1[[#This Row],[fanta voto]],"")</f>
        <v/>
      </c>
      <c r="Z384" s="193" t="str">
        <f>IF(Tabella1[[#This Row],[Best 11 MOD]]=1,Tabella1[[#This Row],[fanta voto]],"")</f>
        <v/>
      </c>
      <c r="AA384" t="str">
        <f>CONCATENATE(Tabella1[[#This Row],[GG]],Tabella1[[#This Row],[Nome]])</f>
        <v>2Kvernadze</v>
      </c>
      <c r="AB384" t="str">
        <f t="shared" si="11"/>
        <v>2PARTIZAN DEGRADO</v>
      </c>
      <c r="AC384" t="str">
        <f>_xlfn.CONCAT(Tabella1[[#This Row],[Ruolo]],Tabella1[[#This Row],[Gs]])</f>
        <v>A0</v>
      </c>
    </row>
    <row r="385" spans="1:29" hidden="1" x14ac:dyDescent="0.3">
      <c r="A385" s="14">
        <v>46261</v>
      </c>
      <c r="B385" s="15">
        <v>2</v>
      </c>
      <c r="C385" s="321" t="s">
        <v>749</v>
      </c>
      <c r="D385" t="s">
        <v>5</v>
      </c>
      <c r="E385" t="s">
        <v>748</v>
      </c>
      <c r="F385" s="194">
        <v>5</v>
      </c>
      <c r="G385" s="328">
        <v>0</v>
      </c>
      <c r="H385" s="329">
        <v>1</v>
      </c>
      <c r="I385" s="328">
        <v>0</v>
      </c>
      <c r="J385" s="328">
        <v>0</v>
      </c>
      <c r="K385" s="328">
        <v>0</v>
      </c>
      <c r="L385" s="328">
        <v>0</v>
      </c>
      <c r="M385" s="328">
        <v>0</v>
      </c>
      <c r="N385" s="328">
        <v>0</v>
      </c>
      <c r="O385" s="328">
        <v>0</v>
      </c>
      <c r="P385" s="284"/>
      <c r="Q385" s="284">
        <f t="shared" si="10"/>
        <v>0</v>
      </c>
      <c r="R385" s="3" t="str">
        <f>_xlfn.IFNA(VLOOKUP(Tabella1[[#This Row],[Nome]],'ROSE SQUADRE'!$N$3:$O$253,2,0),"")</f>
        <v>AS PIPPERIA</v>
      </c>
      <c r="S385" s="193">
        <f>SUM(Tabella1[[#This Row],[Gf]],Tabella1[[#This Row],[Rf]])</f>
        <v>0</v>
      </c>
      <c r="T385" s="193"/>
      <c r="U385" s="285" t="str">
        <f>IF(Tabella1[[#This Row],[N° FantaTit]]="","",Tabella1[[#This Row],[fanta voto]])</f>
        <v/>
      </c>
      <c r="V385" s="193">
        <f>SUM(Tabella1[[#This Row],[Voto]],(G385*3),Q385,P385,O385,-(N385),(-M385/2),(-L385*2),(-H385),(I385*3),(-J385*3),(K385*3))</f>
        <v>4</v>
      </c>
      <c r="W385" s="193"/>
      <c r="X385" s="193" t="str">
        <f>IF(Tabella1[[#This Row],[Best 11]]=1,Tabella1[[#This Row],[fanta voto]],"")</f>
        <v/>
      </c>
      <c r="Z385" s="193" t="str">
        <f>IF(Tabella1[[#This Row],[Best 11 MOD]]=1,Tabella1[[#This Row],[fanta voto]],"")</f>
        <v/>
      </c>
      <c r="AA385" t="str">
        <f>CONCATENATE(Tabella1[[#This Row],[GG]],Tabella1[[#This Row],[Nome]])</f>
        <v>2Bijlow</v>
      </c>
      <c r="AB385" t="str">
        <f t="shared" si="11"/>
        <v>2AS PIPPERIA</v>
      </c>
      <c r="AC385" t="str">
        <f>_xlfn.CONCAT(Tabella1[[#This Row],[Ruolo]],Tabella1[[#This Row],[Gs]])</f>
        <v>P1</v>
      </c>
    </row>
    <row r="386" spans="1:29" hidden="1" x14ac:dyDescent="0.3">
      <c r="A386" s="14">
        <v>46261</v>
      </c>
      <c r="B386" s="15">
        <v>2</v>
      </c>
      <c r="C386" s="321" t="s">
        <v>749</v>
      </c>
      <c r="D386" s="330" t="s">
        <v>161</v>
      </c>
      <c r="E386" s="330" t="s">
        <v>213</v>
      </c>
      <c r="F386" s="331">
        <v>6</v>
      </c>
      <c r="G386" s="332">
        <v>0</v>
      </c>
      <c r="H386" s="332">
        <v>0</v>
      </c>
      <c r="I386" s="332">
        <v>0</v>
      </c>
      <c r="J386" s="332">
        <v>0</v>
      </c>
      <c r="K386" s="332">
        <v>0</v>
      </c>
      <c r="L386" s="332">
        <v>0</v>
      </c>
      <c r="M386" s="332">
        <v>0</v>
      </c>
      <c r="N386" s="332">
        <v>0</v>
      </c>
      <c r="O386" s="332">
        <v>0</v>
      </c>
      <c r="P386" s="284"/>
      <c r="Q386" s="284">
        <f t="shared" si="10"/>
        <v>0</v>
      </c>
      <c r="R386" s="3" t="str">
        <f>_xlfn.IFNA(VLOOKUP(Tabella1[[#This Row],[Nome]],'ROSE SQUADRE'!$N$3:$O$253,2,0),"")</f>
        <v>AC ASPARAGHESE</v>
      </c>
      <c r="S386" s="193">
        <f>SUM(Tabella1[[#This Row],[Gf]],Tabella1[[#This Row],[Rf]])</f>
        <v>0</v>
      </c>
      <c r="T386" s="193"/>
      <c r="U386" s="285" t="str">
        <f>IF(Tabella1[[#This Row],[N° FantaTit]]="","",Tabella1[[#This Row],[fanta voto]])</f>
        <v/>
      </c>
      <c r="V386" s="193">
        <f>SUM(Tabella1[[#This Row],[Voto]],(G386*3),Q386,P386,O386,-(N386),(-M386/2),(-L386*2),(-H386),(I386*3),(-J386*3),(K386*3))</f>
        <v>6</v>
      </c>
      <c r="W386" s="193"/>
      <c r="X386" s="193" t="str">
        <f>IF(Tabella1[[#This Row],[Best 11]]=1,Tabella1[[#This Row],[fanta voto]],"")</f>
        <v/>
      </c>
      <c r="Z386" s="193" t="str">
        <f>IF(Tabella1[[#This Row],[Best 11 MOD]]=1,Tabella1[[#This Row],[fanta voto]],"")</f>
        <v/>
      </c>
      <c r="AA386" t="str">
        <f>CONCATENATE(Tabella1[[#This Row],[GG]],Tabella1[[#This Row],[Nome]])</f>
        <v>2Vasquez</v>
      </c>
      <c r="AB386" t="str">
        <f t="shared" si="11"/>
        <v>2AC ASPARAGHESE</v>
      </c>
      <c r="AC386" t="str">
        <f>_xlfn.CONCAT(Tabella1[[#This Row],[Ruolo]],Tabella1[[#This Row],[Gs]])</f>
        <v>D0</v>
      </c>
    </row>
    <row r="387" spans="1:29" hidden="1" x14ac:dyDescent="0.3">
      <c r="A387" s="14">
        <v>46261</v>
      </c>
      <c r="B387" s="15">
        <v>2</v>
      </c>
      <c r="C387" s="321" t="s">
        <v>749</v>
      </c>
      <c r="D387" t="s">
        <v>161</v>
      </c>
      <c r="E387" t="s">
        <v>756</v>
      </c>
      <c r="F387" s="194">
        <v>6</v>
      </c>
      <c r="G387" s="328">
        <v>0</v>
      </c>
      <c r="H387" s="328">
        <v>0</v>
      </c>
      <c r="I387" s="328">
        <v>0</v>
      </c>
      <c r="J387" s="328">
        <v>0</v>
      </c>
      <c r="K387" s="328">
        <v>0</v>
      </c>
      <c r="L387" s="328">
        <v>0</v>
      </c>
      <c r="M387" s="329">
        <v>1</v>
      </c>
      <c r="N387" s="328">
        <v>0</v>
      </c>
      <c r="O387" s="328">
        <v>0</v>
      </c>
      <c r="P387" s="284"/>
      <c r="Q387" s="284">
        <f t="shared" si="10"/>
        <v>0</v>
      </c>
      <c r="R387" s="3" t="str">
        <f>_xlfn.IFNA(VLOOKUP(Tabella1[[#This Row],[Nome]],'ROSE SQUADRE'!$N$3:$O$253,2,0),"")</f>
        <v>SHARK</v>
      </c>
      <c r="S387" s="193">
        <f>SUM(Tabella1[[#This Row],[Gf]],Tabella1[[#This Row],[Rf]])</f>
        <v>0</v>
      </c>
      <c r="T387" s="193"/>
      <c r="U387" s="285" t="str">
        <f>IF(Tabella1[[#This Row],[N° FantaTit]]="","",Tabella1[[#This Row],[fanta voto]])</f>
        <v/>
      </c>
      <c r="V387" s="193">
        <f>SUM(Tabella1[[#This Row],[Voto]],(G387*3),Q387,P387,O387,-(N387),(-M387/2),(-L387*2),(-H387),(I387*3),(-J387*3),(K387*3))</f>
        <v>5.5</v>
      </c>
      <c r="W387" s="193"/>
      <c r="X387" s="193" t="str">
        <f>IF(Tabella1[[#This Row],[Best 11]]=1,Tabella1[[#This Row],[fanta voto]],"")</f>
        <v/>
      </c>
      <c r="Z387" s="193" t="str">
        <f>IF(Tabella1[[#This Row],[Best 11 MOD]]=1,Tabella1[[#This Row],[fanta voto]],"")</f>
        <v/>
      </c>
      <c r="AA387" t="str">
        <f>CONCATENATE(Tabella1[[#This Row],[GG]],Tabella1[[#This Row],[Nome]])</f>
        <v>2Ostigard</v>
      </c>
      <c r="AB387" t="str">
        <f t="shared" si="11"/>
        <v>2SHARK</v>
      </c>
      <c r="AC387" t="str">
        <f>_xlfn.CONCAT(Tabella1[[#This Row],[Ruolo]],Tabella1[[#This Row],[Gs]])</f>
        <v>D0</v>
      </c>
    </row>
    <row r="388" spans="1:29" hidden="1" x14ac:dyDescent="0.3">
      <c r="A388" s="14">
        <v>46261</v>
      </c>
      <c r="B388" s="15">
        <v>2</v>
      </c>
      <c r="C388" s="321" t="s">
        <v>749</v>
      </c>
      <c r="D388" s="330" t="s">
        <v>161</v>
      </c>
      <c r="E388" s="330" t="s">
        <v>752</v>
      </c>
      <c r="F388" s="331">
        <v>5.5</v>
      </c>
      <c r="G388" s="332">
        <v>0</v>
      </c>
      <c r="H388" s="332">
        <v>0</v>
      </c>
      <c r="I388" s="332">
        <v>0</v>
      </c>
      <c r="J388" s="332">
        <v>0</v>
      </c>
      <c r="K388" s="332">
        <v>0</v>
      </c>
      <c r="L388" s="332">
        <v>0</v>
      </c>
      <c r="M388" s="332">
        <v>0</v>
      </c>
      <c r="N388" s="332">
        <v>0</v>
      </c>
      <c r="O388" s="332">
        <v>0</v>
      </c>
      <c r="P388" s="284"/>
      <c r="Q388" s="284">
        <f t="shared" si="10"/>
        <v>0</v>
      </c>
      <c r="R388" s="3" t="str">
        <f>_xlfn.IFNA(VLOOKUP(Tabella1[[#This Row],[Nome]],'ROSE SQUADRE'!$N$3:$O$253,2,0),"")</f>
        <v>AS PIPPERIA</v>
      </c>
      <c r="S388" s="193">
        <f>SUM(Tabella1[[#This Row],[Gf]],Tabella1[[#This Row],[Rf]])</f>
        <v>0</v>
      </c>
      <c r="T388" s="193"/>
      <c r="U388" s="285" t="str">
        <f>IF(Tabella1[[#This Row],[N° FantaTit]]="","",Tabella1[[#This Row],[fanta voto]])</f>
        <v/>
      </c>
      <c r="V388" s="193">
        <f>SUM(Tabella1[[#This Row],[Voto]],(G388*3),Q388,P388,O388,-(N388),(-M388/2),(-L388*2),(-H388),(I388*3),(-J388*3),(K388*3))</f>
        <v>5.5</v>
      </c>
      <c r="W388" s="193"/>
      <c r="X388" s="193" t="str">
        <f>IF(Tabella1[[#This Row],[Best 11]]=1,Tabella1[[#This Row],[fanta voto]],"")</f>
        <v/>
      </c>
      <c r="Z388" s="193" t="str">
        <f>IF(Tabella1[[#This Row],[Best 11 MOD]]=1,Tabella1[[#This Row],[fanta voto]],"")</f>
        <v/>
      </c>
      <c r="AA388" t="str">
        <f>CONCATENATE(Tabella1[[#This Row],[GG]],Tabella1[[#This Row],[Nome]])</f>
        <v>2Marcandalli</v>
      </c>
      <c r="AB388" t="str">
        <f t="shared" si="11"/>
        <v>2AS PIPPERIA</v>
      </c>
      <c r="AC388" t="str">
        <f>_xlfn.CONCAT(Tabella1[[#This Row],[Ruolo]],Tabella1[[#This Row],[Gs]])</f>
        <v>D0</v>
      </c>
    </row>
    <row r="389" spans="1:29" hidden="1" x14ac:dyDescent="0.3">
      <c r="A389" s="14">
        <v>46261</v>
      </c>
      <c r="B389" s="15">
        <v>2</v>
      </c>
      <c r="C389" s="321" t="s">
        <v>749</v>
      </c>
      <c r="D389" t="s">
        <v>161</v>
      </c>
      <c r="E389" t="s">
        <v>755</v>
      </c>
      <c r="F389" s="194">
        <v>5.5</v>
      </c>
      <c r="G389" s="328">
        <v>0</v>
      </c>
      <c r="H389" s="328">
        <v>0</v>
      </c>
      <c r="I389" s="328">
        <v>0</v>
      </c>
      <c r="J389" s="328">
        <v>0</v>
      </c>
      <c r="K389" s="328">
        <v>0</v>
      </c>
      <c r="L389" s="328">
        <v>0</v>
      </c>
      <c r="M389" s="328">
        <v>0</v>
      </c>
      <c r="N389" s="328">
        <v>0</v>
      </c>
      <c r="O389" s="328">
        <v>0</v>
      </c>
      <c r="P389" s="284"/>
      <c r="Q389" s="284">
        <f t="shared" si="10"/>
        <v>0</v>
      </c>
      <c r="R389" s="3" t="str">
        <f>_xlfn.IFNA(VLOOKUP(Tabella1[[#This Row],[Nome]],'ROSE SQUADRE'!$N$3:$O$253,2,0),"")</f>
        <v/>
      </c>
      <c r="S389" s="193">
        <f>SUM(Tabella1[[#This Row],[Gf]],Tabella1[[#This Row],[Rf]])</f>
        <v>0</v>
      </c>
      <c r="T389" s="193"/>
      <c r="U389" s="285" t="str">
        <f>IF(Tabella1[[#This Row],[N° FantaTit]]="","",Tabella1[[#This Row],[fanta voto]])</f>
        <v/>
      </c>
      <c r="V389" s="193">
        <f>SUM(Tabella1[[#This Row],[Voto]],(G389*3),Q389,P389,O389,-(N389),(-M389/2),(-L389*2),(-H389),(I389*3),(-J389*3),(K389*3))</f>
        <v>5.5</v>
      </c>
      <c r="W389" s="193"/>
      <c r="X389" s="193" t="str">
        <f>IF(Tabella1[[#This Row],[Best 11]]=1,Tabella1[[#This Row],[fanta voto]],"")</f>
        <v/>
      </c>
      <c r="Z389" s="193" t="str">
        <f>IF(Tabella1[[#This Row],[Best 11 MOD]]=1,Tabella1[[#This Row],[fanta voto]],"")</f>
        <v/>
      </c>
      <c r="AA389" t="str">
        <f>CONCATENATE(Tabella1[[#This Row],[GG]],Tabella1[[#This Row],[Nome]])</f>
        <v>2Norton-Cuffy</v>
      </c>
      <c r="AB389" t="str">
        <f t="shared" si="11"/>
        <v>2</v>
      </c>
      <c r="AC389" t="str">
        <f>_xlfn.CONCAT(Tabella1[[#This Row],[Ruolo]],Tabella1[[#This Row],[Gs]])</f>
        <v>D0</v>
      </c>
    </row>
    <row r="390" spans="1:29" hidden="1" x14ac:dyDescent="0.3">
      <c r="A390" s="14">
        <v>46261</v>
      </c>
      <c r="B390" s="15">
        <v>2</v>
      </c>
      <c r="C390" s="321" t="s">
        <v>749</v>
      </c>
      <c r="D390" s="330" t="s">
        <v>162</v>
      </c>
      <c r="E390" s="330" t="s">
        <v>206</v>
      </c>
      <c r="F390" s="331">
        <v>6</v>
      </c>
      <c r="G390" s="332">
        <v>0</v>
      </c>
      <c r="H390" s="332">
        <v>0</v>
      </c>
      <c r="I390" s="332">
        <v>0</v>
      </c>
      <c r="J390" s="332">
        <v>0</v>
      </c>
      <c r="K390" s="332">
        <v>0</v>
      </c>
      <c r="L390" s="332">
        <v>0</v>
      </c>
      <c r="M390" s="332">
        <v>0</v>
      </c>
      <c r="N390" s="332">
        <v>0</v>
      </c>
      <c r="O390" s="332">
        <v>0</v>
      </c>
      <c r="P390" s="284"/>
      <c r="Q390" s="284">
        <f t="shared" si="10"/>
        <v>0</v>
      </c>
      <c r="R390" s="3" t="str">
        <f>_xlfn.IFNA(VLOOKUP(Tabella1[[#This Row],[Nome]],'ROSE SQUADRE'!$N$3:$O$253,2,0),"")</f>
        <v/>
      </c>
      <c r="S390" s="193">
        <f>SUM(Tabella1[[#This Row],[Gf]],Tabella1[[#This Row],[Rf]])</f>
        <v>0</v>
      </c>
      <c r="T390" s="193"/>
      <c r="U390" s="285" t="str">
        <f>IF(Tabella1[[#This Row],[N° FantaTit]]="","",Tabella1[[#This Row],[fanta voto]])</f>
        <v/>
      </c>
      <c r="V390" s="193">
        <f>SUM(Tabella1[[#This Row],[Voto]],(G390*3),Q390,P390,O390,-(N390),(-M390/2),(-L390*2),(-H390),(I390*3),(-J390*3),(K390*3))</f>
        <v>6</v>
      </c>
      <c r="W390" s="193"/>
      <c r="X390" s="193" t="str">
        <f>IF(Tabella1[[#This Row],[Best 11]]=1,Tabella1[[#This Row],[fanta voto]],"")</f>
        <v/>
      </c>
      <c r="Z390" s="193" t="str">
        <f>IF(Tabella1[[#This Row],[Best 11 MOD]]=1,Tabella1[[#This Row],[fanta voto]],"")</f>
        <v/>
      </c>
      <c r="AA390" t="str">
        <f>CONCATENATE(Tabella1[[#This Row],[GG]],Tabella1[[#This Row],[Nome]])</f>
        <v>2Messias</v>
      </c>
      <c r="AB390" t="str">
        <f t="shared" si="11"/>
        <v>2</v>
      </c>
      <c r="AC390" t="str">
        <f>_xlfn.CONCAT(Tabella1[[#This Row],[Ruolo]],Tabella1[[#This Row],[Gs]])</f>
        <v>C0</v>
      </c>
    </row>
    <row r="391" spans="1:29" hidden="1" x14ac:dyDescent="0.3">
      <c r="A391" s="14">
        <v>46261</v>
      </c>
      <c r="B391" s="15">
        <v>2</v>
      </c>
      <c r="C391" s="321" t="s">
        <v>749</v>
      </c>
      <c r="D391" t="s">
        <v>162</v>
      </c>
      <c r="E391" t="s">
        <v>448</v>
      </c>
      <c r="F391" s="194">
        <v>6</v>
      </c>
      <c r="G391" s="328">
        <v>0</v>
      </c>
      <c r="H391" s="328">
        <v>0</v>
      </c>
      <c r="I391" s="328">
        <v>0</v>
      </c>
      <c r="J391" s="328">
        <v>0</v>
      </c>
      <c r="K391" s="328">
        <v>0</v>
      </c>
      <c r="L391" s="328">
        <v>0</v>
      </c>
      <c r="M391" s="328">
        <v>0</v>
      </c>
      <c r="N391" s="328">
        <v>0</v>
      </c>
      <c r="O391" s="328">
        <v>0</v>
      </c>
      <c r="P391" s="284"/>
      <c r="Q391" s="284">
        <f t="shared" si="10"/>
        <v>0</v>
      </c>
      <c r="R391" s="3" t="str">
        <f>_xlfn.IFNA(VLOOKUP(Tabella1[[#This Row],[Nome]],'ROSE SQUADRE'!$N$3:$O$253,2,0),"")</f>
        <v>SAN GRIA</v>
      </c>
      <c r="S391" s="193">
        <f>SUM(Tabella1[[#This Row],[Gf]],Tabella1[[#This Row],[Rf]])</f>
        <v>0</v>
      </c>
      <c r="T391" s="193"/>
      <c r="U391" s="285" t="str">
        <f>IF(Tabella1[[#This Row],[N° FantaTit]]="","",Tabella1[[#This Row],[fanta voto]])</f>
        <v/>
      </c>
      <c r="V391" s="193">
        <f>SUM(Tabella1[[#This Row],[Voto]],(G391*3),Q391,P391,O391,-(N391),(-M391/2),(-L391*2),(-H391),(I391*3),(-J391*3),(K391*3))</f>
        <v>6</v>
      </c>
      <c r="W391" s="193"/>
      <c r="X391" s="193" t="str">
        <f>IF(Tabella1[[#This Row],[Best 11]]=1,Tabella1[[#This Row],[fanta voto]],"")</f>
        <v/>
      </c>
      <c r="Z391" s="193" t="str">
        <f>IF(Tabella1[[#This Row],[Best 11 MOD]]=1,Tabella1[[#This Row],[fanta voto]],"")</f>
        <v/>
      </c>
      <c r="AA391" t="str">
        <f>CONCATENATE(Tabella1[[#This Row],[GG]],Tabella1[[#This Row],[Nome]])</f>
        <v>2Frendrup</v>
      </c>
      <c r="AB391" t="str">
        <f t="shared" si="11"/>
        <v>2SAN GRIA</v>
      </c>
      <c r="AC391" t="str">
        <f>_xlfn.CONCAT(Tabella1[[#This Row],[Ruolo]],Tabella1[[#This Row],[Gs]])</f>
        <v>C0</v>
      </c>
    </row>
    <row r="392" spans="1:29" hidden="1" x14ac:dyDescent="0.3">
      <c r="A392" s="14">
        <v>46261</v>
      </c>
      <c r="B392" s="15">
        <v>2</v>
      </c>
      <c r="C392" s="321" t="s">
        <v>749</v>
      </c>
      <c r="D392" s="330" t="s">
        <v>162</v>
      </c>
      <c r="E392" s="330" t="s">
        <v>320</v>
      </c>
      <c r="F392" s="331">
        <v>5.5</v>
      </c>
      <c r="G392" s="332">
        <v>0</v>
      </c>
      <c r="H392" s="332">
        <v>0</v>
      </c>
      <c r="I392" s="332">
        <v>0</v>
      </c>
      <c r="J392" s="332">
        <v>0</v>
      </c>
      <c r="K392" s="332">
        <v>0</v>
      </c>
      <c r="L392" s="332">
        <v>0</v>
      </c>
      <c r="M392" s="332">
        <v>0</v>
      </c>
      <c r="N392" s="332">
        <v>0</v>
      </c>
      <c r="O392" s="332">
        <v>0</v>
      </c>
      <c r="P392" s="284"/>
      <c r="Q392" s="284">
        <f t="shared" si="10"/>
        <v>0</v>
      </c>
      <c r="R392" s="3" t="str">
        <f>_xlfn.IFNA(VLOOKUP(Tabella1[[#This Row],[Nome]],'ROSE SQUADRE'!$N$3:$O$253,2,0),"")</f>
        <v>PARTIZAN DEGRADO</v>
      </c>
      <c r="S392" s="193">
        <f>SUM(Tabella1[[#This Row],[Gf]],Tabella1[[#This Row],[Rf]])</f>
        <v>0</v>
      </c>
      <c r="T392" s="193"/>
      <c r="U392" s="285" t="str">
        <f>IF(Tabella1[[#This Row],[N° FantaTit]]="","",Tabella1[[#This Row],[fanta voto]])</f>
        <v/>
      </c>
      <c r="V392" s="193">
        <f>SUM(Tabella1[[#This Row],[Voto]],(G392*3),Q392,P392,O392,-(N392),(-M392/2),(-L392*2),(-H392),(I392*3),(-J392*3),(K392*3))</f>
        <v>5.5</v>
      </c>
      <c r="W392" s="193"/>
      <c r="X392" s="193" t="str">
        <f>IF(Tabella1[[#This Row],[Best 11]]=1,Tabella1[[#This Row],[fanta voto]],"")</f>
        <v/>
      </c>
      <c r="Z392" s="193" t="str">
        <f>IF(Tabella1[[#This Row],[Best 11 MOD]]=1,Tabella1[[#This Row],[fanta voto]],"")</f>
        <v/>
      </c>
      <c r="AA392" t="str">
        <f>CONCATENATE(Tabella1[[#This Row],[GG]],Tabella1[[#This Row],[Nome]])</f>
        <v>2Baldanzi</v>
      </c>
      <c r="AB392" t="str">
        <f t="shared" si="11"/>
        <v>2PARTIZAN DEGRADO</v>
      </c>
      <c r="AC392" t="str">
        <f>_xlfn.CONCAT(Tabella1[[#This Row],[Ruolo]],Tabella1[[#This Row],[Gs]])</f>
        <v>C0</v>
      </c>
    </row>
    <row r="393" spans="1:29" hidden="1" x14ac:dyDescent="0.3">
      <c r="A393" s="14">
        <v>46261</v>
      </c>
      <c r="B393" s="15">
        <v>2</v>
      </c>
      <c r="C393" s="321" t="s">
        <v>749</v>
      </c>
      <c r="D393" t="s">
        <v>162</v>
      </c>
      <c r="E393" t="s">
        <v>761</v>
      </c>
      <c r="F393" s="194">
        <v>6</v>
      </c>
      <c r="G393" s="328">
        <v>0</v>
      </c>
      <c r="H393" s="328">
        <v>0</v>
      </c>
      <c r="I393" s="328">
        <v>0</v>
      </c>
      <c r="J393" s="328">
        <v>0</v>
      </c>
      <c r="K393" s="328">
        <v>0</v>
      </c>
      <c r="L393" s="328">
        <v>0</v>
      </c>
      <c r="M393" s="328">
        <v>0</v>
      </c>
      <c r="N393" s="328">
        <v>0</v>
      </c>
      <c r="O393" s="328">
        <v>0</v>
      </c>
      <c r="P393" s="284"/>
      <c r="Q393" s="284">
        <f t="shared" si="10"/>
        <v>0</v>
      </c>
      <c r="R393" s="3" t="str">
        <f>_xlfn.IFNA(VLOOKUP(Tabella1[[#This Row],[Nome]],'ROSE SQUADRE'!$N$3:$O$253,2,0),"")</f>
        <v/>
      </c>
      <c r="S393" s="193">
        <f>SUM(Tabella1[[#This Row],[Gf]],Tabella1[[#This Row],[Rf]])</f>
        <v>0</v>
      </c>
      <c r="T393" s="193"/>
      <c r="U393" s="285" t="str">
        <f>IF(Tabella1[[#This Row],[N° FantaTit]]="","",Tabella1[[#This Row],[fanta voto]])</f>
        <v/>
      </c>
      <c r="V393" s="193">
        <f>SUM(Tabella1[[#This Row],[Voto]],(G393*3),Q393,P393,O393,-(N393),(-M393/2),(-L393*2),(-H393),(I393*3),(-J393*3),(K393*3))</f>
        <v>6</v>
      </c>
      <c r="W393" s="193"/>
      <c r="X393" s="193" t="str">
        <f>IF(Tabella1[[#This Row],[Best 11]]=1,Tabella1[[#This Row],[fanta voto]],"")</f>
        <v/>
      </c>
      <c r="Z393" s="193" t="str">
        <f>IF(Tabella1[[#This Row],[Best 11 MOD]]=1,Tabella1[[#This Row],[fanta voto]],"")</f>
        <v/>
      </c>
      <c r="AA393" t="str">
        <f>CONCATENATE(Tabella1[[#This Row],[GG]],Tabella1[[#This Row],[Nome]])</f>
        <v>2Sow</v>
      </c>
      <c r="AB393" t="str">
        <f t="shared" si="11"/>
        <v>2</v>
      </c>
      <c r="AC393" t="str">
        <f>_xlfn.CONCAT(Tabella1[[#This Row],[Ruolo]],Tabella1[[#This Row],[Gs]])</f>
        <v>C0</v>
      </c>
    </row>
    <row r="394" spans="1:29" hidden="1" x14ac:dyDescent="0.3">
      <c r="A394" s="14">
        <v>46261</v>
      </c>
      <c r="B394" s="15">
        <v>2</v>
      </c>
      <c r="C394" s="321" t="s">
        <v>749</v>
      </c>
      <c r="D394" s="330" t="s">
        <v>162</v>
      </c>
      <c r="E394" s="330" t="s">
        <v>588</v>
      </c>
      <c r="F394" s="331">
        <v>5.5</v>
      </c>
      <c r="G394" s="332">
        <v>0</v>
      </c>
      <c r="H394" s="332">
        <v>0</v>
      </c>
      <c r="I394" s="332">
        <v>0</v>
      </c>
      <c r="J394" s="332">
        <v>0</v>
      </c>
      <c r="K394" s="332">
        <v>0</v>
      </c>
      <c r="L394" s="332">
        <v>0</v>
      </c>
      <c r="M394" s="332">
        <v>0</v>
      </c>
      <c r="N394" s="332">
        <v>0</v>
      </c>
      <c r="O394" s="332">
        <v>0</v>
      </c>
      <c r="P394" s="284"/>
      <c r="Q394" s="284">
        <f t="shared" si="10"/>
        <v>0</v>
      </c>
      <c r="R394" s="3" t="str">
        <f>_xlfn.IFNA(VLOOKUP(Tabella1[[#This Row],[Nome]],'ROSE SQUADRE'!$N$3:$O$253,2,0),"")</f>
        <v/>
      </c>
      <c r="S394" s="193">
        <f>SUM(Tabella1[[#This Row],[Gf]],Tabella1[[#This Row],[Rf]])</f>
        <v>0</v>
      </c>
      <c r="T394" s="193"/>
      <c r="U394" s="285" t="str">
        <f>IF(Tabella1[[#This Row],[N° FantaTit]]="","",Tabella1[[#This Row],[fanta voto]])</f>
        <v/>
      </c>
      <c r="V394" s="193">
        <f>SUM(Tabella1[[#This Row],[Voto]],(G394*3),Q394,P394,O394,-(N394),(-M394/2),(-L394*2),(-H394),(I394*3),(-J394*3),(K394*3))</f>
        <v>5.5</v>
      </c>
      <c r="W394" s="193"/>
      <c r="X394" s="193" t="str">
        <f>IF(Tabella1[[#This Row],[Best 11]]=1,Tabella1[[#This Row],[fanta voto]],"")</f>
        <v/>
      </c>
      <c r="Z394" s="193" t="str">
        <f>IF(Tabella1[[#This Row],[Best 11 MOD]]=1,Tabella1[[#This Row],[fanta voto]],"")</f>
        <v/>
      </c>
      <c r="AA394" t="str">
        <f>CONCATENATE(Tabella1[[#This Row],[GG]],Tabella1[[#This Row],[Nome]])</f>
        <v>2Ellertsson</v>
      </c>
      <c r="AB394" t="str">
        <f t="shared" si="11"/>
        <v>2</v>
      </c>
      <c r="AC394" t="str">
        <f>_xlfn.CONCAT(Tabella1[[#This Row],[Ruolo]],Tabella1[[#This Row],[Gs]])</f>
        <v>C0</v>
      </c>
    </row>
    <row r="395" spans="1:29" hidden="1" x14ac:dyDescent="0.3">
      <c r="A395" s="14">
        <v>46261</v>
      </c>
      <c r="B395" s="15">
        <v>2</v>
      </c>
      <c r="C395" s="321" t="s">
        <v>749</v>
      </c>
      <c r="D395" s="330" t="s">
        <v>162</v>
      </c>
      <c r="E395" s="330" t="s">
        <v>760</v>
      </c>
      <c r="F395" s="331">
        <v>5.5</v>
      </c>
      <c r="G395" s="332">
        <v>0</v>
      </c>
      <c r="H395" s="332">
        <v>0</v>
      </c>
      <c r="I395" s="332">
        <v>0</v>
      </c>
      <c r="J395" s="332">
        <v>0</v>
      </c>
      <c r="K395" s="332">
        <v>0</v>
      </c>
      <c r="L395" s="332">
        <v>0</v>
      </c>
      <c r="M395" s="332">
        <v>0</v>
      </c>
      <c r="N395" s="332">
        <v>0</v>
      </c>
      <c r="O395" s="332">
        <v>0</v>
      </c>
      <c r="P395" s="284"/>
      <c r="Q395" s="284">
        <f t="shared" si="10"/>
        <v>0</v>
      </c>
      <c r="R395" s="3" t="str">
        <f>_xlfn.IFNA(VLOOKUP(Tabella1[[#This Row],[Nome]],'ROSE SQUADRE'!$N$3:$O$253,2,0),"")</f>
        <v/>
      </c>
      <c r="S395" s="193">
        <f>SUM(Tabella1[[#This Row],[Gf]],Tabella1[[#This Row],[Rf]])</f>
        <v>0</v>
      </c>
      <c r="T395" s="193"/>
      <c r="U395" s="285" t="str">
        <f>IF(Tabella1[[#This Row],[N° FantaTit]]="","",Tabella1[[#This Row],[fanta voto]])</f>
        <v/>
      </c>
      <c r="V395" s="193">
        <f>SUM(Tabella1[[#This Row],[Voto]],(G395*3),Q395,P395,O395,-(N395),(-M395/2),(-L395*2),(-H395),(I395*3),(-J395*3),(K395*3))</f>
        <v>5.5</v>
      </c>
      <c r="W395" s="193"/>
      <c r="X395" s="193" t="str">
        <f>IF(Tabella1[[#This Row],[Best 11]]=1,Tabella1[[#This Row],[fanta voto]],"")</f>
        <v/>
      </c>
      <c r="Z395" s="193" t="str">
        <f>IF(Tabella1[[#This Row],[Best 11 MOD]]=1,Tabella1[[#This Row],[fanta voto]],"")</f>
        <v/>
      </c>
      <c r="AA395" t="str">
        <f>CONCATENATE(Tabella1[[#This Row],[GG]],Tabella1[[#This Row],[Nome]])</f>
        <v>2Meichtry</v>
      </c>
      <c r="AB395" t="str">
        <f t="shared" si="11"/>
        <v>2</v>
      </c>
      <c r="AC395" t="str">
        <f>_xlfn.CONCAT(Tabella1[[#This Row],[Ruolo]],Tabella1[[#This Row],[Gs]])</f>
        <v>C0</v>
      </c>
    </row>
    <row r="396" spans="1:29" hidden="1" x14ac:dyDescent="0.3">
      <c r="A396" s="14">
        <v>46261</v>
      </c>
      <c r="B396" s="15">
        <v>2</v>
      </c>
      <c r="C396" s="321" t="s">
        <v>749</v>
      </c>
      <c r="D396" t="s">
        <v>163</v>
      </c>
      <c r="E396" t="s">
        <v>227</v>
      </c>
      <c r="F396" s="194">
        <v>5.5</v>
      </c>
      <c r="G396" s="328">
        <v>0</v>
      </c>
      <c r="H396" s="328">
        <v>0</v>
      </c>
      <c r="I396" s="328">
        <v>0</v>
      </c>
      <c r="J396" s="328">
        <v>0</v>
      </c>
      <c r="K396" s="328">
        <v>0</v>
      </c>
      <c r="L396" s="328">
        <v>0</v>
      </c>
      <c r="M396" s="328">
        <v>0</v>
      </c>
      <c r="N396" s="328">
        <v>0</v>
      </c>
      <c r="O396" s="328">
        <v>0</v>
      </c>
      <c r="P396" s="284"/>
      <c r="Q396" s="284">
        <f t="shared" si="10"/>
        <v>0</v>
      </c>
      <c r="R396" s="3" t="str">
        <f>_xlfn.IFNA(VLOOKUP(Tabella1[[#This Row],[Nome]],'ROSE SQUADRE'!$N$3:$O$253,2,0),"")</f>
        <v>PARTIZAN DEGRADO</v>
      </c>
      <c r="S396" s="193">
        <f>SUM(Tabella1[[#This Row],[Gf]],Tabella1[[#This Row],[Rf]])</f>
        <v>0</v>
      </c>
      <c r="T396" s="193"/>
      <c r="U396" s="285" t="str">
        <f>IF(Tabella1[[#This Row],[N° FantaTit]]="","",Tabella1[[#This Row],[fanta voto]])</f>
        <v/>
      </c>
      <c r="V396" s="193">
        <f>SUM(Tabella1[[#This Row],[Voto]],(G396*3),Q396,P396,O396,-(N396),(-M396/2),(-L396*2),(-H396),(I396*3),(-J396*3),(K396*3))</f>
        <v>5.5</v>
      </c>
      <c r="W396" s="193"/>
      <c r="X396" s="193" t="str">
        <f>IF(Tabella1[[#This Row],[Best 11]]=1,Tabella1[[#This Row],[fanta voto]],"")</f>
        <v/>
      </c>
      <c r="Z396" s="193" t="str">
        <f>IF(Tabella1[[#This Row],[Best 11 MOD]]=1,Tabella1[[#This Row],[fanta voto]],"")</f>
        <v/>
      </c>
      <c r="AA396" t="str">
        <f>CONCATENATE(Tabella1[[#This Row],[GG]],Tabella1[[#This Row],[Nome]])</f>
        <v>2Colombo</v>
      </c>
      <c r="AB396" t="str">
        <f t="shared" si="11"/>
        <v>2PARTIZAN DEGRADO</v>
      </c>
      <c r="AC396" t="str">
        <f>_xlfn.CONCAT(Tabella1[[#This Row],[Ruolo]],Tabella1[[#This Row],[Gs]])</f>
        <v>A0</v>
      </c>
    </row>
    <row r="397" spans="1:29" hidden="1" x14ac:dyDescent="0.3">
      <c r="A397" s="14">
        <v>46261</v>
      </c>
      <c r="B397" s="15">
        <v>2</v>
      </c>
      <c r="C397" s="321" t="s">
        <v>749</v>
      </c>
      <c r="D397" s="330" t="s">
        <v>163</v>
      </c>
      <c r="E397" s="330" t="s">
        <v>529</v>
      </c>
      <c r="F397" s="331">
        <v>5.5</v>
      </c>
      <c r="G397" s="332">
        <v>0</v>
      </c>
      <c r="H397" s="332">
        <v>0</v>
      </c>
      <c r="I397" s="332">
        <v>0</v>
      </c>
      <c r="J397" s="332">
        <v>0</v>
      </c>
      <c r="K397" s="332">
        <v>0</v>
      </c>
      <c r="L397" s="332">
        <v>0</v>
      </c>
      <c r="M397" s="332">
        <v>0</v>
      </c>
      <c r="N397" s="332">
        <v>0</v>
      </c>
      <c r="O397" s="332">
        <v>0</v>
      </c>
      <c r="P397" s="284"/>
      <c r="Q397" s="284">
        <f t="shared" si="10"/>
        <v>0</v>
      </c>
      <c r="R397" s="3" t="str">
        <f>_xlfn.IFNA(VLOOKUP(Tabella1[[#This Row],[Nome]],'ROSE SQUADRE'!$N$3:$O$253,2,0),"")</f>
        <v/>
      </c>
      <c r="S397" s="193">
        <f>SUM(Tabella1[[#This Row],[Gf]],Tabella1[[#This Row],[Rf]])</f>
        <v>0</v>
      </c>
      <c r="T397" s="193"/>
      <c r="U397" s="285" t="str">
        <f>IF(Tabella1[[#This Row],[N° FantaTit]]="","",Tabella1[[#This Row],[fanta voto]])</f>
        <v/>
      </c>
      <c r="V397" s="193">
        <f>SUM(Tabella1[[#This Row],[Voto]],(G397*3),Q397,P397,O397,-(N397),(-M397/2),(-L397*2),(-H397),(I397*3),(-J397*3),(K397*3))</f>
        <v>5.5</v>
      </c>
      <c r="W397" s="193"/>
      <c r="X397" s="193" t="str">
        <f>IF(Tabella1[[#This Row],[Best 11]]=1,Tabella1[[#This Row],[fanta voto]],"")</f>
        <v/>
      </c>
      <c r="Z397" s="193" t="str">
        <f>IF(Tabella1[[#This Row],[Best 11 MOD]]=1,Tabella1[[#This Row],[fanta voto]],"")</f>
        <v/>
      </c>
      <c r="AA397" t="str">
        <f>CONCATENATE(Tabella1[[#This Row],[GG]],Tabella1[[#This Row],[Nome]])</f>
        <v>2Vitinha O.</v>
      </c>
      <c r="AB397" t="str">
        <f t="shared" si="11"/>
        <v>2</v>
      </c>
      <c r="AC397" t="str">
        <f>_xlfn.CONCAT(Tabella1[[#This Row],[Ruolo]],Tabella1[[#This Row],[Gs]])</f>
        <v>A0</v>
      </c>
    </row>
    <row r="398" spans="1:29" hidden="1" x14ac:dyDescent="0.3">
      <c r="A398" s="14">
        <v>46261</v>
      </c>
      <c r="B398" s="15">
        <v>2</v>
      </c>
      <c r="C398" s="321" t="s">
        <v>749</v>
      </c>
      <c r="D398" t="s">
        <v>163</v>
      </c>
      <c r="E398" t="s">
        <v>1014</v>
      </c>
      <c r="F398" s="194">
        <v>5.5</v>
      </c>
      <c r="G398" s="328">
        <v>0</v>
      </c>
      <c r="H398" s="328">
        <v>0</v>
      </c>
      <c r="I398" s="328">
        <v>0</v>
      </c>
      <c r="J398" s="328">
        <v>0</v>
      </c>
      <c r="K398" s="328">
        <v>0</v>
      </c>
      <c r="L398" s="328">
        <v>0</v>
      </c>
      <c r="M398" s="328">
        <v>0</v>
      </c>
      <c r="N398" s="328">
        <v>0</v>
      </c>
      <c r="O398" s="328">
        <v>0</v>
      </c>
      <c r="P398" s="284"/>
      <c r="Q398" s="284">
        <f t="shared" si="10"/>
        <v>0</v>
      </c>
      <c r="R398" s="3" t="str">
        <f>_xlfn.IFNA(VLOOKUP(Tabella1[[#This Row],[Nome]],'ROSE SQUADRE'!$N$3:$O$253,2,0),"")</f>
        <v>SAN GRIA</v>
      </c>
      <c r="S398" s="193">
        <f>SUM(Tabella1[[#This Row],[Gf]],Tabella1[[#This Row],[Rf]])</f>
        <v>0</v>
      </c>
      <c r="T398" s="193"/>
      <c r="U398" s="285" t="str">
        <f>IF(Tabella1[[#This Row],[N° FantaTit]]="","",Tabella1[[#This Row],[fanta voto]])</f>
        <v/>
      </c>
      <c r="V398" s="193">
        <f>SUM(Tabella1[[#This Row],[Voto]],(G398*3),Q398,P398,O398,-(N398),(-M398/2),(-L398*2),(-H398),(I398*3),(-J398*3),(K398*3))</f>
        <v>5.5</v>
      </c>
      <c r="W398" s="193"/>
      <c r="X398" s="193" t="str">
        <f>IF(Tabella1[[#This Row],[Best 11]]=1,Tabella1[[#This Row],[fanta voto]],"")</f>
        <v/>
      </c>
      <c r="Z398" s="193" t="str">
        <f>IF(Tabella1[[#This Row],[Best 11 MOD]]=1,Tabella1[[#This Row],[fanta voto]],"")</f>
        <v/>
      </c>
      <c r="AA398" t="str">
        <f>CONCATENATE(Tabella1[[#This Row],[GG]],Tabella1[[#This Row],[Nome]])</f>
        <v>2Osmajic</v>
      </c>
      <c r="AB398" t="str">
        <f t="shared" si="11"/>
        <v>2SAN GRIA</v>
      </c>
      <c r="AC398" t="str">
        <f>_xlfn.CONCAT(Tabella1[[#This Row],[Ruolo]],Tabella1[[#This Row],[Gs]])</f>
        <v>A0</v>
      </c>
    </row>
    <row r="399" spans="1:29" hidden="1" x14ac:dyDescent="0.3">
      <c r="A399" s="14">
        <v>46261</v>
      </c>
      <c r="B399" s="15">
        <v>2</v>
      </c>
      <c r="C399" s="321" t="s">
        <v>766</v>
      </c>
      <c r="D399" t="s">
        <v>5</v>
      </c>
      <c r="E399" t="s">
        <v>767</v>
      </c>
      <c r="F399" s="194">
        <v>6</v>
      </c>
      <c r="G399" s="328">
        <v>0</v>
      </c>
      <c r="H399" s="328">
        <v>0</v>
      </c>
      <c r="I399" s="328">
        <v>0</v>
      </c>
      <c r="J399" s="328">
        <v>0</v>
      </c>
      <c r="K399" s="328">
        <v>0</v>
      </c>
      <c r="L399" s="328">
        <v>0</v>
      </c>
      <c r="M399" s="328">
        <v>0</v>
      </c>
      <c r="N399" s="328">
        <v>0</v>
      </c>
      <c r="O399" s="328">
        <v>0</v>
      </c>
      <c r="P399" s="284"/>
      <c r="Q399" s="284">
        <f t="shared" si="10"/>
        <v>1</v>
      </c>
      <c r="R399" s="3" t="str">
        <f>_xlfn.IFNA(VLOOKUP(Tabella1[[#This Row],[Nome]],'ROSE SQUADRE'!$N$3:$O$253,2,0),"")</f>
        <v>FC INTERNAZIOANALE</v>
      </c>
      <c r="S399" s="193">
        <f>SUM(Tabella1[[#This Row],[Gf]],Tabella1[[#This Row],[Rf]])</f>
        <v>0</v>
      </c>
      <c r="T399" s="193"/>
      <c r="U399" s="285" t="str">
        <f>IF(Tabella1[[#This Row],[N° FantaTit]]="","",Tabella1[[#This Row],[fanta voto]])</f>
        <v/>
      </c>
      <c r="V399" s="193">
        <f>SUM(Tabella1[[#This Row],[Voto]],(G399*3),Q399,P399,O399,-(N399),(-M399/2),(-L399*2),(-H399),(I399*3),(-J399*3),(K399*3))</f>
        <v>7</v>
      </c>
      <c r="W399" s="193"/>
      <c r="X399" s="193" t="str">
        <f>IF(Tabella1[[#This Row],[Best 11]]=1,Tabella1[[#This Row],[fanta voto]],"")</f>
        <v/>
      </c>
      <c r="Z399" s="193" t="str">
        <f>IF(Tabella1[[#This Row],[Best 11 MOD]]=1,Tabella1[[#This Row],[fanta voto]],"")</f>
        <v/>
      </c>
      <c r="AA399" t="str">
        <f>CONCATENATE(Tabella1[[#This Row],[GG]],Tabella1[[#This Row],[Nome]])</f>
        <v>2Martinez Jo.</v>
      </c>
      <c r="AB399" t="str">
        <f t="shared" si="11"/>
        <v>2FC INTERNAZIOANALE</v>
      </c>
      <c r="AC399" t="str">
        <f>_xlfn.CONCAT(Tabella1[[#This Row],[Ruolo]],Tabella1[[#This Row],[Gs]])</f>
        <v>P0</v>
      </c>
    </row>
    <row r="400" spans="1:29" hidden="1" x14ac:dyDescent="0.3">
      <c r="A400" s="14">
        <v>46261</v>
      </c>
      <c r="B400" s="15">
        <v>2</v>
      </c>
      <c r="C400" s="321" t="s">
        <v>766</v>
      </c>
      <c r="D400" s="330" t="s">
        <v>161</v>
      </c>
      <c r="E400" s="330" t="s">
        <v>275</v>
      </c>
      <c r="F400" s="331">
        <v>6.5</v>
      </c>
      <c r="G400" s="332">
        <v>0</v>
      </c>
      <c r="H400" s="332">
        <v>0</v>
      </c>
      <c r="I400" s="332">
        <v>0</v>
      </c>
      <c r="J400" s="332">
        <v>0</v>
      </c>
      <c r="K400" s="332">
        <v>0</v>
      </c>
      <c r="L400" s="332">
        <v>0</v>
      </c>
      <c r="M400" s="332">
        <v>0</v>
      </c>
      <c r="N400" s="332">
        <v>0</v>
      </c>
      <c r="O400" s="332">
        <v>0</v>
      </c>
      <c r="P400" s="284"/>
      <c r="Q400" s="284">
        <f t="shared" si="10"/>
        <v>0</v>
      </c>
      <c r="R400" s="3" t="str">
        <f>_xlfn.IFNA(VLOOKUP(Tabella1[[#This Row],[Nome]],'ROSE SQUADRE'!$N$3:$O$253,2,0),"")</f>
        <v>TRICCHETRACHT</v>
      </c>
      <c r="S400" s="193">
        <f>SUM(Tabella1[[#This Row],[Gf]],Tabella1[[#This Row],[Rf]])</f>
        <v>0</v>
      </c>
      <c r="T400" s="193"/>
      <c r="U400" s="285" t="str">
        <f>IF(Tabella1[[#This Row],[N° FantaTit]]="","",Tabella1[[#This Row],[fanta voto]])</f>
        <v/>
      </c>
      <c r="V400" s="193">
        <f>SUM(Tabella1[[#This Row],[Voto]],(G400*3),Q400,P400,O400,-(N400),(-M400/2),(-L400*2),(-H400),(I400*3),(-J400*3),(K400*3))</f>
        <v>6.5</v>
      </c>
      <c r="W400" s="193"/>
      <c r="X400" s="193" t="str">
        <f>IF(Tabella1[[#This Row],[Best 11]]=1,Tabella1[[#This Row],[fanta voto]],"")</f>
        <v/>
      </c>
      <c r="Z400" s="193" t="str">
        <f>IF(Tabella1[[#This Row],[Best 11 MOD]]=1,Tabella1[[#This Row],[fanta voto]],"")</f>
        <v/>
      </c>
      <c r="AA400" t="str">
        <f>CONCATENATE(Tabella1[[#This Row],[GG]],Tabella1[[#This Row],[Nome]])</f>
        <v>2Dimarco</v>
      </c>
      <c r="AB400" t="str">
        <f t="shared" si="11"/>
        <v>2TRICCHETRACHT</v>
      </c>
      <c r="AC400" t="str">
        <f>_xlfn.CONCAT(Tabella1[[#This Row],[Ruolo]],Tabella1[[#This Row],[Gs]])</f>
        <v>D0</v>
      </c>
    </row>
    <row r="401" spans="1:29" hidden="1" x14ac:dyDescent="0.3">
      <c r="A401" s="14">
        <v>46261</v>
      </c>
      <c r="B401" s="15">
        <v>2</v>
      </c>
      <c r="C401" s="321" t="s">
        <v>766</v>
      </c>
      <c r="D401" t="s">
        <v>161</v>
      </c>
      <c r="E401" t="s">
        <v>243</v>
      </c>
      <c r="F401" s="194">
        <v>6.5</v>
      </c>
      <c r="G401" s="328">
        <v>0</v>
      </c>
      <c r="H401" s="328">
        <v>0</v>
      </c>
      <c r="I401" s="328">
        <v>0</v>
      </c>
      <c r="J401" s="328">
        <v>0</v>
      </c>
      <c r="K401" s="328">
        <v>0</v>
      </c>
      <c r="L401" s="328">
        <v>0</v>
      </c>
      <c r="M401" s="328">
        <v>0</v>
      </c>
      <c r="N401" s="328">
        <v>0</v>
      </c>
      <c r="O401" s="328">
        <v>0</v>
      </c>
      <c r="P401" s="284"/>
      <c r="Q401" s="284">
        <f t="shared" si="10"/>
        <v>0</v>
      </c>
      <c r="R401" s="3" t="str">
        <f>_xlfn.IFNA(VLOOKUP(Tabella1[[#This Row],[Nome]],'ROSE SQUADRE'!$N$3:$O$253,2,0),"")</f>
        <v>SAN GRIA</v>
      </c>
      <c r="S401" s="193">
        <f>SUM(Tabella1[[#This Row],[Gf]],Tabella1[[#This Row],[Rf]])</f>
        <v>0</v>
      </c>
      <c r="T401" s="193"/>
      <c r="U401" s="285" t="str">
        <f>IF(Tabella1[[#This Row],[N° FantaTit]]="","",Tabella1[[#This Row],[fanta voto]])</f>
        <v/>
      </c>
      <c r="V401" s="193">
        <f>SUM(Tabella1[[#This Row],[Voto]],(G401*3),Q401,P401,O401,-(N401),(-M401/2),(-L401*2),(-H401),(I401*3),(-J401*3),(K401*3))</f>
        <v>6.5</v>
      </c>
      <c r="W401" s="193"/>
      <c r="X401" s="193" t="str">
        <f>IF(Tabella1[[#This Row],[Best 11]]=1,Tabella1[[#This Row],[fanta voto]],"")</f>
        <v/>
      </c>
      <c r="Z401" s="193" t="str">
        <f>IF(Tabella1[[#This Row],[Best 11 MOD]]=1,Tabella1[[#This Row],[fanta voto]],"")</f>
        <v/>
      </c>
      <c r="AA401" t="str">
        <f>CONCATENATE(Tabella1[[#This Row],[GG]],Tabella1[[#This Row],[Nome]])</f>
        <v>2Bastoni</v>
      </c>
      <c r="AB401" t="str">
        <f t="shared" si="11"/>
        <v>2SAN GRIA</v>
      </c>
      <c r="AC401" t="str">
        <f>_xlfn.CONCAT(Tabella1[[#This Row],[Ruolo]],Tabella1[[#This Row],[Gs]])</f>
        <v>D0</v>
      </c>
    </row>
    <row r="402" spans="1:29" hidden="1" x14ac:dyDescent="0.3">
      <c r="A402" s="14">
        <v>46261</v>
      </c>
      <c r="B402" s="15">
        <v>2</v>
      </c>
      <c r="C402" s="321" t="s">
        <v>766</v>
      </c>
      <c r="D402" s="330" t="s">
        <v>161</v>
      </c>
      <c r="E402" s="330" t="s">
        <v>770</v>
      </c>
      <c r="F402" s="331">
        <v>6</v>
      </c>
      <c r="G402" s="332">
        <v>0</v>
      </c>
      <c r="H402" s="332">
        <v>0</v>
      </c>
      <c r="I402" s="332">
        <v>0</v>
      </c>
      <c r="J402" s="332">
        <v>0</v>
      </c>
      <c r="K402" s="332">
        <v>0</v>
      </c>
      <c r="L402" s="332">
        <v>0</v>
      </c>
      <c r="M402" s="332">
        <v>0</v>
      </c>
      <c r="N402" s="332">
        <v>0</v>
      </c>
      <c r="O402" s="332">
        <v>0</v>
      </c>
      <c r="P402" s="284"/>
      <c r="Q402" s="284">
        <f t="shared" si="10"/>
        <v>0</v>
      </c>
      <c r="R402" s="3" t="str">
        <f>_xlfn.IFNA(VLOOKUP(Tabella1[[#This Row],[Nome]],'ROSE SQUADRE'!$N$3:$O$253,2,0),"")</f>
        <v>SHARK</v>
      </c>
      <c r="S402" s="193">
        <f>SUM(Tabella1[[#This Row],[Gf]],Tabella1[[#This Row],[Rf]])</f>
        <v>0</v>
      </c>
      <c r="T402" s="193"/>
      <c r="U402" s="285" t="str">
        <f>IF(Tabella1[[#This Row],[N° FantaTit]]="","",Tabella1[[#This Row],[fanta voto]])</f>
        <v/>
      </c>
      <c r="V402" s="193">
        <f>SUM(Tabella1[[#This Row],[Voto]],(G402*3),Q402,P402,O402,-(N402),(-M402/2),(-L402*2),(-H402),(I402*3),(-J402*3),(K402*3))</f>
        <v>6</v>
      </c>
      <c r="W402" s="193"/>
      <c r="X402" s="193" t="str">
        <f>IF(Tabella1[[#This Row],[Best 11]]=1,Tabella1[[#This Row],[fanta voto]],"")</f>
        <v/>
      </c>
      <c r="Z402" s="193" t="str">
        <f>IF(Tabella1[[#This Row],[Best 11 MOD]]=1,Tabella1[[#This Row],[fanta voto]],"")</f>
        <v/>
      </c>
      <c r="AA402" t="str">
        <f>CONCATENATE(Tabella1[[#This Row],[GG]],Tabella1[[#This Row],[Nome]])</f>
        <v>2Stones</v>
      </c>
      <c r="AB402" t="str">
        <f t="shared" si="11"/>
        <v>2SHARK</v>
      </c>
      <c r="AC402" t="str">
        <f>_xlfn.CONCAT(Tabella1[[#This Row],[Ruolo]],Tabella1[[#This Row],[Gs]])</f>
        <v>D0</v>
      </c>
    </row>
    <row r="403" spans="1:29" hidden="1" x14ac:dyDescent="0.3">
      <c r="A403" s="14">
        <v>46261</v>
      </c>
      <c r="B403" s="15">
        <v>2</v>
      </c>
      <c r="C403" s="321" t="s">
        <v>766</v>
      </c>
      <c r="D403" t="s">
        <v>161</v>
      </c>
      <c r="E403" t="s">
        <v>768</v>
      </c>
      <c r="F403" s="194">
        <v>5.5</v>
      </c>
      <c r="G403" s="328">
        <v>0</v>
      </c>
      <c r="H403" s="328">
        <v>0</v>
      </c>
      <c r="I403" s="328">
        <v>0</v>
      </c>
      <c r="J403" s="328">
        <v>0</v>
      </c>
      <c r="K403" s="328">
        <v>0</v>
      </c>
      <c r="L403" s="328">
        <v>0</v>
      </c>
      <c r="M403" s="329">
        <v>1</v>
      </c>
      <c r="N403" s="328">
        <v>0</v>
      </c>
      <c r="O403" s="328">
        <v>0</v>
      </c>
      <c r="P403" s="284"/>
      <c r="Q403" s="284">
        <f t="shared" si="10"/>
        <v>0</v>
      </c>
      <c r="R403" s="3" t="str">
        <f>_xlfn.IFNA(VLOOKUP(Tabella1[[#This Row],[Nome]],'ROSE SQUADRE'!$N$3:$O$253,2,0),"")</f>
        <v>SHARK</v>
      </c>
      <c r="S403" s="193">
        <f>SUM(Tabella1[[#This Row],[Gf]],Tabella1[[#This Row],[Rf]])</f>
        <v>0</v>
      </c>
      <c r="T403" s="193"/>
      <c r="U403" s="285" t="str">
        <f>IF(Tabella1[[#This Row],[N° FantaTit]]="","",Tabella1[[#This Row],[fanta voto]])</f>
        <v/>
      </c>
      <c r="V403" s="193">
        <f>SUM(Tabella1[[#This Row],[Voto]],(G403*3),Q403,P403,O403,-(N403),(-M403/2),(-L403*2),(-H403),(I403*3),(-J403*3),(K403*3))</f>
        <v>5</v>
      </c>
      <c r="W403" s="193"/>
      <c r="X403" s="193" t="str">
        <f>IF(Tabella1[[#This Row],[Best 11]]=1,Tabella1[[#This Row],[fanta voto]],"")</f>
        <v/>
      </c>
      <c r="Z403" s="193" t="str">
        <f>IF(Tabella1[[#This Row],[Best 11 MOD]]=1,Tabella1[[#This Row],[fanta voto]],"")</f>
        <v/>
      </c>
      <c r="AA403" t="str">
        <f>CONCATENATE(Tabella1[[#This Row],[GG]],Tabella1[[#This Row],[Nome]])</f>
        <v>2Akanji</v>
      </c>
      <c r="AB403" t="str">
        <f t="shared" si="11"/>
        <v>2SHARK</v>
      </c>
      <c r="AC403" t="str">
        <f>_xlfn.CONCAT(Tabella1[[#This Row],[Ruolo]],Tabella1[[#This Row],[Gs]])</f>
        <v>D0</v>
      </c>
    </row>
    <row r="404" spans="1:29" hidden="1" x14ac:dyDescent="0.3">
      <c r="A404" s="14">
        <v>46261</v>
      </c>
      <c r="B404" s="15">
        <v>2</v>
      </c>
      <c r="C404" s="321" t="s">
        <v>766</v>
      </c>
      <c r="D404" s="330" t="s">
        <v>161</v>
      </c>
      <c r="E404" s="330" t="s">
        <v>612</v>
      </c>
      <c r="F404" s="331">
        <v>6</v>
      </c>
      <c r="G404" s="332">
        <v>0</v>
      </c>
      <c r="H404" s="332">
        <v>0</v>
      </c>
      <c r="I404" s="332">
        <v>0</v>
      </c>
      <c r="J404" s="332">
        <v>0</v>
      </c>
      <c r="K404" s="332">
        <v>0</v>
      </c>
      <c r="L404" s="332">
        <v>0</v>
      </c>
      <c r="M404" s="332">
        <v>0</v>
      </c>
      <c r="N404" s="332">
        <v>0</v>
      </c>
      <c r="O404" s="332">
        <v>0</v>
      </c>
      <c r="P404" s="284"/>
      <c r="Q404" s="284">
        <f t="shared" si="10"/>
        <v>0</v>
      </c>
      <c r="R404" s="3" t="str">
        <f>_xlfn.IFNA(VLOOKUP(Tabella1[[#This Row],[Nome]],'ROSE SQUADRE'!$N$3:$O$253,2,0),"")</f>
        <v>ATL. IMPROVVISATO</v>
      </c>
      <c r="S404" s="193">
        <f>SUM(Tabella1[[#This Row],[Gf]],Tabella1[[#This Row],[Rf]])</f>
        <v>0</v>
      </c>
      <c r="T404" s="193"/>
      <c r="U404" s="285" t="str">
        <f>IF(Tabella1[[#This Row],[N° FantaTit]]="","",Tabella1[[#This Row],[fanta voto]])</f>
        <v/>
      </c>
      <c r="V404" s="193">
        <f>SUM(Tabella1[[#This Row],[Voto]],(G404*3),Q404,P404,O404,-(N404),(-M404/2),(-L404*2),(-H404),(I404*3),(-J404*3),(K404*3))</f>
        <v>6</v>
      </c>
      <c r="W404" s="193"/>
      <c r="X404" s="193" t="str">
        <f>IF(Tabella1[[#This Row],[Best 11]]=1,Tabella1[[#This Row],[fanta voto]],"")</f>
        <v/>
      </c>
      <c r="Z404" s="193" t="str">
        <f>IF(Tabella1[[#This Row],[Best 11 MOD]]=1,Tabella1[[#This Row],[fanta voto]],"")</f>
        <v/>
      </c>
      <c r="AA404" t="str">
        <f>CONCATENATE(Tabella1[[#This Row],[GG]],Tabella1[[#This Row],[Nome]])</f>
        <v>2Pavard</v>
      </c>
      <c r="AB404" t="str">
        <f t="shared" si="11"/>
        <v>2ATL. IMPROVVISATO</v>
      </c>
      <c r="AC404" t="str">
        <f>_xlfn.CONCAT(Tabella1[[#This Row],[Ruolo]],Tabella1[[#This Row],[Gs]])</f>
        <v>D0</v>
      </c>
    </row>
    <row r="405" spans="1:29" hidden="1" x14ac:dyDescent="0.3">
      <c r="A405" s="14">
        <v>46261</v>
      </c>
      <c r="B405" s="15">
        <v>2</v>
      </c>
      <c r="C405" s="321" t="s">
        <v>766</v>
      </c>
      <c r="D405" t="s">
        <v>161</v>
      </c>
      <c r="E405" t="s">
        <v>451</v>
      </c>
      <c r="F405" s="194">
        <v>6.5</v>
      </c>
      <c r="G405" s="328">
        <v>0</v>
      </c>
      <c r="H405" s="328">
        <v>0</v>
      </c>
      <c r="I405" s="328">
        <v>0</v>
      </c>
      <c r="J405" s="328">
        <v>0</v>
      </c>
      <c r="K405" s="328">
        <v>0</v>
      </c>
      <c r="L405" s="328">
        <v>0</v>
      </c>
      <c r="M405" s="328">
        <v>0</v>
      </c>
      <c r="N405" s="328">
        <v>0</v>
      </c>
      <c r="O405" s="328">
        <v>0</v>
      </c>
      <c r="P405" s="284"/>
      <c r="Q405" s="284">
        <f t="shared" si="10"/>
        <v>0</v>
      </c>
      <c r="R405" s="3" t="str">
        <f>_xlfn.IFNA(VLOOKUP(Tabella1[[#This Row],[Nome]],'ROSE SQUADRE'!$N$3:$O$253,2,0),"")</f>
        <v>ATL. IMPROVVISATO</v>
      </c>
      <c r="S405" s="193">
        <f>SUM(Tabella1[[#This Row],[Gf]],Tabella1[[#This Row],[Rf]])</f>
        <v>0</v>
      </c>
      <c r="T405" s="193"/>
      <c r="U405" s="285" t="str">
        <f>IF(Tabella1[[#This Row],[N° FantaTit]]="","",Tabella1[[#This Row],[fanta voto]])</f>
        <v/>
      </c>
      <c r="V405" s="193">
        <f>SUM(Tabella1[[#This Row],[Voto]],(G405*3),Q405,P405,O405,-(N405),(-M405/2),(-L405*2),(-H405),(I405*3),(-J405*3),(K405*3))</f>
        <v>6.5</v>
      </c>
      <c r="W405" s="193"/>
      <c r="X405" s="193" t="str">
        <f>IF(Tabella1[[#This Row],[Best 11]]=1,Tabella1[[#This Row],[fanta voto]],"")</f>
        <v/>
      </c>
      <c r="Z405" s="193" t="str">
        <f>IF(Tabella1[[#This Row],[Best 11 MOD]]=1,Tabella1[[#This Row],[fanta voto]],"")</f>
        <v/>
      </c>
      <c r="AA405" t="str">
        <f>CONCATENATE(Tabella1[[#This Row],[GG]],Tabella1[[#This Row],[Nome]])</f>
        <v>2Bisseck</v>
      </c>
      <c r="AB405" t="str">
        <f t="shared" si="11"/>
        <v>2ATL. IMPROVVISATO</v>
      </c>
      <c r="AC405" t="str">
        <f>_xlfn.CONCAT(Tabella1[[#This Row],[Ruolo]],Tabella1[[#This Row],[Gs]])</f>
        <v>D0</v>
      </c>
    </row>
    <row r="406" spans="1:29" hidden="1" x14ac:dyDescent="0.3">
      <c r="A406" s="14">
        <v>46261</v>
      </c>
      <c r="B406" s="15">
        <v>2</v>
      </c>
      <c r="C406" s="321" t="s">
        <v>766</v>
      </c>
      <c r="D406" s="330" t="s">
        <v>162</v>
      </c>
      <c r="E406" s="330" t="s">
        <v>775</v>
      </c>
      <c r="F406" s="331">
        <v>6.5</v>
      </c>
      <c r="G406" s="332">
        <v>0</v>
      </c>
      <c r="H406" s="332">
        <v>0</v>
      </c>
      <c r="I406" s="332">
        <v>0</v>
      </c>
      <c r="J406" s="332">
        <v>0</v>
      </c>
      <c r="K406" s="332">
        <v>0</v>
      </c>
      <c r="L406" s="332">
        <v>0</v>
      </c>
      <c r="M406" s="332">
        <v>0</v>
      </c>
      <c r="N406" s="332">
        <v>0</v>
      </c>
      <c r="O406" s="332">
        <v>0</v>
      </c>
      <c r="P406" s="284"/>
      <c r="Q406" s="284">
        <f t="shared" si="10"/>
        <v>0</v>
      </c>
      <c r="R406" s="3" t="str">
        <f>_xlfn.IFNA(VLOOKUP(Tabella1[[#This Row],[Nome]],'ROSE SQUADRE'!$N$3:$O$253,2,0),"")</f>
        <v>ATL. IMPROVVISATO</v>
      </c>
      <c r="S406" s="193">
        <f>SUM(Tabella1[[#This Row],[Gf]],Tabella1[[#This Row],[Rf]])</f>
        <v>0</v>
      </c>
      <c r="T406" s="193"/>
      <c r="U406" s="285" t="str">
        <f>IF(Tabella1[[#This Row],[N° FantaTit]]="","",Tabella1[[#This Row],[fanta voto]])</f>
        <v/>
      </c>
      <c r="V406" s="193">
        <f>SUM(Tabella1[[#This Row],[Voto]],(G406*3),Q406,P406,O406,-(N406),(-M406/2),(-L406*2),(-H406),(I406*3),(-J406*3),(K406*3))</f>
        <v>6.5</v>
      </c>
      <c r="W406" s="193"/>
      <c r="X406" s="193" t="str">
        <f>IF(Tabella1[[#This Row],[Best 11]]=1,Tabella1[[#This Row],[fanta voto]],"")</f>
        <v/>
      </c>
      <c r="Z406" s="193" t="str">
        <f>IF(Tabella1[[#This Row],[Best 11 MOD]]=1,Tabella1[[#This Row],[fanta voto]],"")</f>
        <v/>
      </c>
      <c r="AA406" t="str">
        <f>CONCATENATE(Tabella1[[#This Row],[GG]],Tabella1[[#This Row],[Nome]])</f>
        <v>2Zielinski</v>
      </c>
      <c r="AB406" t="str">
        <f t="shared" si="11"/>
        <v>2ATL. IMPROVVISATO</v>
      </c>
      <c r="AC406" t="str">
        <f>_xlfn.CONCAT(Tabella1[[#This Row],[Ruolo]],Tabella1[[#This Row],[Gs]])</f>
        <v>C0</v>
      </c>
    </row>
    <row r="407" spans="1:29" hidden="1" x14ac:dyDescent="0.3">
      <c r="A407" s="14">
        <v>46261</v>
      </c>
      <c r="B407" s="15">
        <v>2</v>
      </c>
      <c r="C407" s="321" t="s">
        <v>766</v>
      </c>
      <c r="D407" t="s">
        <v>162</v>
      </c>
      <c r="E407" t="s">
        <v>276</v>
      </c>
      <c r="F407" s="194">
        <v>7</v>
      </c>
      <c r="G407" s="328">
        <v>0</v>
      </c>
      <c r="H407" s="328">
        <v>0</v>
      </c>
      <c r="I407" s="328">
        <v>0</v>
      </c>
      <c r="J407" s="328">
        <v>0</v>
      </c>
      <c r="K407" s="328">
        <v>0</v>
      </c>
      <c r="L407" s="328">
        <v>0</v>
      </c>
      <c r="M407" s="328">
        <v>0</v>
      </c>
      <c r="N407" s="328">
        <v>0</v>
      </c>
      <c r="O407" s="329">
        <v>1</v>
      </c>
      <c r="P407" s="284"/>
      <c r="Q407" s="284">
        <f t="shared" si="10"/>
        <v>0</v>
      </c>
      <c r="R407" s="3" t="str">
        <f>_xlfn.IFNA(VLOOKUP(Tabella1[[#This Row],[Nome]],'ROSE SQUADRE'!$N$3:$O$253,2,0),"")</f>
        <v>PESCICULINI</v>
      </c>
      <c r="S407" s="193">
        <f>SUM(Tabella1[[#This Row],[Gf]],Tabella1[[#This Row],[Rf]])</f>
        <v>0</v>
      </c>
      <c r="T407" s="193"/>
      <c r="U407" s="285" t="str">
        <f>IF(Tabella1[[#This Row],[N° FantaTit]]="","",Tabella1[[#This Row],[fanta voto]])</f>
        <v/>
      </c>
      <c r="V407" s="193">
        <f>SUM(Tabella1[[#This Row],[Voto]],(G407*3),Q407,P407,O407,-(N407),(-M407/2),(-L407*2),(-H407),(I407*3),(-J407*3),(K407*3))</f>
        <v>8</v>
      </c>
      <c r="W407" s="193"/>
      <c r="X407" s="193" t="str">
        <f>IF(Tabella1[[#This Row],[Best 11]]=1,Tabella1[[#This Row],[fanta voto]],"")</f>
        <v/>
      </c>
      <c r="Z407" s="193" t="str">
        <f>IF(Tabella1[[#This Row],[Best 11 MOD]]=1,Tabella1[[#This Row],[fanta voto]],"")</f>
        <v/>
      </c>
      <c r="AA407" t="str">
        <f>CONCATENATE(Tabella1[[#This Row],[GG]],Tabella1[[#This Row],[Nome]])</f>
        <v>2Barella</v>
      </c>
      <c r="AB407" t="str">
        <f t="shared" si="11"/>
        <v>2PESCICULINI</v>
      </c>
      <c r="AC407" t="str">
        <f>_xlfn.CONCAT(Tabella1[[#This Row],[Ruolo]],Tabella1[[#This Row],[Gs]])</f>
        <v>C0</v>
      </c>
    </row>
    <row r="408" spans="1:29" hidden="1" x14ac:dyDescent="0.3">
      <c r="A408" s="14">
        <v>46261</v>
      </c>
      <c r="B408" s="15">
        <v>2</v>
      </c>
      <c r="C408" s="321" t="s">
        <v>766</v>
      </c>
      <c r="D408" s="330" t="s">
        <v>162</v>
      </c>
      <c r="E408" s="330" t="s">
        <v>218</v>
      </c>
      <c r="F408" s="331">
        <v>7</v>
      </c>
      <c r="G408" s="333">
        <v>1</v>
      </c>
      <c r="H408" s="332">
        <v>0</v>
      </c>
      <c r="I408" s="332">
        <v>0</v>
      </c>
      <c r="J408" s="332">
        <v>0</v>
      </c>
      <c r="K408" s="332">
        <v>0</v>
      </c>
      <c r="L408" s="332">
        <v>0</v>
      </c>
      <c r="M408" s="332">
        <v>0</v>
      </c>
      <c r="N408" s="332">
        <v>0</v>
      </c>
      <c r="O408" s="332">
        <v>0</v>
      </c>
      <c r="P408" s="284">
        <v>1</v>
      </c>
      <c r="Q408" s="284">
        <f t="shared" si="10"/>
        <v>0</v>
      </c>
      <c r="R408" s="3" t="str">
        <f>_xlfn.IFNA(VLOOKUP(Tabella1[[#This Row],[Nome]],'ROSE SQUADRE'!$N$3:$O$253,2,0),"")</f>
        <v>TRICCHETRACHT</v>
      </c>
      <c r="S408" s="193">
        <f>SUM(Tabella1[[#This Row],[Gf]],Tabella1[[#This Row],[Rf]])</f>
        <v>1</v>
      </c>
      <c r="T408" s="193"/>
      <c r="U408" s="285" t="str">
        <f>IF(Tabella1[[#This Row],[N° FantaTit]]="","",Tabella1[[#This Row],[fanta voto]])</f>
        <v/>
      </c>
      <c r="V408" s="193">
        <f>SUM(Tabella1[[#This Row],[Voto]],(G408*3),Q408,P408,O408,-(N408),(-M408/2),(-L408*2),(-H408),(I408*3),(-J408*3),(K408*3))</f>
        <v>11</v>
      </c>
      <c r="W408" s="193"/>
      <c r="X408" s="193" t="str">
        <f>IF(Tabella1[[#This Row],[Best 11]]=1,Tabella1[[#This Row],[fanta voto]],"")</f>
        <v/>
      </c>
      <c r="Z408" s="193" t="str">
        <f>IF(Tabella1[[#This Row],[Best 11 MOD]]=1,Tabella1[[#This Row],[fanta voto]],"")</f>
        <v/>
      </c>
      <c r="AA408" t="str">
        <f>CONCATENATE(Tabella1[[#This Row],[GG]],Tabella1[[#This Row],[Nome]])</f>
        <v>2Calhanoglu</v>
      </c>
      <c r="AB408" t="str">
        <f t="shared" si="11"/>
        <v>2TRICCHETRACHT</v>
      </c>
      <c r="AC408" t="str">
        <f>_xlfn.CONCAT(Tabella1[[#This Row],[Ruolo]],Tabella1[[#This Row],[Gs]])</f>
        <v>C0</v>
      </c>
    </row>
    <row r="409" spans="1:29" hidden="1" x14ac:dyDescent="0.3">
      <c r="A409" s="14">
        <v>46261</v>
      </c>
      <c r="B409" s="15">
        <v>2</v>
      </c>
      <c r="C409" s="321" t="s">
        <v>766</v>
      </c>
      <c r="D409" t="s">
        <v>162</v>
      </c>
      <c r="E409" t="s">
        <v>1015</v>
      </c>
      <c r="F409" s="194">
        <v>6</v>
      </c>
      <c r="G409" s="328">
        <v>0</v>
      </c>
      <c r="H409" s="328">
        <v>0</v>
      </c>
      <c r="I409" s="328">
        <v>0</v>
      </c>
      <c r="J409" s="328">
        <v>0</v>
      </c>
      <c r="K409" s="328">
        <v>0</v>
      </c>
      <c r="L409" s="328">
        <v>0</v>
      </c>
      <c r="M409" s="328">
        <v>0</v>
      </c>
      <c r="N409" s="328">
        <v>0</v>
      </c>
      <c r="O409" s="328">
        <v>0</v>
      </c>
      <c r="P409" s="284"/>
      <c r="Q409" s="284">
        <f t="shared" si="10"/>
        <v>0</v>
      </c>
      <c r="R409" s="3" t="str">
        <f>_xlfn.IFNA(VLOOKUP(Tabella1[[#This Row],[Nome]],'ROSE SQUADRE'!$N$3:$O$253,2,0),"")</f>
        <v>PARTIZAN DEGRADO</v>
      </c>
      <c r="S409" s="193">
        <f>SUM(Tabella1[[#This Row],[Gf]],Tabella1[[#This Row],[Rf]])</f>
        <v>0</v>
      </c>
      <c r="T409" s="193"/>
      <c r="U409" s="285" t="str">
        <f>IF(Tabella1[[#This Row],[N° FantaTit]]="","",Tabella1[[#This Row],[fanta voto]])</f>
        <v/>
      </c>
      <c r="V409" s="193">
        <f>SUM(Tabella1[[#This Row],[Voto]],(G409*3),Q409,P409,O409,-(N409),(-M409/2),(-L409*2),(-H409),(I409*3),(-J409*3),(K409*3))</f>
        <v>6</v>
      </c>
      <c r="W409" s="193"/>
      <c r="X409" s="193" t="str">
        <f>IF(Tabella1[[#This Row],[Best 11]]=1,Tabella1[[#This Row],[fanta voto]],"")</f>
        <v/>
      </c>
      <c r="Z409" s="193" t="str">
        <f>IF(Tabella1[[#This Row],[Best 11 MOD]]=1,Tabella1[[#This Row],[fanta voto]],"")</f>
        <v/>
      </c>
      <c r="AA409" t="str">
        <f>CONCATENATE(Tabella1[[#This Row],[GG]],Tabella1[[#This Row],[Nome]])</f>
        <v>2Jones C.</v>
      </c>
      <c r="AB409" t="str">
        <f t="shared" si="11"/>
        <v>2PARTIZAN DEGRADO</v>
      </c>
      <c r="AC409" t="str">
        <f>_xlfn.CONCAT(Tabella1[[#This Row],[Ruolo]],Tabella1[[#This Row],[Gs]])</f>
        <v>C0</v>
      </c>
    </row>
    <row r="410" spans="1:29" hidden="1" x14ac:dyDescent="0.3">
      <c r="A410" s="14">
        <v>46261</v>
      </c>
      <c r="B410" s="15">
        <v>2</v>
      </c>
      <c r="C410" s="321" t="s">
        <v>766</v>
      </c>
      <c r="D410" s="330" t="s">
        <v>162</v>
      </c>
      <c r="E410" s="330" t="s">
        <v>772</v>
      </c>
      <c r="F410" s="331">
        <v>6</v>
      </c>
      <c r="G410" s="332">
        <v>0</v>
      </c>
      <c r="H410" s="332">
        <v>0</v>
      </c>
      <c r="I410" s="332">
        <v>0</v>
      </c>
      <c r="J410" s="332">
        <v>0</v>
      </c>
      <c r="K410" s="332">
        <v>0</v>
      </c>
      <c r="L410" s="332">
        <v>0</v>
      </c>
      <c r="M410" s="332">
        <v>0</v>
      </c>
      <c r="N410" s="332">
        <v>0</v>
      </c>
      <c r="O410" s="332">
        <v>0</v>
      </c>
      <c r="P410" s="284"/>
      <c r="Q410" s="284">
        <f t="shared" si="10"/>
        <v>0</v>
      </c>
      <c r="R410" s="3" t="str">
        <f>_xlfn.IFNA(VLOOKUP(Tabella1[[#This Row],[Nome]],'ROSE SQUADRE'!$N$3:$O$253,2,0),"")</f>
        <v/>
      </c>
      <c r="S410" s="193">
        <f>SUM(Tabella1[[#This Row],[Gf]],Tabella1[[#This Row],[Rf]])</f>
        <v>0</v>
      </c>
      <c r="T410" s="193"/>
      <c r="U410" s="285" t="str">
        <f>IF(Tabella1[[#This Row],[N° FantaTit]]="","",Tabella1[[#This Row],[fanta voto]])</f>
        <v/>
      </c>
      <c r="V410" s="193">
        <f>SUM(Tabella1[[#This Row],[Voto]],(G410*3),Q410,P410,O410,-(N410),(-M410/2),(-L410*2),(-H410),(I410*3),(-J410*3),(K410*3))</f>
        <v>6</v>
      </c>
      <c r="W410" s="193"/>
      <c r="X410" s="193" t="str">
        <f>IF(Tabella1[[#This Row],[Best 11]]=1,Tabella1[[#This Row],[fanta voto]],"")</f>
        <v/>
      </c>
      <c r="Z410" s="193" t="str">
        <f>IF(Tabella1[[#This Row],[Best 11 MOD]]=1,Tabella1[[#This Row],[fanta voto]],"")</f>
        <v/>
      </c>
      <c r="AA410" t="str">
        <f>CONCATENATE(Tabella1[[#This Row],[GG]],Tabella1[[#This Row],[Nome]])</f>
        <v>2Luis Henrique</v>
      </c>
      <c r="AB410" t="str">
        <f t="shared" si="11"/>
        <v>2</v>
      </c>
      <c r="AC410" t="str">
        <f>_xlfn.CONCAT(Tabella1[[#This Row],[Ruolo]],Tabella1[[#This Row],[Gs]])</f>
        <v>C0</v>
      </c>
    </row>
    <row r="411" spans="1:29" hidden="1" x14ac:dyDescent="0.3">
      <c r="A411" s="14">
        <v>46261</v>
      </c>
      <c r="B411" s="15">
        <v>2</v>
      </c>
      <c r="C411" s="321" t="s">
        <v>766</v>
      </c>
      <c r="D411" t="s">
        <v>162</v>
      </c>
      <c r="E411" t="s">
        <v>774</v>
      </c>
      <c r="F411" s="194">
        <v>6.5</v>
      </c>
      <c r="G411" s="328">
        <v>0</v>
      </c>
      <c r="H411" s="328">
        <v>0</v>
      </c>
      <c r="I411" s="328">
        <v>0</v>
      </c>
      <c r="J411" s="328">
        <v>0</v>
      </c>
      <c r="K411" s="328">
        <v>0</v>
      </c>
      <c r="L411" s="328">
        <v>0</v>
      </c>
      <c r="M411" s="328">
        <v>0</v>
      </c>
      <c r="N411" s="328">
        <v>0</v>
      </c>
      <c r="O411" s="328">
        <v>0</v>
      </c>
      <c r="P411" s="284"/>
      <c r="Q411" s="284">
        <f t="shared" si="10"/>
        <v>0</v>
      </c>
      <c r="R411" s="3" t="str">
        <f>_xlfn.IFNA(VLOOKUP(Tabella1[[#This Row],[Nome]],'ROSE SQUADRE'!$N$3:$O$253,2,0),"")</f>
        <v>AC ASPARAGHESE</v>
      </c>
      <c r="S411" s="193">
        <f>SUM(Tabella1[[#This Row],[Gf]],Tabella1[[#This Row],[Rf]])</f>
        <v>0</v>
      </c>
      <c r="T411" s="193"/>
      <c r="U411" s="285" t="str">
        <f>IF(Tabella1[[#This Row],[N° FantaTit]]="","",Tabella1[[#This Row],[fanta voto]])</f>
        <v/>
      </c>
      <c r="V411" s="193">
        <f>SUM(Tabella1[[#This Row],[Voto]],(G411*3),Q411,P411,O411,-(N411),(-M411/2),(-L411*2),(-H411),(I411*3),(-J411*3),(K411*3))</f>
        <v>6.5</v>
      </c>
      <c r="W411" s="193"/>
      <c r="X411" s="193" t="str">
        <f>IF(Tabella1[[#This Row],[Best 11]]=1,Tabella1[[#This Row],[fanta voto]],"")</f>
        <v/>
      </c>
      <c r="Z411" s="193" t="str">
        <f>IF(Tabella1[[#This Row],[Best 11 MOD]]=1,Tabella1[[#This Row],[fanta voto]],"")</f>
        <v/>
      </c>
      <c r="AA411" t="str">
        <f>CONCATENATE(Tabella1[[#This Row],[GG]],Tabella1[[#This Row],[Nome]])</f>
        <v>2Sucic P.</v>
      </c>
      <c r="AB411" t="str">
        <f t="shared" si="11"/>
        <v>2AC ASPARAGHESE</v>
      </c>
      <c r="AC411" t="str">
        <f>_xlfn.CONCAT(Tabella1[[#This Row],[Ruolo]],Tabella1[[#This Row],[Gs]])</f>
        <v>C0</v>
      </c>
    </row>
    <row r="412" spans="1:29" hidden="1" x14ac:dyDescent="0.3">
      <c r="A412" s="14">
        <v>46261</v>
      </c>
      <c r="B412" s="15">
        <v>2</v>
      </c>
      <c r="C412" s="321" t="s">
        <v>766</v>
      </c>
      <c r="D412" s="330" t="s">
        <v>163</v>
      </c>
      <c r="E412" s="330" t="s">
        <v>233</v>
      </c>
      <c r="F412" s="331">
        <v>6</v>
      </c>
      <c r="G412" s="332">
        <v>0</v>
      </c>
      <c r="H412" s="332">
        <v>0</v>
      </c>
      <c r="I412" s="332">
        <v>0</v>
      </c>
      <c r="J412" s="332">
        <v>0</v>
      </c>
      <c r="K412" s="332">
        <v>0</v>
      </c>
      <c r="L412" s="332">
        <v>0</v>
      </c>
      <c r="M412" s="332">
        <v>0</v>
      </c>
      <c r="N412" s="332">
        <v>0</v>
      </c>
      <c r="O412" s="332">
        <v>0</v>
      </c>
      <c r="P412" s="284"/>
      <c r="Q412" s="284">
        <f t="shared" si="10"/>
        <v>0</v>
      </c>
      <c r="R412" s="3" t="str">
        <f>_xlfn.IFNA(VLOOKUP(Tabella1[[#This Row],[Nome]],'ROSE SQUADRE'!$N$3:$O$253,2,0),"")</f>
        <v>TRICCHETRACHT</v>
      </c>
      <c r="S412" s="193">
        <f>SUM(Tabella1[[#This Row],[Gf]],Tabella1[[#This Row],[Rf]])</f>
        <v>0</v>
      </c>
      <c r="T412" s="193"/>
      <c r="U412" s="285" t="str">
        <f>IF(Tabella1[[#This Row],[N° FantaTit]]="","",Tabella1[[#This Row],[fanta voto]])</f>
        <v/>
      </c>
      <c r="V412" s="193">
        <f>SUM(Tabella1[[#This Row],[Voto]],(G412*3),Q412,P412,O412,-(N412),(-M412/2),(-L412*2),(-H412),(I412*3),(-J412*3),(K412*3))</f>
        <v>6</v>
      </c>
      <c r="W412" s="193"/>
      <c r="X412" s="193" t="str">
        <f>IF(Tabella1[[#This Row],[Best 11]]=1,Tabella1[[#This Row],[fanta voto]],"")</f>
        <v/>
      </c>
      <c r="Z412" s="193" t="str">
        <f>IF(Tabella1[[#This Row],[Best 11 MOD]]=1,Tabella1[[#This Row],[fanta voto]],"")</f>
        <v/>
      </c>
      <c r="AA412" t="str">
        <f>CONCATENATE(Tabella1[[#This Row],[GG]],Tabella1[[#This Row],[Nome]])</f>
        <v>2Martinez L.</v>
      </c>
      <c r="AB412" t="str">
        <f t="shared" si="11"/>
        <v>2TRICCHETRACHT</v>
      </c>
      <c r="AC412" t="str">
        <f>_xlfn.CONCAT(Tabella1[[#This Row],[Ruolo]],Tabella1[[#This Row],[Gs]])</f>
        <v>A0</v>
      </c>
    </row>
    <row r="413" spans="1:29" hidden="1" x14ac:dyDescent="0.3">
      <c r="A413" s="14">
        <v>46261</v>
      </c>
      <c r="B413" s="15">
        <v>2</v>
      </c>
      <c r="C413" s="321" t="s">
        <v>766</v>
      </c>
      <c r="D413" t="s">
        <v>163</v>
      </c>
      <c r="E413" t="s">
        <v>453</v>
      </c>
      <c r="F413" s="194">
        <v>5.5</v>
      </c>
      <c r="G413" s="328">
        <v>0</v>
      </c>
      <c r="H413" s="328">
        <v>0</v>
      </c>
      <c r="I413" s="328">
        <v>0</v>
      </c>
      <c r="J413" s="328">
        <v>0</v>
      </c>
      <c r="K413" s="328">
        <v>0</v>
      </c>
      <c r="L413" s="328">
        <v>0</v>
      </c>
      <c r="M413" s="328">
        <v>0</v>
      </c>
      <c r="N413" s="328">
        <v>0</v>
      </c>
      <c r="O413" s="328">
        <v>0</v>
      </c>
      <c r="P413" s="284"/>
      <c r="Q413" s="284">
        <f t="shared" si="10"/>
        <v>0</v>
      </c>
      <c r="R413" s="3" t="str">
        <f>_xlfn.IFNA(VLOOKUP(Tabella1[[#This Row],[Nome]],'ROSE SQUADRE'!$N$3:$O$253,2,0),"")</f>
        <v>FC INTERNAZIOANALE</v>
      </c>
      <c r="S413" s="193">
        <f>SUM(Tabella1[[#This Row],[Gf]],Tabella1[[#This Row],[Rf]])</f>
        <v>0</v>
      </c>
      <c r="T413" s="193"/>
      <c r="U413" s="285" t="str">
        <f>IF(Tabella1[[#This Row],[N° FantaTit]]="","",Tabella1[[#This Row],[fanta voto]])</f>
        <v/>
      </c>
      <c r="V413" s="193">
        <f>SUM(Tabella1[[#This Row],[Voto]],(G413*3),Q413,P413,O413,-(N413),(-M413/2),(-L413*2),(-H413),(I413*3),(-J413*3),(K413*3))</f>
        <v>5.5</v>
      </c>
      <c r="W413" s="193"/>
      <c r="X413" s="193" t="str">
        <f>IF(Tabella1[[#This Row],[Best 11]]=1,Tabella1[[#This Row],[fanta voto]],"")</f>
        <v/>
      </c>
      <c r="Z413" s="193" t="str">
        <f>IF(Tabella1[[#This Row],[Best 11 MOD]]=1,Tabella1[[#This Row],[fanta voto]],"")</f>
        <v/>
      </c>
      <c r="AA413" t="str">
        <f>CONCATENATE(Tabella1[[#This Row],[GG]],Tabella1[[#This Row],[Nome]])</f>
        <v>2Thuram</v>
      </c>
      <c r="AB413" t="str">
        <f t="shared" si="11"/>
        <v>2FC INTERNAZIOANALE</v>
      </c>
      <c r="AC413" t="str">
        <f>_xlfn.CONCAT(Tabella1[[#This Row],[Ruolo]],Tabella1[[#This Row],[Gs]])</f>
        <v>A0</v>
      </c>
    </row>
    <row r="414" spans="1:29" hidden="1" x14ac:dyDescent="0.3">
      <c r="A414" s="14">
        <v>46261</v>
      </c>
      <c r="B414" s="15">
        <v>2</v>
      </c>
      <c r="C414" s="321" t="s">
        <v>766</v>
      </c>
      <c r="D414" s="330" t="s">
        <v>163</v>
      </c>
      <c r="E414" s="330" t="s">
        <v>776</v>
      </c>
      <c r="F414" s="331">
        <v>6.5</v>
      </c>
      <c r="G414" s="332">
        <v>0</v>
      </c>
      <c r="H414" s="332">
        <v>0</v>
      </c>
      <c r="I414" s="332">
        <v>0</v>
      </c>
      <c r="J414" s="332">
        <v>0</v>
      </c>
      <c r="K414" s="332">
        <v>0</v>
      </c>
      <c r="L414" s="332">
        <v>0</v>
      </c>
      <c r="M414" s="332">
        <v>0</v>
      </c>
      <c r="N414" s="332">
        <v>0</v>
      </c>
      <c r="O414" s="332">
        <v>0</v>
      </c>
      <c r="P414" s="284"/>
      <c r="Q414" s="284">
        <f t="shared" si="10"/>
        <v>0</v>
      </c>
      <c r="R414" s="3" t="str">
        <f>_xlfn.IFNA(VLOOKUP(Tabella1[[#This Row],[Nome]],'ROSE SQUADRE'!$N$3:$O$253,2,0),"")</f>
        <v>ATL. IMPROVVISATO</v>
      </c>
      <c r="S414" s="193">
        <f>SUM(Tabella1[[#This Row],[Gf]],Tabella1[[#This Row],[Rf]])</f>
        <v>0</v>
      </c>
      <c r="T414" s="193"/>
      <c r="U414" s="285" t="str">
        <f>IF(Tabella1[[#This Row],[N° FantaTit]]="","",Tabella1[[#This Row],[fanta voto]])</f>
        <v/>
      </c>
      <c r="V414" s="193">
        <f>SUM(Tabella1[[#This Row],[Voto]],(G414*3),Q414,P414,O414,-(N414),(-M414/2),(-L414*2),(-H414),(I414*3),(-J414*3),(K414*3))</f>
        <v>6.5</v>
      </c>
      <c r="W414" s="193"/>
      <c r="X414" s="193" t="str">
        <f>IF(Tabella1[[#This Row],[Best 11]]=1,Tabella1[[#This Row],[fanta voto]],"")</f>
        <v/>
      </c>
      <c r="Z414" s="193" t="str">
        <f>IF(Tabella1[[#This Row],[Best 11 MOD]]=1,Tabella1[[#This Row],[fanta voto]],"")</f>
        <v/>
      </c>
      <c r="AA414" t="str">
        <f>CONCATENATE(Tabella1[[#This Row],[GG]],Tabella1[[#This Row],[Nome]])</f>
        <v>2Esposito F.P.</v>
      </c>
      <c r="AB414" t="str">
        <f t="shared" si="11"/>
        <v>2ATL. IMPROVVISATO</v>
      </c>
      <c r="AC414" t="str">
        <f>_xlfn.CONCAT(Tabella1[[#This Row],[Ruolo]],Tabella1[[#This Row],[Gs]])</f>
        <v>A0</v>
      </c>
    </row>
    <row r="415" spans="1:29" hidden="1" x14ac:dyDescent="0.3">
      <c r="A415" s="14">
        <v>46261</v>
      </c>
      <c r="B415" s="15">
        <v>2</v>
      </c>
      <c r="C415" s="321" t="s">
        <v>777</v>
      </c>
      <c r="D415" s="330" t="s">
        <v>5</v>
      </c>
      <c r="E415" s="330" t="s">
        <v>780</v>
      </c>
      <c r="F415" s="331">
        <v>6.5</v>
      </c>
      <c r="G415" s="332">
        <v>0</v>
      </c>
      <c r="H415" s="332">
        <v>0</v>
      </c>
      <c r="I415" s="332">
        <v>0</v>
      </c>
      <c r="J415" s="332">
        <v>0</v>
      </c>
      <c r="K415" s="332">
        <v>0</v>
      </c>
      <c r="L415" s="332">
        <v>0</v>
      </c>
      <c r="M415" s="332">
        <v>0</v>
      </c>
      <c r="N415" s="332">
        <v>0</v>
      </c>
      <c r="O415" s="332">
        <v>0</v>
      </c>
      <c r="P415" s="284"/>
      <c r="Q415" s="284">
        <f t="shared" ref="Q415:Q462" si="12">IF(AC415="P0",1,0)</f>
        <v>1</v>
      </c>
      <c r="R415" s="3" t="str">
        <f>_xlfn.IFNA(VLOOKUP(Tabella1[[#This Row],[Nome]],'ROSE SQUADRE'!$N$3:$O$253,2,0),"")</f>
        <v>TRICCHETRACHT</v>
      </c>
      <c r="S415" s="193">
        <f>SUM(Tabella1[[#This Row],[Gf]],Tabella1[[#This Row],[Rf]])</f>
        <v>0</v>
      </c>
      <c r="T415" s="193"/>
      <c r="U415" s="285" t="str">
        <f>IF(Tabella1[[#This Row],[N° FantaTit]]="","",Tabella1[[#This Row],[fanta voto]])</f>
        <v/>
      </c>
      <c r="V415" s="193">
        <f>SUM(Tabella1[[#This Row],[Voto]],(G415*3),Q415,P415,O415,-(N415),(-M415/2),(-L415*2),(-H415),(I415*3),(-J415*3),(K415*3))</f>
        <v>7.5</v>
      </c>
      <c r="W415" s="193"/>
      <c r="X415" s="193" t="str">
        <f>IF(Tabella1[[#This Row],[Best 11]]=1,Tabella1[[#This Row],[fanta voto]],"")</f>
        <v/>
      </c>
      <c r="Z415" s="193" t="str">
        <f>IF(Tabella1[[#This Row],[Best 11 MOD]]=1,Tabella1[[#This Row],[fanta voto]],"")</f>
        <v/>
      </c>
      <c r="AA415" t="str">
        <f>CONCATENATE(Tabella1[[#This Row],[GG]],Tabella1[[#This Row],[Nome]])</f>
        <v>2Vicario</v>
      </c>
      <c r="AB415" t="str">
        <f t="shared" ref="AB415:AB462" si="13">CONCATENATE(B415,R415,T415)</f>
        <v>2TRICCHETRACHT</v>
      </c>
      <c r="AC415" t="str">
        <f>_xlfn.CONCAT(Tabella1[[#This Row],[Ruolo]],Tabella1[[#This Row],[Gs]])</f>
        <v>P0</v>
      </c>
    </row>
    <row r="416" spans="1:29" hidden="1" x14ac:dyDescent="0.3">
      <c r="A416" s="14">
        <v>46261</v>
      </c>
      <c r="B416" s="15">
        <v>2</v>
      </c>
      <c r="C416" s="321" t="s">
        <v>777</v>
      </c>
      <c r="D416" t="s">
        <v>161</v>
      </c>
      <c r="E416" t="s">
        <v>244</v>
      </c>
      <c r="F416" s="194">
        <v>6.5</v>
      </c>
      <c r="G416" s="328">
        <v>0</v>
      </c>
      <c r="H416" s="328">
        <v>0</v>
      </c>
      <c r="I416" s="328">
        <v>0</v>
      </c>
      <c r="J416" s="328">
        <v>0</v>
      </c>
      <c r="K416" s="328">
        <v>0</v>
      </c>
      <c r="L416" s="328">
        <v>0</v>
      </c>
      <c r="M416" s="328">
        <v>0</v>
      </c>
      <c r="N416" s="328">
        <v>0</v>
      </c>
      <c r="O416" s="328">
        <v>0</v>
      </c>
      <c r="P416" s="284"/>
      <c r="Q416" s="284">
        <f t="shared" si="12"/>
        <v>0</v>
      </c>
      <c r="R416" s="3" t="str">
        <f>_xlfn.IFNA(VLOOKUP(Tabella1[[#This Row],[Nome]],'ROSE SQUADRE'!$N$3:$O$253,2,0),"")</f>
        <v>SESTO ASENSIO</v>
      </c>
      <c r="S416" s="193">
        <f>SUM(Tabella1[[#This Row],[Gf]],Tabella1[[#This Row],[Rf]])</f>
        <v>0</v>
      </c>
      <c r="T416" s="193"/>
      <c r="U416" s="285" t="str">
        <f>IF(Tabella1[[#This Row],[N° FantaTit]]="","",Tabella1[[#This Row],[fanta voto]])</f>
        <v/>
      </c>
      <c r="V416" s="193">
        <f>SUM(Tabella1[[#This Row],[Voto]],(G416*3),Q416,P416,O416,-(N416),(-M416/2),(-L416*2),(-H416),(I416*3),(-J416*3),(K416*3))</f>
        <v>6.5</v>
      </c>
      <c r="W416" s="193"/>
      <c r="X416" s="193" t="str">
        <f>IF(Tabella1[[#This Row],[Best 11]]=1,Tabella1[[#This Row],[fanta voto]],"")</f>
        <v/>
      </c>
      <c r="Z416" s="193" t="str">
        <f>IF(Tabella1[[#This Row],[Best 11 MOD]]=1,Tabella1[[#This Row],[fanta voto]],"")</f>
        <v/>
      </c>
      <c r="AA416" t="str">
        <f>CONCATENATE(Tabella1[[#This Row],[GG]],Tabella1[[#This Row],[Nome]])</f>
        <v>2Bremer</v>
      </c>
      <c r="AB416" t="str">
        <f t="shared" si="13"/>
        <v>2SESTO ASENSIO</v>
      </c>
      <c r="AC416" t="str">
        <f>_xlfn.CONCAT(Tabella1[[#This Row],[Ruolo]],Tabella1[[#This Row],[Gs]])</f>
        <v>D0</v>
      </c>
    </row>
    <row r="417" spans="1:29" hidden="1" x14ac:dyDescent="0.3">
      <c r="A417" s="14">
        <v>46261</v>
      </c>
      <c r="B417" s="15">
        <v>2</v>
      </c>
      <c r="C417" s="321" t="s">
        <v>777</v>
      </c>
      <c r="D417" s="330" t="s">
        <v>161</v>
      </c>
      <c r="E417" s="330" t="s">
        <v>321</v>
      </c>
      <c r="F417" s="331">
        <v>6</v>
      </c>
      <c r="G417" s="332">
        <v>0</v>
      </c>
      <c r="H417" s="332">
        <v>0</v>
      </c>
      <c r="I417" s="332">
        <v>0</v>
      </c>
      <c r="J417" s="332">
        <v>0</v>
      </c>
      <c r="K417" s="332">
        <v>0</v>
      </c>
      <c r="L417" s="332">
        <v>0</v>
      </c>
      <c r="M417" s="332">
        <v>0</v>
      </c>
      <c r="N417" s="332">
        <v>0</v>
      </c>
      <c r="O417" s="332">
        <v>0</v>
      </c>
      <c r="P417" s="284"/>
      <c r="Q417" s="284">
        <f t="shared" si="12"/>
        <v>0</v>
      </c>
      <c r="R417" s="3" t="str">
        <f>_xlfn.IFNA(VLOOKUP(Tabella1[[#This Row],[Nome]],'ROSE SQUADRE'!$N$3:$O$253,2,0),"")</f>
        <v>FC INTERNAZIOANALE</v>
      </c>
      <c r="S417" s="193">
        <f>SUM(Tabella1[[#This Row],[Gf]],Tabella1[[#This Row],[Rf]])</f>
        <v>0</v>
      </c>
      <c r="T417" s="193"/>
      <c r="U417" s="285" t="str">
        <f>IF(Tabella1[[#This Row],[N° FantaTit]]="","",Tabella1[[#This Row],[fanta voto]])</f>
        <v/>
      </c>
      <c r="V417" s="193">
        <f>SUM(Tabella1[[#This Row],[Voto]],(G417*3),Q417,P417,O417,-(N417),(-M417/2),(-L417*2),(-H417),(I417*3),(-J417*3),(K417*3))</f>
        <v>6</v>
      </c>
      <c r="W417" s="193"/>
      <c r="X417" s="193" t="str">
        <f>IF(Tabella1[[#This Row],[Best 11]]=1,Tabella1[[#This Row],[fanta voto]],"")</f>
        <v/>
      </c>
      <c r="Z417" s="193" t="str">
        <f>IF(Tabella1[[#This Row],[Best 11 MOD]]=1,Tabella1[[#This Row],[fanta voto]],"")</f>
        <v/>
      </c>
      <c r="AA417" t="str">
        <f>CONCATENATE(Tabella1[[#This Row],[GG]],Tabella1[[#This Row],[Nome]])</f>
        <v>2Celik</v>
      </c>
      <c r="AB417" t="str">
        <f t="shared" si="13"/>
        <v>2FC INTERNAZIOANALE</v>
      </c>
      <c r="AC417" t="str">
        <f>_xlfn.CONCAT(Tabella1[[#This Row],[Ruolo]],Tabella1[[#This Row],[Gs]])</f>
        <v>D0</v>
      </c>
    </row>
    <row r="418" spans="1:29" hidden="1" x14ac:dyDescent="0.3">
      <c r="A418" s="14">
        <v>46261</v>
      </c>
      <c r="B418" s="15">
        <v>2</v>
      </c>
      <c r="C418" s="321" t="s">
        <v>777</v>
      </c>
      <c r="D418" t="s">
        <v>161</v>
      </c>
      <c r="E418" t="s">
        <v>781</v>
      </c>
      <c r="F418" s="194">
        <v>6.5</v>
      </c>
      <c r="G418" s="328">
        <v>0</v>
      </c>
      <c r="H418" s="328">
        <v>0</v>
      </c>
      <c r="I418" s="328">
        <v>0</v>
      </c>
      <c r="J418" s="328">
        <v>0</v>
      </c>
      <c r="K418" s="328">
        <v>0</v>
      </c>
      <c r="L418" s="328">
        <v>0</v>
      </c>
      <c r="M418" s="328">
        <v>0</v>
      </c>
      <c r="N418" s="328">
        <v>0</v>
      </c>
      <c r="O418" s="328">
        <v>0</v>
      </c>
      <c r="P418" s="284"/>
      <c r="Q418" s="284">
        <f t="shared" si="12"/>
        <v>0</v>
      </c>
      <c r="R418" s="3" t="str">
        <f>_xlfn.IFNA(VLOOKUP(Tabella1[[#This Row],[Nome]],'ROSE SQUADRE'!$N$3:$O$253,2,0),"")</f>
        <v>AC ASPARAGHESE</v>
      </c>
      <c r="S418" s="193">
        <f>SUM(Tabella1[[#This Row],[Gf]],Tabella1[[#This Row],[Rf]])</f>
        <v>0</v>
      </c>
      <c r="T418" s="193"/>
      <c r="U418" s="285" t="str">
        <f>IF(Tabella1[[#This Row],[N° FantaTit]]="","",Tabella1[[#This Row],[fanta voto]])</f>
        <v/>
      </c>
      <c r="V418" s="193">
        <f>SUM(Tabella1[[#This Row],[Voto]],(G418*3),Q418,P418,O418,-(N418),(-M418/2),(-L418*2),(-H418),(I418*3),(-J418*3),(K418*3))</f>
        <v>6.5</v>
      </c>
      <c r="W418" s="193"/>
      <c r="X418" s="193" t="str">
        <f>IF(Tabella1[[#This Row],[Best 11]]=1,Tabella1[[#This Row],[fanta voto]],"")</f>
        <v/>
      </c>
      <c r="Z418" s="193" t="str">
        <f>IF(Tabella1[[#This Row],[Best 11 MOD]]=1,Tabella1[[#This Row],[fanta voto]],"")</f>
        <v/>
      </c>
      <c r="AA418" t="str">
        <f>CONCATENATE(Tabella1[[#This Row],[GG]],Tabella1[[#This Row],[Nome]])</f>
        <v>2Kalulu</v>
      </c>
      <c r="AB418" t="str">
        <f t="shared" si="13"/>
        <v>2AC ASPARAGHESE</v>
      </c>
      <c r="AC418" t="str">
        <f>_xlfn.CONCAT(Tabella1[[#This Row],[Ruolo]],Tabella1[[#This Row],[Gs]])</f>
        <v>D0</v>
      </c>
    </row>
    <row r="419" spans="1:29" hidden="1" x14ac:dyDescent="0.3">
      <c r="A419" s="14">
        <v>46261</v>
      </c>
      <c r="B419" s="15">
        <v>2</v>
      </c>
      <c r="C419" s="321" t="s">
        <v>777</v>
      </c>
      <c r="D419" t="s">
        <v>161</v>
      </c>
      <c r="E419" t="s">
        <v>783</v>
      </c>
      <c r="F419" s="194">
        <v>5.5</v>
      </c>
      <c r="G419" s="328">
        <v>0</v>
      </c>
      <c r="H419" s="328">
        <v>0</v>
      </c>
      <c r="I419" s="328">
        <v>0</v>
      </c>
      <c r="J419" s="328">
        <v>0</v>
      </c>
      <c r="K419" s="328">
        <v>0</v>
      </c>
      <c r="L419" s="328">
        <v>0</v>
      </c>
      <c r="M419" s="329">
        <v>1</v>
      </c>
      <c r="N419" s="328">
        <v>0</v>
      </c>
      <c r="O419" s="328">
        <v>0</v>
      </c>
      <c r="P419" s="284"/>
      <c r="Q419" s="284">
        <f t="shared" si="12"/>
        <v>0</v>
      </c>
      <c r="R419" s="3" t="str">
        <f>_xlfn.IFNA(VLOOKUP(Tabella1[[#This Row],[Nome]],'ROSE SQUADRE'!$N$3:$O$253,2,0),"")</f>
        <v>SESTO ASENSIO</v>
      </c>
      <c r="S419" s="193">
        <f>SUM(Tabella1[[#This Row],[Gf]],Tabella1[[#This Row],[Rf]])</f>
        <v>0</v>
      </c>
      <c r="T419" s="193"/>
      <c r="U419" s="285" t="str">
        <f>IF(Tabella1[[#This Row],[N° FantaTit]]="","",Tabella1[[#This Row],[fanta voto]])</f>
        <v/>
      </c>
      <c r="V419" s="193">
        <f>SUM(Tabella1[[#This Row],[Voto]],(G419*3),Q419,P419,O419,-(N419),(-M419/2),(-L419*2),(-H419),(I419*3),(-J419*3),(K419*3))</f>
        <v>5</v>
      </c>
      <c r="W419" s="193"/>
      <c r="X419" s="193" t="str">
        <f>IF(Tabella1[[#This Row],[Best 11]]=1,Tabella1[[#This Row],[fanta voto]],"")</f>
        <v/>
      </c>
      <c r="Z419" s="193" t="str">
        <f>IF(Tabella1[[#This Row],[Best 11 MOD]]=1,Tabella1[[#This Row],[fanta voto]],"")</f>
        <v/>
      </c>
      <c r="AA419" t="str">
        <f>CONCATENATE(Tabella1[[#This Row],[GG]],Tabella1[[#This Row],[Nome]])</f>
        <v>2Lucumì</v>
      </c>
      <c r="AB419" t="str">
        <f t="shared" si="13"/>
        <v>2SESTO ASENSIO</v>
      </c>
      <c r="AC419" t="str">
        <f>_xlfn.CONCAT(Tabella1[[#This Row],[Ruolo]],Tabella1[[#This Row],[Gs]])</f>
        <v>D0</v>
      </c>
    </row>
    <row r="420" spans="1:29" hidden="1" x14ac:dyDescent="0.3">
      <c r="A420" s="14">
        <v>46261</v>
      </c>
      <c r="B420" s="15">
        <v>2</v>
      </c>
      <c r="C420" s="321" t="s">
        <v>777</v>
      </c>
      <c r="D420" s="330" t="s">
        <v>161</v>
      </c>
      <c r="E420" s="330" t="s">
        <v>782</v>
      </c>
      <c r="F420" s="331">
        <v>6</v>
      </c>
      <c r="G420" s="332">
        <v>0</v>
      </c>
      <c r="H420" s="332">
        <v>0</v>
      </c>
      <c r="I420" s="332">
        <v>0</v>
      </c>
      <c r="J420" s="332">
        <v>0</v>
      </c>
      <c r="K420" s="332">
        <v>0</v>
      </c>
      <c r="L420" s="332">
        <v>0</v>
      </c>
      <c r="M420" s="332">
        <v>0</v>
      </c>
      <c r="N420" s="332">
        <v>0</v>
      </c>
      <c r="O420" s="332">
        <v>0</v>
      </c>
      <c r="P420" s="284"/>
      <c r="Q420" s="284">
        <f t="shared" si="12"/>
        <v>0</v>
      </c>
      <c r="R420" s="3" t="str">
        <f>_xlfn.IFNA(VLOOKUP(Tabella1[[#This Row],[Nome]],'ROSE SQUADRE'!$N$3:$O$253,2,0),"")</f>
        <v/>
      </c>
      <c r="S420" s="193">
        <f>SUM(Tabella1[[#This Row],[Gf]],Tabella1[[#This Row],[Rf]])</f>
        <v>0</v>
      </c>
      <c r="T420" s="193"/>
      <c r="U420" s="285" t="str">
        <f>IF(Tabella1[[#This Row],[N° FantaTit]]="","",Tabella1[[#This Row],[fanta voto]])</f>
        <v/>
      </c>
      <c r="V420" s="193">
        <f>SUM(Tabella1[[#This Row],[Voto]],(G420*3),Q420,P420,O420,-(N420),(-M420/2),(-L420*2),(-H420),(I420*3),(-J420*3),(K420*3))</f>
        <v>6</v>
      </c>
      <c r="W420" s="193"/>
      <c r="X420" s="193" t="str">
        <f>IF(Tabella1[[#This Row],[Best 11]]=1,Tabella1[[#This Row],[fanta voto]],"")</f>
        <v/>
      </c>
      <c r="Z420" s="193" t="str">
        <f>IF(Tabella1[[#This Row],[Best 11 MOD]]=1,Tabella1[[#This Row],[fanta voto]],"")</f>
        <v/>
      </c>
      <c r="AA420" t="str">
        <f>CONCATENATE(Tabella1[[#This Row],[GG]],Tabella1[[#This Row],[Nome]])</f>
        <v>2Kelly L.</v>
      </c>
      <c r="AB420" t="str">
        <f t="shared" si="13"/>
        <v>2</v>
      </c>
      <c r="AC420" t="str">
        <f>_xlfn.CONCAT(Tabella1[[#This Row],[Ruolo]],Tabella1[[#This Row],[Gs]])</f>
        <v>D0</v>
      </c>
    </row>
    <row r="421" spans="1:29" hidden="1" x14ac:dyDescent="0.3">
      <c r="A421" s="14">
        <v>46261</v>
      </c>
      <c r="B421" s="15">
        <v>2</v>
      </c>
      <c r="C421" s="321" t="s">
        <v>777</v>
      </c>
      <c r="D421" t="s">
        <v>162</v>
      </c>
      <c r="E421" t="s">
        <v>263</v>
      </c>
      <c r="F421" s="194">
        <v>7</v>
      </c>
      <c r="G421" s="328">
        <v>0</v>
      </c>
      <c r="H421" s="328">
        <v>0</v>
      </c>
      <c r="I421" s="328">
        <v>0</v>
      </c>
      <c r="J421" s="328">
        <v>0</v>
      </c>
      <c r="K421" s="328">
        <v>0</v>
      </c>
      <c r="L421" s="328">
        <v>0</v>
      </c>
      <c r="M421" s="329">
        <v>1</v>
      </c>
      <c r="N421" s="328">
        <v>0</v>
      </c>
      <c r="O421" s="329">
        <v>1</v>
      </c>
      <c r="P421" s="284"/>
      <c r="Q421" s="284">
        <f t="shared" si="12"/>
        <v>0</v>
      </c>
      <c r="R421" s="3" t="str">
        <f>_xlfn.IFNA(VLOOKUP(Tabella1[[#This Row],[Nome]],'ROSE SQUADRE'!$N$3:$O$253,2,0),"")</f>
        <v>ATL. IMPROVVISATO</v>
      </c>
      <c r="S421" s="193">
        <f>SUM(Tabella1[[#This Row],[Gf]],Tabella1[[#This Row],[Rf]])</f>
        <v>0</v>
      </c>
      <c r="T421" s="193"/>
      <c r="U421" s="285" t="str">
        <f>IF(Tabella1[[#This Row],[N° FantaTit]]="","",Tabella1[[#This Row],[fanta voto]])</f>
        <v/>
      </c>
      <c r="V421" s="193">
        <f>SUM(Tabella1[[#This Row],[Voto]],(G421*3),Q421,P421,O421,-(N421),(-M421/2),(-L421*2),(-H421),(I421*3),(-J421*3),(K421*3))</f>
        <v>7.5</v>
      </c>
      <c r="W421" s="193"/>
      <c r="X421" s="193" t="str">
        <f>IF(Tabella1[[#This Row],[Best 11]]=1,Tabella1[[#This Row],[fanta voto]],"")</f>
        <v/>
      </c>
      <c r="Z421" s="193" t="str">
        <f>IF(Tabella1[[#This Row],[Best 11 MOD]]=1,Tabella1[[#This Row],[fanta voto]],"")</f>
        <v/>
      </c>
      <c r="AA421" t="str">
        <f>CONCATENATE(Tabella1[[#This Row],[GG]],Tabella1[[#This Row],[Nome]])</f>
        <v>2Locatelli</v>
      </c>
      <c r="AB421" t="str">
        <f t="shared" si="13"/>
        <v>2ATL. IMPROVVISATO</v>
      </c>
      <c r="AC421" t="str">
        <f>_xlfn.CONCAT(Tabella1[[#This Row],[Ruolo]],Tabella1[[#This Row],[Gs]])</f>
        <v>C0</v>
      </c>
    </row>
    <row r="422" spans="1:29" hidden="1" x14ac:dyDescent="0.3">
      <c r="A422" s="14">
        <v>46261</v>
      </c>
      <c r="B422" s="15">
        <v>2</v>
      </c>
      <c r="C422" s="321" t="s">
        <v>777</v>
      </c>
      <c r="D422" s="330" t="s">
        <v>162</v>
      </c>
      <c r="E422" s="330" t="s">
        <v>1016</v>
      </c>
      <c r="F422" s="331">
        <v>7.5</v>
      </c>
      <c r="G422" s="333">
        <v>1</v>
      </c>
      <c r="H422" s="332">
        <v>0</v>
      </c>
      <c r="I422" s="332">
        <v>0</v>
      </c>
      <c r="J422" s="332">
        <v>0</v>
      </c>
      <c r="K422" s="332">
        <v>0</v>
      </c>
      <c r="L422" s="332">
        <v>0</v>
      </c>
      <c r="M422" s="332">
        <v>0</v>
      </c>
      <c r="N422" s="332">
        <v>0</v>
      </c>
      <c r="O422" s="332">
        <v>0</v>
      </c>
      <c r="P422" s="284">
        <v>1</v>
      </c>
      <c r="Q422" s="284">
        <f t="shared" si="12"/>
        <v>0</v>
      </c>
      <c r="R422" s="3" t="str">
        <f>_xlfn.IFNA(VLOOKUP(Tabella1[[#This Row],[Nome]],'ROSE SQUADRE'!$N$3:$O$253,2,0),"")</f>
        <v>SESTO ASENSIO</v>
      </c>
      <c r="S422" s="193">
        <f>SUM(Tabella1[[#This Row],[Gf]],Tabella1[[#This Row],[Rf]])</f>
        <v>1</v>
      </c>
      <c r="T422" s="193"/>
      <c r="U422" s="285" t="str">
        <f>IF(Tabella1[[#This Row],[N° FantaTit]]="","",Tabella1[[#This Row],[fanta voto]])</f>
        <v/>
      </c>
      <c r="V422" s="193">
        <f>SUM(Tabella1[[#This Row],[Voto]],(G422*3),Q422,P422,O422,-(N422),(-M422/2),(-L422*2),(-H422),(I422*3),(-J422*3),(K422*3))</f>
        <v>11.5</v>
      </c>
      <c r="W422" s="193"/>
      <c r="X422" s="193" t="str">
        <f>IF(Tabella1[[#This Row],[Best 11]]=1,Tabella1[[#This Row],[fanta voto]],"")</f>
        <v/>
      </c>
      <c r="Z422" s="193" t="str">
        <f>IF(Tabella1[[#This Row],[Best 11 MOD]]=1,Tabella1[[#This Row],[fanta voto]],"")</f>
        <v/>
      </c>
      <c r="AA422" t="str">
        <f>CONCATENATE(Tabella1[[#This Row],[GG]],Tabella1[[#This Row],[Nome]])</f>
        <v>2Gonzalez N.</v>
      </c>
      <c r="AB422" t="str">
        <f t="shared" si="13"/>
        <v>2SESTO ASENSIO</v>
      </c>
      <c r="AC422" t="str">
        <f>_xlfn.CONCAT(Tabella1[[#This Row],[Ruolo]],Tabella1[[#This Row],[Gs]])</f>
        <v>C0</v>
      </c>
    </row>
    <row r="423" spans="1:29" hidden="1" x14ac:dyDescent="0.3">
      <c r="A423" s="14">
        <v>46261</v>
      </c>
      <c r="B423" s="15">
        <v>2</v>
      </c>
      <c r="C423" s="321" t="s">
        <v>777</v>
      </c>
      <c r="D423" t="s">
        <v>162</v>
      </c>
      <c r="E423" t="s">
        <v>533</v>
      </c>
      <c r="F423" s="194">
        <v>6</v>
      </c>
      <c r="G423" s="328">
        <v>0</v>
      </c>
      <c r="H423" s="328">
        <v>0</v>
      </c>
      <c r="I423" s="328">
        <v>0</v>
      </c>
      <c r="J423" s="328">
        <v>0</v>
      </c>
      <c r="K423" s="328">
        <v>0</v>
      </c>
      <c r="L423" s="328">
        <v>0</v>
      </c>
      <c r="M423" s="328">
        <v>0</v>
      </c>
      <c r="N423" s="328">
        <v>0</v>
      </c>
      <c r="O423" s="328">
        <v>0</v>
      </c>
      <c r="P423" s="284"/>
      <c r="Q423" s="284">
        <f t="shared" si="12"/>
        <v>0</v>
      </c>
      <c r="R423" s="3" t="str">
        <f>_xlfn.IFNA(VLOOKUP(Tabella1[[#This Row],[Nome]],'ROSE SQUADRE'!$N$3:$O$253,2,0),"")</f>
        <v>AS PIPPERIA</v>
      </c>
      <c r="S423" s="193">
        <f>SUM(Tabella1[[#This Row],[Gf]],Tabella1[[#This Row],[Rf]])</f>
        <v>0</v>
      </c>
      <c r="T423" s="193"/>
      <c r="U423" s="285" t="str">
        <f>IF(Tabella1[[#This Row],[N° FantaTit]]="","",Tabella1[[#This Row],[fanta voto]])</f>
        <v/>
      </c>
      <c r="V423" s="193">
        <f>SUM(Tabella1[[#This Row],[Voto]],(G423*3),Q423,P423,O423,-(N423),(-M423/2),(-L423*2),(-H423),(I423*3),(-J423*3),(K423*3))</f>
        <v>6</v>
      </c>
      <c r="W423" s="193"/>
      <c r="X423" s="193" t="str">
        <f>IF(Tabella1[[#This Row],[Best 11]]=1,Tabella1[[#This Row],[fanta voto]],"")</f>
        <v/>
      </c>
      <c r="Z423" s="193" t="str">
        <f>IF(Tabella1[[#This Row],[Best 11 MOD]]=1,Tabella1[[#This Row],[fanta voto]],"")</f>
        <v/>
      </c>
      <c r="AA423" t="str">
        <f>CONCATENATE(Tabella1[[#This Row],[GG]],Tabella1[[#This Row],[Nome]])</f>
        <v>2Douglas Luiz</v>
      </c>
      <c r="AB423" t="str">
        <f t="shared" si="13"/>
        <v>2AS PIPPERIA</v>
      </c>
      <c r="AC423" t="str">
        <f>_xlfn.CONCAT(Tabella1[[#This Row],[Ruolo]],Tabella1[[#This Row],[Gs]])</f>
        <v>C0</v>
      </c>
    </row>
    <row r="424" spans="1:29" hidden="1" x14ac:dyDescent="0.3">
      <c r="A424" s="14">
        <v>46261</v>
      </c>
      <c r="B424" s="15">
        <v>2</v>
      </c>
      <c r="C424" s="321" t="s">
        <v>777</v>
      </c>
      <c r="D424" s="330" t="s">
        <v>162</v>
      </c>
      <c r="E424" s="330" t="s">
        <v>787</v>
      </c>
      <c r="F424" s="331">
        <v>7</v>
      </c>
      <c r="G424" s="333">
        <v>1</v>
      </c>
      <c r="H424" s="332">
        <v>0</v>
      </c>
      <c r="I424" s="332">
        <v>0</v>
      </c>
      <c r="J424" s="332">
        <v>0</v>
      </c>
      <c r="K424" s="332">
        <v>0</v>
      </c>
      <c r="L424" s="332">
        <v>0</v>
      </c>
      <c r="M424" s="332">
        <v>0</v>
      </c>
      <c r="N424" s="332">
        <v>0</v>
      </c>
      <c r="O424" s="332">
        <v>0</v>
      </c>
      <c r="P424" s="284"/>
      <c r="Q424" s="284">
        <f t="shared" si="12"/>
        <v>0</v>
      </c>
      <c r="R424" s="3" t="str">
        <f>_xlfn.IFNA(VLOOKUP(Tabella1[[#This Row],[Nome]],'ROSE SQUADRE'!$N$3:$O$253,2,0),"")</f>
        <v>SESTO ASENSIO</v>
      </c>
      <c r="S424" s="193">
        <f>SUM(Tabella1[[#This Row],[Gf]],Tabella1[[#This Row],[Rf]])</f>
        <v>1</v>
      </c>
      <c r="T424" s="193"/>
      <c r="U424" s="285" t="str">
        <f>IF(Tabella1[[#This Row],[N° FantaTit]]="","",Tabella1[[#This Row],[fanta voto]])</f>
        <v/>
      </c>
      <c r="V424" s="193">
        <f>SUM(Tabella1[[#This Row],[Voto]],(G424*3),Q424,P424,O424,-(N424),(-M424/2),(-L424*2),(-H424),(I424*3),(-J424*3),(K424*3))</f>
        <v>10</v>
      </c>
      <c r="W424" s="193"/>
      <c r="X424" s="193" t="str">
        <f>IF(Tabella1[[#This Row],[Best 11]]=1,Tabella1[[#This Row],[fanta voto]],"")</f>
        <v/>
      </c>
      <c r="Z424" s="193" t="str">
        <f>IF(Tabella1[[#This Row],[Best 11 MOD]]=1,Tabella1[[#This Row],[fanta voto]],"")</f>
        <v/>
      </c>
      <c r="AA424" t="str">
        <f>CONCATENATE(Tabella1[[#This Row],[GG]],Tabella1[[#This Row],[Nome]])</f>
        <v>2Koopmeiners</v>
      </c>
      <c r="AB424" t="str">
        <f t="shared" si="13"/>
        <v>2SESTO ASENSIO</v>
      </c>
      <c r="AC424" t="str">
        <f>_xlfn.CONCAT(Tabella1[[#This Row],[Ruolo]],Tabella1[[#This Row],[Gs]])</f>
        <v>C0</v>
      </c>
    </row>
    <row r="425" spans="1:29" hidden="1" x14ac:dyDescent="0.3">
      <c r="A425" s="14">
        <v>46261</v>
      </c>
      <c r="B425" s="15">
        <v>2</v>
      </c>
      <c r="C425" s="321" t="s">
        <v>777</v>
      </c>
      <c r="D425" t="s">
        <v>162</v>
      </c>
      <c r="E425" t="s">
        <v>786</v>
      </c>
      <c r="F425" s="194">
        <v>6.5</v>
      </c>
      <c r="G425" s="328">
        <v>0</v>
      </c>
      <c r="H425" s="328">
        <v>0</v>
      </c>
      <c r="I425" s="328">
        <v>0</v>
      </c>
      <c r="J425" s="328">
        <v>0</v>
      </c>
      <c r="K425" s="328">
        <v>0</v>
      </c>
      <c r="L425" s="328">
        <v>0</v>
      </c>
      <c r="M425" s="328">
        <v>0</v>
      </c>
      <c r="N425" s="328">
        <v>0</v>
      </c>
      <c r="O425" s="328">
        <v>0</v>
      </c>
      <c r="P425" s="284"/>
      <c r="Q425" s="284">
        <f t="shared" si="12"/>
        <v>0</v>
      </c>
      <c r="R425" s="3" t="str">
        <f>_xlfn.IFNA(VLOOKUP(Tabella1[[#This Row],[Nome]],'ROSE SQUADRE'!$N$3:$O$253,2,0),"")</f>
        <v>SAN GRIA</v>
      </c>
      <c r="S425" s="193">
        <f>SUM(Tabella1[[#This Row],[Gf]],Tabella1[[#This Row],[Rf]])</f>
        <v>0</v>
      </c>
      <c r="T425" s="193"/>
      <c r="U425" s="285" t="str">
        <f>IF(Tabella1[[#This Row],[N° FantaTit]]="","",Tabella1[[#This Row],[fanta voto]])</f>
        <v/>
      </c>
      <c r="V425" s="193">
        <f>SUM(Tabella1[[#This Row],[Voto]],(G425*3),Q425,P425,O425,-(N425),(-M425/2),(-L425*2),(-H425),(I425*3),(-J425*3),(K425*3))</f>
        <v>6.5</v>
      </c>
      <c r="W425" s="193"/>
      <c r="X425" s="193" t="str">
        <f>IF(Tabella1[[#This Row],[Best 11]]=1,Tabella1[[#This Row],[fanta voto]],"")</f>
        <v/>
      </c>
      <c r="Z425" s="193" t="str">
        <f>IF(Tabella1[[#This Row],[Best 11 MOD]]=1,Tabella1[[#This Row],[fanta voto]],"")</f>
        <v/>
      </c>
      <c r="AA425" t="str">
        <f>CONCATENATE(Tabella1[[#This Row],[GG]],Tabella1[[#This Row],[Nome]])</f>
        <v>2Conceicao</v>
      </c>
      <c r="AB425" t="str">
        <f t="shared" si="13"/>
        <v>2SAN GRIA</v>
      </c>
      <c r="AC425" t="str">
        <f>_xlfn.CONCAT(Tabella1[[#This Row],[Ruolo]],Tabella1[[#This Row],[Gs]])</f>
        <v>C0</v>
      </c>
    </row>
    <row r="426" spans="1:29" hidden="1" x14ac:dyDescent="0.3">
      <c r="A426" s="14">
        <v>46261</v>
      </c>
      <c r="B426" s="15">
        <v>2</v>
      </c>
      <c r="C426" s="321" t="s">
        <v>777</v>
      </c>
      <c r="D426" s="330" t="s">
        <v>162</v>
      </c>
      <c r="E426" s="330" t="s">
        <v>785</v>
      </c>
      <c r="F426" s="331">
        <v>5.5</v>
      </c>
      <c r="G426" s="332">
        <v>0</v>
      </c>
      <c r="H426" s="332">
        <v>0</v>
      </c>
      <c r="I426" s="332">
        <v>0</v>
      </c>
      <c r="J426" s="332">
        <v>0</v>
      </c>
      <c r="K426" s="332">
        <v>0</v>
      </c>
      <c r="L426" s="332">
        <v>0</v>
      </c>
      <c r="M426" s="332">
        <v>0</v>
      </c>
      <c r="N426" s="332">
        <v>0</v>
      </c>
      <c r="O426" s="332">
        <v>0</v>
      </c>
      <c r="P426" s="284"/>
      <c r="Q426" s="284">
        <f t="shared" si="12"/>
        <v>0</v>
      </c>
      <c r="R426" s="3" t="str">
        <f>_xlfn.IFNA(VLOOKUP(Tabella1[[#This Row],[Nome]],'ROSE SQUADRE'!$N$3:$O$253,2,0),"")</f>
        <v>AC ASPARAGHESE</v>
      </c>
      <c r="S426" s="193">
        <f>SUM(Tabella1[[#This Row],[Gf]],Tabella1[[#This Row],[Rf]])</f>
        <v>0</v>
      </c>
      <c r="T426" s="193"/>
      <c r="U426" s="285" t="str">
        <f>IF(Tabella1[[#This Row],[N° FantaTit]]="","",Tabella1[[#This Row],[fanta voto]])</f>
        <v/>
      </c>
      <c r="V426" s="193">
        <f>SUM(Tabella1[[#This Row],[Voto]],(G426*3),Q426,P426,O426,-(N426),(-M426/2),(-L426*2),(-H426),(I426*3),(-J426*3),(K426*3))</f>
        <v>5.5</v>
      </c>
      <c r="W426" s="193"/>
      <c r="X426" s="193" t="str">
        <f>IF(Tabella1[[#This Row],[Best 11]]=1,Tabella1[[#This Row],[fanta voto]],"")</f>
        <v/>
      </c>
      <c r="Z426" s="193" t="str">
        <f>IF(Tabella1[[#This Row],[Best 11 MOD]]=1,Tabella1[[#This Row],[fanta voto]],"")</f>
        <v/>
      </c>
      <c r="AA426" t="str">
        <f>CONCATENATE(Tabella1[[#This Row],[GG]],Tabella1[[#This Row],[Nome]])</f>
        <v>2Alajbegovic</v>
      </c>
      <c r="AB426" t="str">
        <f t="shared" si="13"/>
        <v>2AC ASPARAGHESE</v>
      </c>
      <c r="AC426" t="str">
        <f>_xlfn.CONCAT(Tabella1[[#This Row],[Ruolo]],Tabella1[[#This Row],[Gs]])</f>
        <v>C0</v>
      </c>
    </row>
    <row r="427" spans="1:29" hidden="1" x14ac:dyDescent="0.3">
      <c r="A427" s="14">
        <v>46261</v>
      </c>
      <c r="B427" s="15">
        <v>2</v>
      </c>
      <c r="C427" s="321" t="s">
        <v>777</v>
      </c>
      <c r="D427" t="s">
        <v>163</v>
      </c>
      <c r="E427" t="s">
        <v>791</v>
      </c>
      <c r="F427" s="194">
        <v>6</v>
      </c>
      <c r="G427" s="328">
        <v>0</v>
      </c>
      <c r="H427" s="328">
        <v>0</v>
      </c>
      <c r="I427" s="328">
        <v>0</v>
      </c>
      <c r="J427" s="328">
        <v>0</v>
      </c>
      <c r="K427" s="328">
        <v>0</v>
      </c>
      <c r="L427" s="328">
        <v>0</v>
      </c>
      <c r="M427" s="328">
        <v>0</v>
      </c>
      <c r="N427" s="328">
        <v>0</v>
      </c>
      <c r="O427" s="328">
        <v>0</v>
      </c>
      <c r="P427" s="284"/>
      <c r="Q427" s="284">
        <f t="shared" si="12"/>
        <v>0</v>
      </c>
      <c r="R427" s="3" t="str">
        <f>_xlfn.IFNA(VLOOKUP(Tabella1[[#This Row],[Nome]],'ROSE SQUADRE'!$N$3:$O$253,2,0),"")</f>
        <v>TRICCHETRACHT</v>
      </c>
      <c r="S427" s="193">
        <f>SUM(Tabella1[[#This Row],[Gf]],Tabella1[[#This Row],[Rf]])</f>
        <v>0</v>
      </c>
      <c r="T427" s="193"/>
      <c r="U427" s="285" t="str">
        <f>IF(Tabella1[[#This Row],[N° FantaTit]]="","",Tabella1[[#This Row],[fanta voto]])</f>
        <v/>
      </c>
      <c r="V427" s="193">
        <f>SUM(Tabella1[[#This Row],[Voto]],(G427*3),Q427,P427,O427,-(N427),(-M427/2),(-L427*2),(-H427),(I427*3),(-J427*3),(K427*3))</f>
        <v>6</v>
      </c>
      <c r="W427" s="193"/>
      <c r="X427" s="193" t="str">
        <f>IF(Tabella1[[#This Row],[Best 11]]=1,Tabella1[[#This Row],[fanta voto]],"")</f>
        <v/>
      </c>
      <c r="Z427" s="193" t="str">
        <f>IF(Tabella1[[#This Row],[Best 11 MOD]]=1,Tabella1[[#This Row],[fanta voto]],"")</f>
        <v/>
      </c>
      <c r="AA427" t="str">
        <f>CONCATENATE(Tabella1[[#This Row],[GG]],Tabella1[[#This Row],[Nome]])</f>
        <v>2Boga</v>
      </c>
      <c r="AB427" t="str">
        <f t="shared" si="13"/>
        <v>2TRICCHETRACHT</v>
      </c>
      <c r="AC427" t="str">
        <f>_xlfn.CONCAT(Tabella1[[#This Row],[Ruolo]],Tabella1[[#This Row],[Gs]])</f>
        <v>A0</v>
      </c>
    </row>
    <row r="428" spans="1:29" hidden="1" x14ac:dyDescent="0.3">
      <c r="A428" s="14">
        <v>46261</v>
      </c>
      <c r="B428" s="15">
        <v>2</v>
      </c>
      <c r="C428" s="321" t="s">
        <v>777</v>
      </c>
      <c r="D428" s="330" t="s">
        <v>163</v>
      </c>
      <c r="E428" s="330" t="s">
        <v>792</v>
      </c>
      <c r="F428" s="331">
        <v>5</v>
      </c>
      <c r="G428" s="332">
        <v>0</v>
      </c>
      <c r="H428" s="332">
        <v>0</v>
      </c>
      <c r="I428" s="332">
        <v>0</v>
      </c>
      <c r="J428" s="332">
        <v>0</v>
      </c>
      <c r="K428" s="332">
        <v>0</v>
      </c>
      <c r="L428" s="332">
        <v>0</v>
      </c>
      <c r="M428" s="332">
        <v>0</v>
      </c>
      <c r="N428" s="332">
        <v>0</v>
      </c>
      <c r="O428" s="332">
        <v>0</v>
      </c>
      <c r="P428" s="284"/>
      <c r="Q428" s="284">
        <f t="shared" si="12"/>
        <v>0</v>
      </c>
      <c r="R428" s="3" t="str">
        <f>_xlfn.IFNA(VLOOKUP(Tabella1[[#This Row],[Nome]],'ROSE SQUADRE'!$N$3:$O$253,2,0),"")</f>
        <v/>
      </c>
      <c r="S428" s="193">
        <f>SUM(Tabella1[[#This Row],[Gf]],Tabella1[[#This Row],[Rf]])</f>
        <v>0</v>
      </c>
      <c r="T428" s="193"/>
      <c r="U428" s="285" t="str">
        <f>IF(Tabella1[[#This Row],[N° FantaTit]]="","",Tabella1[[#This Row],[fanta voto]])</f>
        <v/>
      </c>
      <c r="V428" s="193">
        <f>SUM(Tabella1[[#This Row],[Voto]],(G428*3),Q428,P428,O428,-(N428),(-M428/2),(-L428*2),(-H428),(I428*3),(-J428*3),(K428*3))</f>
        <v>5</v>
      </c>
      <c r="W428" s="193"/>
      <c r="X428" s="193" t="str">
        <f>IF(Tabella1[[#This Row],[Best 11]]=1,Tabella1[[#This Row],[fanta voto]],"")</f>
        <v/>
      </c>
      <c r="Z428" s="193" t="str">
        <f>IF(Tabella1[[#This Row],[Best 11 MOD]]=1,Tabella1[[#This Row],[fanta voto]],"")</f>
        <v/>
      </c>
      <c r="AA428" t="str">
        <f>CONCATENATE(Tabella1[[#This Row],[GG]],Tabella1[[#This Row],[Nome]])</f>
        <v>2David</v>
      </c>
      <c r="AB428" t="str">
        <f t="shared" si="13"/>
        <v>2</v>
      </c>
      <c r="AC428" t="str">
        <f>_xlfn.CONCAT(Tabella1[[#This Row],[Ruolo]],Tabella1[[#This Row],[Gs]])</f>
        <v>A0</v>
      </c>
    </row>
    <row r="429" spans="1:29" hidden="1" x14ac:dyDescent="0.3">
      <c r="A429" s="14">
        <v>46261</v>
      </c>
      <c r="B429" s="15">
        <v>2</v>
      </c>
      <c r="C429" s="321" t="s">
        <v>777</v>
      </c>
      <c r="D429" t="s">
        <v>163</v>
      </c>
      <c r="E429" t="s">
        <v>793</v>
      </c>
      <c r="F429" s="194">
        <v>6</v>
      </c>
      <c r="G429" s="328">
        <v>0</v>
      </c>
      <c r="H429" s="328">
        <v>0</v>
      </c>
      <c r="I429" s="328">
        <v>0</v>
      </c>
      <c r="J429" s="328">
        <v>0</v>
      </c>
      <c r="K429" s="328">
        <v>0</v>
      </c>
      <c r="L429" s="328">
        <v>0</v>
      </c>
      <c r="M429" s="328">
        <v>0</v>
      </c>
      <c r="N429" s="328">
        <v>0</v>
      </c>
      <c r="O429" s="328">
        <v>0</v>
      </c>
      <c r="P429" s="284"/>
      <c r="Q429" s="284">
        <f t="shared" si="12"/>
        <v>0</v>
      </c>
      <c r="R429" s="3" t="str">
        <f>_xlfn.IFNA(VLOOKUP(Tabella1[[#This Row],[Nome]],'ROSE SQUADRE'!$N$3:$O$253,2,0),"")</f>
        <v>SAN GRIA</v>
      </c>
      <c r="S429" s="193">
        <f>SUM(Tabella1[[#This Row],[Gf]],Tabella1[[#This Row],[Rf]])</f>
        <v>0</v>
      </c>
      <c r="T429" s="193"/>
      <c r="U429" s="285" t="str">
        <f>IF(Tabella1[[#This Row],[N° FantaTit]]="","",Tabella1[[#This Row],[fanta voto]])</f>
        <v/>
      </c>
      <c r="V429" s="193">
        <f>SUM(Tabella1[[#This Row],[Voto]],(G429*3),Q429,P429,O429,-(N429),(-M429/2),(-L429*2),(-H429),(I429*3),(-J429*3),(K429*3))</f>
        <v>6</v>
      </c>
      <c r="W429" s="193"/>
      <c r="X429" s="193" t="str">
        <f>IF(Tabella1[[#This Row],[Best 11]]=1,Tabella1[[#This Row],[fanta voto]],"")</f>
        <v/>
      </c>
      <c r="Z429" s="193" t="str">
        <f>IF(Tabella1[[#This Row],[Best 11 MOD]]=1,Tabella1[[#This Row],[fanta voto]],"")</f>
        <v/>
      </c>
      <c r="AA429" t="str">
        <f>CONCATENATE(Tabella1[[#This Row],[GG]],Tabella1[[#This Row],[Nome]])</f>
        <v>2Kolo Muani</v>
      </c>
      <c r="AB429" t="str">
        <f t="shared" si="13"/>
        <v>2SAN GRIA</v>
      </c>
      <c r="AC429" t="str">
        <f>_xlfn.CONCAT(Tabella1[[#This Row],[Ruolo]],Tabella1[[#This Row],[Gs]])</f>
        <v>A0</v>
      </c>
    </row>
    <row r="430" spans="1:29" hidden="1" x14ac:dyDescent="0.3">
      <c r="A430" s="14">
        <v>46261</v>
      </c>
      <c r="B430" s="15">
        <v>2</v>
      </c>
      <c r="C430" s="321" t="s">
        <v>796</v>
      </c>
      <c r="D430" t="s">
        <v>5</v>
      </c>
      <c r="E430" t="s">
        <v>795</v>
      </c>
      <c r="F430" s="194">
        <v>6</v>
      </c>
      <c r="G430" s="328">
        <v>0</v>
      </c>
      <c r="H430" s="328">
        <v>0</v>
      </c>
      <c r="I430" s="328">
        <v>0</v>
      </c>
      <c r="J430" s="328">
        <v>0</v>
      </c>
      <c r="K430" s="328">
        <v>0</v>
      </c>
      <c r="L430" s="328">
        <v>0</v>
      </c>
      <c r="M430" s="328">
        <v>0</v>
      </c>
      <c r="N430" s="328">
        <v>0</v>
      </c>
      <c r="O430" s="328">
        <v>0</v>
      </c>
      <c r="P430" s="284"/>
      <c r="Q430" s="284">
        <f t="shared" si="12"/>
        <v>1</v>
      </c>
      <c r="R430" s="3" t="str">
        <f>_xlfn.IFNA(VLOOKUP(Tabella1[[#This Row],[Nome]],'ROSE SQUADRE'!$N$3:$O$253,2,0),"")</f>
        <v>AS PIPPERIA</v>
      </c>
      <c r="S430" s="193">
        <f>SUM(Tabella1[[#This Row],[Gf]],Tabella1[[#This Row],[Rf]])</f>
        <v>0</v>
      </c>
      <c r="T430" s="193"/>
      <c r="U430" s="285" t="str">
        <f>IF(Tabella1[[#This Row],[N° FantaTit]]="","",Tabella1[[#This Row],[fanta voto]])</f>
        <v/>
      </c>
      <c r="V430" s="193">
        <f>SUM(Tabella1[[#This Row],[Voto]],(G430*3),Q430,P430,O430,-(N430),(-M430/2),(-L430*2),(-H430),(I430*3),(-J430*3),(K430*3))</f>
        <v>7</v>
      </c>
      <c r="W430" s="193"/>
      <c r="X430" s="193" t="str">
        <f>IF(Tabella1[[#This Row],[Best 11]]=1,Tabella1[[#This Row],[fanta voto]],"")</f>
        <v/>
      </c>
      <c r="Z430" s="193" t="str">
        <f>IF(Tabella1[[#This Row],[Best 11 MOD]]=1,Tabella1[[#This Row],[fanta voto]],"")</f>
        <v/>
      </c>
      <c r="AA430" t="str">
        <f>CONCATENATE(Tabella1[[#This Row],[GG]],Tabella1[[#This Row],[Nome]])</f>
        <v>2Mandas</v>
      </c>
      <c r="AB430" t="str">
        <f t="shared" si="13"/>
        <v>2AS PIPPERIA</v>
      </c>
      <c r="AC430" t="str">
        <f>_xlfn.CONCAT(Tabella1[[#This Row],[Ruolo]],Tabella1[[#This Row],[Gs]])</f>
        <v>P0</v>
      </c>
    </row>
    <row r="431" spans="1:29" hidden="1" x14ac:dyDescent="0.3">
      <c r="A431" s="14">
        <v>46261</v>
      </c>
      <c r="B431" s="15">
        <v>2</v>
      </c>
      <c r="C431" s="321" t="s">
        <v>796</v>
      </c>
      <c r="D431" t="s">
        <v>161</v>
      </c>
      <c r="E431" t="s">
        <v>801</v>
      </c>
      <c r="F431" s="194">
        <v>6</v>
      </c>
      <c r="G431" s="328">
        <v>0</v>
      </c>
      <c r="H431" s="328">
        <v>0</v>
      </c>
      <c r="I431" s="328">
        <v>0</v>
      </c>
      <c r="J431" s="328">
        <v>0</v>
      </c>
      <c r="K431" s="328">
        <v>0</v>
      </c>
      <c r="L431" s="328">
        <v>0</v>
      </c>
      <c r="M431" s="328">
        <v>0</v>
      </c>
      <c r="N431" s="328">
        <v>0</v>
      </c>
      <c r="O431" s="328">
        <v>0</v>
      </c>
      <c r="P431" s="284"/>
      <c r="Q431" s="284">
        <f t="shared" si="12"/>
        <v>0</v>
      </c>
      <c r="R431" s="3" t="str">
        <f>_xlfn.IFNA(VLOOKUP(Tabella1[[#This Row],[Nome]],'ROSE SQUADRE'!$N$3:$O$253,2,0),"")</f>
        <v>TRICCHETRACHT</v>
      </c>
      <c r="S431" s="193">
        <f>SUM(Tabella1[[#This Row],[Gf]],Tabella1[[#This Row],[Rf]])</f>
        <v>0</v>
      </c>
      <c r="T431" s="193"/>
      <c r="U431" s="285" t="str">
        <f>IF(Tabella1[[#This Row],[N° FantaTit]]="","",Tabella1[[#This Row],[fanta voto]])</f>
        <v/>
      </c>
      <c r="V431" s="193">
        <f>SUM(Tabella1[[#This Row],[Voto]],(G431*3),Q431,P431,O431,-(N431),(-M431/2),(-L431*2),(-H431),(I431*3),(-J431*3),(K431*3))</f>
        <v>6</v>
      </c>
      <c r="W431" s="193"/>
      <c r="X431" s="193" t="str">
        <f>IF(Tabella1[[#This Row],[Best 11]]=1,Tabella1[[#This Row],[fanta voto]],"")</f>
        <v/>
      </c>
      <c r="Z431" s="193" t="str">
        <f>IF(Tabella1[[#This Row],[Best 11 MOD]]=1,Tabella1[[#This Row],[fanta voto]],"")</f>
        <v/>
      </c>
      <c r="AA431" t="str">
        <f>CONCATENATE(Tabella1[[#This Row],[GG]],Tabella1[[#This Row],[Nome]])</f>
        <v>2Pedraza</v>
      </c>
      <c r="AB431" t="str">
        <f t="shared" si="13"/>
        <v>2TRICCHETRACHT</v>
      </c>
      <c r="AC431" t="str">
        <f>_xlfn.CONCAT(Tabella1[[#This Row],[Ruolo]],Tabella1[[#This Row],[Gs]])</f>
        <v>D0</v>
      </c>
    </row>
    <row r="432" spans="1:29" hidden="1" x14ac:dyDescent="0.3">
      <c r="A432" s="14">
        <v>46261</v>
      </c>
      <c r="B432" s="15">
        <v>2</v>
      </c>
      <c r="C432" s="321" t="s">
        <v>796</v>
      </c>
      <c r="D432" s="330" t="s">
        <v>161</v>
      </c>
      <c r="E432" s="330" t="s">
        <v>804</v>
      </c>
      <c r="F432" s="331">
        <v>6.5</v>
      </c>
      <c r="G432" s="332">
        <v>0</v>
      </c>
      <c r="H432" s="332">
        <v>0</v>
      </c>
      <c r="I432" s="332">
        <v>0</v>
      </c>
      <c r="J432" s="332">
        <v>0</v>
      </c>
      <c r="K432" s="332">
        <v>0</v>
      </c>
      <c r="L432" s="332">
        <v>0</v>
      </c>
      <c r="M432" s="332">
        <v>0</v>
      </c>
      <c r="N432" s="332">
        <v>0</v>
      </c>
      <c r="O432" s="333">
        <v>1</v>
      </c>
      <c r="P432" s="284"/>
      <c r="Q432" s="284">
        <f t="shared" si="12"/>
        <v>0</v>
      </c>
      <c r="R432" s="3" t="str">
        <f>_xlfn.IFNA(VLOOKUP(Tabella1[[#This Row],[Nome]],'ROSE SQUADRE'!$N$3:$O$253,2,0),"")</f>
        <v>SAN GRIA</v>
      </c>
      <c r="S432" s="193">
        <f>SUM(Tabella1[[#This Row],[Gf]],Tabella1[[#This Row],[Rf]])</f>
        <v>0</v>
      </c>
      <c r="T432" s="193"/>
      <c r="U432" s="285" t="str">
        <f>IF(Tabella1[[#This Row],[N° FantaTit]]="","",Tabella1[[#This Row],[fanta voto]])</f>
        <v/>
      </c>
      <c r="V432" s="193">
        <f>SUM(Tabella1[[#This Row],[Voto]],(G432*3),Q432,P432,O432,-(N432),(-M432/2),(-L432*2),(-H432),(I432*3),(-J432*3),(K432*3))</f>
        <v>7.5</v>
      </c>
      <c r="W432" s="193"/>
      <c r="X432" s="193" t="str">
        <f>IF(Tabella1[[#This Row],[Best 11]]=1,Tabella1[[#This Row],[fanta voto]],"")</f>
        <v/>
      </c>
      <c r="Z432" s="193" t="str">
        <f>IF(Tabella1[[#This Row],[Best 11 MOD]]=1,Tabella1[[#This Row],[fanta voto]],"")</f>
        <v/>
      </c>
      <c r="AA432" t="str">
        <f>CONCATENATE(Tabella1[[#This Row],[GG]],Tabella1[[#This Row],[Nome]])</f>
        <v>2Tavares N.</v>
      </c>
      <c r="AB432" t="str">
        <f t="shared" si="13"/>
        <v>2SAN GRIA</v>
      </c>
      <c r="AC432" t="str">
        <f>_xlfn.CONCAT(Tabella1[[#This Row],[Ruolo]],Tabella1[[#This Row],[Gs]])</f>
        <v>D0</v>
      </c>
    </row>
    <row r="433" spans="1:29" hidden="1" x14ac:dyDescent="0.3">
      <c r="A433" s="14">
        <v>46261</v>
      </c>
      <c r="B433" s="15">
        <v>2</v>
      </c>
      <c r="C433" s="321" t="s">
        <v>796</v>
      </c>
      <c r="D433" t="s">
        <v>161</v>
      </c>
      <c r="E433" t="s">
        <v>799</v>
      </c>
      <c r="F433" s="194">
        <v>6</v>
      </c>
      <c r="G433" s="328">
        <v>0</v>
      </c>
      <c r="H433" s="328">
        <v>0</v>
      </c>
      <c r="I433" s="328">
        <v>0</v>
      </c>
      <c r="J433" s="328">
        <v>0</v>
      </c>
      <c r="K433" s="328">
        <v>0</v>
      </c>
      <c r="L433" s="328">
        <v>0</v>
      </c>
      <c r="M433" s="328">
        <v>0</v>
      </c>
      <c r="N433" s="328">
        <v>0</v>
      </c>
      <c r="O433" s="328">
        <v>0</v>
      </c>
      <c r="P433" s="284"/>
      <c r="Q433" s="284">
        <f t="shared" si="12"/>
        <v>0</v>
      </c>
      <c r="R433" s="3" t="str">
        <f>_xlfn.IFNA(VLOOKUP(Tabella1[[#This Row],[Nome]],'ROSE SQUADRE'!$N$3:$O$253,2,0),"")</f>
        <v>AC ASPARAGHESE</v>
      </c>
      <c r="S433" s="193">
        <f>SUM(Tabella1[[#This Row],[Gf]],Tabella1[[#This Row],[Rf]])</f>
        <v>0</v>
      </c>
      <c r="T433" s="193"/>
      <c r="U433" s="285" t="str">
        <f>IF(Tabella1[[#This Row],[N° FantaTit]]="","",Tabella1[[#This Row],[fanta voto]])</f>
        <v/>
      </c>
      <c r="V433" s="193">
        <f>SUM(Tabella1[[#This Row],[Voto]],(G433*3),Q433,P433,O433,-(N433),(-M433/2),(-L433*2),(-H433),(I433*3),(-J433*3),(K433*3))</f>
        <v>6</v>
      </c>
      <c r="W433" s="193"/>
      <c r="X433" s="193" t="str">
        <f>IF(Tabella1[[#This Row],[Best 11]]=1,Tabella1[[#This Row],[fanta voto]],"")</f>
        <v/>
      </c>
      <c r="Z433" s="193" t="str">
        <f>IF(Tabella1[[#This Row],[Best 11 MOD]]=1,Tabella1[[#This Row],[fanta voto]],"")</f>
        <v/>
      </c>
      <c r="AA433" t="str">
        <f>CONCATENATE(Tabella1[[#This Row],[GG]],Tabella1[[#This Row],[Nome]])</f>
        <v>2Doekhi</v>
      </c>
      <c r="AB433" t="str">
        <f t="shared" si="13"/>
        <v>2AC ASPARAGHESE</v>
      </c>
      <c r="AC433" t="str">
        <f>_xlfn.CONCAT(Tabella1[[#This Row],[Ruolo]],Tabella1[[#This Row],[Gs]])</f>
        <v>D0</v>
      </c>
    </row>
    <row r="434" spans="1:29" hidden="1" x14ac:dyDescent="0.3">
      <c r="A434" s="14">
        <v>46261</v>
      </c>
      <c r="B434" s="15">
        <v>2</v>
      </c>
      <c r="C434" s="321" t="s">
        <v>796</v>
      </c>
      <c r="D434" s="330" t="s">
        <v>161</v>
      </c>
      <c r="E434" s="330" t="s">
        <v>803</v>
      </c>
      <c r="F434" s="331">
        <v>6</v>
      </c>
      <c r="G434" s="332">
        <v>0</v>
      </c>
      <c r="H434" s="332">
        <v>0</v>
      </c>
      <c r="I434" s="332">
        <v>0</v>
      </c>
      <c r="J434" s="332">
        <v>0</v>
      </c>
      <c r="K434" s="332">
        <v>0</v>
      </c>
      <c r="L434" s="332">
        <v>0</v>
      </c>
      <c r="M434" s="332">
        <v>0</v>
      </c>
      <c r="N434" s="332">
        <v>0</v>
      </c>
      <c r="O434" s="332">
        <v>0</v>
      </c>
      <c r="P434" s="284"/>
      <c r="Q434" s="284">
        <f t="shared" si="12"/>
        <v>0</v>
      </c>
      <c r="R434" s="3" t="str">
        <f>_xlfn.IFNA(VLOOKUP(Tabella1[[#This Row],[Nome]],'ROSE SQUADRE'!$N$3:$O$253,2,0),"")</f>
        <v/>
      </c>
      <c r="S434" s="193">
        <f>SUM(Tabella1[[#This Row],[Gf]],Tabella1[[#This Row],[Rf]])</f>
        <v>0</v>
      </c>
      <c r="T434" s="193"/>
      <c r="U434" s="285" t="str">
        <f>IF(Tabella1[[#This Row],[N° FantaTit]]="","",Tabella1[[#This Row],[fanta voto]])</f>
        <v/>
      </c>
      <c r="V434" s="193">
        <f>SUM(Tabella1[[#This Row],[Voto]],(G434*3),Q434,P434,O434,-(N434),(-M434/2),(-L434*2),(-H434),(I434*3),(-J434*3),(K434*3))</f>
        <v>6</v>
      </c>
      <c r="W434" s="193"/>
      <c r="X434" s="193" t="str">
        <f>IF(Tabella1[[#This Row],[Best 11]]=1,Tabella1[[#This Row],[fanta voto]],"")</f>
        <v/>
      </c>
      <c r="Z434" s="193" t="str">
        <f>IF(Tabella1[[#This Row],[Best 11 MOD]]=1,Tabella1[[#This Row],[fanta voto]],"")</f>
        <v/>
      </c>
      <c r="AA434" t="str">
        <f>CONCATENATE(Tabella1[[#This Row],[GG]],Tabella1[[#This Row],[Nome]])</f>
        <v>2Provstgaard</v>
      </c>
      <c r="AB434" t="str">
        <f t="shared" si="13"/>
        <v>2</v>
      </c>
      <c r="AC434" t="str">
        <f>_xlfn.CONCAT(Tabella1[[#This Row],[Ruolo]],Tabella1[[#This Row],[Gs]])</f>
        <v>D0</v>
      </c>
    </row>
    <row r="435" spans="1:29" hidden="1" x14ac:dyDescent="0.3">
      <c r="A435" s="14">
        <v>46261</v>
      </c>
      <c r="B435" s="15">
        <v>2</v>
      </c>
      <c r="C435" s="321" t="s">
        <v>796</v>
      </c>
      <c r="D435" t="s">
        <v>161</v>
      </c>
      <c r="E435" t="s">
        <v>800</v>
      </c>
      <c r="F435" s="194">
        <v>6.5</v>
      </c>
      <c r="G435" s="328">
        <v>0</v>
      </c>
      <c r="H435" s="328">
        <v>0</v>
      </c>
      <c r="I435" s="328">
        <v>0</v>
      </c>
      <c r="J435" s="328">
        <v>0</v>
      </c>
      <c r="K435" s="328">
        <v>0</v>
      </c>
      <c r="L435" s="328">
        <v>0</v>
      </c>
      <c r="M435" s="328">
        <v>0</v>
      </c>
      <c r="N435" s="328">
        <v>0</v>
      </c>
      <c r="O435" s="328">
        <v>0</v>
      </c>
      <c r="P435" s="284"/>
      <c r="Q435" s="284">
        <f t="shared" si="12"/>
        <v>0</v>
      </c>
      <c r="R435" s="3" t="str">
        <f>_xlfn.IFNA(VLOOKUP(Tabella1[[#This Row],[Nome]],'ROSE SQUADRE'!$N$3:$O$253,2,0),"")</f>
        <v/>
      </c>
      <c r="S435" s="193">
        <f>SUM(Tabella1[[#This Row],[Gf]],Tabella1[[#This Row],[Rf]])</f>
        <v>0</v>
      </c>
      <c r="T435" s="193"/>
      <c r="U435" s="285" t="str">
        <f>IF(Tabella1[[#This Row],[N° FantaTit]]="","",Tabella1[[#This Row],[fanta voto]])</f>
        <v/>
      </c>
      <c r="V435" s="193">
        <f>SUM(Tabella1[[#This Row],[Voto]],(G435*3),Q435,P435,O435,-(N435),(-M435/2),(-L435*2),(-H435),(I435*3),(-J435*3),(K435*3))</f>
        <v>6.5</v>
      </c>
      <c r="W435" s="193"/>
      <c r="X435" s="193" t="str">
        <f>IF(Tabella1[[#This Row],[Best 11]]=1,Tabella1[[#This Row],[fanta voto]],"")</f>
        <v/>
      </c>
      <c r="Z435" s="193" t="str">
        <f>IF(Tabella1[[#This Row],[Best 11 MOD]]=1,Tabella1[[#This Row],[fanta voto]],"")</f>
        <v/>
      </c>
      <c r="AA435" t="str">
        <f>CONCATENATE(Tabella1[[#This Row],[GG]],Tabella1[[#This Row],[Nome]])</f>
        <v>2Floriani Mussolini</v>
      </c>
      <c r="AB435" t="str">
        <f t="shared" si="13"/>
        <v>2</v>
      </c>
      <c r="AC435" t="str">
        <f>_xlfn.CONCAT(Tabella1[[#This Row],[Ruolo]],Tabella1[[#This Row],[Gs]])</f>
        <v>D0</v>
      </c>
    </row>
    <row r="436" spans="1:29" hidden="1" x14ac:dyDescent="0.3">
      <c r="A436" s="14">
        <v>46261</v>
      </c>
      <c r="B436" s="15">
        <v>2</v>
      </c>
      <c r="C436" s="321" t="s">
        <v>796</v>
      </c>
      <c r="D436" s="330" t="s">
        <v>162</v>
      </c>
      <c r="E436" s="330" t="s">
        <v>302</v>
      </c>
      <c r="F436" s="331">
        <v>6</v>
      </c>
      <c r="G436" s="332">
        <v>0</v>
      </c>
      <c r="H436" s="332">
        <v>0</v>
      </c>
      <c r="I436" s="332">
        <v>0</v>
      </c>
      <c r="J436" s="332">
        <v>0</v>
      </c>
      <c r="K436" s="332">
        <v>0</v>
      </c>
      <c r="L436" s="332">
        <v>0</v>
      </c>
      <c r="M436" s="333">
        <v>1</v>
      </c>
      <c r="N436" s="332">
        <v>0</v>
      </c>
      <c r="O436" s="332">
        <v>0</v>
      </c>
      <c r="P436" s="284"/>
      <c r="Q436" s="284">
        <f t="shared" si="12"/>
        <v>0</v>
      </c>
      <c r="R436" s="3" t="str">
        <f>_xlfn.IFNA(VLOOKUP(Tabella1[[#This Row],[Nome]],'ROSE SQUADRE'!$N$3:$O$253,2,0),"")</f>
        <v>AS PIPPERIA</v>
      </c>
      <c r="S436" s="193">
        <f>SUM(Tabella1[[#This Row],[Gf]],Tabella1[[#This Row],[Rf]])</f>
        <v>0</v>
      </c>
      <c r="T436" s="193"/>
      <c r="U436" s="285" t="str">
        <f>IF(Tabella1[[#This Row],[N° FantaTit]]="","",Tabella1[[#This Row],[fanta voto]])</f>
        <v/>
      </c>
      <c r="V436" s="193">
        <f>SUM(Tabella1[[#This Row],[Voto]],(G436*3),Q436,P436,O436,-(N436),(-M436/2),(-L436*2),(-H436),(I436*3),(-J436*3),(K436*3))</f>
        <v>5.5</v>
      </c>
      <c r="W436" s="193"/>
      <c r="X436" s="193" t="str">
        <f>IF(Tabella1[[#This Row],[Best 11]]=1,Tabella1[[#This Row],[fanta voto]],"")</f>
        <v/>
      </c>
      <c r="Z436" s="193" t="str">
        <f>IF(Tabella1[[#This Row],[Best 11 MOD]]=1,Tabella1[[#This Row],[fanta voto]],"")</f>
        <v/>
      </c>
      <c r="AA436" t="str">
        <f>CONCATENATE(Tabella1[[#This Row],[GG]],Tabella1[[#This Row],[Nome]])</f>
        <v>2Zaccagni</v>
      </c>
      <c r="AB436" t="str">
        <f t="shared" si="13"/>
        <v>2AS PIPPERIA</v>
      </c>
      <c r="AC436" t="str">
        <f>_xlfn.CONCAT(Tabella1[[#This Row],[Ruolo]],Tabella1[[#This Row],[Gs]])</f>
        <v>C0</v>
      </c>
    </row>
    <row r="437" spans="1:29" hidden="1" x14ac:dyDescent="0.3">
      <c r="A437" s="14">
        <v>46261</v>
      </c>
      <c r="B437" s="15">
        <v>2</v>
      </c>
      <c r="C437" s="321" t="s">
        <v>796</v>
      </c>
      <c r="D437" t="s">
        <v>162</v>
      </c>
      <c r="E437" t="s">
        <v>258</v>
      </c>
      <c r="F437" s="194">
        <v>7</v>
      </c>
      <c r="G437" s="329">
        <v>1</v>
      </c>
      <c r="H437" s="328">
        <v>0</v>
      </c>
      <c r="I437" s="328">
        <v>0</v>
      </c>
      <c r="J437" s="328">
        <v>0</v>
      </c>
      <c r="K437" s="328">
        <v>0</v>
      </c>
      <c r="L437" s="328">
        <v>0</v>
      </c>
      <c r="M437" s="328">
        <v>0</v>
      </c>
      <c r="N437" s="328">
        <v>0</v>
      </c>
      <c r="O437" s="328">
        <v>0</v>
      </c>
      <c r="P437" s="284">
        <v>1</v>
      </c>
      <c r="Q437" s="284">
        <f t="shared" si="12"/>
        <v>0</v>
      </c>
      <c r="R437" s="3" t="str">
        <f>_xlfn.IFNA(VLOOKUP(Tabella1[[#This Row],[Nome]],'ROSE SQUADRE'!$N$3:$O$253,2,0),"")</f>
        <v>TRICCHETRACHT</v>
      </c>
      <c r="S437" s="193">
        <f>SUM(Tabella1[[#This Row],[Gf]],Tabella1[[#This Row],[Rf]])</f>
        <v>1</v>
      </c>
      <c r="T437" s="193"/>
      <c r="U437" s="285" t="str">
        <f>IF(Tabella1[[#This Row],[N° FantaTit]]="","",Tabella1[[#This Row],[fanta voto]])</f>
        <v/>
      </c>
      <c r="V437" s="193">
        <f>SUM(Tabella1[[#This Row],[Voto]],(G437*3),Q437,P437,O437,-(N437),(-M437/2),(-L437*2),(-H437),(I437*3),(-J437*3),(K437*3))</f>
        <v>11</v>
      </c>
      <c r="W437" s="193"/>
      <c r="X437" s="193" t="str">
        <f>IF(Tabella1[[#This Row],[Best 11]]=1,Tabella1[[#This Row],[fanta voto]],"")</f>
        <v/>
      </c>
      <c r="Z437" s="193" t="str">
        <f>IF(Tabella1[[#This Row],[Best 11 MOD]]=1,Tabella1[[#This Row],[fanta voto]],"")</f>
        <v/>
      </c>
      <c r="AA437" t="str">
        <f>CONCATENATE(Tabella1[[#This Row],[GG]],Tabella1[[#This Row],[Nome]])</f>
        <v>2Frattesi</v>
      </c>
      <c r="AB437" t="str">
        <f t="shared" si="13"/>
        <v>2TRICCHETRACHT</v>
      </c>
      <c r="AC437" t="str">
        <f>_xlfn.CONCAT(Tabella1[[#This Row],[Ruolo]],Tabella1[[#This Row],[Gs]])</f>
        <v>C0</v>
      </c>
    </row>
    <row r="438" spans="1:29" hidden="1" x14ac:dyDescent="0.3">
      <c r="A438" s="14">
        <v>46261</v>
      </c>
      <c r="B438" s="15">
        <v>2</v>
      </c>
      <c r="C438" s="321" t="s">
        <v>796</v>
      </c>
      <c r="D438" s="330" t="s">
        <v>162</v>
      </c>
      <c r="E438" s="330" t="s">
        <v>339</v>
      </c>
      <c r="F438" s="331">
        <v>6</v>
      </c>
      <c r="G438" s="332">
        <v>0</v>
      </c>
      <c r="H438" s="332">
        <v>0</v>
      </c>
      <c r="I438" s="332">
        <v>0</v>
      </c>
      <c r="J438" s="332">
        <v>0</v>
      </c>
      <c r="K438" s="332">
        <v>0</v>
      </c>
      <c r="L438" s="332">
        <v>0</v>
      </c>
      <c r="M438" s="332">
        <v>0</v>
      </c>
      <c r="N438" s="332">
        <v>0</v>
      </c>
      <c r="O438" s="332">
        <v>0</v>
      </c>
      <c r="P438" s="284"/>
      <c r="Q438" s="284">
        <f t="shared" si="12"/>
        <v>0</v>
      </c>
      <c r="R438" s="3" t="str">
        <f>_xlfn.IFNA(VLOOKUP(Tabella1[[#This Row],[Nome]],'ROSE SQUADRE'!$N$3:$O$253,2,0),"")</f>
        <v/>
      </c>
      <c r="S438" s="193">
        <f>SUM(Tabella1[[#This Row],[Gf]],Tabella1[[#This Row],[Rf]])</f>
        <v>0</v>
      </c>
      <c r="T438" s="193"/>
      <c r="U438" s="285" t="str">
        <f>IF(Tabella1[[#This Row],[N° FantaTit]]="","",Tabella1[[#This Row],[fanta voto]])</f>
        <v/>
      </c>
      <c r="V438" s="193">
        <f>SUM(Tabella1[[#This Row],[Voto]],(G438*3),Q438,P438,O438,-(N438),(-M438/2),(-L438*2),(-H438),(I438*3),(-J438*3),(K438*3))</f>
        <v>6</v>
      </c>
      <c r="W438" s="193"/>
      <c r="X438" s="193" t="str">
        <f>IF(Tabella1[[#This Row],[Best 11]]=1,Tabella1[[#This Row],[fanta voto]],"")</f>
        <v/>
      </c>
      <c r="Z438" s="193" t="str">
        <f>IF(Tabella1[[#This Row],[Best 11 MOD]]=1,Tabella1[[#This Row],[fanta voto]],"")</f>
        <v/>
      </c>
      <c r="AA438" t="str">
        <f>CONCATENATE(Tabella1[[#This Row],[GG]],Tabella1[[#This Row],[Nome]])</f>
        <v>2Rovella</v>
      </c>
      <c r="AB438" t="str">
        <f t="shared" si="13"/>
        <v>2</v>
      </c>
      <c r="AC438" t="str">
        <f>_xlfn.CONCAT(Tabella1[[#This Row],[Ruolo]],Tabella1[[#This Row],[Gs]])</f>
        <v>C0</v>
      </c>
    </row>
    <row r="439" spans="1:29" hidden="1" x14ac:dyDescent="0.3">
      <c r="A439" s="14">
        <v>46261</v>
      </c>
      <c r="B439" s="15">
        <v>2</v>
      </c>
      <c r="C439" s="321" t="s">
        <v>796</v>
      </c>
      <c r="D439" t="s">
        <v>162</v>
      </c>
      <c r="E439" t="s">
        <v>330</v>
      </c>
      <c r="F439" s="194">
        <v>6</v>
      </c>
      <c r="G439" s="328">
        <v>0</v>
      </c>
      <c r="H439" s="328">
        <v>0</v>
      </c>
      <c r="I439" s="328">
        <v>0</v>
      </c>
      <c r="J439" s="328">
        <v>0</v>
      </c>
      <c r="K439" s="328">
        <v>0</v>
      </c>
      <c r="L439" s="328">
        <v>0</v>
      </c>
      <c r="M439" s="328">
        <v>0</v>
      </c>
      <c r="N439" s="328">
        <v>0</v>
      </c>
      <c r="O439" s="328">
        <v>0</v>
      </c>
      <c r="P439" s="284"/>
      <c r="Q439" s="284">
        <f t="shared" si="12"/>
        <v>0</v>
      </c>
      <c r="R439" s="3" t="str">
        <f>_xlfn.IFNA(VLOOKUP(Tabella1[[#This Row],[Nome]],'ROSE SQUADRE'!$N$3:$O$253,2,0),"")</f>
        <v>ATL. IMPROVVISATO</v>
      </c>
      <c r="S439" s="193">
        <f>SUM(Tabella1[[#This Row],[Gf]],Tabella1[[#This Row],[Rf]])</f>
        <v>0</v>
      </c>
      <c r="T439" s="193"/>
      <c r="U439" s="285" t="str">
        <f>IF(Tabella1[[#This Row],[N° FantaTit]]="","",Tabella1[[#This Row],[fanta voto]])</f>
        <v/>
      </c>
      <c r="V439" s="193">
        <f>SUM(Tabella1[[#This Row],[Voto]],(G439*3),Q439,P439,O439,-(N439),(-M439/2),(-L439*2),(-H439),(I439*3),(-J439*3),(K439*3))</f>
        <v>6</v>
      </c>
      <c r="W439" s="193"/>
      <c r="X439" s="193" t="str">
        <f>IF(Tabella1[[#This Row],[Best 11]]=1,Tabella1[[#This Row],[fanta voto]],"")</f>
        <v/>
      </c>
      <c r="Z439" s="193" t="str">
        <f>IF(Tabella1[[#This Row],[Best 11 MOD]]=1,Tabella1[[#This Row],[fanta voto]],"")</f>
        <v/>
      </c>
      <c r="AA439" t="str">
        <f>CONCATENATE(Tabella1[[#This Row],[GG]],Tabella1[[#This Row],[Nome]])</f>
        <v>2Cancellieri</v>
      </c>
      <c r="AB439" t="str">
        <f t="shared" si="13"/>
        <v>2ATL. IMPROVVISATO</v>
      </c>
      <c r="AC439" t="str">
        <f>_xlfn.CONCAT(Tabella1[[#This Row],[Ruolo]],Tabella1[[#This Row],[Gs]])</f>
        <v>C0</v>
      </c>
    </row>
    <row r="440" spans="1:29" hidden="1" x14ac:dyDescent="0.3">
      <c r="A440" s="14">
        <v>46261</v>
      </c>
      <c r="B440" s="15">
        <v>2</v>
      </c>
      <c r="C440" s="321" t="s">
        <v>796</v>
      </c>
      <c r="D440" s="330" t="s">
        <v>162</v>
      </c>
      <c r="E440" s="330" t="s">
        <v>595</v>
      </c>
      <c r="F440" s="331">
        <v>6</v>
      </c>
      <c r="G440" s="332">
        <v>0</v>
      </c>
      <c r="H440" s="332">
        <v>0</v>
      </c>
      <c r="I440" s="332">
        <v>0</v>
      </c>
      <c r="J440" s="332">
        <v>0</v>
      </c>
      <c r="K440" s="332">
        <v>0</v>
      </c>
      <c r="L440" s="332">
        <v>0</v>
      </c>
      <c r="M440" s="332">
        <v>0</v>
      </c>
      <c r="N440" s="332">
        <v>0</v>
      </c>
      <c r="O440" s="332">
        <v>0</v>
      </c>
      <c r="P440" s="284"/>
      <c r="Q440" s="284">
        <f t="shared" si="12"/>
        <v>0</v>
      </c>
      <c r="R440" s="3" t="str">
        <f>_xlfn.IFNA(VLOOKUP(Tabella1[[#This Row],[Nome]],'ROSE SQUADRE'!$N$3:$O$253,2,0),"")</f>
        <v/>
      </c>
      <c r="S440" s="193">
        <f>SUM(Tabella1[[#This Row],[Gf]],Tabella1[[#This Row],[Rf]])</f>
        <v>0</v>
      </c>
      <c r="T440" s="193"/>
      <c r="U440" s="285" t="str">
        <f>IF(Tabella1[[#This Row],[N° FantaTit]]="","",Tabella1[[#This Row],[fanta voto]])</f>
        <v/>
      </c>
      <c r="V440" s="193">
        <f>SUM(Tabella1[[#This Row],[Voto]],(G440*3),Q440,P440,O440,-(N440),(-M440/2),(-L440*2),(-H440),(I440*3),(-J440*3),(K440*3))</f>
        <v>6</v>
      </c>
      <c r="W440" s="193"/>
      <c r="X440" s="193" t="str">
        <f>IF(Tabella1[[#This Row],[Best 11]]=1,Tabella1[[#This Row],[fanta voto]],"")</f>
        <v/>
      </c>
      <c r="Z440" s="193" t="str">
        <f>IF(Tabella1[[#This Row],[Best 11 MOD]]=1,Tabella1[[#This Row],[fanta voto]],"")</f>
        <v/>
      </c>
      <c r="AA440" t="str">
        <f>CONCATENATE(Tabella1[[#This Row],[GG]],Tabella1[[#This Row],[Nome]])</f>
        <v>2Belahyane</v>
      </c>
      <c r="AB440" t="str">
        <f t="shared" si="13"/>
        <v>2</v>
      </c>
      <c r="AC440" t="str">
        <f>_xlfn.CONCAT(Tabella1[[#This Row],[Ruolo]],Tabella1[[#This Row],[Gs]])</f>
        <v>C0</v>
      </c>
    </row>
    <row r="441" spans="1:29" hidden="1" x14ac:dyDescent="0.3">
      <c r="A441" s="14">
        <v>46261</v>
      </c>
      <c r="B441" s="15">
        <v>2</v>
      </c>
      <c r="C441" s="321" t="s">
        <v>796</v>
      </c>
      <c r="D441" t="s">
        <v>162</v>
      </c>
      <c r="E441" t="s">
        <v>457</v>
      </c>
      <c r="F441" s="194">
        <v>6</v>
      </c>
      <c r="G441" s="328">
        <v>0</v>
      </c>
      <c r="H441" s="328">
        <v>0</v>
      </c>
      <c r="I441" s="328">
        <v>0</v>
      </c>
      <c r="J441" s="328">
        <v>0</v>
      </c>
      <c r="K441" s="328">
        <v>0</v>
      </c>
      <c r="L441" s="328">
        <v>0</v>
      </c>
      <c r="M441" s="328">
        <v>0</v>
      </c>
      <c r="N441" s="328">
        <v>0</v>
      </c>
      <c r="O441" s="328">
        <v>0</v>
      </c>
      <c r="P441" s="284"/>
      <c r="Q441" s="284">
        <f t="shared" si="12"/>
        <v>0</v>
      </c>
      <c r="R441" s="3" t="str">
        <f>_xlfn.IFNA(VLOOKUP(Tabella1[[#This Row],[Nome]],'ROSE SQUADRE'!$N$3:$O$253,2,0),"")</f>
        <v>PESCICULINI</v>
      </c>
      <c r="S441" s="193">
        <f>SUM(Tabella1[[#This Row],[Gf]],Tabella1[[#This Row],[Rf]])</f>
        <v>0</v>
      </c>
      <c r="T441" s="193"/>
      <c r="U441" s="285" t="str">
        <f>IF(Tabella1[[#This Row],[N° FantaTit]]="","",Tabella1[[#This Row],[fanta voto]])</f>
        <v/>
      </c>
      <c r="V441" s="193">
        <f>SUM(Tabella1[[#This Row],[Voto]],(G441*3),Q441,P441,O441,-(N441),(-M441/2),(-L441*2),(-H441),(I441*3),(-J441*3),(K441*3))</f>
        <v>6</v>
      </c>
      <c r="W441" s="193"/>
      <c r="X441" s="193" t="str">
        <f>IF(Tabella1[[#This Row],[Best 11]]=1,Tabella1[[#This Row],[fanta voto]],"")</f>
        <v/>
      </c>
      <c r="Z441" s="193" t="str">
        <f>IF(Tabella1[[#This Row],[Best 11 MOD]]=1,Tabella1[[#This Row],[fanta voto]],"")</f>
        <v/>
      </c>
      <c r="AA441" t="str">
        <f>CONCATENATE(Tabella1[[#This Row],[GG]],Tabella1[[#This Row],[Nome]])</f>
        <v>2Isaksen</v>
      </c>
      <c r="AB441" t="str">
        <f t="shared" si="13"/>
        <v>2PESCICULINI</v>
      </c>
      <c r="AC441" t="str">
        <f>_xlfn.CONCAT(Tabella1[[#This Row],[Ruolo]],Tabella1[[#This Row],[Gs]])</f>
        <v>C0</v>
      </c>
    </row>
    <row r="442" spans="1:29" hidden="1" x14ac:dyDescent="0.3">
      <c r="A442" s="14">
        <v>46261</v>
      </c>
      <c r="B442" s="15">
        <v>2</v>
      </c>
      <c r="C442" s="321" t="s">
        <v>796</v>
      </c>
      <c r="D442" s="330" t="s">
        <v>162</v>
      </c>
      <c r="E442" s="330" t="s">
        <v>807</v>
      </c>
      <c r="F442" s="331">
        <v>6</v>
      </c>
      <c r="G442" s="332">
        <v>0</v>
      </c>
      <c r="H442" s="332">
        <v>0</v>
      </c>
      <c r="I442" s="332">
        <v>0</v>
      </c>
      <c r="J442" s="332">
        <v>0</v>
      </c>
      <c r="K442" s="332">
        <v>0</v>
      </c>
      <c r="L442" s="332">
        <v>0</v>
      </c>
      <c r="M442" s="332">
        <v>0</v>
      </c>
      <c r="N442" s="332">
        <v>0</v>
      </c>
      <c r="O442" s="332">
        <v>0</v>
      </c>
      <c r="P442" s="284"/>
      <c r="Q442" s="284">
        <f t="shared" si="12"/>
        <v>0</v>
      </c>
      <c r="R442" s="3" t="str">
        <f>_xlfn.IFNA(VLOOKUP(Tabella1[[#This Row],[Nome]],'ROSE SQUADRE'!$N$3:$O$253,2,0),"")</f>
        <v>SHARK</v>
      </c>
      <c r="S442" s="193">
        <f>SUM(Tabella1[[#This Row],[Gf]],Tabella1[[#This Row],[Rf]])</f>
        <v>0</v>
      </c>
      <c r="T442" s="193"/>
      <c r="U442" s="285" t="str">
        <f>IF(Tabella1[[#This Row],[N° FantaTit]]="","",Tabella1[[#This Row],[fanta voto]])</f>
        <v/>
      </c>
      <c r="V442" s="193">
        <f>SUM(Tabella1[[#This Row],[Voto]],(G442*3),Q442,P442,O442,-(N442),(-M442/2),(-L442*2),(-H442),(I442*3),(-J442*3),(K442*3))</f>
        <v>6</v>
      </c>
      <c r="W442" s="193"/>
      <c r="X442" s="193" t="str">
        <f>IF(Tabella1[[#This Row],[Best 11]]=1,Tabella1[[#This Row],[fanta voto]],"")</f>
        <v/>
      </c>
      <c r="Z442" s="193" t="str">
        <f>IF(Tabella1[[#This Row],[Best 11 MOD]]=1,Tabella1[[#This Row],[fanta voto]],"")</f>
        <v/>
      </c>
      <c r="AA442" t="str">
        <f>CONCATENATE(Tabella1[[#This Row],[GG]],Tabella1[[#This Row],[Nome]])</f>
        <v>2Taylor K.</v>
      </c>
      <c r="AB442" t="str">
        <f t="shared" si="13"/>
        <v>2SHARK</v>
      </c>
      <c r="AC442" t="str">
        <f>_xlfn.CONCAT(Tabella1[[#This Row],[Ruolo]],Tabella1[[#This Row],[Gs]])</f>
        <v>C0</v>
      </c>
    </row>
    <row r="443" spans="1:29" hidden="1" x14ac:dyDescent="0.3">
      <c r="A443" s="14">
        <v>46261</v>
      </c>
      <c r="B443" s="15">
        <v>2</v>
      </c>
      <c r="C443" s="321" t="s">
        <v>796</v>
      </c>
      <c r="D443" s="330" t="s">
        <v>163</v>
      </c>
      <c r="E443" s="330" t="s">
        <v>614</v>
      </c>
      <c r="F443" s="331">
        <v>5.5</v>
      </c>
      <c r="G443" s="332">
        <v>0</v>
      </c>
      <c r="H443" s="332">
        <v>0</v>
      </c>
      <c r="I443" s="332">
        <v>0</v>
      </c>
      <c r="J443" s="332">
        <v>0</v>
      </c>
      <c r="K443" s="332">
        <v>0</v>
      </c>
      <c r="L443" s="332">
        <v>0</v>
      </c>
      <c r="M443" s="332">
        <v>0</v>
      </c>
      <c r="N443" s="332">
        <v>0</v>
      </c>
      <c r="O443" s="332">
        <v>0</v>
      </c>
      <c r="P443" s="284"/>
      <c r="Q443" s="284">
        <f t="shared" si="12"/>
        <v>0</v>
      </c>
      <c r="R443" s="3" t="str">
        <f>_xlfn.IFNA(VLOOKUP(Tabella1[[#This Row],[Nome]],'ROSE SQUADRE'!$N$3:$O$253,2,0),"")</f>
        <v/>
      </c>
      <c r="S443" s="193">
        <f>SUM(Tabella1[[#This Row],[Gf]],Tabella1[[#This Row],[Rf]])</f>
        <v>0</v>
      </c>
      <c r="T443" s="193"/>
      <c r="U443" s="285" t="str">
        <f>IF(Tabella1[[#This Row],[N° FantaTit]]="","",Tabella1[[#This Row],[fanta voto]])</f>
        <v/>
      </c>
      <c r="V443" s="193">
        <f>SUM(Tabella1[[#This Row],[Voto]],(G443*3),Q443,P443,O443,-(N443),(-M443/2),(-L443*2),(-H443),(I443*3),(-J443*3),(K443*3))</f>
        <v>5.5</v>
      </c>
      <c r="W443" s="193"/>
      <c r="X443" s="193" t="str">
        <f>IF(Tabella1[[#This Row],[Best 11]]=1,Tabella1[[#This Row],[fanta voto]],"")</f>
        <v/>
      </c>
      <c r="Z443" s="193" t="str">
        <f>IF(Tabella1[[#This Row],[Best 11 MOD]]=1,Tabella1[[#This Row],[fanta voto]],"")</f>
        <v/>
      </c>
      <c r="AA443" t="str">
        <f>CONCATENATE(Tabella1[[#This Row],[GG]],Tabella1[[#This Row],[Nome]])</f>
        <v>2Dia</v>
      </c>
      <c r="AB443" t="str">
        <f t="shared" si="13"/>
        <v>2</v>
      </c>
      <c r="AC443" t="str">
        <f>_xlfn.CONCAT(Tabella1[[#This Row],[Ruolo]],Tabella1[[#This Row],[Gs]])</f>
        <v>A0</v>
      </c>
    </row>
    <row r="444" spans="1:29" hidden="1" x14ac:dyDescent="0.3">
      <c r="A444" s="14">
        <v>46261</v>
      </c>
      <c r="B444" s="15">
        <v>2</v>
      </c>
      <c r="C444" s="321" t="s">
        <v>810</v>
      </c>
      <c r="D444" s="330" t="s">
        <v>5</v>
      </c>
      <c r="E444" s="330" t="s">
        <v>296</v>
      </c>
      <c r="F444" s="331">
        <v>5.5</v>
      </c>
      <c r="G444" s="332">
        <v>0</v>
      </c>
      <c r="H444" s="333">
        <v>4</v>
      </c>
      <c r="I444" s="332">
        <v>0</v>
      </c>
      <c r="J444" s="332">
        <v>0</v>
      </c>
      <c r="K444" s="332">
        <v>0</v>
      </c>
      <c r="L444" s="332">
        <v>0</v>
      </c>
      <c r="M444" s="332">
        <v>0</v>
      </c>
      <c r="N444" s="332">
        <v>0</v>
      </c>
      <c r="O444" s="332">
        <v>0</v>
      </c>
      <c r="P444" s="284"/>
      <c r="Q444" s="284">
        <f t="shared" si="12"/>
        <v>0</v>
      </c>
      <c r="R444" s="3" t="str">
        <f>_xlfn.IFNA(VLOOKUP(Tabella1[[#This Row],[Nome]],'ROSE SQUADRE'!$N$3:$O$253,2,0),"")</f>
        <v>PARTIZAN DEGRADO</v>
      </c>
      <c r="S444" s="193">
        <f>SUM(Tabella1[[#This Row],[Gf]],Tabella1[[#This Row],[Rf]])</f>
        <v>0</v>
      </c>
      <c r="T444" s="193"/>
      <c r="U444" s="285" t="str">
        <f>IF(Tabella1[[#This Row],[N° FantaTit]]="","",Tabella1[[#This Row],[fanta voto]])</f>
        <v/>
      </c>
      <c r="V444" s="193">
        <f>SUM(Tabella1[[#This Row],[Voto]],(G444*3),Q444,P444,O444,-(N444),(-M444/2),(-L444*2),(-H444),(I444*3),(-J444*3),(K444*3))</f>
        <v>1.5</v>
      </c>
      <c r="W444" s="193"/>
      <c r="X444" s="193" t="str">
        <f>IF(Tabella1[[#This Row],[Best 11]]=1,Tabella1[[#This Row],[fanta voto]],"")</f>
        <v/>
      </c>
      <c r="Z444" s="193" t="str">
        <f>IF(Tabella1[[#This Row],[Best 11 MOD]]=1,Tabella1[[#This Row],[fanta voto]],"")</f>
        <v/>
      </c>
      <c r="AA444" t="str">
        <f>CONCATENATE(Tabella1[[#This Row],[GG]],Tabella1[[#This Row],[Nome]])</f>
        <v>2Falcone</v>
      </c>
      <c r="AB444" t="str">
        <f t="shared" si="13"/>
        <v>2PARTIZAN DEGRADO</v>
      </c>
      <c r="AC444" t="str">
        <f>_xlfn.CONCAT(Tabella1[[#This Row],[Ruolo]],Tabella1[[#This Row],[Gs]])</f>
        <v>P4</v>
      </c>
    </row>
    <row r="445" spans="1:29" hidden="1" x14ac:dyDescent="0.3">
      <c r="A445" s="14">
        <v>46261</v>
      </c>
      <c r="B445" s="15">
        <v>2</v>
      </c>
      <c r="C445" s="321" t="s">
        <v>810</v>
      </c>
      <c r="D445" t="s">
        <v>161</v>
      </c>
      <c r="E445" t="s">
        <v>540</v>
      </c>
      <c r="F445" s="194">
        <v>4</v>
      </c>
      <c r="G445" s="328">
        <v>0</v>
      </c>
      <c r="H445" s="328">
        <v>0</v>
      </c>
      <c r="I445" s="328">
        <v>0</v>
      </c>
      <c r="J445" s="328">
        <v>0</v>
      </c>
      <c r="K445" s="328">
        <v>0</v>
      </c>
      <c r="L445" s="328">
        <v>0</v>
      </c>
      <c r="M445" s="328">
        <v>0</v>
      </c>
      <c r="N445" s="328">
        <v>0</v>
      </c>
      <c r="O445" s="328">
        <v>0</v>
      </c>
      <c r="P445" s="284"/>
      <c r="Q445" s="284">
        <f t="shared" si="12"/>
        <v>0</v>
      </c>
      <c r="R445" s="3" t="str">
        <f>_xlfn.IFNA(VLOOKUP(Tabella1[[#This Row],[Nome]],'ROSE SQUADRE'!$N$3:$O$253,2,0),"")</f>
        <v>AS PIPPERIA</v>
      </c>
      <c r="S445" s="193">
        <f>SUM(Tabella1[[#This Row],[Gf]],Tabella1[[#This Row],[Rf]])</f>
        <v>0</v>
      </c>
      <c r="T445" s="193"/>
      <c r="U445" s="285" t="str">
        <f>IF(Tabella1[[#This Row],[N° FantaTit]]="","",Tabella1[[#This Row],[fanta voto]])</f>
        <v/>
      </c>
      <c r="V445" s="193">
        <f>SUM(Tabella1[[#This Row],[Voto]],(G445*3),Q445,P445,O445,-(N445),(-M445/2),(-L445*2),(-H445),(I445*3),(-J445*3),(K445*3))</f>
        <v>4</v>
      </c>
      <c r="W445" s="193"/>
      <c r="X445" s="193" t="str">
        <f>IF(Tabella1[[#This Row],[Best 11]]=1,Tabella1[[#This Row],[fanta voto]],"")</f>
        <v/>
      </c>
      <c r="Z445" s="193" t="str">
        <f>IF(Tabella1[[#This Row],[Best 11 MOD]]=1,Tabella1[[#This Row],[fanta voto]],"")</f>
        <v/>
      </c>
      <c r="AA445" t="str">
        <f>CONCATENATE(Tabella1[[#This Row],[GG]],Tabella1[[#This Row],[Nome]])</f>
        <v>2Gaspar K.</v>
      </c>
      <c r="AB445" t="str">
        <f t="shared" si="13"/>
        <v>2AS PIPPERIA</v>
      </c>
      <c r="AC445" t="str">
        <f>_xlfn.CONCAT(Tabella1[[#This Row],[Ruolo]],Tabella1[[#This Row],[Gs]])</f>
        <v>D0</v>
      </c>
    </row>
    <row r="446" spans="1:29" hidden="1" x14ac:dyDescent="0.3">
      <c r="A446" s="14">
        <v>46261</v>
      </c>
      <c r="B446" s="15">
        <v>2</v>
      </c>
      <c r="C446" s="321" t="s">
        <v>810</v>
      </c>
      <c r="D446" s="330" t="s">
        <v>161</v>
      </c>
      <c r="E446" s="330" t="s">
        <v>815</v>
      </c>
      <c r="F446" s="331">
        <v>5</v>
      </c>
      <c r="G446" s="332">
        <v>0</v>
      </c>
      <c r="H446" s="332">
        <v>0</v>
      </c>
      <c r="I446" s="332">
        <v>0</v>
      </c>
      <c r="J446" s="332">
        <v>0</v>
      </c>
      <c r="K446" s="332">
        <v>0</v>
      </c>
      <c r="L446" s="332">
        <v>0</v>
      </c>
      <c r="M446" s="332">
        <v>0</v>
      </c>
      <c r="N446" s="332">
        <v>0</v>
      </c>
      <c r="O446" s="332">
        <v>0</v>
      </c>
      <c r="P446" s="284"/>
      <c r="Q446" s="284">
        <f t="shared" si="12"/>
        <v>0</v>
      </c>
      <c r="R446" s="3" t="str">
        <f>_xlfn.IFNA(VLOOKUP(Tabella1[[#This Row],[Nome]],'ROSE SQUADRE'!$N$3:$O$253,2,0),"")</f>
        <v>PARTIZAN DEGRADO</v>
      </c>
      <c r="S446" s="193">
        <f>SUM(Tabella1[[#This Row],[Gf]],Tabella1[[#This Row],[Rf]])</f>
        <v>0</v>
      </c>
      <c r="T446" s="193"/>
      <c r="U446" s="285" t="str">
        <f>IF(Tabella1[[#This Row],[N° FantaTit]]="","",Tabella1[[#This Row],[fanta voto]])</f>
        <v/>
      </c>
      <c r="V446" s="193">
        <f>SUM(Tabella1[[#This Row],[Voto]],(G446*3),Q446,P446,O446,-(N446),(-M446/2),(-L446*2),(-H446),(I446*3),(-J446*3),(K446*3))</f>
        <v>5</v>
      </c>
      <c r="W446" s="193"/>
      <c r="X446" s="193" t="str">
        <f>IF(Tabella1[[#This Row],[Best 11]]=1,Tabella1[[#This Row],[fanta voto]],"")</f>
        <v/>
      </c>
      <c r="Z446" s="193" t="str">
        <f>IF(Tabella1[[#This Row],[Best 11 MOD]]=1,Tabella1[[#This Row],[fanta voto]],"")</f>
        <v/>
      </c>
      <c r="AA446" t="str">
        <f>CONCATENATE(Tabella1[[#This Row],[GG]],Tabella1[[#This Row],[Nome]])</f>
        <v>2Tiago Gabriel</v>
      </c>
      <c r="AB446" t="str">
        <f t="shared" si="13"/>
        <v>2PARTIZAN DEGRADO</v>
      </c>
      <c r="AC446" t="str">
        <f>_xlfn.CONCAT(Tabella1[[#This Row],[Ruolo]],Tabella1[[#This Row],[Gs]])</f>
        <v>D0</v>
      </c>
    </row>
    <row r="447" spans="1:29" hidden="1" x14ac:dyDescent="0.3">
      <c r="A447" s="14">
        <v>46261</v>
      </c>
      <c r="B447" s="15">
        <v>2</v>
      </c>
      <c r="C447" s="321" t="s">
        <v>810</v>
      </c>
      <c r="D447" t="s">
        <v>161</v>
      </c>
      <c r="E447" t="s">
        <v>816</v>
      </c>
      <c r="F447" s="194">
        <v>5</v>
      </c>
      <c r="G447" s="328">
        <v>0</v>
      </c>
      <c r="H447" s="328">
        <v>0</v>
      </c>
      <c r="I447" s="328">
        <v>0</v>
      </c>
      <c r="J447" s="328">
        <v>0</v>
      </c>
      <c r="K447" s="328">
        <v>0</v>
      </c>
      <c r="L447" s="328">
        <v>0</v>
      </c>
      <c r="M447" s="328">
        <v>0</v>
      </c>
      <c r="N447" s="328">
        <v>0</v>
      </c>
      <c r="O447" s="328">
        <v>0</v>
      </c>
      <c r="P447" s="284"/>
      <c r="Q447" s="284">
        <f t="shared" si="12"/>
        <v>0</v>
      </c>
      <c r="R447" s="3" t="str">
        <f>_xlfn.IFNA(VLOOKUP(Tabella1[[#This Row],[Nome]],'ROSE SQUADRE'!$N$3:$O$253,2,0),"")</f>
        <v>TRICCHETRACHT</v>
      </c>
      <c r="S447" s="193">
        <f>SUM(Tabella1[[#This Row],[Gf]],Tabella1[[#This Row],[Rf]])</f>
        <v>0</v>
      </c>
      <c r="T447" s="193"/>
      <c r="U447" s="285" t="str">
        <f>IF(Tabella1[[#This Row],[N° FantaTit]]="","",Tabella1[[#This Row],[fanta voto]])</f>
        <v/>
      </c>
      <c r="V447" s="193">
        <f>SUM(Tabella1[[#This Row],[Voto]],(G447*3),Q447,P447,O447,-(N447),(-M447/2),(-L447*2),(-H447),(I447*3),(-J447*3),(K447*3))</f>
        <v>5</v>
      </c>
      <c r="W447" s="193"/>
      <c r="X447" s="193" t="str">
        <f>IF(Tabella1[[#This Row],[Best 11]]=1,Tabella1[[#This Row],[fanta voto]],"")</f>
        <v/>
      </c>
      <c r="Z447" s="193" t="str">
        <f>IF(Tabella1[[#This Row],[Best 11 MOD]]=1,Tabella1[[#This Row],[fanta voto]],"")</f>
        <v/>
      </c>
      <c r="AA447" t="str">
        <f>CONCATENATE(Tabella1[[#This Row],[GG]],Tabella1[[#This Row],[Nome]])</f>
        <v>2Veiga D.</v>
      </c>
      <c r="AB447" t="str">
        <f t="shared" si="13"/>
        <v>2TRICCHETRACHT</v>
      </c>
      <c r="AC447" t="str">
        <f>_xlfn.CONCAT(Tabella1[[#This Row],[Ruolo]],Tabella1[[#This Row],[Gs]])</f>
        <v>D0</v>
      </c>
    </row>
    <row r="448" spans="1:29" hidden="1" x14ac:dyDescent="0.3">
      <c r="A448" s="14">
        <v>46261</v>
      </c>
      <c r="B448" s="15">
        <v>2</v>
      </c>
      <c r="C448" s="321" t="s">
        <v>810</v>
      </c>
      <c r="D448" s="330" t="s">
        <v>161</v>
      </c>
      <c r="E448" s="330" t="s">
        <v>813</v>
      </c>
      <c r="F448" s="331">
        <v>5</v>
      </c>
      <c r="G448" s="332">
        <v>0</v>
      </c>
      <c r="H448" s="332">
        <v>0</v>
      </c>
      <c r="I448" s="332">
        <v>0</v>
      </c>
      <c r="J448" s="332">
        <v>0</v>
      </c>
      <c r="K448" s="332">
        <v>0</v>
      </c>
      <c r="L448" s="332">
        <v>0</v>
      </c>
      <c r="M448" s="332">
        <v>0</v>
      </c>
      <c r="N448" s="332">
        <v>0</v>
      </c>
      <c r="O448" s="332">
        <v>0</v>
      </c>
      <c r="P448" s="284"/>
      <c r="Q448" s="284">
        <f t="shared" si="12"/>
        <v>0</v>
      </c>
      <c r="R448" s="3" t="str">
        <f>_xlfn.IFNA(VLOOKUP(Tabella1[[#This Row],[Nome]],'ROSE SQUADRE'!$N$3:$O$253,2,0),"")</f>
        <v/>
      </c>
      <c r="S448" s="193">
        <f>SUM(Tabella1[[#This Row],[Gf]],Tabella1[[#This Row],[Rf]])</f>
        <v>0</v>
      </c>
      <c r="T448" s="193"/>
      <c r="U448" s="285" t="str">
        <f>IF(Tabella1[[#This Row],[N° FantaTit]]="","",Tabella1[[#This Row],[fanta voto]])</f>
        <v/>
      </c>
      <c r="V448" s="193">
        <f>SUM(Tabella1[[#This Row],[Voto]],(G448*3),Q448,P448,O448,-(N448),(-M448/2),(-L448*2),(-H448),(I448*3),(-J448*3),(K448*3))</f>
        <v>5</v>
      </c>
      <c r="W448" s="193"/>
      <c r="X448" s="193" t="str">
        <f>IF(Tabella1[[#This Row],[Best 11]]=1,Tabella1[[#This Row],[fanta voto]],"")</f>
        <v/>
      </c>
      <c r="Z448" s="193" t="str">
        <f>IF(Tabella1[[#This Row],[Best 11 MOD]]=1,Tabella1[[#This Row],[fanta voto]],"")</f>
        <v/>
      </c>
      <c r="AA448" t="str">
        <f>CONCATENATE(Tabella1[[#This Row],[GG]],Tabella1[[#This Row],[Nome]])</f>
        <v>2Ndaba</v>
      </c>
      <c r="AB448" t="str">
        <f t="shared" si="13"/>
        <v>2</v>
      </c>
      <c r="AC448" t="str">
        <f>_xlfn.CONCAT(Tabella1[[#This Row],[Ruolo]],Tabella1[[#This Row],[Gs]])</f>
        <v>D0</v>
      </c>
    </row>
    <row r="449" spans="1:29" hidden="1" x14ac:dyDescent="0.3">
      <c r="A449" s="14">
        <v>46261</v>
      </c>
      <c r="B449" s="15">
        <v>2</v>
      </c>
      <c r="C449" s="321" t="s">
        <v>810</v>
      </c>
      <c r="D449" t="s">
        <v>161</v>
      </c>
      <c r="E449" t="s">
        <v>814</v>
      </c>
      <c r="F449" s="194">
        <v>4.5</v>
      </c>
      <c r="G449" s="328">
        <v>0</v>
      </c>
      <c r="H449" s="328">
        <v>0</v>
      </c>
      <c r="I449" s="328">
        <v>0</v>
      </c>
      <c r="J449" s="328">
        <v>0</v>
      </c>
      <c r="K449" s="328">
        <v>0</v>
      </c>
      <c r="L449" s="328">
        <v>0</v>
      </c>
      <c r="M449" s="328">
        <v>0</v>
      </c>
      <c r="N449" s="328">
        <v>0</v>
      </c>
      <c r="O449" s="328">
        <v>0</v>
      </c>
      <c r="P449" s="284"/>
      <c r="Q449" s="284">
        <f t="shared" si="12"/>
        <v>0</v>
      </c>
      <c r="R449" s="3" t="str">
        <f>_xlfn.IFNA(VLOOKUP(Tabella1[[#This Row],[Nome]],'ROSE SQUADRE'!$N$3:$O$253,2,0),"")</f>
        <v/>
      </c>
      <c r="S449" s="193">
        <f>SUM(Tabella1[[#This Row],[Gf]],Tabella1[[#This Row],[Rf]])</f>
        <v>0</v>
      </c>
      <c r="T449" s="193"/>
      <c r="U449" s="285" t="str">
        <f>IF(Tabella1[[#This Row],[N° FantaTit]]="","",Tabella1[[#This Row],[fanta voto]])</f>
        <v/>
      </c>
      <c r="V449" s="193">
        <f>SUM(Tabella1[[#This Row],[Voto]],(G449*3),Q449,P449,O449,-(N449),(-M449/2),(-L449*2),(-H449),(I449*3),(-J449*3),(K449*3))</f>
        <v>4.5</v>
      </c>
      <c r="W449" s="193"/>
      <c r="X449" s="193" t="str">
        <f>IF(Tabella1[[#This Row],[Best 11]]=1,Tabella1[[#This Row],[fanta voto]],"")</f>
        <v/>
      </c>
      <c r="Z449" s="193" t="str">
        <f>IF(Tabella1[[#This Row],[Best 11 MOD]]=1,Tabella1[[#This Row],[fanta voto]],"")</f>
        <v/>
      </c>
      <c r="AA449" t="str">
        <f>CONCATENATE(Tabella1[[#This Row],[GG]],Tabella1[[#This Row],[Nome]])</f>
        <v>2Siebert</v>
      </c>
      <c r="AB449" t="str">
        <f t="shared" si="13"/>
        <v>2</v>
      </c>
      <c r="AC449" t="str">
        <f>_xlfn.CONCAT(Tabella1[[#This Row],[Ruolo]],Tabella1[[#This Row],[Gs]])</f>
        <v>D0</v>
      </c>
    </row>
    <row r="450" spans="1:29" hidden="1" x14ac:dyDescent="0.3">
      <c r="A450" s="14">
        <v>46261</v>
      </c>
      <c r="B450" s="15">
        <v>2</v>
      </c>
      <c r="C450" s="321" t="s">
        <v>810</v>
      </c>
      <c r="D450" s="330" t="s">
        <v>162</v>
      </c>
      <c r="E450" s="330" t="s">
        <v>208</v>
      </c>
      <c r="F450" s="331">
        <v>5.5</v>
      </c>
      <c r="G450" s="332">
        <v>0</v>
      </c>
      <c r="H450" s="332">
        <v>0</v>
      </c>
      <c r="I450" s="332">
        <v>0</v>
      </c>
      <c r="J450" s="332">
        <v>0</v>
      </c>
      <c r="K450" s="332">
        <v>0</v>
      </c>
      <c r="L450" s="332">
        <v>0</v>
      </c>
      <c r="M450" s="333">
        <v>1</v>
      </c>
      <c r="N450" s="332">
        <v>0</v>
      </c>
      <c r="O450" s="332">
        <v>0</v>
      </c>
      <c r="P450" s="284"/>
      <c r="Q450" s="284">
        <f t="shared" si="12"/>
        <v>0</v>
      </c>
      <c r="R450" s="3" t="str">
        <f>_xlfn.IFNA(VLOOKUP(Tabella1[[#This Row],[Nome]],'ROSE SQUADRE'!$N$3:$O$253,2,0),"")</f>
        <v/>
      </c>
      <c r="S450" s="193">
        <f>SUM(Tabella1[[#This Row],[Gf]],Tabella1[[#This Row],[Rf]])</f>
        <v>0</v>
      </c>
      <c r="T450" s="193"/>
      <c r="U450" s="285" t="str">
        <f>IF(Tabella1[[#This Row],[N° FantaTit]]="","",Tabella1[[#This Row],[fanta voto]])</f>
        <v/>
      </c>
      <c r="V450" s="193">
        <f>SUM(Tabella1[[#This Row],[Voto]],(G450*3),Q450,P450,O450,-(N450),(-M450/2),(-L450*2),(-H450),(I450*3),(-J450*3),(K450*3))</f>
        <v>5</v>
      </c>
      <c r="W450" s="193"/>
      <c r="X450" s="193" t="str">
        <f>IF(Tabella1[[#This Row],[Best 11]]=1,Tabella1[[#This Row],[fanta voto]],"")</f>
        <v/>
      </c>
      <c r="Z450" s="193" t="str">
        <f>IF(Tabella1[[#This Row],[Best 11 MOD]]=1,Tabella1[[#This Row],[fanta voto]],"")</f>
        <v/>
      </c>
      <c r="AA450" t="str">
        <f>CONCATENATE(Tabella1[[#This Row],[GG]],Tabella1[[#This Row],[Nome]])</f>
        <v>2Ilic</v>
      </c>
      <c r="AB450" t="str">
        <f t="shared" si="13"/>
        <v>2</v>
      </c>
      <c r="AC450" t="str">
        <f>_xlfn.CONCAT(Tabella1[[#This Row],[Ruolo]],Tabella1[[#This Row],[Gs]])</f>
        <v>C0</v>
      </c>
    </row>
    <row r="451" spans="1:29" hidden="1" x14ac:dyDescent="0.3">
      <c r="A451" s="14">
        <v>46261</v>
      </c>
      <c r="B451" s="15">
        <v>2</v>
      </c>
      <c r="C451" s="321" t="s">
        <v>810</v>
      </c>
      <c r="D451" t="s">
        <v>162</v>
      </c>
      <c r="E451" t="s">
        <v>242</v>
      </c>
      <c r="F451" s="194">
        <v>5.5</v>
      </c>
      <c r="G451" s="328">
        <v>0</v>
      </c>
      <c r="H451" s="328">
        <v>0</v>
      </c>
      <c r="I451" s="328">
        <v>0</v>
      </c>
      <c r="J451" s="328">
        <v>0</v>
      </c>
      <c r="K451" s="328">
        <v>0</v>
      </c>
      <c r="L451" s="328">
        <v>0</v>
      </c>
      <c r="M451" s="328">
        <v>0</v>
      </c>
      <c r="N451" s="328">
        <v>0</v>
      </c>
      <c r="O451" s="328">
        <v>0</v>
      </c>
      <c r="P451" s="284"/>
      <c r="Q451" s="284">
        <f t="shared" si="12"/>
        <v>0</v>
      </c>
      <c r="R451" s="3" t="str">
        <f>_xlfn.IFNA(VLOOKUP(Tabella1[[#This Row],[Nome]],'ROSE SQUADRE'!$N$3:$O$253,2,0),"")</f>
        <v>SHARK</v>
      </c>
      <c r="S451" s="193">
        <f>SUM(Tabella1[[#This Row],[Gf]],Tabella1[[#This Row],[Rf]])</f>
        <v>0</v>
      </c>
      <c r="T451" s="193"/>
      <c r="U451" s="285" t="str">
        <f>IF(Tabella1[[#This Row],[N° FantaTit]]="","",Tabella1[[#This Row],[fanta voto]])</f>
        <v/>
      </c>
      <c r="V451" s="193">
        <f>SUM(Tabella1[[#This Row],[Voto]],(G451*3),Q451,P451,O451,-(N451),(-M451/2),(-L451*2),(-H451),(I451*3),(-J451*3),(K451*3))</f>
        <v>5.5</v>
      </c>
      <c r="W451" s="193"/>
      <c r="X451" s="193" t="str">
        <f>IF(Tabella1[[#This Row],[Best 11]]=1,Tabella1[[#This Row],[fanta voto]],"")</f>
        <v/>
      </c>
      <c r="Z451" s="193" t="str">
        <f>IF(Tabella1[[#This Row],[Best 11 MOD]]=1,Tabella1[[#This Row],[fanta voto]],"")</f>
        <v/>
      </c>
      <c r="AA451" t="str">
        <f>CONCATENATE(Tabella1[[#This Row],[GG]],Tabella1[[#This Row],[Nome]])</f>
        <v>2Maleh</v>
      </c>
      <c r="AB451" t="str">
        <f t="shared" si="13"/>
        <v>2SHARK</v>
      </c>
      <c r="AC451" t="str">
        <f>_xlfn.CONCAT(Tabella1[[#This Row],[Ruolo]],Tabella1[[#This Row],[Gs]])</f>
        <v>C0</v>
      </c>
    </row>
    <row r="452" spans="1:29" hidden="1" x14ac:dyDescent="0.3">
      <c r="A452" s="14">
        <v>46261</v>
      </c>
      <c r="B452" s="15">
        <v>2</v>
      </c>
      <c r="C452" s="321" t="s">
        <v>810</v>
      </c>
      <c r="D452" s="330" t="s">
        <v>162</v>
      </c>
      <c r="E452" s="330" t="s">
        <v>209</v>
      </c>
      <c r="F452" s="331">
        <v>5</v>
      </c>
      <c r="G452" s="332">
        <v>0</v>
      </c>
      <c r="H452" s="332">
        <v>0</v>
      </c>
      <c r="I452" s="332">
        <v>0</v>
      </c>
      <c r="J452" s="332">
        <v>0</v>
      </c>
      <c r="K452" s="332">
        <v>0</v>
      </c>
      <c r="L452" s="332">
        <v>0</v>
      </c>
      <c r="M452" s="332">
        <v>0</v>
      </c>
      <c r="N452" s="332">
        <v>0</v>
      </c>
      <c r="O452" s="332">
        <v>0</v>
      </c>
      <c r="P452" s="284"/>
      <c r="Q452" s="284">
        <f t="shared" si="12"/>
        <v>0</v>
      </c>
      <c r="R452" s="3" t="str">
        <f>_xlfn.IFNA(VLOOKUP(Tabella1[[#This Row],[Nome]],'ROSE SQUADRE'!$N$3:$O$253,2,0),"")</f>
        <v/>
      </c>
      <c r="S452" s="193">
        <f>SUM(Tabella1[[#This Row],[Gf]],Tabella1[[#This Row],[Rf]])</f>
        <v>0</v>
      </c>
      <c r="T452" s="193"/>
      <c r="U452" s="285" t="str">
        <f>IF(Tabella1[[#This Row],[N° FantaTit]]="","",Tabella1[[#This Row],[fanta voto]])</f>
        <v/>
      </c>
      <c r="V452" s="193">
        <f>SUM(Tabella1[[#This Row],[Voto]],(G452*3),Q452,P452,O452,-(N452),(-M452/2),(-L452*2),(-H452),(I452*3),(-J452*3),(K452*3))</f>
        <v>5</v>
      </c>
      <c r="W452" s="193"/>
      <c r="X452" s="193" t="str">
        <f>IF(Tabella1[[#This Row],[Best 11]]=1,Tabella1[[#This Row],[fanta voto]],"")</f>
        <v/>
      </c>
      <c r="Z452" s="193" t="str">
        <f>IF(Tabella1[[#This Row],[Best 11 MOD]]=1,Tabella1[[#This Row],[fanta voto]],"")</f>
        <v/>
      </c>
      <c r="AA452" t="str">
        <f>CONCATENATE(Tabella1[[#This Row],[GG]],Tabella1[[#This Row],[Nome]])</f>
        <v>2Coulibaly L.</v>
      </c>
      <c r="AB452" t="str">
        <f t="shared" si="13"/>
        <v>2</v>
      </c>
      <c r="AC452" t="str">
        <f>_xlfn.CONCAT(Tabella1[[#This Row],[Ruolo]],Tabella1[[#This Row],[Gs]])</f>
        <v>C0</v>
      </c>
    </row>
    <row r="453" spans="1:29" hidden="1" x14ac:dyDescent="0.3">
      <c r="A453" s="14">
        <v>46261</v>
      </c>
      <c r="B453" s="15">
        <v>2</v>
      </c>
      <c r="C453" s="321" t="s">
        <v>810</v>
      </c>
      <c r="D453" t="s">
        <v>162</v>
      </c>
      <c r="E453" t="s">
        <v>546</v>
      </c>
      <c r="F453" s="194">
        <v>5.5</v>
      </c>
      <c r="G453" s="328">
        <v>0</v>
      </c>
      <c r="H453" s="328">
        <v>0</v>
      </c>
      <c r="I453" s="328">
        <v>0</v>
      </c>
      <c r="J453" s="328">
        <v>0</v>
      </c>
      <c r="K453" s="328">
        <v>0</v>
      </c>
      <c r="L453" s="328">
        <v>0</v>
      </c>
      <c r="M453" s="328">
        <v>0</v>
      </c>
      <c r="N453" s="328">
        <v>0</v>
      </c>
      <c r="O453" s="328">
        <v>0</v>
      </c>
      <c r="P453" s="284"/>
      <c r="Q453" s="284">
        <f t="shared" si="12"/>
        <v>0</v>
      </c>
      <c r="R453" s="3" t="str">
        <f>_xlfn.IFNA(VLOOKUP(Tabella1[[#This Row],[Nome]],'ROSE SQUADRE'!$N$3:$O$253,2,0),"")</f>
        <v/>
      </c>
      <c r="S453" s="193">
        <f>SUM(Tabella1[[#This Row],[Gf]],Tabella1[[#This Row],[Rf]])</f>
        <v>0</v>
      </c>
      <c r="T453" s="193"/>
      <c r="U453" s="285" t="str">
        <f>IF(Tabella1[[#This Row],[N° FantaTit]]="","",Tabella1[[#This Row],[fanta voto]])</f>
        <v/>
      </c>
      <c r="V453" s="193">
        <f>SUM(Tabella1[[#This Row],[Voto]],(G453*3),Q453,P453,O453,-(N453),(-M453/2),(-L453*2),(-H453),(I453*3),(-J453*3),(K453*3))</f>
        <v>5.5</v>
      </c>
      <c r="W453" s="193"/>
      <c r="X453" s="193" t="str">
        <f>IF(Tabella1[[#This Row],[Best 11]]=1,Tabella1[[#This Row],[fanta voto]],"")</f>
        <v/>
      </c>
      <c r="Z453" s="193" t="str">
        <f>IF(Tabella1[[#This Row],[Best 11 MOD]]=1,Tabella1[[#This Row],[fanta voto]],"")</f>
        <v/>
      </c>
      <c r="AA453" t="str">
        <f>CONCATENATE(Tabella1[[#This Row],[GG]],Tabella1[[#This Row],[Nome]])</f>
        <v>2Pierotti</v>
      </c>
      <c r="AB453" t="str">
        <f t="shared" si="13"/>
        <v>2</v>
      </c>
      <c r="AC453" t="str">
        <f>_xlfn.CONCAT(Tabella1[[#This Row],[Ruolo]],Tabella1[[#This Row],[Gs]])</f>
        <v>C0</v>
      </c>
    </row>
    <row r="454" spans="1:29" hidden="1" x14ac:dyDescent="0.3">
      <c r="A454" s="14">
        <v>46261</v>
      </c>
      <c r="B454" s="15">
        <v>2</v>
      </c>
      <c r="C454" s="321" t="s">
        <v>810</v>
      </c>
      <c r="D454" s="330" t="s">
        <v>162</v>
      </c>
      <c r="E454" s="330" t="s">
        <v>819</v>
      </c>
      <c r="F454" s="331">
        <v>5</v>
      </c>
      <c r="G454" s="332">
        <v>0</v>
      </c>
      <c r="H454" s="332">
        <v>0</v>
      </c>
      <c r="I454" s="332">
        <v>0</v>
      </c>
      <c r="J454" s="332">
        <v>0</v>
      </c>
      <c r="K454" s="332">
        <v>0</v>
      </c>
      <c r="L454" s="332">
        <v>0</v>
      </c>
      <c r="M454" s="332">
        <v>0</v>
      </c>
      <c r="N454" s="332">
        <v>0</v>
      </c>
      <c r="O454" s="332">
        <v>0</v>
      </c>
      <c r="P454" s="284"/>
      <c r="Q454" s="284">
        <f t="shared" si="12"/>
        <v>0</v>
      </c>
      <c r="R454" s="3" t="str">
        <f>_xlfn.IFNA(VLOOKUP(Tabella1[[#This Row],[Nome]],'ROSE SQUADRE'!$N$3:$O$253,2,0),"")</f>
        <v/>
      </c>
      <c r="S454" s="193">
        <f>SUM(Tabella1[[#This Row],[Gf]],Tabella1[[#This Row],[Rf]])</f>
        <v>0</v>
      </c>
      <c r="T454" s="193"/>
      <c r="U454" s="285" t="str">
        <f>IF(Tabella1[[#This Row],[N° FantaTit]]="","",Tabella1[[#This Row],[fanta voto]])</f>
        <v/>
      </c>
      <c r="V454" s="193">
        <f>SUM(Tabella1[[#This Row],[Voto]],(G454*3),Q454,P454,O454,-(N454),(-M454/2),(-L454*2),(-H454),(I454*3),(-J454*3),(K454*3))</f>
        <v>5</v>
      </c>
      <c r="W454" s="193"/>
      <c r="X454" s="193" t="str">
        <f>IF(Tabella1[[#This Row],[Best 11]]=1,Tabella1[[#This Row],[fanta voto]],"")</f>
        <v/>
      </c>
      <c r="Z454" s="193" t="str">
        <f>IF(Tabella1[[#This Row],[Best 11 MOD]]=1,Tabella1[[#This Row],[fanta voto]],"")</f>
        <v/>
      </c>
      <c r="AA454" t="str">
        <f>CONCATENATE(Tabella1[[#This Row],[GG]],Tabella1[[#This Row],[Nome]])</f>
        <v>2Gorter</v>
      </c>
      <c r="AB454" t="str">
        <f t="shared" si="13"/>
        <v>2</v>
      </c>
      <c r="AC454" t="str">
        <f>_xlfn.CONCAT(Tabella1[[#This Row],[Ruolo]],Tabella1[[#This Row],[Gs]])</f>
        <v>C0</v>
      </c>
    </row>
    <row r="455" spans="1:29" hidden="1" x14ac:dyDescent="0.3">
      <c r="A455" s="14">
        <v>46261</v>
      </c>
      <c r="B455" s="15">
        <v>2</v>
      </c>
      <c r="C455" s="321" t="s">
        <v>810</v>
      </c>
      <c r="D455" t="s">
        <v>162</v>
      </c>
      <c r="E455" t="s">
        <v>822</v>
      </c>
      <c r="F455" s="194">
        <v>5</v>
      </c>
      <c r="G455" s="328">
        <v>0</v>
      </c>
      <c r="H455" s="328">
        <v>0</v>
      </c>
      <c r="I455" s="328">
        <v>0</v>
      </c>
      <c r="J455" s="328">
        <v>0</v>
      </c>
      <c r="K455" s="328">
        <v>0</v>
      </c>
      <c r="L455" s="328">
        <v>0</v>
      </c>
      <c r="M455" s="328">
        <v>0</v>
      </c>
      <c r="N455" s="328">
        <v>0</v>
      </c>
      <c r="O455" s="328">
        <v>0</v>
      </c>
      <c r="P455" s="284"/>
      <c r="Q455" s="284">
        <f t="shared" si="12"/>
        <v>0</v>
      </c>
      <c r="R455" s="3" t="str">
        <f>_xlfn.IFNA(VLOOKUP(Tabella1[[#This Row],[Nome]],'ROSE SQUADRE'!$N$3:$O$253,2,0),"")</f>
        <v/>
      </c>
      <c r="S455" s="193">
        <f>SUM(Tabella1[[#This Row],[Gf]],Tabella1[[#This Row],[Rf]])</f>
        <v>0</v>
      </c>
      <c r="T455" s="193"/>
      <c r="U455" s="285" t="str">
        <f>IF(Tabella1[[#This Row],[N° FantaTit]]="","",Tabella1[[#This Row],[fanta voto]])</f>
        <v/>
      </c>
      <c r="V455" s="193">
        <f>SUM(Tabella1[[#This Row],[Voto]],(G455*3),Q455,P455,O455,-(N455),(-M455/2),(-L455*2),(-H455),(I455*3),(-J455*3),(K455*3))</f>
        <v>5</v>
      </c>
      <c r="W455" s="193"/>
      <c r="X455" s="193" t="str">
        <f>IF(Tabella1[[#This Row],[Best 11]]=1,Tabella1[[#This Row],[fanta voto]],"")</f>
        <v/>
      </c>
      <c r="Z455" s="193" t="str">
        <f>IF(Tabella1[[#This Row],[Best 11 MOD]]=1,Tabella1[[#This Row],[fanta voto]],"")</f>
        <v/>
      </c>
      <c r="AA455" t="str">
        <f>CONCATENATE(Tabella1[[#This Row],[GG]],Tabella1[[#This Row],[Nome]])</f>
        <v>2Ngom</v>
      </c>
      <c r="AB455" t="str">
        <f t="shared" si="13"/>
        <v>2</v>
      </c>
      <c r="AC455" t="str">
        <f>_xlfn.CONCAT(Tabella1[[#This Row],[Ruolo]],Tabella1[[#This Row],[Gs]])</f>
        <v>C0</v>
      </c>
    </row>
    <row r="456" spans="1:29" hidden="1" x14ac:dyDescent="0.3">
      <c r="A456" s="14">
        <v>46261</v>
      </c>
      <c r="B456" s="15">
        <v>2</v>
      </c>
      <c r="C456" s="321" t="s">
        <v>810</v>
      </c>
      <c r="D456" s="330" t="s">
        <v>163</v>
      </c>
      <c r="E456" s="330" t="s">
        <v>823</v>
      </c>
      <c r="F456" s="331">
        <v>5</v>
      </c>
      <c r="G456" s="332">
        <v>0</v>
      </c>
      <c r="H456" s="332">
        <v>0</v>
      </c>
      <c r="I456" s="332">
        <v>0</v>
      </c>
      <c r="J456" s="332">
        <v>0</v>
      </c>
      <c r="K456" s="332">
        <v>0</v>
      </c>
      <c r="L456" s="332">
        <v>0</v>
      </c>
      <c r="M456" s="332">
        <v>0</v>
      </c>
      <c r="N456" s="332">
        <v>0</v>
      </c>
      <c r="O456" s="332">
        <v>0</v>
      </c>
      <c r="P456" s="284"/>
      <c r="Q456" s="284">
        <f t="shared" si="12"/>
        <v>0</v>
      </c>
      <c r="R456" s="3" t="str">
        <f>_xlfn.IFNA(VLOOKUP(Tabella1[[#This Row],[Nome]],'ROSE SQUADRE'!$N$3:$O$253,2,0),"")</f>
        <v>AS PIPPERIA</v>
      </c>
      <c r="S456" s="193">
        <f>SUM(Tabella1[[#This Row],[Gf]],Tabella1[[#This Row],[Rf]])</f>
        <v>0</v>
      </c>
      <c r="T456" s="193"/>
      <c r="U456" s="285" t="str">
        <f>IF(Tabella1[[#This Row],[N° FantaTit]]="","",Tabella1[[#This Row],[fanta voto]])</f>
        <v/>
      </c>
      <c r="V456" s="193">
        <f>SUM(Tabella1[[#This Row],[Voto]],(G456*3),Q456,P456,O456,-(N456),(-M456/2),(-L456*2),(-H456),(I456*3),(-J456*3),(K456*3))</f>
        <v>5</v>
      </c>
      <c r="W456" s="193"/>
      <c r="X456" s="193" t="str">
        <f>IF(Tabella1[[#This Row],[Best 11]]=1,Tabella1[[#This Row],[fanta voto]],"")</f>
        <v/>
      </c>
      <c r="Z456" s="193" t="str">
        <f>IF(Tabella1[[#This Row],[Best 11 MOD]]=1,Tabella1[[#This Row],[fanta voto]],"")</f>
        <v/>
      </c>
      <c r="AA456" t="str">
        <f>CONCATENATE(Tabella1[[#This Row],[GG]],Tabella1[[#This Row],[Nome]])</f>
        <v>2Geubbels</v>
      </c>
      <c r="AB456" t="str">
        <f t="shared" si="13"/>
        <v>2AS PIPPERIA</v>
      </c>
      <c r="AC456" t="str">
        <f>_xlfn.CONCAT(Tabella1[[#This Row],[Ruolo]],Tabella1[[#This Row],[Gs]])</f>
        <v>A0</v>
      </c>
    </row>
    <row r="457" spans="1:29" hidden="1" x14ac:dyDescent="0.3">
      <c r="A457" s="14">
        <v>46261</v>
      </c>
      <c r="B457" s="15">
        <v>2</v>
      </c>
      <c r="C457" s="321" t="s">
        <v>810</v>
      </c>
      <c r="D457" t="s">
        <v>163</v>
      </c>
      <c r="E457" t="s">
        <v>824</v>
      </c>
      <c r="F457" s="194">
        <v>6</v>
      </c>
      <c r="G457" s="328">
        <v>0</v>
      </c>
      <c r="H457" s="328">
        <v>0</v>
      </c>
      <c r="I457" s="328">
        <v>0</v>
      </c>
      <c r="J457" s="328">
        <v>0</v>
      </c>
      <c r="K457" s="328">
        <v>0</v>
      </c>
      <c r="L457" s="328">
        <v>0</v>
      </c>
      <c r="M457" s="328">
        <v>0</v>
      </c>
      <c r="N457" s="328">
        <v>0</v>
      </c>
      <c r="O457" s="328">
        <v>0</v>
      </c>
      <c r="P457" s="284"/>
      <c r="Q457" s="284">
        <f t="shared" si="12"/>
        <v>0</v>
      </c>
      <c r="R457" s="3" t="str">
        <f>_xlfn.IFNA(VLOOKUP(Tabella1[[#This Row],[Nome]],'ROSE SQUADRE'!$N$3:$O$253,2,0),"")</f>
        <v/>
      </c>
      <c r="S457" s="193">
        <f>SUM(Tabella1[[#This Row],[Gf]],Tabella1[[#This Row],[Rf]])</f>
        <v>0</v>
      </c>
      <c r="T457" s="193"/>
      <c r="U457" s="285" t="str">
        <f>IF(Tabella1[[#This Row],[N° FantaTit]]="","",Tabella1[[#This Row],[fanta voto]])</f>
        <v/>
      </c>
      <c r="V457" s="193">
        <f>SUM(Tabella1[[#This Row],[Voto]],(G457*3),Q457,P457,O457,-(N457),(-M457/2),(-L457*2),(-H457),(I457*3),(-J457*3),(K457*3))</f>
        <v>6</v>
      </c>
      <c r="W457" s="193"/>
      <c r="X457" s="193" t="str">
        <f>IF(Tabella1[[#This Row],[Best 11]]=1,Tabella1[[#This Row],[fanta voto]],"")</f>
        <v/>
      </c>
      <c r="Z457" s="193" t="str">
        <f>IF(Tabella1[[#This Row],[Best 11 MOD]]=1,Tabella1[[#This Row],[fanta voto]],"")</f>
        <v/>
      </c>
      <c r="AA457" t="str">
        <f>CONCATENATE(Tabella1[[#This Row],[GG]],Tabella1[[#This Row],[Nome]])</f>
        <v>2N'Dri</v>
      </c>
      <c r="AB457" t="str">
        <f t="shared" si="13"/>
        <v>2</v>
      </c>
      <c r="AC457" t="str">
        <f>_xlfn.CONCAT(Tabella1[[#This Row],[Ruolo]],Tabella1[[#This Row],[Gs]])</f>
        <v>A0</v>
      </c>
    </row>
    <row r="458" spans="1:29" hidden="1" x14ac:dyDescent="0.3">
      <c r="A458" s="14">
        <v>46261</v>
      </c>
      <c r="B458" s="15">
        <v>2</v>
      </c>
      <c r="C458" s="321" t="s">
        <v>810</v>
      </c>
      <c r="D458" s="330" t="s">
        <v>163</v>
      </c>
      <c r="E458" s="330" t="s">
        <v>825</v>
      </c>
      <c r="F458" s="331">
        <v>5</v>
      </c>
      <c r="G458" s="332">
        <v>0</v>
      </c>
      <c r="H458" s="332">
        <v>0</v>
      </c>
      <c r="I458" s="332">
        <v>0</v>
      </c>
      <c r="J458" s="332">
        <v>0</v>
      </c>
      <c r="K458" s="332">
        <v>0</v>
      </c>
      <c r="L458" s="332">
        <v>0</v>
      </c>
      <c r="M458" s="332">
        <v>0</v>
      </c>
      <c r="N458" s="332">
        <v>0</v>
      </c>
      <c r="O458" s="332">
        <v>0</v>
      </c>
      <c r="P458" s="284"/>
      <c r="Q458" s="284">
        <f t="shared" si="12"/>
        <v>0</v>
      </c>
      <c r="R458" s="3" t="str">
        <f>_xlfn.IFNA(VLOOKUP(Tabella1[[#This Row],[Nome]],'ROSE SQUADRE'!$N$3:$O$253,2,0),"")</f>
        <v/>
      </c>
      <c r="S458" s="193">
        <f>SUM(Tabella1[[#This Row],[Gf]],Tabella1[[#This Row],[Rf]])</f>
        <v>0</v>
      </c>
      <c r="T458" s="193"/>
      <c r="U458" s="285" t="str">
        <f>IF(Tabella1[[#This Row],[N° FantaTit]]="","",Tabella1[[#This Row],[fanta voto]])</f>
        <v/>
      </c>
      <c r="V458" s="193">
        <f>SUM(Tabella1[[#This Row],[Voto]],(G458*3),Q458,P458,O458,-(N458),(-M458/2),(-L458*2),(-H458),(I458*3),(-J458*3),(K458*3))</f>
        <v>5</v>
      </c>
      <c r="W458" s="193"/>
      <c r="X458" s="193" t="str">
        <f>IF(Tabella1[[#This Row],[Best 11]]=1,Tabella1[[#This Row],[fanta voto]],"")</f>
        <v/>
      </c>
      <c r="Z458" s="193" t="str">
        <f>IF(Tabella1[[#This Row],[Best 11 MOD]]=1,Tabella1[[#This Row],[fanta voto]],"")</f>
        <v/>
      </c>
      <c r="AA458" t="str">
        <f>CONCATENATE(Tabella1[[#This Row],[GG]],Tabella1[[#This Row],[Nome]])</f>
        <v>2Stulic</v>
      </c>
      <c r="AB458" t="str">
        <f t="shared" si="13"/>
        <v>2</v>
      </c>
      <c r="AC458" t="str">
        <f>_xlfn.CONCAT(Tabella1[[#This Row],[Ruolo]],Tabella1[[#This Row],[Gs]])</f>
        <v>A0</v>
      </c>
    </row>
    <row r="459" spans="1:29" hidden="1" x14ac:dyDescent="0.3">
      <c r="A459" s="14">
        <v>46261</v>
      </c>
      <c r="B459" s="15">
        <v>2</v>
      </c>
      <c r="C459" s="321" t="s">
        <v>810</v>
      </c>
      <c r="D459" t="s">
        <v>163</v>
      </c>
      <c r="E459" t="s">
        <v>1017</v>
      </c>
      <c r="F459" s="194">
        <v>5.5</v>
      </c>
      <c r="G459" s="328">
        <v>0</v>
      </c>
      <c r="H459" s="328">
        <v>0</v>
      </c>
      <c r="I459" s="328">
        <v>0</v>
      </c>
      <c r="J459" s="328">
        <v>0</v>
      </c>
      <c r="K459" s="328">
        <v>0</v>
      </c>
      <c r="L459" s="328">
        <v>0</v>
      </c>
      <c r="M459" s="328">
        <v>0</v>
      </c>
      <c r="N459" s="328">
        <v>0</v>
      </c>
      <c r="O459" s="328">
        <v>0</v>
      </c>
      <c r="P459" s="284"/>
      <c r="Q459" s="284">
        <f t="shared" si="12"/>
        <v>0</v>
      </c>
      <c r="R459" s="3" t="str">
        <f>_xlfn.IFNA(VLOOKUP(Tabella1[[#This Row],[Nome]],'ROSE SQUADRE'!$N$3:$O$253,2,0),"")</f>
        <v/>
      </c>
      <c r="S459" s="193">
        <f>SUM(Tabella1[[#This Row],[Gf]],Tabella1[[#This Row],[Rf]])</f>
        <v>0</v>
      </c>
      <c r="T459" s="193"/>
      <c r="U459" s="285" t="str">
        <f>IF(Tabella1[[#This Row],[N° FantaTit]]="","",Tabella1[[#This Row],[fanta voto]])</f>
        <v/>
      </c>
      <c r="V459" s="193">
        <f>SUM(Tabella1[[#This Row],[Voto]],(G459*3),Q459,P459,O459,-(N459),(-M459/2),(-L459*2),(-H459),(I459*3),(-J459*3),(K459*3))</f>
        <v>5.5</v>
      </c>
      <c r="W459" s="193"/>
      <c r="X459" s="193" t="str">
        <f>IF(Tabella1[[#This Row],[Best 11]]=1,Tabella1[[#This Row],[fanta voto]],"")</f>
        <v/>
      </c>
      <c r="Z459" s="193" t="str">
        <f>IF(Tabella1[[#This Row],[Best 11 MOD]]=1,Tabella1[[#This Row],[fanta voto]],"")</f>
        <v/>
      </c>
      <c r="AA459" t="str">
        <f>CONCATENATE(Tabella1[[#This Row],[GG]],Tabella1[[#This Row],[Nome]])</f>
        <v>2Fatah</v>
      </c>
      <c r="AB459" t="str">
        <f t="shared" si="13"/>
        <v>2</v>
      </c>
      <c r="AC459" t="str">
        <f>_xlfn.CONCAT(Tabella1[[#This Row],[Ruolo]],Tabella1[[#This Row],[Gs]])</f>
        <v>A0</v>
      </c>
    </row>
    <row r="460" spans="1:29" hidden="1" x14ac:dyDescent="0.3">
      <c r="A460" s="14">
        <v>46261</v>
      </c>
      <c r="B460" s="15">
        <v>2</v>
      </c>
      <c r="C460" s="321" t="s">
        <v>826</v>
      </c>
      <c r="D460" t="s">
        <v>5</v>
      </c>
      <c r="E460" t="s">
        <v>265</v>
      </c>
      <c r="F460" s="194">
        <v>6</v>
      </c>
      <c r="G460" s="328">
        <v>0</v>
      </c>
      <c r="H460" s="328">
        <v>0</v>
      </c>
      <c r="I460" s="328">
        <v>0</v>
      </c>
      <c r="J460" s="328">
        <v>0</v>
      </c>
      <c r="K460" s="328">
        <v>0</v>
      </c>
      <c r="L460" s="328">
        <v>0</v>
      </c>
      <c r="M460" s="328">
        <v>0</v>
      </c>
      <c r="N460" s="328">
        <v>0</v>
      </c>
      <c r="O460" s="328">
        <v>0</v>
      </c>
      <c r="P460" s="284"/>
      <c r="Q460" s="284">
        <f t="shared" si="12"/>
        <v>1</v>
      </c>
      <c r="R460" s="3" t="str">
        <f>_xlfn.IFNA(VLOOKUP(Tabella1[[#This Row],[Nome]],'ROSE SQUADRE'!$N$3:$O$253,2,0),"")</f>
        <v>SESTO ASENSIO</v>
      </c>
      <c r="S460" s="193">
        <f>SUM(Tabella1[[#This Row],[Gf]],Tabella1[[#This Row],[Rf]])</f>
        <v>0</v>
      </c>
      <c r="T460" s="193"/>
      <c r="U460" s="285" t="str">
        <f>IF(Tabella1[[#This Row],[N° FantaTit]]="","",Tabella1[[#This Row],[fanta voto]])</f>
        <v/>
      </c>
      <c r="V460" s="193">
        <f>SUM(Tabella1[[#This Row],[Voto]],(G460*3),Q460,P460,O460,-(N460),(-M460/2),(-L460*2),(-H460),(I460*3),(-J460*3),(K460*3))</f>
        <v>7</v>
      </c>
      <c r="W460" s="193"/>
      <c r="X460" s="193" t="str">
        <f>IF(Tabella1[[#This Row],[Best 11]]=1,Tabella1[[#This Row],[fanta voto]],"")</f>
        <v/>
      </c>
      <c r="Z460" s="193" t="str">
        <f>IF(Tabella1[[#This Row],[Best 11 MOD]]=1,Tabella1[[#This Row],[fanta voto]],"")</f>
        <v/>
      </c>
      <c r="AA460" t="str">
        <f>CONCATENATE(Tabella1[[#This Row],[GG]],Tabella1[[#This Row],[Nome]])</f>
        <v>2Maignan</v>
      </c>
      <c r="AB460" t="str">
        <f t="shared" si="13"/>
        <v>2SESTO ASENSIO</v>
      </c>
      <c r="AC460" t="str">
        <f>_xlfn.CONCAT(Tabella1[[#This Row],[Ruolo]],Tabella1[[#This Row],[Gs]])</f>
        <v>P0</v>
      </c>
    </row>
    <row r="461" spans="1:29" hidden="1" x14ac:dyDescent="0.3">
      <c r="A461" s="14">
        <v>46261</v>
      </c>
      <c r="B461" s="15">
        <v>2</v>
      </c>
      <c r="C461" s="321" t="s">
        <v>826</v>
      </c>
      <c r="D461" t="s">
        <v>161</v>
      </c>
      <c r="E461" t="s">
        <v>615</v>
      </c>
      <c r="F461" s="194">
        <v>6.5</v>
      </c>
      <c r="G461" s="328">
        <v>0</v>
      </c>
      <c r="H461" s="328">
        <v>0</v>
      </c>
      <c r="I461" s="328">
        <v>0</v>
      </c>
      <c r="J461" s="328">
        <v>0</v>
      </c>
      <c r="K461" s="328">
        <v>0</v>
      </c>
      <c r="L461" s="328">
        <v>0</v>
      </c>
      <c r="M461" s="329">
        <v>1</v>
      </c>
      <c r="N461" s="328">
        <v>0</v>
      </c>
      <c r="O461" s="328">
        <v>0</v>
      </c>
      <c r="P461" s="284"/>
      <c r="Q461" s="284">
        <f t="shared" si="12"/>
        <v>0</v>
      </c>
      <c r="R461" s="3" t="str">
        <f>_xlfn.IFNA(VLOOKUP(Tabella1[[#This Row],[Nome]],'ROSE SQUADRE'!$N$3:$O$253,2,0),"")</f>
        <v>SESTO ASENSIO</v>
      </c>
      <c r="S461" s="193">
        <f>SUM(Tabella1[[#This Row],[Gf]],Tabella1[[#This Row],[Rf]])</f>
        <v>0</v>
      </c>
      <c r="T461" s="193"/>
      <c r="U461" s="285" t="str">
        <f>IF(Tabella1[[#This Row],[N° FantaTit]]="","",Tabella1[[#This Row],[fanta voto]])</f>
        <v/>
      </c>
      <c r="V461" s="193">
        <f>SUM(Tabella1[[#This Row],[Voto]],(G461*3),Q461,P461,O461,-(N461),(-M461/2),(-L461*2),(-H461),(I461*3),(-J461*3),(K461*3))</f>
        <v>6</v>
      </c>
      <c r="W461" s="193"/>
      <c r="X461" s="193" t="str">
        <f>IF(Tabella1[[#This Row],[Best 11]]=1,Tabella1[[#This Row],[fanta voto]],"")</f>
        <v/>
      </c>
      <c r="Z461" s="193" t="str">
        <f>IF(Tabella1[[#This Row],[Best 11 MOD]]=1,Tabella1[[#This Row],[fanta voto]],"")</f>
        <v/>
      </c>
      <c r="AA461" t="str">
        <f>CONCATENATE(Tabella1[[#This Row],[GG]],Tabella1[[#This Row],[Nome]])</f>
        <v>2Pavlovic</v>
      </c>
      <c r="AB461" t="str">
        <f t="shared" si="13"/>
        <v>2SESTO ASENSIO</v>
      </c>
      <c r="AC461" t="str">
        <f>_xlfn.CONCAT(Tabella1[[#This Row],[Ruolo]],Tabella1[[#This Row],[Gs]])</f>
        <v>D0</v>
      </c>
    </row>
    <row r="462" spans="1:29" hidden="1" x14ac:dyDescent="0.3">
      <c r="A462" s="14">
        <v>46261</v>
      </c>
      <c r="B462" s="15">
        <v>2</v>
      </c>
      <c r="C462" s="321" t="s">
        <v>826</v>
      </c>
      <c r="D462" t="s">
        <v>161</v>
      </c>
      <c r="E462" t="s">
        <v>307</v>
      </c>
      <c r="F462" s="194">
        <v>6.5</v>
      </c>
      <c r="G462" s="328">
        <v>0</v>
      </c>
      <c r="H462" s="328">
        <v>0</v>
      </c>
      <c r="I462" s="328">
        <v>0</v>
      </c>
      <c r="J462" s="328">
        <v>0</v>
      </c>
      <c r="K462" s="328">
        <v>0</v>
      </c>
      <c r="L462" s="328">
        <v>0</v>
      </c>
      <c r="M462" s="328">
        <v>0</v>
      </c>
      <c r="N462" s="328">
        <v>0</v>
      </c>
      <c r="O462" s="328">
        <v>0</v>
      </c>
      <c r="P462" s="284"/>
      <c r="Q462" s="284">
        <f t="shared" si="12"/>
        <v>0</v>
      </c>
      <c r="R462" s="3" t="str">
        <f>_xlfn.IFNA(VLOOKUP(Tabella1[[#This Row],[Nome]],'ROSE SQUADRE'!$N$3:$O$253,2,0),"")</f>
        <v>SESTO ASENSIO</v>
      </c>
      <c r="S462" s="193">
        <f>SUM(Tabella1[[#This Row],[Gf]],Tabella1[[#This Row],[Rf]])</f>
        <v>0</v>
      </c>
      <c r="T462" s="193"/>
      <c r="U462" s="285" t="str">
        <f>IF(Tabella1[[#This Row],[N° FantaTit]]="","",Tabella1[[#This Row],[fanta voto]])</f>
        <v/>
      </c>
      <c r="V462" s="193">
        <f>SUM(Tabella1[[#This Row],[Voto]],(G462*3),Q462,P462,O462,-(N462),(-M462/2),(-L462*2),(-H462),(I462*3),(-J462*3),(K462*3))</f>
        <v>6.5</v>
      </c>
      <c r="W462" s="193"/>
      <c r="X462" s="193" t="str">
        <f>IF(Tabella1[[#This Row],[Best 11]]=1,Tabella1[[#This Row],[fanta voto]],"")</f>
        <v/>
      </c>
      <c r="Z462" s="193" t="str">
        <f>IF(Tabella1[[#This Row],[Best 11 MOD]]=1,Tabella1[[#This Row],[fanta voto]],"")</f>
        <v/>
      </c>
      <c r="AA462" t="str">
        <f>CONCATENATE(Tabella1[[#This Row],[GG]],Tabella1[[#This Row],[Nome]])</f>
        <v>2De Winter</v>
      </c>
      <c r="AB462" t="str">
        <f t="shared" si="13"/>
        <v>2SESTO ASENSIO</v>
      </c>
      <c r="AC462" t="str">
        <f>_xlfn.CONCAT(Tabella1[[#This Row],[Ruolo]],Tabella1[[#This Row],[Gs]])</f>
        <v>D0</v>
      </c>
    </row>
    <row r="463" spans="1:29" hidden="1" x14ac:dyDescent="0.3">
      <c r="A463" s="14">
        <v>46261</v>
      </c>
      <c r="B463" s="15">
        <v>2</v>
      </c>
      <c r="C463" s="321" t="s">
        <v>826</v>
      </c>
      <c r="D463" s="330" t="s">
        <v>161</v>
      </c>
      <c r="E463" s="330" t="s">
        <v>832</v>
      </c>
      <c r="F463" s="331">
        <v>6.5</v>
      </c>
      <c r="G463" s="332">
        <v>0</v>
      </c>
      <c r="H463" s="332">
        <v>0</v>
      </c>
      <c r="I463" s="332">
        <v>0</v>
      </c>
      <c r="J463" s="332">
        <v>0</v>
      </c>
      <c r="K463" s="332">
        <v>0</v>
      </c>
      <c r="L463" s="332">
        <v>0</v>
      </c>
      <c r="M463" s="332">
        <v>0</v>
      </c>
      <c r="N463" s="332">
        <v>0</v>
      </c>
      <c r="O463" s="332">
        <v>0</v>
      </c>
      <c r="P463" s="284"/>
      <c r="Q463" s="284">
        <f t="shared" ref="Q463:Q483" si="14">IF(AC463="P0",1,0)</f>
        <v>0</v>
      </c>
      <c r="R463" s="3" t="str">
        <f>_xlfn.IFNA(VLOOKUP(Tabella1[[#This Row],[Nome]],'ROSE SQUADRE'!$N$3:$O$253,2,0),"")</f>
        <v>SAN GRIA</v>
      </c>
      <c r="S463" s="193">
        <f>SUM(Tabella1[[#This Row],[Gf]],Tabella1[[#This Row],[Rf]])</f>
        <v>0</v>
      </c>
      <c r="T463" s="193"/>
      <c r="U463" s="285" t="str">
        <f>IF(Tabella1[[#This Row],[N° FantaTit]]="","",Tabella1[[#This Row],[fanta voto]])</f>
        <v/>
      </c>
      <c r="V463" s="193">
        <f>SUM(Tabella1[[#This Row],[Voto]],(G463*3),Q463,P463,O463,-(N463),(-M463/2),(-L463*2),(-H463),(I463*3),(-J463*3),(K463*3))</f>
        <v>6.5</v>
      </c>
      <c r="W463" s="193"/>
      <c r="X463" s="193" t="str">
        <f>IF(Tabella1[[#This Row],[Best 11]]=1,Tabella1[[#This Row],[fanta voto]],"")</f>
        <v/>
      </c>
      <c r="Z463" s="193" t="str">
        <f>IF(Tabella1[[#This Row],[Best 11 MOD]]=1,Tabella1[[#This Row],[fanta voto]],"")</f>
        <v/>
      </c>
      <c r="AA463" t="str">
        <f>CONCATENATE(Tabella1[[#This Row],[GG]],Tabella1[[#This Row],[Nome]])</f>
        <v>2Gila</v>
      </c>
      <c r="AB463" t="str">
        <f t="shared" ref="AB463:AB483" si="15">CONCATENATE(B463,R463,T463)</f>
        <v>2SAN GRIA</v>
      </c>
      <c r="AC463" t="str">
        <f>_xlfn.CONCAT(Tabella1[[#This Row],[Ruolo]],Tabella1[[#This Row],[Gs]])</f>
        <v>D0</v>
      </c>
    </row>
    <row r="464" spans="1:29" hidden="1" x14ac:dyDescent="0.3">
      <c r="A464" s="14">
        <v>46261</v>
      </c>
      <c r="B464" s="15">
        <v>2</v>
      </c>
      <c r="C464" s="321" t="s">
        <v>826</v>
      </c>
      <c r="D464" t="s">
        <v>161</v>
      </c>
      <c r="E464" t="s">
        <v>828</v>
      </c>
      <c r="F464" s="194">
        <v>6</v>
      </c>
      <c r="G464" s="328">
        <v>0</v>
      </c>
      <c r="H464" s="328">
        <v>0</v>
      </c>
      <c r="I464" s="328">
        <v>0</v>
      </c>
      <c r="J464" s="328">
        <v>0</v>
      </c>
      <c r="K464" s="328">
        <v>0</v>
      </c>
      <c r="L464" s="328">
        <v>0</v>
      </c>
      <c r="M464" s="328">
        <v>0</v>
      </c>
      <c r="N464" s="328">
        <v>0</v>
      </c>
      <c r="O464" s="328">
        <v>0</v>
      </c>
      <c r="P464" s="284"/>
      <c r="Q464" s="284">
        <f t="shared" si="14"/>
        <v>0</v>
      </c>
      <c r="R464" s="3" t="str">
        <f>_xlfn.IFNA(VLOOKUP(Tabella1[[#This Row],[Nome]],'ROSE SQUADRE'!$N$3:$O$253,2,0),"")</f>
        <v>AS PIPPERIA</v>
      </c>
      <c r="S464" s="193">
        <f>SUM(Tabella1[[#This Row],[Gf]],Tabella1[[#This Row],[Rf]])</f>
        <v>0</v>
      </c>
      <c r="T464" s="193"/>
      <c r="U464" s="285" t="str">
        <f>IF(Tabella1[[#This Row],[N° FantaTit]]="","",Tabella1[[#This Row],[fanta voto]])</f>
        <v/>
      </c>
      <c r="V464" s="193">
        <f>SUM(Tabella1[[#This Row],[Voto]],(G464*3),Q464,P464,O464,-(N464),(-M464/2),(-L464*2),(-H464),(I464*3),(-J464*3),(K464*3))</f>
        <v>6</v>
      </c>
      <c r="W464" s="193"/>
      <c r="X464" s="193" t="str">
        <f>IF(Tabella1[[#This Row],[Best 11]]=1,Tabella1[[#This Row],[fanta voto]],"")</f>
        <v/>
      </c>
      <c r="Z464" s="193" t="str">
        <f>IF(Tabella1[[#This Row],[Best 11 MOD]]=1,Tabella1[[#This Row],[fanta voto]],"")</f>
        <v/>
      </c>
      <c r="AA464" t="str">
        <f>CONCATENATE(Tabella1[[#This Row],[GG]],Tabella1[[#This Row],[Nome]])</f>
        <v>2Bartesaghi</v>
      </c>
      <c r="AB464" t="str">
        <f t="shared" si="15"/>
        <v>2AS PIPPERIA</v>
      </c>
      <c r="AC464" t="str">
        <f>_xlfn.CONCAT(Tabella1[[#This Row],[Ruolo]],Tabella1[[#This Row],[Gs]])</f>
        <v>D0</v>
      </c>
    </row>
    <row r="465" spans="1:29" hidden="1" x14ac:dyDescent="0.3">
      <c r="A465" s="14">
        <v>46261</v>
      </c>
      <c r="B465" s="15">
        <v>2</v>
      </c>
      <c r="C465" s="321" t="s">
        <v>826</v>
      </c>
      <c r="D465" s="330" t="s">
        <v>162</v>
      </c>
      <c r="E465" s="330" t="s">
        <v>838</v>
      </c>
      <c r="F465" s="331">
        <v>6</v>
      </c>
      <c r="G465" s="332">
        <v>0</v>
      </c>
      <c r="H465" s="332">
        <v>0</v>
      </c>
      <c r="I465" s="332">
        <v>0</v>
      </c>
      <c r="J465" s="332">
        <v>0</v>
      </c>
      <c r="K465" s="332">
        <v>0</v>
      </c>
      <c r="L465" s="332">
        <v>0</v>
      </c>
      <c r="M465" s="332">
        <v>0</v>
      </c>
      <c r="N465" s="332">
        <v>0</v>
      </c>
      <c r="O465" s="332">
        <v>0</v>
      </c>
      <c r="P465" s="284"/>
      <c r="Q465" s="284">
        <f t="shared" si="14"/>
        <v>0</v>
      </c>
      <c r="R465" s="3" t="str">
        <f>_xlfn.IFNA(VLOOKUP(Tabella1[[#This Row],[Nome]],'ROSE SQUADRE'!$N$3:$O$253,2,0),"")</f>
        <v>SAN GRIA</v>
      </c>
      <c r="S465" s="193">
        <f>SUM(Tabella1[[#This Row],[Gf]],Tabella1[[#This Row],[Rf]])</f>
        <v>0</v>
      </c>
      <c r="T465" s="193"/>
      <c r="U465" s="285" t="str">
        <f>IF(Tabella1[[#This Row],[N° FantaTit]]="","",Tabella1[[#This Row],[fanta voto]])</f>
        <v/>
      </c>
      <c r="V465" s="193">
        <f>SUM(Tabella1[[#This Row],[Voto]],(G465*3),Q465,P465,O465,-(N465),(-M465/2),(-L465*2),(-H465),(I465*3),(-J465*3),(K465*3))</f>
        <v>6</v>
      </c>
      <c r="W465" s="193"/>
      <c r="X465" s="193" t="str">
        <f>IF(Tabella1[[#This Row],[Best 11]]=1,Tabella1[[#This Row],[fanta voto]],"")</f>
        <v/>
      </c>
      <c r="Z465" s="193" t="str">
        <f>IF(Tabella1[[#This Row],[Best 11 MOD]]=1,Tabella1[[#This Row],[fanta voto]],"")</f>
        <v/>
      </c>
      <c r="AA465" t="str">
        <f>CONCATENATE(Tabella1[[#This Row],[GG]],Tabella1[[#This Row],[Nome]])</f>
        <v>2Rabiot</v>
      </c>
      <c r="AB465" t="str">
        <f t="shared" si="15"/>
        <v>2SAN GRIA</v>
      </c>
      <c r="AC465" t="str">
        <f>_xlfn.CONCAT(Tabella1[[#This Row],[Ruolo]],Tabella1[[#This Row],[Gs]])</f>
        <v>C0</v>
      </c>
    </row>
    <row r="466" spans="1:29" hidden="1" x14ac:dyDescent="0.3">
      <c r="A466" s="14">
        <v>46261</v>
      </c>
      <c r="B466" s="15">
        <v>2</v>
      </c>
      <c r="C466" s="321" t="s">
        <v>826</v>
      </c>
      <c r="D466" t="s">
        <v>162</v>
      </c>
      <c r="E466" t="s">
        <v>836</v>
      </c>
      <c r="F466" s="194">
        <v>6</v>
      </c>
      <c r="G466" s="328">
        <v>0</v>
      </c>
      <c r="H466" s="328">
        <v>0</v>
      </c>
      <c r="I466" s="328">
        <v>0</v>
      </c>
      <c r="J466" s="328">
        <v>0</v>
      </c>
      <c r="K466" s="328">
        <v>0</v>
      </c>
      <c r="L466" s="328">
        <v>0</v>
      </c>
      <c r="M466" s="328">
        <v>0</v>
      </c>
      <c r="N466" s="328">
        <v>0</v>
      </c>
      <c r="O466" s="328">
        <v>0</v>
      </c>
      <c r="P466" s="284"/>
      <c r="Q466" s="284">
        <f t="shared" si="14"/>
        <v>0</v>
      </c>
      <c r="R466" s="3" t="str">
        <f>_xlfn.IFNA(VLOOKUP(Tabella1[[#This Row],[Nome]],'ROSE SQUADRE'!$N$3:$O$253,2,0),"")</f>
        <v>SESTO ASENSIO</v>
      </c>
      <c r="S466" s="193">
        <f>SUM(Tabella1[[#This Row],[Gf]],Tabella1[[#This Row],[Rf]])</f>
        <v>0</v>
      </c>
      <c r="T466" s="193"/>
      <c r="U466" s="285" t="str">
        <f>IF(Tabella1[[#This Row],[N° FantaTit]]="","",Tabella1[[#This Row],[fanta voto]])</f>
        <v/>
      </c>
      <c r="V466" s="193">
        <f>SUM(Tabella1[[#This Row],[Voto]],(G466*3),Q466,P466,O466,-(N466),(-M466/2),(-L466*2),(-H466),(I466*3),(-J466*3),(K466*3))</f>
        <v>6</v>
      </c>
      <c r="W466" s="193"/>
      <c r="X466" s="193" t="str">
        <f>IF(Tabella1[[#This Row],[Best 11]]=1,Tabella1[[#This Row],[fanta voto]],"")</f>
        <v/>
      </c>
      <c r="Z466" s="193" t="str">
        <f>IF(Tabella1[[#This Row],[Best 11 MOD]]=1,Tabella1[[#This Row],[fanta voto]],"")</f>
        <v/>
      </c>
      <c r="AA466" t="str">
        <f>CONCATENATE(Tabella1[[#This Row],[GG]],Tabella1[[#This Row],[Nome]])</f>
        <v>2Modric</v>
      </c>
      <c r="AB466" t="str">
        <f t="shared" si="15"/>
        <v>2SESTO ASENSIO</v>
      </c>
      <c r="AC466" t="str">
        <f>_xlfn.CONCAT(Tabella1[[#This Row],[Ruolo]],Tabella1[[#This Row],[Gs]])</f>
        <v>C0</v>
      </c>
    </row>
    <row r="467" spans="1:29" hidden="1" x14ac:dyDescent="0.3">
      <c r="A467" s="14">
        <v>46261</v>
      </c>
      <c r="B467" s="15">
        <v>2</v>
      </c>
      <c r="C467" s="321" t="s">
        <v>826</v>
      </c>
      <c r="D467" s="330" t="s">
        <v>162</v>
      </c>
      <c r="E467" s="330" t="s">
        <v>464</v>
      </c>
      <c r="F467" s="331">
        <v>6</v>
      </c>
      <c r="G467" s="332">
        <v>0</v>
      </c>
      <c r="H467" s="332">
        <v>0</v>
      </c>
      <c r="I467" s="332">
        <v>0</v>
      </c>
      <c r="J467" s="332">
        <v>0</v>
      </c>
      <c r="K467" s="332">
        <v>0</v>
      </c>
      <c r="L467" s="332">
        <v>0</v>
      </c>
      <c r="M467" s="332">
        <v>0</v>
      </c>
      <c r="N467" s="332">
        <v>0</v>
      </c>
      <c r="O467" s="332">
        <v>0</v>
      </c>
      <c r="P467" s="284"/>
      <c r="Q467" s="284">
        <f t="shared" si="14"/>
        <v>0</v>
      </c>
      <c r="R467" s="3" t="str">
        <f>_xlfn.IFNA(VLOOKUP(Tabella1[[#This Row],[Nome]],'ROSE SQUADRE'!$N$3:$O$253,2,0),"")</f>
        <v>SHARK</v>
      </c>
      <c r="S467" s="193">
        <f>SUM(Tabella1[[#This Row],[Gf]],Tabella1[[#This Row],[Rf]])</f>
        <v>0</v>
      </c>
      <c r="T467" s="193"/>
      <c r="U467" s="285" t="str">
        <f>IF(Tabella1[[#This Row],[N° FantaTit]]="","",Tabella1[[#This Row],[fanta voto]])</f>
        <v/>
      </c>
      <c r="V467" s="193">
        <f>SUM(Tabella1[[#This Row],[Voto]],(G467*3),Q467,P467,O467,-(N467),(-M467/2),(-L467*2),(-H467),(I467*3),(-J467*3),(K467*3))</f>
        <v>6</v>
      </c>
      <c r="W467" s="193"/>
      <c r="X467" s="193" t="str">
        <f>IF(Tabella1[[#This Row],[Best 11]]=1,Tabella1[[#This Row],[fanta voto]],"")</f>
        <v/>
      </c>
      <c r="Z467" s="193" t="str">
        <f>IF(Tabella1[[#This Row],[Best 11 MOD]]=1,Tabella1[[#This Row],[fanta voto]],"")</f>
        <v/>
      </c>
      <c r="AA467" t="str">
        <f>CONCATENATE(Tabella1[[#This Row],[GG]],Tabella1[[#This Row],[Nome]])</f>
        <v>2Loftus-Cheek</v>
      </c>
      <c r="AB467" t="str">
        <f t="shared" si="15"/>
        <v>2SHARK</v>
      </c>
      <c r="AC467" t="str">
        <f>_xlfn.CONCAT(Tabella1[[#This Row],[Ruolo]],Tabella1[[#This Row],[Gs]])</f>
        <v>C0</v>
      </c>
    </row>
    <row r="468" spans="1:29" hidden="1" x14ac:dyDescent="0.3">
      <c r="A468" s="14">
        <v>46261</v>
      </c>
      <c r="B468" s="15">
        <v>2</v>
      </c>
      <c r="C468" s="321" t="s">
        <v>826</v>
      </c>
      <c r="D468" t="s">
        <v>162</v>
      </c>
      <c r="E468" t="s">
        <v>462</v>
      </c>
      <c r="F468" s="194">
        <v>6.5</v>
      </c>
      <c r="G468" s="328">
        <v>0</v>
      </c>
      <c r="H468" s="328">
        <v>0</v>
      </c>
      <c r="I468" s="328">
        <v>0</v>
      </c>
      <c r="J468" s="328">
        <v>0</v>
      </c>
      <c r="K468" s="328">
        <v>0</v>
      </c>
      <c r="L468" s="328">
        <v>0</v>
      </c>
      <c r="M468" s="328">
        <v>0</v>
      </c>
      <c r="N468" s="328">
        <v>0</v>
      </c>
      <c r="O468" s="328">
        <v>0</v>
      </c>
      <c r="P468" s="284"/>
      <c r="Q468" s="284">
        <f t="shared" si="14"/>
        <v>0</v>
      </c>
      <c r="R468" s="3" t="str">
        <f>_xlfn.IFNA(VLOOKUP(Tabella1[[#This Row],[Nome]],'ROSE SQUADRE'!$N$3:$O$253,2,0),"")</f>
        <v>SAN GRIA</v>
      </c>
      <c r="S468" s="193">
        <f>SUM(Tabella1[[#This Row],[Gf]],Tabella1[[#This Row],[Rf]])</f>
        <v>0</v>
      </c>
      <c r="T468" s="193"/>
      <c r="U468" s="285" t="str">
        <f>IF(Tabella1[[#This Row],[N° FantaTit]]="","",Tabella1[[#This Row],[fanta voto]])</f>
        <v/>
      </c>
      <c r="V468" s="193">
        <f>SUM(Tabella1[[#This Row],[Voto]],(G468*3),Q468,P468,O468,-(N468),(-M468/2),(-L468*2),(-H468),(I468*3),(-J468*3),(K468*3))</f>
        <v>6.5</v>
      </c>
      <c r="W468" s="193"/>
      <c r="X468" s="193" t="str">
        <f>IF(Tabella1[[#This Row],[Best 11]]=1,Tabella1[[#This Row],[fanta voto]],"")</f>
        <v/>
      </c>
      <c r="Z468" s="193" t="str">
        <f>IF(Tabella1[[#This Row],[Best 11 MOD]]=1,Tabella1[[#This Row],[fanta voto]],"")</f>
        <v/>
      </c>
      <c r="AA468" t="str">
        <f>CONCATENATE(Tabella1[[#This Row],[GG]],Tabella1[[#This Row],[Nome]])</f>
        <v>2Chukwueze</v>
      </c>
      <c r="AB468" t="str">
        <f t="shared" si="15"/>
        <v>2SAN GRIA</v>
      </c>
      <c r="AC468" t="str">
        <f>_xlfn.CONCAT(Tabella1[[#This Row],[Ruolo]],Tabella1[[#This Row],[Gs]])</f>
        <v>C0</v>
      </c>
    </row>
    <row r="469" spans="1:29" hidden="1" x14ac:dyDescent="0.3">
      <c r="A469" s="14">
        <v>46261</v>
      </c>
      <c r="B469" s="15">
        <v>2</v>
      </c>
      <c r="C469" s="321" t="s">
        <v>826</v>
      </c>
      <c r="D469" s="330" t="s">
        <v>162</v>
      </c>
      <c r="E469" s="330" t="s">
        <v>249</v>
      </c>
      <c r="F469" s="331">
        <v>7</v>
      </c>
      <c r="G469" s="332">
        <v>0</v>
      </c>
      <c r="H469" s="332">
        <v>0</v>
      </c>
      <c r="I469" s="332">
        <v>0</v>
      </c>
      <c r="J469" s="332">
        <v>0</v>
      </c>
      <c r="K469" s="332">
        <v>0</v>
      </c>
      <c r="L469" s="332">
        <v>0</v>
      </c>
      <c r="M469" s="332">
        <v>0</v>
      </c>
      <c r="N469" s="332">
        <v>0</v>
      </c>
      <c r="O469" s="333">
        <v>1</v>
      </c>
      <c r="P469" s="284"/>
      <c r="Q469" s="284">
        <f t="shared" si="14"/>
        <v>0</v>
      </c>
      <c r="R469" s="3" t="str">
        <f>_xlfn.IFNA(VLOOKUP(Tabella1[[#This Row],[Nome]],'ROSE SQUADRE'!$N$3:$O$253,2,0),"")</f>
        <v>SAN GRIA</v>
      </c>
      <c r="S469" s="193">
        <f>SUM(Tabella1[[#This Row],[Gf]],Tabella1[[#This Row],[Rf]])</f>
        <v>0</v>
      </c>
      <c r="T469" s="193"/>
      <c r="U469" s="285" t="str">
        <f>IF(Tabella1[[#This Row],[N° FantaTit]]="","",Tabella1[[#This Row],[fanta voto]])</f>
        <v/>
      </c>
      <c r="V469" s="193">
        <f>SUM(Tabella1[[#This Row],[Voto]],(G469*3),Q469,P469,O469,-(N469),(-M469/2),(-L469*2),(-H469),(I469*3),(-J469*3),(K469*3))</f>
        <v>8</v>
      </c>
      <c r="W469" s="193"/>
      <c r="X469" s="193" t="str">
        <f>IF(Tabella1[[#This Row],[Best 11]]=1,Tabella1[[#This Row],[fanta voto]],"")</f>
        <v/>
      </c>
      <c r="Z469" s="193" t="str">
        <f>IF(Tabella1[[#This Row],[Best 11 MOD]]=1,Tabella1[[#This Row],[fanta voto]],"")</f>
        <v/>
      </c>
      <c r="AA469" t="str">
        <f>CONCATENATE(Tabella1[[#This Row],[GG]],Tabella1[[#This Row],[Nome]])</f>
        <v>2Saelemaekers</v>
      </c>
      <c r="AB469" t="str">
        <f t="shared" si="15"/>
        <v>2SAN GRIA</v>
      </c>
      <c r="AC469" t="str">
        <f>_xlfn.CONCAT(Tabella1[[#This Row],[Ruolo]],Tabella1[[#This Row],[Gs]])</f>
        <v>C0</v>
      </c>
    </row>
    <row r="470" spans="1:29" hidden="1" x14ac:dyDescent="0.3">
      <c r="A470" s="14">
        <v>46261</v>
      </c>
      <c r="B470" s="15">
        <v>2</v>
      </c>
      <c r="C470" s="321" t="s">
        <v>826</v>
      </c>
      <c r="D470" t="s">
        <v>162</v>
      </c>
      <c r="E470" t="s">
        <v>466</v>
      </c>
      <c r="F470" s="194">
        <v>6.5</v>
      </c>
      <c r="G470" s="328">
        <v>0</v>
      </c>
      <c r="H470" s="328">
        <v>0</v>
      </c>
      <c r="I470" s="328">
        <v>0</v>
      </c>
      <c r="J470" s="328">
        <v>0</v>
      </c>
      <c r="K470" s="328">
        <v>0</v>
      </c>
      <c r="L470" s="328">
        <v>0</v>
      </c>
      <c r="M470" s="328">
        <v>0</v>
      </c>
      <c r="N470" s="328">
        <v>0</v>
      </c>
      <c r="O470" s="328">
        <v>0</v>
      </c>
      <c r="P470" s="284"/>
      <c r="Q470" s="284">
        <f t="shared" si="14"/>
        <v>0</v>
      </c>
      <c r="R470" s="3" t="str">
        <f>_xlfn.IFNA(VLOOKUP(Tabella1[[#This Row],[Nome]],'ROSE SQUADRE'!$N$3:$O$253,2,0),"")</f>
        <v>SHARK</v>
      </c>
      <c r="S470" s="193">
        <f>SUM(Tabella1[[#This Row],[Gf]],Tabella1[[#This Row],[Rf]])</f>
        <v>0</v>
      </c>
      <c r="T470" s="193"/>
      <c r="U470" s="285" t="str">
        <f>IF(Tabella1[[#This Row],[N° FantaTit]]="","",Tabella1[[#This Row],[fanta voto]])</f>
        <v/>
      </c>
      <c r="V470" s="193">
        <f>SUM(Tabella1[[#This Row],[Voto]],(G470*3),Q470,P470,O470,-(N470),(-M470/2),(-L470*2),(-H470),(I470*3),(-J470*3),(K470*3))</f>
        <v>6.5</v>
      </c>
      <c r="W470" s="193"/>
      <c r="X470" s="193" t="str">
        <f>IF(Tabella1[[#This Row],[Best 11]]=1,Tabella1[[#This Row],[fanta voto]],"")</f>
        <v/>
      </c>
      <c r="Z470" s="193" t="str">
        <f>IF(Tabella1[[#This Row],[Best 11 MOD]]=1,Tabella1[[#This Row],[fanta voto]],"")</f>
        <v/>
      </c>
      <c r="AA470" t="str">
        <f>CONCATENATE(Tabella1[[#This Row],[GG]],Tabella1[[#This Row],[Nome]])</f>
        <v>2Musah</v>
      </c>
      <c r="AB470" t="str">
        <f t="shared" si="15"/>
        <v>2SHARK</v>
      </c>
      <c r="AC470" t="str">
        <f>_xlfn.CONCAT(Tabella1[[#This Row],[Ruolo]],Tabella1[[#This Row],[Gs]])</f>
        <v>C0</v>
      </c>
    </row>
    <row r="471" spans="1:29" hidden="1" x14ac:dyDescent="0.3">
      <c r="A471" s="14">
        <v>46261</v>
      </c>
      <c r="B471" s="15">
        <v>2</v>
      </c>
      <c r="C471" s="321" t="s">
        <v>826</v>
      </c>
      <c r="D471" s="330" t="s">
        <v>162</v>
      </c>
      <c r="E471" s="330" t="s">
        <v>833</v>
      </c>
      <c r="F471" s="331">
        <v>5.5</v>
      </c>
      <c r="G471" s="332">
        <v>0</v>
      </c>
      <c r="H471" s="332">
        <v>0</v>
      </c>
      <c r="I471" s="332">
        <v>0</v>
      </c>
      <c r="J471" s="332">
        <v>0</v>
      </c>
      <c r="K471" s="332">
        <v>0</v>
      </c>
      <c r="L471" s="332">
        <v>0</v>
      </c>
      <c r="M471" s="332">
        <v>0</v>
      </c>
      <c r="N471" s="332">
        <v>0</v>
      </c>
      <c r="O471" s="332">
        <v>0</v>
      </c>
      <c r="P471" s="284"/>
      <c r="Q471" s="284">
        <f t="shared" si="14"/>
        <v>0</v>
      </c>
      <c r="R471" s="3" t="str">
        <f>_xlfn.IFNA(VLOOKUP(Tabella1[[#This Row],[Nome]],'ROSE SQUADRE'!$N$3:$O$253,2,0),"")</f>
        <v>SESTO ASENSIO</v>
      </c>
      <c r="S471" s="193">
        <f>SUM(Tabella1[[#This Row],[Gf]],Tabella1[[#This Row],[Rf]])</f>
        <v>0</v>
      </c>
      <c r="T471" s="193"/>
      <c r="U471" s="285" t="str">
        <f>IF(Tabella1[[#This Row],[N° FantaTit]]="","",Tabella1[[#This Row],[fanta voto]])</f>
        <v/>
      </c>
      <c r="V471" s="193">
        <f>SUM(Tabella1[[#This Row],[Voto]],(G471*3),Q471,P471,O471,-(N471),(-M471/2),(-L471*2),(-H471),(I471*3),(-J471*3),(K471*3))</f>
        <v>5.5</v>
      </c>
      <c r="W471" s="193"/>
      <c r="X471" s="193" t="str">
        <f>IF(Tabella1[[#This Row],[Best 11]]=1,Tabella1[[#This Row],[fanta voto]],"")</f>
        <v/>
      </c>
      <c r="Z471" s="193" t="str">
        <f>IF(Tabella1[[#This Row],[Best 11 MOD]]=1,Tabella1[[#This Row],[fanta voto]],"")</f>
        <v/>
      </c>
      <c r="AA471" t="str">
        <f>CONCATENATE(Tabella1[[#This Row],[GG]],Tabella1[[#This Row],[Nome]])</f>
        <v>2Cissè A.</v>
      </c>
      <c r="AB471" t="str">
        <f t="shared" si="15"/>
        <v>2SESTO ASENSIO</v>
      </c>
      <c r="AC471" t="str">
        <f>_xlfn.CONCAT(Tabella1[[#This Row],[Ruolo]],Tabella1[[#This Row],[Gs]])</f>
        <v>C0</v>
      </c>
    </row>
    <row r="472" spans="1:29" hidden="1" x14ac:dyDescent="0.3">
      <c r="A472" s="14">
        <v>46261</v>
      </c>
      <c r="B472" s="15">
        <v>2</v>
      </c>
      <c r="C472" s="321" t="s">
        <v>826</v>
      </c>
      <c r="D472" t="s">
        <v>162</v>
      </c>
      <c r="E472" t="s">
        <v>835</v>
      </c>
      <c r="F472" s="194">
        <v>6</v>
      </c>
      <c r="G472" s="328">
        <v>0</v>
      </c>
      <c r="H472" s="328">
        <v>0</v>
      </c>
      <c r="I472" s="328">
        <v>0</v>
      </c>
      <c r="J472" s="328">
        <v>0</v>
      </c>
      <c r="K472" s="328">
        <v>0</v>
      </c>
      <c r="L472" s="328">
        <v>0</v>
      </c>
      <c r="M472" s="328">
        <v>0</v>
      </c>
      <c r="N472" s="328">
        <v>0</v>
      </c>
      <c r="O472" s="328">
        <v>0</v>
      </c>
      <c r="P472" s="284"/>
      <c r="Q472" s="284">
        <f t="shared" si="14"/>
        <v>0</v>
      </c>
      <c r="R472" s="3" t="str">
        <f>_xlfn.IFNA(VLOOKUP(Tabella1[[#This Row],[Nome]],'ROSE SQUADRE'!$N$3:$O$253,2,0),"")</f>
        <v>ATL. IMPROVVISATO</v>
      </c>
      <c r="S472" s="193">
        <f>SUM(Tabella1[[#This Row],[Gf]],Tabella1[[#This Row],[Rf]])</f>
        <v>0</v>
      </c>
      <c r="T472" s="193"/>
      <c r="U472" s="285" t="str">
        <f>IF(Tabella1[[#This Row],[N° FantaTit]]="","",Tabella1[[#This Row],[fanta voto]])</f>
        <v/>
      </c>
      <c r="V472" s="193">
        <f>SUM(Tabella1[[#This Row],[Voto]],(G472*3),Q472,P472,O472,-(N472),(-M472/2),(-L472*2),(-H472),(I472*3),(-J472*3),(K472*3))</f>
        <v>6</v>
      </c>
      <c r="W472" s="193"/>
      <c r="X472" s="193" t="str">
        <f>IF(Tabella1[[#This Row],[Best 11]]=1,Tabella1[[#This Row],[fanta voto]],"")</f>
        <v/>
      </c>
      <c r="Z472" s="193" t="str">
        <f>IF(Tabella1[[#This Row],[Best 11 MOD]]=1,Tabella1[[#This Row],[fanta voto]],"")</f>
        <v/>
      </c>
      <c r="AA472" t="str">
        <f>CONCATENATE(Tabella1[[#This Row],[GG]],Tabella1[[#This Row],[Nome]])</f>
        <v>2Jashari</v>
      </c>
      <c r="AB472" t="str">
        <f t="shared" si="15"/>
        <v>2ATL. IMPROVVISATO</v>
      </c>
      <c r="AC472" t="str">
        <f>_xlfn.CONCAT(Tabella1[[#This Row],[Ruolo]],Tabella1[[#This Row],[Gs]])</f>
        <v>C0</v>
      </c>
    </row>
    <row r="473" spans="1:29" hidden="1" x14ac:dyDescent="0.3">
      <c r="A473" s="14">
        <v>46261</v>
      </c>
      <c r="B473" s="15">
        <v>2</v>
      </c>
      <c r="C473" s="321" t="s">
        <v>826</v>
      </c>
      <c r="D473" s="330" t="s">
        <v>163</v>
      </c>
      <c r="E473" s="330" t="s">
        <v>841</v>
      </c>
      <c r="F473" s="331">
        <v>7</v>
      </c>
      <c r="G473" s="333">
        <v>1</v>
      </c>
      <c r="H473" s="332">
        <v>0</v>
      </c>
      <c r="I473" s="332">
        <v>0</v>
      </c>
      <c r="J473" s="332">
        <v>0</v>
      </c>
      <c r="K473" s="332">
        <v>0</v>
      </c>
      <c r="L473" s="332">
        <v>0</v>
      </c>
      <c r="M473" s="332">
        <v>0</v>
      </c>
      <c r="N473" s="332">
        <v>0</v>
      </c>
      <c r="O473" s="332">
        <v>0</v>
      </c>
      <c r="P473" s="284">
        <v>1</v>
      </c>
      <c r="Q473" s="284">
        <f t="shared" si="14"/>
        <v>0</v>
      </c>
      <c r="R473" s="3" t="str">
        <f>_xlfn.IFNA(VLOOKUP(Tabella1[[#This Row],[Nome]],'ROSE SQUADRE'!$N$3:$O$253,2,0),"")</f>
        <v>AS PIPPERIA</v>
      </c>
      <c r="S473" s="193">
        <f>SUM(Tabella1[[#This Row],[Gf]],Tabella1[[#This Row],[Rf]])</f>
        <v>1</v>
      </c>
      <c r="T473" s="193"/>
      <c r="U473" s="285" t="str">
        <f>IF(Tabella1[[#This Row],[N° FantaTit]]="","",Tabella1[[#This Row],[fanta voto]])</f>
        <v/>
      </c>
      <c r="V473" s="193">
        <f>SUM(Tabella1[[#This Row],[Voto]],(G473*3),Q473,P473,O473,-(N473),(-M473/2),(-L473*2),(-H473),(I473*3),(-J473*3),(K473*3))</f>
        <v>11</v>
      </c>
      <c r="W473" s="193"/>
      <c r="X473" s="193" t="str">
        <f>IF(Tabella1[[#This Row],[Best 11]]=1,Tabella1[[#This Row],[fanta voto]],"")</f>
        <v/>
      </c>
      <c r="Z473" s="193" t="str">
        <f>IF(Tabella1[[#This Row],[Best 11 MOD]]=1,Tabella1[[#This Row],[fanta voto]],"")</f>
        <v/>
      </c>
      <c r="AA473" t="str">
        <f>CONCATENATE(Tabella1[[#This Row],[GG]],Tabella1[[#This Row],[Nome]])</f>
        <v>2Ramos G.</v>
      </c>
      <c r="AB473" t="str">
        <f t="shared" si="15"/>
        <v>2AS PIPPERIA</v>
      </c>
      <c r="AC473" t="str">
        <f>_xlfn.CONCAT(Tabella1[[#This Row],[Ruolo]],Tabella1[[#This Row],[Gs]])</f>
        <v>A0</v>
      </c>
    </row>
    <row r="474" spans="1:29" hidden="1" x14ac:dyDescent="0.3">
      <c r="A474" s="14">
        <v>46261</v>
      </c>
      <c r="B474" s="15">
        <v>2</v>
      </c>
      <c r="C474" s="321" t="s">
        <v>842</v>
      </c>
      <c r="D474" s="330" t="s">
        <v>5</v>
      </c>
      <c r="E474" s="330" t="s">
        <v>844</v>
      </c>
      <c r="F474" s="331">
        <v>4.5</v>
      </c>
      <c r="G474" s="332">
        <v>0</v>
      </c>
      <c r="H474" s="333">
        <v>3</v>
      </c>
      <c r="I474" s="332">
        <v>0</v>
      </c>
      <c r="J474" s="332">
        <v>0</v>
      </c>
      <c r="K474" s="332">
        <v>0</v>
      </c>
      <c r="L474" s="332">
        <v>0</v>
      </c>
      <c r="M474" s="332">
        <v>0</v>
      </c>
      <c r="N474" s="332">
        <v>0</v>
      </c>
      <c r="O474" s="332">
        <v>0</v>
      </c>
      <c r="P474" s="284"/>
      <c r="Q474" s="284">
        <f t="shared" si="14"/>
        <v>0</v>
      </c>
      <c r="R474" s="3" t="str">
        <f>_xlfn.IFNA(VLOOKUP(Tabella1[[#This Row],[Nome]],'ROSE SQUADRE'!$N$3:$O$253,2,0),"")</f>
        <v>AC ASPARAGHESE</v>
      </c>
      <c r="S474" s="193">
        <f>SUM(Tabella1[[#This Row],[Gf]],Tabella1[[#This Row],[Rf]])</f>
        <v>0</v>
      </c>
      <c r="T474" s="193"/>
      <c r="U474" s="285" t="str">
        <f>IF(Tabella1[[#This Row],[N° FantaTit]]="","",Tabella1[[#This Row],[fanta voto]])</f>
        <v/>
      </c>
      <c r="V474" s="193">
        <f>SUM(Tabella1[[#This Row],[Voto]],(G474*3),Q474,P474,O474,-(N474),(-M474/2),(-L474*2),(-H474),(I474*3),(-J474*3),(K474*3))</f>
        <v>1.5</v>
      </c>
      <c r="W474" s="193"/>
      <c r="X474" s="193" t="str">
        <f>IF(Tabella1[[#This Row],[Best 11]]=1,Tabella1[[#This Row],[fanta voto]],"")</f>
        <v/>
      </c>
      <c r="Z474" s="193" t="str">
        <f>IF(Tabella1[[#This Row],[Best 11 MOD]]=1,Tabella1[[#This Row],[fanta voto]],"")</f>
        <v/>
      </c>
      <c r="AA474" t="str">
        <f>CONCATENATE(Tabella1[[#This Row],[GG]],Tabella1[[#This Row],[Nome]])</f>
        <v>2Thiam</v>
      </c>
      <c r="AB474" t="str">
        <f t="shared" si="15"/>
        <v>2AC ASPARAGHESE</v>
      </c>
      <c r="AC474" t="str">
        <f>_xlfn.CONCAT(Tabella1[[#This Row],[Ruolo]],Tabella1[[#This Row],[Gs]])</f>
        <v>P3</v>
      </c>
    </row>
    <row r="475" spans="1:29" hidden="1" x14ac:dyDescent="0.3">
      <c r="A475" s="14">
        <v>46261</v>
      </c>
      <c r="B475" s="15">
        <v>2</v>
      </c>
      <c r="C475" s="321" t="s">
        <v>842</v>
      </c>
      <c r="D475" t="s">
        <v>161</v>
      </c>
      <c r="E475" t="s">
        <v>848</v>
      </c>
      <c r="F475" s="194">
        <v>6</v>
      </c>
      <c r="G475" s="328">
        <v>0</v>
      </c>
      <c r="H475" s="328">
        <v>0</v>
      </c>
      <c r="I475" s="328">
        <v>0</v>
      </c>
      <c r="J475" s="328">
        <v>0</v>
      </c>
      <c r="K475" s="328">
        <v>0</v>
      </c>
      <c r="L475" s="328">
        <v>0</v>
      </c>
      <c r="M475" s="328">
        <v>0</v>
      </c>
      <c r="N475" s="328">
        <v>0</v>
      </c>
      <c r="O475" s="328">
        <v>0</v>
      </c>
      <c r="P475" s="284"/>
      <c r="Q475" s="284">
        <f t="shared" si="14"/>
        <v>0</v>
      </c>
      <c r="R475" s="3" t="str">
        <f>_xlfn.IFNA(VLOOKUP(Tabella1[[#This Row],[Nome]],'ROSE SQUADRE'!$N$3:$O$253,2,0),"")</f>
        <v/>
      </c>
      <c r="S475" s="193">
        <f>SUM(Tabella1[[#This Row],[Gf]],Tabella1[[#This Row],[Rf]])</f>
        <v>0</v>
      </c>
      <c r="T475" s="193"/>
      <c r="U475" s="285" t="str">
        <f>IF(Tabella1[[#This Row],[N° FantaTit]]="","",Tabella1[[#This Row],[fanta voto]])</f>
        <v/>
      </c>
      <c r="V475" s="193">
        <f>SUM(Tabella1[[#This Row],[Voto]],(G475*3),Q475,P475,O475,-(N475),(-M475/2),(-L475*2),(-H475),(I475*3),(-J475*3),(K475*3))</f>
        <v>6</v>
      </c>
      <c r="W475" s="193"/>
      <c r="X475" s="193" t="str">
        <f>IF(Tabella1[[#This Row],[Best 11]]=1,Tabella1[[#This Row],[fanta voto]],"")</f>
        <v/>
      </c>
      <c r="Z475" s="193" t="str">
        <f>IF(Tabella1[[#This Row],[Best 11 MOD]]=1,Tabella1[[#This Row],[fanta voto]],"")</f>
        <v/>
      </c>
      <c r="AA475" t="str">
        <f>CONCATENATE(Tabella1[[#This Row],[GG]],Tabella1[[#This Row],[Nome]])</f>
        <v>2Delli Carri</v>
      </c>
      <c r="AB475" t="str">
        <f t="shared" si="15"/>
        <v>2</v>
      </c>
      <c r="AC475" t="str">
        <f>_xlfn.CONCAT(Tabella1[[#This Row],[Ruolo]],Tabella1[[#This Row],[Gs]])</f>
        <v>D0</v>
      </c>
    </row>
    <row r="476" spans="1:29" hidden="1" x14ac:dyDescent="0.3">
      <c r="A476" s="14">
        <v>46261</v>
      </c>
      <c r="B476" s="15">
        <v>2</v>
      </c>
      <c r="C476" s="321" t="s">
        <v>842</v>
      </c>
      <c r="D476" s="330" t="s">
        <v>161</v>
      </c>
      <c r="E476" s="330" t="s">
        <v>847</v>
      </c>
      <c r="F476" s="331">
        <v>5.5</v>
      </c>
      <c r="G476" s="332">
        <v>0</v>
      </c>
      <c r="H476" s="332">
        <v>0</v>
      </c>
      <c r="I476" s="332">
        <v>0</v>
      </c>
      <c r="J476" s="332">
        <v>0</v>
      </c>
      <c r="K476" s="332">
        <v>0</v>
      </c>
      <c r="L476" s="332">
        <v>0</v>
      </c>
      <c r="M476" s="332">
        <v>0</v>
      </c>
      <c r="N476" s="332">
        <v>0</v>
      </c>
      <c r="O476" s="332">
        <v>0</v>
      </c>
      <c r="P476" s="284"/>
      <c r="Q476" s="284">
        <f t="shared" si="14"/>
        <v>0</v>
      </c>
      <c r="R476" s="3" t="str">
        <f>_xlfn.IFNA(VLOOKUP(Tabella1[[#This Row],[Nome]],'ROSE SQUADRE'!$N$3:$O$253,2,0),"")</f>
        <v/>
      </c>
      <c r="S476" s="193">
        <f>SUM(Tabella1[[#This Row],[Gf]],Tabella1[[#This Row],[Rf]])</f>
        <v>0</v>
      </c>
      <c r="T476" s="193"/>
      <c r="U476" s="285" t="str">
        <f>IF(Tabella1[[#This Row],[N° FantaTit]]="","",Tabella1[[#This Row],[fanta voto]])</f>
        <v/>
      </c>
      <c r="V476" s="193">
        <f>SUM(Tabella1[[#This Row],[Voto]],(G476*3),Q476,P476,O476,-(N476),(-M476/2),(-L476*2),(-H476),(I476*3),(-J476*3),(K476*3))</f>
        <v>5.5</v>
      </c>
      <c r="W476" s="193"/>
      <c r="X476" s="193" t="str">
        <f>IF(Tabella1[[#This Row],[Best 11]]=1,Tabella1[[#This Row],[fanta voto]],"")</f>
        <v/>
      </c>
      <c r="Z476" s="193" t="str">
        <f>IF(Tabella1[[#This Row],[Best 11 MOD]]=1,Tabella1[[#This Row],[fanta voto]],"")</f>
        <v/>
      </c>
      <c r="AA476" t="str">
        <f>CONCATENATE(Tabella1[[#This Row],[GG]],Tabella1[[#This Row],[Nome]])</f>
        <v>2Carboni A.</v>
      </c>
      <c r="AB476" t="str">
        <f t="shared" si="15"/>
        <v>2</v>
      </c>
      <c r="AC476" t="str">
        <f>_xlfn.CONCAT(Tabella1[[#This Row],[Ruolo]],Tabella1[[#This Row],[Gs]])</f>
        <v>D0</v>
      </c>
    </row>
    <row r="477" spans="1:29" hidden="1" x14ac:dyDescent="0.3">
      <c r="A477" s="14">
        <v>46261</v>
      </c>
      <c r="B477" s="15">
        <v>2</v>
      </c>
      <c r="C477" s="321" t="s">
        <v>842</v>
      </c>
      <c r="D477" t="s">
        <v>161</v>
      </c>
      <c r="E477" t="s">
        <v>250</v>
      </c>
      <c r="F477" s="194">
        <v>6</v>
      </c>
      <c r="G477" s="328">
        <v>0</v>
      </c>
      <c r="H477" s="328">
        <v>0</v>
      </c>
      <c r="I477" s="328">
        <v>0</v>
      </c>
      <c r="J477" s="328">
        <v>0</v>
      </c>
      <c r="K477" s="328">
        <v>0</v>
      </c>
      <c r="L477" s="328">
        <v>0</v>
      </c>
      <c r="M477" s="328">
        <v>0</v>
      </c>
      <c r="N477" s="328">
        <v>0</v>
      </c>
      <c r="O477" s="328">
        <v>0</v>
      </c>
      <c r="P477" s="284"/>
      <c r="Q477" s="284">
        <f t="shared" si="14"/>
        <v>0</v>
      </c>
      <c r="R477" s="3" t="str">
        <f>_xlfn.IFNA(VLOOKUP(Tabella1[[#This Row],[Nome]],'ROSE SQUADRE'!$N$3:$O$253,2,0),"")</f>
        <v/>
      </c>
      <c r="S477" s="193">
        <f>SUM(Tabella1[[#This Row],[Gf]],Tabella1[[#This Row],[Rf]])</f>
        <v>0</v>
      </c>
      <c r="T477" s="193"/>
      <c r="U477" s="285" t="str">
        <f>IF(Tabella1[[#This Row],[N° FantaTit]]="","",Tabella1[[#This Row],[fanta voto]])</f>
        <v/>
      </c>
      <c r="V477" s="193">
        <f>SUM(Tabella1[[#This Row],[Voto]],(G477*3),Q477,P477,O477,-(N477),(-M477/2),(-L477*2),(-H477),(I477*3),(-J477*3),(K477*3))</f>
        <v>6</v>
      </c>
      <c r="W477" s="193"/>
      <c r="X477" s="193" t="str">
        <f>IF(Tabella1[[#This Row],[Best 11]]=1,Tabella1[[#This Row],[fanta voto]],"")</f>
        <v/>
      </c>
      <c r="Z477" s="193" t="str">
        <f>IF(Tabella1[[#This Row],[Best 11 MOD]]=1,Tabella1[[#This Row],[fanta voto]],"")</f>
        <v/>
      </c>
      <c r="AA477" t="str">
        <f>CONCATENATE(Tabella1[[#This Row],[GG]],Tabella1[[#This Row],[Nome]])</f>
        <v>2Birindelli</v>
      </c>
      <c r="AB477" t="str">
        <f t="shared" si="15"/>
        <v>2</v>
      </c>
      <c r="AC477" t="str">
        <f>_xlfn.CONCAT(Tabella1[[#This Row],[Ruolo]],Tabella1[[#This Row],[Gs]])</f>
        <v>D0</v>
      </c>
    </row>
    <row r="478" spans="1:29" hidden="1" x14ac:dyDescent="0.3">
      <c r="A478" s="14">
        <v>46261</v>
      </c>
      <c r="B478" s="15">
        <v>2</v>
      </c>
      <c r="C478" s="321" t="s">
        <v>842</v>
      </c>
      <c r="D478" s="330" t="s">
        <v>161</v>
      </c>
      <c r="E478" s="330" t="s">
        <v>850</v>
      </c>
      <c r="F478" s="331">
        <v>5.5</v>
      </c>
      <c r="G478" s="332">
        <v>0</v>
      </c>
      <c r="H478" s="332">
        <v>0</v>
      </c>
      <c r="I478" s="332">
        <v>0</v>
      </c>
      <c r="J478" s="332">
        <v>0</v>
      </c>
      <c r="K478" s="332">
        <v>0</v>
      </c>
      <c r="L478" s="332">
        <v>0</v>
      </c>
      <c r="M478" s="333">
        <v>1</v>
      </c>
      <c r="N478" s="332">
        <v>0</v>
      </c>
      <c r="O478" s="332">
        <v>0</v>
      </c>
      <c r="P478" s="284"/>
      <c r="Q478" s="284">
        <f t="shared" si="14"/>
        <v>0</v>
      </c>
      <c r="R478" s="3" t="str">
        <f>_xlfn.IFNA(VLOOKUP(Tabella1[[#This Row],[Nome]],'ROSE SQUADRE'!$N$3:$O$253,2,0),"")</f>
        <v/>
      </c>
      <c r="S478" s="193">
        <f>SUM(Tabella1[[#This Row],[Gf]],Tabella1[[#This Row],[Rf]])</f>
        <v>0</v>
      </c>
      <c r="T478" s="193"/>
      <c r="U478" s="285" t="str">
        <f>IF(Tabella1[[#This Row],[N° FantaTit]]="","",Tabella1[[#This Row],[fanta voto]])</f>
        <v/>
      </c>
      <c r="V478" s="193">
        <f>SUM(Tabella1[[#This Row],[Voto]],(G478*3),Q478,P478,O478,-(N478),(-M478/2),(-L478*2),(-H478),(I478*3),(-J478*3),(K478*3))</f>
        <v>5</v>
      </c>
      <c r="W478" s="193"/>
      <c r="X478" s="193" t="str">
        <f>IF(Tabella1[[#This Row],[Best 11]]=1,Tabella1[[#This Row],[fanta voto]],"")</f>
        <v/>
      </c>
      <c r="Z478" s="193" t="str">
        <f>IF(Tabella1[[#This Row],[Best 11 MOD]]=1,Tabella1[[#This Row],[fanta voto]],"")</f>
        <v/>
      </c>
      <c r="AA478" t="str">
        <f>CONCATENATE(Tabella1[[#This Row],[GG]],Tabella1[[#This Row],[Nome]])</f>
        <v>2Lucchesi</v>
      </c>
      <c r="AB478" t="str">
        <f t="shared" si="15"/>
        <v>2</v>
      </c>
      <c r="AC478" t="str">
        <f>_xlfn.CONCAT(Tabella1[[#This Row],[Ruolo]],Tabella1[[#This Row],[Gs]])</f>
        <v>D0</v>
      </c>
    </row>
    <row r="479" spans="1:29" hidden="1" x14ac:dyDescent="0.3">
      <c r="A479" s="14">
        <v>46261</v>
      </c>
      <c r="B479" s="15">
        <v>2</v>
      </c>
      <c r="C479" s="321" t="s">
        <v>842</v>
      </c>
      <c r="D479" t="s">
        <v>161</v>
      </c>
      <c r="E479" t="s">
        <v>849</v>
      </c>
      <c r="F479" s="194">
        <v>6</v>
      </c>
      <c r="G479" s="328">
        <v>0</v>
      </c>
      <c r="H479" s="328">
        <v>0</v>
      </c>
      <c r="I479" s="328">
        <v>0</v>
      </c>
      <c r="J479" s="328">
        <v>0</v>
      </c>
      <c r="K479" s="328">
        <v>0</v>
      </c>
      <c r="L479" s="328">
        <v>0</v>
      </c>
      <c r="M479" s="328">
        <v>0</v>
      </c>
      <c r="N479" s="328">
        <v>0</v>
      </c>
      <c r="O479" s="328">
        <v>0</v>
      </c>
      <c r="P479" s="284"/>
      <c r="Q479" s="284">
        <f t="shared" si="14"/>
        <v>0</v>
      </c>
      <c r="R479" s="3" t="str">
        <f>_xlfn.IFNA(VLOOKUP(Tabella1[[#This Row],[Nome]],'ROSE SQUADRE'!$N$3:$O$253,2,0),"")</f>
        <v/>
      </c>
      <c r="S479" s="193">
        <f>SUM(Tabella1[[#This Row],[Gf]],Tabella1[[#This Row],[Rf]])</f>
        <v>0</v>
      </c>
      <c r="T479" s="193"/>
      <c r="U479" s="285" t="str">
        <f>IF(Tabella1[[#This Row],[N° FantaTit]]="","",Tabella1[[#This Row],[fanta voto]])</f>
        <v/>
      </c>
      <c r="V479" s="193">
        <f>SUM(Tabella1[[#This Row],[Voto]],(G479*3),Q479,P479,O479,-(N479),(-M479/2),(-L479*2),(-H479),(I479*3),(-J479*3),(K479*3))</f>
        <v>6</v>
      </c>
      <c r="W479" s="193"/>
      <c r="X479" s="193" t="str">
        <f>IF(Tabella1[[#This Row],[Best 11]]=1,Tabella1[[#This Row],[fanta voto]],"")</f>
        <v/>
      </c>
      <c r="Z479" s="193" t="str">
        <f>IF(Tabella1[[#This Row],[Best 11 MOD]]=1,Tabella1[[#This Row],[fanta voto]],"")</f>
        <v/>
      </c>
      <c r="AA479" t="str">
        <f>CONCATENATE(Tabella1[[#This Row],[GG]],Tabella1[[#This Row],[Nome]])</f>
        <v>2Kouadio</v>
      </c>
      <c r="AB479" t="str">
        <f t="shared" si="15"/>
        <v>2</v>
      </c>
      <c r="AC479" t="str">
        <f>_xlfn.CONCAT(Tabella1[[#This Row],[Ruolo]],Tabella1[[#This Row],[Gs]])</f>
        <v>D0</v>
      </c>
    </row>
    <row r="480" spans="1:29" hidden="1" x14ac:dyDescent="0.3">
      <c r="A480" s="14">
        <v>46261</v>
      </c>
      <c r="B480" s="15">
        <v>2</v>
      </c>
      <c r="C480" s="321" t="s">
        <v>842</v>
      </c>
      <c r="D480" s="330" t="s">
        <v>161</v>
      </c>
      <c r="E480" s="330" t="s">
        <v>851</v>
      </c>
      <c r="F480" s="331">
        <v>6.5</v>
      </c>
      <c r="G480" s="332">
        <v>0</v>
      </c>
      <c r="H480" s="332">
        <v>0</v>
      </c>
      <c r="I480" s="332">
        <v>0</v>
      </c>
      <c r="J480" s="332">
        <v>0</v>
      </c>
      <c r="K480" s="332">
        <v>0</v>
      </c>
      <c r="L480" s="332">
        <v>0</v>
      </c>
      <c r="M480" s="332">
        <v>0</v>
      </c>
      <c r="N480" s="332">
        <v>0</v>
      </c>
      <c r="O480" s="333">
        <v>1</v>
      </c>
      <c r="P480" s="284"/>
      <c r="Q480" s="284">
        <f t="shared" si="14"/>
        <v>0</v>
      </c>
      <c r="R480" s="3" t="str">
        <f>_xlfn.IFNA(VLOOKUP(Tabella1[[#This Row],[Nome]],'ROSE SQUADRE'!$N$3:$O$253,2,0),"")</f>
        <v/>
      </c>
      <c r="S480" s="193">
        <f>SUM(Tabella1[[#This Row],[Gf]],Tabella1[[#This Row],[Rf]])</f>
        <v>0</v>
      </c>
      <c r="T480" s="193"/>
      <c r="U480" s="285" t="str">
        <f>IF(Tabella1[[#This Row],[N° FantaTit]]="","",Tabella1[[#This Row],[fanta voto]])</f>
        <v/>
      </c>
      <c r="V480" s="193">
        <f>SUM(Tabella1[[#This Row],[Voto]],(G480*3),Q480,P480,O480,-(N480),(-M480/2),(-L480*2),(-H480),(I480*3),(-J480*3),(K480*3))</f>
        <v>7.5</v>
      </c>
      <c r="W480" s="193"/>
      <c r="X480" s="193" t="str">
        <f>IF(Tabella1[[#This Row],[Best 11]]=1,Tabella1[[#This Row],[fanta voto]],"")</f>
        <v/>
      </c>
      <c r="Z480" s="193" t="str">
        <f>IF(Tabella1[[#This Row],[Best 11 MOD]]=1,Tabella1[[#This Row],[fanta voto]],"")</f>
        <v/>
      </c>
      <c r="AA480" t="str">
        <f>CONCATENATE(Tabella1[[#This Row],[GG]],Tabella1[[#This Row],[Nome]])</f>
        <v>2Mangas</v>
      </c>
      <c r="AB480" t="str">
        <f t="shared" si="15"/>
        <v>2</v>
      </c>
      <c r="AC480" t="str">
        <f>_xlfn.CONCAT(Tabella1[[#This Row],[Ruolo]],Tabella1[[#This Row],[Gs]])</f>
        <v>D0</v>
      </c>
    </row>
    <row r="481" spans="1:29" hidden="1" x14ac:dyDescent="0.3">
      <c r="A481" s="14">
        <v>46261</v>
      </c>
      <c r="B481" s="15">
        <v>2</v>
      </c>
      <c r="C481" s="321" t="s">
        <v>842</v>
      </c>
      <c r="D481" t="s">
        <v>162</v>
      </c>
      <c r="E481" t="s">
        <v>328</v>
      </c>
      <c r="F481" s="194">
        <v>6.5</v>
      </c>
      <c r="G481" s="329">
        <v>1</v>
      </c>
      <c r="H481" s="328">
        <v>0</v>
      </c>
      <c r="I481" s="328">
        <v>0</v>
      </c>
      <c r="J481" s="328">
        <v>0</v>
      </c>
      <c r="K481" s="328">
        <v>0</v>
      </c>
      <c r="L481" s="328">
        <v>0</v>
      </c>
      <c r="M481" s="328">
        <v>0</v>
      </c>
      <c r="N481" s="328">
        <v>0</v>
      </c>
      <c r="O481" s="328">
        <v>0</v>
      </c>
      <c r="P481" s="284"/>
      <c r="Q481" s="284">
        <f t="shared" si="14"/>
        <v>0</v>
      </c>
      <c r="R481" s="3" t="str">
        <f>_xlfn.IFNA(VLOOKUP(Tabella1[[#This Row],[Nome]],'ROSE SQUADRE'!$N$3:$O$253,2,0),"")</f>
        <v>AS PIPPERIA</v>
      </c>
      <c r="S481" s="193">
        <f>SUM(Tabella1[[#This Row],[Gf]],Tabella1[[#This Row],[Rf]])</f>
        <v>1</v>
      </c>
      <c r="T481" s="193"/>
      <c r="U481" s="285" t="str">
        <f>IF(Tabella1[[#This Row],[N° FantaTit]]="","",Tabella1[[#This Row],[fanta voto]])</f>
        <v/>
      </c>
      <c r="V481" s="193">
        <f>SUM(Tabella1[[#This Row],[Voto]],(G481*3),Q481,P481,O481,-(N481),(-M481/2),(-L481*2),(-H481),(I481*3),(-J481*3),(K481*3))</f>
        <v>9.5</v>
      </c>
      <c r="W481" s="193"/>
      <c r="X481" s="193" t="str">
        <f>IF(Tabella1[[#This Row],[Best 11]]=1,Tabella1[[#This Row],[fanta voto]],"")</f>
        <v/>
      </c>
      <c r="Z481" s="193" t="str">
        <f>IF(Tabella1[[#This Row],[Best 11 MOD]]=1,Tabella1[[#This Row],[fanta voto]],"")</f>
        <v/>
      </c>
      <c r="AA481" t="str">
        <f>CONCATENATE(Tabella1[[#This Row],[GG]],Tabella1[[#This Row],[Nome]])</f>
        <v>2Colpani</v>
      </c>
      <c r="AB481" t="str">
        <f t="shared" si="15"/>
        <v>2AS PIPPERIA</v>
      </c>
      <c r="AC481" t="str">
        <f>_xlfn.CONCAT(Tabella1[[#This Row],[Ruolo]],Tabella1[[#This Row],[Gs]])</f>
        <v>C0</v>
      </c>
    </row>
    <row r="482" spans="1:29" hidden="1" x14ac:dyDescent="0.3">
      <c r="A482" s="14">
        <v>46261</v>
      </c>
      <c r="B482" s="15">
        <v>2</v>
      </c>
      <c r="C482" s="321" t="s">
        <v>842</v>
      </c>
      <c r="D482" s="330" t="s">
        <v>162</v>
      </c>
      <c r="E482" s="330" t="s">
        <v>865</v>
      </c>
      <c r="F482" s="331">
        <v>6</v>
      </c>
      <c r="G482" s="332">
        <v>0</v>
      </c>
      <c r="H482" s="332">
        <v>0</v>
      </c>
      <c r="I482" s="332">
        <v>0</v>
      </c>
      <c r="J482" s="332">
        <v>0</v>
      </c>
      <c r="K482" s="332">
        <v>0</v>
      </c>
      <c r="L482" s="332">
        <v>0</v>
      </c>
      <c r="M482" s="332">
        <v>0</v>
      </c>
      <c r="N482" s="332">
        <v>0</v>
      </c>
      <c r="O482" s="332">
        <v>0</v>
      </c>
      <c r="P482" s="284"/>
      <c r="Q482" s="284">
        <f t="shared" si="14"/>
        <v>0</v>
      </c>
      <c r="R482" s="3" t="str">
        <f>_xlfn.IFNA(VLOOKUP(Tabella1[[#This Row],[Nome]],'ROSE SQUADRE'!$N$3:$O$253,2,0),"")</f>
        <v/>
      </c>
      <c r="S482" s="193">
        <f>SUM(Tabella1[[#This Row],[Gf]],Tabella1[[#This Row],[Rf]])</f>
        <v>0</v>
      </c>
      <c r="T482" s="193"/>
      <c r="U482" s="285" t="str">
        <f>IF(Tabella1[[#This Row],[N° FantaTit]]="","",Tabella1[[#This Row],[fanta voto]])</f>
        <v/>
      </c>
      <c r="V482" s="193">
        <f>SUM(Tabella1[[#This Row],[Voto]],(G482*3),Q482,P482,O482,-(N482),(-M482/2),(-L482*2),(-H482),(I482*3),(-J482*3),(K482*3))</f>
        <v>6</v>
      </c>
      <c r="W482" s="193"/>
      <c r="X482" s="193" t="str">
        <f>IF(Tabella1[[#This Row],[Best 11]]=1,Tabella1[[#This Row],[fanta voto]],"")</f>
        <v/>
      </c>
      <c r="Z482" s="193" t="str">
        <f>IF(Tabella1[[#This Row],[Best 11 MOD]]=1,Tabella1[[#This Row],[fanta voto]],"")</f>
        <v/>
      </c>
      <c r="AA482" t="str">
        <f>CONCATENATE(Tabella1[[#This Row],[GG]],Tabella1[[#This Row],[Nome]])</f>
        <v>2Folorunsho</v>
      </c>
      <c r="AB482" t="str">
        <f t="shared" si="15"/>
        <v>2</v>
      </c>
      <c r="AC482" t="str">
        <f>_xlfn.CONCAT(Tabella1[[#This Row],[Ruolo]],Tabella1[[#This Row],[Gs]])</f>
        <v>C0</v>
      </c>
    </row>
    <row r="483" spans="1:29" hidden="1" x14ac:dyDescent="0.3">
      <c r="A483" s="14">
        <v>46261</v>
      </c>
      <c r="B483" s="15">
        <v>2</v>
      </c>
      <c r="C483" s="321" t="s">
        <v>842</v>
      </c>
      <c r="D483" s="330" t="s">
        <v>162</v>
      </c>
      <c r="E483" s="330" t="s">
        <v>852</v>
      </c>
      <c r="F483" s="331">
        <v>6.5</v>
      </c>
      <c r="G483" s="332">
        <v>0</v>
      </c>
      <c r="H483" s="332">
        <v>0</v>
      </c>
      <c r="I483" s="332">
        <v>0</v>
      </c>
      <c r="J483" s="332">
        <v>0</v>
      </c>
      <c r="K483" s="332">
        <v>0</v>
      </c>
      <c r="L483" s="332">
        <v>0</v>
      </c>
      <c r="M483" s="332">
        <v>0</v>
      </c>
      <c r="N483" s="332">
        <v>0</v>
      </c>
      <c r="O483" s="333">
        <v>1</v>
      </c>
      <c r="P483" s="284"/>
      <c r="Q483" s="284">
        <f t="shared" si="14"/>
        <v>0</v>
      </c>
      <c r="R483" s="3" t="str">
        <f>_xlfn.IFNA(VLOOKUP(Tabella1[[#This Row],[Nome]],'ROSE SQUADRE'!$N$3:$O$253,2,0),"")</f>
        <v/>
      </c>
      <c r="S483" s="193">
        <f>SUM(Tabella1[[#This Row],[Gf]],Tabella1[[#This Row],[Rf]])</f>
        <v>0</v>
      </c>
      <c r="T483" s="193"/>
      <c r="U483" s="285" t="str">
        <f>IF(Tabella1[[#This Row],[N° FantaTit]]="","",Tabella1[[#This Row],[fanta voto]])</f>
        <v/>
      </c>
      <c r="V483" s="193">
        <f>SUM(Tabella1[[#This Row],[Voto]],(G483*3),Q483,P483,O483,-(N483),(-M483/2),(-L483*2),(-H483),(I483*3),(-J483*3),(K483*3))</f>
        <v>7.5</v>
      </c>
      <c r="W483" s="193"/>
      <c r="X483" s="193" t="str">
        <f>IF(Tabella1[[#This Row],[Best 11]]=1,Tabella1[[#This Row],[fanta voto]],"")</f>
        <v/>
      </c>
      <c r="Z483" s="193" t="str">
        <f>IF(Tabella1[[#This Row],[Best 11 MOD]]=1,Tabella1[[#This Row],[fanta voto]],"")</f>
        <v/>
      </c>
      <c r="AA483" t="str">
        <f>CONCATENATE(Tabella1[[#This Row],[GG]],Tabella1[[#This Row],[Nome]])</f>
        <v>2Akinsanmiro</v>
      </c>
      <c r="AB483" t="str">
        <f t="shared" si="15"/>
        <v>2</v>
      </c>
      <c r="AC483" t="str">
        <f>_xlfn.CONCAT(Tabella1[[#This Row],[Ruolo]],Tabella1[[#This Row],[Gs]])</f>
        <v>C0</v>
      </c>
    </row>
    <row r="484" spans="1:29" hidden="1" x14ac:dyDescent="0.3">
      <c r="A484" s="14">
        <v>46261</v>
      </c>
      <c r="B484" s="15">
        <v>2</v>
      </c>
      <c r="C484" s="321" t="s">
        <v>842</v>
      </c>
      <c r="D484" t="s">
        <v>162</v>
      </c>
      <c r="E484" t="s">
        <v>990</v>
      </c>
      <c r="F484" s="194">
        <v>5.5</v>
      </c>
      <c r="G484" s="328">
        <v>0</v>
      </c>
      <c r="H484" s="328">
        <v>0</v>
      </c>
      <c r="I484" s="328">
        <v>0</v>
      </c>
      <c r="J484" s="328">
        <v>0</v>
      </c>
      <c r="K484" s="328">
        <v>0</v>
      </c>
      <c r="L484" s="328">
        <v>0</v>
      </c>
      <c r="M484" s="328">
        <v>0</v>
      </c>
      <c r="N484" s="328">
        <v>0</v>
      </c>
      <c r="O484" s="328">
        <v>0</v>
      </c>
      <c r="P484" s="284"/>
      <c r="Q484" s="284">
        <f>IF(AC484="P0",1,0)</f>
        <v>0</v>
      </c>
      <c r="R484" s="3" t="str">
        <f>_xlfn.IFNA(VLOOKUP(Tabella1[[#This Row],[Nome]],'ROSE SQUADRE'!$N$3:$O$253,2,0),"")</f>
        <v/>
      </c>
      <c r="S484" s="193">
        <f>SUM(Tabella1[[#This Row],[Gf]],Tabella1[[#This Row],[Rf]])</f>
        <v>0</v>
      </c>
      <c r="T484" s="193"/>
      <c r="U484" s="285" t="str">
        <f>IF(Tabella1[[#This Row],[N° FantaTit]]="","",Tabella1[[#This Row],[fanta voto]])</f>
        <v/>
      </c>
      <c r="V484" s="193">
        <f>SUM(Tabella1[[#This Row],[Voto]],(G484*3),Q484,P484,O484,-(N484),(-M484/2),(-L484*2),(-H484),(I484*3),(-J484*3),(K484*3))</f>
        <v>5.5</v>
      </c>
      <c r="W484" s="193"/>
      <c r="X484" s="193" t="str">
        <f>IF(Tabella1[[#This Row],[Best 11]]=1,Tabella1[[#This Row],[fanta voto]],"")</f>
        <v/>
      </c>
      <c r="Z484" s="193" t="str">
        <f>IF(Tabella1[[#This Row],[Best 11 MOD]]=1,Tabella1[[#This Row],[fanta voto]],"")</f>
        <v/>
      </c>
      <c r="AA484" t="str">
        <f>CONCATENATE(Tabella1[[#This Row],[GG]],Tabella1[[#This Row],[Nome]])</f>
        <v>2Foe Ondoa</v>
      </c>
      <c r="AB484" t="str">
        <f>CONCATENATE(B484,R484,T484)</f>
        <v>2</v>
      </c>
      <c r="AC484" t="str">
        <f>_xlfn.CONCAT(Tabella1[[#This Row],[Ruolo]],Tabella1[[#This Row],[Gs]])</f>
        <v>C0</v>
      </c>
    </row>
    <row r="485" spans="1:29" hidden="1" x14ac:dyDescent="0.3">
      <c r="A485" s="14">
        <v>46261</v>
      </c>
      <c r="B485" s="15">
        <v>2</v>
      </c>
      <c r="C485" s="321" t="s">
        <v>842</v>
      </c>
      <c r="D485" s="349" t="s">
        <v>162</v>
      </c>
      <c r="E485" s="349" t="s">
        <v>991</v>
      </c>
      <c r="F485" s="350">
        <v>5</v>
      </c>
      <c r="G485" s="351">
        <v>0</v>
      </c>
      <c r="H485" s="351">
        <v>0</v>
      </c>
      <c r="I485" s="351">
        <v>0</v>
      </c>
      <c r="J485" s="351">
        <v>0</v>
      </c>
      <c r="K485" s="351">
        <v>0</v>
      </c>
      <c r="L485" s="351">
        <v>0</v>
      </c>
      <c r="M485" s="351">
        <v>0</v>
      </c>
      <c r="N485" s="351">
        <v>0</v>
      </c>
      <c r="O485" s="351">
        <v>0</v>
      </c>
      <c r="P485" s="284"/>
      <c r="Q485" s="284">
        <f t="shared" ref="Q485:Q515" si="16">IF(AC485="P0",1,0)</f>
        <v>0</v>
      </c>
      <c r="R485" s="3" t="str">
        <f>_xlfn.IFNA(VLOOKUP(Tabella1[[#This Row],[Nome]],'ROSE SQUADRE'!$N$3:$O$253,2,0),"")</f>
        <v/>
      </c>
      <c r="S485" s="193">
        <f>SUM(Tabella1[[#This Row],[Gf]],Tabella1[[#This Row],[Rf]])</f>
        <v>0</v>
      </c>
      <c r="T485" s="193"/>
      <c r="U485" s="285" t="str">
        <f>IF(Tabella1[[#This Row],[N° FantaTit]]="","",Tabella1[[#This Row],[fanta voto]])</f>
        <v/>
      </c>
      <c r="V485" s="193">
        <f>SUM(Tabella1[[#This Row],[Voto]],(G485*3),Q485,P485,O485,-(N485),(-M485/2),(-L485*2),(-H485),(I485*3),(-J485*3),(K485*3))</f>
        <v>5</v>
      </c>
      <c r="W485" s="193"/>
      <c r="X485" s="193" t="str">
        <f>IF(Tabella1[[#This Row],[Best 11]]=1,Tabella1[[#This Row],[fanta voto]],"")</f>
        <v/>
      </c>
      <c r="Z485" s="193" t="str">
        <f>IF(Tabella1[[#This Row],[Best 11 MOD]]=1,Tabella1[[#This Row],[fanta voto]],"")</f>
        <v/>
      </c>
      <c r="AA485" t="str">
        <f>CONCATENATE(Tabella1[[#This Row],[GG]],Tabella1[[#This Row],[Nome]])</f>
        <v>2Mout</v>
      </c>
      <c r="AB485" t="str">
        <f t="shared" ref="AB485:AB515" si="17">CONCATENATE(B485,R485,T485)</f>
        <v>2</v>
      </c>
      <c r="AC485" t="str">
        <f>_xlfn.CONCAT(Tabella1[[#This Row],[Ruolo]],Tabella1[[#This Row],[Gs]])</f>
        <v>C0</v>
      </c>
    </row>
    <row r="486" spans="1:29" hidden="1" x14ac:dyDescent="0.3">
      <c r="A486" s="14">
        <v>46261</v>
      </c>
      <c r="B486" s="15">
        <v>2</v>
      </c>
      <c r="C486" s="321" t="s">
        <v>842</v>
      </c>
      <c r="D486" s="346" t="s">
        <v>163</v>
      </c>
      <c r="E486" s="346" t="s">
        <v>522</v>
      </c>
      <c r="F486" s="347">
        <v>6</v>
      </c>
      <c r="G486" s="348">
        <v>0</v>
      </c>
      <c r="H486" s="348">
        <v>0</v>
      </c>
      <c r="I486" s="348">
        <v>0</v>
      </c>
      <c r="J486" s="348">
        <v>0</v>
      </c>
      <c r="K486" s="348">
        <v>0</v>
      </c>
      <c r="L486" s="348">
        <v>0</v>
      </c>
      <c r="M486" s="348">
        <v>0</v>
      </c>
      <c r="N486" s="348">
        <v>0</v>
      </c>
      <c r="O486" s="348">
        <v>0</v>
      </c>
      <c r="P486" s="284"/>
      <c r="Q486" s="284">
        <f t="shared" si="16"/>
        <v>0</v>
      </c>
      <c r="R486" s="3" t="str">
        <f>_xlfn.IFNA(VLOOKUP(Tabella1[[#This Row],[Nome]],'ROSE SQUADRE'!$N$3:$O$253,2,0),"")</f>
        <v>SHARK</v>
      </c>
      <c r="S486" s="193">
        <f>SUM(Tabella1[[#This Row],[Gf]],Tabella1[[#This Row],[Rf]])</f>
        <v>0</v>
      </c>
      <c r="T486" s="193"/>
      <c r="U486" s="285" t="str">
        <f>IF(Tabella1[[#This Row],[N° FantaTit]]="","",Tabella1[[#This Row],[fanta voto]])</f>
        <v/>
      </c>
      <c r="V486" s="193">
        <f>SUM(Tabella1[[#This Row],[Voto]],(G486*3),Q486,P486,O486,-(N486),(-M486/2),(-L486*2),(-H486),(I486*3),(-J486*3),(K486*3))</f>
        <v>6</v>
      </c>
      <c r="W486" s="193"/>
      <c r="X486" s="193" t="str">
        <f>IF(Tabella1[[#This Row],[Best 11]]=1,Tabella1[[#This Row],[fanta voto]],"")</f>
        <v/>
      </c>
      <c r="Z486" s="193" t="str">
        <f>IF(Tabella1[[#This Row],[Best 11 MOD]]=1,Tabella1[[#This Row],[fanta voto]],"")</f>
        <v/>
      </c>
      <c r="AA486" t="str">
        <f>CONCATENATE(Tabella1[[#This Row],[GG]],Tabella1[[#This Row],[Nome]])</f>
        <v>2Cutrone</v>
      </c>
      <c r="AB486" t="str">
        <f t="shared" si="17"/>
        <v>2SHARK</v>
      </c>
      <c r="AC486" t="str">
        <f>_xlfn.CONCAT(Tabella1[[#This Row],[Ruolo]],Tabella1[[#This Row],[Gs]])</f>
        <v>A0</v>
      </c>
    </row>
    <row r="487" spans="1:29" hidden="1" x14ac:dyDescent="0.3">
      <c r="A487" s="14">
        <v>46261</v>
      </c>
      <c r="B487" s="15">
        <v>2</v>
      </c>
      <c r="C487" s="321" t="s">
        <v>842</v>
      </c>
      <c r="D487" s="346" t="s">
        <v>163</v>
      </c>
      <c r="E487" s="346" t="s">
        <v>858</v>
      </c>
      <c r="F487" s="347">
        <v>7</v>
      </c>
      <c r="G487" s="352">
        <v>1</v>
      </c>
      <c r="H487" s="348">
        <v>0</v>
      </c>
      <c r="I487" s="348">
        <v>0</v>
      </c>
      <c r="J487" s="348">
        <v>0</v>
      </c>
      <c r="K487" s="348">
        <v>0</v>
      </c>
      <c r="L487" s="348">
        <v>0</v>
      </c>
      <c r="M487" s="348">
        <v>0</v>
      </c>
      <c r="N487" s="348">
        <v>0</v>
      </c>
      <c r="O487" s="348">
        <v>0</v>
      </c>
      <c r="P487" s="284"/>
      <c r="Q487" s="284">
        <f t="shared" si="16"/>
        <v>0</v>
      </c>
      <c r="R487" s="3" t="str">
        <f>_xlfn.IFNA(VLOOKUP(Tabella1[[#This Row],[Nome]],'ROSE SQUADRE'!$N$3:$O$253,2,0),"")</f>
        <v>AC ASPARAGHESE</v>
      </c>
      <c r="S487" s="193">
        <f>SUM(Tabella1[[#This Row],[Gf]],Tabella1[[#This Row],[Rf]])</f>
        <v>1</v>
      </c>
      <c r="T487" s="193"/>
      <c r="U487" s="285" t="str">
        <f>IF(Tabella1[[#This Row],[N° FantaTit]]="","",Tabella1[[#This Row],[fanta voto]])</f>
        <v/>
      </c>
      <c r="V487" s="193">
        <f>SUM(Tabella1[[#This Row],[Voto]],(G487*3),Q487,P487,O487,-(N487),(-M487/2),(-L487*2),(-H487),(I487*3),(-J487*3),(K487*3))</f>
        <v>10</v>
      </c>
      <c r="W487" s="193"/>
      <c r="X487" s="193" t="str">
        <f>IF(Tabella1[[#This Row],[Best 11]]=1,Tabella1[[#This Row],[fanta voto]],"")</f>
        <v/>
      </c>
      <c r="Z487" s="193" t="str">
        <f>IF(Tabella1[[#This Row],[Best 11 MOD]]=1,Tabella1[[#This Row],[fanta voto]],"")</f>
        <v/>
      </c>
      <c r="AA487" t="str">
        <f>CONCATENATE(Tabella1[[#This Row],[GG]],Tabella1[[#This Row],[Nome]])</f>
        <v>2Varela G.</v>
      </c>
      <c r="AB487" t="str">
        <f t="shared" si="17"/>
        <v>2AC ASPARAGHESE</v>
      </c>
      <c r="AC487" t="str">
        <f>_xlfn.CONCAT(Tabella1[[#This Row],[Ruolo]],Tabella1[[#This Row],[Gs]])</f>
        <v>A0</v>
      </c>
    </row>
    <row r="488" spans="1:29" hidden="1" x14ac:dyDescent="0.3">
      <c r="A488" s="14">
        <v>46261</v>
      </c>
      <c r="B488" s="15">
        <v>2</v>
      </c>
      <c r="C488" s="321" t="s">
        <v>860</v>
      </c>
      <c r="D488" s="346" t="s">
        <v>5</v>
      </c>
      <c r="E488" s="346" t="s">
        <v>266</v>
      </c>
      <c r="F488" s="347">
        <v>6</v>
      </c>
      <c r="G488" s="348">
        <v>0</v>
      </c>
      <c r="H488" s="352">
        <v>2</v>
      </c>
      <c r="I488" s="348">
        <v>0</v>
      </c>
      <c r="J488" s="348">
        <v>0</v>
      </c>
      <c r="K488" s="348">
        <v>0</v>
      </c>
      <c r="L488" s="348">
        <v>0</v>
      </c>
      <c r="M488" s="348">
        <v>0</v>
      </c>
      <c r="N488" s="348">
        <v>0</v>
      </c>
      <c r="O488" s="348">
        <v>0</v>
      </c>
      <c r="P488" s="284"/>
      <c r="Q488" s="284">
        <f t="shared" si="16"/>
        <v>0</v>
      </c>
      <c r="R488" s="3" t="str">
        <f>_xlfn.IFNA(VLOOKUP(Tabella1[[#This Row],[Nome]],'ROSE SQUADRE'!$N$3:$O$253,2,0),"")</f>
        <v>PESCICULINI</v>
      </c>
      <c r="S488" s="193">
        <f>SUM(Tabella1[[#This Row],[Gf]],Tabella1[[#This Row],[Rf]])</f>
        <v>0</v>
      </c>
      <c r="T488" s="193"/>
      <c r="U488" s="285" t="str">
        <f>IF(Tabella1[[#This Row],[N° FantaTit]]="","",Tabella1[[#This Row],[fanta voto]])</f>
        <v/>
      </c>
      <c r="V488" s="193">
        <f>SUM(Tabella1[[#This Row],[Voto]],(G488*3),Q488,P488,O488,-(N488),(-M488/2),(-L488*2),(-H488),(I488*3),(-J488*3),(K488*3))</f>
        <v>4</v>
      </c>
      <c r="W488" s="193"/>
      <c r="X488" s="193" t="str">
        <f>IF(Tabella1[[#This Row],[Best 11]]=1,Tabella1[[#This Row],[fanta voto]],"")</f>
        <v/>
      </c>
      <c r="Z488" s="193" t="str">
        <f>IF(Tabella1[[#This Row],[Best 11 MOD]]=1,Tabella1[[#This Row],[fanta voto]],"")</f>
        <v/>
      </c>
      <c r="AA488" t="str">
        <f>CONCATENATE(Tabella1[[#This Row],[GG]],Tabella1[[#This Row],[Nome]])</f>
        <v>2Meret</v>
      </c>
      <c r="AB488" t="str">
        <f t="shared" si="17"/>
        <v>2PESCICULINI</v>
      </c>
      <c r="AC488" t="str">
        <f>_xlfn.CONCAT(Tabella1[[#This Row],[Ruolo]],Tabella1[[#This Row],[Gs]])</f>
        <v>P2</v>
      </c>
    </row>
    <row r="489" spans="1:29" hidden="1" x14ac:dyDescent="0.3">
      <c r="A489" s="14">
        <v>46261</v>
      </c>
      <c r="B489" s="15">
        <v>2</v>
      </c>
      <c r="C489" s="321" t="s">
        <v>860</v>
      </c>
      <c r="D489" s="349" t="s">
        <v>161</v>
      </c>
      <c r="E489" s="349" t="s">
        <v>298</v>
      </c>
      <c r="F489" s="350">
        <v>6</v>
      </c>
      <c r="G489" s="351">
        <v>0</v>
      </c>
      <c r="H489" s="351">
        <v>0</v>
      </c>
      <c r="I489" s="351">
        <v>0</v>
      </c>
      <c r="J489" s="351">
        <v>0</v>
      </c>
      <c r="K489" s="351">
        <v>0</v>
      </c>
      <c r="L489" s="351">
        <v>0</v>
      </c>
      <c r="M489" s="351">
        <v>0</v>
      </c>
      <c r="N489" s="351">
        <v>0</v>
      </c>
      <c r="O489" s="351">
        <v>0</v>
      </c>
      <c r="P489" s="284"/>
      <c r="Q489" s="284">
        <f t="shared" si="16"/>
        <v>0</v>
      </c>
      <c r="R489" s="3" t="str">
        <f>_xlfn.IFNA(VLOOKUP(Tabella1[[#This Row],[Nome]],'ROSE SQUADRE'!$N$3:$O$253,2,0),"")</f>
        <v>ATL. IMPROVVISATO</v>
      </c>
      <c r="S489" s="193">
        <f>SUM(Tabella1[[#This Row],[Gf]],Tabella1[[#This Row],[Rf]])</f>
        <v>0</v>
      </c>
      <c r="T489" s="193"/>
      <c r="U489" s="285" t="str">
        <f>IF(Tabella1[[#This Row],[N° FantaTit]]="","",Tabella1[[#This Row],[fanta voto]])</f>
        <v/>
      </c>
      <c r="V489" s="193">
        <f>SUM(Tabella1[[#This Row],[Voto]],(G489*3),Q489,P489,O489,-(N489),(-M489/2),(-L489*2),(-H489),(I489*3),(-J489*3),(K489*3))</f>
        <v>6</v>
      </c>
      <c r="W489" s="193"/>
      <c r="X489" s="193" t="str">
        <f>IF(Tabella1[[#This Row],[Best 11]]=1,Tabella1[[#This Row],[fanta voto]],"")</f>
        <v/>
      </c>
      <c r="Z489" s="193" t="str">
        <f>IF(Tabella1[[#This Row],[Best 11 MOD]]=1,Tabella1[[#This Row],[fanta voto]],"")</f>
        <v/>
      </c>
      <c r="AA489" t="str">
        <f>CONCATENATE(Tabella1[[#This Row],[GG]],Tabella1[[#This Row],[Nome]])</f>
        <v>2Spinazzola</v>
      </c>
      <c r="AB489" t="str">
        <f t="shared" si="17"/>
        <v>2ATL. IMPROVVISATO</v>
      </c>
      <c r="AC489" t="str">
        <f>_xlfn.CONCAT(Tabella1[[#This Row],[Ruolo]],Tabella1[[#This Row],[Gs]])</f>
        <v>D0</v>
      </c>
    </row>
    <row r="490" spans="1:29" hidden="1" x14ac:dyDescent="0.3">
      <c r="A490" s="14">
        <v>46261</v>
      </c>
      <c r="B490" s="15">
        <v>2</v>
      </c>
      <c r="C490" s="321" t="s">
        <v>860</v>
      </c>
      <c r="D490" s="346" t="s">
        <v>161</v>
      </c>
      <c r="E490" s="346" t="s">
        <v>270</v>
      </c>
      <c r="F490" s="347">
        <v>5.5</v>
      </c>
      <c r="G490" s="348">
        <v>0</v>
      </c>
      <c r="H490" s="348">
        <v>0</v>
      </c>
      <c r="I490" s="348">
        <v>0</v>
      </c>
      <c r="J490" s="348">
        <v>0</v>
      </c>
      <c r="K490" s="348">
        <v>0</v>
      </c>
      <c r="L490" s="348">
        <v>0</v>
      </c>
      <c r="M490" s="352">
        <v>1</v>
      </c>
      <c r="N490" s="348">
        <v>0</v>
      </c>
      <c r="O490" s="348">
        <v>0</v>
      </c>
      <c r="P490" s="284"/>
      <c r="Q490" s="284">
        <f t="shared" si="16"/>
        <v>0</v>
      </c>
      <c r="R490" s="3" t="str">
        <f>_xlfn.IFNA(VLOOKUP(Tabella1[[#This Row],[Nome]],'ROSE SQUADRE'!$N$3:$O$253,2,0),"")</f>
        <v>AS PIPPERIA</v>
      </c>
      <c r="S490" s="193">
        <f>SUM(Tabella1[[#This Row],[Gf]],Tabella1[[#This Row],[Rf]])</f>
        <v>0</v>
      </c>
      <c r="T490" s="193"/>
      <c r="U490" s="285" t="str">
        <f>IF(Tabella1[[#This Row],[N° FantaTit]]="","",Tabella1[[#This Row],[fanta voto]])</f>
        <v/>
      </c>
      <c r="V490" s="193">
        <f>SUM(Tabella1[[#This Row],[Voto]],(G490*3),Q490,P490,O490,-(N490),(-M490/2),(-L490*2),(-H490),(I490*3),(-J490*3),(K490*3))</f>
        <v>5</v>
      </c>
      <c r="W490" s="193"/>
      <c r="X490" s="193" t="str">
        <f>IF(Tabella1[[#This Row],[Best 11]]=1,Tabella1[[#This Row],[fanta voto]],"")</f>
        <v/>
      </c>
      <c r="Z490" s="193" t="str">
        <f>IF(Tabella1[[#This Row],[Best 11 MOD]]=1,Tabella1[[#This Row],[fanta voto]],"")</f>
        <v/>
      </c>
      <c r="AA490" t="str">
        <f>CONCATENATE(Tabella1[[#This Row],[GG]],Tabella1[[#This Row],[Nome]])</f>
        <v>2Di Lorenzo</v>
      </c>
      <c r="AB490" t="str">
        <f t="shared" si="17"/>
        <v>2AS PIPPERIA</v>
      </c>
      <c r="AC490" t="str">
        <f>_xlfn.CONCAT(Tabella1[[#This Row],[Ruolo]],Tabella1[[#This Row],[Gs]])</f>
        <v>D0</v>
      </c>
    </row>
    <row r="491" spans="1:29" hidden="1" x14ac:dyDescent="0.3">
      <c r="A491" s="14">
        <v>46261</v>
      </c>
      <c r="B491" s="15">
        <v>2</v>
      </c>
      <c r="C491" s="321" t="s">
        <v>860</v>
      </c>
      <c r="D491" s="349" t="s">
        <v>161</v>
      </c>
      <c r="E491" s="349" t="s">
        <v>253</v>
      </c>
      <c r="F491" s="350">
        <v>6</v>
      </c>
      <c r="G491" s="351">
        <v>0</v>
      </c>
      <c r="H491" s="351">
        <v>0</v>
      </c>
      <c r="I491" s="351">
        <v>0</v>
      </c>
      <c r="J491" s="351">
        <v>0</v>
      </c>
      <c r="K491" s="351">
        <v>0</v>
      </c>
      <c r="L491" s="351">
        <v>0</v>
      </c>
      <c r="M491" s="351">
        <v>0</v>
      </c>
      <c r="N491" s="351">
        <v>0</v>
      </c>
      <c r="O491" s="353">
        <v>1</v>
      </c>
      <c r="P491" s="284"/>
      <c r="Q491" s="284">
        <f t="shared" si="16"/>
        <v>0</v>
      </c>
      <c r="R491" s="3" t="str">
        <f>_xlfn.IFNA(VLOOKUP(Tabella1[[#This Row],[Nome]],'ROSE SQUADRE'!$N$3:$O$253,2,0),"")</f>
        <v>SHARK</v>
      </c>
      <c r="S491" s="193">
        <f>SUM(Tabella1[[#This Row],[Gf]],Tabella1[[#This Row],[Rf]])</f>
        <v>0</v>
      </c>
      <c r="T491" s="193"/>
      <c r="U491" s="285" t="str">
        <f>IF(Tabella1[[#This Row],[N° FantaTit]]="","",Tabella1[[#This Row],[fanta voto]])</f>
        <v/>
      </c>
      <c r="V491" s="193">
        <f>SUM(Tabella1[[#This Row],[Voto]],(G491*3),Q491,P491,O491,-(N491),(-M491/2),(-L491*2),(-H491),(I491*3),(-J491*3),(K491*3))</f>
        <v>7</v>
      </c>
      <c r="W491" s="193"/>
      <c r="X491" s="193" t="str">
        <f>IF(Tabella1[[#This Row],[Best 11]]=1,Tabella1[[#This Row],[fanta voto]],"")</f>
        <v/>
      </c>
      <c r="Z491" s="193" t="str">
        <f>IF(Tabella1[[#This Row],[Best 11 MOD]]=1,Tabella1[[#This Row],[fanta voto]],"")</f>
        <v/>
      </c>
      <c r="AA491" t="str">
        <f>CONCATENATE(Tabella1[[#This Row],[GG]],Tabella1[[#This Row],[Nome]])</f>
        <v>2Rrahmani</v>
      </c>
      <c r="AB491" t="str">
        <f t="shared" si="17"/>
        <v>2SHARK</v>
      </c>
      <c r="AC491" t="str">
        <f>_xlfn.CONCAT(Tabella1[[#This Row],[Ruolo]],Tabella1[[#This Row],[Gs]])</f>
        <v>D0</v>
      </c>
    </row>
    <row r="492" spans="1:29" hidden="1" x14ac:dyDescent="0.3">
      <c r="A492" s="14">
        <v>46261</v>
      </c>
      <c r="B492" s="15">
        <v>2</v>
      </c>
      <c r="C492" s="321" t="s">
        <v>860</v>
      </c>
      <c r="D492" s="346" t="s">
        <v>161</v>
      </c>
      <c r="E492" s="346" t="s">
        <v>311</v>
      </c>
      <c r="F492" s="347">
        <v>5</v>
      </c>
      <c r="G492" s="348">
        <v>0</v>
      </c>
      <c r="H492" s="348">
        <v>0</v>
      </c>
      <c r="I492" s="348">
        <v>0</v>
      </c>
      <c r="J492" s="348">
        <v>0</v>
      </c>
      <c r="K492" s="348">
        <v>0</v>
      </c>
      <c r="L492" s="348">
        <v>0</v>
      </c>
      <c r="M492" s="348">
        <v>0</v>
      </c>
      <c r="N492" s="348">
        <v>0</v>
      </c>
      <c r="O492" s="348">
        <v>0</v>
      </c>
      <c r="P492" s="284"/>
      <c r="Q492" s="284">
        <f t="shared" si="16"/>
        <v>0</v>
      </c>
      <c r="R492" s="3" t="str">
        <f>_xlfn.IFNA(VLOOKUP(Tabella1[[#This Row],[Nome]],'ROSE SQUADRE'!$N$3:$O$253,2,0),"")</f>
        <v/>
      </c>
      <c r="S492" s="193">
        <f>SUM(Tabella1[[#This Row],[Gf]],Tabella1[[#This Row],[Rf]])</f>
        <v>0</v>
      </c>
      <c r="T492" s="193"/>
      <c r="U492" s="285" t="str">
        <f>IF(Tabella1[[#This Row],[N° FantaTit]]="","",Tabella1[[#This Row],[fanta voto]])</f>
        <v/>
      </c>
      <c r="V492" s="193">
        <f>SUM(Tabella1[[#This Row],[Voto]],(G492*3),Q492,P492,O492,-(N492),(-M492/2),(-L492*2),(-H492),(I492*3),(-J492*3),(K492*3))</f>
        <v>5</v>
      </c>
      <c r="W492" s="193"/>
      <c r="X492" s="193" t="str">
        <f>IF(Tabella1[[#This Row],[Best 11]]=1,Tabella1[[#This Row],[fanta voto]],"")</f>
        <v/>
      </c>
      <c r="Z492" s="193" t="str">
        <f>IF(Tabella1[[#This Row],[Best 11 MOD]]=1,Tabella1[[#This Row],[fanta voto]],"")</f>
        <v/>
      </c>
      <c r="AA492" t="str">
        <f>CONCATENATE(Tabella1[[#This Row],[GG]],Tabella1[[#This Row],[Nome]])</f>
        <v>2Olivera</v>
      </c>
      <c r="AB492" t="str">
        <f t="shared" si="17"/>
        <v>2</v>
      </c>
      <c r="AC492" t="str">
        <f>_xlfn.CONCAT(Tabella1[[#This Row],[Ruolo]],Tabella1[[#This Row],[Gs]])</f>
        <v>D0</v>
      </c>
    </row>
    <row r="493" spans="1:29" hidden="1" x14ac:dyDescent="0.3">
      <c r="A493" s="14">
        <v>46261</v>
      </c>
      <c r="B493" s="15">
        <v>2</v>
      </c>
      <c r="C493" s="321" t="s">
        <v>860</v>
      </c>
      <c r="D493" s="349" t="s">
        <v>161</v>
      </c>
      <c r="E493" s="349" t="s">
        <v>863</v>
      </c>
      <c r="F493" s="350">
        <v>5</v>
      </c>
      <c r="G493" s="351">
        <v>0</v>
      </c>
      <c r="H493" s="351">
        <v>0</v>
      </c>
      <c r="I493" s="351">
        <v>0</v>
      </c>
      <c r="J493" s="351">
        <v>0</v>
      </c>
      <c r="K493" s="351">
        <v>0</v>
      </c>
      <c r="L493" s="351">
        <v>0</v>
      </c>
      <c r="M493" s="351">
        <v>0</v>
      </c>
      <c r="N493" s="351">
        <v>0</v>
      </c>
      <c r="O493" s="351">
        <v>0</v>
      </c>
      <c r="P493" s="284"/>
      <c r="Q493" s="284">
        <f t="shared" si="16"/>
        <v>0</v>
      </c>
      <c r="R493" s="3" t="str">
        <f>_xlfn.IFNA(VLOOKUP(Tabella1[[#This Row],[Nome]],'ROSE SQUADRE'!$N$3:$O$253,2,0),"")</f>
        <v/>
      </c>
      <c r="S493" s="193">
        <f>SUM(Tabella1[[#This Row],[Gf]],Tabella1[[#This Row],[Rf]])</f>
        <v>0</v>
      </c>
      <c r="T493" s="193"/>
      <c r="U493" s="285" t="str">
        <f>IF(Tabella1[[#This Row],[N° FantaTit]]="","",Tabella1[[#This Row],[fanta voto]])</f>
        <v/>
      </c>
      <c r="V493" s="193">
        <f>SUM(Tabella1[[#This Row],[Voto]],(G493*3),Q493,P493,O493,-(N493),(-M493/2),(-L493*2),(-H493),(I493*3),(-J493*3),(K493*3))</f>
        <v>5</v>
      </c>
      <c r="W493" s="193"/>
      <c r="X493" s="193" t="str">
        <f>IF(Tabella1[[#This Row],[Best 11]]=1,Tabella1[[#This Row],[fanta voto]],"")</f>
        <v/>
      </c>
      <c r="Z493" s="193" t="str">
        <f>IF(Tabella1[[#This Row],[Best 11 MOD]]=1,Tabella1[[#This Row],[fanta voto]],"")</f>
        <v/>
      </c>
      <c r="AA493" t="str">
        <f>CONCATENATE(Tabella1[[#This Row],[GG]],Tabella1[[#This Row],[Nome]])</f>
        <v>2Marin R.</v>
      </c>
      <c r="AB493" t="str">
        <f t="shared" si="17"/>
        <v>2</v>
      </c>
      <c r="AC493" t="str">
        <f>_xlfn.CONCAT(Tabella1[[#This Row],[Ruolo]],Tabella1[[#This Row],[Gs]])</f>
        <v>D0</v>
      </c>
    </row>
    <row r="494" spans="1:29" hidden="1" x14ac:dyDescent="0.3">
      <c r="A494" s="14">
        <v>46261</v>
      </c>
      <c r="B494" s="15">
        <v>2</v>
      </c>
      <c r="C494" s="321" t="s">
        <v>860</v>
      </c>
      <c r="D494" s="346" t="s">
        <v>162</v>
      </c>
      <c r="E494" s="346" t="s">
        <v>268</v>
      </c>
      <c r="F494" s="347">
        <v>5.5</v>
      </c>
      <c r="G494" s="348">
        <v>0</v>
      </c>
      <c r="H494" s="348">
        <v>0</v>
      </c>
      <c r="I494" s="348">
        <v>0</v>
      </c>
      <c r="J494" s="348">
        <v>0</v>
      </c>
      <c r="K494" s="348">
        <v>0</v>
      </c>
      <c r="L494" s="348">
        <v>0</v>
      </c>
      <c r="M494" s="348">
        <v>0</v>
      </c>
      <c r="N494" s="348">
        <v>0</v>
      </c>
      <c r="O494" s="348">
        <v>0</v>
      </c>
      <c r="P494" s="284"/>
      <c r="Q494" s="284">
        <f t="shared" si="16"/>
        <v>0</v>
      </c>
      <c r="R494" s="3" t="str">
        <f>_xlfn.IFNA(VLOOKUP(Tabella1[[#This Row],[Nome]],'ROSE SQUADRE'!$N$3:$O$253,2,0),"")</f>
        <v>PESCICULINI</v>
      </c>
      <c r="S494" s="193">
        <f>SUM(Tabella1[[#This Row],[Gf]],Tabella1[[#This Row],[Rf]])</f>
        <v>0</v>
      </c>
      <c r="T494" s="193"/>
      <c r="U494" s="285" t="str">
        <f>IF(Tabella1[[#This Row],[N° FantaTit]]="","",Tabella1[[#This Row],[fanta voto]])</f>
        <v/>
      </c>
      <c r="V494" s="193">
        <f>SUM(Tabella1[[#This Row],[Voto]],(G494*3),Q494,P494,O494,-(N494),(-M494/2),(-L494*2),(-H494),(I494*3),(-J494*3),(K494*3))</f>
        <v>5.5</v>
      </c>
      <c r="W494" s="193"/>
      <c r="X494" s="193" t="str">
        <f>IF(Tabella1[[#This Row],[Best 11]]=1,Tabella1[[#This Row],[fanta voto]],"")</f>
        <v/>
      </c>
      <c r="Z494" s="193" t="str">
        <f>IF(Tabella1[[#This Row],[Best 11 MOD]]=1,Tabella1[[#This Row],[fanta voto]],"")</f>
        <v/>
      </c>
      <c r="AA494" t="str">
        <f>CONCATENATE(Tabella1[[#This Row],[GG]],Tabella1[[#This Row],[Nome]])</f>
        <v>2Politano</v>
      </c>
      <c r="AB494" t="str">
        <f t="shared" si="17"/>
        <v>2PESCICULINI</v>
      </c>
      <c r="AC494" t="str">
        <f>_xlfn.CONCAT(Tabella1[[#This Row],[Ruolo]],Tabella1[[#This Row],[Gs]])</f>
        <v>C0</v>
      </c>
    </row>
    <row r="495" spans="1:29" hidden="1" x14ac:dyDescent="0.3">
      <c r="A495" s="14">
        <v>46261</v>
      </c>
      <c r="B495" s="15">
        <v>2</v>
      </c>
      <c r="C495" s="321" t="s">
        <v>860</v>
      </c>
      <c r="D495" s="349" t="s">
        <v>162</v>
      </c>
      <c r="E495" s="349" t="s">
        <v>864</v>
      </c>
      <c r="F495" s="350">
        <v>6.5</v>
      </c>
      <c r="G495" s="351">
        <v>0</v>
      </c>
      <c r="H495" s="351">
        <v>0</v>
      </c>
      <c r="I495" s="351">
        <v>0</v>
      </c>
      <c r="J495" s="351">
        <v>0</v>
      </c>
      <c r="K495" s="351">
        <v>0</v>
      </c>
      <c r="L495" s="351">
        <v>0</v>
      </c>
      <c r="M495" s="351">
        <v>0</v>
      </c>
      <c r="N495" s="351">
        <v>0</v>
      </c>
      <c r="O495" s="351">
        <v>0</v>
      </c>
      <c r="P495" s="284"/>
      <c r="Q495" s="284">
        <f t="shared" si="16"/>
        <v>0</v>
      </c>
      <c r="R495" s="3" t="str">
        <f>_xlfn.IFNA(VLOOKUP(Tabella1[[#This Row],[Nome]],'ROSE SQUADRE'!$N$3:$O$253,2,0),"")</f>
        <v>FC INTERNAZIOANALE</v>
      </c>
      <c r="S495" s="193">
        <f>SUM(Tabella1[[#This Row],[Gf]],Tabella1[[#This Row],[Rf]])</f>
        <v>0</v>
      </c>
      <c r="T495" s="193"/>
      <c r="U495" s="285" t="str">
        <f>IF(Tabella1[[#This Row],[N° FantaTit]]="","",Tabella1[[#This Row],[fanta voto]])</f>
        <v/>
      </c>
      <c r="V495" s="193">
        <f>SUM(Tabella1[[#This Row],[Voto]],(G495*3),Q495,P495,O495,-(N495),(-M495/2),(-L495*2),(-H495),(I495*3),(-J495*3),(K495*3))</f>
        <v>6.5</v>
      </c>
      <c r="W495" s="193"/>
      <c r="X495" s="193" t="str">
        <f>IF(Tabella1[[#This Row],[Best 11]]=1,Tabella1[[#This Row],[fanta voto]],"")</f>
        <v/>
      </c>
      <c r="Z495" s="193" t="str">
        <f>IF(Tabella1[[#This Row],[Best 11 MOD]]=1,Tabella1[[#This Row],[fanta voto]],"")</f>
        <v/>
      </c>
      <c r="AA495" t="str">
        <f>CONCATENATE(Tabella1[[#This Row],[GG]],Tabella1[[#This Row],[Nome]])</f>
        <v>2De Bruyne</v>
      </c>
      <c r="AB495" t="str">
        <f t="shared" si="17"/>
        <v>2FC INTERNAZIOANALE</v>
      </c>
      <c r="AC495" t="str">
        <f>_xlfn.CONCAT(Tabella1[[#This Row],[Ruolo]],Tabella1[[#This Row],[Gs]])</f>
        <v>C0</v>
      </c>
    </row>
    <row r="496" spans="1:29" hidden="1" x14ac:dyDescent="0.3">
      <c r="A496" s="14">
        <v>46261</v>
      </c>
      <c r="B496" s="15">
        <v>2</v>
      </c>
      <c r="C496" s="321" t="s">
        <v>860</v>
      </c>
      <c r="D496" s="346" t="s">
        <v>162</v>
      </c>
      <c r="E496" s="346" t="s">
        <v>254</v>
      </c>
      <c r="F496" s="347">
        <v>5</v>
      </c>
      <c r="G496" s="348">
        <v>0</v>
      </c>
      <c r="H496" s="348">
        <v>0</v>
      </c>
      <c r="I496" s="348">
        <v>0</v>
      </c>
      <c r="J496" s="348">
        <v>0</v>
      </c>
      <c r="K496" s="348">
        <v>0</v>
      </c>
      <c r="L496" s="348">
        <v>0</v>
      </c>
      <c r="M496" s="348">
        <v>0</v>
      </c>
      <c r="N496" s="348">
        <v>0</v>
      </c>
      <c r="O496" s="348">
        <v>0</v>
      </c>
      <c r="P496" s="284"/>
      <c r="Q496" s="284">
        <f t="shared" si="16"/>
        <v>0</v>
      </c>
      <c r="R496" s="3" t="str">
        <f>_xlfn.IFNA(VLOOKUP(Tabella1[[#This Row],[Nome]],'ROSE SQUADRE'!$N$3:$O$253,2,0),"")</f>
        <v>ATL. IMPROVVISATO</v>
      </c>
      <c r="S496" s="193">
        <f>SUM(Tabella1[[#This Row],[Gf]],Tabella1[[#This Row],[Rf]])</f>
        <v>0</v>
      </c>
      <c r="T496" s="193"/>
      <c r="U496" s="285" t="str">
        <f>IF(Tabella1[[#This Row],[N° FantaTit]]="","",Tabella1[[#This Row],[fanta voto]])</f>
        <v/>
      </c>
      <c r="V496" s="193">
        <f>SUM(Tabella1[[#This Row],[Voto]],(G496*3),Q496,P496,O496,-(N496),(-M496/2),(-L496*2),(-H496),(I496*3),(-J496*3),(K496*3))</f>
        <v>5</v>
      </c>
      <c r="W496" s="193"/>
      <c r="X496" s="193" t="str">
        <f>IF(Tabella1[[#This Row],[Best 11]]=1,Tabella1[[#This Row],[fanta voto]],"")</f>
        <v/>
      </c>
      <c r="Z496" s="193" t="str">
        <f>IF(Tabella1[[#This Row],[Best 11 MOD]]=1,Tabella1[[#This Row],[fanta voto]],"")</f>
        <v/>
      </c>
      <c r="AA496" t="str">
        <f>CONCATENATE(Tabella1[[#This Row],[GG]],Tabella1[[#This Row],[Nome]])</f>
        <v>2Zambo Anguissa</v>
      </c>
      <c r="AB496" t="str">
        <f t="shared" si="17"/>
        <v>2ATL. IMPROVVISATO</v>
      </c>
      <c r="AC496" t="str">
        <f>_xlfn.CONCAT(Tabella1[[#This Row],[Ruolo]],Tabella1[[#This Row],[Gs]])</f>
        <v>C0</v>
      </c>
    </row>
    <row r="497" spans="1:29" hidden="1" x14ac:dyDescent="0.3">
      <c r="A497" s="14">
        <v>46261</v>
      </c>
      <c r="B497" s="15">
        <v>2</v>
      </c>
      <c r="C497" s="321" t="s">
        <v>860</v>
      </c>
      <c r="D497" s="349" t="s">
        <v>162</v>
      </c>
      <c r="E497" s="349" t="s">
        <v>295</v>
      </c>
      <c r="F497" s="350">
        <v>6</v>
      </c>
      <c r="G497" s="351">
        <v>0</v>
      </c>
      <c r="H497" s="351">
        <v>0</v>
      </c>
      <c r="I497" s="351">
        <v>0</v>
      </c>
      <c r="J497" s="351">
        <v>0</v>
      </c>
      <c r="K497" s="351">
        <v>0</v>
      </c>
      <c r="L497" s="351">
        <v>0</v>
      </c>
      <c r="M497" s="351">
        <v>0</v>
      </c>
      <c r="N497" s="351">
        <v>0</v>
      </c>
      <c r="O497" s="351">
        <v>0</v>
      </c>
      <c r="P497" s="284"/>
      <c r="Q497" s="284">
        <f t="shared" si="16"/>
        <v>0</v>
      </c>
      <c r="R497" s="3" t="str">
        <f>_xlfn.IFNA(VLOOKUP(Tabella1[[#This Row],[Nome]],'ROSE SQUADRE'!$N$3:$O$253,2,0),"")</f>
        <v>SHARK</v>
      </c>
      <c r="S497" s="193">
        <f>SUM(Tabella1[[#This Row],[Gf]],Tabella1[[#This Row],[Rf]])</f>
        <v>0</v>
      </c>
      <c r="T497" s="193"/>
      <c r="U497" s="285" t="str">
        <f>IF(Tabella1[[#This Row],[N° FantaTit]]="","",Tabella1[[#This Row],[fanta voto]])</f>
        <v/>
      </c>
      <c r="V497" s="193">
        <f>SUM(Tabella1[[#This Row],[Voto]],(G497*3),Q497,P497,O497,-(N497),(-M497/2),(-L497*2),(-H497),(I497*3),(-J497*3),(K497*3))</f>
        <v>6</v>
      </c>
      <c r="W497" s="193"/>
      <c r="X497" s="193" t="str">
        <f>IF(Tabella1[[#This Row],[Best 11]]=1,Tabella1[[#This Row],[fanta voto]],"")</f>
        <v/>
      </c>
      <c r="Z497" s="193" t="str">
        <f>IF(Tabella1[[#This Row],[Best 11 MOD]]=1,Tabella1[[#This Row],[fanta voto]],"")</f>
        <v/>
      </c>
      <c r="AA497" t="str">
        <f>CONCATENATE(Tabella1[[#This Row],[GG]],Tabella1[[#This Row],[Nome]])</f>
        <v>2Lobotka</v>
      </c>
      <c r="AB497" t="str">
        <f t="shared" si="17"/>
        <v>2SHARK</v>
      </c>
      <c r="AC497" t="str">
        <f>_xlfn.CONCAT(Tabella1[[#This Row],[Ruolo]],Tabella1[[#This Row],[Gs]])</f>
        <v>C0</v>
      </c>
    </row>
    <row r="498" spans="1:29" hidden="1" x14ac:dyDescent="0.3">
      <c r="A498" s="14">
        <v>46261</v>
      </c>
      <c r="B498" s="15">
        <v>2</v>
      </c>
      <c r="C498" s="321" t="s">
        <v>860</v>
      </c>
      <c r="D498" s="346" t="s">
        <v>162</v>
      </c>
      <c r="E498" s="346" t="s">
        <v>867</v>
      </c>
      <c r="F498" s="347">
        <v>5.5</v>
      </c>
      <c r="G498" s="348">
        <v>0</v>
      </c>
      <c r="H498" s="348">
        <v>0</v>
      </c>
      <c r="I498" s="348">
        <v>0</v>
      </c>
      <c r="J498" s="348">
        <v>0</v>
      </c>
      <c r="K498" s="348">
        <v>0</v>
      </c>
      <c r="L498" s="348">
        <v>0</v>
      </c>
      <c r="M498" s="348">
        <v>0</v>
      </c>
      <c r="N498" s="348">
        <v>0</v>
      </c>
      <c r="O498" s="348">
        <v>0</v>
      </c>
      <c r="P498" s="284"/>
      <c r="Q498" s="284">
        <f t="shared" si="16"/>
        <v>0</v>
      </c>
      <c r="R498" s="3" t="str">
        <f>_xlfn.IFNA(VLOOKUP(Tabella1[[#This Row],[Nome]],'ROSE SQUADRE'!$N$3:$O$253,2,0),"")</f>
        <v>FC INTERNAZIOANALE</v>
      </c>
      <c r="S498" s="193">
        <f>SUM(Tabella1[[#This Row],[Gf]],Tabella1[[#This Row],[Rf]])</f>
        <v>0</v>
      </c>
      <c r="T498" s="193"/>
      <c r="U498" s="285" t="str">
        <f>IF(Tabella1[[#This Row],[N° FantaTit]]="","",Tabella1[[#This Row],[fanta voto]])</f>
        <v/>
      </c>
      <c r="V498" s="193">
        <f>SUM(Tabella1[[#This Row],[Voto]],(G498*3),Q498,P498,O498,-(N498),(-M498/2),(-L498*2),(-H498),(I498*3),(-J498*3),(K498*3))</f>
        <v>5.5</v>
      </c>
      <c r="W498" s="193"/>
      <c r="X498" s="193" t="str">
        <f>IF(Tabella1[[#This Row],[Best 11]]=1,Tabella1[[#This Row],[fanta voto]],"")</f>
        <v/>
      </c>
      <c r="Z498" s="193" t="str">
        <f>IF(Tabella1[[#This Row],[Best 11 MOD]]=1,Tabella1[[#This Row],[fanta voto]],"")</f>
        <v/>
      </c>
      <c r="AA498" t="str">
        <f>CONCATENATE(Tabella1[[#This Row],[GG]],Tabella1[[#This Row],[Nome]])</f>
        <v>2McTominay</v>
      </c>
      <c r="AB498" t="str">
        <f t="shared" si="17"/>
        <v>2FC INTERNAZIOANALE</v>
      </c>
      <c r="AC498" t="str">
        <f>_xlfn.CONCAT(Tabella1[[#This Row],[Ruolo]],Tabella1[[#This Row],[Gs]])</f>
        <v>C0</v>
      </c>
    </row>
    <row r="499" spans="1:29" hidden="1" x14ac:dyDescent="0.3">
      <c r="A499" s="14">
        <v>46261</v>
      </c>
      <c r="B499" s="15">
        <v>2</v>
      </c>
      <c r="C499" s="321" t="s">
        <v>860</v>
      </c>
      <c r="D499" s="349" t="s">
        <v>163</v>
      </c>
      <c r="E499" s="349" t="s">
        <v>870</v>
      </c>
      <c r="F499" s="350">
        <v>7</v>
      </c>
      <c r="G499" s="353">
        <v>1</v>
      </c>
      <c r="H499" s="351">
        <v>0</v>
      </c>
      <c r="I499" s="351">
        <v>0</v>
      </c>
      <c r="J499" s="351">
        <v>0</v>
      </c>
      <c r="K499" s="351">
        <v>0</v>
      </c>
      <c r="L499" s="351">
        <v>0</v>
      </c>
      <c r="M499" s="351">
        <v>0</v>
      </c>
      <c r="N499" s="351">
        <v>0</v>
      </c>
      <c r="O499" s="351">
        <v>0</v>
      </c>
      <c r="P499" s="284"/>
      <c r="Q499" s="284">
        <f t="shared" si="16"/>
        <v>0</v>
      </c>
      <c r="R499" s="3" t="str">
        <f>_xlfn.IFNA(VLOOKUP(Tabella1[[#This Row],[Nome]],'ROSE SQUADRE'!$N$3:$O$253,2,0),"")</f>
        <v>AS PIPPERIA</v>
      </c>
      <c r="S499" s="193">
        <f>SUM(Tabella1[[#This Row],[Gf]],Tabella1[[#This Row],[Rf]])</f>
        <v>1</v>
      </c>
      <c r="T499" s="193"/>
      <c r="U499" s="285" t="str">
        <f>IF(Tabella1[[#This Row],[N° FantaTit]]="","",Tabella1[[#This Row],[fanta voto]])</f>
        <v/>
      </c>
      <c r="V499" s="193">
        <f>SUM(Tabella1[[#This Row],[Voto]],(G499*3),Q499,P499,O499,-(N499),(-M499/2),(-L499*2),(-H499),(I499*3),(-J499*3),(K499*3))</f>
        <v>10</v>
      </c>
      <c r="W499" s="193"/>
      <c r="X499" s="193" t="str">
        <f>IF(Tabella1[[#This Row],[Best 11]]=1,Tabella1[[#This Row],[fanta voto]],"")</f>
        <v/>
      </c>
      <c r="Z499" s="193" t="str">
        <f>IF(Tabella1[[#This Row],[Best 11 MOD]]=1,Tabella1[[#This Row],[fanta voto]],"")</f>
        <v/>
      </c>
      <c r="AA499" t="str">
        <f>CONCATENATE(Tabella1[[#This Row],[GG]],Tabella1[[#This Row],[Nome]])</f>
        <v>2Hojlund</v>
      </c>
      <c r="AB499" t="str">
        <f t="shared" si="17"/>
        <v>2AS PIPPERIA</v>
      </c>
      <c r="AC499" t="str">
        <f>_xlfn.CONCAT(Tabella1[[#This Row],[Ruolo]],Tabella1[[#This Row],[Gs]])</f>
        <v>A0</v>
      </c>
    </row>
    <row r="500" spans="1:29" hidden="1" x14ac:dyDescent="0.3">
      <c r="A500" s="14">
        <v>46261</v>
      </c>
      <c r="B500" s="15">
        <v>2</v>
      </c>
      <c r="C500" s="321" t="s">
        <v>860</v>
      </c>
      <c r="D500" s="346" t="s">
        <v>163</v>
      </c>
      <c r="E500" s="346" t="s">
        <v>871</v>
      </c>
      <c r="F500" s="347">
        <v>5.5</v>
      </c>
      <c r="G500" s="348">
        <v>0</v>
      </c>
      <c r="H500" s="348">
        <v>0</v>
      </c>
      <c r="I500" s="348">
        <v>0</v>
      </c>
      <c r="J500" s="348">
        <v>0</v>
      </c>
      <c r="K500" s="348">
        <v>0</v>
      </c>
      <c r="L500" s="348">
        <v>0</v>
      </c>
      <c r="M500" s="348">
        <v>0</v>
      </c>
      <c r="N500" s="348">
        <v>0</v>
      </c>
      <c r="O500" s="348">
        <v>0</v>
      </c>
      <c r="P500" s="284"/>
      <c r="Q500" s="284">
        <f t="shared" si="16"/>
        <v>0</v>
      </c>
      <c r="R500" s="3" t="str">
        <f>_xlfn.IFNA(VLOOKUP(Tabella1[[#This Row],[Nome]],'ROSE SQUADRE'!$N$3:$O$253,2,0),"")</f>
        <v>ATL. IMPROVVISATO</v>
      </c>
      <c r="S500" s="193">
        <f>SUM(Tabella1[[#This Row],[Gf]],Tabella1[[#This Row],[Rf]])</f>
        <v>0</v>
      </c>
      <c r="T500" s="193"/>
      <c r="U500" s="285" t="str">
        <f>IF(Tabella1[[#This Row],[N° FantaTit]]="","",Tabella1[[#This Row],[fanta voto]])</f>
        <v/>
      </c>
      <c r="V500" s="193">
        <f>SUM(Tabella1[[#This Row],[Voto]],(G500*3),Q500,P500,O500,-(N500),(-M500/2),(-L500*2),(-H500),(I500*3),(-J500*3),(K500*3))</f>
        <v>5.5</v>
      </c>
      <c r="W500" s="193"/>
      <c r="X500" s="193" t="str">
        <f>IF(Tabella1[[#This Row],[Best 11]]=1,Tabella1[[#This Row],[fanta voto]],"")</f>
        <v/>
      </c>
      <c r="Z500" s="193" t="str">
        <f>IF(Tabella1[[#This Row],[Best 11 MOD]]=1,Tabella1[[#This Row],[fanta voto]],"")</f>
        <v/>
      </c>
      <c r="AA500" t="str">
        <f>CONCATENATE(Tabella1[[#This Row],[GG]],Tabella1[[#This Row],[Nome]])</f>
        <v>2Lang</v>
      </c>
      <c r="AB500" t="str">
        <f t="shared" si="17"/>
        <v>2ATL. IMPROVVISATO</v>
      </c>
      <c r="AC500" t="str">
        <f>_xlfn.CONCAT(Tabella1[[#This Row],[Ruolo]],Tabella1[[#This Row],[Gs]])</f>
        <v>A0</v>
      </c>
    </row>
    <row r="501" spans="1:29" hidden="1" x14ac:dyDescent="0.3">
      <c r="A501" s="14">
        <v>46261</v>
      </c>
      <c r="B501" s="15">
        <v>2</v>
      </c>
      <c r="C501" s="321" t="s">
        <v>860</v>
      </c>
      <c r="D501" s="349" t="s">
        <v>163</v>
      </c>
      <c r="E501" s="349" t="s">
        <v>872</v>
      </c>
      <c r="F501" s="350">
        <v>6</v>
      </c>
      <c r="G501" s="351">
        <v>0</v>
      </c>
      <c r="H501" s="351">
        <v>0</v>
      </c>
      <c r="I501" s="351">
        <v>0</v>
      </c>
      <c r="J501" s="351">
        <v>0</v>
      </c>
      <c r="K501" s="351">
        <v>0</v>
      </c>
      <c r="L501" s="351">
        <v>0</v>
      </c>
      <c r="M501" s="351">
        <v>0</v>
      </c>
      <c r="N501" s="351">
        <v>0</v>
      </c>
      <c r="O501" s="351">
        <v>0</v>
      </c>
      <c r="P501" s="284"/>
      <c r="Q501" s="284">
        <f t="shared" si="16"/>
        <v>0</v>
      </c>
      <c r="R501" s="3" t="str">
        <f>_xlfn.IFNA(VLOOKUP(Tabella1[[#This Row],[Nome]],'ROSE SQUADRE'!$N$3:$O$253,2,0),"")</f>
        <v>TRICCHETRACHT</v>
      </c>
      <c r="S501" s="193">
        <f>SUM(Tabella1[[#This Row],[Gf]],Tabella1[[#This Row],[Rf]])</f>
        <v>0</v>
      </c>
      <c r="T501" s="193"/>
      <c r="U501" s="285" t="str">
        <f>IF(Tabella1[[#This Row],[N° FantaTit]]="","",Tabella1[[#This Row],[fanta voto]])</f>
        <v/>
      </c>
      <c r="V501" s="193">
        <f>SUM(Tabella1[[#This Row],[Voto]],(G501*3),Q501,P501,O501,-(N501),(-M501/2),(-L501*2),(-H501),(I501*3),(-J501*3),(K501*3))</f>
        <v>6</v>
      </c>
      <c r="W501" s="193"/>
      <c r="X501" s="193" t="str">
        <f>IF(Tabella1[[#This Row],[Best 11]]=1,Tabella1[[#This Row],[fanta voto]],"")</f>
        <v/>
      </c>
      <c r="Z501" s="193" t="str">
        <f>IF(Tabella1[[#This Row],[Best 11 MOD]]=1,Tabella1[[#This Row],[fanta voto]],"")</f>
        <v/>
      </c>
      <c r="AA501" t="str">
        <f>CONCATENATE(Tabella1[[#This Row],[GG]],Tabella1[[#This Row],[Nome]])</f>
        <v>2Santos A.</v>
      </c>
      <c r="AB501" t="str">
        <f t="shared" si="17"/>
        <v>2TRICCHETRACHT</v>
      </c>
      <c r="AC501" t="str">
        <f>_xlfn.CONCAT(Tabella1[[#This Row],[Ruolo]],Tabella1[[#This Row],[Gs]])</f>
        <v>A0</v>
      </c>
    </row>
    <row r="502" spans="1:29" hidden="1" x14ac:dyDescent="0.3">
      <c r="A502" s="14">
        <v>46261</v>
      </c>
      <c r="B502" s="15">
        <v>2</v>
      </c>
      <c r="C502" s="321" t="s">
        <v>874</v>
      </c>
      <c r="D502" s="349" t="s">
        <v>5</v>
      </c>
      <c r="E502" s="349" t="s">
        <v>873</v>
      </c>
      <c r="F502" s="350">
        <v>6</v>
      </c>
      <c r="G502" s="351">
        <v>0</v>
      </c>
      <c r="H502" s="353">
        <v>2</v>
      </c>
      <c r="I502" s="351">
        <v>0</v>
      </c>
      <c r="J502" s="351">
        <v>0</v>
      </c>
      <c r="K502" s="351">
        <v>0</v>
      </c>
      <c r="L502" s="351">
        <v>0</v>
      </c>
      <c r="M502" s="351">
        <v>0</v>
      </c>
      <c r="N502" s="351">
        <v>0</v>
      </c>
      <c r="O502" s="351">
        <v>0</v>
      </c>
      <c r="P502" s="284"/>
      <c r="Q502" s="284">
        <f t="shared" si="16"/>
        <v>0</v>
      </c>
      <c r="R502" s="3" t="str">
        <f>_xlfn.IFNA(VLOOKUP(Tabella1[[#This Row],[Nome]],'ROSE SQUADRE'!$N$3:$O$253,2,0),"")</f>
        <v>PARTIZAN DEGRADO</v>
      </c>
      <c r="S502" s="193">
        <f>SUM(Tabella1[[#This Row],[Gf]],Tabella1[[#This Row],[Rf]])</f>
        <v>0</v>
      </c>
      <c r="T502" s="193"/>
      <c r="U502" s="285" t="str">
        <f>IF(Tabella1[[#This Row],[N° FantaTit]]="","",Tabella1[[#This Row],[fanta voto]])</f>
        <v/>
      </c>
      <c r="V502" s="193">
        <f>SUM(Tabella1[[#This Row],[Voto]],(G502*3),Q502,P502,O502,-(N502),(-M502/2),(-L502*2),(-H502),(I502*3),(-J502*3),(K502*3))</f>
        <v>4</v>
      </c>
      <c r="W502" s="193"/>
      <c r="X502" s="193" t="str">
        <f>IF(Tabella1[[#This Row],[Best 11]]=1,Tabella1[[#This Row],[fanta voto]],"")</f>
        <v/>
      </c>
      <c r="Z502" s="193" t="str">
        <f>IF(Tabella1[[#This Row],[Best 11 MOD]]=1,Tabella1[[#This Row],[fanta voto]],"")</f>
        <v/>
      </c>
      <c r="AA502" t="str">
        <f>CONCATENATE(Tabella1[[#This Row],[GG]],Tabella1[[#This Row],[Nome]])</f>
        <v>2Corvi</v>
      </c>
      <c r="AB502" t="str">
        <f t="shared" si="17"/>
        <v>2PARTIZAN DEGRADO</v>
      </c>
      <c r="AC502" t="str">
        <f>_xlfn.CONCAT(Tabella1[[#This Row],[Ruolo]],Tabella1[[#This Row],[Gs]])</f>
        <v>P2</v>
      </c>
    </row>
    <row r="503" spans="1:29" hidden="1" x14ac:dyDescent="0.3">
      <c r="A503" s="14">
        <v>46261</v>
      </c>
      <c r="B503" s="15">
        <v>2</v>
      </c>
      <c r="C503" s="321" t="s">
        <v>874</v>
      </c>
      <c r="D503" s="346" t="s">
        <v>161</v>
      </c>
      <c r="E503" s="346" t="s">
        <v>554</v>
      </c>
      <c r="F503" s="347">
        <v>6</v>
      </c>
      <c r="G503" s="348">
        <v>0</v>
      </c>
      <c r="H503" s="348">
        <v>0</v>
      </c>
      <c r="I503" s="348">
        <v>0</v>
      </c>
      <c r="J503" s="348">
        <v>0</v>
      </c>
      <c r="K503" s="348">
        <v>0</v>
      </c>
      <c r="L503" s="348">
        <v>0</v>
      </c>
      <c r="M503" s="348">
        <v>0</v>
      </c>
      <c r="N503" s="348">
        <v>0</v>
      </c>
      <c r="O503" s="348">
        <v>0</v>
      </c>
      <c r="P503" s="284"/>
      <c r="Q503" s="284">
        <f t="shared" si="16"/>
        <v>0</v>
      </c>
      <c r="R503" s="3" t="str">
        <f>_xlfn.IFNA(VLOOKUP(Tabella1[[#This Row],[Nome]],'ROSE SQUADRE'!$N$3:$O$253,2,0),"")</f>
        <v>TRICCHETRACHT</v>
      </c>
      <c r="S503" s="193">
        <f>SUM(Tabella1[[#This Row],[Gf]],Tabella1[[#This Row],[Rf]])</f>
        <v>0</v>
      </c>
      <c r="T503" s="193"/>
      <c r="U503" s="285" t="str">
        <f>IF(Tabella1[[#This Row],[N° FantaTit]]="","",Tabella1[[#This Row],[fanta voto]])</f>
        <v/>
      </c>
      <c r="V503" s="193">
        <f>SUM(Tabella1[[#This Row],[Voto]],(G503*3),Q503,P503,O503,-(N503),(-M503/2),(-L503*2),(-H503),(I503*3),(-J503*3),(K503*3))</f>
        <v>6</v>
      </c>
      <c r="W503" s="193"/>
      <c r="X503" s="193" t="str">
        <f>IF(Tabella1[[#This Row],[Best 11]]=1,Tabella1[[#This Row],[fanta voto]],"")</f>
        <v/>
      </c>
      <c r="Z503" s="193" t="str">
        <f>IF(Tabella1[[#This Row],[Best 11 MOD]]=1,Tabella1[[#This Row],[fanta voto]],"")</f>
        <v/>
      </c>
      <c r="AA503" t="str">
        <f>CONCATENATE(Tabella1[[#This Row],[GG]],Tabella1[[#This Row],[Nome]])</f>
        <v>2Valeri</v>
      </c>
      <c r="AB503" t="str">
        <f t="shared" si="17"/>
        <v>2TRICCHETRACHT</v>
      </c>
      <c r="AC503" t="str">
        <f>_xlfn.CONCAT(Tabella1[[#This Row],[Ruolo]],Tabella1[[#This Row],[Gs]])</f>
        <v>D0</v>
      </c>
    </row>
    <row r="504" spans="1:29" hidden="1" x14ac:dyDescent="0.3">
      <c r="A504" s="14">
        <v>46261</v>
      </c>
      <c r="B504" s="15">
        <v>2</v>
      </c>
      <c r="C504" s="321" t="s">
        <v>874</v>
      </c>
      <c r="D504" s="349" t="s">
        <v>161</v>
      </c>
      <c r="E504" s="349" t="s">
        <v>619</v>
      </c>
      <c r="F504" s="350">
        <v>6</v>
      </c>
      <c r="G504" s="351">
        <v>0</v>
      </c>
      <c r="H504" s="351">
        <v>0</v>
      </c>
      <c r="I504" s="351">
        <v>0</v>
      </c>
      <c r="J504" s="351">
        <v>0</v>
      </c>
      <c r="K504" s="351">
        <v>0</v>
      </c>
      <c r="L504" s="351">
        <v>0</v>
      </c>
      <c r="M504" s="353">
        <v>1</v>
      </c>
      <c r="N504" s="351">
        <v>0</v>
      </c>
      <c r="O504" s="351">
        <v>0</v>
      </c>
      <c r="P504" s="284"/>
      <c r="Q504" s="284">
        <f t="shared" si="16"/>
        <v>0</v>
      </c>
      <c r="R504" s="3" t="str">
        <f>_xlfn.IFNA(VLOOKUP(Tabella1[[#This Row],[Nome]],'ROSE SQUADRE'!$N$3:$O$253,2,0),"")</f>
        <v>AS PIPPERIA</v>
      </c>
      <c r="S504" s="193">
        <f>SUM(Tabella1[[#This Row],[Gf]],Tabella1[[#This Row],[Rf]])</f>
        <v>0</v>
      </c>
      <c r="T504" s="193"/>
      <c r="U504" s="285" t="str">
        <f>IF(Tabella1[[#This Row],[N° FantaTit]]="","",Tabella1[[#This Row],[fanta voto]])</f>
        <v/>
      </c>
      <c r="V504" s="193">
        <f>SUM(Tabella1[[#This Row],[Voto]],(G504*3),Q504,P504,O504,-(N504),(-M504/2),(-L504*2),(-H504),(I504*3),(-J504*3),(K504*3))</f>
        <v>5.5</v>
      </c>
      <c r="W504" s="193"/>
      <c r="X504" s="193" t="str">
        <f>IF(Tabella1[[#This Row],[Best 11]]=1,Tabella1[[#This Row],[fanta voto]],"")</f>
        <v/>
      </c>
      <c r="Z504" s="193" t="str">
        <f>IF(Tabella1[[#This Row],[Best 11 MOD]]=1,Tabella1[[#This Row],[fanta voto]],"")</f>
        <v/>
      </c>
      <c r="AA504" t="str">
        <f>CONCATENATE(Tabella1[[#This Row],[GG]],Tabella1[[#This Row],[Nome]])</f>
        <v>2Delprato</v>
      </c>
      <c r="AB504" t="str">
        <f t="shared" si="17"/>
        <v>2AS PIPPERIA</v>
      </c>
      <c r="AC504" t="str">
        <f>_xlfn.CONCAT(Tabella1[[#This Row],[Ruolo]],Tabella1[[#This Row],[Gs]])</f>
        <v>D0</v>
      </c>
    </row>
    <row r="505" spans="1:29" hidden="1" x14ac:dyDescent="0.3">
      <c r="A505" s="14">
        <v>46261</v>
      </c>
      <c r="B505" s="15">
        <v>2</v>
      </c>
      <c r="C505" s="321" t="s">
        <v>874</v>
      </c>
      <c r="D505" s="346" t="s">
        <v>161</v>
      </c>
      <c r="E505" s="346" t="s">
        <v>879</v>
      </c>
      <c r="F505" s="347">
        <v>5</v>
      </c>
      <c r="G505" s="348">
        <v>0</v>
      </c>
      <c r="H505" s="348">
        <v>0</v>
      </c>
      <c r="I505" s="348">
        <v>0</v>
      </c>
      <c r="J505" s="348">
        <v>0</v>
      </c>
      <c r="K505" s="348">
        <v>0</v>
      </c>
      <c r="L505" s="348">
        <v>0</v>
      </c>
      <c r="M505" s="352">
        <v>1</v>
      </c>
      <c r="N505" s="348">
        <v>0</v>
      </c>
      <c r="O505" s="348">
        <v>0</v>
      </c>
      <c r="P505" s="284"/>
      <c r="Q505" s="284">
        <f t="shared" si="16"/>
        <v>0</v>
      </c>
      <c r="R505" s="3" t="str">
        <f>_xlfn.IFNA(VLOOKUP(Tabella1[[#This Row],[Nome]],'ROSE SQUADRE'!$N$3:$O$253,2,0),"")</f>
        <v>SHARK</v>
      </c>
      <c r="S505" s="193">
        <f>SUM(Tabella1[[#This Row],[Gf]],Tabella1[[#This Row],[Rf]])</f>
        <v>0</v>
      </c>
      <c r="T505" s="193"/>
      <c r="U505" s="285" t="str">
        <f>IF(Tabella1[[#This Row],[N° FantaTit]]="","",Tabella1[[#This Row],[fanta voto]])</f>
        <v/>
      </c>
      <c r="V505" s="193">
        <f>SUM(Tabella1[[#This Row],[Voto]],(G505*3),Q505,P505,O505,-(N505),(-M505/2),(-L505*2),(-H505),(I505*3),(-J505*3),(K505*3))</f>
        <v>4.5</v>
      </c>
      <c r="W505" s="193"/>
      <c r="X505" s="193" t="str">
        <f>IF(Tabella1[[#This Row],[Best 11]]=1,Tabella1[[#This Row],[fanta voto]],"")</f>
        <v/>
      </c>
      <c r="Z505" s="193" t="str">
        <f>IF(Tabella1[[#This Row],[Best 11 MOD]]=1,Tabella1[[#This Row],[fanta voto]],"")</f>
        <v/>
      </c>
      <c r="AA505" t="str">
        <f>CONCATENATE(Tabella1[[#This Row],[GG]],Tabella1[[#This Row],[Nome]])</f>
        <v>2Troilo</v>
      </c>
      <c r="AB505" t="str">
        <f t="shared" si="17"/>
        <v>2SHARK</v>
      </c>
      <c r="AC505" t="str">
        <f>_xlfn.CONCAT(Tabella1[[#This Row],[Ruolo]],Tabella1[[#This Row],[Gs]])</f>
        <v>D0</v>
      </c>
    </row>
    <row r="506" spans="1:29" hidden="1" x14ac:dyDescent="0.3">
      <c r="A506" s="14">
        <v>46261</v>
      </c>
      <c r="B506" s="15">
        <v>2</v>
      </c>
      <c r="C506" s="321" t="s">
        <v>874</v>
      </c>
      <c r="D506" s="349" t="s">
        <v>161</v>
      </c>
      <c r="E506" s="349" t="s">
        <v>876</v>
      </c>
      <c r="F506" s="350">
        <v>6</v>
      </c>
      <c r="G506" s="351">
        <v>0</v>
      </c>
      <c r="H506" s="351">
        <v>0</v>
      </c>
      <c r="I506" s="351">
        <v>0</v>
      </c>
      <c r="J506" s="351">
        <v>0</v>
      </c>
      <c r="K506" s="351">
        <v>0</v>
      </c>
      <c r="L506" s="351">
        <v>0</v>
      </c>
      <c r="M506" s="351">
        <v>0</v>
      </c>
      <c r="N506" s="351">
        <v>0</v>
      </c>
      <c r="O506" s="351">
        <v>0</v>
      </c>
      <c r="P506" s="284"/>
      <c r="Q506" s="284">
        <f t="shared" si="16"/>
        <v>0</v>
      </c>
      <c r="R506" s="3" t="str">
        <f>_xlfn.IFNA(VLOOKUP(Tabella1[[#This Row],[Nome]],'ROSE SQUADRE'!$N$3:$O$253,2,0),"")</f>
        <v/>
      </c>
      <c r="S506" s="193">
        <f>SUM(Tabella1[[#This Row],[Gf]],Tabella1[[#This Row],[Rf]])</f>
        <v>0</v>
      </c>
      <c r="T506" s="193"/>
      <c r="U506" s="285" t="str">
        <f>IF(Tabella1[[#This Row],[N° FantaTit]]="","",Tabella1[[#This Row],[fanta voto]])</f>
        <v/>
      </c>
      <c r="V506" s="193">
        <f>SUM(Tabella1[[#This Row],[Voto]],(G506*3),Q506,P506,O506,-(N506),(-M506/2),(-L506*2),(-H506),(I506*3),(-J506*3),(K506*3))</f>
        <v>6</v>
      </c>
      <c r="W506" s="193"/>
      <c r="X506" s="193" t="str">
        <f>IF(Tabella1[[#This Row],[Best 11]]=1,Tabella1[[#This Row],[fanta voto]],"")</f>
        <v/>
      </c>
      <c r="Z506" s="193" t="str">
        <f>IF(Tabella1[[#This Row],[Best 11 MOD]]=1,Tabella1[[#This Row],[fanta voto]],"")</f>
        <v/>
      </c>
      <c r="AA506" t="str">
        <f>CONCATENATE(Tabella1[[#This Row],[GG]],Tabella1[[#This Row],[Nome]])</f>
        <v>2Britschgi</v>
      </c>
      <c r="AB506" t="str">
        <f t="shared" si="17"/>
        <v>2</v>
      </c>
      <c r="AC506" t="str">
        <f>_xlfn.CONCAT(Tabella1[[#This Row],[Ruolo]],Tabella1[[#This Row],[Gs]])</f>
        <v>D0</v>
      </c>
    </row>
    <row r="507" spans="1:29" hidden="1" x14ac:dyDescent="0.3">
      <c r="A507" s="14">
        <v>46261</v>
      </c>
      <c r="B507" s="15">
        <v>2</v>
      </c>
      <c r="C507" s="321" t="s">
        <v>874</v>
      </c>
      <c r="D507" s="346" t="s">
        <v>161</v>
      </c>
      <c r="E507" s="346" t="s">
        <v>1035</v>
      </c>
      <c r="F507" s="347">
        <v>5.5</v>
      </c>
      <c r="G507" s="348">
        <v>0</v>
      </c>
      <c r="H507" s="348">
        <v>0</v>
      </c>
      <c r="I507" s="348">
        <v>0</v>
      </c>
      <c r="J507" s="348">
        <v>0</v>
      </c>
      <c r="K507" s="348">
        <v>0</v>
      </c>
      <c r="L507" s="348">
        <v>0</v>
      </c>
      <c r="M507" s="348">
        <v>0</v>
      </c>
      <c r="N507" s="348">
        <v>0</v>
      </c>
      <c r="O507" s="348">
        <v>0</v>
      </c>
      <c r="P507" s="284"/>
      <c r="Q507" s="284">
        <f t="shared" si="16"/>
        <v>0</v>
      </c>
      <c r="R507" s="3" t="str">
        <f>_xlfn.IFNA(VLOOKUP(Tabella1[[#This Row],[Nome]],'ROSE SQUADRE'!$N$3:$O$253,2,0),"")</f>
        <v/>
      </c>
      <c r="S507" s="193">
        <f>SUM(Tabella1[[#This Row],[Gf]],Tabella1[[#This Row],[Rf]])</f>
        <v>0</v>
      </c>
      <c r="T507" s="193"/>
      <c r="U507" s="285" t="str">
        <f>IF(Tabella1[[#This Row],[N° FantaTit]]="","",Tabella1[[#This Row],[fanta voto]])</f>
        <v/>
      </c>
      <c r="V507" s="193">
        <f>SUM(Tabella1[[#This Row],[Voto]],(G507*3),Q507,P507,O507,-(N507),(-M507/2),(-L507*2),(-H507),(I507*3),(-J507*3),(K507*3))</f>
        <v>5.5</v>
      </c>
      <c r="W507" s="193"/>
      <c r="X507" s="193" t="str">
        <f>IF(Tabella1[[#This Row],[Best 11]]=1,Tabella1[[#This Row],[fanta voto]],"")</f>
        <v/>
      </c>
      <c r="Z507" s="193" t="str">
        <f>IF(Tabella1[[#This Row],[Best 11 MOD]]=1,Tabella1[[#This Row],[fanta voto]],"")</f>
        <v/>
      </c>
      <c r="AA507" t="str">
        <f>CONCATENATE(Tabella1[[#This Row],[GG]],Tabella1[[#This Row],[Nome]])</f>
        <v>2Drobnic</v>
      </c>
      <c r="AB507" t="str">
        <f t="shared" si="17"/>
        <v>2</v>
      </c>
      <c r="AC507" t="str">
        <f>_xlfn.CONCAT(Tabella1[[#This Row],[Ruolo]],Tabella1[[#This Row],[Gs]])</f>
        <v>D0</v>
      </c>
    </row>
    <row r="508" spans="1:29" hidden="1" x14ac:dyDescent="0.3">
      <c r="A508" s="14">
        <v>46261</v>
      </c>
      <c r="B508" s="15">
        <v>2</v>
      </c>
      <c r="C508" s="321" t="s">
        <v>874</v>
      </c>
      <c r="D508" s="346" t="s">
        <v>162</v>
      </c>
      <c r="E508" s="346" t="s">
        <v>881</v>
      </c>
      <c r="F508" s="347">
        <v>5.5</v>
      </c>
      <c r="G508" s="348">
        <v>0</v>
      </c>
      <c r="H508" s="348">
        <v>0</v>
      </c>
      <c r="I508" s="348">
        <v>0</v>
      </c>
      <c r="J508" s="348">
        <v>0</v>
      </c>
      <c r="K508" s="348">
        <v>0</v>
      </c>
      <c r="L508" s="348">
        <v>0</v>
      </c>
      <c r="M508" s="348">
        <v>0</v>
      </c>
      <c r="N508" s="348">
        <v>0</v>
      </c>
      <c r="O508" s="348">
        <v>0</v>
      </c>
      <c r="P508" s="284"/>
      <c r="Q508" s="284">
        <f t="shared" si="16"/>
        <v>0</v>
      </c>
      <c r="R508" s="3" t="str">
        <f>_xlfn.IFNA(VLOOKUP(Tabella1[[#This Row],[Nome]],'ROSE SQUADRE'!$N$3:$O$253,2,0),"")</f>
        <v>ATL. IMPROVVISATO</v>
      </c>
      <c r="S508" s="193">
        <f>SUM(Tabella1[[#This Row],[Gf]],Tabella1[[#This Row],[Rf]])</f>
        <v>0</v>
      </c>
      <c r="T508" s="193"/>
      <c r="U508" s="285" t="str">
        <f>IF(Tabella1[[#This Row],[N° FantaTit]]="","",Tabella1[[#This Row],[fanta voto]])</f>
        <v/>
      </c>
      <c r="V508" s="193">
        <f>SUM(Tabella1[[#This Row],[Voto]],(G508*3),Q508,P508,O508,-(N508),(-M508/2),(-L508*2),(-H508),(I508*3),(-J508*3),(K508*3))</f>
        <v>5.5</v>
      </c>
      <c r="W508" s="193"/>
      <c r="X508" s="193" t="str">
        <f>IF(Tabella1[[#This Row],[Best 11]]=1,Tabella1[[#This Row],[fanta voto]],"")</f>
        <v/>
      </c>
      <c r="Z508" s="193" t="str">
        <f>IF(Tabella1[[#This Row],[Best 11 MOD]]=1,Tabella1[[#This Row],[fanta voto]],"")</f>
        <v/>
      </c>
      <c r="AA508" t="str">
        <f>CONCATENATE(Tabella1[[#This Row],[GG]],Tabella1[[#This Row],[Nome]])</f>
        <v>2Bernabè</v>
      </c>
      <c r="AB508" t="str">
        <f t="shared" si="17"/>
        <v>2ATL. IMPROVVISATO</v>
      </c>
      <c r="AC508" t="str">
        <f>_xlfn.CONCAT(Tabella1[[#This Row],[Ruolo]],Tabella1[[#This Row],[Gs]])</f>
        <v>C0</v>
      </c>
    </row>
    <row r="509" spans="1:29" hidden="1" x14ac:dyDescent="0.3">
      <c r="A509" s="14">
        <v>46261</v>
      </c>
      <c r="B509" s="15">
        <v>2</v>
      </c>
      <c r="C509" s="321" t="s">
        <v>874</v>
      </c>
      <c r="D509" s="349" t="s">
        <v>162</v>
      </c>
      <c r="E509" s="349" t="s">
        <v>884</v>
      </c>
      <c r="F509" s="350">
        <v>5</v>
      </c>
      <c r="G509" s="351">
        <v>0</v>
      </c>
      <c r="H509" s="351">
        <v>0</v>
      </c>
      <c r="I509" s="351">
        <v>0</v>
      </c>
      <c r="J509" s="351">
        <v>0</v>
      </c>
      <c r="K509" s="351">
        <v>0</v>
      </c>
      <c r="L509" s="351">
        <v>0</v>
      </c>
      <c r="M509" s="351">
        <v>0</v>
      </c>
      <c r="N509" s="351">
        <v>0</v>
      </c>
      <c r="O509" s="351">
        <v>0</v>
      </c>
      <c r="P509" s="284"/>
      <c r="Q509" s="284">
        <f t="shared" si="16"/>
        <v>0</v>
      </c>
      <c r="R509" s="3" t="str">
        <f>_xlfn.IFNA(VLOOKUP(Tabella1[[#This Row],[Nome]],'ROSE SQUADRE'!$N$3:$O$253,2,0),"")</f>
        <v>SHARK</v>
      </c>
      <c r="S509" s="193">
        <f>SUM(Tabella1[[#This Row],[Gf]],Tabella1[[#This Row],[Rf]])</f>
        <v>0</v>
      </c>
      <c r="T509" s="193"/>
      <c r="U509" s="285" t="str">
        <f>IF(Tabella1[[#This Row],[N° FantaTit]]="","",Tabella1[[#This Row],[fanta voto]])</f>
        <v/>
      </c>
      <c r="V509" s="193">
        <f>SUM(Tabella1[[#This Row],[Voto]],(G509*3),Q509,P509,O509,-(N509),(-M509/2),(-L509*2),(-H509),(I509*3),(-J509*3),(K509*3))</f>
        <v>5</v>
      </c>
      <c r="W509" s="193"/>
      <c r="X509" s="193" t="str">
        <f>IF(Tabella1[[#This Row],[Best 11]]=1,Tabella1[[#This Row],[fanta voto]],"")</f>
        <v/>
      </c>
      <c r="Z509" s="193" t="str">
        <f>IF(Tabella1[[#This Row],[Best 11 MOD]]=1,Tabella1[[#This Row],[fanta voto]],"")</f>
        <v/>
      </c>
      <c r="AA509" t="str">
        <f>CONCATENATE(Tabella1[[#This Row],[GG]],Tabella1[[#This Row],[Nome]])</f>
        <v>2Keita M.</v>
      </c>
      <c r="AB509" t="str">
        <f t="shared" si="17"/>
        <v>2SHARK</v>
      </c>
      <c r="AC509" t="str">
        <f>_xlfn.CONCAT(Tabella1[[#This Row],[Ruolo]],Tabella1[[#This Row],[Gs]])</f>
        <v>C0</v>
      </c>
    </row>
    <row r="510" spans="1:29" hidden="1" x14ac:dyDescent="0.3">
      <c r="A510" s="14">
        <v>46261</v>
      </c>
      <c r="B510" s="15">
        <v>2</v>
      </c>
      <c r="C510" s="321" t="s">
        <v>874</v>
      </c>
      <c r="D510" s="346" t="s">
        <v>162</v>
      </c>
      <c r="E510" s="346" t="s">
        <v>885</v>
      </c>
      <c r="F510" s="347">
        <v>6</v>
      </c>
      <c r="G510" s="348">
        <v>0</v>
      </c>
      <c r="H510" s="348">
        <v>0</v>
      </c>
      <c r="I510" s="348">
        <v>0</v>
      </c>
      <c r="J510" s="348">
        <v>0</v>
      </c>
      <c r="K510" s="348">
        <v>0</v>
      </c>
      <c r="L510" s="348">
        <v>0</v>
      </c>
      <c r="M510" s="348">
        <v>0</v>
      </c>
      <c r="N510" s="348">
        <v>0</v>
      </c>
      <c r="O510" s="348">
        <v>0</v>
      </c>
      <c r="P510" s="284"/>
      <c r="Q510" s="284">
        <f t="shared" si="16"/>
        <v>0</v>
      </c>
      <c r="R510" s="3" t="str">
        <f>_xlfn.IFNA(VLOOKUP(Tabella1[[#This Row],[Nome]],'ROSE SQUADRE'!$N$3:$O$253,2,0),"")</f>
        <v/>
      </c>
      <c r="S510" s="193">
        <f>SUM(Tabella1[[#This Row],[Gf]],Tabella1[[#This Row],[Rf]])</f>
        <v>0</v>
      </c>
      <c r="T510" s="193"/>
      <c r="U510" s="285" t="str">
        <f>IF(Tabella1[[#This Row],[N° FantaTit]]="","",Tabella1[[#This Row],[fanta voto]])</f>
        <v/>
      </c>
      <c r="V510" s="193">
        <f>SUM(Tabella1[[#This Row],[Voto]],(G510*3),Q510,P510,O510,-(N510),(-M510/2),(-L510*2),(-H510),(I510*3),(-J510*3),(K510*3))</f>
        <v>6</v>
      </c>
      <c r="W510" s="193"/>
      <c r="X510" s="193" t="str">
        <f>IF(Tabella1[[#This Row],[Best 11]]=1,Tabella1[[#This Row],[fanta voto]],"")</f>
        <v/>
      </c>
      <c r="Z510" s="193" t="str">
        <f>IF(Tabella1[[#This Row],[Best 11 MOD]]=1,Tabella1[[#This Row],[fanta voto]],"")</f>
        <v/>
      </c>
      <c r="AA510" t="str">
        <f>CONCATENATE(Tabella1[[#This Row],[GG]],Tabella1[[#This Row],[Nome]])</f>
        <v>2Ordonez C.</v>
      </c>
      <c r="AB510" t="str">
        <f t="shared" si="17"/>
        <v>2</v>
      </c>
      <c r="AC510" t="str">
        <f>_xlfn.CONCAT(Tabella1[[#This Row],[Ruolo]],Tabella1[[#This Row],[Gs]])</f>
        <v>C0</v>
      </c>
    </row>
    <row r="511" spans="1:29" hidden="1" x14ac:dyDescent="0.3">
      <c r="A511" s="14">
        <v>46261</v>
      </c>
      <c r="B511" s="15">
        <v>2</v>
      </c>
      <c r="C511" s="321" t="s">
        <v>874</v>
      </c>
      <c r="D511" s="349" t="s">
        <v>162</v>
      </c>
      <c r="E511" s="349" t="s">
        <v>882</v>
      </c>
      <c r="F511" s="350">
        <v>5.5</v>
      </c>
      <c r="G511" s="351">
        <v>0</v>
      </c>
      <c r="H511" s="351">
        <v>0</v>
      </c>
      <c r="I511" s="351">
        <v>0</v>
      </c>
      <c r="J511" s="351">
        <v>0</v>
      </c>
      <c r="K511" s="351">
        <v>0</v>
      </c>
      <c r="L511" s="351">
        <v>0</v>
      </c>
      <c r="M511" s="351">
        <v>0</v>
      </c>
      <c r="N511" s="351">
        <v>0</v>
      </c>
      <c r="O511" s="351">
        <v>0</v>
      </c>
      <c r="P511" s="284"/>
      <c r="Q511" s="284">
        <f t="shared" si="16"/>
        <v>0</v>
      </c>
      <c r="R511" s="3" t="str">
        <f>_xlfn.IFNA(VLOOKUP(Tabella1[[#This Row],[Nome]],'ROSE SQUADRE'!$N$3:$O$253,2,0),"")</f>
        <v/>
      </c>
      <c r="S511" s="193">
        <f>SUM(Tabella1[[#This Row],[Gf]],Tabella1[[#This Row],[Rf]])</f>
        <v>0</v>
      </c>
      <c r="T511" s="193"/>
      <c r="U511" s="285" t="str">
        <f>IF(Tabella1[[#This Row],[N° FantaTit]]="","",Tabella1[[#This Row],[fanta voto]])</f>
        <v/>
      </c>
      <c r="V511" s="193">
        <f>SUM(Tabella1[[#This Row],[Voto]],(G511*3),Q511,P511,O511,-(N511),(-M511/2),(-L511*2),(-H511),(I511*3),(-J511*3),(K511*3))</f>
        <v>5.5</v>
      </c>
      <c r="W511" s="193"/>
      <c r="X511" s="193" t="str">
        <f>IF(Tabella1[[#This Row],[Best 11]]=1,Tabella1[[#This Row],[fanta voto]],"")</f>
        <v/>
      </c>
      <c r="Z511" s="193" t="str">
        <f>IF(Tabella1[[#This Row],[Best 11 MOD]]=1,Tabella1[[#This Row],[fanta voto]],"")</f>
        <v/>
      </c>
      <c r="AA511" t="str">
        <f>CONCATENATE(Tabella1[[#This Row],[GG]],Tabella1[[#This Row],[Nome]])</f>
        <v>2Cremaschi</v>
      </c>
      <c r="AB511" t="str">
        <f t="shared" si="17"/>
        <v>2</v>
      </c>
      <c r="AC511" t="str">
        <f>_xlfn.CONCAT(Tabella1[[#This Row],[Ruolo]],Tabella1[[#This Row],[Gs]])</f>
        <v>C0</v>
      </c>
    </row>
    <row r="512" spans="1:29" hidden="1" x14ac:dyDescent="0.3">
      <c r="A512" s="14">
        <v>46261</v>
      </c>
      <c r="B512" s="15">
        <v>2</v>
      </c>
      <c r="C512" s="321" t="s">
        <v>874</v>
      </c>
      <c r="D512" s="346" t="s">
        <v>162</v>
      </c>
      <c r="E512" s="346" t="s">
        <v>993</v>
      </c>
      <c r="F512" s="347">
        <v>4.5</v>
      </c>
      <c r="G512" s="348">
        <v>0</v>
      </c>
      <c r="H512" s="348">
        <v>0</v>
      </c>
      <c r="I512" s="348">
        <v>0</v>
      </c>
      <c r="J512" s="348">
        <v>0</v>
      </c>
      <c r="K512" s="348">
        <v>0</v>
      </c>
      <c r="L512" s="348">
        <v>0</v>
      </c>
      <c r="M512" s="352">
        <v>1</v>
      </c>
      <c r="N512" s="348">
        <v>0</v>
      </c>
      <c r="O512" s="348">
        <v>0</v>
      </c>
      <c r="P512" s="284"/>
      <c r="Q512" s="284">
        <f t="shared" si="16"/>
        <v>0</v>
      </c>
      <c r="R512" s="3" t="str">
        <f>_xlfn.IFNA(VLOOKUP(Tabella1[[#This Row],[Nome]],'ROSE SQUADRE'!$N$3:$O$253,2,0),"")</f>
        <v/>
      </c>
      <c r="S512" s="193">
        <f>SUM(Tabella1[[#This Row],[Gf]],Tabella1[[#This Row],[Rf]])</f>
        <v>0</v>
      </c>
      <c r="T512" s="193"/>
      <c r="U512" s="285" t="str">
        <f>IF(Tabella1[[#This Row],[N° FantaTit]]="","",Tabella1[[#This Row],[fanta voto]])</f>
        <v/>
      </c>
      <c r="V512" s="193">
        <f>SUM(Tabella1[[#This Row],[Voto]],(G512*3),Q512,P512,O512,-(N512),(-M512/2),(-L512*2),(-H512),(I512*3),(-J512*3),(K512*3))</f>
        <v>4</v>
      </c>
      <c r="W512" s="193"/>
      <c r="X512" s="193" t="str">
        <f>IF(Tabella1[[#This Row],[Best 11]]=1,Tabella1[[#This Row],[fanta voto]],"")</f>
        <v/>
      </c>
      <c r="Z512" s="193" t="str">
        <f>IF(Tabella1[[#This Row],[Best 11 MOD]]=1,Tabella1[[#This Row],[fanta voto]],"")</f>
        <v/>
      </c>
      <c r="AA512" t="str">
        <f>CONCATENATE(Tabella1[[#This Row],[GG]],Tabella1[[#This Row],[Nome]])</f>
        <v>2Konate A.</v>
      </c>
      <c r="AB512" t="str">
        <f t="shared" si="17"/>
        <v>2</v>
      </c>
      <c r="AC512" t="str">
        <f>_xlfn.CONCAT(Tabella1[[#This Row],[Ruolo]],Tabella1[[#This Row],[Gs]])</f>
        <v>C0</v>
      </c>
    </row>
    <row r="513" spans="1:29" hidden="1" x14ac:dyDescent="0.3">
      <c r="A513" s="14">
        <v>46261</v>
      </c>
      <c r="B513" s="15">
        <v>2</v>
      </c>
      <c r="C513" s="321" t="s">
        <v>874</v>
      </c>
      <c r="D513" s="349" t="s">
        <v>163</v>
      </c>
      <c r="E513" s="349" t="s">
        <v>892</v>
      </c>
      <c r="F513" s="350">
        <v>5.5</v>
      </c>
      <c r="G513" s="351">
        <v>0</v>
      </c>
      <c r="H513" s="351">
        <v>0</v>
      </c>
      <c r="I513" s="351">
        <v>0</v>
      </c>
      <c r="J513" s="351">
        <v>0</v>
      </c>
      <c r="K513" s="351">
        <v>0</v>
      </c>
      <c r="L513" s="351">
        <v>0</v>
      </c>
      <c r="M513" s="351">
        <v>0</v>
      </c>
      <c r="N513" s="351">
        <v>0</v>
      </c>
      <c r="O513" s="351">
        <v>0</v>
      </c>
      <c r="P513" s="284"/>
      <c r="Q513" s="284">
        <f t="shared" si="16"/>
        <v>0</v>
      </c>
      <c r="R513" s="3" t="str">
        <f>_xlfn.IFNA(VLOOKUP(Tabella1[[#This Row],[Nome]],'ROSE SQUADRE'!$N$3:$O$253,2,0),"")</f>
        <v>ATL. IMPROVVISATO</v>
      </c>
      <c r="S513" s="193">
        <f>SUM(Tabella1[[#This Row],[Gf]],Tabella1[[#This Row],[Rf]])</f>
        <v>0</v>
      </c>
      <c r="T513" s="193"/>
      <c r="U513" s="285" t="str">
        <f>IF(Tabella1[[#This Row],[N° FantaTit]]="","",Tabella1[[#This Row],[fanta voto]])</f>
        <v/>
      </c>
      <c r="V513" s="193">
        <f>SUM(Tabella1[[#This Row],[Voto]],(G513*3),Q513,P513,O513,-(N513),(-M513/2),(-L513*2),(-H513),(I513*3),(-J513*3),(K513*3))</f>
        <v>5.5</v>
      </c>
      <c r="W513" s="193"/>
      <c r="X513" s="193" t="str">
        <f>IF(Tabella1[[#This Row],[Best 11]]=1,Tabella1[[#This Row],[fanta voto]],"")</f>
        <v/>
      </c>
      <c r="Z513" s="193" t="str">
        <f>IF(Tabella1[[#This Row],[Best 11 MOD]]=1,Tabella1[[#This Row],[fanta voto]],"")</f>
        <v/>
      </c>
      <c r="AA513" t="str">
        <f>CONCATENATE(Tabella1[[#This Row],[GG]],Tabella1[[#This Row],[Nome]])</f>
        <v>2Tourè E.</v>
      </c>
      <c r="AB513" t="str">
        <f t="shared" si="17"/>
        <v>2ATL. IMPROVVISATO</v>
      </c>
      <c r="AC513" t="str">
        <f>_xlfn.CONCAT(Tabella1[[#This Row],[Ruolo]],Tabella1[[#This Row],[Gs]])</f>
        <v>A0</v>
      </c>
    </row>
    <row r="514" spans="1:29" hidden="1" x14ac:dyDescent="0.3">
      <c r="A514" s="14">
        <v>46261</v>
      </c>
      <c r="B514" s="15">
        <v>2</v>
      </c>
      <c r="C514" s="321" t="s">
        <v>874</v>
      </c>
      <c r="D514" s="349" t="s">
        <v>163</v>
      </c>
      <c r="E514" s="349" t="s">
        <v>891</v>
      </c>
      <c r="F514" s="350">
        <v>6.5</v>
      </c>
      <c r="G514" s="351">
        <v>0</v>
      </c>
      <c r="H514" s="351">
        <v>0</v>
      </c>
      <c r="I514" s="351">
        <v>0</v>
      </c>
      <c r="J514" s="351">
        <v>0</v>
      </c>
      <c r="K514" s="351">
        <v>0</v>
      </c>
      <c r="L514" s="351">
        <v>0</v>
      </c>
      <c r="M514" s="351">
        <v>0</v>
      </c>
      <c r="N514" s="351">
        <v>0</v>
      </c>
      <c r="O514" s="351">
        <v>0</v>
      </c>
      <c r="P514" s="284"/>
      <c r="Q514" s="284">
        <f t="shared" si="16"/>
        <v>0</v>
      </c>
      <c r="R514" s="3" t="str">
        <f>_xlfn.IFNA(VLOOKUP(Tabella1[[#This Row],[Nome]],'ROSE SQUADRE'!$N$3:$O$253,2,0),"")</f>
        <v>AC ASPARAGHESE</v>
      </c>
      <c r="S514" s="193">
        <f>SUM(Tabella1[[#This Row],[Gf]],Tabella1[[#This Row],[Rf]])</f>
        <v>0</v>
      </c>
      <c r="T514" s="193"/>
      <c r="U514" s="285" t="str">
        <f>IF(Tabella1[[#This Row],[N° FantaTit]]="","",Tabella1[[#This Row],[fanta voto]])</f>
        <v/>
      </c>
      <c r="V514" s="193">
        <f>SUM(Tabella1[[#This Row],[Voto]],(G514*3),Q514,P514,O514,-(N514),(-M514/2),(-L514*2),(-H514),(I514*3),(-J514*3),(K514*3))</f>
        <v>6.5</v>
      </c>
      <c r="W514" s="193"/>
      <c r="X514" s="193" t="str">
        <f>IF(Tabella1[[#This Row],[Best 11]]=1,Tabella1[[#This Row],[fanta voto]],"")</f>
        <v/>
      </c>
      <c r="Z514" s="193" t="str">
        <f>IF(Tabella1[[#This Row],[Best 11 MOD]]=1,Tabella1[[#This Row],[fanta voto]],"")</f>
        <v/>
      </c>
      <c r="AA514" t="str">
        <f>CONCATENATE(Tabella1[[#This Row],[GG]],Tabella1[[#This Row],[Nome]])</f>
        <v>2Romero D.</v>
      </c>
      <c r="AB514" t="str">
        <f t="shared" si="17"/>
        <v>2AC ASPARAGHESE</v>
      </c>
      <c r="AC514" t="str">
        <f>_xlfn.CONCAT(Tabella1[[#This Row],[Ruolo]],Tabella1[[#This Row],[Gs]])</f>
        <v>A0</v>
      </c>
    </row>
    <row r="515" spans="1:29" hidden="1" x14ac:dyDescent="0.3">
      <c r="A515" s="14">
        <v>46261</v>
      </c>
      <c r="B515" s="15">
        <v>2</v>
      </c>
      <c r="C515" s="321" t="s">
        <v>874</v>
      </c>
      <c r="D515" s="346" t="s">
        <v>163</v>
      </c>
      <c r="E515" s="346" t="s">
        <v>890</v>
      </c>
      <c r="F515" s="347">
        <v>6</v>
      </c>
      <c r="G515" s="348">
        <v>0</v>
      </c>
      <c r="H515" s="348">
        <v>0</v>
      </c>
      <c r="I515" s="348">
        <v>0</v>
      </c>
      <c r="J515" s="348">
        <v>0</v>
      </c>
      <c r="K515" s="348">
        <v>0</v>
      </c>
      <c r="L515" s="348">
        <v>0</v>
      </c>
      <c r="M515" s="348">
        <v>0</v>
      </c>
      <c r="N515" s="348">
        <v>0</v>
      </c>
      <c r="O515" s="348">
        <v>0</v>
      </c>
      <c r="P515" s="284"/>
      <c r="Q515" s="284">
        <f t="shared" si="16"/>
        <v>0</v>
      </c>
      <c r="R515" s="3" t="str">
        <f>_xlfn.IFNA(VLOOKUP(Tabella1[[#This Row],[Nome]],'ROSE SQUADRE'!$N$3:$O$253,2,0),"")</f>
        <v>PESCICULINI</v>
      </c>
      <c r="S515" s="193">
        <f>SUM(Tabella1[[#This Row],[Gf]],Tabella1[[#This Row],[Rf]])</f>
        <v>0</v>
      </c>
      <c r="T515" s="193"/>
      <c r="U515" s="285" t="str">
        <f>IF(Tabella1[[#This Row],[N° FantaTit]]="","",Tabella1[[#This Row],[fanta voto]])</f>
        <v/>
      </c>
      <c r="V515" s="193">
        <f>SUM(Tabella1[[#This Row],[Voto]],(G515*3),Q515,P515,O515,-(N515),(-M515/2),(-L515*2),(-H515),(I515*3),(-J515*3),(K515*3))</f>
        <v>6</v>
      </c>
      <c r="W515" s="193"/>
      <c r="X515" s="193" t="str">
        <f>IF(Tabella1[[#This Row],[Best 11]]=1,Tabella1[[#This Row],[fanta voto]],"")</f>
        <v/>
      </c>
      <c r="Z515" s="193" t="str">
        <f>IF(Tabella1[[#This Row],[Best 11 MOD]]=1,Tabella1[[#This Row],[fanta voto]],"")</f>
        <v/>
      </c>
      <c r="AA515" t="str">
        <f>CONCATENATE(Tabella1[[#This Row],[GG]],Tabella1[[#This Row],[Nome]])</f>
        <v>2Lontani</v>
      </c>
      <c r="AB515" t="str">
        <f t="shared" si="17"/>
        <v>2PESCICULINI</v>
      </c>
      <c r="AC515" t="str">
        <f>_xlfn.CONCAT(Tabella1[[#This Row],[Ruolo]],Tabella1[[#This Row],[Gs]])</f>
        <v>A0</v>
      </c>
    </row>
    <row r="516" spans="1:29" hidden="1" x14ac:dyDescent="0.3">
      <c r="A516" s="14">
        <v>46261</v>
      </c>
      <c r="B516" s="15">
        <v>2</v>
      </c>
      <c r="C516" s="321" t="s">
        <v>894</v>
      </c>
      <c r="D516" s="346" t="s">
        <v>5</v>
      </c>
      <c r="E516" s="346" t="s">
        <v>421</v>
      </c>
      <c r="F516" s="347">
        <v>6.5</v>
      </c>
      <c r="G516" s="348">
        <v>0</v>
      </c>
      <c r="H516" s="348">
        <v>0</v>
      </c>
      <c r="I516" s="348">
        <v>0</v>
      </c>
      <c r="J516" s="348">
        <v>0</v>
      </c>
      <c r="K516" s="348">
        <v>0</v>
      </c>
      <c r="L516" s="348">
        <v>0</v>
      </c>
      <c r="M516" s="348">
        <v>0</v>
      </c>
      <c r="N516" s="348">
        <v>0</v>
      </c>
      <c r="O516" s="348">
        <v>0</v>
      </c>
      <c r="P516" s="284"/>
      <c r="Q516" s="284">
        <f t="shared" ref="Q516:Q530" si="18">IF(AC516="P0",1,0)</f>
        <v>1</v>
      </c>
      <c r="R516" s="3" t="str">
        <f>_xlfn.IFNA(VLOOKUP(Tabella1[[#This Row],[Nome]],'ROSE SQUADRE'!$N$3:$O$253,2,0),"")</f>
        <v>SAN GRIA</v>
      </c>
      <c r="S516" s="193">
        <f>SUM(Tabella1[[#This Row],[Gf]],Tabella1[[#This Row],[Rf]])</f>
        <v>0</v>
      </c>
      <c r="T516" s="193"/>
      <c r="U516" s="285" t="str">
        <f>IF(Tabella1[[#This Row],[N° FantaTit]]="","",Tabella1[[#This Row],[fanta voto]])</f>
        <v/>
      </c>
      <c r="V516" s="193">
        <f>SUM(Tabella1[[#This Row],[Voto]],(G516*3),Q516,P516,O516,-(N516),(-M516/2),(-L516*2),(-H516),(I516*3),(-J516*3),(K516*3))</f>
        <v>7.5</v>
      </c>
      <c r="W516" s="193"/>
      <c r="X516" s="193" t="str">
        <f>IF(Tabella1[[#This Row],[Best 11]]=1,Tabella1[[#This Row],[fanta voto]],"")</f>
        <v/>
      </c>
      <c r="Z516" s="193" t="str">
        <f>IF(Tabella1[[#This Row],[Best 11 MOD]]=1,Tabella1[[#This Row],[fanta voto]],"")</f>
        <v/>
      </c>
      <c r="AA516" t="str">
        <f>CONCATENATE(Tabella1[[#This Row],[GG]],Tabella1[[#This Row],[Nome]])</f>
        <v>2Svilar</v>
      </c>
      <c r="AB516" t="str">
        <f t="shared" ref="AB516:AB530" si="19">CONCATENATE(B516,R516,T516)</f>
        <v>2SAN GRIA</v>
      </c>
      <c r="AC516" t="str">
        <f>_xlfn.CONCAT(Tabella1[[#This Row],[Ruolo]],Tabella1[[#This Row],[Gs]])</f>
        <v>P0</v>
      </c>
    </row>
    <row r="517" spans="1:29" hidden="1" x14ac:dyDescent="0.3">
      <c r="A517" s="14">
        <v>46261</v>
      </c>
      <c r="B517" s="15">
        <v>2</v>
      </c>
      <c r="C517" s="321" t="s">
        <v>894</v>
      </c>
      <c r="D517" s="349" t="s">
        <v>161</v>
      </c>
      <c r="E517" s="349" t="s">
        <v>277</v>
      </c>
      <c r="F517" s="350">
        <v>6.5</v>
      </c>
      <c r="G517" s="351">
        <v>0</v>
      </c>
      <c r="H517" s="351">
        <v>0</v>
      </c>
      <c r="I517" s="351">
        <v>0</v>
      </c>
      <c r="J517" s="351">
        <v>0</v>
      </c>
      <c r="K517" s="351">
        <v>0</v>
      </c>
      <c r="L517" s="351">
        <v>0</v>
      </c>
      <c r="M517" s="351">
        <v>0</v>
      </c>
      <c r="N517" s="351">
        <v>0</v>
      </c>
      <c r="O517" s="353">
        <v>1</v>
      </c>
      <c r="P517" s="284"/>
      <c r="Q517" s="284">
        <f t="shared" si="18"/>
        <v>0</v>
      </c>
      <c r="R517" s="3" t="str">
        <f>_xlfn.IFNA(VLOOKUP(Tabella1[[#This Row],[Nome]],'ROSE SQUADRE'!$N$3:$O$253,2,0),"")</f>
        <v>PESCICULINI</v>
      </c>
      <c r="S517" s="193">
        <f>SUM(Tabella1[[#This Row],[Gf]],Tabella1[[#This Row],[Rf]])</f>
        <v>0</v>
      </c>
      <c r="T517" s="193"/>
      <c r="U517" s="285" t="str">
        <f>IF(Tabella1[[#This Row],[N° FantaTit]]="","",Tabella1[[#This Row],[fanta voto]])</f>
        <v/>
      </c>
      <c r="V517" s="193">
        <f>SUM(Tabella1[[#This Row],[Voto]],(G517*3),Q517,P517,O517,-(N517),(-M517/2),(-L517*2),(-H517),(I517*3),(-J517*3),(K517*3))</f>
        <v>7.5</v>
      </c>
      <c r="W517" s="193"/>
      <c r="X517" s="193" t="str">
        <f>IF(Tabella1[[#This Row],[Best 11]]=1,Tabella1[[#This Row],[fanta voto]],"")</f>
        <v/>
      </c>
      <c r="Z517" s="193" t="str">
        <f>IF(Tabella1[[#This Row],[Best 11 MOD]]=1,Tabella1[[#This Row],[fanta voto]],"")</f>
        <v/>
      </c>
      <c r="AA517" t="str">
        <f>CONCATENATE(Tabella1[[#This Row],[GG]],Tabella1[[#This Row],[Nome]])</f>
        <v>2Mancini</v>
      </c>
      <c r="AB517" t="str">
        <f t="shared" si="19"/>
        <v>2PESCICULINI</v>
      </c>
      <c r="AC517" t="str">
        <f>_xlfn.CONCAT(Tabella1[[#This Row],[Ruolo]],Tabella1[[#This Row],[Gs]])</f>
        <v>D0</v>
      </c>
    </row>
    <row r="518" spans="1:29" hidden="1" x14ac:dyDescent="0.3">
      <c r="A518" s="14">
        <v>46261</v>
      </c>
      <c r="B518" s="15">
        <v>2</v>
      </c>
      <c r="C518" s="321" t="s">
        <v>894</v>
      </c>
      <c r="D518" s="346" t="s">
        <v>161</v>
      </c>
      <c r="E518" s="346" t="s">
        <v>896</v>
      </c>
      <c r="F518" s="347">
        <v>6.5</v>
      </c>
      <c r="G518" s="348">
        <v>0</v>
      </c>
      <c r="H518" s="348">
        <v>0</v>
      </c>
      <c r="I518" s="348">
        <v>0</v>
      </c>
      <c r="J518" s="348">
        <v>0</v>
      </c>
      <c r="K518" s="348">
        <v>0</v>
      </c>
      <c r="L518" s="348">
        <v>0</v>
      </c>
      <c r="M518" s="348">
        <v>0</v>
      </c>
      <c r="N518" s="348">
        <v>0</v>
      </c>
      <c r="O518" s="348">
        <v>0</v>
      </c>
      <c r="P518" s="284"/>
      <c r="Q518" s="284">
        <f t="shared" si="18"/>
        <v>0</v>
      </c>
      <c r="R518" s="3" t="str">
        <f>_xlfn.IFNA(VLOOKUP(Tabella1[[#This Row],[Nome]],'ROSE SQUADRE'!$N$3:$O$253,2,0),"")</f>
        <v>PARTIZAN DEGRADO</v>
      </c>
      <c r="S518" s="193">
        <f>SUM(Tabella1[[#This Row],[Gf]],Tabella1[[#This Row],[Rf]])</f>
        <v>0</v>
      </c>
      <c r="T518" s="193"/>
      <c r="U518" s="285" t="str">
        <f>IF(Tabella1[[#This Row],[N° FantaTit]]="","",Tabella1[[#This Row],[fanta voto]])</f>
        <v/>
      </c>
      <c r="V518" s="193">
        <f>SUM(Tabella1[[#This Row],[Voto]],(G518*3),Q518,P518,O518,-(N518),(-M518/2),(-L518*2),(-H518),(I518*3),(-J518*3),(K518*3))</f>
        <v>6.5</v>
      </c>
      <c r="W518" s="193"/>
      <c r="X518" s="193" t="str">
        <f>IF(Tabella1[[#This Row],[Best 11]]=1,Tabella1[[#This Row],[fanta voto]],"")</f>
        <v/>
      </c>
      <c r="Z518" s="193" t="str">
        <f>IF(Tabella1[[#This Row],[Best 11 MOD]]=1,Tabella1[[#This Row],[fanta voto]],"")</f>
        <v/>
      </c>
      <c r="AA518" t="str">
        <f>CONCATENATE(Tabella1[[#This Row],[GG]],Tabella1[[#This Row],[Nome]])</f>
        <v>2Hermoso</v>
      </c>
      <c r="AB518" t="str">
        <f t="shared" si="19"/>
        <v>2PARTIZAN DEGRADO</v>
      </c>
      <c r="AC518" t="str">
        <f>_xlfn.CONCAT(Tabella1[[#This Row],[Ruolo]],Tabella1[[#This Row],[Gs]])</f>
        <v>D0</v>
      </c>
    </row>
    <row r="519" spans="1:29" hidden="1" x14ac:dyDescent="0.3">
      <c r="A519" s="14">
        <v>46261</v>
      </c>
      <c r="B519" s="15">
        <v>2</v>
      </c>
      <c r="C519" s="321" t="s">
        <v>894</v>
      </c>
      <c r="D519" s="349" t="s">
        <v>161</v>
      </c>
      <c r="E519" s="349" t="s">
        <v>898</v>
      </c>
      <c r="F519" s="350">
        <v>6</v>
      </c>
      <c r="G519" s="351">
        <v>0</v>
      </c>
      <c r="H519" s="351">
        <v>0</v>
      </c>
      <c r="I519" s="351">
        <v>0</v>
      </c>
      <c r="J519" s="351">
        <v>0</v>
      </c>
      <c r="K519" s="351">
        <v>0</v>
      </c>
      <c r="L519" s="351">
        <v>0</v>
      </c>
      <c r="M519" s="351">
        <v>0</v>
      </c>
      <c r="N519" s="351">
        <v>0</v>
      </c>
      <c r="O519" s="351">
        <v>0</v>
      </c>
      <c r="P519" s="284"/>
      <c r="Q519" s="284">
        <f t="shared" si="18"/>
        <v>0</v>
      </c>
      <c r="R519" s="3" t="str">
        <f>_xlfn.IFNA(VLOOKUP(Tabella1[[#This Row],[Nome]],'ROSE SQUADRE'!$N$3:$O$253,2,0),"")</f>
        <v>TRICCHETRACHT</v>
      </c>
      <c r="S519" s="193">
        <f>SUM(Tabella1[[#This Row],[Gf]],Tabella1[[#This Row],[Rf]])</f>
        <v>0</v>
      </c>
      <c r="T519" s="193"/>
      <c r="U519" s="285" t="str">
        <f>IF(Tabella1[[#This Row],[N° FantaTit]]="","",Tabella1[[#This Row],[fanta voto]])</f>
        <v/>
      </c>
      <c r="V519" s="193">
        <f>SUM(Tabella1[[#This Row],[Voto]],(G519*3),Q519,P519,O519,-(N519),(-M519/2),(-L519*2),(-H519),(I519*3),(-J519*3),(K519*3))</f>
        <v>6</v>
      </c>
      <c r="W519" s="193"/>
      <c r="X519" s="193" t="str">
        <f>IF(Tabella1[[#This Row],[Best 11]]=1,Tabella1[[#This Row],[fanta voto]],"")</f>
        <v/>
      </c>
      <c r="Z519" s="193" t="str">
        <f>IF(Tabella1[[#This Row],[Best 11 MOD]]=1,Tabella1[[#This Row],[fanta voto]],"")</f>
        <v/>
      </c>
      <c r="AA519" t="str">
        <f>CONCATENATE(Tabella1[[#This Row],[GG]],Tabella1[[#This Row],[Nome]])</f>
        <v>2Molina N.</v>
      </c>
      <c r="AB519" t="str">
        <f t="shared" si="19"/>
        <v>2TRICCHETRACHT</v>
      </c>
      <c r="AC519" t="str">
        <f>_xlfn.CONCAT(Tabella1[[#This Row],[Ruolo]],Tabella1[[#This Row],[Gs]])</f>
        <v>D0</v>
      </c>
    </row>
    <row r="520" spans="1:29" hidden="1" x14ac:dyDescent="0.3">
      <c r="A520" s="14">
        <v>46261</v>
      </c>
      <c r="B520" s="15">
        <v>2</v>
      </c>
      <c r="C520" s="321" t="s">
        <v>894</v>
      </c>
      <c r="D520" s="346" t="s">
        <v>161</v>
      </c>
      <c r="E520" s="346" t="s">
        <v>895</v>
      </c>
      <c r="F520" s="347">
        <v>7</v>
      </c>
      <c r="G520" s="348">
        <v>0</v>
      </c>
      <c r="H520" s="348">
        <v>0</v>
      </c>
      <c r="I520" s="348">
        <v>0</v>
      </c>
      <c r="J520" s="348">
        <v>0</v>
      </c>
      <c r="K520" s="348">
        <v>0</v>
      </c>
      <c r="L520" s="348">
        <v>0</v>
      </c>
      <c r="M520" s="348">
        <v>0</v>
      </c>
      <c r="N520" s="348">
        <v>0</v>
      </c>
      <c r="O520" s="348">
        <v>0</v>
      </c>
      <c r="P520" s="284"/>
      <c r="Q520" s="284">
        <f t="shared" si="18"/>
        <v>0</v>
      </c>
      <c r="R520" s="3" t="str">
        <f>_xlfn.IFNA(VLOOKUP(Tabella1[[#This Row],[Nome]],'ROSE SQUADRE'!$N$3:$O$253,2,0),"")</f>
        <v/>
      </c>
      <c r="S520" s="193">
        <f>SUM(Tabella1[[#This Row],[Gf]],Tabella1[[#This Row],[Rf]])</f>
        <v>0</v>
      </c>
      <c r="T520" s="193"/>
      <c r="U520" s="285" t="str">
        <f>IF(Tabella1[[#This Row],[N° FantaTit]]="","",Tabella1[[#This Row],[fanta voto]])</f>
        <v/>
      </c>
      <c r="V520" s="193">
        <f>SUM(Tabella1[[#This Row],[Voto]],(G520*3),Q520,P520,O520,-(N520),(-M520/2),(-L520*2),(-H520),(I520*3),(-J520*3),(K520*3))</f>
        <v>7</v>
      </c>
      <c r="W520" s="193"/>
      <c r="X520" s="193" t="str">
        <f>IF(Tabella1[[#This Row],[Best 11]]=1,Tabella1[[#This Row],[fanta voto]],"")</f>
        <v/>
      </c>
      <c r="Z520" s="193" t="str">
        <f>IF(Tabella1[[#This Row],[Best 11 MOD]]=1,Tabella1[[#This Row],[fanta voto]],"")</f>
        <v/>
      </c>
      <c r="AA520" t="str">
        <f>CONCATENATE(Tabella1[[#This Row],[GG]],Tabella1[[#This Row],[Nome]])</f>
        <v>2Ghilardi</v>
      </c>
      <c r="AB520" t="str">
        <f t="shared" si="19"/>
        <v>2</v>
      </c>
      <c r="AC520" t="str">
        <f>_xlfn.CONCAT(Tabella1[[#This Row],[Ruolo]],Tabella1[[#This Row],[Gs]])</f>
        <v>D0</v>
      </c>
    </row>
    <row r="521" spans="1:29" hidden="1" x14ac:dyDescent="0.3">
      <c r="A521" s="14">
        <v>46261</v>
      </c>
      <c r="B521" s="15">
        <v>2</v>
      </c>
      <c r="C521" s="321" t="s">
        <v>894</v>
      </c>
      <c r="D521" s="349" t="s">
        <v>161</v>
      </c>
      <c r="E521" s="349" t="s">
        <v>900</v>
      </c>
      <c r="F521" s="350">
        <v>7</v>
      </c>
      <c r="G521" s="351">
        <v>0</v>
      </c>
      <c r="H521" s="351">
        <v>0</v>
      </c>
      <c r="I521" s="351">
        <v>0</v>
      </c>
      <c r="J521" s="351">
        <v>0</v>
      </c>
      <c r="K521" s="351">
        <v>0</v>
      </c>
      <c r="L521" s="351">
        <v>0</v>
      </c>
      <c r="M521" s="351">
        <v>0</v>
      </c>
      <c r="N521" s="351">
        <v>0</v>
      </c>
      <c r="O521" s="353">
        <v>1</v>
      </c>
      <c r="P521" s="284"/>
      <c r="Q521" s="284">
        <f t="shared" si="18"/>
        <v>0</v>
      </c>
      <c r="R521" s="3" t="str">
        <f>_xlfn.IFNA(VLOOKUP(Tabella1[[#This Row],[Nome]],'ROSE SQUADRE'!$N$3:$O$253,2,0),"")</f>
        <v>PESCICULINI</v>
      </c>
      <c r="S521" s="193">
        <f>SUM(Tabella1[[#This Row],[Gf]],Tabella1[[#This Row],[Rf]])</f>
        <v>0</v>
      </c>
      <c r="T521" s="193"/>
      <c r="U521" s="285" t="str">
        <f>IF(Tabella1[[#This Row],[N° FantaTit]]="","",Tabella1[[#This Row],[fanta voto]])</f>
        <v/>
      </c>
      <c r="V521" s="193">
        <f>SUM(Tabella1[[#This Row],[Voto]],(G521*3),Q521,P521,O521,-(N521),(-M521/2),(-L521*2),(-H521),(I521*3),(-J521*3),(K521*3))</f>
        <v>8</v>
      </c>
      <c r="W521" s="193"/>
      <c r="X521" s="193" t="str">
        <f>IF(Tabella1[[#This Row],[Best 11]]=1,Tabella1[[#This Row],[fanta voto]],"")</f>
        <v/>
      </c>
      <c r="Z521" s="193" t="str">
        <f>IF(Tabella1[[#This Row],[Best 11 MOD]]=1,Tabella1[[#This Row],[fanta voto]],"")</f>
        <v/>
      </c>
      <c r="AA521" t="str">
        <f>CONCATENATE(Tabella1[[#This Row],[GG]],Tabella1[[#This Row],[Nome]])</f>
        <v>2Wesley</v>
      </c>
      <c r="AB521" t="str">
        <f t="shared" si="19"/>
        <v>2PESCICULINI</v>
      </c>
      <c r="AC521" t="str">
        <f>_xlfn.CONCAT(Tabella1[[#This Row],[Ruolo]],Tabella1[[#This Row],[Gs]])</f>
        <v>D0</v>
      </c>
    </row>
    <row r="522" spans="1:29" hidden="1" x14ac:dyDescent="0.3">
      <c r="A522" s="14">
        <v>46261</v>
      </c>
      <c r="B522" s="15">
        <v>2</v>
      </c>
      <c r="C522" s="321" t="s">
        <v>894</v>
      </c>
      <c r="D522" s="346" t="s">
        <v>161</v>
      </c>
      <c r="E522" s="346" t="s">
        <v>994</v>
      </c>
      <c r="F522" s="347">
        <v>6.5</v>
      </c>
      <c r="G522" s="348">
        <v>0</v>
      </c>
      <c r="H522" s="348">
        <v>0</v>
      </c>
      <c r="I522" s="348">
        <v>0</v>
      </c>
      <c r="J522" s="348">
        <v>0</v>
      </c>
      <c r="K522" s="348">
        <v>0</v>
      </c>
      <c r="L522" s="348">
        <v>0</v>
      </c>
      <c r="M522" s="348">
        <v>0</v>
      </c>
      <c r="N522" s="348">
        <v>0</v>
      </c>
      <c r="O522" s="348">
        <v>0</v>
      </c>
      <c r="P522" s="284"/>
      <c r="Q522" s="284">
        <f t="shared" si="18"/>
        <v>0</v>
      </c>
      <c r="R522" s="3" t="str">
        <f>_xlfn.IFNA(VLOOKUP(Tabella1[[#This Row],[Nome]],'ROSE SQUADRE'!$N$3:$O$253,2,0),"")</f>
        <v>PARTIZAN DEGRADO</v>
      </c>
      <c r="S522" s="193">
        <f>SUM(Tabella1[[#This Row],[Gf]],Tabella1[[#This Row],[Rf]])</f>
        <v>0</v>
      </c>
      <c r="T522" s="193"/>
      <c r="U522" s="285" t="str">
        <f>IF(Tabella1[[#This Row],[N° FantaTit]]="","",Tabella1[[#This Row],[fanta voto]])</f>
        <v/>
      </c>
      <c r="V522" s="193">
        <f>SUM(Tabella1[[#This Row],[Voto]],(G522*3),Q522,P522,O522,-(N522),(-M522/2),(-L522*2),(-H522),(I522*3),(-J522*3),(K522*3))</f>
        <v>6.5</v>
      </c>
      <c r="W522" s="193"/>
      <c r="X522" s="193" t="str">
        <f>IF(Tabella1[[#This Row],[Best 11]]=1,Tabella1[[#This Row],[fanta voto]],"")</f>
        <v/>
      </c>
      <c r="Z522" s="193" t="str">
        <f>IF(Tabella1[[#This Row],[Best 11 MOD]]=1,Tabella1[[#This Row],[fanta voto]],"")</f>
        <v/>
      </c>
      <c r="AA522" t="str">
        <f>CONCATENATE(Tabella1[[#This Row],[GG]],Tabella1[[#This Row],[Nome]])</f>
        <v>2Lulli</v>
      </c>
      <c r="AB522" t="str">
        <f t="shared" si="19"/>
        <v>2PARTIZAN DEGRADO</v>
      </c>
      <c r="AC522" t="str">
        <f>_xlfn.CONCAT(Tabella1[[#This Row],[Ruolo]],Tabella1[[#This Row],[Gs]])</f>
        <v>D0</v>
      </c>
    </row>
    <row r="523" spans="1:29" hidden="1" x14ac:dyDescent="0.3">
      <c r="A523" s="14">
        <v>46261</v>
      </c>
      <c r="B523" s="15">
        <v>2</v>
      </c>
      <c r="C523" s="321" t="s">
        <v>894</v>
      </c>
      <c r="D523" s="346" t="s">
        <v>162</v>
      </c>
      <c r="E523" s="346" t="s">
        <v>281</v>
      </c>
      <c r="F523" s="347">
        <v>6.5</v>
      </c>
      <c r="G523" s="348">
        <v>0</v>
      </c>
      <c r="H523" s="348">
        <v>0</v>
      </c>
      <c r="I523" s="348">
        <v>0</v>
      </c>
      <c r="J523" s="348">
        <v>0</v>
      </c>
      <c r="K523" s="348">
        <v>0</v>
      </c>
      <c r="L523" s="348">
        <v>0</v>
      </c>
      <c r="M523" s="348">
        <v>0</v>
      </c>
      <c r="N523" s="348">
        <v>0</v>
      </c>
      <c r="O523" s="348">
        <v>0</v>
      </c>
      <c r="P523" s="284"/>
      <c r="Q523" s="284">
        <f t="shared" si="18"/>
        <v>0</v>
      </c>
      <c r="R523" s="3" t="str">
        <f>_xlfn.IFNA(VLOOKUP(Tabella1[[#This Row],[Nome]],'ROSE SQUADRE'!$N$3:$O$253,2,0),"")</f>
        <v>SAN GRIA</v>
      </c>
      <c r="S523" s="193">
        <f>SUM(Tabella1[[#This Row],[Gf]],Tabella1[[#This Row],[Rf]])</f>
        <v>0</v>
      </c>
      <c r="T523" s="193"/>
      <c r="U523" s="285" t="str">
        <f>IF(Tabella1[[#This Row],[N° FantaTit]]="","",Tabella1[[#This Row],[fanta voto]])</f>
        <v/>
      </c>
      <c r="V523" s="193">
        <f>SUM(Tabella1[[#This Row],[Voto]],(G523*3),Q523,P523,O523,-(N523),(-M523/2),(-L523*2),(-H523),(I523*3),(-J523*3),(K523*3))</f>
        <v>6.5</v>
      </c>
      <c r="W523" s="193"/>
      <c r="X523" s="193" t="str">
        <f>IF(Tabella1[[#This Row],[Best 11]]=1,Tabella1[[#This Row],[fanta voto]],"")</f>
        <v/>
      </c>
      <c r="Z523" s="193" t="str">
        <f>IF(Tabella1[[#This Row],[Best 11 MOD]]=1,Tabella1[[#This Row],[fanta voto]],"")</f>
        <v/>
      </c>
      <c r="AA523" t="str">
        <f>CONCATENATE(Tabella1[[#This Row],[GG]],Tabella1[[#This Row],[Nome]])</f>
        <v>2Cristante</v>
      </c>
      <c r="AB523" t="str">
        <f t="shared" si="19"/>
        <v>2SAN GRIA</v>
      </c>
      <c r="AC523" t="str">
        <f>_xlfn.CONCAT(Tabella1[[#This Row],[Ruolo]],Tabella1[[#This Row],[Gs]])</f>
        <v>C0</v>
      </c>
    </row>
    <row r="524" spans="1:29" hidden="1" x14ac:dyDescent="0.3">
      <c r="A524" s="14">
        <v>46261</v>
      </c>
      <c r="B524" s="15">
        <v>2</v>
      </c>
      <c r="C524" s="321" t="s">
        <v>894</v>
      </c>
      <c r="D524" s="349" t="s">
        <v>162</v>
      </c>
      <c r="E524" s="349" t="s">
        <v>903</v>
      </c>
      <c r="F524" s="350">
        <v>7</v>
      </c>
      <c r="G524" s="351">
        <v>0</v>
      </c>
      <c r="H524" s="351">
        <v>0</v>
      </c>
      <c r="I524" s="351">
        <v>0</v>
      </c>
      <c r="J524" s="351">
        <v>0</v>
      </c>
      <c r="K524" s="351">
        <v>0</v>
      </c>
      <c r="L524" s="351">
        <v>0</v>
      </c>
      <c r="M524" s="351">
        <v>0</v>
      </c>
      <c r="N524" s="351">
        <v>0</v>
      </c>
      <c r="O524" s="351">
        <v>0</v>
      </c>
      <c r="P524" s="284"/>
      <c r="Q524" s="284">
        <f t="shared" si="18"/>
        <v>0</v>
      </c>
      <c r="R524" s="3" t="str">
        <f>_xlfn.IFNA(VLOOKUP(Tabella1[[#This Row],[Nome]],'ROSE SQUADRE'!$N$3:$O$253,2,0),"")</f>
        <v>AC ASPARAGHESE</v>
      </c>
      <c r="S524" s="193">
        <f>SUM(Tabella1[[#This Row],[Gf]],Tabella1[[#This Row],[Rf]])</f>
        <v>0</v>
      </c>
      <c r="T524" s="193"/>
      <c r="U524" s="285" t="str">
        <f>IF(Tabella1[[#This Row],[N° FantaTit]]="","",Tabella1[[#This Row],[fanta voto]])</f>
        <v/>
      </c>
      <c r="V524" s="193">
        <f>SUM(Tabella1[[#This Row],[Voto]],(G524*3),Q524,P524,O524,-(N524),(-M524/2),(-L524*2),(-H524),(I524*3),(-J524*3),(K524*3))</f>
        <v>7</v>
      </c>
      <c r="W524" s="193"/>
      <c r="X524" s="193" t="str">
        <f>IF(Tabella1[[#This Row],[Best 11]]=1,Tabella1[[#This Row],[fanta voto]],"")</f>
        <v/>
      </c>
      <c r="Z524" s="193" t="str">
        <f>IF(Tabella1[[#This Row],[Best 11 MOD]]=1,Tabella1[[#This Row],[fanta voto]],"")</f>
        <v/>
      </c>
      <c r="AA524" t="str">
        <f>CONCATENATE(Tabella1[[#This Row],[GG]],Tabella1[[#This Row],[Nome]])</f>
        <v>2Konè M.</v>
      </c>
      <c r="AB524" t="str">
        <f t="shared" si="19"/>
        <v>2AC ASPARAGHESE</v>
      </c>
      <c r="AC524" t="str">
        <f>_xlfn.CONCAT(Tabella1[[#This Row],[Ruolo]],Tabella1[[#This Row],[Gs]])</f>
        <v>C0</v>
      </c>
    </row>
    <row r="525" spans="1:29" hidden="1" x14ac:dyDescent="0.3">
      <c r="A525" s="14">
        <v>46261</v>
      </c>
      <c r="B525" s="15">
        <v>2</v>
      </c>
      <c r="C525" s="321" t="s">
        <v>894</v>
      </c>
      <c r="D525" s="346" t="s">
        <v>162</v>
      </c>
      <c r="E525" s="346" t="s">
        <v>905</v>
      </c>
      <c r="F525" s="347">
        <v>6.5</v>
      </c>
      <c r="G525" s="348">
        <v>0</v>
      </c>
      <c r="H525" s="348">
        <v>0</v>
      </c>
      <c r="I525" s="348">
        <v>0</v>
      </c>
      <c r="J525" s="348">
        <v>0</v>
      </c>
      <c r="K525" s="348">
        <v>0</v>
      </c>
      <c r="L525" s="348">
        <v>0</v>
      </c>
      <c r="M525" s="348">
        <v>0</v>
      </c>
      <c r="N525" s="348">
        <v>0</v>
      </c>
      <c r="O525" s="348">
        <v>0</v>
      </c>
      <c r="P525" s="284"/>
      <c r="Q525" s="284">
        <f t="shared" si="18"/>
        <v>0</v>
      </c>
      <c r="R525" s="3" t="str">
        <f>_xlfn.IFNA(VLOOKUP(Tabella1[[#This Row],[Nome]],'ROSE SQUADRE'!$N$3:$O$253,2,0),"")</f>
        <v/>
      </c>
      <c r="S525" s="193">
        <f>SUM(Tabella1[[#This Row],[Gf]],Tabella1[[#This Row],[Rf]])</f>
        <v>0</v>
      </c>
      <c r="T525" s="193"/>
      <c r="U525" s="285" t="str">
        <f>IF(Tabella1[[#This Row],[N° FantaTit]]="","",Tabella1[[#This Row],[fanta voto]])</f>
        <v/>
      </c>
      <c r="V525" s="193">
        <f>SUM(Tabella1[[#This Row],[Voto]],(G525*3),Q525,P525,O525,-(N525),(-M525/2),(-L525*2),(-H525),(I525*3),(-J525*3),(K525*3))</f>
        <v>6.5</v>
      </c>
      <c r="W525" s="193"/>
      <c r="X525" s="193" t="str">
        <f>IF(Tabella1[[#This Row],[Best 11]]=1,Tabella1[[#This Row],[fanta voto]],"")</f>
        <v/>
      </c>
      <c r="Z525" s="193" t="str">
        <f>IF(Tabella1[[#This Row],[Best 11 MOD]]=1,Tabella1[[#This Row],[fanta voto]],"")</f>
        <v/>
      </c>
      <c r="AA525" t="str">
        <f>CONCATENATE(Tabella1[[#This Row],[GG]],Tabella1[[#This Row],[Nome]])</f>
        <v>2Pisilli</v>
      </c>
      <c r="AB525" t="str">
        <f t="shared" si="19"/>
        <v>2</v>
      </c>
      <c r="AC525" t="str">
        <f>_xlfn.CONCAT(Tabella1[[#This Row],[Ruolo]],Tabella1[[#This Row],[Gs]])</f>
        <v>C0</v>
      </c>
    </row>
    <row r="526" spans="1:29" hidden="1" x14ac:dyDescent="0.3">
      <c r="A526" s="14">
        <v>46261</v>
      </c>
      <c r="B526" s="15">
        <v>2</v>
      </c>
      <c r="C526" s="321" t="s">
        <v>894</v>
      </c>
      <c r="D526" s="349" t="s">
        <v>162</v>
      </c>
      <c r="E526" s="349" t="s">
        <v>904</v>
      </c>
      <c r="F526" s="350">
        <v>7</v>
      </c>
      <c r="G526" s="353">
        <v>1</v>
      </c>
      <c r="H526" s="351">
        <v>0</v>
      </c>
      <c r="I526" s="351">
        <v>0</v>
      </c>
      <c r="J526" s="351">
        <v>0</v>
      </c>
      <c r="K526" s="351">
        <v>0</v>
      </c>
      <c r="L526" s="351">
        <v>0</v>
      </c>
      <c r="M526" s="351">
        <v>0</v>
      </c>
      <c r="N526" s="351">
        <v>0</v>
      </c>
      <c r="O526" s="351">
        <v>0</v>
      </c>
      <c r="P526" s="284"/>
      <c r="Q526" s="284">
        <f t="shared" si="18"/>
        <v>0</v>
      </c>
      <c r="R526" s="3" t="str">
        <f>_xlfn.IFNA(VLOOKUP(Tabella1[[#This Row],[Nome]],'ROSE SQUADRE'!$N$3:$O$253,2,0),"")</f>
        <v>SESTO ASENSIO</v>
      </c>
      <c r="S526" s="193">
        <f>SUM(Tabella1[[#This Row],[Gf]],Tabella1[[#This Row],[Rf]])</f>
        <v>1</v>
      </c>
      <c r="T526" s="193"/>
      <c r="U526" s="285" t="str">
        <f>IF(Tabella1[[#This Row],[N° FantaTit]]="","",Tabella1[[#This Row],[fanta voto]])</f>
        <v/>
      </c>
      <c r="V526" s="193">
        <f>SUM(Tabella1[[#This Row],[Voto]],(G526*3),Q526,P526,O526,-(N526),(-M526/2),(-L526*2),(-H526),(I526*3),(-J526*3),(K526*3))</f>
        <v>10</v>
      </c>
      <c r="W526" s="193"/>
      <c r="X526" s="193" t="str">
        <f>IF(Tabella1[[#This Row],[Best 11]]=1,Tabella1[[#This Row],[fanta voto]],"")</f>
        <v/>
      </c>
      <c r="Z526" s="193" t="str">
        <f>IF(Tabella1[[#This Row],[Best 11 MOD]]=1,Tabella1[[#This Row],[fanta voto]],"")</f>
        <v/>
      </c>
      <c r="AA526" t="str">
        <f>CONCATENATE(Tabella1[[#This Row],[GG]],Tabella1[[#This Row],[Nome]])</f>
        <v>2Mora</v>
      </c>
      <c r="AB526" t="str">
        <f t="shared" si="19"/>
        <v>2SESTO ASENSIO</v>
      </c>
      <c r="AC526" t="str">
        <f>_xlfn.CONCAT(Tabella1[[#This Row],[Ruolo]],Tabella1[[#This Row],[Gs]])</f>
        <v>C0</v>
      </c>
    </row>
    <row r="527" spans="1:29" hidden="1" x14ac:dyDescent="0.3">
      <c r="A527" s="14">
        <v>46261</v>
      </c>
      <c r="B527" s="15">
        <v>2</v>
      </c>
      <c r="C527" s="321" t="s">
        <v>894</v>
      </c>
      <c r="D527" s="346" t="s">
        <v>163</v>
      </c>
      <c r="E527" s="346" t="s">
        <v>256</v>
      </c>
      <c r="F527" s="347">
        <v>7</v>
      </c>
      <c r="G527" s="348">
        <v>0</v>
      </c>
      <c r="H527" s="348">
        <v>0</v>
      </c>
      <c r="I527" s="348">
        <v>0</v>
      </c>
      <c r="J527" s="348">
        <v>0</v>
      </c>
      <c r="K527" s="348">
        <v>0</v>
      </c>
      <c r="L527" s="348">
        <v>0</v>
      </c>
      <c r="M527" s="348">
        <v>0</v>
      </c>
      <c r="N527" s="348">
        <v>0</v>
      </c>
      <c r="O527" s="348">
        <v>0</v>
      </c>
      <c r="P527" s="284"/>
      <c r="Q527" s="284">
        <f t="shared" si="18"/>
        <v>0</v>
      </c>
      <c r="R527" s="3" t="str">
        <f>_xlfn.IFNA(VLOOKUP(Tabella1[[#This Row],[Nome]],'ROSE SQUADRE'!$N$3:$O$253,2,0),"")</f>
        <v>FC INTERNAZIOANALE</v>
      </c>
      <c r="S527" s="193">
        <f>SUM(Tabella1[[#This Row],[Gf]],Tabella1[[#This Row],[Rf]])</f>
        <v>0</v>
      </c>
      <c r="T527" s="193"/>
      <c r="U527" s="285" t="str">
        <f>IF(Tabella1[[#This Row],[N° FantaTit]]="","",Tabella1[[#This Row],[fanta voto]])</f>
        <v/>
      </c>
      <c r="V527" s="193">
        <f>SUM(Tabella1[[#This Row],[Voto]],(G527*3),Q527,P527,O527,-(N527),(-M527/2),(-L527*2),(-H527),(I527*3),(-J527*3),(K527*3))</f>
        <v>7</v>
      </c>
      <c r="W527" s="193"/>
      <c r="X527" s="193" t="str">
        <f>IF(Tabella1[[#This Row],[Best 11]]=1,Tabella1[[#This Row],[fanta voto]],"")</f>
        <v/>
      </c>
      <c r="Z527" s="193" t="str">
        <f>IF(Tabella1[[#This Row],[Best 11 MOD]]=1,Tabella1[[#This Row],[fanta voto]],"")</f>
        <v/>
      </c>
      <c r="AA527" t="str">
        <f>CONCATENATE(Tabella1[[#This Row],[GG]],Tabella1[[#This Row],[Nome]])</f>
        <v>2Dybala</v>
      </c>
      <c r="AB527" t="str">
        <f t="shared" si="19"/>
        <v>2FC INTERNAZIOANALE</v>
      </c>
      <c r="AC527" t="str">
        <f>_xlfn.CONCAT(Tabella1[[#This Row],[Ruolo]],Tabella1[[#This Row],[Gs]])</f>
        <v>A0</v>
      </c>
    </row>
    <row r="528" spans="1:29" hidden="1" x14ac:dyDescent="0.3">
      <c r="A528" s="14">
        <v>46261</v>
      </c>
      <c r="B528" s="15">
        <v>2</v>
      </c>
      <c r="C528" s="321" t="s">
        <v>894</v>
      </c>
      <c r="D528" s="349" t="s">
        <v>163</v>
      </c>
      <c r="E528" s="349" t="s">
        <v>906</v>
      </c>
      <c r="F528" s="350">
        <v>8</v>
      </c>
      <c r="G528" s="353">
        <v>2</v>
      </c>
      <c r="H528" s="351">
        <v>0</v>
      </c>
      <c r="I528" s="351">
        <v>0</v>
      </c>
      <c r="J528" s="351">
        <v>0</v>
      </c>
      <c r="K528" s="351">
        <v>0</v>
      </c>
      <c r="L528" s="351">
        <v>0</v>
      </c>
      <c r="M528" s="353">
        <v>1</v>
      </c>
      <c r="N528" s="351">
        <v>0</v>
      </c>
      <c r="O528" s="351">
        <v>0</v>
      </c>
      <c r="P528" s="284">
        <v>1</v>
      </c>
      <c r="Q528" s="284">
        <f t="shared" si="18"/>
        <v>0</v>
      </c>
      <c r="R528" s="3" t="str">
        <f>_xlfn.IFNA(VLOOKUP(Tabella1[[#This Row],[Nome]],'ROSE SQUADRE'!$N$3:$O$253,2,0),"")</f>
        <v>AC ASPARAGHESE</v>
      </c>
      <c r="S528" s="193">
        <f>SUM(Tabella1[[#This Row],[Gf]],Tabella1[[#This Row],[Rf]])</f>
        <v>2</v>
      </c>
      <c r="T528" s="193"/>
      <c r="U528" s="285" t="str">
        <f>IF(Tabella1[[#This Row],[N° FantaTit]]="","",Tabella1[[#This Row],[fanta voto]])</f>
        <v/>
      </c>
      <c r="V528" s="193">
        <f>SUM(Tabella1[[#This Row],[Voto]],(G528*3),Q528,P528,O528,-(N528),(-M528/2),(-L528*2),(-H528),(I528*3),(-J528*3),(K528*3))</f>
        <v>14.5</v>
      </c>
      <c r="W528" s="193"/>
      <c r="X528" s="193" t="str">
        <f>IF(Tabella1[[#This Row],[Best 11]]=1,Tabella1[[#This Row],[fanta voto]],"")</f>
        <v/>
      </c>
      <c r="Z528" s="193" t="str">
        <f>IF(Tabella1[[#This Row],[Best 11 MOD]]=1,Tabella1[[#This Row],[fanta voto]],"")</f>
        <v/>
      </c>
      <c r="AA528" t="str">
        <f>CONCATENATE(Tabella1[[#This Row],[GG]],Tabella1[[#This Row],[Nome]])</f>
        <v>2Malen</v>
      </c>
      <c r="AB528" t="str">
        <f t="shared" si="19"/>
        <v>2AC ASPARAGHESE</v>
      </c>
      <c r="AC528" t="str">
        <f>_xlfn.CONCAT(Tabella1[[#This Row],[Ruolo]],Tabella1[[#This Row],[Gs]])</f>
        <v>A0</v>
      </c>
    </row>
    <row r="529" spans="1:29" hidden="1" x14ac:dyDescent="0.3">
      <c r="A529" s="14">
        <v>46261</v>
      </c>
      <c r="B529" s="15">
        <v>2</v>
      </c>
      <c r="C529" s="321" t="s">
        <v>894</v>
      </c>
      <c r="D529" s="346" t="s">
        <v>163</v>
      </c>
      <c r="E529" s="346" t="s">
        <v>907</v>
      </c>
      <c r="F529" s="347">
        <v>7</v>
      </c>
      <c r="G529" s="352">
        <v>1</v>
      </c>
      <c r="H529" s="348">
        <v>0</v>
      </c>
      <c r="I529" s="348">
        <v>0</v>
      </c>
      <c r="J529" s="348">
        <v>0</v>
      </c>
      <c r="K529" s="348">
        <v>0</v>
      </c>
      <c r="L529" s="348">
        <v>0</v>
      </c>
      <c r="M529" s="348">
        <v>0</v>
      </c>
      <c r="N529" s="348">
        <v>0</v>
      </c>
      <c r="O529" s="348">
        <v>0</v>
      </c>
      <c r="P529" s="284"/>
      <c r="Q529" s="284">
        <f t="shared" si="18"/>
        <v>0</v>
      </c>
      <c r="R529" s="3" t="str">
        <f>_xlfn.IFNA(VLOOKUP(Tabella1[[#This Row],[Nome]],'ROSE SQUADRE'!$N$3:$O$253,2,0),"")</f>
        <v>AC ASPARAGHESE</v>
      </c>
      <c r="S529" s="193">
        <f>SUM(Tabella1[[#This Row],[Gf]],Tabella1[[#This Row],[Rf]])</f>
        <v>1</v>
      </c>
      <c r="T529" s="193"/>
      <c r="U529" s="285" t="str">
        <f>IF(Tabella1[[#This Row],[N° FantaTit]]="","",Tabella1[[#This Row],[fanta voto]])</f>
        <v/>
      </c>
      <c r="V529" s="193">
        <f>SUM(Tabella1[[#This Row],[Voto]],(G529*3),Q529,P529,O529,-(N529),(-M529/2),(-L529*2),(-H529),(I529*3),(-J529*3),(K529*3))</f>
        <v>10</v>
      </c>
      <c r="W529" s="193"/>
      <c r="X529" s="193" t="str">
        <f>IF(Tabella1[[#This Row],[Best 11]]=1,Tabella1[[#This Row],[fanta voto]],"")</f>
        <v/>
      </c>
      <c r="Z529" s="193" t="str">
        <f>IF(Tabella1[[#This Row],[Best 11 MOD]]=1,Tabella1[[#This Row],[fanta voto]],"")</f>
        <v/>
      </c>
      <c r="AA529" t="str">
        <f>CONCATENATE(Tabella1[[#This Row],[GG]],Tabella1[[#This Row],[Nome]])</f>
        <v>2Soulè</v>
      </c>
      <c r="AB529" t="str">
        <f t="shared" si="19"/>
        <v>2AC ASPARAGHESE</v>
      </c>
      <c r="AC529" t="str">
        <f>_xlfn.CONCAT(Tabella1[[#This Row],[Ruolo]],Tabella1[[#This Row],[Gs]])</f>
        <v>A0</v>
      </c>
    </row>
    <row r="530" spans="1:29" hidden="1" x14ac:dyDescent="0.3">
      <c r="A530" s="14">
        <v>46261</v>
      </c>
      <c r="B530" s="15">
        <v>2</v>
      </c>
      <c r="C530" s="321" t="s">
        <v>894</v>
      </c>
      <c r="D530" s="349" t="s">
        <v>163</v>
      </c>
      <c r="E530" s="349" t="s">
        <v>509</v>
      </c>
      <c r="F530" s="350">
        <v>6</v>
      </c>
      <c r="G530" s="351">
        <v>0</v>
      </c>
      <c r="H530" s="351">
        <v>0</v>
      </c>
      <c r="I530" s="351">
        <v>0</v>
      </c>
      <c r="J530" s="351">
        <v>0</v>
      </c>
      <c r="K530" s="351">
        <v>0</v>
      </c>
      <c r="L530" s="351">
        <v>0</v>
      </c>
      <c r="M530" s="351">
        <v>0</v>
      </c>
      <c r="N530" s="351">
        <v>0</v>
      </c>
      <c r="O530" s="351">
        <v>0</v>
      </c>
      <c r="P530" s="284"/>
      <c r="Q530" s="284">
        <f t="shared" si="18"/>
        <v>0</v>
      </c>
      <c r="R530" s="3" t="str">
        <f>_xlfn.IFNA(VLOOKUP(Tabella1[[#This Row],[Nome]],'ROSE SQUADRE'!$N$3:$O$253,2,0),"")</f>
        <v>SESTO ASENSIO</v>
      </c>
      <c r="S530" s="193">
        <f>SUM(Tabella1[[#This Row],[Gf]],Tabella1[[#This Row],[Rf]])</f>
        <v>0</v>
      </c>
      <c r="T530" s="193"/>
      <c r="U530" s="285" t="str">
        <f>IF(Tabella1[[#This Row],[N° FantaTit]]="","",Tabella1[[#This Row],[fanta voto]])</f>
        <v/>
      </c>
      <c r="V530" s="193">
        <f>SUM(Tabella1[[#This Row],[Voto]],(G530*3),Q530,P530,O530,-(N530),(-M530/2),(-L530*2),(-H530),(I530*3),(-J530*3),(K530*3))</f>
        <v>6</v>
      </c>
      <c r="W530" s="193"/>
      <c r="X530" s="193" t="str">
        <f>IF(Tabella1[[#This Row],[Best 11]]=1,Tabella1[[#This Row],[fanta voto]],"")</f>
        <v/>
      </c>
      <c r="Z530" s="193" t="str">
        <f>IF(Tabella1[[#This Row],[Best 11 MOD]]=1,Tabella1[[#This Row],[fanta voto]],"")</f>
        <v/>
      </c>
      <c r="AA530" t="str">
        <f>CONCATENATE(Tabella1[[#This Row],[GG]],Tabella1[[#This Row],[Nome]])</f>
        <v>2Castro S.</v>
      </c>
      <c r="AB530" t="str">
        <f t="shared" si="19"/>
        <v>2SESTO ASENSIO</v>
      </c>
      <c r="AC530" t="str">
        <f>_xlfn.CONCAT(Tabella1[[#This Row],[Ruolo]],Tabella1[[#This Row],[Gs]])</f>
        <v>A0</v>
      </c>
    </row>
    <row r="531" spans="1:29" hidden="1" x14ac:dyDescent="0.3">
      <c r="A531" s="286">
        <v>46261</v>
      </c>
      <c r="B531" s="15">
        <v>2</v>
      </c>
      <c r="C531" s="283" t="s">
        <v>910</v>
      </c>
      <c r="D531" s="349" t="s">
        <v>5</v>
      </c>
      <c r="E531" s="349" t="s">
        <v>909</v>
      </c>
      <c r="F531" s="350">
        <v>6.5</v>
      </c>
      <c r="G531" s="351">
        <v>0</v>
      </c>
      <c r="H531" s="353">
        <v>1</v>
      </c>
      <c r="I531" s="351">
        <v>0</v>
      </c>
      <c r="J531" s="351">
        <v>0</v>
      </c>
      <c r="K531" s="351">
        <v>0</v>
      </c>
      <c r="L531" s="351">
        <v>0</v>
      </c>
      <c r="M531" s="351">
        <v>0</v>
      </c>
      <c r="N531" s="351">
        <v>0</v>
      </c>
      <c r="O531" s="351">
        <v>0</v>
      </c>
      <c r="P531" s="284"/>
      <c r="Q531" s="284">
        <f t="shared" ref="Q531:Q560" si="20">IF(AC531="P0",1,0)</f>
        <v>0</v>
      </c>
      <c r="R531" s="3" t="str">
        <f>_xlfn.IFNA(VLOOKUP(Tabella1[[#This Row],[Nome]],'ROSE SQUADRE'!$N$3:$O$253,2,0),"")</f>
        <v>AC ASPARAGHESE</v>
      </c>
      <c r="S531" s="193">
        <f>SUM(Tabella1[[#This Row],[Gf]],Tabella1[[#This Row],[Rf]])</f>
        <v>0</v>
      </c>
      <c r="T531" s="193"/>
      <c r="U531" s="285" t="str">
        <f>IF(Tabella1[[#This Row],[N° FantaTit]]="","",Tabella1[[#This Row],[fanta voto]])</f>
        <v/>
      </c>
      <c r="V531" s="195">
        <f>SUM(Tabella1[[#This Row],[Voto]],(G531*3),Q531,P531,O531,-(N531),(-M531/2),(-L531*2),(-H531),(I531*3),(-J531*3),(K531*3))</f>
        <v>5.5</v>
      </c>
      <c r="W531" s="193"/>
      <c r="X531" s="193" t="str">
        <f>IF(Tabella1[[#This Row],[Best 11]]=1,Tabella1[[#This Row],[fanta voto]],"")</f>
        <v/>
      </c>
      <c r="Z531" s="193" t="str">
        <f>IF(Tabella1[[#This Row],[Best 11 MOD]]=1,Tabella1[[#This Row],[fanta voto]],"")</f>
        <v/>
      </c>
      <c r="AA531" t="str">
        <f>CONCATENATE(Tabella1[[#This Row],[GG]],Tabella1[[#This Row],[Nome]])</f>
        <v>2Muric</v>
      </c>
      <c r="AB531" t="str">
        <f t="shared" ref="AB531:AB560" si="21">CONCATENATE(B531,R531,T531)</f>
        <v>2AC ASPARAGHESE</v>
      </c>
      <c r="AC531" t="str">
        <f>_xlfn.CONCAT(Tabella1[[#This Row],[Ruolo]],Tabella1[[#This Row],[Gs]])</f>
        <v>P1</v>
      </c>
    </row>
    <row r="532" spans="1:29" hidden="1" x14ac:dyDescent="0.3">
      <c r="A532" s="14">
        <v>46261</v>
      </c>
      <c r="B532" s="15">
        <v>2</v>
      </c>
      <c r="C532" s="321" t="s">
        <v>910</v>
      </c>
      <c r="D532" s="346" t="s">
        <v>161</v>
      </c>
      <c r="E532" s="346" t="s">
        <v>915</v>
      </c>
      <c r="F532" s="347">
        <v>6</v>
      </c>
      <c r="G532" s="348">
        <v>0</v>
      </c>
      <c r="H532" s="348">
        <v>0</v>
      </c>
      <c r="I532" s="348">
        <v>0</v>
      </c>
      <c r="J532" s="348">
        <v>0</v>
      </c>
      <c r="K532" s="348">
        <v>0</v>
      </c>
      <c r="L532" s="348">
        <v>0</v>
      </c>
      <c r="M532" s="348">
        <v>0</v>
      </c>
      <c r="N532" s="348">
        <v>0</v>
      </c>
      <c r="O532" s="348">
        <v>0</v>
      </c>
      <c r="P532" s="284"/>
      <c r="Q532" s="284">
        <f t="shared" si="20"/>
        <v>0</v>
      </c>
      <c r="R532" s="3" t="str">
        <f>_xlfn.IFNA(VLOOKUP(Tabella1[[#This Row],[Nome]],'ROSE SQUADRE'!$N$3:$O$253,2,0),"")</f>
        <v/>
      </c>
      <c r="S532" s="193">
        <f>SUM(Tabella1[[#This Row],[Gf]],Tabella1[[#This Row],[Rf]])</f>
        <v>0</v>
      </c>
      <c r="T532" s="193"/>
      <c r="U532" s="285" t="str">
        <f>IF(Tabella1[[#This Row],[N° FantaTit]]="","",Tabella1[[#This Row],[fanta voto]])</f>
        <v/>
      </c>
      <c r="V532" s="193">
        <f>SUM(Tabella1[[#This Row],[Voto]],(G532*3),Q532,P532,O532,-(N532),(-M532/2),(-L532*2),(-H532),(I532*3),(-J532*3),(K532*3))</f>
        <v>6</v>
      </c>
      <c r="W532" s="193"/>
      <c r="X532" s="193" t="str">
        <f>IF(Tabella1[[#This Row],[Best 11]]=1,Tabella1[[#This Row],[fanta voto]],"")</f>
        <v/>
      </c>
      <c r="Z532" s="193" t="str">
        <f>IF(Tabella1[[#This Row],[Best 11 MOD]]=1,Tabella1[[#This Row],[fanta voto]],"")</f>
        <v/>
      </c>
      <c r="AA532" t="str">
        <f>CONCATENATE(Tabella1[[#This Row],[GG]],Tabella1[[#This Row],[Nome]])</f>
        <v>2Doig</v>
      </c>
      <c r="AB532" t="str">
        <f t="shared" si="21"/>
        <v>2</v>
      </c>
      <c r="AC532" t="str">
        <f>_xlfn.CONCAT(Tabella1[[#This Row],[Ruolo]],Tabella1[[#This Row],[Gs]])</f>
        <v>D0</v>
      </c>
    </row>
    <row r="533" spans="1:29" hidden="1" x14ac:dyDescent="0.3">
      <c r="A533" s="14">
        <v>46261</v>
      </c>
      <c r="B533" s="15">
        <v>2</v>
      </c>
      <c r="C533" s="321" t="s">
        <v>910</v>
      </c>
      <c r="D533" s="349" t="s">
        <v>161</v>
      </c>
      <c r="E533" s="349" t="s">
        <v>622</v>
      </c>
      <c r="F533" s="350">
        <v>6</v>
      </c>
      <c r="G533" s="351">
        <v>0</v>
      </c>
      <c r="H533" s="351">
        <v>0</v>
      </c>
      <c r="I533" s="351">
        <v>0</v>
      </c>
      <c r="J533" s="351">
        <v>0</v>
      </c>
      <c r="K533" s="351">
        <v>0</v>
      </c>
      <c r="L533" s="351">
        <v>0</v>
      </c>
      <c r="M533" s="351">
        <v>0</v>
      </c>
      <c r="N533" s="351">
        <v>0</v>
      </c>
      <c r="O533" s="351">
        <v>0</v>
      </c>
      <c r="P533" s="284"/>
      <c r="Q533" s="284">
        <f t="shared" si="20"/>
        <v>0</v>
      </c>
      <c r="R533" s="3" t="str">
        <f>_xlfn.IFNA(VLOOKUP(Tabella1[[#This Row],[Nome]],'ROSE SQUADRE'!$N$3:$O$253,2,0),"")</f>
        <v/>
      </c>
      <c r="S533" s="193">
        <f>SUM(Tabella1[[#This Row],[Gf]],Tabella1[[#This Row],[Rf]])</f>
        <v>0</v>
      </c>
      <c r="T533" s="193"/>
      <c r="U533" s="285" t="str">
        <f>IF(Tabella1[[#This Row],[N° FantaTit]]="","",Tabella1[[#This Row],[fanta voto]])</f>
        <v/>
      </c>
      <c r="V533" s="193">
        <f>SUM(Tabella1[[#This Row],[Voto]],(G533*3),Q533,P533,O533,-(N533),(-M533/2),(-L533*2),(-H533),(I533*3),(-J533*3),(K533*3))</f>
        <v>6</v>
      </c>
      <c r="W533" s="193"/>
      <c r="X533" s="193" t="str">
        <f>IF(Tabella1[[#This Row],[Best 11]]=1,Tabella1[[#This Row],[fanta voto]],"")</f>
        <v/>
      </c>
      <c r="Z533" s="193" t="str">
        <f>IF(Tabella1[[#This Row],[Best 11 MOD]]=1,Tabella1[[#This Row],[fanta voto]],"")</f>
        <v/>
      </c>
      <c r="AA533" t="str">
        <f>CONCATENATE(Tabella1[[#This Row],[GG]],Tabella1[[#This Row],[Nome]])</f>
        <v>2Idzes</v>
      </c>
      <c r="AB533" t="str">
        <f t="shared" si="21"/>
        <v>2</v>
      </c>
      <c r="AC533" t="str">
        <f>_xlfn.CONCAT(Tabella1[[#This Row],[Ruolo]],Tabella1[[#This Row],[Gs]])</f>
        <v>D0</v>
      </c>
    </row>
    <row r="534" spans="1:29" hidden="1" x14ac:dyDescent="0.3">
      <c r="A534" s="14">
        <v>46261</v>
      </c>
      <c r="B534" s="15">
        <v>2</v>
      </c>
      <c r="C534" s="321" t="s">
        <v>910</v>
      </c>
      <c r="D534" s="346" t="s">
        <v>161</v>
      </c>
      <c r="E534" s="346" t="s">
        <v>917</v>
      </c>
      <c r="F534" s="347">
        <v>6</v>
      </c>
      <c r="G534" s="348">
        <v>0</v>
      </c>
      <c r="H534" s="348">
        <v>0</v>
      </c>
      <c r="I534" s="348">
        <v>0</v>
      </c>
      <c r="J534" s="348">
        <v>0</v>
      </c>
      <c r="K534" s="348">
        <v>0</v>
      </c>
      <c r="L534" s="348">
        <v>0</v>
      </c>
      <c r="M534" s="348">
        <v>0</v>
      </c>
      <c r="N534" s="348">
        <v>0</v>
      </c>
      <c r="O534" s="348">
        <v>0</v>
      </c>
      <c r="P534" s="284"/>
      <c r="Q534" s="284">
        <f t="shared" si="20"/>
        <v>0</v>
      </c>
      <c r="R534" s="3" t="str">
        <f>_xlfn.IFNA(VLOOKUP(Tabella1[[#This Row],[Nome]],'ROSE SQUADRE'!$N$3:$O$253,2,0),"")</f>
        <v>ATL. IMPROVVISATO</v>
      </c>
      <c r="S534" s="193">
        <f>SUM(Tabella1[[#This Row],[Gf]],Tabella1[[#This Row],[Rf]])</f>
        <v>0</v>
      </c>
      <c r="T534" s="193"/>
      <c r="U534" s="285" t="str">
        <f>IF(Tabella1[[#This Row],[N° FantaTit]]="","",Tabella1[[#This Row],[fanta voto]])</f>
        <v/>
      </c>
      <c r="V534" s="193">
        <f>SUM(Tabella1[[#This Row],[Voto]],(G534*3),Q534,P534,O534,-(N534),(-M534/2),(-L534*2),(-H534),(I534*3),(-J534*3),(K534*3))</f>
        <v>6</v>
      </c>
      <c r="W534" s="193"/>
      <c r="X534" s="193" t="str">
        <f>IF(Tabella1[[#This Row],[Best 11]]=1,Tabella1[[#This Row],[fanta voto]],"")</f>
        <v/>
      </c>
      <c r="Z534" s="193" t="str">
        <f>IF(Tabella1[[#This Row],[Best 11 MOD]]=1,Tabella1[[#This Row],[fanta voto]],"")</f>
        <v/>
      </c>
      <c r="AA534" t="str">
        <f>CONCATENATE(Tabella1[[#This Row],[GG]],Tabella1[[#This Row],[Nome]])</f>
        <v>2Obrador</v>
      </c>
      <c r="AB534" t="str">
        <f t="shared" si="21"/>
        <v>2ATL. IMPROVVISATO</v>
      </c>
      <c r="AC534" t="str">
        <f>_xlfn.CONCAT(Tabella1[[#This Row],[Ruolo]],Tabella1[[#This Row],[Gs]])</f>
        <v>D0</v>
      </c>
    </row>
    <row r="535" spans="1:29" hidden="1" x14ac:dyDescent="0.3">
      <c r="A535" s="14">
        <v>46261</v>
      </c>
      <c r="B535" s="15">
        <v>2</v>
      </c>
      <c r="C535" s="321" t="s">
        <v>910</v>
      </c>
      <c r="D535" s="349" t="s">
        <v>161</v>
      </c>
      <c r="E535" s="349" t="s">
        <v>996</v>
      </c>
      <c r="F535" s="350">
        <v>6.5</v>
      </c>
      <c r="G535" s="351">
        <v>0</v>
      </c>
      <c r="H535" s="351">
        <v>0</v>
      </c>
      <c r="I535" s="351">
        <v>0</v>
      </c>
      <c r="J535" s="351">
        <v>0</v>
      </c>
      <c r="K535" s="351">
        <v>0</v>
      </c>
      <c r="L535" s="351">
        <v>0</v>
      </c>
      <c r="M535" s="351">
        <v>0</v>
      </c>
      <c r="N535" s="351">
        <v>0</v>
      </c>
      <c r="O535" s="353">
        <v>1</v>
      </c>
      <c r="P535" s="284"/>
      <c r="Q535" s="284">
        <f t="shared" si="20"/>
        <v>0</v>
      </c>
      <c r="R535" s="3" t="str">
        <f>_xlfn.IFNA(VLOOKUP(Tabella1[[#This Row],[Nome]],'ROSE SQUADRE'!$N$3:$O$253,2,0),"")</f>
        <v>SAN GRIA</v>
      </c>
      <c r="S535" s="193">
        <f>SUM(Tabella1[[#This Row],[Gf]],Tabella1[[#This Row],[Rf]])</f>
        <v>0</v>
      </c>
      <c r="T535" s="193"/>
      <c r="U535" s="285" t="str">
        <f>IF(Tabella1[[#This Row],[N° FantaTit]]="","",Tabella1[[#This Row],[fanta voto]])</f>
        <v/>
      </c>
      <c r="V535" s="193">
        <f>SUM(Tabella1[[#This Row],[Voto]],(G535*3),Q535,P535,O535,-(N535),(-M535/2),(-L535*2),(-H535),(I535*3),(-J535*3),(K535*3))</f>
        <v>7.5</v>
      </c>
      <c r="W535" s="193"/>
      <c r="X535" s="193" t="str">
        <f>IF(Tabella1[[#This Row],[Best 11]]=1,Tabella1[[#This Row],[fanta voto]],"")</f>
        <v/>
      </c>
      <c r="Z535" s="193" t="str">
        <f>IF(Tabella1[[#This Row],[Best 11 MOD]]=1,Tabella1[[#This Row],[fanta voto]],"")</f>
        <v/>
      </c>
      <c r="AA535" t="str">
        <f>CONCATENATE(Tabella1[[#This Row],[GG]],Tabella1[[#This Row],[Nome]])</f>
        <v>2Leysen F.</v>
      </c>
      <c r="AB535" t="str">
        <f t="shared" si="21"/>
        <v>2SAN GRIA</v>
      </c>
      <c r="AC535" t="str">
        <f>_xlfn.CONCAT(Tabella1[[#This Row],[Ruolo]],Tabella1[[#This Row],[Gs]])</f>
        <v>D0</v>
      </c>
    </row>
    <row r="536" spans="1:29" hidden="1" x14ac:dyDescent="0.3">
      <c r="A536" s="14">
        <v>46261</v>
      </c>
      <c r="B536" s="15">
        <v>2</v>
      </c>
      <c r="C536" s="321" t="s">
        <v>910</v>
      </c>
      <c r="D536" s="346" t="s">
        <v>161</v>
      </c>
      <c r="E536" s="346" t="s">
        <v>997</v>
      </c>
      <c r="F536" s="347">
        <v>6</v>
      </c>
      <c r="G536" s="348">
        <v>0</v>
      </c>
      <c r="H536" s="348">
        <v>0</v>
      </c>
      <c r="I536" s="348">
        <v>0</v>
      </c>
      <c r="J536" s="348">
        <v>0</v>
      </c>
      <c r="K536" s="348">
        <v>0</v>
      </c>
      <c r="L536" s="348">
        <v>0</v>
      </c>
      <c r="M536" s="348">
        <v>0</v>
      </c>
      <c r="N536" s="348">
        <v>0</v>
      </c>
      <c r="O536" s="348">
        <v>0</v>
      </c>
      <c r="P536" s="284"/>
      <c r="Q536" s="284">
        <f t="shared" si="20"/>
        <v>0</v>
      </c>
      <c r="R536" s="3" t="str">
        <f>_xlfn.IFNA(VLOOKUP(Tabella1[[#This Row],[Nome]],'ROSE SQUADRE'!$N$3:$O$253,2,0),"")</f>
        <v/>
      </c>
      <c r="S536" s="193">
        <f>SUM(Tabella1[[#This Row],[Gf]],Tabella1[[#This Row],[Rf]])</f>
        <v>0</v>
      </c>
      <c r="T536" s="193"/>
      <c r="U536" s="285" t="str">
        <f>IF(Tabella1[[#This Row],[N° FantaTit]]="","",Tabella1[[#This Row],[fanta voto]])</f>
        <v/>
      </c>
      <c r="V536" s="193">
        <f>SUM(Tabella1[[#This Row],[Voto]],(G536*3),Q536,P536,O536,-(N536),(-M536/2),(-L536*2),(-H536),(I536*3),(-J536*3),(K536*3))</f>
        <v>6</v>
      </c>
      <c r="W536" s="193"/>
      <c r="X536" s="193" t="str">
        <f>IF(Tabella1[[#This Row],[Best 11]]=1,Tabella1[[#This Row],[fanta voto]],"")</f>
        <v/>
      </c>
      <c r="Z536" s="193" t="str">
        <f>IF(Tabella1[[#This Row],[Best 11 MOD]]=1,Tabella1[[#This Row],[fanta voto]],"")</f>
        <v/>
      </c>
      <c r="AA536" t="str">
        <f>CONCATENATE(Tabella1[[#This Row],[GG]],Tabella1[[#This Row],[Nome]])</f>
        <v>2Cinquegrano</v>
      </c>
      <c r="AB536" t="str">
        <f t="shared" si="21"/>
        <v>2</v>
      </c>
      <c r="AC536" t="str">
        <f>_xlfn.CONCAT(Tabella1[[#This Row],[Ruolo]],Tabella1[[#This Row],[Gs]])</f>
        <v>D0</v>
      </c>
    </row>
    <row r="537" spans="1:29" hidden="1" x14ac:dyDescent="0.3">
      <c r="A537" s="14">
        <v>46261</v>
      </c>
      <c r="B537" s="15">
        <v>2</v>
      </c>
      <c r="C537" s="321" t="s">
        <v>910</v>
      </c>
      <c r="D537" s="349" t="s">
        <v>162</v>
      </c>
      <c r="E537" s="349" t="s">
        <v>927</v>
      </c>
      <c r="F537" s="350">
        <v>6</v>
      </c>
      <c r="G537" s="351">
        <v>0</v>
      </c>
      <c r="H537" s="351">
        <v>0</v>
      </c>
      <c r="I537" s="351">
        <v>0</v>
      </c>
      <c r="J537" s="351">
        <v>0</v>
      </c>
      <c r="K537" s="351">
        <v>0</v>
      </c>
      <c r="L537" s="351">
        <v>0</v>
      </c>
      <c r="M537" s="353">
        <v>1</v>
      </c>
      <c r="N537" s="351">
        <v>0</v>
      </c>
      <c r="O537" s="351">
        <v>0</v>
      </c>
      <c r="P537" s="284"/>
      <c r="Q537" s="284">
        <f t="shared" si="20"/>
        <v>0</v>
      </c>
      <c r="R537" s="3" t="str">
        <f>_xlfn.IFNA(VLOOKUP(Tabella1[[#This Row],[Nome]],'ROSE SQUADRE'!$N$3:$O$253,2,0),"")</f>
        <v/>
      </c>
      <c r="S537" s="193">
        <f>SUM(Tabella1[[#This Row],[Gf]],Tabella1[[#This Row],[Rf]])</f>
        <v>0</v>
      </c>
      <c r="T537" s="193"/>
      <c r="U537" s="285" t="str">
        <f>IF(Tabella1[[#This Row],[N° FantaTit]]="","",Tabella1[[#This Row],[fanta voto]])</f>
        <v/>
      </c>
      <c r="V537" s="193">
        <f>SUM(Tabella1[[#This Row],[Voto]],(G537*3),Q537,P537,O537,-(N537),(-M537/2),(-L537*2),(-H537),(I537*3),(-J537*3),(K537*3))</f>
        <v>5.5</v>
      </c>
      <c r="W537" s="193"/>
      <c r="X537" s="193" t="str">
        <f>IF(Tabella1[[#This Row],[Best 11]]=1,Tabella1[[#This Row],[fanta voto]],"")</f>
        <v/>
      </c>
      <c r="Z537" s="193" t="str">
        <f>IF(Tabella1[[#This Row],[Best 11 MOD]]=1,Tabella1[[#This Row],[fanta voto]],"")</f>
        <v/>
      </c>
      <c r="AA537" t="str">
        <f>CONCATENATE(Tabella1[[#This Row],[GG]],Tabella1[[#This Row],[Nome]])</f>
        <v>2Matic</v>
      </c>
      <c r="AB537" t="str">
        <f t="shared" si="21"/>
        <v>2</v>
      </c>
      <c r="AC537" t="str">
        <f>_xlfn.CONCAT(Tabella1[[#This Row],[Ruolo]],Tabella1[[#This Row],[Gs]])</f>
        <v>C0</v>
      </c>
    </row>
    <row r="538" spans="1:29" hidden="1" x14ac:dyDescent="0.3">
      <c r="A538" s="14">
        <v>46261</v>
      </c>
      <c r="B538" s="15">
        <v>2</v>
      </c>
      <c r="C538" s="321" t="s">
        <v>910</v>
      </c>
      <c r="D538" s="346" t="s">
        <v>162</v>
      </c>
      <c r="E538" s="346" t="s">
        <v>929</v>
      </c>
      <c r="F538" s="347">
        <v>7</v>
      </c>
      <c r="G538" s="352">
        <v>1</v>
      </c>
      <c r="H538" s="348">
        <v>0</v>
      </c>
      <c r="I538" s="348">
        <v>0</v>
      </c>
      <c r="J538" s="348">
        <v>0</v>
      </c>
      <c r="K538" s="348">
        <v>0</v>
      </c>
      <c r="L538" s="348">
        <v>0</v>
      </c>
      <c r="M538" s="352">
        <v>1</v>
      </c>
      <c r="N538" s="348">
        <v>0</v>
      </c>
      <c r="O538" s="348">
        <v>0</v>
      </c>
      <c r="P538" s="284"/>
      <c r="Q538" s="284">
        <f t="shared" si="20"/>
        <v>0</v>
      </c>
      <c r="R538" s="3" t="str">
        <f>_xlfn.IFNA(VLOOKUP(Tabella1[[#This Row],[Nome]],'ROSE SQUADRE'!$N$3:$O$253,2,0),"")</f>
        <v>TRICCHETRACHT</v>
      </c>
      <c r="S538" s="193">
        <f>SUM(Tabella1[[#This Row],[Gf]],Tabella1[[#This Row],[Rf]])</f>
        <v>1</v>
      </c>
      <c r="T538" s="193"/>
      <c r="U538" s="285" t="str">
        <f>IF(Tabella1[[#This Row],[N° FantaTit]]="","",Tabella1[[#This Row],[fanta voto]])</f>
        <v/>
      </c>
      <c r="V538" s="193">
        <f>SUM(Tabella1[[#This Row],[Voto]],(G538*3),Q538,P538,O538,-(N538),(-M538/2),(-L538*2),(-H538),(I538*3),(-J538*3),(K538*3))</f>
        <v>9.5</v>
      </c>
      <c r="W538" s="193"/>
      <c r="X538" s="193" t="str">
        <f>IF(Tabella1[[#This Row],[Best 11]]=1,Tabella1[[#This Row],[fanta voto]],"")</f>
        <v/>
      </c>
      <c r="Z538" s="193" t="str">
        <f>IF(Tabella1[[#This Row],[Best 11 MOD]]=1,Tabella1[[#This Row],[fanta voto]],"")</f>
        <v/>
      </c>
      <c r="AA538" t="str">
        <f>CONCATENATE(Tabella1[[#This Row],[GG]],Tabella1[[#This Row],[Nome]])</f>
        <v>2Volpato</v>
      </c>
      <c r="AB538" t="str">
        <f t="shared" si="21"/>
        <v>2TRICCHETRACHT</v>
      </c>
      <c r="AC538" t="str">
        <f>_xlfn.CONCAT(Tabella1[[#This Row],[Ruolo]],Tabella1[[#This Row],[Gs]])</f>
        <v>C0</v>
      </c>
    </row>
    <row r="539" spans="1:29" hidden="1" x14ac:dyDescent="0.3">
      <c r="A539" s="14">
        <v>46261</v>
      </c>
      <c r="B539" s="15">
        <v>2</v>
      </c>
      <c r="C539" s="321" t="s">
        <v>910</v>
      </c>
      <c r="D539" s="349" t="s">
        <v>162</v>
      </c>
      <c r="E539" s="349" t="s">
        <v>928</v>
      </c>
      <c r="F539" s="350">
        <v>6</v>
      </c>
      <c r="G539" s="351">
        <v>0</v>
      </c>
      <c r="H539" s="351">
        <v>0</v>
      </c>
      <c r="I539" s="351">
        <v>0</v>
      </c>
      <c r="J539" s="351">
        <v>0</v>
      </c>
      <c r="K539" s="351">
        <v>0</v>
      </c>
      <c r="L539" s="351">
        <v>0</v>
      </c>
      <c r="M539" s="351">
        <v>0</v>
      </c>
      <c r="N539" s="351">
        <v>0</v>
      </c>
      <c r="O539" s="351">
        <v>0</v>
      </c>
      <c r="P539" s="284"/>
      <c r="Q539" s="284">
        <f t="shared" si="20"/>
        <v>0</v>
      </c>
      <c r="R539" s="3" t="str">
        <f>_xlfn.IFNA(VLOOKUP(Tabella1[[#This Row],[Nome]],'ROSE SQUADRE'!$N$3:$O$253,2,0),"")</f>
        <v>FC INTERNAZIOANALE</v>
      </c>
      <c r="S539" s="193">
        <f>SUM(Tabella1[[#This Row],[Gf]],Tabella1[[#This Row],[Rf]])</f>
        <v>0</v>
      </c>
      <c r="T539" s="193"/>
      <c r="U539" s="285" t="str">
        <f>IF(Tabella1[[#This Row],[N° FantaTit]]="","",Tabella1[[#This Row],[fanta voto]])</f>
        <v/>
      </c>
      <c r="V539" s="193">
        <f>SUM(Tabella1[[#This Row],[Voto]],(G539*3),Q539,P539,O539,-(N539),(-M539/2),(-L539*2),(-H539),(I539*3),(-J539*3),(K539*3))</f>
        <v>6</v>
      </c>
      <c r="W539" s="193"/>
      <c r="X539" s="193" t="str">
        <f>IF(Tabella1[[#This Row],[Best 11]]=1,Tabella1[[#This Row],[fanta voto]],"")</f>
        <v/>
      </c>
      <c r="Z539" s="193" t="str">
        <f>IF(Tabella1[[#This Row],[Best 11 MOD]]=1,Tabella1[[#This Row],[fanta voto]],"")</f>
        <v/>
      </c>
      <c r="AA539" t="str">
        <f>CONCATENATE(Tabella1[[#This Row],[GG]],Tabella1[[#This Row],[Nome]])</f>
        <v>2Thorstvedt</v>
      </c>
      <c r="AB539" t="str">
        <f t="shared" si="21"/>
        <v>2FC INTERNAZIOANALE</v>
      </c>
      <c r="AC539" t="str">
        <f>_xlfn.CONCAT(Tabella1[[#This Row],[Ruolo]],Tabella1[[#This Row],[Gs]])</f>
        <v>C0</v>
      </c>
    </row>
    <row r="540" spans="1:29" hidden="1" x14ac:dyDescent="0.3">
      <c r="A540" s="14">
        <v>46261</v>
      </c>
      <c r="B540" s="15">
        <v>2</v>
      </c>
      <c r="C540" s="321" t="s">
        <v>910</v>
      </c>
      <c r="D540" s="349" t="s">
        <v>162</v>
      </c>
      <c r="E540" s="349" t="s">
        <v>920</v>
      </c>
      <c r="F540" s="350">
        <v>6.5</v>
      </c>
      <c r="G540" s="351">
        <v>0</v>
      </c>
      <c r="H540" s="351">
        <v>0</v>
      </c>
      <c r="I540" s="351">
        <v>0</v>
      </c>
      <c r="J540" s="351">
        <v>0</v>
      </c>
      <c r="K540" s="351">
        <v>0</v>
      </c>
      <c r="L540" s="351">
        <v>0</v>
      </c>
      <c r="M540" s="351">
        <v>0</v>
      </c>
      <c r="N540" s="351">
        <v>0</v>
      </c>
      <c r="O540" s="353">
        <v>1</v>
      </c>
      <c r="P540" s="284"/>
      <c r="Q540" s="284">
        <f t="shared" si="20"/>
        <v>0</v>
      </c>
      <c r="R540" s="3" t="str">
        <f>_xlfn.IFNA(VLOOKUP(Tabella1[[#This Row],[Nome]],'ROSE SQUADRE'!$N$3:$O$253,2,0),"")</f>
        <v/>
      </c>
      <c r="S540" s="193">
        <f>SUM(Tabella1[[#This Row],[Gf]],Tabella1[[#This Row],[Rf]])</f>
        <v>0</v>
      </c>
      <c r="T540" s="193"/>
      <c r="U540" s="285" t="str">
        <f>IF(Tabella1[[#This Row],[N° FantaTit]]="","",Tabella1[[#This Row],[fanta voto]])</f>
        <v/>
      </c>
      <c r="V540" s="193">
        <f>SUM(Tabella1[[#This Row],[Voto]],(G540*3),Q540,P540,O540,-(N540),(-M540/2),(-L540*2),(-H540),(I540*3),(-J540*3),(K540*3))</f>
        <v>7.5</v>
      </c>
      <c r="W540" s="193"/>
      <c r="X540" s="193" t="str">
        <f>IF(Tabella1[[#This Row],[Best 11]]=1,Tabella1[[#This Row],[fanta voto]],"")</f>
        <v/>
      </c>
      <c r="Z540" s="193" t="str">
        <f>IF(Tabella1[[#This Row],[Best 11 MOD]]=1,Tabella1[[#This Row],[fanta voto]],"")</f>
        <v/>
      </c>
      <c r="AA540" t="str">
        <f>CONCATENATE(Tabella1[[#This Row],[GG]],Tabella1[[#This Row],[Nome]])</f>
        <v>2Adzic</v>
      </c>
      <c r="AB540" t="str">
        <f t="shared" si="21"/>
        <v>2</v>
      </c>
      <c r="AC540" t="str">
        <f>_xlfn.CONCAT(Tabella1[[#This Row],[Ruolo]],Tabella1[[#This Row],[Gs]])</f>
        <v>C0</v>
      </c>
    </row>
    <row r="541" spans="1:29" hidden="1" x14ac:dyDescent="0.3">
      <c r="A541" s="14">
        <v>46261</v>
      </c>
      <c r="B541" s="15">
        <v>2</v>
      </c>
      <c r="C541" s="321" t="s">
        <v>910</v>
      </c>
      <c r="D541" s="346" t="s">
        <v>162</v>
      </c>
      <c r="E541" s="346" t="s">
        <v>923</v>
      </c>
      <c r="F541" s="347">
        <v>5.5</v>
      </c>
      <c r="G541" s="348">
        <v>0</v>
      </c>
      <c r="H541" s="348">
        <v>0</v>
      </c>
      <c r="I541" s="348">
        <v>0</v>
      </c>
      <c r="J541" s="348">
        <v>0</v>
      </c>
      <c r="K541" s="348">
        <v>0</v>
      </c>
      <c r="L541" s="348">
        <v>0</v>
      </c>
      <c r="M541" s="348">
        <v>0</v>
      </c>
      <c r="N541" s="348">
        <v>0</v>
      </c>
      <c r="O541" s="348">
        <v>0</v>
      </c>
      <c r="P541" s="284"/>
      <c r="Q541" s="284">
        <f t="shared" si="20"/>
        <v>0</v>
      </c>
      <c r="R541" s="3" t="str">
        <f>_xlfn.IFNA(VLOOKUP(Tabella1[[#This Row],[Nome]],'ROSE SQUADRE'!$N$3:$O$253,2,0),"")</f>
        <v/>
      </c>
      <c r="S541" s="193">
        <f>SUM(Tabella1[[#This Row],[Gf]],Tabella1[[#This Row],[Rf]])</f>
        <v>0</v>
      </c>
      <c r="T541" s="193"/>
      <c r="U541" s="285" t="str">
        <f>IF(Tabella1[[#This Row],[N° FantaTit]]="","",Tabella1[[#This Row],[fanta voto]])</f>
        <v/>
      </c>
      <c r="V541" s="193">
        <f>SUM(Tabella1[[#This Row],[Voto]],(G541*3),Q541,P541,O541,-(N541),(-M541/2),(-L541*2),(-H541),(I541*3),(-J541*3),(K541*3))</f>
        <v>5.5</v>
      </c>
      <c r="W541" s="193"/>
      <c r="X541" s="193" t="str">
        <f>IF(Tabella1[[#This Row],[Best 11]]=1,Tabella1[[#This Row],[fanta voto]],"")</f>
        <v/>
      </c>
      <c r="Z541" s="193" t="str">
        <f>IF(Tabella1[[#This Row],[Best 11 MOD]]=1,Tabella1[[#This Row],[fanta voto]],"")</f>
        <v/>
      </c>
      <c r="AA541" t="str">
        <f>CONCATENATE(Tabella1[[#This Row],[GG]],Tabella1[[#This Row],[Nome]])</f>
        <v>2Dominguez B.</v>
      </c>
      <c r="AB541" t="str">
        <f t="shared" si="21"/>
        <v>2</v>
      </c>
      <c r="AC541" t="str">
        <f>_xlfn.CONCAT(Tabella1[[#This Row],[Ruolo]],Tabella1[[#This Row],[Gs]])</f>
        <v>C0</v>
      </c>
    </row>
    <row r="542" spans="1:29" hidden="1" x14ac:dyDescent="0.3">
      <c r="A542" s="14">
        <v>46261</v>
      </c>
      <c r="B542" s="15">
        <v>2</v>
      </c>
      <c r="C542" s="321" t="s">
        <v>910</v>
      </c>
      <c r="D542" s="349" t="s">
        <v>162</v>
      </c>
      <c r="E542" s="349" t="s">
        <v>921</v>
      </c>
      <c r="F542" s="350">
        <v>6</v>
      </c>
      <c r="G542" s="351">
        <v>0</v>
      </c>
      <c r="H542" s="351">
        <v>0</v>
      </c>
      <c r="I542" s="351">
        <v>0</v>
      </c>
      <c r="J542" s="351">
        <v>0</v>
      </c>
      <c r="K542" s="351">
        <v>0</v>
      </c>
      <c r="L542" s="351">
        <v>0</v>
      </c>
      <c r="M542" s="351">
        <v>0</v>
      </c>
      <c r="N542" s="351">
        <v>0</v>
      </c>
      <c r="O542" s="351">
        <v>0</v>
      </c>
      <c r="P542" s="284"/>
      <c r="Q542" s="284">
        <f t="shared" si="20"/>
        <v>0</v>
      </c>
      <c r="R542" s="3" t="str">
        <f>_xlfn.IFNA(VLOOKUP(Tabella1[[#This Row],[Nome]],'ROSE SQUADRE'!$N$3:$O$253,2,0),"")</f>
        <v/>
      </c>
      <c r="S542" s="193">
        <f>SUM(Tabella1[[#This Row],[Gf]],Tabella1[[#This Row],[Rf]])</f>
        <v>0</v>
      </c>
      <c r="T542" s="193"/>
      <c r="U542" s="285" t="str">
        <f>IF(Tabella1[[#This Row],[N° FantaTit]]="","",Tabella1[[#This Row],[fanta voto]])</f>
        <v/>
      </c>
      <c r="V542" s="193">
        <f>SUM(Tabella1[[#This Row],[Voto]],(G542*3),Q542,P542,O542,-(N542),(-M542/2),(-L542*2),(-H542),(I542*3),(-J542*3),(K542*3))</f>
        <v>6</v>
      </c>
      <c r="W542" s="193"/>
      <c r="X542" s="193" t="str">
        <f>IF(Tabella1[[#This Row],[Best 11]]=1,Tabella1[[#This Row],[fanta voto]],"")</f>
        <v/>
      </c>
      <c r="Z542" s="193" t="str">
        <f>IF(Tabella1[[#This Row],[Best 11 MOD]]=1,Tabella1[[#This Row],[fanta voto]],"")</f>
        <v/>
      </c>
      <c r="AA542" t="str">
        <f>CONCATENATE(Tabella1[[#This Row],[GG]],Tabella1[[#This Row],[Nome]])</f>
        <v>2Bakola</v>
      </c>
      <c r="AB542" t="str">
        <f t="shared" si="21"/>
        <v>2</v>
      </c>
      <c r="AC542" t="str">
        <f>_xlfn.CONCAT(Tabella1[[#This Row],[Ruolo]],Tabella1[[#This Row],[Gs]])</f>
        <v>C0</v>
      </c>
    </row>
    <row r="543" spans="1:29" hidden="1" x14ac:dyDescent="0.3">
      <c r="A543" s="14">
        <v>46261</v>
      </c>
      <c r="B543" s="15">
        <v>2</v>
      </c>
      <c r="C543" s="321" t="s">
        <v>910</v>
      </c>
      <c r="D543" s="346" t="s">
        <v>163</v>
      </c>
      <c r="E543" s="346" t="s">
        <v>930</v>
      </c>
      <c r="F543" s="347">
        <v>7</v>
      </c>
      <c r="G543" s="352">
        <v>1</v>
      </c>
      <c r="H543" s="348">
        <v>0</v>
      </c>
      <c r="I543" s="348">
        <v>0</v>
      </c>
      <c r="J543" s="348">
        <v>0</v>
      </c>
      <c r="K543" s="348">
        <v>0</v>
      </c>
      <c r="L543" s="348">
        <v>0</v>
      </c>
      <c r="M543" s="348">
        <v>0</v>
      </c>
      <c r="N543" s="348">
        <v>0</v>
      </c>
      <c r="O543" s="348">
        <v>0</v>
      </c>
      <c r="P543" s="284">
        <v>1</v>
      </c>
      <c r="Q543" s="284">
        <f t="shared" si="20"/>
        <v>0</v>
      </c>
      <c r="R543" s="3" t="str">
        <f>_xlfn.IFNA(VLOOKUP(Tabella1[[#This Row],[Nome]],'ROSE SQUADRE'!$N$3:$O$253,2,0),"")</f>
        <v>PARTIZAN DEGRADO</v>
      </c>
      <c r="S543" s="193">
        <f>SUM(Tabella1[[#This Row],[Gf]],Tabella1[[#This Row],[Rf]])</f>
        <v>1</v>
      </c>
      <c r="T543" s="193"/>
      <c r="U543" s="285" t="str">
        <f>IF(Tabella1[[#This Row],[N° FantaTit]]="","",Tabella1[[#This Row],[fanta voto]])</f>
        <v/>
      </c>
      <c r="V543" s="193">
        <f>SUM(Tabella1[[#This Row],[Voto]],(G543*3),Q543,P543,O543,-(N543),(-M543/2),(-L543*2),(-H543),(I543*3),(-J543*3),(K543*3))</f>
        <v>11</v>
      </c>
      <c r="W543" s="193"/>
      <c r="X543" s="193" t="str">
        <f>IF(Tabella1[[#This Row],[Best 11]]=1,Tabella1[[#This Row],[fanta voto]],"")</f>
        <v/>
      </c>
      <c r="Z543" s="193" t="str">
        <f>IF(Tabella1[[#This Row],[Best 11 MOD]]=1,Tabella1[[#This Row],[fanta voto]],"")</f>
        <v/>
      </c>
      <c r="AA543" t="str">
        <f>CONCATENATE(Tabella1[[#This Row],[GG]],Tabella1[[#This Row],[Nome]])</f>
        <v>2Berardi</v>
      </c>
      <c r="AB543" t="str">
        <f t="shared" si="21"/>
        <v>2PARTIZAN DEGRADO</v>
      </c>
      <c r="AC543" t="str">
        <f>_xlfn.CONCAT(Tabella1[[#This Row],[Ruolo]],Tabella1[[#This Row],[Gs]])</f>
        <v>A0</v>
      </c>
    </row>
    <row r="544" spans="1:29" hidden="1" x14ac:dyDescent="0.3">
      <c r="A544" s="14">
        <v>46261</v>
      </c>
      <c r="B544" s="15">
        <v>2</v>
      </c>
      <c r="C544" s="321" t="s">
        <v>910</v>
      </c>
      <c r="D544" s="349" t="s">
        <v>163</v>
      </c>
      <c r="E544" s="349" t="s">
        <v>932</v>
      </c>
      <c r="F544" s="350">
        <v>6.5</v>
      </c>
      <c r="G544" s="351">
        <v>0</v>
      </c>
      <c r="H544" s="351">
        <v>0</v>
      </c>
      <c r="I544" s="351">
        <v>0</v>
      </c>
      <c r="J544" s="351">
        <v>0</v>
      </c>
      <c r="K544" s="351">
        <v>0</v>
      </c>
      <c r="L544" s="351">
        <v>0</v>
      </c>
      <c r="M544" s="353">
        <v>1</v>
      </c>
      <c r="N544" s="351">
        <v>0</v>
      </c>
      <c r="O544" s="351">
        <v>0</v>
      </c>
      <c r="P544" s="284"/>
      <c r="Q544" s="284">
        <f t="shared" si="20"/>
        <v>0</v>
      </c>
      <c r="R544" s="3" t="str">
        <f>_xlfn.IFNA(VLOOKUP(Tabella1[[#This Row],[Nome]],'ROSE SQUADRE'!$N$3:$O$253,2,0),"")</f>
        <v>SESTO ASENSIO</v>
      </c>
      <c r="S544" s="193">
        <f>SUM(Tabella1[[#This Row],[Gf]],Tabella1[[#This Row],[Rf]])</f>
        <v>0</v>
      </c>
      <c r="T544" s="193"/>
      <c r="U544" s="285" t="str">
        <f>IF(Tabella1[[#This Row],[N° FantaTit]]="","",Tabella1[[#This Row],[fanta voto]])</f>
        <v/>
      </c>
      <c r="V544" s="193">
        <f>SUM(Tabella1[[#This Row],[Voto]],(G544*3),Q544,P544,O544,-(N544),(-M544/2),(-L544*2),(-H544),(I544*3),(-J544*3),(K544*3))</f>
        <v>6</v>
      </c>
      <c r="W544" s="193"/>
      <c r="X544" s="193" t="str">
        <f>IF(Tabella1[[#This Row],[Best 11]]=1,Tabella1[[#This Row],[fanta voto]],"")</f>
        <v/>
      </c>
      <c r="Z544" s="193" t="str">
        <f>IF(Tabella1[[#This Row],[Best 11 MOD]]=1,Tabella1[[#This Row],[fanta voto]],"")</f>
        <v/>
      </c>
      <c r="AA544" t="str">
        <f>CONCATENATE(Tabella1[[#This Row],[GG]],Tabella1[[#This Row],[Nome]])</f>
        <v>2Laurientè</v>
      </c>
      <c r="AB544" t="str">
        <f t="shared" si="21"/>
        <v>2SESTO ASENSIO</v>
      </c>
      <c r="AC544" t="str">
        <f>_xlfn.CONCAT(Tabella1[[#This Row],[Ruolo]],Tabella1[[#This Row],[Gs]])</f>
        <v>A0</v>
      </c>
    </row>
    <row r="545" spans="1:29" hidden="1" x14ac:dyDescent="0.3">
      <c r="A545" s="14">
        <v>46261</v>
      </c>
      <c r="B545" s="15">
        <v>2</v>
      </c>
      <c r="C545" s="321" t="s">
        <v>910</v>
      </c>
      <c r="D545" s="346" t="s">
        <v>163</v>
      </c>
      <c r="E545" s="346" t="s">
        <v>931</v>
      </c>
      <c r="F545" s="347">
        <v>5.5</v>
      </c>
      <c r="G545" s="348">
        <v>0</v>
      </c>
      <c r="H545" s="348">
        <v>0</v>
      </c>
      <c r="I545" s="348">
        <v>0</v>
      </c>
      <c r="J545" s="348">
        <v>0</v>
      </c>
      <c r="K545" s="348">
        <v>0</v>
      </c>
      <c r="L545" s="348">
        <v>0</v>
      </c>
      <c r="M545" s="348">
        <v>0</v>
      </c>
      <c r="N545" s="348">
        <v>0</v>
      </c>
      <c r="O545" s="348">
        <v>0</v>
      </c>
      <c r="P545" s="284"/>
      <c r="Q545" s="284">
        <f t="shared" si="20"/>
        <v>0</v>
      </c>
      <c r="R545" s="3" t="str">
        <f>_xlfn.IFNA(VLOOKUP(Tabella1[[#This Row],[Nome]],'ROSE SQUADRE'!$N$3:$O$253,2,0),"")</f>
        <v>FC INTERNAZIOANALE</v>
      </c>
      <c r="S545" s="193">
        <f>SUM(Tabella1[[#This Row],[Gf]],Tabella1[[#This Row],[Rf]])</f>
        <v>0</v>
      </c>
      <c r="T545" s="193"/>
      <c r="U545" s="285" t="str">
        <f>IF(Tabella1[[#This Row],[N° FantaTit]]="","",Tabella1[[#This Row],[fanta voto]])</f>
        <v/>
      </c>
      <c r="V545" s="193">
        <f>SUM(Tabella1[[#This Row],[Voto]],(G545*3),Q545,P545,O545,-(N545),(-M545/2),(-L545*2),(-H545),(I545*3),(-J545*3),(K545*3))</f>
        <v>5.5</v>
      </c>
      <c r="W545" s="193"/>
      <c r="X545" s="193" t="str">
        <f>IF(Tabella1[[#This Row],[Best 11]]=1,Tabella1[[#This Row],[fanta voto]],"")</f>
        <v/>
      </c>
      <c r="Z545" s="193" t="str">
        <f>IF(Tabella1[[#This Row],[Best 11 MOD]]=1,Tabella1[[#This Row],[fanta voto]],"")</f>
        <v/>
      </c>
      <c r="AA545" t="str">
        <f>CONCATENATE(Tabella1[[#This Row],[GG]],Tabella1[[#This Row],[Nome]])</f>
        <v>2Bowie</v>
      </c>
      <c r="AB545" t="str">
        <f t="shared" si="21"/>
        <v>2FC INTERNAZIOANALE</v>
      </c>
      <c r="AC545" t="str">
        <f>_xlfn.CONCAT(Tabella1[[#This Row],[Ruolo]],Tabella1[[#This Row],[Gs]])</f>
        <v>A0</v>
      </c>
    </row>
    <row r="546" spans="1:29" hidden="1" x14ac:dyDescent="0.3">
      <c r="A546" s="14">
        <v>46261</v>
      </c>
      <c r="B546" s="15">
        <v>2</v>
      </c>
      <c r="C546" s="321" t="s">
        <v>934</v>
      </c>
      <c r="D546" s="346" t="s">
        <v>5</v>
      </c>
      <c r="E546" s="346" t="s">
        <v>933</v>
      </c>
      <c r="F546" s="347">
        <v>5.5</v>
      </c>
      <c r="G546" s="348">
        <v>0</v>
      </c>
      <c r="H546" s="352">
        <v>2</v>
      </c>
      <c r="I546" s="348">
        <v>0</v>
      </c>
      <c r="J546" s="348">
        <v>0</v>
      </c>
      <c r="K546" s="348">
        <v>0</v>
      </c>
      <c r="L546" s="348">
        <v>0</v>
      </c>
      <c r="M546" s="348">
        <v>0</v>
      </c>
      <c r="N546" s="348">
        <v>0</v>
      </c>
      <c r="O546" s="348">
        <v>0</v>
      </c>
      <c r="P546" s="284"/>
      <c r="Q546" s="284">
        <f t="shared" si="20"/>
        <v>0</v>
      </c>
      <c r="R546" s="3" t="str">
        <f>_xlfn.IFNA(VLOOKUP(Tabella1[[#This Row],[Nome]],'ROSE SQUADRE'!$N$3:$O$253,2,0),"")</f>
        <v/>
      </c>
      <c r="S546" s="193">
        <f>SUM(Tabella1[[#This Row],[Gf]],Tabella1[[#This Row],[Rf]])</f>
        <v>0</v>
      </c>
      <c r="T546" s="193"/>
      <c r="U546" s="285" t="str">
        <f>IF(Tabella1[[#This Row],[N° FantaTit]]="","",Tabella1[[#This Row],[fanta voto]])</f>
        <v/>
      </c>
      <c r="V546" s="193">
        <f>SUM(Tabella1[[#This Row],[Voto]],(G546*3),Q546,P546,O546,-(N546),(-M546/2),(-L546*2),(-H546),(I546*3),(-J546*3),(K546*3))</f>
        <v>3.5</v>
      </c>
      <c r="W546" s="193"/>
      <c r="X546" s="193" t="str">
        <f>IF(Tabella1[[#This Row],[Best 11]]=1,Tabella1[[#This Row],[fanta voto]],"")</f>
        <v/>
      </c>
      <c r="Z546" s="193" t="str">
        <f>IF(Tabella1[[#This Row],[Best 11 MOD]]=1,Tabella1[[#This Row],[fanta voto]],"")</f>
        <v/>
      </c>
      <c r="AA546" t="str">
        <f>CONCATENATE(Tabella1[[#This Row],[GG]],Tabella1[[#This Row],[Nome]])</f>
        <v>2Mascardi</v>
      </c>
      <c r="AB546" t="str">
        <f t="shared" si="21"/>
        <v>2</v>
      </c>
      <c r="AC546" t="str">
        <f>_xlfn.CONCAT(Tabella1[[#This Row],[Ruolo]],Tabella1[[#This Row],[Gs]])</f>
        <v>P2</v>
      </c>
    </row>
    <row r="547" spans="1:29" hidden="1" x14ac:dyDescent="0.3">
      <c r="A547" s="14">
        <v>46261</v>
      </c>
      <c r="B547" s="15">
        <v>2</v>
      </c>
      <c r="C547" s="321" t="s">
        <v>934</v>
      </c>
      <c r="D547" s="349" t="s">
        <v>161</v>
      </c>
      <c r="E547" s="349" t="s">
        <v>214</v>
      </c>
      <c r="F547" s="350">
        <v>6</v>
      </c>
      <c r="G547" s="351">
        <v>0</v>
      </c>
      <c r="H547" s="351">
        <v>0</v>
      </c>
      <c r="I547" s="351">
        <v>0</v>
      </c>
      <c r="J547" s="351">
        <v>0</v>
      </c>
      <c r="K547" s="351">
        <v>0</v>
      </c>
      <c r="L547" s="351">
        <v>0</v>
      </c>
      <c r="M547" s="351">
        <v>0</v>
      </c>
      <c r="N547" s="351">
        <v>0</v>
      </c>
      <c r="O547" s="351">
        <v>0</v>
      </c>
      <c r="P547" s="284"/>
      <c r="Q547" s="284">
        <f t="shared" si="20"/>
        <v>0</v>
      </c>
      <c r="R547" s="3" t="str">
        <f>_xlfn.IFNA(VLOOKUP(Tabella1[[#This Row],[Nome]],'ROSE SQUADRE'!$N$3:$O$253,2,0),"")</f>
        <v/>
      </c>
      <c r="S547" s="193">
        <f>SUM(Tabella1[[#This Row],[Gf]],Tabella1[[#This Row],[Rf]])</f>
        <v>0</v>
      </c>
      <c r="T547" s="193"/>
      <c r="U547" s="285" t="str">
        <f>IF(Tabella1[[#This Row],[N° FantaTit]]="","",Tabella1[[#This Row],[fanta voto]])</f>
        <v/>
      </c>
      <c r="V547" s="193">
        <f>SUM(Tabella1[[#This Row],[Voto]],(G547*3),Q547,P547,O547,-(N547),(-M547/2),(-L547*2),(-H547),(I547*3),(-J547*3),(K547*3))</f>
        <v>6</v>
      </c>
      <c r="W547" s="193"/>
      <c r="X547" s="193" t="str">
        <f>IF(Tabella1[[#This Row],[Best 11]]=1,Tabella1[[#This Row],[fanta voto]],"")</f>
        <v/>
      </c>
      <c r="Z547" s="193" t="str">
        <f>IF(Tabella1[[#This Row],[Best 11 MOD]]=1,Tabella1[[#This Row],[fanta voto]],"")</f>
        <v/>
      </c>
      <c r="AA547" t="str">
        <f>CONCATENATE(Tabella1[[#This Row],[GG]],Tabella1[[#This Row],[Nome]])</f>
        <v>2Ismajli</v>
      </c>
      <c r="AB547" t="str">
        <f t="shared" si="21"/>
        <v>2</v>
      </c>
      <c r="AC547" t="str">
        <f>_xlfn.CONCAT(Tabella1[[#This Row],[Ruolo]],Tabella1[[#This Row],[Gs]])</f>
        <v>D0</v>
      </c>
    </row>
    <row r="548" spans="1:29" hidden="1" x14ac:dyDescent="0.3">
      <c r="A548" s="14">
        <v>46261</v>
      </c>
      <c r="B548" s="15">
        <v>2</v>
      </c>
      <c r="C548" s="321" t="s">
        <v>934</v>
      </c>
      <c r="D548" s="346" t="s">
        <v>161</v>
      </c>
      <c r="E548" s="346" t="s">
        <v>526</v>
      </c>
      <c r="F548" s="347">
        <v>6.5</v>
      </c>
      <c r="G548" s="352">
        <v>1</v>
      </c>
      <c r="H548" s="348">
        <v>0</v>
      </c>
      <c r="I548" s="348">
        <v>0</v>
      </c>
      <c r="J548" s="348">
        <v>0</v>
      </c>
      <c r="K548" s="348">
        <v>0</v>
      </c>
      <c r="L548" s="348">
        <v>0</v>
      </c>
      <c r="M548" s="348">
        <v>0</v>
      </c>
      <c r="N548" s="348">
        <v>0</v>
      </c>
      <c r="O548" s="348">
        <v>0</v>
      </c>
      <c r="P548" s="284"/>
      <c r="Q548" s="284">
        <f t="shared" si="20"/>
        <v>0</v>
      </c>
      <c r="R548" s="3" t="str">
        <f>_xlfn.IFNA(VLOOKUP(Tabella1[[#This Row],[Nome]],'ROSE SQUADRE'!$N$3:$O$253,2,0),"")</f>
        <v>SESTO ASENSIO</v>
      </c>
      <c r="S548" s="193">
        <f>SUM(Tabella1[[#This Row],[Gf]],Tabella1[[#This Row],[Rf]])</f>
        <v>1</v>
      </c>
      <c r="T548" s="193"/>
      <c r="U548" s="285" t="str">
        <f>IF(Tabella1[[#This Row],[N° FantaTit]]="","",Tabella1[[#This Row],[fanta voto]])</f>
        <v/>
      </c>
      <c r="V548" s="193">
        <f>SUM(Tabella1[[#This Row],[Voto]],(G548*3),Q548,P548,O548,-(N548),(-M548/2),(-L548*2),(-H548),(I548*3),(-J548*3),(K548*3))</f>
        <v>9.5</v>
      </c>
      <c r="W548" s="193"/>
      <c r="X548" s="193" t="str">
        <f>IF(Tabella1[[#This Row],[Best 11]]=1,Tabella1[[#This Row],[fanta voto]],"")</f>
        <v/>
      </c>
      <c r="Z548" s="193" t="str">
        <f>IF(Tabella1[[#This Row],[Best 11 MOD]]=1,Tabella1[[#This Row],[fanta voto]],"")</f>
        <v/>
      </c>
      <c r="AA548" t="str">
        <f>CONCATENATE(Tabella1[[#This Row],[GG]],Tabella1[[#This Row],[Nome]])</f>
        <v>2Comuzzo</v>
      </c>
      <c r="AB548" t="str">
        <f t="shared" si="21"/>
        <v>2SESTO ASENSIO</v>
      </c>
      <c r="AC548" t="str">
        <f>_xlfn.CONCAT(Tabella1[[#This Row],[Ruolo]],Tabella1[[#This Row],[Gs]])</f>
        <v>D0</v>
      </c>
    </row>
    <row r="549" spans="1:29" hidden="1" x14ac:dyDescent="0.3">
      <c r="A549" s="14">
        <v>46261</v>
      </c>
      <c r="B549" s="15">
        <v>2</v>
      </c>
      <c r="C549" s="321" t="s">
        <v>934</v>
      </c>
      <c r="D549" s="349" t="s">
        <v>161</v>
      </c>
      <c r="E549" s="349" t="s">
        <v>572</v>
      </c>
      <c r="F549" s="350">
        <v>6</v>
      </c>
      <c r="G549" s="351">
        <v>0</v>
      </c>
      <c r="H549" s="351">
        <v>0</v>
      </c>
      <c r="I549" s="351">
        <v>0</v>
      </c>
      <c r="J549" s="351">
        <v>0</v>
      </c>
      <c r="K549" s="351">
        <v>0</v>
      </c>
      <c r="L549" s="351">
        <v>0</v>
      </c>
      <c r="M549" s="351">
        <v>0</v>
      </c>
      <c r="N549" s="351">
        <v>0</v>
      </c>
      <c r="O549" s="351">
        <v>0</v>
      </c>
      <c r="P549" s="284"/>
      <c r="Q549" s="284">
        <f t="shared" si="20"/>
        <v>0</v>
      </c>
      <c r="R549" s="3" t="str">
        <f>_xlfn.IFNA(VLOOKUP(Tabella1[[#This Row],[Nome]],'ROSE SQUADRE'!$N$3:$O$253,2,0),"")</f>
        <v/>
      </c>
      <c r="S549" s="193">
        <f>SUM(Tabella1[[#This Row],[Gf]],Tabella1[[#This Row],[Rf]])</f>
        <v>0</v>
      </c>
      <c r="T549" s="193"/>
      <c r="U549" s="285" t="str">
        <f>IF(Tabella1[[#This Row],[N° FantaTit]]="","",Tabella1[[#This Row],[fanta voto]])</f>
        <v/>
      </c>
      <c r="V549" s="193">
        <f>SUM(Tabella1[[#This Row],[Voto]],(G549*3),Q549,P549,O549,-(N549),(-M549/2),(-L549*2),(-H549),(I549*3),(-J549*3),(K549*3))</f>
        <v>6</v>
      </c>
      <c r="W549" s="193"/>
      <c r="X549" s="193" t="str">
        <f>IF(Tabella1[[#This Row],[Best 11]]=1,Tabella1[[#This Row],[fanta voto]],"")</f>
        <v/>
      </c>
      <c r="Z549" s="193" t="str">
        <f>IF(Tabella1[[#This Row],[Best 11 MOD]]=1,Tabella1[[#This Row],[fanta voto]],"")</f>
        <v/>
      </c>
      <c r="AA549" t="str">
        <f>CONCATENATE(Tabella1[[#This Row],[GG]],Tabella1[[#This Row],[Nome]])</f>
        <v>2Coco</v>
      </c>
      <c r="AB549" t="str">
        <f t="shared" si="21"/>
        <v>2</v>
      </c>
      <c r="AC549" t="str">
        <f>_xlfn.CONCAT(Tabella1[[#This Row],[Ruolo]],Tabella1[[#This Row],[Gs]])</f>
        <v>D0</v>
      </c>
    </row>
    <row r="550" spans="1:29" hidden="1" x14ac:dyDescent="0.3">
      <c r="A550" s="14">
        <v>46261</v>
      </c>
      <c r="B550" s="15">
        <v>2</v>
      </c>
      <c r="C550" s="321" t="s">
        <v>934</v>
      </c>
      <c r="D550" s="346" t="s">
        <v>161</v>
      </c>
      <c r="E550" s="346" t="s">
        <v>938</v>
      </c>
      <c r="F550" s="347">
        <v>6</v>
      </c>
      <c r="G550" s="348">
        <v>0</v>
      </c>
      <c r="H550" s="348">
        <v>0</v>
      </c>
      <c r="I550" s="348">
        <v>0</v>
      </c>
      <c r="J550" s="348">
        <v>0</v>
      </c>
      <c r="K550" s="348">
        <v>0</v>
      </c>
      <c r="L550" s="348">
        <v>0</v>
      </c>
      <c r="M550" s="348">
        <v>0</v>
      </c>
      <c r="N550" s="348">
        <v>0</v>
      </c>
      <c r="O550" s="348">
        <v>0</v>
      </c>
      <c r="P550" s="284"/>
      <c r="Q550" s="284">
        <f t="shared" si="20"/>
        <v>0</v>
      </c>
      <c r="R550" s="3" t="str">
        <f>_xlfn.IFNA(VLOOKUP(Tabella1[[#This Row],[Nome]],'ROSE SQUADRE'!$N$3:$O$253,2,0),"")</f>
        <v>FC INTERNAZIOANALE</v>
      </c>
      <c r="S550" s="193">
        <f>SUM(Tabella1[[#This Row],[Gf]],Tabella1[[#This Row],[Rf]])</f>
        <v>0</v>
      </c>
      <c r="T550" s="193"/>
      <c r="U550" s="285" t="str">
        <f>IF(Tabella1[[#This Row],[N° FantaTit]]="","",Tabella1[[#This Row],[fanta voto]])</f>
        <v/>
      </c>
      <c r="V550" s="193">
        <f>SUM(Tabella1[[#This Row],[Voto]],(G550*3),Q550,P550,O550,-(N550),(-M550/2),(-L550*2),(-H550),(I550*3),(-J550*3),(K550*3))</f>
        <v>6</v>
      </c>
      <c r="W550" s="193"/>
      <c r="X550" s="193" t="str">
        <f>IF(Tabella1[[#This Row],[Best 11]]=1,Tabella1[[#This Row],[fanta voto]],"")</f>
        <v/>
      </c>
      <c r="Z550" s="193" t="str">
        <f>IF(Tabella1[[#This Row],[Best 11 MOD]]=1,Tabella1[[#This Row],[fanta voto]],"")</f>
        <v/>
      </c>
      <c r="AA550" t="str">
        <f>CONCATENATE(Tabella1[[#This Row],[GG]],Tabella1[[#This Row],[Nome]])</f>
        <v>2Fortini</v>
      </c>
      <c r="AB550" t="str">
        <f t="shared" si="21"/>
        <v>2FC INTERNAZIOANALE</v>
      </c>
      <c r="AC550" t="str">
        <f>_xlfn.CONCAT(Tabella1[[#This Row],[Ruolo]],Tabella1[[#This Row],[Gs]])</f>
        <v>D0</v>
      </c>
    </row>
    <row r="551" spans="1:29" hidden="1" x14ac:dyDescent="0.3">
      <c r="A551" s="14">
        <v>46261</v>
      </c>
      <c r="B551" s="15">
        <v>2</v>
      </c>
      <c r="C551" s="321" t="s">
        <v>934</v>
      </c>
      <c r="D551" s="349" t="s">
        <v>161</v>
      </c>
      <c r="E551" s="349" t="s">
        <v>937</v>
      </c>
      <c r="F551" s="350">
        <v>6</v>
      </c>
      <c r="G551" s="351">
        <v>0</v>
      </c>
      <c r="H551" s="351">
        <v>0</v>
      </c>
      <c r="I551" s="351">
        <v>0</v>
      </c>
      <c r="J551" s="351">
        <v>0</v>
      </c>
      <c r="K551" s="351">
        <v>0</v>
      </c>
      <c r="L551" s="351">
        <v>0</v>
      </c>
      <c r="M551" s="351">
        <v>0</v>
      </c>
      <c r="N551" s="351">
        <v>0</v>
      </c>
      <c r="O551" s="351">
        <v>0</v>
      </c>
      <c r="P551" s="284"/>
      <c r="Q551" s="284">
        <f t="shared" si="20"/>
        <v>0</v>
      </c>
      <c r="R551" s="3" t="str">
        <f>_xlfn.IFNA(VLOOKUP(Tabella1[[#This Row],[Nome]],'ROSE SQUADRE'!$N$3:$O$253,2,0),"")</f>
        <v/>
      </c>
      <c r="S551" s="193">
        <f>SUM(Tabella1[[#This Row],[Gf]],Tabella1[[#This Row],[Rf]])</f>
        <v>0</v>
      </c>
      <c r="T551" s="193"/>
      <c r="U551" s="285" t="str">
        <f>IF(Tabella1[[#This Row],[N° FantaTit]]="","",Tabella1[[#This Row],[fanta voto]])</f>
        <v/>
      </c>
      <c r="V551" s="193">
        <f>SUM(Tabella1[[#This Row],[Voto]],(G551*3),Q551,P551,O551,-(N551),(-M551/2),(-L551*2),(-H551),(I551*3),(-J551*3),(K551*3))</f>
        <v>6</v>
      </c>
      <c r="W551" s="193"/>
      <c r="X551" s="193" t="str">
        <f>IF(Tabella1[[#This Row],[Best 11]]=1,Tabella1[[#This Row],[fanta voto]],"")</f>
        <v/>
      </c>
      <c r="Z551" s="193" t="str">
        <f>IF(Tabella1[[#This Row],[Best 11 MOD]]=1,Tabella1[[#This Row],[fanta voto]],"")</f>
        <v/>
      </c>
      <c r="AA551" t="str">
        <f>CONCATENATE(Tabella1[[#This Row],[GG]],Tabella1[[#This Row],[Nome]])</f>
        <v>2Comert</v>
      </c>
      <c r="AB551" t="str">
        <f t="shared" si="21"/>
        <v>2</v>
      </c>
      <c r="AC551" t="str">
        <f>_xlfn.CONCAT(Tabella1[[#This Row],[Ruolo]],Tabella1[[#This Row],[Gs]])</f>
        <v>D0</v>
      </c>
    </row>
    <row r="552" spans="1:29" hidden="1" x14ac:dyDescent="0.3">
      <c r="A552" s="14">
        <v>46261</v>
      </c>
      <c r="B552" s="15">
        <v>2</v>
      </c>
      <c r="C552" s="321" t="s">
        <v>934</v>
      </c>
      <c r="D552" s="346" t="s">
        <v>162</v>
      </c>
      <c r="E552" s="346" t="s">
        <v>948</v>
      </c>
      <c r="F552" s="347">
        <v>5.5</v>
      </c>
      <c r="G552" s="348">
        <v>0</v>
      </c>
      <c r="H552" s="348">
        <v>0</v>
      </c>
      <c r="I552" s="348">
        <v>0</v>
      </c>
      <c r="J552" s="348">
        <v>0</v>
      </c>
      <c r="K552" s="348">
        <v>0</v>
      </c>
      <c r="L552" s="348">
        <v>0</v>
      </c>
      <c r="M552" s="348">
        <v>0</v>
      </c>
      <c r="N552" s="348">
        <v>0</v>
      </c>
      <c r="O552" s="348">
        <v>0</v>
      </c>
      <c r="P552" s="284"/>
      <c r="Q552" s="284">
        <f t="shared" si="20"/>
        <v>0</v>
      </c>
      <c r="R552" s="3" t="str">
        <f>_xlfn.IFNA(VLOOKUP(Tabella1[[#This Row],[Nome]],'ROSE SQUADRE'!$N$3:$O$253,2,0),"")</f>
        <v>FC INTERNAZIOANALE</v>
      </c>
      <c r="S552" s="193">
        <f>SUM(Tabella1[[#This Row],[Gf]],Tabella1[[#This Row],[Rf]])</f>
        <v>0</v>
      </c>
      <c r="T552" s="193"/>
      <c r="U552" s="285" t="str">
        <f>IF(Tabella1[[#This Row],[N° FantaTit]]="","",Tabella1[[#This Row],[fanta voto]])</f>
        <v/>
      </c>
      <c r="V552" s="193">
        <f>SUM(Tabella1[[#This Row],[Voto]],(G552*3),Q552,P552,O552,-(N552),(-M552/2),(-L552*2),(-H552),(I552*3),(-J552*3),(K552*3))</f>
        <v>5.5</v>
      </c>
      <c r="W552" s="193"/>
      <c r="X552" s="193" t="str">
        <f>IF(Tabella1[[#This Row],[Best 11]]=1,Tabella1[[#This Row],[fanta voto]],"")</f>
        <v/>
      </c>
      <c r="Z552" s="193" t="str">
        <f>IF(Tabella1[[#This Row],[Best 11 MOD]]=1,Tabella1[[#This Row],[fanta voto]],"")</f>
        <v/>
      </c>
      <c r="AA552" t="str">
        <f>CONCATENATE(Tabella1[[#This Row],[GG]],Tabella1[[#This Row],[Nome]])</f>
        <v>2Vlasic</v>
      </c>
      <c r="AB552" t="str">
        <f t="shared" si="21"/>
        <v>2FC INTERNAZIOANALE</v>
      </c>
      <c r="AC552" t="str">
        <f>_xlfn.CONCAT(Tabella1[[#This Row],[Ruolo]],Tabella1[[#This Row],[Gs]])</f>
        <v>C0</v>
      </c>
    </row>
    <row r="553" spans="1:29" hidden="1" x14ac:dyDescent="0.3">
      <c r="A553" s="14">
        <v>46261</v>
      </c>
      <c r="B553" s="15">
        <v>2</v>
      </c>
      <c r="C553" s="321" t="s">
        <v>934</v>
      </c>
      <c r="D553" s="349" t="s">
        <v>162</v>
      </c>
      <c r="E553" s="349" t="s">
        <v>946</v>
      </c>
      <c r="F553" s="350">
        <v>5.5</v>
      </c>
      <c r="G553" s="351">
        <v>0</v>
      </c>
      <c r="H553" s="351">
        <v>0</v>
      </c>
      <c r="I553" s="351">
        <v>0</v>
      </c>
      <c r="J553" s="351">
        <v>0</v>
      </c>
      <c r="K553" s="351">
        <v>0</v>
      </c>
      <c r="L553" s="351">
        <v>0</v>
      </c>
      <c r="M553" s="351">
        <v>0</v>
      </c>
      <c r="N553" s="351">
        <v>0</v>
      </c>
      <c r="O553" s="351">
        <v>0</v>
      </c>
      <c r="P553" s="284"/>
      <c r="Q553" s="284">
        <f t="shared" si="20"/>
        <v>0</v>
      </c>
      <c r="R553" s="3" t="str">
        <f>_xlfn.IFNA(VLOOKUP(Tabella1[[#This Row],[Nome]],'ROSE SQUADRE'!$N$3:$O$253,2,0),"")</f>
        <v/>
      </c>
      <c r="S553" s="193">
        <f>SUM(Tabella1[[#This Row],[Gf]],Tabella1[[#This Row],[Rf]])</f>
        <v>0</v>
      </c>
      <c r="T553" s="193"/>
      <c r="U553" s="285" t="str">
        <f>IF(Tabella1[[#This Row],[N° FantaTit]]="","",Tabella1[[#This Row],[fanta voto]])</f>
        <v/>
      </c>
      <c r="V553" s="193">
        <f>SUM(Tabella1[[#This Row],[Voto]],(G553*3),Q553,P553,O553,-(N553),(-M553/2),(-L553*2),(-H553),(I553*3),(-J553*3),(K553*3))</f>
        <v>5.5</v>
      </c>
      <c r="W553" s="193"/>
      <c r="X553" s="193" t="str">
        <f>IF(Tabella1[[#This Row],[Best 11]]=1,Tabella1[[#This Row],[fanta voto]],"")</f>
        <v/>
      </c>
      <c r="Z553" s="193" t="str">
        <f>IF(Tabella1[[#This Row],[Best 11 MOD]]=1,Tabella1[[#This Row],[fanta voto]],"")</f>
        <v/>
      </c>
      <c r="AA553" t="str">
        <f>CONCATENATE(Tabella1[[#This Row],[GG]],Tabella1[[#This Row],[Nome]])</f>
        <v>2Ilkhan</v>
      </c>
      <c r="AB553" t="str">
        <f t="shared" si="21"/>
        <v>2</v>
      </c>
      <c r="AC553" t="str">
        <f>_xlfn.CONCAT(Tabella1[[#This Row],[Ruolo]],Tabella1[[#This Row],[Gs]])</f>
        <v>C0</v>
      </c>
    </row>
    <row r="554" spans="1:29" hidden="1" x14ac:dyDescent="0.3">
      <c r="A554" s="14">
        <v>46261</v>
      </c>
      <c r="B554" s="15">
        <v>2</v>
      </c>
      <c r="C554" s="321" t="s">
        <v>934</v>
      </c>
      <c r="D554" s="346" t="s">
        <v>162</v>
      </c>
      <c r="E554" s="346" t="s">
        <v>945</v>
      </c>
      <c r="F554" s="347">
        <v>5.5</v>
      </c>
      <c r="G554" s="348">
        <v>0</v>
      </c>
      <c r="H554" s="348">
        <v>0</v>
      </c>
      <c r="I554" s="348">
        <v>0</v>
      </c>
      <c r="J554" s="348">
        <v>0</v>
      </c>
      <c r="K554" s="348">
        <v>0</v>
      </c>
      <c r="L554" s="348">
        <v>0</v>
      </c>
      <c r="M554" s="352">
        <v>1</v>
      </c>
      <c r="N554" s="348">
        <v>0</v>
      </c>
      <c r="O554" s="348">
        <v>0</v>
      </c>
      <c r="P554" s="284"/>
      <c r="Q554" s="284">
        <f t="shared" si="20"/>
        <v>0</v>
      </c>
      <c r="R554" s="3" t="str">
        <f>_xlfn.IFNA(VLOOKUP(Tabella1[[#This Row],[Nome]],'ROSE SQUADRE'!$N$3:$O$253,2,0),"")</f>
        <v/>
      </c>
      <c r="S554" s="193">
        <f>SUM(Tabella1[[#This Row],[Gf]],Tabella1[[#This Row],[Rf]])</f>
        <v>0</v>
      </c>
      <c r="T554" s="193"/>
      <c r="U554" s="285" t="str">
        <f>IF(Tabella1[[#This Row],[N° FantaTit]]="","",Tabella1[[#This Row],[fanta voto]])</f>
        <v/>
      </c>
      <c r="V554" s="193">
        <f>SUM(Tabella1[[#This Row],[Voto]],(G554*3),Q554,P554,O554,-(N554),(-M554/2),(-L554*2),(-H554),(I554*3),(-J554*3),(K554*3))</f>
        <v>5</v>
      </c>
      <c r="W554" s="193"/>
      <c r="X554" s="193" t="str">
        <f>IF(Tabella1[[#This Row],[Best 11]]=1,Tabella1[[#This Row],[fanta voto]],"")</f>
        <v/>
      </c>
      <c r="Z554" s="193" t="str">
        <f>IF(Tabella1[[#This Row],[Best 11 MOD]]=1,Tabella1[[#This Row],[fanta voto]],"")</f>
        <v/>
      </c>
      <c r="AA554" t="str">
        <f>CONCATENATE(Tabella1[[#This Row],[GG]],Tabella1[[#This Row],[Nome]])</f>
        <v>2Gineitis</v>
      </c>
      <c r="AB554" t="str">
        <f t="shared" si="21"/>
        <v>2</v>
      </c>
      <c r="AC554" t="str">
        <f>_xlfn.CONCAT(Tabella1[[#This Row],[Ruolo]],Tabella1[[#This Row],[Gs]])</f>
        <v>C0</v>
      </c>
    </row>
    <row r="555" spans="1:29" hidden="1" x14ac:dyDescent="0.3">
      <c r="A555" s="14">
        <v>46261</v>
      </c>
      <c r="B555" s="15">
        <v>2</v>
      </c>
      <c r="C555" s="321" t="s">
        <v>934</v>
      </c>
      <c r="D555" s="349" t="s">
        <v>162</v>
      </c>
      <c r="E555" s="349" t="s">
        <v>942</v>
      </c>
      <c r="F555" s="350">
        <v>6.5</v>
      </c>
      <c r="G555" s="351">
        <v>0</v>
      </c>
      <c r="H555" s="351">
        <v>0</v>
      </c>
      <c r="I555" s="351">
        <v>0</v>
      </c>
      <c r="J555" s="351">
        <v>0</v>
      </c>
      <c r="K555" s="351">
        <v>0</v>
      </c>
      <c r="L555" s="351">
        <v>0</v>
      </c>
      <c r="M555" s="351">
        <v>0</v>
      </c>
      <c r="N555" s="351">
        <v>0</v>
      </c>
      <c r="O555" s="353">
        <v>1</v>
      </c>
      <c r="P555" s="284"/>
      <c r="Q555" s="284">
        <f t="shared" si="20"/>
        <v>0</v>
      </c>
      <c r="R555" s="3" t="str">
        <f>_xlfn.IFNA(VLOOKUP(Tabella1[[#This Row],[Nome]],'ROSE SQUADRE'!$N$3:$O$253,2,0),"")</f>
        <v>PARTIZAN DEGRADO</v>
      </c>
      <c r="S555" s="193">
        <f>SUM(Tabella1[[#This Row],[Gf]],Tabella1[[#This Row],[Rf]])</f>
        <v>0</v>
      </c>
      <c r="T555" s="193"/>
      <c r="U555" s="285" t="str">
        <f>IF(Tabella1[[#This Row],[N° FantaTit]]="","",Tabella1[[#This Row],[fanta voto]])</f>
        <v/>
      </c>
      <c r="V555" s="193">
        <f>SUM(Tabella1[[#This Row],[Voto]],(G555*3),Q555,P555,O555,-(N555),(-M555/2),(-L555*2),(-H555),(I555*3),(-J555*3),(K555*3))</f>
        <v>7.5</v>
      </c>
      <c r="W555" s="193"/>
      <c r="X555" s="193" t="str">
        <f>IF(Tabella1[[#This Row],[Best 11]]=1,Tabella1[[#This Row],[fanta voto]],"")</f>
        <v/>
      </c>
      <c r="Z555" s="193" t="str">
        <f>IF(Tabella1[[#This Row],[Best 11 MOD]]=1,Tabella1[[#This Row],[fanta voto]],"")</f>
        <v/>
      </c>
      <c r="AA555" t="str">
        <f>CONCATENATE(Tabella1[[#This Row],[GG]],Tabella1[[#This Row],[Nome]])</f>
        <v>2Cacciamani</v>
      </c>
      <c r="AB555" t="str">
        <f t="shared" si="21"/>
        <v>2PARTIZAN DEGRADO</v>
      </c>
      <c r="AC555" t="str">
        <f>_xlfn.CONCAT(Tabella1[[#This Row],[Ruolo]],Tabella1[[#This Row],[Gs]])</f>
        <v>C0</v>
      </c>
    </row>
    <row r="556" spans="1:29" hidden="1" x14ac:dyDescent="0.3">
      <c r="A556" s="14">
        <v>46261</v>
      </c>
      <c r="B556" s="15">
        <v>2</v>
      </c>
      <c r="C556" s="321" t="s">
        <v>934</v>
      </c>
      <c r="D556" s="346" t="s">
        <v>162</v>
      </c>
      <c r="E556" s="346" t="s">
        <v>940</v>
      </c>
      <c r="F556" s="347">
        <v>5.5</v>
      </c>
      <c r="G556" s="348">
        <v>0</v>
      </c>
      <c r="H556" s="348">
        <v>0</v>
      </c>
      <c r="I556" s="348">
        <v>0</v>
      </c>
      <c r="J556" s="348">
        <v>0</v>
      </c>
      <c r="K556" s="348">
        <v>0</v>
      </c>
      <c r="L556" s="348">
        <v>0</v>
      </c>
      <c r="M556" s="348">
        <v>0</v>
      </c>
      <c r="N556" s="348">
        <v>0</v>
      </c>
      <c r="O556" s="348">
        <v>0</v>
      </c>
      <c r="P556" s="284"/>
      <c r="Q556" s="284">
        <f t="shared" si="20"/>
        <v>0</v>
      </c>
      <c r="R556" s="3" t="str">
        <f>_xlfn.IFNA(VLOOKUP(Tabella1[[#This Row],[Nome]],'ROSE SQUADRE'!$N$3:$O$253,2,0),"")</f>
        <v/>
      </c>
      <c r="S556" s="193">
        <f>SUM(Tabella1[[#This Row],[Gf]],Tabella1[[#This Row],[Rf]])</f>
        <v>0</v>
      </c>
      <c r="T556" s="193"/>
      <c r="U556" s="285" t="str">
        <f>IF(Tabella1[[#This Row],[N° FantaTit]]="","",Tabella1[[#This Row],[fanta voto]])</f>
        <v/>
      </c>
      <c r="V556" s="193">
        <f>SUM(Tabella1[[#This Row],[Voto]],(G556*3),Q556,P556,O556,-(N556),(-M556/2),(-L556*2),(-H556),(I556*3),(-J556*3),(K556*3))</f>
        <v>5.5</v>
      </c>
      <c r="W556" s="193"/>
      <c r="X556" s="193" t="str">
        <f>IF(Tabella1[[#This Row],[Best 11]]=1,Tabella1[[#This Row],[fanta voto]],"")</f>
        <v/>
      </c>
      <c r="Z556" s="193" t="str">
        <f>IF(Tabella1[[#This Row],[Best 11 MOD]]=1,Tabella1[[#This Row],[fanta voto]],"")</f>
        <v/>
      </c>
      <c r="AA556" t="str">
        <f>CONCATENATE(Tabella1[[#This Row],[GG]],Tabella1[[#This Row],[Nome]])</f>
        <v>2Aboukhlal</v>
      </c>
      <c r="AB556" t="str">
        <f t="shared" si="21"/>
        <v>2</v>
      </c>
      <c r="AC556" t="str">
        <f>_xlfn.CONCAT(Tabella1[[#This Row],[Ruolo]],Tabella1[[#This Row],[Gs]])</f>
        <v>C0</v>
      </c>
    </row>
    <row r="557" spans="1:29" hidden="1" x14ac:dyDescent="0.3">
      <c r="A557" s="14">
        <v>46261</v>
      </c>
      <c r="B557" s="15">
        <v>2</v>
      </c>
      <c r="C557" s="321" t="s">
        <v>934</v>
      </c>
      <c r="D557" s="349" t="s">
        <v>162</v>
      </c>
      <c r="E557" s="349" t="s">
        <v>944</v>
      </c>
      <c r="F557" s="350">
        <v>6</v>
      </c>
      <c r="G557" s="351">
        <v>0</v>
      </c>
      <c r="H557" s="351">
        <v>0</v>
      </c>
      <c r="I557" s="351">
        <v>0</v>
      </c>
      <c r="J557" s="351">
        <v>0</v>
      </c>
      <c r="K557" s="351">
        <v>0</v>
      </c>
      <c r="L557" s="351">
        <v>0</v>
      </c>
      <c r="M557" s="351">
        <v>0</v>
      </c>
      <c r="N557" s="351">
        <v>0</v>
      </c>
      <c r="O557" s="351">
        <v>0</v>
      </c>
      <c r="P557" s="284"/>
      <c r="Q557" s="284">
        <f t="shared" si="20"/>
        <v>0</v>
      </c>
      <c r="R557" s="3" t="str">
        <f>_xlfn.IFNA(VLOOKUP(Tabella1[[#This Row],[Nome]],'ROSE SQUADRE'!$N$3:$O$253,2,0),"")</f>
        <v/>
      </c>
      <c r="S557" s="193">
        <f>SUM(Tabella1[[#This Row],[Gf]],Tabella1[[#This Row],[Rf]])</f>
        <v>0</v>
      </c>
      <c r="T557" s="193"/>
      <c r="U557" s="285" t="str">
        <f>IF(Tabella1[[#This Row],[N° FantaTit]]="","",Tabella1[[#This Row],[fanta voto]])</f>
        <v/>
      </c>
      <c r="V557" s="193">
        <f>SUM(Tabella1[[#This Row],[Voto]],(G557*3),Q557,P557,O557,-(N557),(-M557/2),(-L557*2),(-H557),(I557*3),(-J557*3),(K557*3))</f>
        <v>6</v>
      </c>
      <c r="W557" s="193"/>
      <c r="X557" s="193" t="str">
        <f>IF(Tabella1[[#This Row],[Best 11]]=1,Tabella1[[#This Row],[fanta voto]],"")</f>
        <v/>
      </c>
      <c r="Z557" s="193" t="str">
        <f>IF(Tabella1[[#This Row],[Best 11 MOD]]=1,Tabella1[[#This Row],[fanta voto]],"")</f>
        <v/>
      </c>
      <c r="AA557" t="str">
        <f>CONCATENATE(Tabella1[[#This Row],[GG]],Tabella1[[#This Row],[Nome]])</f>
        <v>2Fitz-Jim</v>
      </c>
      <c r="AB557" t="str">
        <f t="shared" si="21"/>
        <v>2</v>
      </c>
      <c r="AC557" t="str">
        <f>_xlfn.CONCAT(Tabella1[[#This Row],[Ruolo]],Tabella1[[#This Row],[Gs]])</f>
        <v>C0</v>
      </c>
    </row>
    <row r="558" spans="1:29" hidden="1" x14ac:dyDescent="0.3">
      <c r="A558" s="14">
        <v>46261</v>
      </c>
      <c r="B558" s="15">
        <v>2</v>
      </c>
      <c r="C558" s="321" t="s">
        <v>934</v>
      </c>
      <c r="D558" s="349" t="s">
        <v>163</v>
      </c>
      <c r="E558" s="349" t="s">
        <v>345</v>
      </c>
      <c r="F558" s="350">
        <v>5.5</v>
      </c>
      <c r="G558" s="351">
        <v>0</v>
      </c>
      <c r="H558" s="351">
        <v>0</v>
      </c>
      <c r="I558" s="351">
        <v>0</v>
      </c>
      <c r="J558" s="351">
        <v>0</v>
      </c>
      <c r="K558" s="351">
        <v>0</v>
      </c>
      <c r="L558" s="351">
        <v>0</v>
      </c>
      <c r="M558" s="351">
        <v>0</v>
      </c>
      <c r="N558" s="351">
        <v>0</v>
      </c>
      <c r="O558" s="351">
        <v>0</v>
      </c>
      <c r="P558" s="284"/>
      <c r="Q558" s="284">
        <f t="shared" si="20"/>
        <v>0</v>
      </c>
      <c r="R558" s="3" t="str">
        <f>_xlfn.IFNA(VLOOKUP(Tabella1[[#This Row],[Nome]],'ROSE SQUADRE'!$N$3:$O$253,2,0),"")</f>
        <v>AS PIPPERIA</v>
      </c>
      <c r="S558" s="193">
        <f>SUM(Tabella1[[#This Row],[Gf]],Tabella1[[#This Row],[Rf]])</f>
        <v>0</v>
      </c>
      <c r="T558" s="193"/>
      <c r="U558" s="285" t="str">
        <f>IF(Tabella1[[#This Row],[N° FantaTit]]="","",Tabella1[[#This Row],[fanta voto]])</f>
        <v/>
      </c>
      <c r="V558" s="193">
        <f>SUM(Tabella1[[#This Row],[Voto]],(G558*3),Q558,P558,O558,-(N558),(-M558/2),(-L558*2),(-H558),(I558*3),(-J558*3),(K558*3))</f>
        <v>5.5</v>
      </c>
      <c r="W558" s="193"/>
      <c r="X558" s="193" t="str">
        <f>IF(Tabella1[[#This Row],[Best 11]]=1,Tabella1[[#This Row],[fanta voto]],"")</f>
        <v/>
      </c>
      <c r="Z558" s="193" t="str">
        <f>IF(Tabella1[[#This Row],[Best 11 MOD]]=1,Tabella1[[#This Row],[fanta voto]],"")</f>
        <v/>
      </c>
      <c r="AA558" t="str">
        <f>CONCATENATE(Tabella1[[#This Row],[GG]],Tabella1[[#This Row],[Nome]])</f>
        <v>2Simeone</v>
      </c>
      <c r="AB558" t="str">
        <f t="shared" si="21"/>
        <v>2AS PIPPERIA</v>
      </c>
      <c r="AC558" t="str">
        <f>_xlfn.CONCAT(Tabella1[[#This Row],[Ruolo]],Tabella1[[#This Row],[Gs]])</f>
        <v>A0</v>
      </c>
    </row>
    <row r="559" spans="1:29" hidden="1" x14ac:dyDescent="0.3">
      <c r="A559" s="14">
        <v>46261</v>
      </c>
      <c r="B559" s="15">
        <v>2</v>
      </c>
      <c r="C559" s="321" t="s">
        <v>934</v>
      </c>
      <c r="D559" s="346" t="s">
        <v>163</v>
      </c>
      <c r="E559" s="346" t="s">
        <v>574</v>
      </c>
      <c r="F559" s="347">
        <v>6</v>
      </c>
      <c r="G559" s="348">
        <v>0</v>
      </c>
      <c r="H559" s="348">
        <v>0</v>
      </c>
      <c r="I559" s="348">
        <v>0</v>
      </c>
      <c r="J559" s="348">
        <v>0</v>
      </c>
      <c r="K559" s="348">
        <v>0</v>
      </c>
      <c r="L559" s="348">
        <v>0</v>
      </c>
      <c r="M559" s="348">
        <v>0</v>
      </c>
      <c r="N559" s="348">
        <v>0</v>
      </c>
      <c r="O559" s="348">
        <v>0</v>
      </c>
      <c r="P559" s="284"/>
      <c r="Q559" s="284">
        <f t="shared" si="20"/>
        <v>0</v>
      </c>
      <c r="R559" s="3" t="str">
        <f>_xlfn.IFNA(VLOOKUP(Tabella1[[#This Row],[Nome]],'ROSE SQUADRE'!$N$3:$O$253,2,0),"")</f>
        <v>FC INTERNAZIOANALE</v>
      </c>
      <c r="S559" s="193">
        <f>SUM(Tabella1[[#This Row],[Gf]],Tabella1[[#This Row],[Rf]])</f>
        <v>0</v>
      </c>
      <c r="T559" s="193"/>
      <c r="U559" s="285" t="str">
        <f>IF(Tabella1[[#This Row],[N° FantaTit]]="","",Tabella1[[#This Row],[fanta voto]])</f>
        <v/>
      </c>
      <c r="V559" s="193">
        <f>SUM(Tabella1[[#This Row],[Voto]],(G559*3),Q559,P559,O559,-(N559),(-M559/2),(-L559*2),(-H559),(I559*3),(-J559*3),(K559*3))</f>
        <v>6</v>
      </c>
      <c r="W559" s="193"/>
      <c r="X559" s="193" t="str">
        <f>IF(Tabella1[[#This Row],[Best 11]]=1,Tabella1[[#This Row],[fanta voto]],"")</f>
        <v/>
      </c>
      <c r="Z559" s="193" t="str">
        <f>IF(Tabella1[[#This Row],[Best 11 MOD]]=1,Tabella1[[#This Row],[fanta voto]],"")</f>
        <v/>
      </c>
      <c r="AA559" t="str">
        <f>CONCATENATE(Tabella1[[#This Row],[GG]],Tabella1[[#This Row],[Nome]])</f>
        <v>2Adams C.</v>
      </c>
      <c r="AB559" t="str">
        <f t="shared" si="21"/>
        <v>2FC INTERNAZIOANALE</v>
      </c>
      <c r="AC559" t="str">
        <f>_xlfn.CONCAT(Tabella1[[#This Row],[Ruolo]],Tabella1[[#This Row],[Gs]])</f>
        <v>A0</v>
      </c>
    </row>
    <row r="560" spans="1:29" hidden="1" x14ac:dyDescent="0.3">
      <c r="A560" s="14">
        <v>46261</v>
      </c>
      <c r="B560" s="15">
        <v>2</v>
      </c>
      <c r="C560" s="321" t="s">
        <v>934</v>
      </c>
      <c r="D560" s="349" t="s">
        <v>163</v>
      </c>
      <c r="E560" s="349" t="s">
        <v>949</v>
      </c>
      <c r="F560" s="350">
        <v>5.5</v>
      </c>
      <c r="G560" s="351">
        <v>0</v>
      </c>
      <c r="H560" s="351">
        <v>0</v>
      </c>
      <c r="I560" s="351">
        <v>0</v>
      </c>
      <c r="J560" s="351">
        <v>0</v>
      </c>
      <c r="K560" s="351">
        <v>0</v>
      </c>
      <c r="L560" s="351">
        <v>0</v>
      </c>
      <c r="M560" s="351">
        <v>0</v>
      </c>
      <c r="N560" s="351">
        <v>0</v>
      </c>
      <c r="O560" s="351">
        <v>0</v>
      </c>
      <c r="P560" s="284"/>
      <c r="Q560" s="284">
        <f t="shared" si="20"/>
        <v>0</v>
      </c>
      <c r="R560" s="3" t="str">
        <f>_xlfn.IFNA(VLOOKUP(Tabella1[[#This Row],[Nome]],'ROSE SQUADRE'!$N$3:$O$253,2,0),"")</f>
        <v/>
      </c>
      <c r="S560" s="193">
        <f>SUM(Tabella1[[#This Row],[Gf]],Tabella1[[#This Row],[Rf]])</f>
        <v>0</v>
      </c>
      <c r="T560" s="193"/>
      <c r="U560" s="285" t="str">
        <f>IF(Tabella1[[#This Row],[N° FantaTit]]="","",Tabella1[[#This Row],[fanta voto]])</f>
        <v/>
      </c>
      <c r="V560" s="193">
        <f>SUM(Tabella1[[#This Row],[Voto]],(G560*3),Q560,P560,O560,-(N560),(-M560/2),(-L560*2),(-H560),(I560*3),(-J560*3),(K560*3))</f>
        <v>5.5</v>
      </c>
      <c r="W560" s="193"/>
      <c r="X560" s="193" t="str">
        <f>IF(Tabella1[[#This Row],[Best 11]]=1,Tabella1[[#This Row],[fanta voto]],"")</f>
        <v/>
      </c>
      <c r="Z560" s="193" t="str">
        <f>IF(Tabella1[[#This Row],[Best 11 MOD]]=1,Tabella1[[#This Row],[fanta voto]],"")</f>
        <v/>
      </c>
      <c r="AA560" t="str">
        <f>CONCATENATE(Tabella1[[#This Row],[GG]],Tabella1[[#This Row],[Nome]])</f>
        <v>2Kulenovic</v>
      </c>
      <c r="AB560" t="str">
        <f t="shared" si="21"/>
        <v>2</v>
      </c>
      <c r="AC560" t="str">
        <f>_xlfn.CONCAT(Tabella1[[#This Row],[Ruolo]],Tabella1[[#This Row],[Gs]])</f>
        <v>A0</v>
      </c>
    </row>
    <row r="561" spans="1:29" hidden="1" x14ac:dyDescent="0.3">
      <c r="A561" s="14">
        <v>46261</v>
      </c>
      <c r="B561" s="15">
        <v>2</v>
      </c>
      <c r="C561" s="321" t="s">
        <v>950</v>
      </c>
      <c r="D561" s="349" t="s">
        <v>5</v>
      </c>
      <c r="E561" s="349" t="s">
        <v>575</v>
      </c>
      <c r="F561" s="350">
        <v>6</v>
      </c>
      <c r="G561" s="351">
        <v>0</v>
      </c>
      <c r="H561" s="353">
        <v>2</v>
      </c>
      <c r="I561" s="351">
        <v>0</v>
      </c>
      <c r="J561" s="351">
        <v>0</v>
      </c>
      <c r="K561" s="351">
        <v>0</v>
      </c>
      <c r="L561" s="351">
        <v>0</v>
      </c>
      <c r="M561" s="351">
        <v>0</v>
      </c>
      <c r="N561" s="351">
        <v>0</v>
      </c>
      <c r="O561" s="351">
        <v>0</v>
      </c>
      <c r="P561" s="284"/>
      <c r="Q561" s="284">
        <f t="shared" ref="Q561:Q589" si="22">IF(AC561="P0",1,0)</f>
        <v>0</v>
      </c>
      <c r="R561" s="3" t="str">
        <f>_xlfn.IFNA(VLOOKUP(Tabella1[[#This Row],[Nome]],'ROSE SQUADRE'!$N$3:$O$253,2,0),"")</f>
        <v>ATL. IMPROVVISATO</v>
      </c>
      <c r="S561" s="193">
        <f>SUM(Tabella1[[#This Row],[Gf]],Tabella1[[#This Row],[Rf]])</f>
        <v>0</v>
      </c>
      <c r="T561" s="193"/>
      <c r="U561" s="285" t="str">
        <f>IF(Tabella1[[#This Row],[N° FantaTit]]="","",Tabella1[[#This Row],[fanta voto]])</f>
        <v/>
      </c>
      <c r="V561" s="193">
        <f>SUM(Tabella1[[#This Row],[Voto]],(G561*3),Q561,P561,O561,-(N561),(-M561/2),(-L561*2),(-H561),(I561*3),(-J561*3),(K561*3))</f>
        <v>4</v>
      </c>
      <c r="W561" s="193"/>
      <c r="X561" s="193" t="str">
        <f>IF(Tabella1[[#This Row],[Best 11]]=1,Tabella1[[#This Row],[fanta voto]],"")</f>
        <v/>
      </c>
      <c r="Z561" s="193" t="str">
        <f>IF(Tabella1[[#This Row],[Best 11 MOD]]=1,Tabella1[[#This Row],[fanta voto]],"")</f>
        <v/>
      </c>
      <c r="AA561" t="str">
        <f>CONCATENATE(Tabella1[[#This Row],[GG]],Tabella1[[#This Row],[Nome]])</f>
        <v>2Okoye</v>
      </c>
      <c r="AB561" t="str">
        <f t="shared" ref="AB561:AB589" si="23">CONCATENATE(B561,R561,T561)</f>
        <v>2ATL. IMPROVVISATO</v>
      </c>
      <c r="AC561" t="str">
        <f>_xlfn.CONCAT(Tabella1[[#This Row],[Ruolo]],Tabella1[[#This Row],[Gs]])</f>
        <v>P2</v>
      </c>
    </row>
    <row r="562" spans="1:29" hidden="1" x14ac:dyDescent="0.3">
      <c r="A562" s="14">
        <v>46261</v>
      </c>
      <c r="B562" s="15">
        <v>2</v>
      </c>
      <c r="C562" s="321" t="s">
        <v>950</v>
      </c>
      <c r="D562" s="346" t="s">
        <v>161</v>
      </c>
      <c r="E562" s="346" t="s">
        <v>326</v>
      </c>
      <c r="F562" s="347">
        <v>6.5</v>
      </c>
      <c r="G562" s="348">
        <v>0</v>
      </c>
      <c r="H562" s="348">
        <v>0</v>
      </c>
      <c r="I562" s="348">
        <v>0</v>
      </c>
      <c r="J562" s="348">
        <v>0</v>
      </c>
      <c r="K562" s="348">
        <v>0</v>
      </c>
      <c r="L562" s="348">
        <v>0</v>
      </c>
      <c r="M562" s="348">
        <v>0</v>
      </c>
      <c r="N562" s="348">
        <v>0</v>
      </c>
      <c r="O562" s="348">
        <v>0</v>
      </c>
      <c r="P562" s="284"/>
      <c r="Q562" s="284">
        <f t="shared" si="22"/>
        <v>0</v>
      </c>
      <c r="R562" s="3" t="str">
        <f>_xlfn.IFNA(VLOOKUP(Tabella1[[#This Row],[Nome]],'ROSE SQUADRE'!$N$3:$O$253,2,0),"")</f>
        <v>PARTIZAN DEGRADO</v>
      </c>
      <c r="S562" s="193">
        <f>SUM(Tabella1[[#This Row],[Gf]],Tabella1[[#This Row],[Rf]])</f>
        <v>0</v>
      </c>
      <c r="T562" s="193"/>
      <c r="U562" s="285" t="str">
        <f>IF(Tabella1[[#This Row],[N° FantaTit]]="","",Tabella1[[#This Row],[fanta voto]])</f>
        <v/>
      </c>
      <c r="V562" s="193">
        <f>SUM(Tabella1[[#This Row],[Voto]],(G562*3),Q562,P562,O562,-(N562),(-M562/2),(-L562*2),(-H562),(I562*3),(-J562*3),(K562*3))</f>
        <v>6.5</v>
      </c>
      <c r="W562" s="193"/>
      <c r="X562" s="193" t="str">
        <f>IF(Tabella1[[#This Row],[Best 11]]=1,Tabella1[[#This Row],[fanta voto]],"")</f>
        <v/>
      </c>
      <c r="Z562" s="193" t="str">
        <f>IF(Tabella1[[#This Row],[Best 11 MOD]]=1,Tabella1[[#This Row],[fanta voto]],"")</f>
        <v/>
      </c>
      <c r="AA562" t="str">
        <f>CONCATENATE(Tabella1[[#This Row],[GG]],Tabella1[[#This Row],[Nome]])</f>
        <v>2Vojvoda</v>
      </c>
      <c r="AB562" t="str">
        <f t="shared" si="23"/>
        <v>2PARTIZAN DEGRADO</v>
      </c>
      <c r="AC562" t="str">
        <f>_xlfn.CONCAT(Tabella1[[#This Row],[Ruolo]],Tabella1[[#This Row],[Gs]])</f>
        <v>D0</v>
      </c>
    </row>
    <row r="563" spans="1:29" hidden="1" x14ac:dyDescent="0.3">
      <c r="A563" s="14">
        <v>46261</v>
      </c>
      <c r="B563" s="15">
        <v>2</v>
      </c>
      <c r="C563" s="321" t="s">
        <v>950</v>
      </c>
      <c r="D563" s="349" t="s">
        <v>161</v>
      </c>
      <c r="E563" s="349" t="s">
        <v>469</v>
      </c>
      <c r="F563" s="350">
        <v>7</v>
      </c>
      <c r="G563" s="353">
        <v>1</v>
      </c>
      <c r="H563" s="351">
        <v>0</v>
      </c>
      <c r="I563" s="351">
        <v>0</v>
      </c>
      <c r="J563" s="351">
        <v>0</v>
      </c>
      <c r="K563" s="351">
        <v>0</v>
      </c>
      <c r="L563" s="351">
        <v>0</v>
      </c>
      <c r="M563" s="351">
        <v>0</v>
      </c>
      <c r="N563" s="351">
        <v>0</v>
      </c>
      <c r="O563" s="351">
        <v>0</v>
      </c>
      <c r="P563" s="284"/>
      <c r="Q563" s="284">
        <f t="shared" si="22"/>
        <v>0</v>
      </c>
      <c r="R563" s="3" t="str">
        <f>_xlfn.IFNA(VLOOKUP(Tabella1[[#This Row],[Nome]],'ROSE SQUADRE'!$N$3:$O$253,2,0),"")</f>
        <v>TRICCHETRACHT</v>
      </c>
      <c r="S563" s="193">
        <f>SUM(Tabella1[[#This Row],[Gf]],Tabella1[[#This Row],[Rf]])</f>
        <v>1</v>
      </c>
      <c r="T563" s="193"/>
      <c r="U563" s="285" t="str">
        <f>IF(Tabella1[[#This Row],[N° FantaTit]]="","",Tabella1[[#This Row],[fanta voto]])</f>
        <v/>
      </c>
      <c r="V563" s="193">
        <f>SUM(Tabella1[[#This Row],[Voto]],(G563*3),Q563,P563,O563,-(N563),(-M563/2),(-L563*2),(-H563),(I563*3),(-J563*3),(K563*3))</f>
        <v>10</v>
      </c>
      <c r="W563" s="193"/>
      <c r="X563" s="193" t="str">
        <f>IF(Tabella1[[#This Row],[Best 11]]=1,Tabella1[[#This Row],[fanta voto]],"")</f>
        <v/>
      </c>
      <c r="Z563" s="193" t="str">
        <f>IF(Tabella1[[#This Row],[Best 11 MOD]]=1,Tabella1[[#This Row],[fanta voto]],"")</f>
        <v/>
      </c>
      <c r="AA563" t="str">
        <f>CONCATENATE(Tabella1[[#This Row],[GG]],Tabella1[[#This Row],[Nome]])</f>
        <v>2Kamara H.</v>
      </c>
      <c r="AB563" t="str">
        <f t="shared" si="23"/>
        <v>2TRICCHETRACHT</v>
      </c>
      <c r="AC563" t="str">
        <f>_xlfn.CONCAT(Tabella1[[#This Row],[Ruolo]],Tabella1[[#This Row],[Gs]])</f>
        <v>D0</v>
      </c>
    </row>
    <row r="564" spans="1:29" hidden="1" x14ac:dyDescent="0.3">
      <c r="A564" s="14">
        <v>46261</v>
      </c>
      <c r="B564" s="15">
        <v>2</v>
      </c>
      <c r="C564" s="321" t="s">
        <v>950</v>
      </c>
      <c r="D564" s="346" t="s">
        <v>161</v>
      </c>
      <c r="E564" s="346" t="s">
        <v>955</v>
      </c>
      <c r="F564" s="347">
        <v>6</v>
      </c>
      <c r="G564" s="348">
        <v>0</v>
      </c>
      <c r="H564" s="348">
        <v>0</v>
      </c>
      <c r="I564" s="348">
        <v>0</v>
      </c>
      <c r="J564" s="348">
        <v>0</v>
      </c>
      <c r="K564" s="348">
        <v>0</v>
      </c>
      <c r="L564" s="348">
        <v>0</v>
      </c>
      <c r="M564" s="348">
        <v>0</v>
      </c>
      <c r="N564" s="348">
        <v>0</v>
      </c>
      <c r="O564" s="348">
        <v>0</v>
      </c>
      <c r="P564" s="284"/>
      <c r="Q564" s="284">
        <f t="shared" si="22"/>
        <v>0</v>
      </c>
      <c r="R564" s="3" t="str">
        <f>_xlfn.IFNA(VLOOKUP(Tabella1[[#This Row],[Nome]],'ROSE SQUADRE'!$N$3:$O$253,2,0),"")</f>
        <v/>
      </c>
      <c r="S564" s="193">
        <f>SUM(Tabella1[[#This Row],[Gf]],Tabella1[[#This Row],[Rf]])</f>
        <v>0</v>
      </c>
      <c r="T564" s="193"/>
      <c r="U564" s="285" t="str">
        <f>IF(Tabella1[[#This Row],[N° FantaTit]]="","",Tabella1[[#This Row],[fanta voto]])</f>
        <v/>
      </c>
      <c r="V564" s="193">
        <f>SUM(Tabella1[[#This Row],[Voto]],(G564*3),Q564,P564,O564,-(N564),(-M564/2),(-L564*2),(-H564),(I564*3),(-J564*3),(K564*3))</f>
        <v>6</v>
      </c>
      <c r="W564" s="193"/>
      <c r="X564" s="193" t="str">
        <f>IF(Tabella1[[#This Row],[Best 11]]=1,Tabella1[[#This Row],[fanta voto]],"")</f>
        <v/>
      </c>
      <c r="Z564" s="193" t="str">
        <f>IF(Tabella1[[#This Row],[Best 11 MOD]]=1,Tabella1[[#This Row],[fanta voto]],"")</f>
        <v/>
      </c>
      <c r="AA564" t="str">
        <f>CONCATENATE(Tabella1[[#This Row],[GG]],Tabella1[[#This Row],[Nome]])</f>
        <v>2Bertola</v>
      </c>
      <c r="AB564" t="str">
        <f t="shared" si="23"/>
        <v>2</v>
      </c>
      <c r="AC564" t="str">
        <f>_xlfn.CONCAT(Tabella1[[#This Row],[Ruolo]],Tabella1[[#This Row],[Gs]])</f>
        <v>D0</v>
      </c>
    </row>
    <row r="565" spans="1:29" hidden="1" x14ac:dyDescent="0.3">
      <c r="A565" s="14">
        <v>46261</v>
      </c>
      <c r="B565" s="15">
        <v>2</v>
      </c>
      <c r="C565" s="321" t="s">
        <v>950</v>
      </c>
      <c r="D565" s="349" t="s">
        <v>161</v>
      </c>
      <c r="E565" s="349" t="s">
        <v>956</v>
      </c>
      <c r="F565" s="350">
        <v>5.5</v>
      </c>
      <c r="G565" s="351">
        <v>0</v>
      </c>
      <c r="H565" s="351">
        <v>0</v>
      </c>
      <c r="I565" s="351">
        <v>0</v>
      </c>
      <c r="J565" s="351">
        <v>0</v>
      </c>
      <c r="K565" s="351">
        <v>0</v>
      </c>
      <c r="L565" s="351">
        <v>0</v>
      </c>
      <c r="M565" s="351">
        <v>0</v>
      </c>
      <c r="N565" s="351">
        <v>0</v>
      </c>
      <c r="O565" s="351">
        <v>0</v>
      </c>
      <c r="P565" s="284"/>
      <c r="Q565" s="284">
        <f t="shared" si="22"/>
        <v>0</v>
      </c>
      <c r="R565" s="3" t="str">
        <f>_xlfn.IFNA(VLOOKUP(Tabella1[[#This Row],[Nome]],'ROSE SQUADRE'!$N$3:$O$253,2,0),"")</f>
        <v/>
      </c>
      <c r="S565" s="193">
        <f>SUM(Tabella1[[#This Row],[Gf]],Tabella1[[#This Row],[Rf]])</f>
        <v>0</v>
      </c>
      <c r="T565" s="193"/>
      <c r="U565" s="285" t="str">
        <f>IF(Tabella1[[#This Row],[N° FantaTit]]="","",Tabella1[[#This Row],[fanta voto]])</f>
        <v/>
      </c>
      <c r="V565" s="193">
        <f>SUM(Tabella1[[#This Row],[Voto]],(G565*3),Q565,P565,O565,-(N565),(-M565/2),(-L565*2),(-H565),(I565*3),(-J565*3),(K565*3))</f>
        <v>5.5</v>
      </c>
      <c r="W565" s="193"/>
      <c r="X565" s="193" t="str">
        <f>IF(Tabella1[[#This Row],[Best 11]]=1,Tabella1[[#This Row],[fanta voto]],"")</f>
        <v/>
      </c>
      <c r="Z565" s="193" t="str">
        <f>IF(Tabella1[[#This Row],[Best 11 MOD]]=1,Tabella1[[#This Row],[fanta voto]],"")</f>
        <v/>
      </c>
      <c r="AA565" t="str">
        <f>CONCATENATE(Tabella1[[#This Row],[GG]],Tabella1[[#This Row],[Nome]])</f>
        <v>2Ebosse</v>
      </c>
      <c r="AB565" t="str">
        <f t="shared" si="23"/>
        <v>2</v>
      </c>
      <c r="AC565" t="str">
        <f>_xlfn.CONCAT(Tabella1[[#This Row],[Ruolo]],Tabella1[[#This Row],[Gs]])</f>
        <v>D0</v>
      </c>
    </row>
    <row r="566" spans="1:29" hidden="1" x14ac:dyDescent="0.3">
      <c r="A566" s="14">
        <v>46261</v>
      </c>
      <c r="B566" s="15">
        <v>2</v>
      </c>
      <c r="C566" s="321" t="s">
        <v>950</v>
      </c>
      <c r="D566" s="346" t="s">
        <v>161</v>
      </c>
      <c r="E566" s="346" t="s">
        <v>953</v>
      </c>
      <c r="F566" s="347">
        <v>6.5</v>
      </c>
      <c r="G566" s="348">
        <v>0</v>
      </c>
      <c r="H566" s="348">
        <v>0</v>
      </c>
      <c r="I566" s="348">
        <v>0</v>
      </c>
      <c r="J566" s="348">
        <v>0</v>
      </c>
      <c r="K566" s="348">
        <v>0</v>
      </c>
      <c r="L566" s="348">
        <v>0</v>
      </c>
      <c r="M566" s="348">
        <v>0</v>
      </c>
      <c r="N566" s="348">
        <v>0</v>
      </c>
      <c r="O566" s="348">
        <v>0</v>
      </c>
      <c r="P566" s="284"/>
      <c r="Q566" s="284">
        <f t="shared" si="22"/>
        <v>0</v>
      </c>
      <c r="R566" s="3" t="str">
        <f>_xlfn.IFNA(VLOOKUP(Tabella1[[#This Row],[Nome]],'ROSE SQUADRE'!$N$3:$O$253,2,0),"")</f>
        <v/>
      </c>
      <c r="S566" s="193">
        <f>SUM(Tabella1[[#This Row],[Gf]],Tabella1[[#This Row],[Rf]])</f>
        <v>0</v>
      </c>
      <c r="T566" s="193"/>
      <c r="U566" s="285" t="str">
        <f>IF(Tabella1[[#This Row],[N° FantaTit]]="","",Tabella1[[#This Row],[fanta voto]])</f>
        <v/>
      </c>
      <c r="V566" s="193">
        <f>SUM(Tabella1[[#This Row],[Voto]],(G566*3),Q566,P566,O566,-(N566),(-M566/2),(-L566*2),(-H566),(I566*3),(-J566*3),(K566*3))</f>
        <v>6.5</v>
      </c>
      <c r="W566" s="193"/>
      <c r="X566" s="193" t="str">
        <f>IF(Tabella1[[#This Row],[Best 11]]=1,Tabella1[[#This Row],[fanta voto]],"")</f>
        <v/>
      </c>
      <c r="Z566" s="193" t="str">
        <f>IF(Tabella1[[#This Row],[Best 11 MOD]]=1,Tabella1[[#This Row],[fanta voto]],"")</f>
        <v/>
      </c>
      <c r="AA566" t="str">
        <f>CONCATENATE(Tabella1[[#This Row],[GG]],Tabella1[[#This Row],[Nome]])</f>
        <v>2Abankwah</v>
      </c>
      <c r="AB566" t="str">
        <f t="shared" si="23"/>
        <v>2</v>
      </c>
      <c r="AC566" t="str">
        <f>_xlfn.CONCAT(Tabella1[[#This Row],[Ruolo]],Tabella1[[#This Row],[Gs]])</f>
        <v>D0</v>
      </c>
    </row>
    <row r="567" spans="1:29" hidden="1" x14ac:dyDescent="0.3">
      <c r="A567" s="14">
        <v>46261</v>
      </c>
      <c r="B567" s="15">
        <v>2</v>
      </c>
      <c r="C567" s="321" t="s">
        <v>950</v>
      </c>
      <c r="D567" s="349" t="s">
        <v>161</v>
      </c>
      <c r="E567" s="349" t="s">
        <v>959</v>
      </c>
      <c r="F567" s="350">
        <v>6</v>
      </c>
      <c r="G567" s="351">
        <v>0</v>
      </c>
      <c r="H567" s="351">
        <v>0</v>
      </c>
      <c r="I567" s="351">
        <v>0</v>
      </c>
      <c r="J567" s="351">
        <v>0</v>
      </c>
      <c r="K567" s="351">
        <v>0</v>
      </c>
      <c r="L567" s="351">
        <v>0</v>
      </c>
      <c r="M567" s="351">
        <v>0</v>
      </c>
      <c r="N567" s="351">
        <v>0</v>
      </c>
      <c r="O567" s="351">
        <v>0</v>
      </c>
      <c r="P567" s="284"/>
      <c r="Q567" s="284">
        <f t="shared" si="22"/>
        <v>0</v>
      </c>
      <c r="R567" s="3" t="str">
        <f>_xlfn.IFNA(VLOOKUP(Tabella1[[#This Row],[Nome]],'ROSE SQUADRE'!$N$3:$O$253,2,0),"")</f>
        <v>PARTIZAN DEGRADO</v>
      </c>
      <c r="S567" s="193">
        <f>SUM(Tabella1[[#This Row],[Gf]],Tabella1[[#This Row],[Rf]])</f>
        <v>0</v>
      </c>
      <c r="T567" s="193"/>
      <c r="U567" s="285" t="str">
        <f>IF(Tabella1[[#This Row],[N° FantaTit]]="","",Tabella1[[#This Row],[fanta voto]])</f>
        <v/>
      </c>
      <c r="V567" s="193">
        <f>SUM(Tabella1[[#This Row],[Voto]],(G567*3),Q567,P567,O567,-(N567),(-M567/2),(-L567*2),(-H567),(I567*3),(-J567*3),(K567*3))</f>
        <v>6</v>
      </c>
      <c r="W567" s="193"/>
      <c r="X567" s="193" t="str">
        <f>IF(Tabella1[[#This Row],[Best 11]]=1,Tabella1[[#This Row],[fanta voto]],"")</f>
        <v/>
      </c>
      <c r="Z567" s="193" t="str">
        <f>IF(Tabella1[[#This Row],[Best 11 MOD]]=1,Tabella1[[#This Row],[fanta voto]],"")</f>
        <v/>
      </c>
      <c r="AA567" t="str">
        <f>CONCATENATE(Tabella1[[#This Row],[GG]],Tabella1[[#This Row],[Nome]])</f>
        <v>2Solet</v>
      </c>
      <c r="AB567" t="str">
        <f t="shared" si="23"/>
        <v>2PARTIZAN DEGRADO</v>
      </c>
      <c r="AC567" t="str">
        <f>_xlfn.CONCAT(Tabella1[[#This Row],[Ruolo]],Tabella1[[#This Row],[Gs]])</f>
        <v>D0</v>
      </c>
    </row>
    <row r="568" spans="1:29" hidden="1" x14ac:dyDescent="0.3">
      <c r="A568" s="14">
        <v>46261</v>
      </c>
      <c r="B568" s="15">
        <v>2</v>
      </c>
      <c r="C568" s="321" t="s">
        <v>950</v>
      </c>
      <c r="D568" s="349" t="s">
        <v>162</v>
      </c>
      <c r="E568" s="349" t="s">
        <v>621</v>
      </c>
      <c r="F568" s="350">
        <v>6</v>
      </c>
      <c r="G568" s="351">
        <v>0</v>
      </c>
      <c r="H568" s="351">
        <v>0</v>
      </c>
      <c r="I568" s="351">
        <v>0</v>
      </c>
      <c r="J568" s="351">
        <v>0</v>
      </c>
      <c r="K568" s="351">
        <v>0</v>
      </c>
      <c r="L568" s="351">
        <v>0</v>
      </c>
      <c r="M568" s="351">
        <v>0</v>
      </c>
      <c r="N568" s="351">
        <v>0</v>
      </c>
      <c r="O568" s="351">
        <v>0</v>
      </c>
      <c r="P568" s="284"/>
      <c r="Q568" s="284">
        <f t="shared" si="22"/>
        <v>0</v>
      </c>
      <c r="R568" s="3" t="str">
        <f>_xlfn.IFNA(VLOOKUP(Tabella1[[#This Row],[Nome]],'ROSE SQUADRE'!$N$3:$O$253,2,0),"")</f>
        <v/>
      </c>
      <c r="S568" s="193">
        <f>SUM(Tabella1[[#This Row],[Gf]],Tabella1[[#This Row],[Rf]])</f>
        <v>0</v>
      </c>
      <c r="T568" s="193"/>
      <c r="U568" s="285" t="str">
        <f>IF(Tabella1[[#This Row],[N° FantaTit]]="","",Tabella1[[#This Row],[fanta voto]])</f>
        <v/>
      </c>
      <c r="V568" s="193">
        <f>SUM(Tabella1[[#This Row],[Voto]],(G568*3),Q568,P568,O568,-(N568),(-M568/2),(-L568*2),(-H568),(I568*3),(-J568*3),(K568*3))</f>
        <v>6</v>
      </c>
      <c r="W568" s="193"/>
      <c r="X568" s="193" t="str">
        <f>IF(Tabella1[[#This Row],[Best 11]]=1,Tabella1[[#This Row],[fanta voto]],"")</f>
        <v/>
      </c>
      <c r="Z568" s="193" t="str">
        <f>IF(Tabella1[[#This Row],[Best 11 MOD]]=1,Tabella1[[#This Row],[fanta voto]],"")</f>
        <v/>
      </c>
      <c r="AA568" t="str">
        <f>CONCATENATE(Tabella1[[#This Row],[GG]],Tabella1[[#This Row],[Nome]])</f>
        <v>2Zarraga</v>
      </c>
      <c r="AB568" t="str">
        <f t="shared" si="23"/>
        <v>2</v>
      </c>
      <c r="AC568" t="str">
        <f>_xlfn.CONCAT(Tabella1[[#This Row],[Ruolo]],Tabella1[[#This Row],[Gs]])</f>
        <v>C0</v>
      </c>
    </row>
    <row r="569" spans="1:29" hidden="1" x14ac:dyDescent="0.3">
      <c r="A569" s="14">
        <v>46261</v>
      </c>
      <c r="B569" s="15">
        <v>2</v>
      </c>
      <c r="C569" s="321" t="s">
        <v>950</v>
      </c>
      <c r="D569" s="346" t="s">
        <v>162</v>
      </c>
      <c r="E569" s="346" t="s">
        <v>578</v>
      </c>
      <c r="F569" s="347">
        <v>6.5</v>
      </c>
      <c r="G569" s="348">
        <v>0</v>
      </c>
      <c r="H569" s="348">
        <v>0</v>
      </c>
      <c r="I569" s="348">
        <v>0</v>
      </c>
      <c r="J569" s="348">
        <v>0</v>
      </c>
      <c r="K569" s="348">
        <v>0</v>
      </c>
      <c r="L569" s="348">
        <v>0</v>
      </c>
      <c r="M569" s="348">
        <v>0</v>
      </c>
      <c r="N569" s="348">
        <v>0</v>
      </c>
      <c r="O569" s="348">
        <v>0</v>
      </c>
      <c r="P569" s="284"/>
      <c r="Q569" s="284">
        <f t="shared" si="22"/>
        <v>0</v>
      </c>
      <c r="R569" s="3" t="str">
        <f>_xlfn.IFNA(VLOOKUP(Tabella1[[#This Row],[Nome]],'ROSE SQUADRE'!$N$3:$O$253,2,0),"")</f>
        <v>SHARK</v>
      </c>
      <c r="S569" s="193">
        <f>SUM(Tabella1[[#This Row],[Gf]],Tabella1[[#This Row],[Rf]])</f>
        <v>0</v>
      </c>
      <c r="T569" s="193"/>
      <c r="U569" s="285" t="str">
        <f>IF(Tabella1[[#This Row],[N° FantaTit]]="","",Tabella1[[#This Row],[fanta voto]])</f>
        <v/>
      </c>
      <c r="V569" s="193">
        <f>SUM(Tabella1[[#This Row],[Voto]],(G569*3),Q569,P569,O569,-(N569),(-M569/2),(-L569*2),(-H569),(I569*3),(-J569*3),(K569*3))</f>
        <v>6.5</v>
      </c>
      <c r="W569" s="193"/>
      <c r="X569" s="193" t="str">
        <f>IF(Tabella1[[#This Row],[Best 11]]=1,Tabella1[[#This Row],[fanta voto]],"")</f>
        <v/>
      </c>
      <c r="Z569" s="193" t="str">
        <f>IF(Tabella1[[#This Row],[Best 11 MOD]]=1,Tabella1[[#This Row],[fanta voto]],"")</f>
        <v/>
      </c>
      <c r="AA569" t="str">
        <f>CONCATENATE(Tabella1[[#This Row],[GG]],Tabella1[[#This Row],[Nome]])</f>
        <v>2Karlstrom</v>
      </c>
      <c r="AB569" t="str">
        <f t="shared" si="23"/>
        <v>2SHARK</v>
      </c>
      <c r="AC569" t="str">
        <f>_xlfn.CONCAT(Tabella1[[#This Row],[Ruolo]],Tabella1[[#This Row],[Gs]])</f>
        <v>C0</v>
      </c>
    </row>
    <row r="570" spans="1:29" hidden="1" x14ac:dyDescent="0.3">
      <c r="A570" s="14">
        <v>46261</v>
      </c>
      <c r="B570" s="15">
        <v>2</v>
      </c>
      <c r="C570" s="321" t="s">
        <v>950</v>
      </c>
      <c r="D570" s="349" t="s">
        <v>162</v>
      </c>
      <c r="E570" s="349" t="s">
        <v>579</v>
      </c>
      <c r="F570" s="350">
        <v>7.5</v>
      </c>
      <c r="G570" s="353">
        <v>1</v>
      </c>
      <c r="H570" s="351">
        <v>0</v>
      </c>
      <c r="I570" s="351">
        <v>0</v>
      </c>
      <c r="J570" s="351">
        <v>0</v>
      </c>
      <c r="K570" s="351">
        <v>0</v>
      </c>
      <c r="L570" s="351">
        <v>0</v>
      </c>
      <c r="M570" s="351">
        <v>0</v>
      </c>
      <c r="N570" s="351">
        <v>0</v>
      </c>
      <c r="O570" s="351">
        <v>0</v>
      </c>
      <c r="P570" s="284">
        <v>1</v>
      </c>
      <c r="Q570" s="284">
        <f t="shared" si="22"/>
        <v>0</v>
      </c>
      <c r="R570" s="3" t="str">
        <f>_xlfn.IFNA(VLOOKUP(Tabella1[[#This Row],[Nome]],'ROSE SQUADRE'!$N$3:$O$253,2,0),"")</f>
        <v>PARTIZAN DEGRADO</v>
      </c>
      <c r="S570" s="193">
        <f>SUM(Tabella1[[#This Row],[Gf]],Tabella1[[#This Row],[Rf]])</f>
        <v>1</v>
      </c>
      <c r="T570" s="193"/>
      <c r="U570" s="285" t="str">
        <f>IF(Tabella1[[#This Row],[N° FantaTit]]="","",Tabella1[[#This Row],[fanta voto]])</f>
        <v/>
      </c>
      <c r="V570" s="193">
        <f>SUM(Tabella1[[#This Row],[Voto]],(G570*3),Q570,P570,O570,-(N570),(-M570/2),(-L570*2),(-H570),(I570*3),(-J570*3),(K570*3))</f>
        <v>11.5</v>
      </c>
      <c r="W570" s="193"/>
      <c r="X570" s="193" t="str">
        <f>IF(Tabella1[[#This Row],[Best 11]]=1,Tabella1[[#This Row],[fanta voto]],"")</f>
        <v/>
      </c>
      <c r="Z570" s="193" t="str">
        <f>IF(Tabella1[[#This Row],[Best 11 MOD]]=1,Tabella1[[#This Row],[fanta voto]],"")</f>
        <v/>
      </c>
      <c r="AA570" t="str">
        <f>CONCATENATE(Tabella1[[#This Row],[GG]],Tabella1[[#This Row],[Nome]])</f>
        <v>2Ekkelenkamp</v>
      </c>
      <c r="AB570" t="str">
        <f t="shared" si="23"/>
        <v>2PARTIZAN DEGRADO</v>
      </c>
      <c r="AC570" t="str">
        <f>_xlfn.CONCAT(Tabella1[[#This Row],[Ruolo]],Tabella1[[#This Row],[Gs]])</f>
        <v>C0</v>
      </c>
    </row>
    <row r="571" spans="1:29" hidden="1" x14ac:dyDescent="0.3">
      <c r="A571" s="14">
        <v>46261</v>
      </c>
      <c r="B571" s="15">
        <v>2</v>
      </c>
      <c r="C571" s="321" t="s">
        <v>950</v>
      </c>
      <c r="D571" s="346" t="s">
        <v>162</v>
      </c>
      <c r="E571" s="346" t="s">
        <v>963</v>
      </c>
      <c r="F571" s="347">
        <v>5.5</v>
      </c>
      <c r="G571" s="348">
        <v>0</v>
      </c>
      <c r="H571" s="348">
        <v>0</v>
      </c>
      <c r="I571" s="348">
        <v>0</v>
      </c>
      <c r="J571" s="348">
        <v>0</v>
      </c>
      <c r="K571" s="348">
        <v>0</v>
      </c>
      <c r="L571" s="348">
        <v>0</v>
      </c>
      <c r="M571" s="348">
        <v>0</v>
      </c>
      <c r="N571" s="348">
        <v>0</v>
      </c>
      <c r="O571" s="348">
        <v>0</v>
      </c>
      <c r="P571" s="284"/>
      <c r="Q571" s="284">
        <f t="shared" si="22"/>
        <v>0</v>
      </c>
      <c r="R571" s="3" t="str">
        <f>_xlfn.IFNA(VLOOKUP(Tabella1[[#This Row],[Nome]],'ROSE SQUADRE'!$N$3:$O$253,2,0),"")</f>
        <v/>
      </c>
      <c r="S571" s="193">
        <f>SUM(Tabella1[[#This Row],[Gf]],Tabella1[[#This Row],[Rf]])</f>
        <v>0</v>
      </c>
      <c r="T571" s="193"/>
      <c r="U571" s="285" t="str">
        <f>IF(Tabella1[[#This Row],[N° FantaTit]]="","",Tabella1[[#This Row],[fanta voto]])</f>
        <v/>
      </c>
      <c r="V571" s="193">
        <f>SUM(Tabella1[[#This Row],[Voto]],(G571*3),Q571,P571,O571,-(N571),(-M571/2),(-L571*2),(-H571),(I571*3),(-J571*3),(K571*3))</f>
        <v>5.5</v>
      </c>
      <c r="W571" s="193"/>
      <c r="X571" s="193" t="str">
        <f>IF(Tabella1[[#This Row],[Best 11]]=1,Tabella1[[#This Row],[fanta voto]],"")</f>
        <v/>
      </c>
      <c r="Z571" s="193" t="str">
        <f>IF(Tabella1[[#This Row],[Best 11 MOD]]=1,Tabella1[[#This Row],[fanta voto]],"")</f>
        <v/>
      </c>
      <c r="AA571" t="str">
        <f>CONCATENATE(Tabella1[[#This Row],[GG]],Tabella1[[#This Row],[Nome]])</f>
        <v>2Unai Gomez</v>
      </c>
      <c r="AB571" t="str">
        <f t="shared" si="23"/>
        <v>2</v>
      </c>
      <c r="AC571" t="str">
        <f>_xlfn.CONCAT(Tabella1[[#This Row],[Ruolo]],Tabella1[[#This Row],[Gs]])</f>
        <v>C0</v>
      </c>
    </row>
    <row r="572" spans="1:29" hidden="1" x14ac:dyDescent="0.3">
      <c r="A572" s="14">
        <v>46261</v>
      </c>
      <c r="B572" s="15">
        <v>2</v>
      </c>
      <c r="C572" s="321" t="s">
        <v>950</v>
      </c>
      <c r="D572" s="349" t="s">
        <v>162</v>
      </c>
      <c r="E572" s="349" t="s">
        <v>962</v>
      </c>
      <c r="F572" s="350">
        <v>6.5</v>
      </c>
      <c r="G572" s="353">
        <v>1</v>
      </c>
      <c r="H572" s="351">
        <v>0</v>
      </c>
      <c r="I572" s="351">
        <v>0</v>
      </c>
      <c r="J572" s="351">
        <v>0</v>
      </c>
      <c r="K572" s="351">
        <v>0</v>
      </c>
      <c r="L572" s="351">
        <v>0</v>
      </c>
      <c r="M572" s="351">
        <v>0</v>
      </c>
      <c r="N572" s="351">
        <v>0</v>
      </c>
      <c r="O572" s="351">
        <v>0</v>
      </c>
      <c r="P572" s="284"/>
      <c r="Q572" s="284">
        <f t="shared" si="22"/>
        <v>0</v>
      </c>
      <c r="R572" s="3" t="str">
        <f>_xlfn.IFNA(VLOOKUP(Tabella1[[#This Row],[Nome]],'ROSE SQUADRE'!$N$3:$O$253,2,0),"")</f>
        <v/>
      </c>
      <c r="S572" s="193">
        <f>SUM(Tabella1[[#This Row],[Gf]],Tabella1[[#This Row],[Rf]])</f>
        <v>1</v>
      </c>
      <c r="T572" s="193"/>
      <c r="U572" s="285" t="str">
        <f>IF(Tabella1[[#This Row],[N° FantaTit]]="","",Tabella1[[#This Row],[fanta voto]])</f>
        <v/>
      </c>
      <c r="V572" s="193">
        <f>SUM(Tabella1[[#This Row],[Voto]],(G572*3),Q572,P572,O572,-(N572),(-M572/2),(-L572*2),(-H572),(I572*3),(-J572*3),(K572*3))</f>
        <v>9.5</v>
      </c>
      <c r="W572" s="193"/>
      <c r="X572" s="193" t="str">
        <f>IF(Tabella1[[#This Row],[Best 11]]=1,Tabella1[[#This Row],[fanta voto]],"")</f>
        <v/>
      </c>
      <c r="Z572" s="193" t="str">
        <f>IF(Tabella1[[#This Row],[Best 11 MOD]]=1,Tabella1[[#This Row],[fanta voto]],"")</f>
        <v/>
      </c>
      <c r="AA572" t="str">
        <f>CONCATENATE(Tabella1[[#This Row],[GG]],Tabella1[[#This Row],[Nome]])</f>
        <v>2Piotrowski</v>
      </c>
      <c r="AB572" t="str">
        <f t="shared" si="23"/>
        <v>2</v>
      </c>
      <c r="AC572" t="str">
        <f>_xlfn.CONCAT(Tabella1[[#This Row],[Ruolo]],Tabella1[[#This Row],[Gs]])</f>
        <v>C0</v>
      </c>
    </row>
    <row r="573" spans="1:29" hidden="1" x14ac:dyDescent="0.3">
      <c r="A573" s="14">
        <v>46261</v>
      </c>
      <c r="B573" s="15">
        <v>2</v>
      </c>
      <c r="C573" s="321" t="s">
        <v>950</v>
      </c>
      <c r="D573" s="346" t="s">
        <v>162</v>
      </c>
      <c r="E573" s="346" t="s">
        <v>961</v>
      </c>
      <c r="F573" s="347">
        <v>6</v>
      </c>
      <c r="G573" s="348">
        <v>0</v>
      </c>
      <c r="H573" s="348">
        <v>0</v>
      </c>
      <c r="I573" s="348">
        <v>0</v>
      </c>
      <c r="J573" s="348">
        <v>0</v>
      </c>
      <c r="K573" s="348">
        <v>0</v>
      </c>
      <c r="L573" s="348">
        <v>0</v>
      </c>
      <c r="M573" s="348">
        <v>0</v>
      </c>
      <c r="N573" s="348">
        <v>0</v>
      </c>
      <c r="O573" s="348">
        <v>0</v>
      </c>
      <c r="P573" s="284"/>
      <c r="Q573" s="284">
        <f t="shared" si="22"/>
        <v>0</v>
      </c>
      <c r="R573" s="3" t="str">
        <f>_xlfn.IFNA(VLOOKUP(Tabella1[[#This Row],[Nome]],'ROSE SQUADRE'!$N$3:$O$253,2,0),"")</f>
        <v/>
      </c>
      <c r="S573" s="193">
        <f>SUM(Tabella1[[#This Row],[Gf]],Tabella1[[#This Row],[Rf]])</f>
        <v>0</v>
      </c>
      <c r="T573" s="193"/>
      <c r="U573" s="285" t="str">
        <f>IF(Tabella1[[#This Row],[N° FantaTit]]="","",Tabella1[[#This Row],[fanta voto]])</f>
        <v/>
      </c>
      <c r="V573" s="193">
        <f>SUM(Tabella1[[#This Row],[Voto]],(G573*3),Q573,P573,O573,-(N573),(-M573/2),(-L573*2),(-H573),(I573*3),(-J573*3),(K573*3))</f>
        <v>6</v>
      </c>
      <c r="W573" s="193"/>
      <c r="X573" s="193" t="str">
        <f>IF(Tabella1[[#This Row],[Best 11]]=1,Tabella1[[#This Row],[fanta voto]],"")</f>
        <v/>
      </c>
      <c r="Z573" s="193" t="str">
        <f>IF(Tabella1[[#This Row],[Best 11 MOD]]=1,Tabella1[[#This Row],[fanta voto]],"")</f>
        <v/>
      </c>
      <c r="AA573" t="str">
        <f>CONCATENATE(Tabella1[[#This Row],[GG]],Tabella1[[#This Row],[Nome]])</f>
        <v>2Miller L.</v>
      </c>
      <c r="AB573" t="str">
        <f t="shared" si="23"/>
        <v>2</v>
      </c>
      <c r="AC573" t="str">
        <f>_xlfn.CONCAT(Tabella1[[#This Row],[Ruolo]],Tabella1[[#This Row],[Gs]])</f>
        <v>C0</v>
      </c>
    </row>
    <row r="574" spans="1:29" hidden="1" x14ac:dyDescent="0.3">
      <c r="A574" s="14">
        <v>46261</v>
      </c>
      <c r="B574" s="15">
        <v>2</v>
      </c>
      <c r="C574" s="321" t="s">
        <v>950</v>
      </c>
      <c r="D574" s="349" t="s">
        <v>163</v>
      </c>
      <c r="E574" s="349" t="s">
        <v>580</v>
      </c>
      <c r="F574" s="350">
        <v>6.5</v>
      </c>
      <c r="G574" s="351">
        <v>0</v>
      </c>
      <c r="H574" s="351">
        <v>0</v>
      </c>
      <c r="I574" s="351">
        <v>0</v>
      </c>
      <c r="J574" s="351">
        <v>0</v>
      </c>
      <c r="K574" s="351">
        <v>0</v>
      </c>
      <c r="L574" s="351">
        <v>0</v>
      </c>
      <c r="M574" s="351">
        <v>0</v>
      </c>
      <c r="N574" s="351">
        <v>0</v>
      </c>
      <c r="O574" s="351">
        <v>0</v>
      </c>
      <c r="P574" s="284"/>
      <c r="Q574" s="284">
        <f t="shared" si="22"/>
        <v>0</v>
      </c>
      <c r="R574" s="3" t="str">
        <f>_xlfn.IFNA(VLOOKUP(Tabella1[[#This Row],[Nome]],'ROSE SQUADRE'!$N$3:$O$253,2,0),"")</f>
        <v>PARTIZAN DEGRADO</v>
      </c>
      <c r="S574" s="193">
        <f>SUM(Tabella1[[#This Row],[Gf]],Tabella1[[#This Row],[Rf]])</f>
        <v>0</v>
      </c>
      <c r="T574" s="193"/>
      <c r="U574" s="285" t="str">
        <f>IF(Tabella1[[#This Row],[N° FantaTit]]="","",Tabella1[[#This Row],[fanta voto]])</f>
        <v/>
      </c>
      <c r="V574" s="193">
        <f>SUM(Tabella1[[#This Row],[Voto]],(G574*3),Q574,P574,O574,-(N574),(-M574/2),(-L574*2),(-H574),(I574*3),(-J574*3),(K574*3))</f>
        <v>6.5</v>
      </c>
      <c r="W574" s="193"/>
      <c r="X574" s="193" t="str">
        <f>IF(Tabella1[[#This Row],[Best 11]]=1,Tabella1[[#This Row],[fanta voto]],"")</f>
        <v/>
      </c>
      <c r="Z574" s="193" t="str">
        <f>IF(Tabella1[[#This Row],[Best 11 MOD]]=1,Tabella1[[#This Row],[fanta voto]],"")</f>
        <v/>
      </c>
      <c r="AA574" t="str">
        <f>CONCATENATE(Tabella1[[#This Row],[GG]],Tabella1[[#This Row],[Nome]])</f>
        <v>2Davis K.</v>
      </c>
      <c r="AB574" t="str">
        <f t="shared" si="23"/>
        <v>2PARTIZAN DEGRADO</v>
      </c>
      <c r="AC574" t="str">
        <f>_xlfn.CONCAT(Tabella1[[#This Row],[Ruolo]],Tabella1[[#This Row],[Gs]])</f>
        <v>A0</v>
      </c>
    </row>
    <row r="575" spans="1:29" hidden="1" x14ac:dyDescent="0.3">
      <c r="A575" s="14">
        <v>46261</v>
      </c>
      <c r="B575" s="15">
        <v>2</v>
      </c>
      <c r="C575" s="321" t="s">
        <v>950</v>
      </c>
      <c r="D575" s="346" t="s">
        <v>163</v>
      </c>
      <c r="E575" s="346" t="s">
        <v>965</v>
      </c>
      <c r="F575" s="347">
        <v>6</v>
      </c>
      <c r="G575" s="348">
        <v>0</v>
      </c>
      <c r="H575" s="348">
        <v>0</v>
      </c>
      <c r="I575" s="348">
        <v>0</v>
      </c>
      <c r="J575" s="348">
        <v>0</v>
      </c>
      <c r="K575" s="348">
        <v>0</v>
      </c>
      <c r="L575" s="348">
        <v>0</v>
      </c>
      <c r="M575" s="348">
        <v>0</v>
      </c>
      <c r="N575" s="348">
        <v>0</v>
      </c>
      <c r="O575" s="348">
        <v>0</v>
      </c>
      <c r="P575" s="284"/>
      <c r="Q575" s="284">
        <f t="shared" si="22"/>
        <v>0</v>
      </c>
      <c r="R575" s="3" t="str">
        <f>_xlfn.IFNA(VLOOKUP(Tabella1[[#This Row],[Nome]],'ROSE SQUADRE'!$N$3:$O$253,2,0),"")</f>
        <v>AC ASPARAGHESE</v>
      </c>
      <c r="S575" s="193">
        <f>SUM(Tabella1[[#This Row],[Gf]],Tabella1[[#This Row],[Rf]])</f>
        <v>0</v>
      </c>
      <c r="T575" s="193"/>
      <c r="U575" s="285" t="str">
        <f>IF(Tabella1[[#This Row],[N° FantaTit]]="","",Tabella1[[#This Row],[fanta voto]])</f>
        <v/>
      </c>
      <c r="V575" s="193">
        <f>SUM(Tabella1[[#This Row],[Voto]],(G575*3),Q575,P575,O575,-(N575),(-M575/2),(-L575*2),(-H575),(I575*3),(-J575*3),(K575*3))</f>
        <v>6</v>
      </c>
      <c r="W575" s="193"/>
      <c r="X575" s="193" t="str">
        <f>IF(Tabella1[[#This Row],[Best 11]]=1,Tabella1[[#This Row],[fanta voto]],"")</f>
        <v/>
      </c>
      <c r="Z575" s="193" t="str">
        <f>IF(Tabella1[[#This Row],[Best 11 MOD]]=1,Tabella1[[#This Row],[fanta voto]],"")</f>
        <v/>
      </c>
      <c r="AA575" t="str">
        <f>CONCATENATE(Tabella1[[#This Row],[GG]],Tabella1[[#This Row],[Nome]])</f>
        <v>2Gueye</v>
      </c>
      <c r="AB575" t="str">
        <f t="shared" si="23"/>
        <v>2AC ASPARAGHESE</v>
      </c>
      <c r="AC575" t="str">
        <f>_xlfn.CONCAT(Tabella1[[#This Row],[Ruolo]],Tabella1[[#This Row],[Gs]])</f>
        <v>A0</v>
      </c>
    </row>
    <row r="576" spans="1:29" hidden="1" x14ac:dyDescent="0.3">
      <c r="A576" s="14">
        <v>46261</v>
      </c>
      <c r="B576" s="15">
        <v>2</v>
      </c>
      <c r="C576" s="321" t="s">
        <v>967</v>
      </c>
      <c r="D576" s="346" t="s">
        <v>5</v>
      </c>
      <c r="E576" s="346" t="s">
        <v>970</v>
      </c>
      <c r="F576" s="347">
        <v>6.5</v>
      </c>
      <c r="G576" s="348">
        <v>0</v>
      </c>
      <c r="H576" s="352">
        <v>2</v>
      </c>
      <c r="I576" s="348">
        <v>0</v>
      </c>
      <c r="J576" s="348">
        <v>0</v>
      </c>
      <c r="K576" s="348">
        <v>0</v>
      </c>
      <c r="L576" s="348">
        <v>0</v>
      </c>
      <c r="M576" s="348">
        <v>0</v>
      </c>
      <c r="N576" s="348">
        <v>0</v>
      </c>
      <c r="O576" s="348">
        <v>0</v>
      </c>
      <c r="P576" s="284"/>
      <c r="Q576" s="284">
        <f t="shared" si="22"/>
        <v>0</v>
      </c>
      <c r="R576" s="3" t="str">
        <f>_xlfn.IFNA(VLOOKUP(Tabella1[[#This Row],[Nome]],'ROSE SQUADRE'!$N$3:$O$253,2,0),"")</f>
        <v>SHARK</v>
      </c>
      <c r="S576" s="193">
        <f>SUM(Tabella1[[#This Row],[Gf]],Tabella1[[#This Row],[Rf]])</f>
        <v>0</v>
      </c>
      <c r="T576" s="193"/>
      <c r="U576" s="285" t="str">
        <f>IF(Tabella1[[#This Row],[N° FantaTit]]="","",Tabella1[[#This Row],[fanta voto]])</f>
        <v/>
      </c>
      <c r="V576" s="193">
        <f>SUM(Tabella1[[#This Row],[Voto]],(G576*3),Q576,P576,O576,-(N576),(-M576/2),(-L576*2),(-H576),(I576*3),(-J576*3),(K576*3))</f>
        <v>4.5</v>
      </c>
      <c r="W576" s="193"/>
      <c r="X576" s="193" t="str">
        <f>IF(Tabella1[[#This Row],[Best 11]]=1,Tabella1[[#This Row],[fanta voto]],"")</f>
        <v/>
      </c>
      <c r="Z576" s="193" t="str">
        <f>IF(Tabella1[[#This Row],[Best 11 MOD]]=1,Tabella1[[#This Row],[fanta voto]],"")</f>
        <v/>
      </c>
      <c r="AA576" t="str">
        <f>CONCATENATE(Tabella1[[#This Row],[GG]],Tabella1[[#This Row],[Nome]])</f>
        <v>2Stankovic F.</v>
      </c>
      <c r="AB576" t="str">
        <f t="shared" si="23"/>
        <v>2SHARK</v>
      </c>
      <c r="AC576" t="str">
        <f>_xlfn.CONCAT(Tabella1[[#This Row],[Ruolo]],Tabella1[[#This Row],[Gs]])</f>
        <v>P2</v>
      </c>
    </row>
    <row r="577" spans="1:29" hidden="1" x14ac:dyDescent="0.3">
      <c r="A577" s="14">
        <v>46261</v>
      </c>
      <c r="B577" s="15">
        <v>2</v>
      </c>
      <c r="C577" s="321" t="s">
        <v>967</v>
      </c>
      <c r="D577" s="349" t="s">
        <v>161</v>
      </c>
      <c r="E577" s="349" t="s">
        <v>972</v>
      </c>
      <c r="F577" s="350">
        <v>6</v>
      </c>
      <c r="G577" s="351">
        <v>0</v>
      </c>
      <c r="H577" s="351">
        <v>0</v>
      </c>
      <c r="I577" s="351">
        <v>0</v>
      </c>
      <c r="J577" s="351">
        <v>0</v>
      </c>
      <c r="K577" s="351">
        <v>0</v>
      </c>
      <c r="L577" s="351">
        <v>0</v>
      </c>
      <c r="M577" s="351">
        <v>0</v>
      </c>
      <c r="N577" s="351">
        <v>0</v>
      </c>
      <c r="O577" s="351">
        <v>0</v>
      </c>
      <c r="P577" s="284"/>
      <c r="Q577" s="284">
        <f t="shared" si="22"/>
        <v>0</v>
      </c>
      <c r="R577" s="3" t="str">
        <f>_xlfn.IFNA(VLOOKUP(Tabella1[[#This Row],[Nome]],'ROSE SQUADRE'!$N$3:$O$253,2,0),"")</f>
        <v>SHARK</v>
      </c>
      <c r="S577" s="193">
        <f>SUM(Tabella1[[#This Row],[Gf]],Tabella1[[#This Row],[Rf]])</f>
        <v>0</v>
      </c>
      <c r="T577" s="193"/>
      <c r="U577" s="285" t="str">
        <f>IF(Tabella1[[#This Row],[N° FantaTit]]="","",Tabella1[[#This Row],[fanta voto]])</f>
        <v/>
      </c>
      <c r="V577" s="193">
        <f>SUM(Tabella1[[#This Row],[Voto]],(G577*3),Q577,P577,O577,-(N577),(-M577/2),(-L577*2),(-H577),(I577*3),(-J577*3),(K577*3))</f>
        <v>6</v>
      </c>
      <c r="W577" s="193"/>
      <c r="X577" s="193" t="str">
        <f>IF(Tabella1[[#This Row],[Best 11]]=1,Tabella1[[#This Row],[fanta voto]],"")</f>
        <v/>
      </c>
      <c r="Z577" s="193" t="str">
        <f>IF(Tabella1[[#This Row],[Best 11 MOD]]=1,Tabella1[[#This Row],[fanta voto]],"")</f>
        <v/>
      </c>
      <c r="AA577" t="str">
        <f>CONCATENATE(Tabella1[[#This Row],[GG]],Tabella1[[#This Row],[Nome]])</f>
        <v>2Correia T.</v>
      </c>
      <c r="AB577" t="str">
        <f t="shared" si="23"/>
        <v>2SHARK</v>
      </c>
      <c r="AC577" t="str">
        <f>_xlfn.CONCAT(Tabella1[[#This Row],[Ruolo]],Tabella1[[#This Row],[Gs]])</f>
        <v>D0</v>
      </c>
    </row>
    <row r="578" spans="1:29" hidden="1" x14ac:dyDescent="0.3">
      <c r="A578" s="14">
        <v>46261</v>
      </c>
      <c r="B578" s="15">
        <v>2</v>
      </c>
      <c r="C578" s="321" t="s">
        <v>967</v>
      </c>
      <c r="D578" s="346" t="s">
        <v>161</v>
      </c>
      <c r="E578" s="346" t="s">
        <v>584</v>
      </c>
      <c r="F578" s="347">
        <v>6.5</v>
      </c>
      <c r="G578" s="348">
        <v>0</v>
      </c>
      <c r="H578" s="348">
        <v>0</v>
      </c>
      <c r="I578" s="348">
        <v>0</v>
      </c>
      <c r="J578" s="348">
        <v>0</v>
      </c>
      <c r="K578" s="348">
        <v>0</v>
      </c>
      <c r="L578" s="348">
        <v>0</v>
      </c>
      <c r="M578" s="352">
        <v>1</v>
      </c>
      <c r="N578" s="348">
        <v>0</v>
      </c>
      <c r="O578" s="348">
        <v>0</v>
      </c>
      <c r="P578" s="284"/>
      <c r="Q578" s="284">
        <f t="shared" si="22"/>
        <v>0</v>
      </c>
      <c r="R578" s="3" t="str">
        <f>_xlfn.IFNA(VLOOKUP(Tabella1[[#This Row],[Nome]],'ROSE SQUADRE'!$N$3:$O$253,2,0),"")</f>
        <v>FC INTERNAZIOANALE</v>
      </c>
      <c r="S578" s="193">
        <f>SUM(Tabella1[[#This Row],[Gf]],Tabella1[[#This Row],[Rf]])</f>
        <v>0</v>
      </c>
      <c r="T578" s="193"/>
      <c r="U578" s="285" t="str">
        <f>IF(Tabella1[[#This Row],[N° FantaTit]]="","",Tabella1[[#This Row],[fanta voto]])</f>
        <v/>
      </c>
      <c r="V578" s="193">
        <f>SUM(Tabella1[[#This Row],[Voto]],(G578*3),Q578,P578,O578,-(N578),(-M578/2),(-L578*2),(-H578),(I578*3),(-J578*3),(K578*3))</f>
        <v>6</v>
      </c>
      <c r="W578" s="193"/>
      <c r="X578" s="193" t="str">
        <f>IF(Tabella1[[#This Row],[Best 11]]=1,Tabella1[[#This Row],[fanta voto]],"")</f>
        <v/>
      </c>
      <c r="Z578" s="193" t="str">
        <f>IF(Tabella1[[#This Row],[Best 11 MOD]]=1,Tabella1[[#This Row],[fanta voto]],"")</f>
        <v/>
      </c>
      <c r="AA578" t="str">
        <f>CONCATENATE(Tabella1[[#This Row],[GG]],Tabella1[[#This Row],[Nome]])</f>
        <v>2Haps</v>
      </c>
      <c r="AB578" t="str">
        <f t="shared" si="23"/>
        <v>2FC INTERNAZIOANALE</v>
      </c>
      <c r="AC578" t="str">
        <f>_xlfn.CONCAT(Tabella1[[#This Row],[Ruolo]],Tabella1[[#This Row],[Gs]])</f>
        <v>D0</v>
      </c>
    </row>
    <row r="579" spans="1:29" hidden="1" x14ac:dyDescent="0.3">
      <c r="A579" s="14">
        <v>46261</v>
      </c>
      <c r="B579" s="15">
        <v>2</v>
      </c>
      <c r="C579" s="321" t="s">
        <v>967</v>
      </c>
      <c r="D579" s="349" t="s">
        <v>161</v>
      </c>
      <c r="E579" s="349" t="s">
        <v>563</v>
      </c>
      <c r="F579" s="350">
        <v>6</v>
      </c>
      <c r="G579" s="351">
        <v>0</v>
      </c>
      <c r="H579" s="351">
        <v>0</v>
      </c>
      <c r="I579" s="351">
        <v>0</v>
      </c>
      <c r="J579" s="351">
        <v>0</v>
      </c>
      <c r="K579" s="351">
        <v>0</v>
      </c>
      <c r="L579" s="351">
        <v>0</v>
      </c>
      <c r="M579" s="351">
        <v>0</v>
      </c>
      <c r="N579" s="351">
        <v>0</v>
      </c>
      <c r="O579" s="351">
        <v>0</v>
      </c>
      <c r="P579" s="284"/>
      <c r="Q579" s="284">
        <f t="shared" si="22"/>
        <v>0</v>
      </c>
      <c r="R579" s="3" t="str">
        <f>_xlfn.IFNA(VLOOKUP(Tabella1[[#This Row],[Nome]],'ROSE SQUADRE'!$N$3:$O$253,2,0),"")</f>
        <v/>
      </c>
      <c r="S579" s="193">
        <f>SUM(Tabella1[[#This Row],[Gf]],Tabella1[[#This Row],[Rf]])</f>
        <v>0</v>
      </c>
      <c r="T579" s="193"/>
      <c r="U579" s="285" t="str">
        <f>IF(Tabella1[[#This Row],[N° FantaTit]]="","",Tabella1[[#This Row],[fanta voto]])</f>
        <v/>
      </c>
      <c r="V579" s="193">
        <f>SUM(Tabella1[[#This Row],[Voto]],(G579*3),Q579,P579,O579,-(N579),(-M579/2),(-L579*2),(-H579),(I579*3),(-J579*3),(K579*3))</f>
        <v>6</v>
      </c>
      <c r="W579" s="193"/>
      <c r="X579" s="193" t="str">
        <f>IF(Tabella1[[#This Row],[Best 11]]=1,Tabella1[[#This Row],[fanta voto]],"")</f>
        <v/>
      </c>
      <c r="Z579" s="193" t="str">
        <f>IF(Tabella1[[#This Row],[Best 11 MOD]]=1,Tabella1[[#This Row],[fanta voto]],"")</f>
        <v/>
      </c>
      <c r="AA579" t="str">
        <f>CONCATENATE(Tabella1[[#This Row],[GG]],Tabella1[[#This Row],[Nome]])</f>
        <v>2Hainaut</v>
      </c>
      <c r="AB579" t="str">
        <f t="shared" si="23"/>
        <v>2</v>
      </c>
      <c r="AC579" t="str">
        <f>_xlfn.CONCAT(Tabella1[[#This Row],[Ruolo]],Tabella1[[#This Row],[Gs]])</f>
        <v>D0</v>
      </c>
    </row>
    <row r="580" spans="1:29" hidden="1" x14ac:dyDescent="0.3">
      <c r="A580" s="14">
        <v>46261</v>
      </c>
      <c r="B580" s="15">
        <v>2</v>
      </c>
      <c r="C580" s="321" t="s">
        <v>967</v>
      </c>
      <c r="D580" s="346" t="s">
        <v>161</v>
      </c>
      <c r="E580" s="346" t="s">
        <v>977</v>
      </c>
      <c r="F580" s="347">
        <v>6</v>
      </c>
      <c r="G580" s="348">
        <v>0</v>
      </c>
      <c r="H580" s="348">
        <v>0</v>
      </c>
      <c r="I580" s="348">
        <v>0</v>
      </c>
      <c r="J580" s="348">
        <v>0</v>
      </c>
      <c r="K580" s="348">
        <v>0</v>
      </c>
      <c r="L580" s="348">
        <v>0</v>
      </c>
      <c r="M580" s="352">
        <v>1</v>
      </c>
      <c r="N580" s="348">
        <v>0</v>
      </c>
      <c r="O580" s="348">
        <v>0</v>
      </c>
      <c r="P580" s="284"/>
      <c r="Q580" s="284">
        <f t="shared" si="22"/>
        <v>0</v>
      </c>
      <c r="R580" s="3" t="str">
        <f>_xlfn.IFNA(VLOOKUP(Tabella1[[#This Row],[Nome]],'ROSE SQUADRE'!$N$3:$O$253,2,0),"")</f>
        <v/>
      </c>
      <c r="S580" s="193">
        <f>SUM(Tabella1[[#This Row],[Gf]],Tabella1[[#This Row],[Rf]])</f>
        <v>0</v>
      </c>
      <c r="T580" s="193"/>
      <c r="U580" s="285" t="str">
        <f>IF(Tabella1[[#This Row],[N° FantaTit]]="","",Tabella1[[#This Row],[fanta voto]])</f>
        <v/>
      </c>
      <c r="V580" s="193">
        <f>SUM(Tabella1[[#This Row],[Voto]],(G580*3),Q580,P580,O580,-(N580),(-M580/2),(-L580*2),(-H580),(I580*3),(-J580*3),(K580*3))</f>
        <v>5.5</v>
      </c>
      <c r="W580" s="193"/>
      <c r="X580" s="193" t="str">
        <f>IF(Tabella1[[#This Row],[Best 11]]=1,Tabella1[[#This Row],[fanta voto]],"")</f>
        <v/>
      </c>
      <c r="Z580" s="193" t="str">
        <f>IF(Tabella1[[#This Row],[Best 11 MOD]]=1,Tabella1[[#This Row],[fanta voto]],"")</f>
        <v/>
      </c>
      <c r="AA580" t="str">
        <f>CONCATENATE(Tabella1[[#This Row],[GG]],Tabella1[[#This Row],[Nome]])</f>
        <v>2Schingtienne</v>
      </c>
      <c r="AB580" t="str">
        <f t="shared" si="23"/>
        <v>2</v>
      </c>
      <c r="AC580" t="str">
        <f>_xlfn.CONCAT(Tabella1[[#This Row],[Ruolo]],Tabella1[[#This Row],[Gs]])</f>
        <v>D0</v>
      </c>
    </row>
    <row r="581" spans="1:29" hidden="1" x14ac:dyDescent="0.3">
      <c r="A581" s="14">
        <v>46261</v>
      </c>
      <c r="B581" s="15">
        <v>2</v>
      </c>
      <c r="C581" s="321" t="s">
        <v>967</v>
      </c>
      <c r="D581" s="349" t="s">
        <v>161</v>
      </c>
      <c r="E581" s="349" t="s">
        <v>971</v>
      </c>
      <c r="F581" s="350">
        <v>5</v>
      </c>
      <c r="G581" s="351">
        <v>0</v>
      </c>
      <c r="H581" s="351">
        <v>0</v>
      </c>
      <c r="I581" s="351">
        <v>0</v>
      </c>
      <c r="J581" s="351">
        <v>0</v>
      </c>
      <c r="K581" s="351">
        <v>0</v>
      </c>
      <c r="L581" s="351">
        <v>0</v>
      </c>
      <c r="M581" s="351">
        <v>0</v>
      </c>
      <c r="N581" s="351">
        <v>0</v>
      </c>
      <c r="O581" s="351">
        <v>0</v>
      </c>
      <c r="P581" s="284"/>
      <c r="Q581" s="284">
        <f t="shared" si="22"/>
        <v>0</v>
      </c>
      <c r="R581" s="3" t="str">
        <f>_xlfn.IFNA(VLOOKUP(Tabella1[[#This Row],[Nome]],'ROSE SQUADRE'!$N$3:$O$253,2,0),"")</f>
        <v>ATL. IMPROVVISATO</v>
      </c>
      <c r="S581" s="193">
        <f>SUM(Tabella1[[#This Row],[Gf]],Tabella1[[#This Row],[Rf]])</f>
        <v>0</v>
      </c>
      <c r="T581" s="193"/>
      <c r="U581" s="285" t="str">
        <f>IF(Tabella1[[#This Row],[N° FantaTit]]="","",Tabella1[[#This Row],[fanta voto]])</f>
        <v/>
      </c>
      <c r="V581" s="193">
        <f>SUM(Tabella1[[#This Row],[Voto]],(G581*3),Q581,P581,O581,-(N581),(-M581/2),(-L581*2),(-H581),(I581*3),(-J581*3),(K581*3))</f>
        <v>5</v>
      </c>
      <c r="W581" s="193"/>
      <c r="X581" s="193" t="str">
        <f>IF(Tabella1[[#This Row],[Best 11]]=1,Tabella1[[#This Row],[fanta voto]],"")</f>
        <v/>
      </c>
      <c r="Z581" s="193" t="str">
        <f>IF(Tabella1[[#This Row],[Best 11 MOD]]=1,Tabella1[[#This Row],[fanta voto]],"")</f>
        <v/>
      </c>
      <c r="AA581" t="str">
        <f>CONCATENATE(Tabella1[[#This Row],[GG]],Tabella1[[#This Row],[Nome]])</f>
        <v>2Bella-Kotchap</v>
      </c>
      <c r="AB581" t="str">
        <f t="shared" si="23"/>
        <v>2ATL. IMPROVVISATO</v>
      </c>
      <c r="AC581" t="str">
        <f>_xlfn.CONCAT(Tabella1[[#This Row],[Ruolo]],Tabella1[[#This Row],[Gs]])</f>
        <v>D0</v>
      </c>
    </row>
    <row r="582" spans="1:29" hidden="1" x14ac:dyDescent="0.3">
      <c r="A582" s="14">
        <v>46261</v>
      </c>
      <c r="B582" s="15">
        <v>2</v>
      </c>
      <c r="C582" s="321" t="s">
        <v>967</v>
      </c>
      <c r="D582" s="346" t="s">
        <v>161</v>
      </c>
      <c r="E582" s="346" t="s">
        <v>973</v>
      </c>
      <c r="F582" s="347">
        <v>6</v>
      </c>
      <c r="G582" s="348">
        <v>0</v>
      </c>
      <c r="H582" s="348">
        <v>0</v>
      </c>
      <c r="I582" s="348">
        <v>0</v>
      </c>
      <c r="J582" s="348">
        <v>0</v>
      </c>
      <c r="K582" s="348">
        <v>0</v>
      </c>
      <c r="L582" s="348">
        <v>0</v>
      </c>
      <c r="M582" s="348">
        <v>0</v>
      </c>
      <c r="N582" s="348">
        <v>0</v>
      </c>
      <c r="O582" s="348">
        <v>0</v>
      </c>
      <c r="P582" s="284"/>
      <c r="Q582" s="284">
        <f t="shared" si="22"/>
        <v>0</v>
      </c>
      <c r="R582" s="3" t="str">
        <f>_xlfn.IFNA(VLOOKUP(Tabella1[[#This Row],[Nome]],'ROSE SQUADRE'!$N$3:$O$253,2,0),"")</f>
        <v/>
      </c>
      <c r="S582" s="193">
        <f>SUM(Tabella1[[#This Row],[Gf]],Tabella1[[#This Row],[Rf]])</f>
        <v>0</v>
      </c>
      <c r="T582" s="193"/>
      <c r="U582" s="285" t="str">
        <f>IF(Tabella1[[#This Row],[N° FantaTit]]="","",Tabella1[[#This Row],[fanta voto]])</f>
        <v/>
      </c>
      <c r="V582" s="193">
        <f>SUM(Tabella1[[#This Row],[Voto]],(G582*3),Q582,P582,O582,-(N582),(-M582/2),(-L582*2),(-H582),(I582*3),(-J582*3),(K582*3))</f>
        <v>6</v>
      </c>
      <c r="W582" s="193"/>
      <c r="X582" s="193" t="str">
        <f>IF(Tabella1[[#This Row],[Best 11]]=1,Tabella1[[#This Row],[fanta voto]],"")</f>
        <v/>
      </c>
      <c r="Z582" s="193" t="str">
        <f>IF(Tabella1[[#This Row],[Best 11 MOD]]=1,Tabella1[[#This Row],[fanta voto]],"")</f>
        <v/>
      </c>
      <c r="AA582" t="str">
        <f>CONCATENATE(Tabella1[[#This Row],[GG]],Tabella1[[#This Row],[Nome]])</f>
        <v>2Franjic</v>
      </c>
      <c r="AB582" t="str">
        <f t="shared" si="23"/>
        <v>2</v>
      </c>
      <c r="AC582" t="str">
        <f>_xlfn.CONCAT(Tabella1[[#This Row],[Ruolo]],Tabella1[[#This Row],[Gs]])</f>
        <v>D0</v>
      </c>
    </row>
    <row r="583" spans="1:29" hidden="1" x14ac:dyDescent="0.3">
      <c r="A583" s="14">
        <v>46261</v>
      </c>
      <c r="B583" s="15">
        <v>2</v>
      </c>
      <c r="C583" s="321" t="s">
        <v>967</v>
      </c>
      <c r="D583" s="349" t="s">
        <v>161</v>
      </c>
      <c r="E583" s="349" t="s">
        <v>975</v>
      </c>
      <c r="F583" s="350">
        <v>5</v>
      </c>
      <c r="G583" s="351">
        <v>0</v>
      </c>
      <c r="H583" s="351">
        <v>0</v>
      </c>
      <c r="I583" s="351">
        <v>0</v>
      </c>
      <c r="J583" s="351">
        <v>0</v>
      </c>
      <c r="K583" s="351">
        <v>0</v>
      </c>
      <c r="L583" s="353">
        <v>1</v>
      </c>
      <c r="M583" s="351">
        <v>0</v>
      </c>
      <c r="N583" s="351">
        <v>0</v>
      </c>
      <c r="O583" s="351">
        <v>0</v>
      </c>
      <c r="P583" s="284"/>
      <c r="Q583" s="284">
        <f t="shared" si="22"/>
        <v>0</v>
      </c>
      <c r="R583" s="3" t="str">
        <f>_xlfn.IFNA(VLOOKUP(Tabella1[[#This Row],[Nome]],'ROSE SQUADRE'!$N$3:$O$253,2,0),"")</f>
        <v/>
      </c>
      <c r="S583" s="193">
        <f>SUM(Tabella1[[#This Row],[Gf]],Tabella1[[#This Row],[Rf]])</f>
        <v>0</v>
      </c>
      <c r="T583" s="193"/>
      <c r="U583" s="285" t="str">
        <f>IF(Tabella1[[#This Row],[N° FantaTit]]="","",Tabella1[[#This Row],[fanta voto]])</f>
        <v/>
      </c>
      <c r="V583" s="193">
        <f>SUM(Tabella1[[#This Row],[Voto]],(G583*3),Q583,P583,O583,-(N583),(-M583/2),(-L583*2),(-H583),(I583*3),(-J583*3),(K583*3))</f>
        <v>3</v>
      </c>
      <c r="W583" s="193"/>
      <c r="X583" s="193" t="str">
        <f>IF(Tabella1[[#This Row],[Best 11]]=1,Tabella1[[#This Row],[fanta voto]],"")</f>
        <v/>
      </c>
      <c r="Z583" s="193" t="str">
        <f>IF(Tabella1[[#This Row],[Best 11 MOD]]=1,Tabella1[[#This Row],[fanta voto]],"")</f>
        <v/>
      </c>
      <c r="AA583" t="str">
        <f>CONCATENATE(Tabella1[[#This Row],[GG]],Tabella1[[#This Row],[Nome]])</f>
        <v>2Halhal</v>
      </c>
      <c r="AB583" t="str">
        <f t="shared" si="23"/>
        <v>2</v>
      </c>
      <c r="AC583" t="str">
        <f>_xlfn.CONCAT(Tabella1[[#This Row],[Ruolo]],Tabella1[[#This Row],[Gs]])</f>
        <v>D0</v>
      </c>
    </row>
    <row r="584" spans="1:29" hidden="1" x14ac:dyDescent="0.3">
      <c r="A584" s="14">
        <v>46261</v>
      </c>
      <c r="B584" s="15">
        <v>2</v>
      </c>
      <c r="C584" s="321" t="s">
        <v>967</v>
      </c>
      <c r="D584" s="346" t="s">
        <v>162</v>
      </c>
      <c r="E584" s="346" t="s">
        <v>559</v>
      </c>
      <c r="F584" s="347">
        <v>6</v>
      </c>
      <c r="G584" s="348">
        <v>0</v>
      </c>
      <c r="H584" s="348">
        <v>0</v>
      </c>
      <c r="I584" s="348">
        <v>0</v>
      </c>
      <c r="J584" s="348">
        <v>0</v>
      </c>
      <c r="K584" s="348">
        <v>0</v>
      </c>
      <c r="L584" s="348">
        <v>0</v>
      </c>
      <c r="M584" s="348">
        <v>0</v>
      </c>
      <c r="N584" s="348">
        <v>0</v>
      </c>
      <c r="O584" s="348">
        <v>0</v>
      </c>
      <c r="P584" s="284"/>
      <c r="Q584" s="284">
        <f t="shared" si="22"/>
        <v>0</v>
      </c>
      <c r="R584" s="3" t="str">
        <f>_xlfn.IFNA(VLOOKUP(Tabella1[[#This Row],[Nome]],'ROSE SQUADRE'!$N$3:$O$253,2,0),"")</f>
        <v/>
      </c>
      <c r="S584" s="193">
        <f>SUM(Tabella1[[#This Row],[Gf]],Tabella1[[#This Row],[Rf]])</f>
        <v>0</v>
      </c>
      <c r="T584" s="193"/>
      <c r="U584" s="285" t="str">
        <f>IF(Tabella1[[#This Row],[N° FantaTit]]="","",Tabella1[[#This Row],[fanta voto]])</f>
        <v/>
      </c>
      <c r="V584" s="193">
        <f>SUM(Tabella1[[#This Row],[Voto]],(G584*3),Q584,P584,O584,-(N584),(-M584/2),(-L584*2),(-H584),(I584*3),(-J584*3),(K584*3))</f>
        <v>6</v>
      </c>
      <c r="W584" s="193"/>
      <c r="X584" s="193" t="str">
        <f>IF(Tabella1[[#This Row],[Best 11]]=1,Tabella1[[#This Row],[fanta voto]],"")</f>
        <v/>
      </c>
      <c r="Z584" s="193" t="str">
        <f>IF(Tabella1[[#This Row],[Best 11 MOD]]=1,Tabella1[[#This Row],[fanta voto]],"")</f>
        <v/>
      </c>
      <c r="AA584" t="str">
        <f>CONCATENATE(Tabella1[[#This Row],[GG]],Tabella1[[#This Row],[Nome]])</f>
        <v>2Sohm</v>
      </c>
      <c r="AB584" t="str">
        <f t="shared" si="23"/>
        <v>2</v>
      </c>
      <c r="AC584" t="str">
        <f>_xlfn.CONCAT(Tabella1[[#This Row],[Ruolo]],Tabella1[[#This Row],[Gs]])</f>
        <v>C0</v>
      </c>
    </row>
    <row r="585" spans="1:29" hidden="1" x14ac:dyDescent="0.3">
      <c r="A585" s="14">
        <v>46261</v>
      </c>
      <c r="B585" s="15">
        <v>2</v>
      </c>
      <c r="C585" s="321" t="s">
        <v>967</v>
      </c>
      <c r="D585" s="349" t="s">
        <v>162</v>
      </c>
      <c r="E585" s="349" t="s">
        <v>979</v>
      </c>
      <c r="F585" s="350">
        <v>5.5</v>
      </c>
      <c r="G585" s="351">
        <v>0</v>
      </c>
      <c r="H585" s="351">
        <v>0</v>
      </c>
      <c r="I585" s="351">
        <v>0</v>
      </c>
      <c r="J585" s="351">
        <v>0</v>
      </c>
      <c r="K585" s="351">
        <v>0</v>
      </c>
      <c r="L585" s="351">
        <v>0</v>
      </c>
      <c r="M585" s="351">
        <v>0</v>
      </c>
      <c r="N585" s="351">
        <v>0</v>
      </c>
      <c r="O585" s="351">
        <v>0</v>
      </c>
      <c r="P585" s="284"/>
      <c r="Q585" s="284">
        <f t="shared" si="22"/>
        <v>0</v>
      </c>
      <c r="R585" s="3" t="str">
        <f>_xlfn.IFNA(VLOOKUP(Tabella1[[#This Row],[Nome]],'ROSE SQUADRE'!$N$3:$O$253,2,0),"")</f>
        <v/>
      </c>
      <c r="S585" s="193">
        <f>SUM(Tabella1[[#This Row],[Gf]],Tabella1[[#This Row],[Rf]])</f>
        <v>0</v>
      </c>
      <c r="T585" s="193"/>
      <c r="U585" s="285" t="str">
        <f>IF(Tabella1[[#This Row],[N° FantaTit]]="","",Tabella1[[#This Row],[fanta voto]])</f>
        <v/>
      </c>
      <c r="V585" s="193">
        <f>SUM(Tabella1[[#This Row],[Voto]],(G585*3),Q585,P585,O585,-(N585),(-M585/2),(-L585*2),(-H585),(I585*3),(-J585*3),(K585*3))</f>
        <v>5.5</v>
      </c>
      <c r="W585" s="193"/>
      <c r="X585" s="193" t="str">
        <f>IF(Tabella1[[#This Row],[Best 11]]=1,Tabella1[[#This Row],[fanta voto]],"")</f>
        <v/>
      </c>
      <c r="Z585" s="193" t="str">
        <f>IF(Tabella1[[#This Row],[Best 11 MOD]]=1,Tabella1[[#This Row],[fanta voto]],"")</f>
        <v/>
      </c>
      <c r="AA585" t="str">
        <f>CONCATENATE(Tabella1[[#This Row],[GG]],Tabella1[[#This Row],[Nome]])</f>
        <v>2Busio</v>
      </c>
      <c r="AB585" t="str">
        <f t="shared" si="23"/>
        <v>2</v>
      </c>
      <c r="AC585" t="str">
        <f>_xlfn.CONCAT(Tabella1[[#This Row],[Ruolo]],Tabella1[[#This Row],[Gs]])</f>
        <v>C0</v>
      </c>
    </row>
    <row r="586" spans="1:29" hidden="1" x14ac:dyDescent="0.3">
      <c r="A586" s="14">
        <v>46261</v>
      </c>
      <c r="B586" s="15">
        <v>2</v>
      </c>
      <c r="C586" s="321" t="s">
        <v>967</v>
      </c>
      <c r="D586" s="346" t="s">
        <v>162</v>
      </c>
      <c r="E586" s="346" t="s">
        <v>978</v>
      </c>
      <c r="F586" s="347">
        <v>6</v>
      </c>
      <c r="G586" s="348">
        <v>0</v>
      </c>
      <c r="H586" s="348">
        <v>0</v>
      </c>
      <c r="I586" s="348">
        <v>0</v>
      </c>
      <c r="J586" s="348">
        <v>0</v>
      </c>
      <c r="K586" s="348">
        <v>0</v>
      </c>
      <c r="L586" s="348">
        <v>0</v>
      </c>
      <c r="M586" s="348">
        <v>0</v>
      </c>
      <c r="N586" s="348">
        <v>0</v>
      </c>
      <c r="O586" s="348">
        <v>0</v>
      </c>
      <c r="P586" s="284"/>
      <c r="Q586" s="284">
        <f t="shared" si="22"/>
        <v>0</v>
      </c>
      <c r="R586" s="3" t="str">
        <f>_xlfn.IFNA(VLOOKUP(Tabella1[[#This Row],[Nome]],'ROSE SQUADRE'!$N$3:$O$253,2,0),"")</f>
        <v/>
      </c>
      <c r="S586" s="193">
        <f>SUM(Tabella1[[#This Row],[Gf]],Tabella1[[#This Row],[Rf]])</f>
        <v>0</v>
      </c>
      <c r="T586" s="193"/>
      <c r="U586" s="285" t="str">
        <f>IF(Tabella1[[#This Row],[N° FantaTit]]="","",Tabella1[[#This Row],[fanta voto]])</f>
        <v/>
      </c>
      <c r="V586" s="193">
        <f>SUM(Tabella1[[#This Row],[Voto]],(G586*3),Q586,P586,O586,-(N586),(-M586/2),(-L586*2),(-H586),(I586*3),(-J586*3),(K586*3))</f>
        <v>6</v>
      </c>
      <c r="W586" s="193"/>
      <c r="X586" s="193" t="str">
        <f>IF(Tabella1[[#This Row],[Best 11]]=1,Tabella1[[#This Row],[fanta voto]],"")</f>
        <v/>
      </c>
      <c r="Z586" s="193" t="str">
        <f>IF(Tabella1[[#This Row],[Best 11 MOD]]=1,Tabella1[[#This Row],[fanta voto]],"")</f>
        <v/>
      </c>
      <c r="AA586" t="str">
        <f>CONCATENATE(Tabella1[[#This Row],[GG]],Tabella1[[#This Row],[Nome]])</f>
        <v>2Basic</v>
      </c>
      <c r="AB586" t="str">
        <f t="shared" si="23"/>
        <v>2</v>
      </c>
      <c r="AC586" t="str">
        <f>_xlfn.CONCAT(Tabella1[[#This Row],[Ruolo]],Tabella1[[#This Row],[Gs]])</f>
        <v>C0</v>
      </c>
    </row>
    <row r="587" spans="1:29" hidden="1" x14ac:dyDescent="0.3">
      <c r="A587" s="14">
        <v>46261</v>
      </c>
      <c r="B587" s="15">
        <v>2</v>
      </c>
      <c r="C587" s="321" t="s">
        <v>967</v>
      </c>
      <c r="D587" s="349" t="s">
        <v>162</v>
      </c>
      <c r="E587" s="349" t="s">
        <v>982</v>
      </c>
      <c r="F587" s="350">
        <v>6</v>
      </c>
      <c r="G587" s="351">
        <v>0</v>
      </c>
      <c r="H587" s="351">
        <v>0</v>
      </c>
      <c r="I587" s="351">
        <v>0</v>
      </c>
      <c r="J587" s="351">
        <v>0</v>
      </c>
      <c r="K587" s="351">
        <v>0</v>
      </c>
      <c r="L587" s="351">
        <v>0</v>
      </c>
      <c r="M587" s="353">
        <v>1</v>
      </c>
      <c r="N587" s="351">
        <v>0</v>
      </c>
      <c r="O587" s="351">
        <v>0</v>
      </c>
      <c r="P587" s="284"/>
      <c r="Q587" s="284">
        <f t="shared" si="22"/>
        <v>0</v>
      </c>
      <c r="R587" s="3" t="str">
        <f>_xlfn.IFNA(VLOOKUP(Tabella1[[#This Row],[Nome]],'ROSE SQUADRE'!$N$3:$O$253,2,0),"")</f>
        <v/>
      </c>
      <c r="S587" s="193">
        <f>SUM(Tabella1[[#This Row],[Gf]],Tabella1[[#This Row],[Rf]])</f>
        <v>0</v>
      </c>
      <c r="T587" s="193"/>
      <c r="U587" s="285" t="str">
        <f>IF(Tabella1[[#This Row],[N° FantaTit]]="","",Tabella1[[#This Row],[fanta voto]])</f>
        <v/>
      </c>
      <c r="V587" s="193">
        <f>SUM(Tabella1[[#This Row],[Voto]],(G587*3),Q587,P587,O587,-(N587),(-M587/2),(-L587*2),(-H587),(I587*3),(-J587*3),(K587*3))</f>
        <v>5.5</v>
      </c>
      <c r="W587" s="193"/>
      <c r="X587" s="193" t="str">
        <f>IF(Tabella1[[#This Row],[Best 11]]=1,Tabella1[[#This Row],[fanta voto]],"")</f>
        <v/>
      </c>
      <c r="Z587" s="193" t="str">
        <f>IF(Tabella1[[#This Row],[Best 11 MOD]]=1,Tabella1[[#This Row],[fanta voto]],"")</f>
        <v/>
      </c>
      <c r="AA587" t="str">
        <f>CONCATENATE(Tabella1[[#This Row],[GG]],Tabella1[[#This Row],[Nome]])</f>
        <v>2Perez K.</v>
      </c>
      <c r="AB587" t="str">
        <f t="shared" si="23"/>
        <v>2</v>
      </c>
      <c r="AC587" t="str">
        <f>_xlfn.CONCAT(Tabella1[[#This Row],[Ruolo]],Tabella1[[#This Row],[Gs]])</f>
        <v>C0</v>
      </c>
    </row>
    <row r="588" spans="1:29" hidden="1" x14ac:dyDescent="0.3">
      <c r="A588" s="14">
        <v>46261</v>
      </c>
      <c r="B588" s="15">
        <v>2</v>
      </c>
      <c r="C588" s="321" t="str">
        <f>_xlfn.XLOOKUP(Tabella1[[#This Row],[Nome]],Tabella4[NOME],Tabella4[SQUADRA],"")</f>
        <v>Venezia</v>
      </c>
      <c r="D588" s="346" t="s">
        <v>163</v>
      </c>
      <c r="E588" s="346" t="s">
        <v>988</v>
      </c>
      <c r="F588" s="347">
        <v>6.5</v>
      </c>
      <c r="G588" s="348">
        <v>0</v>
      </c>
      <c r="H588" s="348">
        <v>0</v>
      </c>
      <c r="I588" s="348">
        <v>0</v>
      </c>
      <c r="J588" s="348">
        <v>0</v>
      </c>
      <c r="K588" s="348">
        <v>0</v>
      </c>
      <c r="L588" s="348">
        <v>0</v>
      </c>
      <c r="M588" s="348">
        <v>0</v>
      </c>
      <c r="N588" s="348">
        <v>0</v>
      </c>
      <c r="O588" s="348">
        <v>0</v>
      </c>
      <c r="P588" s="284"/>
      <c r="Q588" s="284">
        <f t="shared" si="22"/>
        <v>0</v>
      </c>
      <c r="R588" s="3" t="str">
        <f>_xlfn.IFNA(VLOOKUP(Tabella1[[#This Row],[Nome]],'ROSE SQUADRE'!$N$3:$O$253,2,0),"")</f>
        <v>TRICCHETRACHT</v>
      </c>
      <c r="S588" s="193">
        <f>SUM(Tabella1[[#This Row],[Gf]],Tabella1[[#This Row],[Rf]])</f>
        <v>0</v>
      </c>
      <c r="T588" s="193"/>
      <c r="U588" s="285" t="str">
        <f>IF(Tabella1[[#This Row],[N° FantaTit]]="","",Tabella1[[#This Row],[fanta voto]])</f>
        <v/>
      </c>
      <c r="V588" s="193">
        <f>SUM(Tabella1[[#This Row],[Voto]],(G588*3),Q588,P588,O588,-(N588),(-M588/2),(-L588*2),(-H588),(I588*3),(-J588*3),(K588*3))</f>
        <v>6.5</v>
      </c>
      <c r="W588" s="193"/>
      <c r="X588" s="193" t="str">
        <f>IF(Tabella1[[#This Row],[Best 11]]=1,Tabella1[[#This Row],[fanta voto]],"")</f>
        <v/>
      </c>
      <c r="Z588" s="193" t="str">
        <f>IF(Tabella1[[#This Row],[Best 11 MOD]]=1,Tabella1[[#This Row],[fanta voto]],"")</f>
        <v/>
      </c>
      <c r="AA588" t="str">
        <f>CONCATENATE(Tabella1[[#This Row],[GG]],Tabella1[[#This Row],[Nome]])</f>
        <v>2Yeboah J.</v>
      </c>
      <c r="AB588" t="str">
        <f t="shared" si="23"/>
        <v>2TRICCHETRACHT</v>
      </c>
      <c r="AC588" t="str">
        <f>_xlfn.CONCAT(Tabella1[[#This Row],[Ruolo]],Tabella1[[#This Row],[Gs]])</f>
        <v>A0</v>
      </c>
    </row>
    <row r="589" spans="1:29" hidden="1" x14ac:dyDescent="0.3">
      <c r="A589" s="14">
        <v>46261</v>
      </c>
      <c r="B589" s="15">
        <v>2</v>
      </c>
      <c r="C589" s="321" t="str">
        <f>_xlfn.XLOOKUP(Tabella1[[#This Row],[Nome]],Tabella4[NOME],Tabella4[SQUADRA],"")</f>
        <v>Venezia</v>
      </c>
      <c r="D589" s="349" t="s">
        <v>163</v>
      </c>
      <c r="E589" s="349" t="s">
        <v>983</v>
      </c>
      <c r="F589" s="350">
        <v>5.5</v>
      </c>
      <c r="G589" s="351">
        <v>0</v>
      </c>
      <c r="H589" s="351">
        <v>0</v>
      </c>
      <c r="I589" s="351">
        <v>0</v>
      </c>
      <c r="J589" s="351">
        <v>0</v>
      </c>
      <c r="K589" s="351">
        <v>0</v>
      </c>
      <c r="L589" s="351">
        <v>0</v>
      </c>
      <c r="M589" s="351">
        <v>0</v>
      </c>
      <c r="N589" s="351">
        <v>0</v>
      </c>
      <c r="O589" s="351">
        <v>0</v>
      </c>
      <c r="P589" s="284"/>
      <c r="Q589" s="284">
        <f t="shared" si="22"/>
        <v>0</v>
      </c>
      <c r="R589" s="3" t="str">
        <f>_xlfn.IFNA(VLOOKUP(Tabella1[[#This Row],[Nome]],'ROSE SQUADRE'!$N$3:$O$253,2,0),"")</f>
        <v>AS PIPPERIA</v>
      </c>
      <c r="S589" s="193">
        <f>SUM(Tabella1[[#This Row],[Gf]],Tabella1[[#This Row],[Rf]])</f>
        <v>0</v>
      </c>
      <c r="T589" s="193"/>
      <c r="U589" s="285" t="str">
        <f>IF(Tabella1[[#This Row],[N° FantaTit]]="","",Tabella1[[#This Row],[fanta voto]])</f>
        <v/>
      </c>
      <c r="V589" s="193">
        <f>SUM(Tabella1[[#This Row],[Voto]],(G589*3),Q589,P589,O589,-(N589),(-M589/2),(-L589*2),(-H589),(I589*3),(-J589*3),(K589*3))</f>
        <v>5.5</v>
      </c>
      <c r="W589" s="193"/>
      <c r="X589" s="193" t="str">
        <f>IF(Tabella1[[#This Row],[Best 11]]=1,Tabella1[[#This Row],[fanta voto]],"")</f>
        <v/>
      </c>
      <c r="Z589" s="193" t="str">
        <f>IF(Tabella1[[#This Row],[Best 11 MOD]]=1,Tabella1[[#This Row],[fanta voto]],"")</f>
        <v/>
      </c>
      <c r="AA589" t="str">
        <f>CONCATENATE(Tabella1[[#This Row],[GG]],Tabella1[[#This Row],[Nome]])</f>
        <v>2Adams A.</v>
      </c>
      <c r="AB589" t="str">
        <f t="shared" si="23"/>
        <v>2AS PIPPERIA</v>
      </c>
      <c r="AC589" t="str">
        <f>_xlfn.CONCAT(Tabella1[[#This Row],[Ruolo]],Tabella1[[#This Row],[Gs]])</f>
        <v>A0</v>
      </c>
    </row>
    <row r="590" spans="1:29" hidden="1" x14ac:dyDescent="0.3">
      <c r="A590" s="14">
        <v>46270</v>
      </c>
      <c r="B590" s="15">
        <v>3</v>
      </c>
      <c r="C590" s="321" t="str">
        <f>_xlfn.XLOOKUP(Tabella1[[#This Row],[Nome]],Tabella4[NOME],Tabella4[SQUADRA],"")</f>
        <v>Udinese</v>
      </c>
      <c r="D590" s="330" t="s">
        <v>5</v>
      </c>
      <c r="E590" s="330" t="s">
        <v>575</v>
      </c>
      <c r="F590" s="331">
        <v>6</v>
      </c>
      <c r="G590" s="332">
        <v>0</v>
      </c>
      <c r="H590" s="333">
        <v>2</v>
      </c>
      <c r="I590" s="332">
        <v>0</v>
      </c>
      <c r="J590" s="332">
        <v>0</v>
      </c>
      <c r="K590" s="332">
        <v>0</v>
      </c>
      <c r="L590" s="332">
        <v>0</v>
      </c>
      <c r="M590" s="332">
        <v>0</v>
      </c>
      <c r="N590" s="332">
        <v>0</v>
      </c>
      <c r="O590" s="332">
        <v>0</v>
      </c>
      <c r="P590" s="284"/>
      <c r="Q590" s="284">
        <f t="shared" ref="Q590:Q595" si="24">IF(AC590="P0",1,0)</f>
        <v>0</v>
      </c>
      <c r="R590" s="3" t="str">
        <f>_xlfn.IFNA(VLOOKUP(Tabella1[[#This Row],[Nome]],'ROSE SQUADRE'!$N$3:$O$253,2,0),"")</f>
        <v>ATL. IMPROVVISATO</v>
      </c>
      <c r="S590" s="193">
        <f>SUM(Tabella1[[#This Row],[Gf]],Tabella1[[#This Row],[Rf]])</f>
        <v>0</v>
      </c>
      <c r="T590" s="193">
        <v>1</v>
      </c>
      <c r="U590" s="285">
        <f>IF(Tabella1[[#This Row],[N° FantaTit]]="","",Tabella1[[#This Row],[fanta voto]])</f>
        <v>4</v>
      </c>
      <c r="V590" s="193">
        <f>SUM(Tabella1[[#This Row],[Voto]],(G590*3),Q590,P590,O590,-(N590),(-M590/2),(-L590*2),(-H590),(I590*3),(-J590*3),(K590*3))</f>
        <v>4</v>
      </c>
      <c r="W590" s="193">
        <v>1</v>
      </c>
      <c r="X590" s="193">
        <f>IF(Tabella1[[#This Row],[Best 11]]=1,Tabella1[[#This Row],[fanta voto]],"")</f>
        <v>4</v>
      </c>
      <c r="Y590">
        <v>1</v>
      </c>
      <c r="Z590" s="193">
        <f>IF(Tabella1[[#This Row],[Best 11 MOD]]=1,Tabella1[[#This Row],[fanta voto]],"")</f>
        <v>4</v>
      </c>
      <c r="AA590" t="str">
        <f>CONCATENATE(Tabella1[[#This Row],[GG]],Tabella1[[#This Row],[Nome]])</f>
        <v>3Okoye</v>
      </c>
      <c r="AB590" t="str">
        <f t="shared" ref="AB590:AB595" si="25">CONCATENATE(B590,R590,T590)</f>
        <v>3ATL. IMPROVVISATO1</v>
      </c>
      <c r="AC590" t="str">
        <f>_xlfn.CONCAT(Tabella1[[#This Row],[Ruolo]],Tabella1[[#This Row],[Gs]])</f>
        <v>P2</v>
      </c>
    </row>
    <row r="591" spans="1:29" hidden="1" x14ac:dyDescent="0.3">
      <c r="A591" s="14">
        <v>46270</v>
      </c>
      <c r="B591" s="15">
        <v>3</v>
      </c>
      <c r="C591" s="321" t="str">
        <f>_xlfn.XLOOKUP(Tabella1[[#This Row],[Nome]],Tabella4[NOME],Tabella4[SQUADRA],"")</f>
        <v>Cagliari</v>
      </c>
      <c r="D591" s="330" t="s">
        <v>161</v>
      </c>
      <c r="E591" s="330" t="s">
        <v>670</v>
      </c>
      <c r="F591" s="331">
        <v>6.5</v>
      </c>
      <c r="G591" s="332">
        <v>0</v>
      </c>
      <c r="H591" s="332">
        <v>0</v>
      </c>
      <c r="I591" s="332">
        <v>0</v>
      </c>
      <c r="J591" s="332">
        <v>0</v>
      </c>
      <c r="K591" s="332">
        <v>0</v>
      </c>
      <c r="L591" s="332">
        <v>0</v>
      </c>
      <c r="M591" s="332">
        <v>0</v>
      </c>
      <c r="N591" s="332">
        <v>0</v>
      </c>
      <c r="O591" s="332">
        <v>0</v>
      </c>
      <c r="P591" s="284"/>
      <c r="Q591" s="284">
        <f t="shared" si="24"/>
        <v>0</v>
      </c>
      <c r="R591" s="3" t="str">
        <f>_xlfn.IFNA(VLOOKUP(Tabella1[[#This Row],[Nome]],'ROSE SQUADRE'!$N$3:$O$260,2,0),"")</f>
        <v>ATL. IMPROVVISATO</v>
      </c>
      <c r="S591" s="193">
        <f>SUM(Tabella1[[#This Row],[Gf]],Tabella1[[#This Row],[Rf]])</f>
        <v>0</v>
      </c>
      <c r="T591" s="193">
        <v>1</v>
      </c>
      <c r="U591" s="285">
        <f>IF(Tabella1[[#This Row],[N° FantaTit]]="","",Tabella1[[#This Row],[fanta voto]])</f>
        <v>6.5</v>
      </c>
      <c r="V591" s="193">
        <f>SUM(Tabella1[[#This Row],[Voto]],(G591*3),Q591,P591,O591,-(N591),(-M591/2),(-L591*2),(-H591),(I591*3),(-J591*3),(K591*3))</f>
        <v>6.5</v>
      </c>
      <c r="W591" s="193">
        <v>1</v>
      </c>
      <c r="X591" s="193">
        <f>IF(Tabella1[[#This Row],[Best 11]]=1,Tabella1[[#This Row],[fanta voto]],"")</f>
        <v>6.5</v>
      </c>
      <c r="Y591">
        <v>1</v>
      </c>
      <c r="Z591" s="193">
        <f>IF(Tabella1[[#This Row],[Best 11 MOD]]=1,Tabella1[[#This Row],[fanta voto]],"")</f>
        <v>6.5</v>
      </c>
      <c r="AA591" t="str">
        <f>CONCATENATE(Tabella1[[#This Row],[GG]],Tabella1[[#This Row],[Nome]])</f>
        <v>3Zè Pedro</v>
      </c>
      <c r="AB591" t="str">
        <f t="shared" si="25"/>
        <v>3ATL. IMPROVVISATO1</v>
      </c>
      <c r="AC591" t="str">
        <f>_xlfn.CONCAT(Tabella1[[#This Row],[Ruolo]],Tabella1[[#This Row],[Gs]])</f>
        <v>D0</v>
      </c>
    </row>
    <row r="592" spans="1:29" hidden="1" x14ac:dyDescent="0.3">
      <c r="A592" s="14">
        <v>46270</v>
      </c>
      <c r="B592" s="15">
        <v>3</v>
      </c>
      <c r="C592" s="321" t="str">
        <f>_xlfn.XLOOKUP(Tabella1[[#This Row],[Nome]],Tabella4[NOME],Tabella4[SQUADRA],"")</f>
        <v>Udinese</v>
      </c>
      <c r="D592" s="330" t="s">
        <v>162</v>
      </c>
      <c r="E592" s="330" t="s">
        <v>621</v>
      </c>
      <c r="F592" s="331">
        <v>5.5</v>
      </c>
      <c r="G592" s="332">
        <v>0</v>
      </c>
      <c r="H592" s="332">
        <v>0</v>
      </c>
      <c r="I592" s="332">
        <v>0</v>
      </c>
      <c r="J592" s="332">
        <v>0</v>
      </c>
      <c r="K592" s="332">
        <v>0</v>
      </c>
      <c r="L592" s="332">
        <v>0</v>
      </c>
      <c r="M592" s="332">
        <v>0</v>
      </c>
      <c r="N592" s="332">
        <v>0</v>
      </c>
      <c r="O592" s="332">
        <v>0</v>
      </c>
      <c r="P592" s="284"/>
      <c r="Q592" s="284">
        <f t="shared" si="24"/>
        <v>0</v>
      </c>
      <c r="R592" s="3" t="str">
        <f>_xlfn.IFNA(VLOOKUP(Tabella1[[#This Row],[Nome]],'ROSE SQUADRE'!$N$3:$O$260,2,0),"")</f>
        <v/>
      </c>
      <c r="S592" s="193">
        <f>SUM(Tabella1[[#This Row],[Gf]],Tabella1[[#This Row],[Rf]])</f>
        <v>0</v>
      </c>
      <c r="T592" s="193"/>
      <c r="U592" s="285" t="str">
        <f>IF(Tabella1[[#This Row],[N° FantaTit]]="","",Tabella1[[#This Row],[fanta voto]])</f>
        <v/>
      </c>
      <c r="V592" s="193">
        <f>SUM(Tabella1[[#This Row],[Voto]],(G592*3),Q592,P592,O592,-(N592),(-M592/2),(-L592*2),(-H592),(I592*3),(-J592*3),(K592*3))</f>
        <v>5.5</v>
      </c>
      <c r="W592" s="193"/>
      <c r="X592" s="193" t="str">
        <f>IF(Tabella1[[#This Row],[Best 11]]=1,Tabella1[[#This Row],[fanta voto]],"")</f>
        <v/>
      </c>
      <c r="Z592" s="193" t="str">
        <f>IF(Tabella1[[#This Row],[Best 11 MOD]]=1,Tabella1[[#This Row],[fanta voto]],"")</f>
        <v/>
      </c>
      <c r="AA592" t="str">
        <f>CONCATENATE(Tabella1[[#This Row],[GG]],Tabella1[[#This Row],[Nome]])</f>
        <v>3Zarraga</v>
      </c>
      <c r="AB592" t="str">
        <f t="shared" si="25"/>
        <v>3</v>
      </c>
      <c r="AC592" t="str">
        <f>_xlfn.CONCAT(Tabella1[[#This Row],[Ruolo]],Tabella1[[#This Row],[Gs]])</f>
        <v>C0</v>
      </c>
    </row>
    <row r="593" spans="1:29" hidden="1" x14ac:dyDescent="0.3">
      <c r="A593" s="14">
        <v>46270</v>
      </c>
      <c r="B593" s="15">
        <v>3</v>
      </c>
      <c r="C593" s="321" t="str">
        <f>_xlfn.XLOOKUP(Tabella1[[#This Row],[Nome]],Tabella4[NOME],Tabella4[SQUADRA],"")</f>
        <v>Atalanta</v>
      </c>
      <c r="D593" s="330" t="s">
        <v>161</v>
      </c>
      <c r="E593" s="330" t="s">
        <v>331</v>
      </c>
      <c r="F593" s="331">
        <v>5.5</v>
      </c>
      <c r="G593" s="332">
        <v>0</v>
      </c>
      <c r="H593" s="332">
        <v>0</v>
      </c>
      <c r="I593" s="332">
        <v>0</v>
      </c>
      <c r="J593" s="332">
        <v>0</v>
      </c>
      <c r="K593" s="332">
        <v>0</v>
      </c>
      <c r="L593" s="332">
        <v>0</v>
      </c>
      <c r="M593" s="332">
        <v>0</v>
      </c>
      <c r="N593" s="332">
        <v>0</v>
      </c>
      <c r="O593" s="332">
        <v>0</v>
      </c>
      <c r="P593" s="284"/>
      <c r="Q593" s="284">
        <f t="shared" si="24"/>
        <v>0</v>
      </c>
      <c r="R593" s="3" t="str">
        <f>_xlfn.IFNA(VLOOKUP(Tabella1[[#This Row],[Nome]],'ROSE SQUADRE'!$N$3:$O$260,2,0),"")</f>
        <v/>
      </c>
      <c r="S593" s="193">
        <f>SUM(Tabella1[[#This Row],[Gf]],Tabella1[[#This Row],[Rf]])</f>
        <v>0</v>
      </c>
      <c r="T593" s="193"/>
      <c r="U593" s="285" t="str">
        <f>IF(Tabella1[[#This Row],[N° FantaTit]]="","",Tabella1[[#This Row],[fanta voto]])</f>
        <v/>
      </c>
      <c r="V593" s="193">
        <f>SUM(Tabella1[[#This Row],[Voto]],(G593*3),Q593,P593,O593,-(N593),(-M593/2),(-L593*2),(-H593),(I593*3),(-J593*3),(K593*3))</f>
        <v>5.5</v>
      </c>
      <c r="W593" s="193"/>
      <c r="X593" s="193" t="str">
        <f>IF(Tabella1[[#This Row],[Best 11]]=1,Tabella1[[#This Row],[fanta voto]],"")</f>
        <v/>
      </c>
      <c r="Z593" s="193" t="str">
        <f>IF(Tabella1[[#This Row],[Best 11 MOD]]=1,Tabella1[[#This Row],[fanta voto]],"")</f>
        <v/>
      </c>
      <c r="AA593" t="str">
        <f>CONCATENATE(Tabella1[[#This Row],[GG]],Tabella1[[#This Row],[Nome]])</f>
        <v>3Zappacosta</v>
      </c>
      <c r="AB593" t="str">
        <f t="shared" si="25"/>
        <v>3</v>
      </c>
      <c r="AC593" t="str">
        <f>_xlfn.CONCAT(Tabella1[[#This Row],[Ruolo]],Tabella1[[#This Row],[Gs]])</f>
        <v>D0</v>
      </c>
    </row>
    <row r="594" spans="1:29" hidden="1" x14ac:dyDescent="0.3">
      <c r="A594" s="14">
        <v>46270</v>
      </c>
      <c r="B594" s="15">
        <v>3</v>
      </c>
      <c r="C594" s="321" t="str">
        <f>_xlfn.XLOOKUP(Tabella1[[#This Row],[Nome]],Tabella4[NOME],Tabella4[SQUADRA],"")</f>
        <v>Napoli</v>
      </c>
      <c r="D594" s="330" t="s">
        <v>161</v>
      </c>
      <c r="E594" s="330" t="s">
        <v>298</v>
      </c>
      <c r="F594" s="331">
        <v>5.5</v>
      </c>
      <c r="G594" s="332">
        <v>0</v>
      </c>
      <c r="H594" s="332">
        <v>0</v>
      </c>
      <c r="I594" s="332">
        <v>0</v>
      </c>
      <c r="J594" s="332">
        <v>0</v>
      </c>
      <c r="K594" s="332">
        <v>0</v>
      </c>
      <c r="L594" s="332">
        <v>0</v>
      </c>
      <c r="M594" s="332">
        <v>0</v>
      </c>
      <c r="N594" s="332">
        <v>0</v>
      </c>
      <c r="O594" s="332">
        <v>0</v>
      </c>
      <c r="P594" s="284"/>
      <c r="Q594" s="284">
        <f t="shared" si="24"/>
        <v>0</v>
      </c>
      <c r="R594" s="3" t="str">
        <f>_xlfn.IFNA(VLOOKUP(Tabella1[[#This Row],[Nome]],'ROSE SQUADRE'!$N$3:$O$260,2,0),"")</f>
        <v>ATL. IMPROVVISATO</v>
      </c>
      <c r="S594" s="193">
        <f>SUM(Tabella1[[#This Row],[Gf]],Tabella1[[#This Row],[Rf]])</f>
        <v>0</v>
      </c>
      <c r="T594" s="193"/>
      <c r="U594" s="285" t="str">
        <f>IF(Tabella1[[#This Row],[N° FantaTit]]="","",Tabella1[[#This Row],[fanta voto]])</f>
        <v/>
      </c>
      <c r="V594" s="193">
        <f>SUM(Tabella1[[#This Row],[Voto]],(G594*3),Q594,P594,O594,-(N594),(-M594/2),(-L594*2),(-H594),(I594*3),(-J594*3),(K594*3))</f>
        <v>5.5</v>
      </c>
      <c r="W594" s="193">
        <v>1</v>
      </c>
      <c r="X594" s="193">
        <f>IF(Tabella1[[#This Row],[Best 11]]=1,Tabella1[[#This Row],[fanta voto]],"")</f>
        <v>5.5</v>
      </c>
      <c r="Y594">
        <v>1</v>
      </c>
      <c r="Z594" s="193">
        <f>IF(Tabella1[[#This Row],[Best 11 MOD]]=1,Tabella1[[#This Row],[fanta voto]],"")</f>
        <v>5.5</v>
      </c>
      <c r="AA594" t="str">
        <f>CONCATENATE(Tabella1[[#This Row],[GG]],Tabella1[[#This Row],[Nome]])</f>
        <v>3Spinazzola</v>
      </c>
      <c r="AB594" t="str">
        <f t="shared" si="25"/>
        <v>3ATL. IMPROVVISATO</v>
      </c>
      <c r="AC594" t="str">
        <f>_xlfn.CONCAT(Tabella1[[#This Row],[Ruolo]],Tabella1[[#This Row],[Gs]])</f>
        <v>D0</v>
      </c>
    </row>
    <row r="595" spans="1:29" hidden="1" x14ac:dyDescent="0.3">
      <c r="A595" s="14">
        <v>46270</v>
      </c>
      <c r="B595" s="15">
        <v>3</v>
      </c>
      <c r="C595" s="321" t="str">
        <f>_xlfn.XLOOKUP(Tabella1[[#This Row],[Nome]],Tabella4[NOME],Tabella4[SQUADRA],"")</f>
        <v>Napoli</v>
      </c>
      <c r="D595" t="s">
        <v>5</v>
      </c>
      <c r="E595" t="s">
        <v>266</v>
      </c>
      <c r="F595" s="194">
        <v>7</v>
      </c>
      <c r="G595" s="328">
        <v>0</v>
      </c>
      <c r="H595" s="329">
        <v>3</v>
      </c>
      <c r="I595" s="328">
        <v>0</v>
      </c>
      <c r="J595" s="328">
        <v>0</v>
      </c>
      <c r="K595" s="328">
        <v>0</v>
      </c>
      <c r="L595" s="328">
        <v>0</v>
      </c>
      <c r="M595" s="328">
        <v>0</v>
      </c>
      <c r="N595" s="328">
        <v>0</v>
      </c>
      <c r="O595" s="328">
        <v>0</v>
      </c>
      <c r="P595" s="284"/>
      <c r="Q595" s="284">
        <f t="shared" si="24"/>
        <v>0</v>
      </c>
      <c r="R595" s="3" t="str">
        <f>_xlfn.IFNA(VLOOKUP(Tabella1[[#This Row],[Nome]],'ROSE SQUADRE'!$N$3:$O$260,2,0),"")</f>
        <v>PESCICULINI</v>
      </c>
      <c r="S595" s="193">
        <f>SUM(Tabella1[[#This Row],[Gf]],Tabella1[[#This Row],[Rf]])</f>
        <v>0</v>
      </c>
      <c r="T595" s="193"/>
      <c r="U595" s="285" t="str">
        <f>IF(Tabella1[[#This Row],[N° FantaTit]]="","",Tabella1[[#This Row],[fanta voto]])</f>
        <v/>
      </c>
      <c r="V595" s="193">
        <f>SUM(Tabella1[[#This Row],[Voto]],(G595*3),Q595,P595,O595,-(N595),(-M595/2),(-L595*2),(-H595),(I595*3),(-J595*3),(K595*3))</f>
        <v>4</v>
      </c>
      <c r="W595" s="193">
        <v>1</v>
      </c>
      <c r="X595" s="193">
        <f>IF(Tabella1[[#This Row],[Best 11]]=1,Tabella1[[#This Row],[fanta voto]],"")</f>
        <v>4</v>
      </c>
      <c r="Y595">
        <v>1</v>
      </c>
      <c r="Z595" s="193">
        <f>IF(Tabella1[[#This Row],[Best 11 MOD]]=1,Tabella1[[#This Row],[fanta voto]],"")</f>
        <v>4</v>
      </c>
      <c r="AA595" t="str">
        <f>CONCATENATE(Tabella1[[#This Row],[GG]],Tabella1[[#This Row],[Nome]])</f>
        <v>3Meret</v>
      </c>
      <c r="AB595" t="str">
        <f t="shared" si="25"/>
        <v>3PESCICULINI</v>
      </c>
      <c r="AC595" t="str">
        <f>_xlfn.CONCAT(Tabella1[[#This Row],[Ruolo]],Tabella1[[#This Row],[Gs]])</f>
        <v>P3</v>
      </c>
    </row>
    <row r="596" spans="1:29" hidden="1" x14ac:dyDescent="0.3">
      <c r="A596" s="14">
        <v>46270</v>
      </c>
      <c r="B596" s="15">
        <v>3</v>
      </c>
      <c r="C596" s="321" t="str">
        <f>_xlfn.XLOOKUP(Tabella1[[#This Row],[Nome]],Tabella4[NOME],Tabella4[SQUADRA],"")</f>
        <v>Lazio</v>
      </c>
      <c r="D596" s="330" t="s">
        <v>5</v>
      </c>
      <c r="E596" s="330" t="s">
        <v>795</v>
      </c>
      <c r="F596" s="331">
        <v>6.5</v>
      </c>
      <c r="G596" s="332">
        <v>0</v>
      </c>
      <c r="H596" s="333">
        <v>1</v>
      </c>
      <c r="I596" s="332">
        <v>0</v>
      </c>
      <c r="J596" s="332">
        <v>0</v>
      </c>
      <c r="K596" s="332">
        <v>0</v>
      </c>
      <c r="L596" s="332">
        <v>0</v>
      </c>
      <c r="M596" s="332">
        <v>0</v>
      </c>
      <c r="N596" s="332">
        <v>0</v>
      </c>
      <c r="O596" s="332">
        <v>0</v>
      </c>
      <c r="P596" s="284"/>
      <c r="Q596" s="284">
        <f t="shared" ref="Q596:Q659" si="26">IF(AC596="P0",1,0)</f>
        <v>0</v>
      </c>
      <c r="R596" s="3" t="str">
        <f>_xlfn.IFNA(VLOOKUP(Tabella1[[#This Row],[Nome]],'ROSE SQUADRE'!$N$3:$O$260,2,0),"")</f>
        <v>AS PIPPERIA</v>
      </c>
      <c r="S596" s="193">
        <f>SUM(Tabella1[[#This Row],[Gf]],Tabella1[[#This Row],[Rf]])</f>
        <v>0</v>
      </c>
      <c r="T596" s="193">
        <v>1</v>
      </c>
      <c r="U596" s="285">
        <f>IF(Tabella1[[#This Row],[N° FantaTit]]="","",Tabella1[[#This Row],[fanta voto]])</f>
        <v>5.5</v>
      </c>
      <c r="V596" s="193">
        <f>SUM(Tabella1[[#This Row],[Voto]],(G596*3),Q596,P596,O596,-(N596),(-M596/2),(-L596*2),(-H596),(I596*3),(-J596*3),(K596*3))</f>
        <v>5.5</v>
      </c>
      <c r="W596" s="193">
        <v>1</v>
      </c>
      <c r="X596" s="193">
        <f>IF(Tabella1[[#This Row],[Best 11]]=1,Tabella1[[#This Row],[fanta voto]],"")</f>
        <v>5.5</v>
      </c>
      <c r="Y596">
        <v>1</v>
      </c>
      <c r="Z596" s="193">
        <f>IF(Tabella1[[#This Row],[Best 11 MOD]]=1,Tabella1[[#This Row],[fanta voto]],"")</f>
        <v>5.5</v>
      </c>
      <c r="AA596" t="str">
        <f>CONCATENATE(Tabella1[[#This Row],[GG]],Tabella1[[#This Row],[Nome]])</f>
        <v>3Mandas</v>
      </c>
      <c r="AB596" t="str">
        <f t="shared" ref="AB596:AB659" si="27">CONCATENATE(B596,R596,T596)</f>
        <v>3AS PIPPERIA1</v>
      </c>
      <c r="AC596" t="str">
        <f>_xlfn.CONCAT(Tabella1[[#This Row],[Ruolo]],Tabella1[[#This Row],[Gs]])</f>
        <v>P1</v>
      </c>
    </row>
    <row r="597" spans="1:29" hidden="1" x14ac:dyDescent="0.3">
      <c r="A597" s="14">
        <v>46270</v>
      </c>
      <c r="B597" s="15">
        <v>3</v>
      </c>
      <c r="C597" s="321" t="str">
        <f>_xlfn.XLOOKUP(Tabella1[[#This Row],[Nome]],Tabella4[NOME],Tabella4[SQUADRA],"")</f>
        <v>Juventus</v>
      </c>
      <c r="D597" t="s">
        <v>5</v>
      </c>
      <c r="E597" t="s">
        <v>780</v>
      </c>
      <c r="F597" s="194">
        <v>6</v>
      </c>
      <c r="G597" s="328">
        <v>0</v>
      </c>
      <c r="H597" s="329">
        <v>1</v>
      </c>
      <c r="I597" s="328">
        <v>0</v>
      </c>
      <c r="J597" s="328">
        <v>0</v>
      </c>
      <c r="K597" s="328">
        <v>0</v>
      </c>
      <c r="L597" s="328">
        <v>0</v>
      </c>
      <c r="M597" s="328">
        <v>0</v>
      </c>
      <c r="N597" s="328">
        <v>0</v>
      </c>
      <c r="O597" s="328">
        <v>0</v>
      </c>
      <c r="P597" s="284"/>
      <c r="Q597" s="284">
        <f t="shared" si="26"/>
        <v>0</v>
      </c>
      <c r="R597" s="3" t="str">
        <f>_xlfn.IFNA(VLOOKUP(Tabella1[[#This Row],[Nome]],'ROSE SQUADRE'!$N$3:$O$260,2,0),"")</f>
        <v>TRICCHETRACHT</v>
      </c>
      <c r="S597" s="193">
        <f>SUM(Tabella1[[#This Row],[Gf]],Tabella1[[#This Row],[Rf]])</f>
        <v>0</v>
      </c>
      <c r="T597" s="193"/>
      <c r="U597" s="285" t="str">
        <f>IF(Tabella1[[#This Row],[N° FantaTit]]="","",Tabella1[[#This Row],[fanta voto]])</f>
        <v/>
      </c>
      <c r="V597" s="193">
        <f>SUM(Tabella1[[#This Row],[Voto]],(G597*3),Q597,P597,O597,-(N597),(-M597/2),(-L597*2),(-H597),(I597*3),(-J597*3),(K597*3))</f>
        <v>5</v>
      </c>
      <c r="W597" s="193">
        <v>1</v>
      </c>
      <c r="X597" s="193">
        <f>IF(Tabella1[[#This Row],[Best 11]]=1,Tabella1[[#This Row],[fanta voto]],"")</f>
        <v>5</v>
      </c>
      <c r="Y597">
        <v>1</v>
      </c>
      <c r="Z597" s="193">
        <f>IF(Tabella1[[#This Row],[Best 11 MOD]]=1,Tabella1[[#This Row],[fanta voto]],"")</f>
        <v>5</v>
      </c>
      <c r="AA597" t="str">
        <f>CONCATENATE(Tabella1[[#This Row],[GG]],Tabella1[[#This Row],[Nome]])</f>
        <v>3Vicario</v>
      </c>
      <c r="AB597" t="str">
        <f t="shared" si="27"/>
        <v>3TRICCHETRACHT</v>
      </c>
      <c r="AC597" t="str">
        <f>_xlfn.CONCAT(Tabella1[[#This Row],[Ruolo]],Tabella1[[#This Row],[Gs]])</f>
        <v>P1</v>
      </c>
    </row>
    <row r="598" spans="1:29" hidden="1" x14ac:dyDescent="0.3">
      <c r="A598" s="14">
        <v>46270</v>
      </c>
      <c r="B598" s="15">
        <v>3</v>
      </c>
      <c r="C598" s="321" t="str">
        <f>_xlfn.XLOOKUP(Tabella1[[#This Row],[Nome]],Tabella4[NOME],Tabella4[SQUADRA],"")</f>
        <v>Lecce</v>
      </c>
      <c r="D598" t="s">
        <v>161</v>
      </c>
      <c r="E598" t="s">
        <v>212</v>
      </c>
      <c r="F598" s="194">
        <v>5.5</v>
      </c>
      <c r="G598" s="328">
        <v>0</v>
      </c>
      <c r="H598" s="328">
        <v>0</v>
      </c>
      <c r="I598" s="328">
        <v>0</v>
      </c>
      <c r="J598" s="328">
        <v>0</v>
      </c>
      <c r="K598" s="328">
        <v>0</v>
      </c>
      <c r="L598" s="328">
        <v>0</v>
      </c>
      <c r="M598" s="328">
        <v>0</v>
      </c>
      <c r="N598" s="328">
        <v>0</v>
      </c>
      <c r="O598" s="328">
        <v>0</v>
      </c>
      <c r="P598" s="284"/>
      <c r="Q598" s="284">
        <f t="shared" si="26"/>
        <v>0</v>
      </c>
      <c r="R598" s="3" t="str">
        <f>_xlfn.IFNA(VLOOKUP(Tabella1[[#This Row],[Nome]],'ROSE SQUADRE'!$N$3:$O$260,2,0),"")</f>
        <v>ATL. IMPROVVISATO</v>
      </c>
      <c r="S598" s="193">
        <f>SUM(Tabella1[[#This Row],[Gf]],Tabella1[[#This Row],[Rf]])</f>
        <v>0</v>
      </c>
      <c r="T598" s="193"/>
      <c r="U598" s="285" t="str">
        <f>IF(Tabella1[[#This Row],[N° FantaTit]]="","",Tabella1[[#This Row],[fanta voto]])</f>
        <v/>
      </c>
      <c r="V598" s="193">
        <f>SUM(Tabella1[[#This Row],[Voto]],(G598*3),Q598,P598,O598,-(N598),(-M598/2),(-L598*2),(-H598),(I598*3),(-J598*3),(K598*3))</f>
        <v>5.5</v>
      </c>
      <c r="W598" s="193"/>
      <c r="X598" s="193" t="str">
        <f>IF(Tabella1[[#This Row],[Best 11]]=1,Tabella1[[#This Row],[fanta voto]],"")</f>
        <v/>
      </c>
      <c r="Z598" s="193" t="str">
        <f>IF(Tabella1[[#This Row],[Best 11 MOD]]=1,Tabella1[[#This Row],[fanta voto]],"")</f>
        <v/>
      </c>
      <c r="AA598" t="str">
        <f>CONCATENATE(Tabella1[[#This Row],[GG]],Tabella1[[#This Row],[Nome]])</f>
        <v>3Gallo</v>
      </c>
      <c r="AB598" t="str">
        <f t="shared" si="27"/>
        <v>3ATL. IMPROVVISATO</v>
      </c>
      <c r="AC598" t="str">
        <f>_xlfn.CONCAT(Tabella1[[#This Row],[Ruolo]],Tabella1[[#This Row],[Gs]])</f>
        <v>D0</v>
      </c>
    </row>
    <row r="599" spans="1:29" hidden="1" x14ac:dyDescent="0.3">
      <c r="A599" s="14">
        <v>46270</v>
      </c>
      <c r="B599" s="15">
        <v>3</v>
      </c>
      <c r="C599" s="321" t="str">
        <f>_xlfn.XLOOKUP(Tabella1[[#This Row],[Nome]],Tabella4[NOME],Tabella4[SQUADRA],"")</f>
        <v>Cagliari</v>
      </c>
      <c r="D599" s="330" t="s">
        <v>162</v>
      </c>
      <c r="E599" s="330" t="s">
        <v>674</v>
      </c>
      <c r="F599" s="331">
        <v>6.5</v>
      </c>
      <c r="G599" s="332">
        <v>0</v>
      </c>
      <c r="H599" s="332">
        <v>0</v>
      </c>
      <c r="I599" s="332">
        <v>0</v>
      </c>
      <c r="J599" s="332">
        <v>0</v>
      </c>
      <c r="K599" s="332">
        <v>0</v>
      </c>
      <c r="L599" s="332">
        <v>0</v>
      </c>
      <c r="M599" s="332">
        <v>0</v>
      </c>
      <c r="N599" s="332">
        <v>0</v>
      </c>
      <c r="O599" s="332">
        <v>0</v>
      </c>
      <c r="P599" s="284"/>
      <c r="Q599" s="284">
        <f t="shared" si="26"/>
        <v>0</v>
      </c>
      <c r="R599" s="3" t="str">
        <f>_xlfn.IFNA(VLOOKUP(Tabella1[[#This Row],[Nome]],'ROSE SQUADRE'!$N$3:$O$260,2,0),"")</f>
        <v/>
      </c>
      <c r="S599" s="193">
        <f>SUM(Tabella1[[#This Row],[Gf]],Tabella1[[#This Row],[Rf]])</f>
        <v>0</v>
      </c>
      <c r="T599" s="193"/>
      <c r="U599" s="285" t="str">
        <f>IF(Tabella1[[#This Row],[N° FantaTit]]="","",Tabella1[[#This Row],[fanta voto]])</f>
        <v/>
      </c>
      <c r="V599" s="193">
        <f>SUM(Tabella1[[#This Row],[Voto]],(G599*3),Q599,P599,O599,-(N599),(-M599/2),(-L599*2),(-H599),(I599*3),(-J599*3),(K599*3))</f>
        <v>6.5</v>
      </c>
      <c r="W599" s="193"/>
      <c r="X599" s="193" t="str">
        <f>IF(Tabella1[[#This Row],[Best 11]]=1,Tabella1[[#This Row],[fanta voto]],"")</f>
        <v/>
      </c>
      <c r="Z599" s="193" t="str">
        <f>IF(Tabella1[[#This Row],[Best 11 MOD]]=1,Tabella1[[#This Row],[fanta voto]],"")</f>
        <v/>
      </c>
      <c r="AA599" t="str">
        <f>CONCATENATE(Tabella1[[#This Row],[GG]],Tabella1[[#This Row],[Nome]])</f>
        <v>3Winks</v>
      </c>
      <c r="AB599" t="str">
        <f t="shared" si="27"/>
        <v>3</v>
      </c>
      <c r="AC599" t="str">
        <f>_xlfn.CONCAT(Tabella1[[#This Row],[Ruolo]],Tabella1[[#This Row],[Gs]])</f>
        <v>C0</v>
      </c>
    </row>
    <row r="600" spans="1:29" hidden="1" x14ac:dyDescent="0.3">
      <c r="A600" s="14">
        <v>46270</v>
      </c>
      <c r="B600" s="15">
        <v>3</v>
      </c>
      <c r="C600" s="321" t="str">
        <f>_xlfn.XLOOKUP(Tabella1[[#This Row],[Nome]],Tabella4[NOME],Tabella4[SQUADRA],"")</f>
        <v>Fiorentina</v>
      </c>
      <c r="D600" t="s">
        <v>5</v>
      </c>
      <c r="E600" t="s">
        <v>706</v>
      </c>
      <c r="F600" s="194">
        <v>6</v>
      </c>
      <c r="G600" s="328">
        <v>0</v>
      </c>
      <c r="H600" s="329">
        <v>2</v>
      </c>
      <c r="I600" s="328">
        <v>0</v>
      </c>
      <c r="J600" s="328">
        <v>0</v>
      </c>
      <c r="K600" s="328">
        <v>0</v>
      </c>
      <c r="L600" s="328">
        <v>0</v>
      </c>
      <c r="M600" s="328">
        <v>0</v>
      </c>
      <c r="N600" s="328">
        <v>0</v>
      </c>
      <c r="O600" s="328">
        <v>0</v>
      </c>
      <c r="P600" s="284"/>
      <c r="Q600" s="284">
        <f t="shared" si="26"/>
        <v>0</v>
      </c>
      <c r="R600" s="3" t="str">
        <f>_xlfn.IFNA(VLOOKUP(Tabella1[[#This Row],[Nome]],'ROSE SQUADRE'!$N$3:$O$260,2,0),"")</f>
        <v>PESCICULINI</v>
      </c>
      <c r="S600" s="193">
        <f>SUM(Tabella1[[#This Row],[Gf]],Tabella1[[#This Row],[Rf]])</f>
        <v>0</v>
      </c>
      <c r="T600" s="193">
        <v>1</v>
      </c>
      <c r="U600" s="285">
        <f>IF(Tabella1[[#This Row],[N° FantaTit]]="","",Tabella1[[#This Row],[fanta voto]])</f>
        <v>4</v>
      </c>
      <c r="V600" s="193">
        <f>SUM(Tabella1[[#This Row],[Voto]],(G600*3),Q600,P600,O600,-(N600),(-M600/2),(-L600*2),(-H600),(I600*3),(-J600*3),(K600*3))</f>
        <v>4</v>
      </c>
      <c r="W600" s="193"/>
      <c r="X600" s="193" t="str">
        <f>IF(Tabella1[[#This Row],[Best 11]]=1,Tabella1[[#This Row],[fanta voto]],"")</f>
        <v/>
      </c>
      <c r="Z600" s="193" t="str">
        <f>IF(Tabella1[[#This Row],[Best 11 MOD]]=1,Tabella1[[#This Row],[fanta voto]],"")</f>
        <v/>
      </c>
      <c r="AA600" t="str">
        <f>CONCATENATE(Tabella1[[#This Row],[GG]],Tabella1[[#This Row],[Nome]])</f>
        <v>3De Gea</v>
      </c>
      <c r="AB600" t="str">
        <f t="shared" si="27"/>
        <v>3PESCICULINI1</v>
      </c>
      <c r="AC600" t="str">
        <f>_xlfn.CONCAT(Tabella1[[#This Row],[Ruolo]],Tabella1[[#This Row],[Gs]])</f>
        <v>P2</v>
      </c>
    </row>
    <row r="601" spans="1:29" hidden="1" x14ac:dyDescent="0.3">
      <c r="A601" s="14">
        <v>46270</v>
      </c>
      <c r="B601" s="15">
        <v>3</v>
      </c>
      <c r="C601" s="321" t="str">
        <f>_xlfn.XLOOKUP(Tabella1[[#This Row],[Nome]],Tabella4[NOME],Tabella4[SQUADRA],"")</f>
        <v>Frosinone</v>
      </c>
      <c r="D601" s="330" t="s">
        <v>5</v>
      </c>
      <c r="E601" s="330" t="s">
        <v>723</v>
      </c>
      <c r="F601" s="331">
        <v>6</v>
      </c>
      <c r="G601" s="332">
        <v>0</v>
      </c>
      <c r="H601" s="333">
        <v>2</v>
      </c>
      <c r="I601" s="332">
        <v>0</v>
      </c>
      <c r="J601" s="332">
        <v>0</v>
      </c>
      <c r="K601" s="332">
        <v>0</v>
      </c>
      <c r="L601" s="332">
        <v>0</v>
      </c>
      <c r="M601" s="332">
        <v>0</v>
      </c>
      <c r="N601" s="332">
        <v>0</v>
      </c>
      <c r="O601" s="332">
        <v>0</v>
      </c>
      <c r="P601" s="284"/>
      <c r="Q601" s="284">
        <f t="shared" si="26"/>
        <v>0</v>
      </c>
      <c r="R601" s="3" t="str">
        <f>_xlfn.IFNA(VLOOKUP(Tabella1[[#This Row],[Nome]],'ROSE SQUADRE'!$N$3:$O$260,2,0),"")</f>
        <v>TRICCHETRACHT</v>
      </c>
      <c r="S601" s="193">
        <f>SUM(Tabella1[[#This Row],[Gf]],Tabella1[[#This Row],[Rf]])</f>
        <v>0</v>
      </c>
      <c r="T601" s="193">
        <v>1</v>
      </c>
      <c r="U601" s="285">
        <f>IF(Tabella1[[#This Row],[N° FantaTit]]="","",Tabella1[[#This Row],[fanta voto]])</f>
        <v>4</v>
      </c>
      <c r="V601" s="193">
        <f>SUM(Tabella1[[#This Row],[Voto]],(G601*3),Q601,P601,O601,-(N601),(-M601/2),(-L601*2),(-H601),(I601*3),(-J601*3),(K601*3))</f>
        <v>4</v>
      </c>
      <c r="W601" s="193"/>
      <c r="X601" s="193" t="str">
        <f>IF(Tabella1[[#This Row],[Best 11]]=1,Tabella1[[#This Row],[fanta voto]],"")</f>
        <v/>
      </c>
      <c r="Z601" s="193" t="str">
        <f>IF(Tabella1[[#This Row],[Best 11 MOD]]=1,Tabella1[[#This Row],[fanta voto]],"")</f>
        <v/>
      </c>
      <c r="AA601" t="str">
        <f>CONCATENATE(Tabella1[[#This Row],[GG]],Tabella1[[#This Row],[Nome]])</f>
        <v>3Palmisani</v>
      </c>
      <c r="AB601" t="str">
        <f t="shared" si="27"/>
        <v>3TRICCHETRACHT1</v>
      </c>
      <c r="AC601" t="str">
        <f>_xlfn.CONCAT(Tabella1[[#This Row],[Ruolo]],Tabella1[[#This Row],[Gs]])</f>
        <v>P2</v>
      </c>
    </row>
    <row r="602" spans="1:29" hidden="1" x14ac:dyDescent="0.3">
      <c r="A602" s="14">
        <v>46270</v>
      </c>
      <c r="B602" s="15">
        <v>3</v>
      </c>
      <c r="C602" s="321" t="str">
        <f>_xlfn.XLOOKUP(Tabella1[[#This Row],[Nome]],Tabella4[NOME],Tabella4[SQUADRA],"")</f>
        <v>Lecce</v>
      </c>
      <c r="D602" s="330" t="s">
        <v>5</v>
      </c>
      <c r="E602" s="330" t="s">
        <v>296</v>
      </c>
      <c r="F602" s="331">
        <v>6.5</v>
      </c>
      <c r="G602" s="332">
        <v>0</v>
      </c>
      <c r="H602" s="333">
        <v>1</v>
      </c>
      <c r="I602" s="332">
        <v>0</v>
      </c>
      <c r="J602" s="332">
        <v>0</v>
      </c>
      <c r="K602" s="332">
        <v>0</v>
      </c>
      <c r="L602" s="332">
        <v>0</v>
      </c>
      <c r="M602" s="333">
        <v>1</v>
      </c>
      <c r="N602" s="332">
        <v>0</v>
      </c>
      <c r="O602" s="332">
        <v>0</v>
      </c>
      <c r="P602" s="284"/>
      <c r="Q602" s="284">
        <f t="shared" si="26"/>
        <v>0</v>
      </c>
      <c r="R602" s="3" t="str">
        <f>_xlfn.IFNA(VLOOKUP(Tabella1[[#This Row],[Nome]],'ROSE SQUADRE'!$N$3:$O$260,2,0),"")</f>
        <v>PARTIZAN DEGRADO</v>
      </c>
      <c r="S602" s="193">
        <f>SUM(Tabella1[[#This Row],[Gf]],Tabella1[[#This Row],[Rf]])</f>
        <v>0</v>
      </c>
      <c r="T602" s="193"/>
      <c r="U602" s="285" t="str">
        <f>IF(Tabella1[[#This Row],[N° FantaTit]]="","",Tabella1[[#This Row],[fanta voto]])</f>
        <v/>
      </c>
      <c r="V602" s="193">
        <f>SUM(Tabella1[[#This Row],[Voto]],(G602*3),Q602,P602,O602,-(N602),(-M602/2),(-L602*2),(-H602),(I602*3),(-J602*3),(K602*3))</f>
        <v>5</v>
      </c>
      <c r="W602" s="193"/>
      <c r="X602" s="193" t="str">
        <f>IF(Tabella1[[#This Row],[Best 11]]=1,Tabella1[[#This Row],[fanta voto]],"")</f>
        <v/>
      </c>
      <c r="Z602" s="193" t="str">
        <f>IF(Tabella1[[#This Row],[Best 11 MOD]]=1,Tabella1[[#This Row],[fanta voto]],"")</f>
        <v/>
      </c>
      <c r="AA602" t="str">
        <f>CONCATENATE(Tabella1[[#This Row],[GG]],Tabella1[[#This Row],[Nome]])</f>
        <v>3Falcone</v>
      </c>
      <c r="AB602" t="str">
        <f t="shared" si="27"/>
        <v>3PARTIZAN DEGRADO</v>
      </c>
      <c r="AC602" t="str">
        <f>_xlfn.CONCAT(Tabella1[[#This Row],[Ruolo]],Tabella1[[#This Row],[Gs]])</f>
        <v>P1</v>
      </c>
    </row>
    <row r="603" spans="1:29" hidden="1" x14ac:dyDescent="0.3">
      <c r="A603" s="14">
        <v>46270</v>
      </c>
      <c r="B603" s="15">
        <v>3</v>
      </c>
      <c r="C603" s="321" t="str">
        <f>_xlfn.XLOOKUP(Tabella1[[#This Row],[Nome]],Tabella4[NOME],Tabella4[SQUADRA],"")</f>
        <v>Inter</v>
      </c>
      <c r="D603" s="330" t="s">
        <v>5</v>
      </c>
      <c r="E603" s="330" t="s">
        <v>767</v>
      </c>
      <c r="F603" s="331">
        <v>6.5</v>
      </c>
      <c r="G603" s="332">
        <v>0</v>
      </c>
      <c r="H603" s="333">
        <v>2</v>
      </c>
      <c r="I603" s="332">
        <v>0</v>
      </c>
      <c r="J603" s="332">
        <v>0</v>
      </c>
      <c r="K603" s="332">
        <v>0</v>
      </c>
      <c r="L603" s="332">
        <v>0</v>
      </c>
      <c r="M603" s="332">
        <v>0</v>
      </c>
      <c r="N603" s="332">
        <v>0</v>
      </c>
      <c r="O603" s="332">
        <v>0</v>
      </c>
      <c r="P603" s="284"/>
      <c r="Q603" s="284">
        <f t="shared" si="26"/>
        <v>0</v>
      </c>
      <c r="R603" s="3" t="str">
        <f>_xlfn.IFNA(VLOOKUP(Tabella1[[#This Row],[Nome]],'ROSE SQUADRE'!$N$3:$O$260,2,0),"")</f>
        <v>FC INTERNAZIOANALE</v>
      </c>
      <c r="S603" s="193">
        <f>SUM(Tabella1[[#This Row],[Gf]],Tabella1[[#This Row],[Rf]])</f>
        <v>0</v>
      </c>
      <c r="T603" s="193">
        <v>1</v>
      </c>
      <c r="U603" s="285">
        <f>IF(Tabella1[[#This Row],[N° FantaTit]]="","",Tabella1[[#This Row],[fanta voto]])</f>
        <v>4.5</v>
      </c>
      <c r="V603" s="193">
        <f>SUM(Tabella1[[#This Row],[Voto]],(G603*3),Q603,P603,O603,-(N603),(-M603/2),(-L603*2),(-H603),(I603*3),(-J603*3),(K603*3))</f>
        <v>4.5</v>
      </c>
      <c r="W603" s="193">
        <v>1</v>
      </c>
      <c r="X603" s="193">
        <f>IF(Tabella1[[#This Row],[Best 11]]=1,Tabella1[[#This Row],[fanta voto]],"")</f>
        <v>4.5</v>
      </c>
      <c r="Y603">
        <v>1</v>
      </c>
      <c r="Z603" s="193">
        <f>IF(Tabella1[[#This Row],[Best 11 MOD]]=1,Tabella1[[#This Row],[fanta voto]],"")</f>
        <v>4.5</v>
      </c>
      <c r="AA603" t="str">
        <f>CONCATENATE(Tabella1[[#This Row],[GG]],Tabella1[[#This Row],[Nome]])</f>
        <v>3Martinez Jo.</v>
      </c>
      <c r="AB603" t="str">
        <f t="shared" si="27"/>
        <v>3FC INTERNAZIOANALE1</v>
      </c>
      <c r="AC603" t="str">
        <f>_xlfn.CONCAT(Tabella1[[#This Row],[Ruolo]],Tabella1[[#This Row],[Gs]])</f>
        <v>P2</v>
      </c>
    </row>
    <row r="604" spans="1:29" hidden="1" x14ac:dyDescent="0.3">
      <c r="A604" s="14">
        <v>46270</v>
      </c>
      <c r="B604" s="15">
        <v>3</v>
      </c>
      <c r="C604" s="321" t="str">
        <f>_xlfn.XLOOKUP(Tabella1[[#This Row],[Nome]],Tabella4[NOME],Tabella4[SQUADRA],"")</f>
        <v>Genoa</v>
      </c>
      <c r="D604" t="s">
        <v>163</v>
      </c>
      <c r="E604" t="s">
        <v>529</v>
      </c>
      <c r="F604" s="194">
        <v>5.5</v>
      </c>
      <c r="G604" s="328">
        <v>0</v>
      </c>
      <c r="H604" s="328">
        <v>0</v>
      </c>
      <c r="I604" s="328">
        <v>0</v>
      </c>
      <c r="J604" s="328">
        <v>0</v>
      </c>
      <c r="K604" s="328">
        <v>0</v>
      </c>
      <c r="L604" s="328">
        <v>0</v>
      </c>
      <c r="M604" s="328">
        <v>0</v>
      </c>
      <c r="N604" s="328">
        <v>0</v>
      </c>
      <c r="O604" s="328">
        <v>0</v>
      </c>
      <c r="P604" s="284"/>
      <c r="Q604" s="284">
        <f t="shared" si="26"/>
        <v>0</v>
      </c>
      <c r="R604" s="3" t="str">
        <f>_xlfn.IFNA(VLOOKUP(Tabella1[[#This Row],[Nome]],'ROSE SQUADRE'!$N$3:$O$260,2,0),"")</f>
        <v/>
      </c>
      <c r="S604" s="193">
        <f>SUM(Tabella1[[#This Row],[Gf]],Tabella1[[#This Row],[Rf]])</f>
        <v>0</v>
      </c>
      <c r="T604" s="193"/>
      <c r="U604" s="285" t="str">
        <f>IF(Tabella1[[#This Row],[N° FantaTit]]="","",Tabella1[[#This Row],[fanta voto]])</f>
        <v/>
      </c>
      <c r="V604" s="193">
        <f>SUM(Tabella1[[#This Row],[Voto]],(G604*3),Q604,P604,O604,-(N604),(-M604/2),(-L604*2),(-H604),(I604*3),(-J604*3),(K604*3))</f>
        <v>5.5</v>
      </c>
      <c r="W604" s="193"/>
      <c r="X604" s="193" t="str">
        <f>IF(Tabella1[[#This Row],[Best 11]]=1,Tabella1[[#This Row],[fanta voto]],"")</f>
        <v/>
      </c>
      <c r="Z604" s="193" t="str">
        <f>IF(Tabella1[[#This Row],[Best 11 MOD]]=1,Tabella1[[#This Row],[fanta voto]],"")</f>
        <v/>
      </c>
      <c r="AA604" t="str">
        <f>CONCATENATE(Tabella1[[#This Row],[GG]],Tabella1[[#This Row],[Nome]])</f>
        <v>3Vitinha O.</v>
      </c>
      <c r="AB604" t="str">
        <f t="shared" si="27"/>
        <v>3</v>
      </c>
      <c r="AC604" t="str">
        <f>_xlfn.CONCAT(Tabella1[[#This Row],[Ruolo]],Tabella1[[#This Row],[Gs]])</f>
        <v>A0</v>
      </c>
    </row>
    <row r="605" spans="1:29" hidden="1" x14ac:dyDescent="0.3">
      <c r="A605" s="14">
        <v>46270</v>
      </c>
      <c r="B605" s="15">
        <v>3</v>
      </c>
      <c r="C605" s="321" t="str">
        <f>_xlfn.XLOOKUP(Tabella1[[#This Row],[Nome]],Tabella4[NOME],Tabella4[SQUADRA],"")</f>
        <v>Roma</v>
      </c>
      <c r="D605" t="s">
        <v>5</v>
      </c>
      <c r="E605" t="s">
        <v>421</v>
      </c>
      <c r="F605" s="194">
        <v>6</v>
      </c>
      <c r="G605" s="328">
        <v>0</v>
      </c>
      <c r="H605" s="329">
        <v>1</v>
      </c>
      <c r="I605" s="328">
        <v>0</v>
      </c>
      <c r="J605" s="328">
        <v>0</v>
      </c>
      <c r="K605" s="328">
        <v>0</v>
      </c>
      <c r="L605" s="328">
        <v>0</v>
      </c>
      <c r="M605" s="328">
        <v>0</v>
      </c>
      <c r="N605" s="328">
        <v>0</v>
      </c>
      <c r="O605" s="328">
        <v>0</v>
      </c>
      <c r="P605" s="284"/>
      <c r="Q605" s="284">
        <f t="shared" si="26"/>
        <v>0</v>
      </c>
      <c r="R605" s="3" t="str">
        <f>_xlfn.IFNA(VLOOKUP(Tabella1[[#This Row],[Nome]],'ROSE SQUADRE'!$N$3:$O$260,2,0),"")</f>
        <v>SAN GRIA</v>
      </c>
      <c r="S605" s="193">
        <f>SUM(Tabella1[[#This Row],[Gf]],Tabella1[[#This Row],[Rf]])</f>
        <v>0</v>
      </c>
      <c r="T605" s="193">
        <v>1</v>
      </c>
      <c r="U605" s="285">
        <f>IF(Tabella1[[#This Row],[N° FantaTit]]="","",Tabella1[[#This Row],[fanta voto]])</f>
        <v>5</v>
      </c>
      <c r="V605" s="193">
        <f>SUM(Tabella1[[#This Row],[Voto]],(G605*3),Q605,P605,O605,-(N605),(-M605/2),(-L605*2),(-H605),(I605*3),(-J605*3),(K605*3))</f>
        <v>5</v>
      </c>
      <c r="W605" s="193">
        <v>1</v>
      </c>
      <c r="X605" s="193">
        <f>IF(Tabella1[[#This Row],[Best 11]]=1,Tabella1[[#This Row],[fanta voto]],"")</f>
        <v>5</v>
      </c>
      <c r="Y605">
        <v>1</v>
      </c>
      <c r="Z605" s="193">
        <f>IF(Tabella1[[#This Row],[Best 11 MOD]]=1,Tabella1[[#This Row],[fanta voto]],"")</f>
        <v>5</v>
      </c>
      <c r="AA605" t="str">
        <f>CONCATENATE(Tabella1[[#This Row],[GG]],Tabella1[[#This Row],[Nome]])</f>
        <v>3Svilar</v>
      </c>
      <c r="AB605" t="str">
        <f t="shared" si="27"/>
        <v>3SAN GRIA1</v>
      </c>
      <c r="AC605" t="str">
        <f>_xlfn.CONCAT(Tabella1[[#This Row],[Ruolo]],Tabella1[[#This Row],[Gs]])</f>
        <v>P1</v>
      </c>
    </row>
    <row r="606" spans="1:29" hidden="1" x14ac:dyDescent="0.3">
      <c r="A606" s="14">
        <v>46270</v>
      </c>
      <c r="B606" s="15">
        <v>3</v>
      </c>
      <c r="C606" s="321" t="str">
        <f>_xlfn.XLOOKUP(Tabella1[[#This Row],[Nome]],Tabella4[NOME],Tabella4[SQUADRA],"")</f>
        <v>Lecce</v>
      </c>
      <c r="D606" s="330" t="s">
        <v>161</v>
      </c>
      <c r="E606" s="330" t="s">
        <v>816</v>
      </c>
      <c r="F606" s="331">
        <v>5.5</v>
      </c>
      <c r="G606" s="332">
        <v>0</v>
      </c>
      <c r="H606" s="332">
        <v>0</v>
      </c>
      <c r="I606" s="332">
        <v>0</v>
      </c>
      <c r="J606" s="332">
        <v>0</v>
      </c>
      <c r="K606" s="332">
        <v>0</v>
      </c>
      <c r="L606" s="332">
        <v>0</v>
      </c>
      <c r="M606" s="332">
        <v>0</v>
      </c>
      <c r="N606" s="332">
        <v>0</v>
      </c>
      <c r="O606" s="332">
        <v>0</v>
      </c>
      <c r="P606" s="284"/>
      <c r="Q606" s="284">
        <f t="shared" si="26"/>
        <v>0</v>
      </c>
      <c r="R606" s="3" t="str">
        <f>_xlfn.IFNA(VLOOKUP(Tabella1[[#This Row],[Nome]],'ROSE SQUADRE'!$N$3:$O$260,2,0),"")</f>
        <v>TRICCHETRACHT</v>
      </c>
      <c r="S606" s="193">
        <f>SUM(Tabella1[[#This Row],[Gf]],Tabella1[[#This Row],[Rf]])</f>
        <v>0</v>
      </c>
      <c r="T606" s="193"/>
      <c r="U606" s="285" t="str">
        <f>IF(Tabella1[[#This Row],[N° FantaTit]]="","",Tabella1[[#This Row],[fanta voto]])</f>
        <v/>
      </c>
      <c r="V606" s="193">
        <f>SUM(Tabella1[[#This Row],[Voto]],(G606*3),Q606,P606,O606,-(N606),(-M606/2),(-L606*2),(-H606),(I606*3),(-J606*3),(K606*3))</f>
        <v>5.5</v>
      </c>
      <c r="W606" s="193"/>
      <c r="X606" s="193" t="str">
        <f>IF(Tabella1[[#This Row],[Best 11]]=1,Tabella1[[#This Row],[fanta voto]],"")</f>
        <v/>
      </c>
      <c r="Z606" s="193" t="str">
        <f>IF(Tabella1[[#This Row],[Best 11 MOD]]=1,Tabella1[[#This Row],[fanta voto]],"")</f>
        <v/>
      </c>
      <c r="AA606" t="str">
        <f>CONCATENATE(Tabella1[[#This Row],[GG]],Tabella1[[#This Row],[Nome]])</f>
        <v>3Veiga D.</v>
      </c>
      <c r="AB606" t="str">
        <f t="shared" si="27"/>
        <v>3TRICCHETRACHT</v>
      </c>
      <c r="AC606" t="str">
        <f>_xlfn.CONCAT(Tabella1[[#This Row],[Ruolo]],Tabella1[[#This Row],[Gs]])</f>
        <v>D0</v>
      </c>
    </row>
    <row r="607" spans="1:29" hidden="1" x14ac:dyDescent="0.3">
      <c r="A607" s="14">
        <v>46270</v>
      </c>
      <c r="B607" s="15">
        <v>3</v>
      </c>
      <c r="C607" s="321" t="str">
        <f>_xlfn.XLOOKUP(Tabella1[[#This Row],[Nome]],Tabella4[NOME],Tabella4[SQUADRA],"")</f>
        <v>Milan</v>
      </c>
      <c r="D607" t="s">
        <v>5</v>
      </c>
      <c r="E607" t="s">
        <v>265</v>
      </c>
      <c r="F607" s="194">
        <v>6</v>
      </c>
      <c r="G607" s="328">
        <v>0</v>
      </c>
      <c r="H607" s="329">
        <v>1</v>
      </c>
      <c r="I607" s="328">
        <v>0</v>
      </c>
      <c r="J607" s="328">
        <v>0</v>
      </c>
      <c r="K607" s="328">
        <v>0</v>
      </c>
      <c r="L607" s="328">
        <v>0</v>
      </c>
      <c r="M607" s="328">
        <v>0</v>
      </c>
      <c r="N607" s="328">
        <v>0</v>
      </c>
      <c r="O607" s="328">
        <v>0</v>
      </c>
      <c r="P607" s="284"/>
      <c r="Q607" s="284">
        <f t="shared" si="26"/>
        <v>0</v>
      </c>
      <c r="R607" s="3" t="str">
        <f>_xlfn.IFNA(VLOOKUP(Tabella1[[#This Row],[Nome]],'ROSE SQUADRE'!$N$3:$O$260,2,0),"")</f>
        <v>SESTO ASENSIO</v>
      </c>
      <c r="S607" s="193">
        <f>SUM(Tabella1[[#This Row],[Gf]],Tabella1[[#This Row],[Rf]])</f>
        <v>0</v>
      </c>
      <c r="T607" s="193"/>
      <c r="U607" s="285" t="str">
        <f>IF(Tabella1[[#This Row],[N° FantaTit]]="","",Tabella1[[#This Row],[fanta voto]])</f>
        <v/>
      </c>
      <c r="V607" s="193">
        <f>SUM(Tabella1[[#This Row],[Voto]],(G607*3),Q607,P607,O607,-(N607),(-M607/2),(-L607*2),(-H607),(I607*3),(-J607*3),(K607*3))</f>
        <v>5</v>
      </c>
      <c r="W607" s="193"/>
      <c r="X607" s="193" t="str">
        <f>IF(Tabella1[[#This Row],[Best 11]]=1,Tabella1[[#This Row],[fanta voto]],"")</f>
        <v/>
      </c>
      <c r="Z607" s="193" t="str">
        <f>IF(Tabella1[[#This Row],[Best 11 MOD]]=1,Tabella1[[#This Row],[fanta voto]],"")</f>
        <v/>
      </c>
      <c r="AA607" t="str">
        <f>CONCATENATE(Tabella1[[#This Row],[GG]],Tabella1[[#This Row],[Nome]])</f>
        <v>3Maignan</v>
      </c>
      <c r="AB607" t="str">
        <f t="shared" si="27"/>
        <v>3SESTO ASENSIO</v>
      </c>
      <c r="AC607" t="str">
        <f>_xlfn.CONCAT(Tabella1[[#This Row],[Ruolo]],Tabella1[[#This Row],[Gs]])</f>
        <v>P1</v>
      </c>
    </row>
    <row r="608" spans="1:29" hidden="1" x14ac:dyDescent="0.3">
      <c r="A608" s="14">
        <v>46270</v>
      </c>
      <c r="B608" s="15">
        <v>3</v>
      </c>
      <c r="C608" s="321" t="str">
        <f>_xlfn.XLOOKUP(Tabella1[[#This Row],[Nome]],Tabella4[NOME],Tabella4[SQUADRA],"")</f>
        <v>Parma</v>
      </c>
      <c r="D608" t="s">
        <v>161</v>
      </c>
      <c r="E608" t="s">
        <v>554</v>
      </c>
      <c r="F608" s="194">
        <v>6.5</v>
      </c>
      <c r="G608" s="328">
        <v>0</v>
      </c>
      <c r="H608" s="328">
        <v>0</v>
      </c>
      <c r="I608" s="328">
        <v>0</v>
      </c>
      <c r="J608" s="328">
        <v>0</v>
      </c>
      <c r="K608" s="328">
        <v>0</v>
      </c>
      <c r="L608" s="328">
        <v>0</v>
      </c>
      <c r="M608" s="328">
        <v>0</v>
      </c>
      <c r="N608" s="328">
        <v>0</v>
      </c>
      <c r="O608" s="328">
        <v>0</v>
      </c>
      <c r="P608" s="284"/>
      <c r="Q608" s="284">
        <f t="shared" si="26"/>
        <v>0</v>
      </c>
      <c r="R608" s="3" t="str">
        <f>_xlfn.IFNA(VLOOKUP(Tabella1[[#This Row],[Nome]],'ROSE SQUADRE'!$N$3:$O$260,2,0),"")</f>
        <v>TRICCHETRACHT</v>
      </c>
      <c r="S608" s="193">
        <f>SUM(Tabella1[[#This Row],[Gf]],Tabella1[[#This Row],[Rf]])</f>
        <v>0</v>
      </c>
      <c r="T608" s="193">
        <v>1</v>
      </c>
      <c r="U608" s="285">
        <f>IF(Tabella1[[#This Row],[N° FantaTit]]="","",Tabella1[[#This Row],[fanta voto]])</f>
        <v>6.5</v>
      </c>
      <c r="V608" s="193">
        <f>SUM(Tabella1[[#This Row],[Voto]],(G608*3),Q608,P608,O608,-(N608),(-M608/2),(-L608*2),(-H608),(I608*3),(-J608*3),(K608*3))</f>
        <v>6.5</v>
      </c>
      <c r="W608" s="193">
        <v>1</v>
      </c>
      <c r="X608" s="193">
        <f>IF(Tabella1[[#This Row],[Best 11]]=1,Tabella1[[#This Row],[fanta voto]],"")</f>
        <v>6.5</v>
      </c>
      <c r="Y608">
        <v>1</v>
      </c>
      <c r="Z608" s="193">
        <f>IF(Tabella1[[#This Row],[Best 11 MOD]]=1,Tabella1[[#This Row],[fanta voto]],"")</f>
        <v>6.5</v>
      </c>
      <c r="AA608" t="str">
        <f>CONCATENATE(Tabella1[[#This Row],[GG]],Tabella1[[#This Row],[Nome]])</f>
        <v>3Valeri</v>
      </c>
      <c r="AB608" t="str">
        <f t="shared" si="27"/>
        <v>3TRICCHETRACHT1</v>
      </c>
      <c r="AC608" t="str">
        <f>_xlfn.CONCAT(Tabella1[[#This Row],[Ruolo]],Tabella1[[#This Row],[Gs]])</f>
        <v>D0</v>
      </c>
    </row>
    <row r="609" spans="1:29" hidden="1" x14ac:dyDescent="0.3">
      <c r="A609" s="14">
        <v>46270</v>
      </c>
      <c r="B609" s="15">
        <v>3</v>
      </c>
      <c r="C609" s="321" t="str">
        <f>_xlfn.XLOOKUP(Tabella1[[#This Row],[Nome]],Tabella4[NOME],Tabella4[SQUADRA],"")</f>
        <v>Genoa</v>
      </c>
      <c r="D609" t="s">
        <v>161</v>
      </c>
      <c r="E609" t="s">
        <v>213</v>
      </c>
      <c r="F609" s="194">
        <v>5</v>
      </c>
      <c r="G609" s="328">
        <v>0</v>
      </c>
      <c r="H609" s="328">
        <v>0</v>
      </c>
      <c r="I609" s="328">
        <v>0</v>
      </c>
      <c r="J609" s="328">
        <v>0</v>
      </c>
      <c r="K609" s="328">
        <v>0</v>
      </c>
      <c r="L609" s="328">
        <v>0</v>
      </c>
      <c r="M609" s="328">
        <v>0</v>
      </c>
      <c r="N609" s="328">
        <v>0</v>
      </c>
      <c r="O609" s="328">
        <v>0</v>
      </c>
      <c r="P609" s="284"/>
      <c r="Q609" s="284">
        <f t="shared" si="26"/>
        <v>0</v>
      </c>
      <c r="R609" s="3" t="str">
        <f>_xlfn.IFNA(VLOOKUP(Tabella1[[#This Row],[Nome]],'ROSE SQUADRE'!$N$3:$O$260,2,0),"")</f>
        <v>AC ASPARAGHESE</v>
      </c>
      <c r="S609" s="193">
        <f>SUM(Tabella1[[#This Row],[Gf]],Tabella1[[#This Row],[Rf]])</f>
        <v>0</v>
      </c>
      <c r="T609" s="193"/>
      <c r="U609" s="285" t="str">
        <f>IF(Tabella1[[#This Row],[N° FantaTit]]="","",Tabella1[[#This Row],[fanta voto]])</f>
        <v/>
      </c>
      <c r="V609" s="193">
        <f>SUM(Tabella1[[#This Row],[Voto]],(G609*3),Q609,P609,O609,-(N609),(-M609/2),(-L609*2),(-H609),(I609*3),(-J609*3),(K609*3))</f>
        <v>5</v>
      </c>
      <c r="W609" s="193"/>
      <c r="X609" s="193" t="str">
        <f>IF(Tabella1[[#This Row],[Best 11]]=1,Tabella1[[#This Row],[fanta voto]],"")</f>
        <v/>
      </c>
      <c r="Z609" s="193" t="str">
        <f>IF(Tabella1[[#This Row],[Best 11 MOD]]=1,Tabella1[[#This Row],[fanta voto]],"")</f>
        <v/>
      </c>
      <c r="AA609" t="str">
        <f>CONCATENATE(Tabella1[[#This Row],[GG]],Tabella1[[#This Row],[Nome]])</f>
        <v>3Vasquez</v>
      </c>
      <c r="AB609" t="str">
        <f t="shared" si="27"/>
        <v>3AC ASPARAGHESE</v>
      </c>
      <c r="AC609" t="str">
        <f>_xlfn.CONCAT(Tabella1[[#This Row],[Ruolo]],Tabella1[[#This Row],[Gs]])</f>
        <v>D0</v>
      </c>
    </row>
    <row r="610" spans="1:29" hidden="1" x14ac:dyDescent="0.3">
      <c r="A610" s="14">
        <v>46270</v>
      </c>
      <c r="B610" s="15">
        <v>3</v>
      </c>
      <c r="C610" s="321" t="str">
        <f>_xlfn.XLOOKUP(Tabella1[[#This Row],[Nome]],Tabella4[NOME],Tabella4[SQUADRA],"")</f>
        <v>Cagliari</v>
      </c>
      <c r="D610" t="s">
        <v>5</v>
      </c>
      <c r="E610" t="s">
        <v>661</v>
      </c>
      <c r="F610" s="194">
        <v>6</v>
      </c>
      <c r="G610" s="328">
        <v>0</v>
      </c>
      <c r="H610" s="328">
        <v>0</v>
      </c>
      <c r="I610" s="328">
        <v>0</v>
      </c>
      <c r="J610" s="328">
        <v>0</v>
      </c>
      <c r="K610" s="328">
        <v>0</v>
      </c>
      <c r="L610" s="328">
        <v>0</v>
      </c>
      <c r="M610" s="328">
        <v>0</v>
      </c>
      <c r="N610" s="328">
        <v>0</v>
      </c>
      <c r="O610" s="328">
        <v>0</v>
      </c>
      <c r="P610" s="284"/>
      <c r="Q610" s="284">
        <f t="shared" si="26"/>
        <v>1</v>
      </c>
      <c r="R610" s="3" t="str">
        <f>_xlfn.IFNA(VLOOKUP(Tabella1[[#This Row],[Nome]],'ROSE SQUADRE'!$N$3:$O$260,2,0),"")</f>
        <v>AC ASPARAGHESE</v>
      </c>
      <c r="S610" s="193">
        <f>SUM(Tabella1[[#This Row],[Gf]],Tabella1[[#This Row],[Rf]])</f>
        <v>0</v>
      </c>
      <c r="T610" s="193">
        <v>1</v>
      </c>
      <c r="U610" s="285">
        <f>IF(Tabella1[[#This Row],[N° FantaTit]]="","",Tabella1[[#This Row],[fanta voto]])</f>
        <v>7</v>
      </c>
      <c r="V610" s="193">
        <f>SUM(Tabella1[[#This Row],[Voto]],(G610*3),Q610,P610,O610,-(N610),(-M610/2),(-L610*2),(-H610),(I610*3),(-J610*3),(K610*3))</f>
        <v>7</v>
      </c>
      <c r="W610" s="193">
        <v>1</v>
      </c>
      <c r="X610" s="193">
        <f>IF(Tabella1[[#This Row],[Best 11]]=1,Tabella1[[#This Row],[fanta voto]],"")</f>
        <v>7</v>
      </c>
      <c r="Y610">
        <v>1</v>
      </c>
      <c r="Z610" s="193">
        <f>IF(Tabella1[[#This Row],[Best 11 MOD]]=1,Tabella1[[#This Row],[fanta voto]],"")</f>
        <v>7</v>
      </c>
      <c r="AA610" t="str">
        <f>CONCATENATE(Tabella1[[#This Row],[GG]],Tabella1[[#This Row],[Nome]])</f>
        <v>3Caprile</v>
      </c>
      <c r="AB610" t="str">
        <f t="shared" si="27"/>
        <v>3AC ASPARAGHESE1</v>
      </c>
      <c r="AC610" t="str">
        <f>_xlfn.CONCAT(Tabella1[[#This Row],[Ruolo]],Tabella1[[#This Row],[Gs]])</f>
        <v>P0</v>
      </c>
    </row>
    <row r="611" spans="1:29" hidden="1" x14ac:dyDescent="0.3">
      <c r="A611" s="14">
        <v>46270</v>
      </c>
      <c r="B611" s="15">
        <v>3</v>
      </c>
      <c r="C611" s="321" t="str">
        <f>_xlfn.XLOOKUP(Tabella1[[#This Row],[Nome]],Tabella4[NOME],Tabella4[SQUADRA],"")</f>
        <v>Roma</v>
      </c>
      <c r="D611" s="330" t="s">
        <v>161</v>
      </c>
      <c r="E611" s="330" t="s">
        <v>898</v>
      </c>
      <c r="F611" s="331">
        <v>6</v>
      </c>
      <c r="G611" s="332">
        <v>0</v>
      </c>
      <c r="H611" s="332">
        <v>0</v>
      </c>
      <c r="I611" s="332">
        <v>0</v>
      </c>
      <c r="J611" s="332">
        <v>0</v>
      </c>
      <c r="K611" s="332">
        <v>0</v>
      </c>
      <c r="L611" s="332">
        <v>0</v>
      </c>
      <c r="M611" s="332">
        <v>0</v>
      </c>
      <c r="N611" s="332">
        <v>0</v>
      </c>
      <c r="O611" s="332">
        <v>0</v>
      </c>
      <c r="P611" s="284"/>
      <c r="Q611" s="284">
        <f t="shared" si="26"/>
        <v>0</v>
      </c>
      <c r="R611" s="3" t="str">
        <f>_xlfn.IFNA(VLOOKUP(Tabella1[[#This Row],[Nome]],'ROSE SQUADRE'!$N$3:$O$260,2,0),"")</f>
        <v>TRICCHETRACHT</v>
      </c>
      <c r="S611" s="193">
        <f>SUM(Tabella1[[#This Row],[Gf]],Tabella1[[#This Row],[Rf]])</f>
        <v>0</v>
      </c>
      <c r="T611" s="193">
        <v>1</v>
      </c>
      <c r="U611" s="285">
        <f>IF(Tabella1[[#This Row],[N° FantaTit]]="","",Tabella1[[#This Row],[fanta voto]])</f>
        <v>6</v>
      </c>
      <c r="V611" s="193">
        <f>SUM(Tabella1[[#This Row],[Voto]],(G611*3),Q611,P611,O611,-(N611),(-M611/2),(-L611*2),(-H611),(I611*3),(-J611*3),(K611*3))</f>
        <v>6</v>
      </c>
      <c r="W611" s="193">
        <v>1</v>
      </c>
      <c r="X611" s="193">
        <f>IF(Tabella1[[#This Row],[Best 11]]=1,Tabella1[[#This Row],[fanta voto]],"")</f>
        <v>6</v>
      </c>
      <c r="Y611">
        <v>1</v>
      </c>
      <c r="Z611" s="193">
        <f>IF(Tabella1[[#This Row],[Best 11 MOD]]=1,Tabella1[[#This Row],[fanta voto]],"")</f>
        <v>6</v>
      </c>
      <c r="AA611" t="str">
        <f>CONCATENATE(Tabella1[[#This Row],[GG]],Tabella1[[#This Row],[Nome]])</f>
        <v>3Molina N.</v>
      </c>
      <c r="AB611" t="str">
        <f t="shared" si="27"/>
        <v>3TRICCHETRACHT1</v>
      </c>
      <c r="AC611" t="str">
        <f>_xlfn.CONCAT(Tabella1[[#This Row],[Ruolo]],Tabella1[[#This Row],[Gs]])</f>
        <v>D0</v>
      </c>
    </row>
    <row r="612" spans="1:29" hidden="1" x14ac:dyDescent="0.3">
      <c r="A612" s="14">
        <v>46270</v>
      </c>
      <c r="B612" s="15">
        <v>3</v>
      </c>
      <c r="C612" s="321" t="str">
        <f>_xlfn.XLOOKUP(Tabella1[[#This Row],[Nome]],Tabella4[NOME],Tabella4[SQUADRA],"")</f>
        <v>Parma</v>
      </c>
      <c r="D612" s="330" t="s">
        <v>161</v>
      </c>
      <c r="E612" s="330" t="s">
        <v>880</v>
      </c>
      <c r="F612" s="331">
        <v>6</v>
      </c>
      <c r="G612" s="332">
        <v>0</v>
      </c>
      <c r="H612" s="332">
        <v>0</v>
      </c>
      <c r="I612" s="332">
        <v>0</v>
      </c>
      <c r="J612" s="332">
        <v>0</v>
      </c>
      <c r="K612" s="332">
        <v>0</v>
      </c>
      <c r="L612" s="332">
        <v>0</v>
      </c>
      <c r="M612" s="332">
        <v>0</v>
      </c>
      <c r="N612" s="332">
        <v>0</v>
      </c>
      <c r="O612" s="332">
        <v>0</v>
      </c>
      <c r="P612" s="284"/>
      <c r="Q612" s="284">
        <f t="shared" si="26"/>
        <v>0</v>
      </c>
      <c r="R612" s="3" t="str">
        <f>_xlfn.IFNA(VLOOKUP(Tabella1[[#This Row],[Nome]],'ROSE SQUADRE'!$N$3:$O$260,2,0),"")</f>
        <v/>
      </c>
      <c r="S612" s="193">
        <f>SUM(Tabella1[[#This Row],[Gf]],Tabella1[[#This Row],[Rf]])</f>
        <v>0</v>
      </c>
      <c r="T612" s="193"/>
      <c r="U612" s="285" t="str">
        <f>IF(Tabella1[[#This Row],[N° FantaTit]]="","",Tabella1[[#This Row],[fanta voto]])</f>
        <v/>
      </c>
      <c r="V612" s="193">
        <f>SUM(Tabella1[[#This Row],[Voto]],(G612*3),Q612,P612,O612,-(N612),(-M612/2),(-L612*2),(-H612),(I612*3),(-J612*3),(K612*3))</f>
        <v>6</v>
      </c>
      <c r="W612" s="193"/>
      <c r="X612" s="193" t="str">
        <f>IF(Tabella1[[#This Row],[Best 11]]=1,Tabella1[[#This Row],[fanta voto]],"")</f>
        <v/>
      </c>
      <c r="Z612" s="193" t="str">
        <f>IF(Tabella1[[#This Row],[Best 11 MOD]]=1,Tabella1[[#This Row],[fanta voto]],"")</f>
        <v/>
      </c>
      <c r="AA612" t="str">
        <f>CONCATENATE(Tabella1[[#This Row],[GG]],Tabella1[[#This Row],[Nome]])</f>
        <v>3Valenti</v>
      </c>
      <c r="AB612" t="str">
        <f t="shared" si="27"/>
        <v>3</v>
      </c>
      <c r="AC612" t="str">
        <f>_xlfn.CONCAT(Tabella1[[#This Row],[Ruolo]],Tabella1[[#This Row],[Gs]])</f>
        <v>D0</v>
      </c>
    </row>
    <row r="613" spans="1:29" hidden="1" x14ac:dyDescent="0.3">
      <c r="A613" s="14">
        <v>46270</v>
      </c>
      <c r="B613" s="15">
        <v>3</v>
      </c>
      <c r="C613" s="321" t="str">
        <f>_xlfn.XLOOKUP(Tabella1[[#This Row],[Nome]],Tabella4[NOME],Tabella4[SQUADRA],"")</f>
        <v>Parma</v>
      </c>
      <c r="D613" s="330" t="s">
        <v>5</v>
      </c>
      <c r="E613" s="330" t="s">
        <v>873</v>
      </c>
      <c r="F613" s="331">
        <v>7</v>
      </c>
      <c r="G613" s="332">
        <v>0</v>
      </c>
      <c r="H613" s="333">
        <v>1</v>
      </c>
      <c r="I613" s="332">
        <v>0</v>
      </c>
      <c r="J613" s="332">
        <v>0</v>
      </c>
      <c r="K613" s="332">
        <v>0</v>
      </c>
      <c r="L613" s="332">
        <v>0</v>
      </c>
      <c r="M613" s="332">
        <v>0</v>
      </c>
      <c r="N613" s="332">
        <v>0</v>
      </c>
      <c r="O613" s="332">
        <v>0</v>
      </c>
      <c r="P613" s="284"/>
      <c r="Q613" s="284">
        <f t="shared" si="26"/>
        <v>0</v>
      </c>
      <c r="R613" s="3" t="str">
        <f>_xlfn.IFNA(VLOOKUP(Tabella1[[#This Row],[Nome]],'ROSE SQUADRE'!$N$3:$O$260,2,0),"")</f>
        <v>PARTIZAN DEGRADO</v>
      </c>
      <c r="S613" s="193">
        <f>SUM(Tabella1[[#This Row],[Gf]],Tabella1[[#This Row],[Rf]])</f>
        <v>0</v>
      </c>
      <c r="T613" s="193">
        <v>1</v>
      </c>
      <c r="U613" s="285">
        <f>IF(Tabella1[[#This Row],[N° FantaTit]]="","",Tabella1[[#This Row],[fanta voto]])</f>
        <v>6</v>
      </c>
      <c r="V613" s="193">
        <f>SUM(Tabella1[[#This Row],[Voto]],(G613*3),Q613,P613,O613,-(N613),(-M613/2),(-L613*2),(-H613),(I613*3),(-J613*3),(K613*3))</f>
        <v>6</v>
      </c>
      <c r="W613" s="193">
        <v>1</v>
      </c>
      <c r="X613" s="193">
        <f>IF(Tabella1[[#This Row],[Best 11]]=1,Tabella1[[#This Row],[fanta voto]],"")</f>
        <v>6</v>
      </c>
      <c r="Y613">
        <v>1</v>
      </c>
      <c r="Z613" s="193">
        <f>IF(Tabella1[[#This Row],[Best 11 MOD]]=1,Tabella1[[#This Row],[fanta voto]],"")</f>
        <v>6</v>
      </c>
      <c r="AA613" t="str">
        <f>CONCATENATE(Tabella1[[#This Row],[GG]],Tabella1[[#This Row],[Nome]])</f>
        <v>3Corvi</v>
      </c>
      <c r="AB613" t="str">
        <f t="shared" si="27"/>
        <v>3PARTIZAN DEGRADO1</v>
      </c>
      <c r="AC613" t="str">
        <f>_xlfn.CONCAT(Tabella1[[#This Row],[Ruolo]],Tabella1[[#This Row],[Gs]])</f>
        <v>P1</v>
      </c>
    </row>
    <row r="614" spans="1:29" hidden="1" x14ac:dyDescent="0.3">
      <c r="A614" s="14">
        <v>46270</v>
      </c>
      <c r="B614" s="15">
        <v>3</v>
      </c>
      <c r="C614" s="321" t="str">
        <f>_xlfn.XLOOKUP(Tabella1[[#This Row],[Nome]],Tabella4[NOME],Tabella4[SQUADRA],"")</f>
        <v>Udinese</v>
      </c>
      <c r="D614" t="s">
        <v>162</v>
      </c>
      <c r="E614" t="s">
        <v>963</v>
      </c>
      <c r="F614" s="194">
        <v>5.5</v>
      </c>
      <c r="G614" s="328">
        <v>0</v>
      </c>
      <c r="H614" s="328">
        <v>0</v>
      </c>
      <c r="I614" s="328">
        <v>0</v>
      </c>
      <c r="J614" s="328">
        <v>0</v>
      </c>
      <c r="K614" s="328">
        <v>0</v>
      </c>
      <c r="L614" s="328">
        <v>0</v>
      </c>
      <c r="M614" s="328">
        <v>0</v>
      </c>
      <c r="N614" s="328">
        <v>0</v>
      </c>
      <c r="O614" s="328">
        <v>0</v>
      </c>
      <c r="P614" s="284"/>
      <c r="Q614" s="284">
        <f t="shared" si="26"/>
        <v>0</v>
      </c>
      <c r="R614" s="3" t="str">
        <f>_xlfn.IFNA(VLOOKUP(Tabella1[[#This Row],[Nome]],'ROSE SQUADRE'!$N$3:$O$260,2,0),"")</f>
        <v/>
      </c>
      <c r="S614" s="193">
        <f>SUM(Tabella1[[#This Row],[Gf]],Tabella1[[#This Row],[Rf]])</f>
        <v>0</v>
      </c>
      <c r="T614" s="193"/>
      <c r="U614" s="285" t="str">
        <f>IF(Tabella1[[#This Row],[N° FantaTit]]="","",Tabella1[[#This Row],[fanta voto]])</f>
        <v/>
      </c>
      <c r="V614" s="193">
        <f>SUM(Tabella1[[#This Row],[Voto]],(G614*3),Q614,P614,O614,-(N614),(-M614/2),(-L614*2),(-H614),(I614*3),(-J614*3),(K614*3))</f>
        <v>5.5</v>
      </c>
      <c r="W614" s="193"/>
      <c r="X614" s="193" t="str">
        <f>IF(Tabella1[[#This Row],[Best 11]]=1,Tabella1[[#This Row],[fanta voto]],"")</f>
        <v/>
      </c>
      <c r="Z614" s="193" t="str">
        <f>IF(Tabella1[[#This Row],[Best 11 MOD]]=1,Tabella1[[#This Row],[fanta voto]],"")</f>
        <v/>
      </c>
      <c r="AA614" t="str">
        <f>CONCATENATE(Tabella1[[#This Row],[GG]],Tabella1[[#This Row],[Nome]])</f>
        <v>3Unai Gomez</v>
      </c>
      <c r="AB614" t="str">
        <f t="shared" si="27"/>
        <v>3</v>
      </c>
      <c r="AC614" t="str">
        <f>_xlfn.CONCAT(Tabella1[[#This Row],[Ruolo]],Tabella1[[#This Row],[Gs]])</f>
        <v>C0</v>
      </c>
    </row>
    <row r="615" spans="1:29" hidden="1" x14ac:dyDescent="0.3">
      <c r="A615" s="14">
        <v>46270</v>
      </c>
      <c r="B615" s="15">
        <v>3</v>
      </c>
      <c r="C615" s="321" t="str">
        <f>_xlfn.XLOOKUP(Tabella1[[#This Row],[Nome]],Tabella4[NOME],Tabella4[SQUADRA],"")</f>
        <v>Venezia</v>
      </c>
      <c r="D615" t="s">
        <v>5</v>
      </c>
      <c r="E615" t="s">
        <v>970</v>
      </c>
      <c r="F615" s="194">
        <v>6</v>
      </c>
      <c r="G615" s="328">
        <v>0</v>
      </c>
      <c r="H615" s="329">
        <v>3</v>
      </c>
      <c r="I615" s="328">
        <v>0</v>
      </c>
      <c r="J615" s="328">
        <v>0</v>
      </c>
      <c r="K615" s="328">
        <v>0</v>
      </c>
      <c r="L615" s="328">
        <v>0</v>
      </c>
      <c r="M615" s="328">
        <v>0</v>
      </c>
      <c r="N615" s="328">
        <v>0</v>
      </c>
      <c r="O615" s="328">
        <v>0</v>
      </c>
      <c r="P615" s="284"/>
      <c r="Q615" s="284">
        <f t="shared" si="26"/>
        <v>0</v>
      </c>
      <c r="R615" s="3" t="str">
        <f>_xlfn.IFNA(VLOOKUP(Tabella1[[#This Row],[Nome]],'ROSE SQUADRE'!$N$3:$O$260,2,0),"")</f>
        <v>SHARK</v>
      </c>
      <c r="S615" s="193">
        <f>SUM(Tabella1[[#This Row],[Gf]],Tabella1[[#This Row],[Rf]])</f>
        <v>0</v>
      </c>
      <c r="T615" s="193"/>
      <c r="U615" s="285" t="str">
        <f>IF(Tabella1[[#This Row],[N° FantaTit]]="","",Tabella1[[#This Row],[fanta voto]])</f>
        <v/>
      </c>
      <c r="V615" s="193">
        <f>SUM(Tabella1[[#This Row],[Voto]],(G615*3),Q615,P615,O615,-(N615),(-M615/2),(-L615*2),(-H615),(I615*3),(-J615*3),(K615*3))</f>
        <v>3</v>
      </c>
      <c r="W615" s="193"/>
      <c r="X615" s="193" t="str">
        <f>IF(Tabella1[[#This Row],[Best 11]]=1,Tabella1[[#This Row],[fanta voto]],"")</f>
        <v/>
      </c>
      <c r="Z615" s="193" t="str">
        <f>IF(Tabella1[[#This Row],[Best 11 MOD]]=1,Tabella1[[#This Row],[fanta voto]],"")</f>
        <v/>
      </c>
      <c r="AA615" t="str">
        <f>CONCATENATE(Tabella1[[#This Row],[GG]],Tabella1[[#This Row],[Nome]])</f>
        <v>3Stankovic F.</v>
      </c>
      <c r="AB615" t="str">
        <f t="shared" si="27"/>
        <v>3SHARK</v>
      </c>
      <c r="AC615" t="str">
        <f>_xlfn.CONCAT(Tabella1[[#This Row],[Ruolo]],Tabella1[[#This Row],[Gs]])</f>
        <v>P3</v>
      </c>
    </row>
    <row r="616" spans="1:29" hidden="1" x14ac:dyDescent="0.3">
      <c r="A616" s="14">
        <v>46270</v>
      </c>
      <c r="B616" s="15">
        <v>3</v>
      </c>
      <c r="C616" s="321" t="str">
        <f>_xlfn.XLOOKUP(Tabella1[[#This Row],[Nome]],Tabella4[NOME],Tabella4[SQUADRA],"")</f>
        <v>Inter</v>
      </c>
      <c r="D616" t="s">
        <v>161</v>
      </c>
      <c r="E616" t="s">
        <v>451</v>
      </c>
      <c r="F616" s="194">
        <v>6.5</v>
      </c>
      <c r="G616" s="328">
        <v>0</v>
      </c>
      <c r="H616" s="328">
        <v>0</v>
      </c>
      <c r="I616" s="328">
        <v>0</v>
      </c>
      <c r="J616" s="328">
        <v>0</v>
      </c>
      <c r="K616" s="328">
        <v>0</v>
      </c>
      <c r="L616" s="328">
        <v>0</v>
      </c>
      <c r="M616" s="328">
        <v>0</v>
      </c>
      <c r="N616" s="328">
        <v>0</v>
      </c>
      <c r="O616" s="328">
        <v>0</v>
      </c>
      <c r="P616" s="284"/>
      <c r="Q616" s="284">
        <f t="shared" si="26"/>
        <v>0</v>
      </c>
      <c r="R616" s="3" t="str">
        <f>_xlfn.IFNA(VLOOKUP(Tabella1[[#This Row],[Nome]],'ROSE SQUADRE'!$N$3:$O$260,2,0),"")</f>
        <v>ATL. IMPROVVISATO</v>
      </c>
      <c r="S616" s="193">
        <f>SUM(Tabella1[[#This Row],[Gf]],Tabella1[[#This Row],[Rf]])</f>
        <v>0</v>
      </c>
      <c r="T616" s="193">
        <v>1</v>
      </c>
      <c r="U616" s="285">
        <f>IF(Tabella1[[#This Row],[N° FantaTit]]="","",Tabella1[[#This Row],[fanta voto]])</f>
        <v>6.5</v>
      </c>
      <c r="V616" s="193">
        <f>SUM(Tabella1[[#This Row],[Voto]],(G616*3),Q616,P616,O616,-(N616),(-M616/2),(-L616*2),(-H616),(I616*3),(-J616*3),(K616*3))</f>
        <v>6.5</v>
      </c>
      <c r="W616" s="193">
        <v>1</v>
      </c>
      <c r="X616" s="193">
        <f>IF(Tabella1[[#This Row],[Best 11]]=1,Tabella1[[#This Row],[fanta voto]],"")</f>
        <v>6.5</v>
      </c>
      <c r="Y616">
        <v>1</v>
      </c>
      <c r="Z616" s="193">
        <f>IF(Tabella1[[#This Row],[Best 11 MOD]]=1,Tabella1[[#This Row],[fanta voto]],"")</f>
        <v>6.5</v>
      </c>
      <c r="AA616" t="str">
        <f>CONCATENATE(Tabella1[[#This Row],[GG]],Tabella1[[#This Row],[Nome]])</f>
        <v>3Bisseck</v>
      </c>
      <c r="AB616" t="str">
        <f t="shared" si="27"/>
        <v>3ATL. IMPROVVISATO1</v>
      </c>
      <c r="AC616" t="str">
        <f>_xlfn.CONCAT(Tabella1[[#This Row],[Ruolo]],Tabella1[[#This Row],[Gs]])</f>
        <v>D0</v>
      </c>
    </row>
    <row r="617" spans="1:29" hidden="1" x14ac:dyDescent="0.3">
      <c r="A617" s="14">
        <v>46270</v>
      </c>
      <c r="B617" s="15">
        <v>3</v>
      </c>
      <c r="C617" s="321" t="str">
        <f>_xlfn.XLOOKUP(Tabella1[[#This Row],[Nome]],Tabella4[NOME],Tabella4[SQUADRA],"")</f>
        <v>Atalanta</v>
      </c>
      <c r="D617" t="s">
        <v>5</v>
      </c>
      <c r="E617" t="s">
        <v>604</v>
      </c>
      <c r="F617" s="194">
        <v>7</v>
      </c>
      <c r="G617" s="328">
        <v>0</v>
      </c>
      <c r="H617" s="329">
        <v>2</v>
      </c>
      <c r="I617" s="328">
        <v>0</v>
      </c>
      <c r="J617" s="328">
        <v>0</v>
      </c>
      <c r="K617" s="328">
        <v>0</v>
      </c>
      <c r="L617" s="328">
        <v>0</v>
      </c>
      <c r="M617" s="328">
        <v>0</v>
      </c>
      <c r="N617" s="328">
        <v>0</v>
      </c>
      <c r="O617" s="328">
        <v>0</v>
      </c>
      <c r="P617" s="284"/>
      <c r="Q617" s="284">
        <f t="shared" si="26"/>
        <v>0</v>
      </c>
      <c r="R617" s="3" t="str">
        <f>_xlfn.IFNA(VLOOKUP(Tabella1[[#This Row],[Nome]],'ROSE SQUADRE'!$N$3:$O$260,2,0),"")</f>
        <v>PARTIZAN DEGRADO</v>
      </c>
      <c r="S617" s="193">
        <f>SUM(Tabella1[[#This Row],[Gf]],Tabella1[[#This Row],[Rf]])</f>
        <v>0</v>
      </c>
      <c r="T617" s="193"/>
      <c r="U617" s="285" t="str">
        <f>IF(Tabella1[[#This Row],[N° FantaTit]]="","",Tabella1[[#This Row],[fanta voto]])</f>
        <v/>
      </c>
      <c r="V617" s="193">
        <f>SUM(Tabella1[[#This Row],[Voto]],(G617*3),Q617,P617,O617,-(N617),(-M617/2),(-L617*2),(-H617),(I617*3),(-J617*3),(K617*3))</f>
        <v>5</v>
      </c>
      <c r="W617" s="193"/>
      <c r="X617" s="193" t="str">
        <f>IF(Tabella1[[#This Row],[Best 11]]=1,Tabella1[[#This Row],[fanta voto]],"")</f>
        <v/>
      </c>
      <c r="Z617" s="193" t="str">
        <f>IF(Tabella1[[#This Row],[Best 11 MOD]]=1,Tabella1[[#This Row],[fanta voto]],"")</f>
        <v/>
      </c>
      <c r="AA617" t="str">
        <f>CONCATENATE(Tabella1[[#This Row],[GG]],Tabella1[[#This Row],[Nome]])</f>
        <v>3Carnesecchi</v>
      </c>
      <c r="AB617" t="str">
        <f t="shared" si="27"/>
        <v>3PARTIZAN DEGRADO</v>
      </c>
      <c r="AC617" t="str">
        <f>_xlfn.CONCAT(Tabella1[[#This Row],[Ruolo]],Tabella1[[#This Row],[Gs]])</f>
        <v>P2</v>
      </c>
    </row>
    <row r="618" spans="1:29" hidden="1" x14ac:dyDescent="0.3">
      <c r="A618" s="14">
        <v>46270</v>
      </c>
      <c r="B618" s="15">
        <v>3</v>
      </c>
      <c r="C618" s="321" t="str">
        <f>_xlfn.XLOOKUP(Tabella1[[#This Row],[Nome]],Tabella4[NOME],Tabella4[SQUADRA],"")</f>
        <v>Bologna</v>
      </c>
      <c r="D618" s="330" t="s">
        <v>161</v>
      </c>
      <c r="E618" s="330" t="s">
        <v>1047</v>
      </c>
      <c r="F618" s="331">
        <v>5.5</v>
      </c>
      <c r="G618" s="332">
        <v>0</v>
      </c>
      <c r="H618" s="332">
        <v>0</v>
      </c>
      <c r="I618" s="332">
        <v>0</v>
      </c>
      <c r="J618" s="332">
        <v>0</v>
      </c>
      <c r="K618" s="332">
        <v>0</v>
      </c>
      <c r="L618" s="332">
        <v>0</v>
      </c>
      <c r="M618" s="332">
        <v>0</v>
      </c>
      <c r="N618" s="332">
        <v>0</v>
      </c>
      <c r="O618" s="332">
        <v>0</v>
      </c>
      <c r="P618" s="284"/>
      <c r="Q618" s="284">
        <f t="shared" si="26"/>
        <v>0</v>
      </c>
      <c r="R618" s="3" t="str">
        <f>_xlfn.IFNA(VLOOKUP(Tabella1[[#This Row],[Nome]],'ROSE SQUADRE'!$N$3:$O$260,2,0),"")</f>
        <v>FC INTERNAZIOANALE</v>
      </c>
      <c r="S618" s="193">
        <f>SUM(Tabella1[[#This Row],[Gf]],Tabella1[[#This Row],[Rf]])</f>
        <v>0</v>
      </c>
      <c r="T618" s="193"/>
      <c r="U618" s="285" t="str">
        <f>IF(Tabella1[[#This Row],[N° FantaTit]]="","",Tabella1[[#This Row],[fanta voto]])</f>
        <v/>
      </c>
      <c r="V618" s="193">
        <f>SUM(Tabella1[[#This Row],[Voto]],(G618*3),Q618,P618,O618,-(N618),(-M618/2),(-L618*2),(-H618),(I618*3),(-J618*3),(K618*3))</f>
        <v>5.5</v>
      </c>
      <c r="W618" s="193"/>
      <c r="X618" s="193" t="str">
        <f>IF(Tabella1[[#This Row],[Best 11]]=1,Tabella1[[#This Row],[fanta voto]],"")</f>
        <v/>
      </c>
      <c r="Z618" s="193" t="str">
        <f>IF(Tabella1[[#This Row],[Best 11 MOD]]=1,Tabella1[[#This Row],[fanta voto]],"")</f>
        <v/>
      </c>
      <c r="AA618" t="str">
        <f>CONCATENATE(Tabella1[[#This Row],[GG]],Tabella1[[#This Row],[Nome]])</f>
        <v>3Theate</v>
      </c>
      <c r="AB618" t="str">
        <f t="shared" si="27"/>
        <v>3FC INTERNAZIOANALE</v>
      </c>
      <c r="AC618" t="str">
        <f>_xlfn.CONCAT(Tabella1[[#This Row],[Ruolo]],Tabella1[[#This Row],[Gs]])</f>
        <v>D0</v>
      </c>
    </row>
    <row r="619" spans="1:29" hidden="1" x14ac:dyDescent="0.3">
      <c r="A619" s="14">
        <v>46270</v>
      </c>
      <c r="B619" s="15">
        <v>3</v>
      </c>
      <c r="C619" s="321" t="str">
        <f>_xlfn.XLOOKUP(Tabella1[[#This Row],[Nome]],Tabella4[NOME],Tabella4[SQUADRA],"")</f>
        <v>Roma</v>
      </c>
      <c r="D619" t="s">
        <v>161</v>
      </c>
      <c r="E619" t="s">
        <v>566</v>
      </c>
      <c r="F619" s="194">
        <v>5.5</v>
      </c>
      <c r="G619" s="328">
        <v>0</v>
      </c>
      <c r="H619" s="328">
        <v>0</v>
      </c>
      <c r="I619" s="328">
        <v>0</v>
      </c>
      <c r="J619" s="328">
        <v>0</v>
      </c>
      <c r="K619" s="328">
        <v>0</v>
      </c>
      <c r="L619" s="328">
        <v>0</v>
      </c>
      <c r="M619" s="328">
        <v>0</v>
      </c>
      <c r="N619" s="328">
        <v>0</v>
      </c>
      <c r="O619" s="328">
        <v>0</v>
      </c>
      <c r="P619" s="284"/>
      <c r="Q619" s="284">
        <f t="shared" si="26"/>
        <v>0</v>
      </c>
      <c r="R619" s="3" t="str">
        <f>_xlfn.IFNA(VLOOKUP(Tabella1[[#This Row],[Nome]],'ROSE SQUADRE'!$N$3:$O$260,2,0),"")</f>
        <v>FC INTERNAZIOANALE</v>
      </c>
      <c r="S619" s="193">
        <f>SUM(Tabella1[[#This Row],[Gf]],Tabella1[[#This Row],[Rf]])</f>
        <v>0</v>
      </c>
      <c r="T619" s="193">
        <v>1</v>
      </c>
      <c r="U619" s="285">
        <f>IF(Tabella1[[#This Row],[N° FantaTit]]="","",Tabella1[[#This Row],[fanta voto]])</f>
        <v>5.5</v>
      </c>
      <c r="V619" s="193">
        <f>SUM(Tabella1[[#This Row],[Voto]],(G619*3),Q619,P619,O619,-(N619),(-M619/2),(-L619*2),(-H619),(I619*3),(-J619*3),(K619*3))</f>
        <v>5.5</v>
      </c>
      <c r="W619" s="193"/>
      <c r="X619" s="193" t="str">
        <f>IF(Tabella1[[#This Row],[Best 11]]=1,Tabella1[[#This Row],[fanta voto]],"")</f>
        <v/>
      </c>
      <c r="Y619">
        <v>1</v>
      </c>
      <c r="Z619" s="193">
        <f>IF(Tabella1[[#This Row],[Best 11 MOD]]=1,Tabella1[[#This Row],[fanta voto]],"")</f>
        <v>5.5</v>
      </c>
      <c r="AA619" t="str">
        <f>CONCATENATE(Tabella1[[#This Row],[GG]],Tabella1[[#This Row],[Nome]])</f>
        <v>3N'Dicka</v>
      </c>
      <c r="AB619" t="str">
        <f t="shared" si="27"/>
        <v>3FC INTERNAZIOANALE1</v>
      </c>
      <c r="AC619" t="str">
        <f>_xlfn.CONCAT(Tabella1[[#This Row],[Ruolo]],Tabella1[[#This Row],[Gs]])</f>
        <v>D0</v>
      </c>
    </row>
    <row r="620" spans="1:29" hidden="1" x14ac:dyDescent="0.3">
      <c r="A620" s="14">
        <v>46270</v>
      </c>
      <c r="B620" s="15">
        <v>3</v>
      </c>
      <c r="C620" s="321" t="str">
        <f>_xlfn.XLOOKUP(Tabella1[[#This Row],[Nome]],Tabella4[NOME],Tabella4[SQUADRA],"")</f>
        <v>Monza</v>
      </c>
      <c r="D620" s="330" t="s">
        <v>5</v>
      </c>
      <c r="E620" s="330" t="s">
        <v>844</v>
      </c>
      <c r="F620" s="331">
        <v>6</v>
      </c>
      <c r="G620" s="332">
        <v>0</v>
      </c>
      <c r="H620" s="333">
        <v>1</v>
      </c>
      <c r="I620" s="332">
        <v>0</v>
      </c>
      <c r="J620" s="332">
        <v>0</v>
      </c>
      <c r="K620" s="332">
        <v>0</v>
      </c>
      <c r="L620" s="332">
        <v>0</v>
      </c>
      <c r="M620" s="332">
        <v>0</v>
      </c>
      <c r="N620" s="332">
        <v>0</v>
      </c>
      <c r="O620" s="332">
        <v>0</v>
      </c>
      <c r="P620" s="284"/>
      <c r="Q620" s="284">
        <f t="shared" si="26"/>
        <v>0</v>
      </c>
      <c r="R620" s="3" t="str">
        <f>_xlfn.IFNA(VLOOKUP(Tabella1[[#This Row],[Nome]],'ROSE SQUADRE'!$N$3:$O$260,2,0),"")</f>
        <v>AC ASPARAGHESE</v>
      </c>
      <c r="S620" s="193">
        <f>SUM(Tabella1[[#This Row],[Gf]],Tabella1[[#This Row],[Rf]])</f>
        <v>0</v>
      </c>
      <c r="T620" s="193"/>
      <c r="U620" s="285" t="str">
        <f>IF(Tabella1[[#This Row],[N° FantaTit]]="","",Tabella1[[#This Row],[fanta voto]])</f>
        <v/>
      </c>
      <c r="V620" s="193">
        <f>SUM(Tabella1[[#This Row],[Voto]],(G620*3),Q620,P620,O620,-(N620),(-M620/2),(-L620*2),(-H620),(I620*3),(-J620*3),(K620*3))</f>
        <v>5</v>
      </c>
      <c r="W620" s="193"/>
      <c r="X620" s="193" t="str">
        <f>IF(Tabella1[[#This Row],[Best 11]]=1,Tabella1[[#This Row],[fanta voto]],"")</f>
        <v/>
      </c>
      <c r="Z620" s="193" t="str">
        <f>IF(Tabella1[[#This Row],[Best 11 MOD]]=1,Tabella1[[#This Row],[fanta voto]],"")</f>
        <v/>
      </c>
      <c r="AA620" t="str">
        <f>CONCATENATE(Tabella1[[#This Row],[GG]],Tabella1[[#This Row],[Nome]])</f>
        <v>3Thiam</v>
      </c>
      <c r="AB620" t="str">
        <f t="shared" si="27"/>
        <v>3AC ASPARAGHESE</v>
      </c>
      <c r="AC620" t="str">
        <f>_xlfn.CONCAT(Tabella1[[#This Row],[Ruolo]],Tabella1[[#This Row],[Gs]])</f>
        <v>P1</v>
      </c>
    </row>
    <row r="621" spans="1:29" hidden="1" x14ac:dyDescent="0.3">
      <c r="A621" s="14">
        <v>46270</v>
      </c>
      <c r="B621" s="15">
        <v>3</v>
      </c>
      <c r="C621" s="321" t="str">
        <f>_xlfn.XLOOKUP(Tabella1[[#This Row],[Nome]],Tabella4[NOME],Tabella4[SQUADRA],"")</f>
        <v>Bologna</v>
      </c>
      <c r="D621" t="s">
        <v>161</v>
      </c>
      <c r="E621" t="s">
        <v>506</v>
      </c>
      <c r="F621" s="194">
        <v>6.5</v>
      </c>
      <c r="G621" s="328">
        <v>0</v>
      </c>
      <c r="H621" s="328">
        <v>0</v>
      </c>
      <c r="I621" s="328">
        <v>0</v>
      </c>
      <c r="J621" s="328">
        <v>0</v>
      </c>
      <c r="K621" s="328">
        <v>0</v>
      </c>
      <c r="L621" s="328">
        <v>0</v>
      </c>
      <c r="M621" s="328">
        <v>0</v>
      </c>
      <c r="N621" s="328">
        <v>0</v>
      </c>
      <c r="O621" s="329">
        <v>1</v>
      </c>
      <c r="P621" s="284"/>
      <c r="Q621" s="284">
        <f t="shared" si="26"/>
        <v>0</v>
      </c>
      <c r="R621" s="3" t="str">
        <f>_xlfn.IFNA(VLOOKUP(Tabella1[[#This Row],[Nome]],'ROSE SQUADRE'!$N$3:$O$260,2,0),"")</f>
        <v>FC INTERNAZIOANALE</v>
      </c>
      <c r="S621" s="193">
        <f>SUM(Tabella1[[#This Row],[Gf]],Tabella1[[#This Row],[Rf]])</f>
        <v>0</v>
      </c>
      <c r="T621" s="193">
        <v>1</v>
      </c>
      <c r="U621" s="285">
        <f>IF(Tabella1[[#This Row],[N° FantaTit]]="","",Tabella1[[#This Row],[fanta voto]])</f>
        <v>7.5</v>
      </c>
      <c r="V621" s="193">
        <f>SUM(Tabella1[[#This Row],[Voto]],(G621*3),Q621,P621,O621,-(N621),(-M621/2),(-L621*2),(-H621),(I621*3),(-J621*3),(K621*3))</f>
        <v>7.5</v>
      </c>
      <c r="W621" s="193">
        <v>1</v>
      </c>
      <c r="X621" s="193">
        <f>IF(Tabella1[[#This Row],[Best 11]]=1,Tabella1[[#This Row],[fanta voto]],"")</f>
        <v>7.5</v>
      </c>
      <c r="Y621">
        <v>1</v>
      </c>
      <c r="Z621" s="193">
        <f>IF(Tabella1[[#This Row],[Best 11 MOD]]=1,Tabella1[[#This Row],[fanta voto]],"")</f>
        <v>7.5</v>
      </c>
      <c r="AA621" t="str">
        <f>CONCATENATE(Tabella1[[#This Row],[GG]],Tabella1[[#This Row],[Nome]])</f>
        <v>3Miranda J.</v>
      </c>
      <c r="AB621" t="str">
        <f t="shared" si="27"/>
        <v>3FC INTERNAZIOANALE1</v>
      </c>
      <c r="AC621" t="str">
        <f>_xlfn.CONCAT(Tabella1[[#This Row],[Ruolo]],Tabella1[[#This Row],[Gs]])</f>
        <v>D0</v>
      </c>
    </row>
    <row r="622" spans="1:29" hidden="1" x14ac:dyDescent="0.3">
      <c r="A622" s="14">
        <v>46270</v>
      </c>
      <c r="B622" s="15">
        <v>3</v>
      </c>
      <c r="C622" s="321" t="str">
        <f>_xlfn.XLOOKUP(Tabella1[[#This Row],[Nome]],Tabella4[NOME],Tabella4[SQUADRA],"")</f>
        <v>Bologna</v>
      </c>
      <c r="D622" s="330" t="s">
        <v>5</v>
      </c>
      <c r="E622" s="330" t="s">
        <v>280</v>
      </c>
      <c r="F622" s="331">
        <v>6.5</v>
      </c>
      <c r="G622" s="332">
        <v>0</v>
      </c>
      <c r="H622" s="333">
        <v>2</v>
      </c>
      <c r="I622" s="332">
        <v>0</v>
      </c>
      <c r="J622" s="332">
        <v>0</v>
      </c>
      <c r="K622" s="332">
        <v>0</v>
      </c>
      <c r="L622" s="332">
        <v>0</v>
      </c>
      <c r="M622" s="332">
        <v>0</v>
      </c>
      <c r="N622" s="332">
        <v>0</v>
      </c>
      <c r="O622" s="332">
        <v>0</v>
      </c>
      <c r="P622" s="284"/>
      <c r="Q622" s="284">
        <f t="shared" si="26"/>
        <v>0</v>
      </c>
      <c r="R622" s="3" t="str">
        <f>_xlfn.IFNA(VLOOKUP(Tabella1[[#This Row],[Nome]],'ROSE SQUADRE'!$N$3:$O$260,2,0),"")</f>
        <v>SHARK</v>
      </c>
      <c r="S622" s="193">
        <f>SUM(Tabella1[[#This Row],[Gf]],Tabella1[[#This Row],[Rf]])</f>
        <v>0</v>
      </c>
      <c r="T622" s="193">
        <v>1</v>
      </c>
      <c r="U622" s="285">
        <f>IF(Tabella1[[#This Row],[N° FantaTit]]="","",Tabella1[[#This Row],[fanta voto]])</f>
        <v>4.5</v>
      </c>
      <c r="V622" s="193">
        <f>SUM(Tabella1[[#This Row],[Voto]],(G622*3),Q622,P622,O622,-(N622),(-M622/2),(-L622*2),(-H622),(I622*3),(-J622*3),(K622*3))</f>
        <v>4.5</v>
      </c>
      <c r="W622" s="193">
        <v>1</v>
      </c>
      <c r="X622" s="193">
        <f>IF(Tabella1[[#This Row],[Best 11]]=1,Tabella1[[#This Row],[fanta voto]],"")</f>
        <v>4.5</v>
      </c>
      <c r="Y622">
        <v>1</v>
      </c>
      <c r="Z622" s="193">
        <f>IF(Tabella1[[#This Row],[Best 11 MOD]]=1,Tabella1[[#This Row],[fanta voto]],"")</f>
        <v>4.5</v>
      </c>
      <c r="AA622" t="str">
        <f>CONCATENATE(Tabella1[[#This Row],[GG]],Tabella1[[#This Row],[Nome]])</f>
        <v>3Skorupski</v>
      </c>
      <c r="AB622" t="str">
        <f t="shared" si="27"/>
        <v>3SHARK1</v>
      </c>
      <c r="AC622" t="str">
        <f>_xlfn.CONCAT(Tabella1[[#This Row],[Ruolo]],Tabella1[[#This Row],[Gs]])</f>
        <v>P2</v>
      </c>
    </row>
    <row r="623" spans="1:29" hidden="1" x14ac:dyDescent="0.3">
      <c r="A623" s="14">
        <v>46270</v>
      </c>
      <c r="B623" s="15">
        <v>3</v>
      </c>
      <c r="C623" s="321" t="str">
        <f>_xlfn.XLOOKUP(Tabella1[[#This Row],[Nome]],Tabella4[NOME],Tabella4[SQUADRA],"")</f>
        <v>Fiorentina</v>
      </c>
      <c r="D623" t="s">
        <v>161</v>
      </c>
      <c r="E623" t="s">
        <v>713</v>
      </c>
      <c r="F623" s="194">
        <v>5.5</v>
      </c>
      <c r="G623" s="328">
        <v>0</v>
      </c>
      <c r="H623" s="328">
        <v>0</v>
      </c>
      <c r="I623" s="328">
        <v>0</v>
      </c>
      <c r="J623" s="328">
        <v>0</v>
      </c>
      <c r="K623" s="328">
        <v>0</v>
      </c>
      <c r="L623" s="328">
        <v>0</v>
      </c>
      <c r="M623" s="328">
        <v>0</v>
      </c>
      <c r="N623" s="328">
        <v>0</v>
      </c>
      <c r="O623" s="328">
        <v>0</v>
      </c>
      <c r="P623" s="284"/>
      <c r="Q623" s="284">
        <f t="shared" si="26"/>
        <v>0</v>
      </c>
      <c r="R623" s="3" t="str">
        <f>_xlfn.IFNA(VLOOKUP(Tabella1[[#This Row],[Nome]],'ROSE SQUADRE'!$N$3:$O$260,2,0),"")</f>
        <v>SAN GRIA</v>
      </c>
      <c r="S623" s="193">
        <f>SUM(Tabella1[[#This Row],[Gf]],Tabella1[[#This Row],[Rf]])</f>
        <v>0</v>
      </c>
      <c r="T623" s="193"/>
      <c r="U623" s="285" t="str">
        <f>IF(Tabella1[[#This Row],[N° FantaTit]]="","",Tabella1[[#This Row],[fanta voto]])</f>
        <v/>
      </c>
      <c r="V623" s="193">
        <f>SUM(Tabella1[[#This Row],[Voto]],(G623*3),Q623,P623,O623,-(N623),(-M623/2),(-L623*2),(-H623),(I623*3),(-J623*3),(K623*3))</f>
        <v>5.5</v>
      </c>
      <c r="W623" s="193"/>
      <c r="X623" s="193" t="str">
        <f>IF(Tabella1[[#This Row],[Best 11]]=1,Tabella1[[#This Row],[fanta voto]],"")</f>
        <v/>
      </c>
      <c r="Z623" s="193" t="str">
        <f>IF(Tabella1[[#This Row],[Best 11 MOD]]=1,Tabella1[[#This Row],[fanta voto]],"")</f>
        <v/>
      </c>
      <c r="AA623" t="str">
        <f>CONCATENATE(Tabella1[[#This Row],[GG]],Tabella1[[#This Row],[Nome]])</f>
        <v>3Viery</v>
      </c>
      <c r="AB623" t="str">
        <f t="shared" si="27"/>
        <v>3SAN GRIA</v>
      </c>
      <c r="AC623" t="str">
        <f>_xlfn.CONCAT(Tabella1[[#This Row],[Ruolo]],Tabella1[[#This Row],[Gs]])</f>
        <v>D0</v>
      </c>
    </row>
    <row r="624" spans="1:29" hidden="1" x14ac:dyDescent="0.3">
      <c r="A624" s="14">
        <v>46270</v>
      </c>
      <c r="B624" s="15">
        <v>3</v>
      </c>
      <c r="C624" s="321" t="str">
        <f>_xlfn.XLOOKUP(Tabella1[[#This Row],[Nome]],Tabella4[NOME],Tabella4[SQUADRA],"")</f>
        <v>Lazio</v>
      </c>
      <c r="D624" s="330" t="s">
        <v>161</v>
      </c>
      <c r="E624" s="330" t="s">
        <v>804</v>
      </c>
      <c r="F624" s="331">
        <v>6.5</v>
      </c>
      <c r="G624" s="332">
        <v>0</v>
      </c>
      <c r="H624" s="332">
        <v>0</v>
      </c>
      <c r="I624" s="332">
        <v>0</v>
      </c>
      <c r="J624" s="332">
        <v>0</v>
      </c>
      <c r="K624" s="332">
        <v>0</v>
      </c>
      <c r="L624" s="332">
        <v>0</v>
      </c>
      <c r="M624" s="332">
        <v>0</v>
      </c>
      <c r="N624" s="332">
        <v>0</v>
      </c>
      <c r="O624" s="332">
        <v>0</v>
      </c>
      <c r="P624" s="284"/>
      <c r="Q624" s="284">
        <f t="shared" si="26"/>
        <v>0</v>
      </c>
      <c r="R624" s="3" t="str">
        <f>_xlfn.IFNA(VLOOKUP(Tabella1[[#This Row],[Nome]],'ROSE SQUADRE'!$N$3:$O$260,2,0),"")</f>
        <v>SAN GRIA</v>
      </c>
      <c r="S624" s="193">
        <f>SUM(Tabella1[[#This Row],[Gf]],Tabella1[[#This Row],[Rf]])</f>
        <v>0</v>
      </c>
      <c r="T624" s="193">
        <v>1</v>
      </c>
      <c r="U624" s="285">
        <f>IF(Tabella1[[#This Row],[N° FantaTit]]="","",Tabella1[[#This Row],[fanta voto]])</f>
        <v>6.5</v>
      </c>
      <c r="V624" s="193">
        <f>SUM(Tabella1[[#This Row],[Voto]],(G624*3),Q624,P624,O624,-(N624),(-M624/2),(-L624*2),(-H624),(I624*3),(-J624*3),(K624*3))</f>
        <v>6.5</v>
      </c>
      <c r="W624" s="193">
        <v>1</v>
      </c>
      <c r="X624" s="193">
        <f>IF(Tabella1[[#This Row],[Best 11]]=1,Tabella1[[#This Row],[fanta voto]],"")</f>
        <v>6.5</v>
      </c>
      <c r="Y624">
        <v>1</v>
      </c>
      <c r="Z624" s="193">
        <f>IF(Tabella1[[#This Row],[Best 11 MOD]]=1,Tabella1[[#This Row],[fanta voto]],"")</f>
        <v>6.5</v>
      </c>
      <c r="AA624" t="str">
        <f>CONCATENATE(Tabella1[[#This Row],[GG]],Tabella1[[#This Row],[Nome]])</f>
        <v>3Tavares N.</v>
      </c>
      <c r="AB624" t="str">
        <f t="shared" si="27"/>
        <v>3SAN GRIA1</v>
      </c>
      <c r="AC624" t="str">
        <f>_xlfn.CONCAT(Tabella1[[#This Row],[Ruolo]],Tabella1[[#This Row],[Gs]])</f>
        <v>D0</v>
      </c>
    </row>
    <row r="625" spans="1:29" hidden="1" x14ac:dyDescent="0.3">
      <c r="A625" s="14">
        <v>46270</v>
      </c>
      <c r="B625" s="15">
        <v>3</v>
      </c>
      <c r="C625" s="321" t="str">
        <f>_xlfn.XLOOKUP(Tabella1[[#This Row],[Nome]],Tabella4[NOME],Tabella4[SQUADRA],"")</f>
        <v>Sassuolo</v>
      </c>
      <c r="D625" s="330" t="s">
        <v>162</v>
      </c>
      <c r="E625" s="330" t="s">
        <v>354</v>
      </c>
      <c r="F625" s="331">
        <v>6</v>
      </c>
      <c r="G625" s="332">
        <v>0</v>
      </c>
      <c r="H625" s="332">
        <v>0</v>
      </c>
      <c r="I625" s="332">
        <v>0</v>
      </c>
      <c r="J625" s="332">
        <v>0</v>
      </c>
      <c r="K625" s="332">
        <v>0</v>
      </c>
      <c r="L625" s="332">
        <v>0</v>
      </c>
      <c r="M625" s="332">
        <v>0</v>
      </c>
      <c r="N625" s="332">
        <v>0</v>
      </c>
      <c r="O625" s="332">
        <v>0</v>
      </c>
      <c r="P625" s="284"/>
      <c r="Q625" s="284">
        <f t="shared" si="26"/>
        <v>0</v>
      </c>
      <c r="R625" s="3" t="str">
        <f>_xlfn.IFNA(VLOOKUP(Tabella1[[#This Row],[Nome]],'ROSE SQUADRE'!$N$3:$O$260,2,0),"")</f>
        <v/>
      </c>
      <c r="S625" s="193">
        <f>SUM(Tabella1[[#This Row],[Gf]],Tabella1[[#This Row],[Rf]])</f>
        <v>0</v>
      </c>
      <c r="T625" s="193"/>
      <c r="U625" s="285" t="str">
        <f>IF(Tabella1[[#This Row],[N° FantaTit]]="","",Tabella1[[#This Row],[fanta voto]])</f>
        <v/>
      </c>
      <c r="V625" s="193">
        <f>SUM(Tabella1[[#This Row],[Voto]],(G625*3),Q625,P625,O625,-(N625),(-M625/2),(-L625*2),(-H625),(I625*3),(-J625*3),(K625*3))</f>
        <v>6</v>
      </c>
      <c r="W625" s="193"/>
      <c r="X625" s="193" t="str">
        <f>IF(Tabella1[[#This Row],[Best 11]]=1,Tabella1[[#This Row],[fanta voto]],"")</f>
        <v/>
      </c>
      <c r="Z625" s="193" t="str">
        <f>IF(Tabella1[[#This Row],[Best 11 MOD]]=1,Tabella1[[#This Row],[fanta voto]],"")</f>
        <v/>
      </c>
      <c r="AA625" t="str">
        <f>CONCATENATE(Tabella1[[#This Row],[GG]],Tabella1[[#This Row],[Nome]])</f>
        <v>3Sulemana I.</v>
      </c>
      <c r="AB625" t="str">
        <f t="shared" si="27"/>
        <v>3</v>
      </c>
      <c r="AC625" t="str">
        <f>_xlfn.CONCAT(Tabella1[[#This Row],[Ruolo]],Tabella1[[#This Row],[Gs]])</f>
        <v>C0</v>
      </c>
    </row>
    <row r="626" spans="1:29" hidden="1" x14ac:dyDescent="0.3">
      <c r="A626" s="14">
        <v>46270</v>
      </c>
      <c r="B626" s="15">
        <v>3</v>
      </c>
      <c r="C626" s="321" t="str">
        <f>_xlfn.XLOOKUP(Tabella1[[#This Row],[Nome]],Tabella4[NOME],Tabella4[SQUADRA],"")</f>
        <v>Caglairi</v>
      </c>
      <c r="D626" s="330" t="s">
        <v>163</v>
      </c>
      <c r="E626" s="330" t="s">
        <v>1052</v>
      </c>
      <c r="F626" s="331">
        <v>6.5</v>
      </c>
      <c r="G626" s="332">
        <v>0</v>
      </c>
      <c r="H626" s="332">
        <v>0</v>
      </c>
      <c r="I626" s="332">
        <v>0</v>
      </c>
      <c r="J626" s="332">
        <v>0</v>
      </c>
      <c r="K626" s="332">
        <v>0</v>
      </c>
      <c r="L626" s="332">
        <v>0</v>
      </c>
      <c r="M626" s="332">
        <v>0</v>
      </c>
      <c r="N626" s="332">
        <v>0</v>
      </c>
      <c r="O626" s="332">
        <v>0</v>
      </c>
      <c r="P626" s="284"/>
      <c r="Q626" s="284">
        <f t="shared" si="26"/>
        <v>0</v>
      </c>
      <c r="R626" s="3" t="str">
        <f>_xlfn.IFNA(VLOOKUP(Tabella1[[#This Row],[Nome]],'ROSE SQUADRE'!$N$3:$O$260,2,0),"")</f>
        <v/>
      </c>
      <c r="S626" s="193">
        <f>SUM(Tabella1[[#This Row],[Gf]],Tabella1[[#This Row],[Rf]])</f>
        <v>0</v>
      </c>
      <c r="T626" s="193"/>
      <c r="U626" s="285" t="str">
        <f>IF(Tabella1[[#This Row],[N° FantaTit]]="","",Tabella1[[#This Row],[fanta voto]])</f>
        <v/>
      </c>
      <c r="V626" s="193">
        <f>SUM(Tabella1[[#This Row],[Voto]],(G626*3),Q626,P626,O626,-(N626),(-M626/2),(-L626*2),(-H626),(I626*3),(-J626*3),(K626*3))</f>
        <v>6.5</v>
      </c>
      <c r="W626" s="193"/>
      <c r="X626" s="193" t="str">
        <f>IF(Tabella1[[#This Row],[Best 11]]=1,Tabella1[[#This Row],[fanta voto]],"")</f>
        <v/>
      </c>
      <c r="Z626" s="193" t="str">
        <f>IF(Tabella1[[#This Row],[Best 11 MOD]]=1,Tabella1[[#This Row],[fanta voto]],"")</f>
        <v/>
      </c>
      <c r="AA626" t="str">
        <f>CONCATENATE(Tabella1[[#This Row],[GG]],Tabella1[[#This Row],[Nome]])</f>
        <v>3Sugamele</v>
      </c>
      <c r="AB626" t="str">
        <f t="shared" si="27"/>
        <v>3</v>
      </c>
      <c r="AC626" t="str">
        <f>_xlfn.CONCAT(Tabella1[[#This Row],[Ruolo]],Tabella1[[#This Row],[Gs]])</f>
        <v>A0</v>
      </c>
    </row>
    <row r="627" spans="1:29" hidden="1" x14ac:dyDescent="0.3">
      <c r="A627" s="14">
        <v>46270</v>
      </c>
      <c r="B627" s="15">
        <v>3</v>
      </c>
      <c r="C627" s="321" t="str">
        <f>_xlfn.XLOOKUP(Tabella1[[#This Row],[Nome]],Tabella4[NOME],Tabella4[SQUADRA],"")</f>
        <v>Inter</v>
      </c>
      <c r="D627" t="s">
        <v>162</v>
      </c>
      <c r="E627" t="s">
        <v>774</v>
      </c>
      <c r="F627" s="194">
        <v>5.5</v>
      </c>
      <c r="G627" s="328">
        <v>0</v>
      </c>
      <c r="H627" s="328">
        <v>0</v>
      </c>
      <c r="I627" s="328">
        <v>0</v>
      </c>
      <c r="J627" s="328">
        <v>0</v>
      </c>
      <c r="K627" s="328">
        <v>0</v>
      </c>
      <c r="L627" s="328">
        <v>0</v>
      </c>
      <c r="M627" s="328">
        <v>0</v>
      </c>
      <c r="N627" s="328">
        <v>0</v>
      </c>
      <c r="O627" s="328">
        <v>0</v>
      </c>
      <c r="P627" s="284"/>
      <c r="Q627" s="284">
        <f t="shared" si="26"/>
        <v>0</v>
      </c>
      <c r="R627" s="3" t="str">
        <f>_xlfn.IFNA(VLOOKUP(Tabella1[[#This Row],[Nome]],'ROSE SQUADRE'!$N$3:$O$260,2,0),"")</f>
        <v>AC ASPARAGHESE</v>
      </c>
      <c r="S627" s="193">
        <f>SUM(Tabella1[[#This Row],[Gf]],Tabella1[[#This Row],[Rf]])</f>
        <v>0</v>
      </c>
      <c r="T627" s="193">
        <v>1</v>
      </c>
      <c r="U627" s="285">
        <f>IF(Tabella1[[#This Row],[N° FantaTit]]="","",Tabella1[[#This Row],[fanta voto]])</f>
        <v>5.5</v>
      </c>
      <c r="V627" s="193">
        <f>SUM(Tabella1[[#This Row],[Voto]],(G627*3),Q627,P627,O627,-(N627),(-M627/2),(-L627*2),(-H627),(I627*3),(-J627*3),(K627*3))</f>
        <v>5.5</v>
      </c>
      <c r="W627" s="193"/>
      <c r="X627" s="193" t="str">
        <f>IF(Tabella1[[#This Row],[Best 11]]=1,Tabella1[[#This Row],[fanta voto]],"")</f>
        <v/>
      </c>
      <c r="Z627" s="193" t="str">
        <f>IF(Tabella1[[#This Row],[Best 11 MOD]]=1,Tabella1[[#This Row],[fanta voto]],"")</f>
        <v/>
      </c>
      <c r="AA627" t="str">
        <f>CONCATENATE(Tabella1[[#This Row],[GG]],Tabella1[[#This Row],[Nome]])</f>
        <v>3Sucic P.</v>
      </c>
      <c r="AB627" t="str">
        <f t="shared" si="27"/>
        <v>3AC ASPARAGHESE1</v>
      </c>
      <c r="AC627" t="str">
        <f>_xlfn.CONCAT(Tabella1[[#This Row],[Ruolo]],Tabella1[[#This Row],[Gs]])</f>
        <v>C0</v>
      </c>
    </row>
    <row r="628" spans="1:29" hidden="1" x14ac:dyDescent="0.3">
      <c r="A628" s="14">
        <v>46270</v>
      </c>
      <c r="B628" s="15">
        <v>3</v>
      </c>
      <c r="C628" s="321" t="str">
        <f>_xlfn.XLOOKUP(Tabella1[[#This Row],[Nome]],Tabella4[NOME],Tabella4[SQUADRA],"")</f>
        <v>Lecce</v>
      </c>
      <c r="D628" s="330" t="s">
        <v>163</v>
      </c>
      <c r="E628" s="330" t="s">
        <v>825</v>
      </c>
      <c r="F628" s="331">
        <v>5.5</v>
      </c>
      <c r="G628" s="332">
        <v>0</v>
      </c>
      <c r="H628" s="332">
        <v>0</v>
      </c>
      <c r="I628" s="332">
        <v>0</v>
      </c>
      <c r="J628" s="332">
        <v>0</v>
      </c>
      <c r="K628" s="332">
        <v>0</v>
      </c>
      <c r="L628" s="332">
        <v>0</v>
      </c>
      <c r="M628" s="332">
        <v>0</v>
      </c>
      <c r="N628" s="332">
        <v>0</v>
      </c>
      <c r="O628" s="332">
        <v>0</v>
      </c>
      <c r="P628" s="284"/>
      <c r="Q628" s="284">
        <f t="shared" si="26"/>
        <v>0</v>
      </c>
      <c r="R628" s="3" t="str">
        <f>_xlfn.IFNA(VLOOKUP(Tabella1[[#This Row],[Nome]],'ROSE SQUADRE'!$N$3:$O$260,2,0),"")</f>
        <v/>
      </c>
      <c r="S628" s="193">
        <f>SUM(Tabella1[[#This Row],[Gf]],Tabella1[[#This Row],[Rf]])</f>
        <v>0</v>
      </c>
      <c r="T628" s="193"/>
      <c r="U628" s="285" t="str">
        <f>IF(Tabella1[[#This Row],[N° FantaTit]]="","",Tabella1[[#This Row],[fanta voto]])</f>
        <v/>
      </c>
      <c r="V628" s="193">
        <f>SUM(Tabella1[[#This Row],[Voto]],(G628*3),Q628,P628,O628,-(N628),(-M628/2),(-L628*2),(-H628),(I628*3),(-J628*3),(K628*3))</f>
        <v>5.5</v>
      </c>
      <c r="W628" s="193"/>
      <c r="X628" s="193" t="str">
        <f>IF(Tabella1[[#This Row],[Best 11]]=1,Tabella1[[#This Row],[fanta voto]],"")</f>
        <v/>
      </c>
      <c r="Z628" s="193" t="str">
        <f>IF(Tabella1[[#This Row],[Best 11 MOD]]=1,Tabella1[[#This Row],[fanta voto]],"")</f>
        <v/>
      </c>
      <c r="AA628" t="str">
        <f>CONCATENATE(Tabella1[[#This Row],[GG]],Tabella1[[#This Row],[Nome]])</f>
        <v>3Stulic</v>
      </c>
      <c r="AB628" t="str">
        <f t="shared" si="27"/>
        <v>3</v>
      </c>
      <c r="AC628" t="str">
        <f>_xlfn.CONCAT(Tabella1[[#This Row],[Ruolo]],Tabella1[[#This Row],[Gs]])</f>
        <v>A0</v>
      </c>
    </row>
    <row r="629" spans="1:29" hidden="1" x14ac:dyDescent="0.3">
      <c r="A629" s="14">
        <v>46270</v>
      </c>
      <c r="B629" s="15">
        <v>3</v>
      </c>
      <c r="C629" s="321" t="str">
        <f>_xlfn.XLOOKUP(Tabella1[[#This Row],[Nome]],Tabella4[NOME],Tabella4[SQUADRA],"")</f>
        <v>Parma</v>
      </c>
      <c r="D629" t="s">
        <v>161</v>
      </c>
      <c r="E629" t="s">
        <v>879</v>
      </c>
      <c r="F629" s="194">
        <v>6</v>
      </c>
      <c r="G629" s="328">
        <v>0</v>
      </c>
      <c r="H629" s="328">
        <v>0</v>
      </c>
      <c r="I629" s="328">
        <v>0</v>
      </c>
      <c r="J629" s="328">
        <v>0</v>
      </c>
      <c r="K629" s="328">
        <v>0</v>
      </c>
      <c r="L629" s="328">
        <v>0</v>
      </c>
      <c r="M629" s="328">
        <v>0</v>
      </c>
      <c r="N629" s="328">
        <v>0</v>
      </c>
      <c r="O629" s="328">
        <v>0</v>
      </c>
      <c r="P629" s="284"/>
      <c r="Q629" s="284">
        <f t="shared" si="26"/>
        <v>0</v>
      </c>
      <c r="R629" s="3" t="str">
        <f>_xlfn.IFNA(VLOOKUP(Tabella1[[#This Row],[Nome]],'ROSE SQUADRE'!$N$3:$O$260,2,0),"")</f>
        <v>SHARK</v>
      </c>
      <c r="S629" s="193">
        <f>SUM(Tabella1[[#This Row],[Gf]],Tabella1[[#This Row],[Rf]])</f>
        <v>0</v>
      </c>
      <c r="T629" s="193"/>
      <c r="U629" s="285" t="str">
        <f>IF(Tabella1[[#This Row],[N° FantaTit]]="","",Tabella1[[#This Row],[fanta voto]])</f>
        <v/>
      </c>
      <c r="V629" s="193">
        <f>SUM(Tabella1[[#This Row],[Voto]],(G629*3),Q629,P629,O629,-(N629),(-M629/2),(-L629*2),(-H629),(I629*3),(-J629*3),(K629*3))</f>
        <v>6</v>
      </c>
      <c r="W629" s="193">
        <v>1</v>
      </c>
      <c r="X629" s="193">
        <f>IF(Tabella1[[#This Row],[Best 11]]=1,Tabella1[[#This Row],[fanta voto]],"")</f>
        <v>6</v>
      </c>
      <c r="Y629">
        <v>1</v>
      </c>
      <c r="Z629" s="193">
        <f>IF(Tabella1[[#This Row],[Best 11 MOD]]=1,Tabella1[[#This Row],[fanta voto]],"")</f>
        <v>6</v>
      </c>
      <c r="AA629" t="str">
        <f>CONCATENATE(Tabella1[[#This Row],[GG]],Tabella1[[#This Row],[Nome]])</f>
        <v>3Troilo</v>
      </c>
      <c r="AB629" t="str">
        <f t="shared" si="27"/>
        <v>3SHARK</v>
      </c>
      <c r="AC629" t="str">
        <f>_xlfn.CONCAT(Tabella1[[#This Row],[Ruolo]],Tabella1[[#This Row],[Gs]])</f>
        <v>D0</v>
      </c>
    </row>
    <row r="630" spans="1:29" hidden="1" x14ac:dyDescent="0.3">
      <c r="A630" s="14">
        <v>46270</v>
      </c>
      <c r="B630" s="15">
        <v>3</v>
      </c>
      <c r="C630" s="321" t="str">
        <f>_xlfn.XLOOKUP(Tabella1[[#This Row],[Nome]],Tabella4[NOME],Tabella4[SQUADRA],"")</f>
        <v>Sassuolo</v>
      </c>
      <c r="D630" t="s">
        <v>161</v>
      </c>
      <c r="E630" t="s">
        <v>917</v>
      </c>
      <c r="F630" s="334">
        <v>6</v>
      </c>
      <c r="G630" s="328">
        <v>0</v>
      </c>
      <c r="H630" s="328">
        <v>0</v>
      </c>
      <c r="I630" s="328">
        <v>0</v>
      </c>
      <c r="J630" s="328">
        <v>0</v>
      </c>
      <c r="K630" s="328">
        <v>0</v>
      </c>
      <c r="L630" s="328">
        <v>0</v>
      </c>
      <c r="M630" s="328">
        <v>0</v>
      </c>
      <c r="N630" s="328">
        <v>0</v>
      </c>
      <c r="O630" s="328">
        <v>0</v>
      </c>
      <c r="P630" s="284"/>
      <c r="Q630" s="284">
        <f t="shared" si="26"/>
        <v>0</v>
      </c>
      <c r="R630" s="3" t="str">
        <f>_xlfn.IFNA(VLOOKUP(Tabella1[[#This Row],[Nome]],'ROSE SQUADRE'!$N$3:$O$260,2,0),"")</f>
        <v>ATL. IMPROVVISATO</v>
      </c>
      <c r="S630" s="193">
        <f>SUM(Tabella1[[#This Row],[Gf]],Tabella1[[#This Row],[Rf]])</f>
        <v>0</v>
      </c>
      <c r="T630" s="193">
        <v>1</v>
      </c>
      <c r="U630" s="285">
        <f>IF(Tabella1[[#This Row],[N° FantaTit]]="","",Tabella1[[#This Row],[fanta voto]])</f>
        <v>6</v>
      </c>
      <c r="V630" s="193">
        <f>SUM(Tabella1[[#This Row],[Voto]],(G630*3),Q630,P630,O630,-(N630),(-M630/2),(-L630*2),(-H630),(I630*3),(-J630*3),(K630*3))</f>
        <v>6</v>
      </c>
      <c r="W630" s="193">
        <v>1</v>
      </c>
      <c r="X630" s="193">
        <f>IF(Tabella1[[#This Row],[Best 11]]=1,Tabella1[[#This Row],[fanta voto]],"")</f>
        <v>6</v>
      </c>
      <c r="Y630">
        <v>1</v>
      </c>
      <c r="Z630" s="193">
        <f>IF(Tabella1[[#This Row],[Best 11 MOD]]=1,Tabella1[[#This Row],[fanta voto]],"")</f>
        <v>6</v>
      </c>
      <c r="AA630" t="str">
        <f>CONCATENATE(Tabella1[[#This Row],[GG]],Tabella1[[#This Row],[Nome]])</f>
        <v>3Obrador</v>
      </c>
      <c r="AB630" t="str">
        <f t="shared" si="27"/>
        <v>3ATL. IMPROVVISATO1</v>
      </c>
      <c r="AC630" t="str">
        <f>_xlfn.CONCAT(Tabella1[[#This Row],[Ruolo]],Tabella1[[#This Row],[Gs]])</f>
        <v>D0</v>
      </c>
    </row>
    <row r="631" spans="1:29" hidden="1" x14ac:dyDescent="0.3">
      <c r="A631" s="14">
        <v>46270</v>
      </c>
      <c r="B631" s="15">
        <v>3</v>
      </c>
      <c r="C631" s="321" t="str">
        <f>_xlfn.XLOOKUP(Tabella1[[#This Row],[Nome]],Tabella4[NOME],Tabella4[SQUADRA],"")</f>
        <v>Genoa</v>
      </c>
      <c r="D631" s="330" t="s">
        <v>162</v>
      </c>
      <c r="E631" s="330" t="s">
        <v>761</v>
      </c>
      <c r="F631" s="331">
        <v>5.5</v>
      </c>
      <c r="G631" s="332">
        <v>0</v>
      </c>
      <c r="H631" s="332">
        <v>0</v>
      </c>
      <c r="I631" s="332">
        <v>0</v>
      </c>
      <c r="J631" s="332">
        <v>0</v>
      </c>
      <c r="K631" s="332">
        <v>0</v>
      </c>
      <c r="L631" s="332">
        <v>0</v>
      </c>
      <c r="M631" s="333">
        <v>1</v>
      </c>
      <c r="N631" s="332">
        <v>0</v>
      </c>
      <c r="O631" s="332">
        <v>0</v>
      </c>
      <c r="P631" s="284"/>
      <c r="Q631" s="284">
        <f t="shared" si="26"/>
        <v>0</v>
      </c>
      <c r="R631" s="3" t="str">
        <f>_xlfn.IFNA(VLOOKUP(Tabella1[[#This Row],[Nome]],'ROSE SQUADRE'!$N$3:$O$260,2,0),"")</f>
        <v/>
      </c>
      <c r="S631" s="193">
        <f>SUM(Tabella1[[#This Row],[Gf]],Tabella1[[#This Row],[Rf]])</f>
        <v>0</v>
      </c>
      <c r="T631" s="193"/>
      <c r="U631" s="285" t="str">
        <f>IF(Tabella1[[#This Row],[N° FantaTit]]="","",Tabella1[[#This Row],[fanta voto]])</f>
        <v/>
      </c>
      <c r="V631" s="193">
        <f>SUM(Tabella1[[#This Row],[Voto]],(G631*3),Q631,P631,O631,-(N631),(-M631/2),(-L631*2),(-H631),(I631*3),(-J631*3),(K631*3))</f>
        <v>5</v>
      </c>
      <c r="W631" s="193"/>
      <c r="X631" s="193" t="str">
        <f>IF(Tabella1[[#This Row],[Best 11]]=1,Tabella1[[#This Row],[fanta voto]],"")</f>
        <v/>
      </c>
      <c r="Z631" s="193" t="str">
        <f>IF(Tabella1[[#This Row],[Best 11 MOD]]=1,Tabella1[[#This Row],[fanta voto]],"")</f>
        <v/>
      </c>
      <c r="AA631" t="str">
        <f>CONCATENATE(Tabella1[[#This Row],[GG]],Tabella1[[#This Row],[Nome]])</f>
        <v>3Sow</v>
      </c>
      <c r="AB631" t="str">
        <f t="shared" si="27"/>
        <v>3</v>
      </c>
      <c r="AC631" t="str">
        <f>_xlfn.CONCAT(Tabella1[[#This Row],[Ruolo]],Tabella1[[#This Row],[Gs]])</f>
        <v>C0</v>
      </c>
    </row>
    <row r="632" spans="1:29" hidden="1" x14ac:dyDescent="0.3">
      <c r="A632" s="14">
        <v>46270</v>
      </c>
      <c r="B632" s="15">
        <v>3</v>
      </c>
      <c r="C632" s="321" t="str">
        <f>_xlfn.XLOOKUP(Tabella1[[#This Row],[Nome]],Tabella4[NOME],Tabella4[SQUADRA],"")</f>
        <v>Como</v>
      </c>
      <c r="D632" t="s">
        <v>161</v>
      </c>
      <c r="E632" t="s">
        <v>690</v>
      </c>
      <c r="F632" s="194">
        <v>7</v>
      </c>
      <c r="G632" s="328">
        <v>0</v>
      </c>
      <c r="H632" s="328">
        <v>0</v>
      </c>
      <c r="I632" s="328">
        <v>0</v>
      </c>
      <c r="J632" s="328">
        <v>0</v>
      </c>
      <c r="K632" s="328">
        <v>0</v>
      </c>
      <c r="L632" s="328">
        <v>0</v>
      </c>
      <c r="M632" s="328">
        <v>0</v>
      </c>
      <c r="N632" s="328">
        <v>0</v>
      </c>
      <c r="O632" s="329">
        <v>1</v>
      </c>
      <c r="P632" s="284"/>
      <c r="Q632" s="284">
        <f t="shared" si="26"/>
        <v>0</v>
      </c>
      <c r="R632" s="3" t="str">
        <f>_xlfn.IFNA(VLOOKUP(Tabella1[[#This Row],[Nome]],'ROSE SQUADRE'!$N$3:$O$260,2,0),"")</f>
        <v>AC ASPARAGHESE</v>
      </c>
      <c r="S632" s="193">
        <f>SUM(Tabella1[[#This Row],[Gf]],Tabella1[[#This Row],[Rf]])</f>
        <v>0</v>
      </c>
      <c r="T632" s="193">
        <v>1</v>
      </c>
      <c r="U632" s="285">
        <f>IF(Tabella1[[#This Row],[N° FantaTit]]="","",Tabella1[[#This Row],[fanta voto]])</f>
        <v>8</v>
      </c>
      <c r="V632" s="193">
        <f>SUM(Tabella1[[#This Row],[Voto]],(G632*3),Q632,P632,O632,-(N632),(-M632/2),(-L632*2),(-H632),(I632*3),(-J632*3),(K632*3))</f>
        <v>8</v>
      </c>
      <c r="W632" s="193">
        <v>1</v>
      </c>
      <c r="X632" s="193">
        <f>IF(Tabella1[[#This Row],[Best 11]]=1,Tabella1[[#This Row],[fanta voto]],"")</f>
        <v>8</v>
      </c>
      <c r="Y632">
        <v>1</v>
      </c>
      <c r="Z632" s="193">
        <f>IF(Tabella1[[#This Row],[Best 11 MOD]]=1,Tabella1[[#This Row],[fanta voto]],"")</f>
        <v>8</v>
      </c>
      <c r="AA632" t="str">
        <f>CONCATENATE(Tabella1[[#This Row],[GG]],Tabella1[[#This Row],[Nome]])</f>
        <v>3Valle</v>
      </c>
      <c r="AB632" t="str">
        <f t="shared" si="27"/>
        <v>3AC ASPARAGHESE1</v>
      </c>
      <c r="AC632" t="str">
        <f>_xlfn.CONCAT(Tabella1[[#This Row],[Ruolo]],Tabella1[[#This Row],[Gs]])</f>
        <v>D0</v>
      </c>
    </row>
    <row r="633" spans="1:29" hidden="1" x14ac:dyDescent="0.3">
      <c r="A633" s="14">
        <v>46270</v>
      </c>
      <c r="B633" s="15">
        <v>3</v>
      </c>
      <c r="C633" s="321" t="str">
        <f>_xlfn.XLOOKUP(Tabella1[[#This Row],[Nome]],Tabella4[NOME],Tabella4[SQUADRA],"")</f>
        <v>Udinese</v>
      </c>
      <c r="D633" s="330" t="s">
        <v>161</v>
      </c>
      <c r="E633" s="330" t="s">
        <v>326</v>
      </c>
      <c r="F633" s="331">
        <v>4.5</v>
      </c>
      <c r="G633" s="332">
        <v>0</v>
      </c>
      <c r="H633" s="332">
        <v>0</v>
      </c>
      <c r="I633" s="332">
        <v>0</v>
      </c>
      <c r="J633" s="332">
        <v>0</v>
      </c>
      <c r="K633" s="332">
        <v>0</v>
      </c>
      <c r="L633" s="332">
        <v>0</v>
      </c>
      <c r="M633" s="332">
        <v>0</v>
      </c>
      <c r="N633" s="332">
        <v>0</v>
      </c>
      <c r="O633" s="332">
        <v>0</v>
      </c>
      <c r="P633" s="284"/>
      <c r="Q633" s="284">
        <f t="shared" si="26"/>
        <v>0</v>
      </c>
      <c r="R633" s="3" t="str">
        <f>_xlfn.IFNA(VLOOKUP(Tabella1[[#This Row],[Nome]],'ROSE SQUADRE'!$N$3:$O$260,2,0),"")</f>
        <v>PARTIZAN DEGRADO</v>
      </c>
      <c r="S633" s="193">
        <f>SUM(Tabella1[[#This Row],[Gf]],Tabella1[[#This Row],[Rf]])</f>
        <v>0</v>
      </c>
      <c r="T633" s="193"/>
      <c r="U633" s="285" t="str">
        <f>IF(Tabella1[[#This Row],[N° FantaTit]]="","",Tabella1[[#This Row],[fanta voto]])</f>
        <v/>
      </c>
      <c r="V633" s="193">
        <f>SUM(Tabella1[[#This Row],[Voto]],(G633*3),Q633,P633,O633,-(N633),(-M633/2),(-L633*2),(-H633),(I633*3),(-J633*3),(K633*3))</f>
        <v>4.5</v>
      </c>
      <c r="W633" s="193"/>
      <c r="X633" s="193" t="str">
        <f>IF(Tabella1[[#This Row],[Best 11]]=1,Tabella1[[#This Row],[fanta voto]],"")</f>
        <v/>
      </c>
      <c r="Z633" s="193" t="str">
        <f>IF(Tabella1[[#This Row],[Best 11 MOD]]=1,Tabella1[[#This Row],[fanta voto]],"")</f>
        <v/>
      </c>
      <c r="AA633" t="str">
        <f>CONCATENATE(Tabella1[[#This Row],[GG]],Tabella1[[#This Row],[Nome]])</f>
        <v>3Vojvoda</v>
      </c>
      <c r="AB633" t="str">
        <f t="shared" si="27"/>
        <v>3PARTIZAN DEGRADO</v>
      </c>
      <c r="AC633" t="str">
        <f>_xlfn.CONCAT(Tabella1[[#This Row],[Ruolo]],Tabella1[[#This Row],[Gs]])</f>
        <v>D0</v>
      </c>
    </row>
    <row r="634" spans="1:29" hidden="1" x14ac:dyDescent="0.3">
      <c r="A634" s="14">
        <v>46270</v>
      </c>
      <c r="B634" s="15">
        <v>3</v>
      </c>
      <c r="C634" s="321" t="str">
        <f>_xlfn.XLOOKUP(Tabella1[[#This Row],[Nome]],Tabella4[NOME],Tabella4[SQUADRA],"")</f>
        <v>Venezia</v>
      </c>
      <c r="D634" t="s">
        <v>162</v>
      </c>
      <c r="E634" t="s">
        <v>559</v>
      </c>
      <c r="F634" s="194">
        <v>5.5</v>
      </c>
      <c r="G634" s="328">
        <v>0</v>
      </c>
      <c r="H634" s="328">
        <v>0</v>
      </c>
      <c r="I634" s="328">
        <v>0</v>
      </c>
      <c r="J634" s="328">
        <v>0</v>
      </c>
      <c r="K634" s="328">
        <v>0</v>
      </c>
      <c r="L634" s="328">
        <v>0</v>
      </c>
      <c r="M634" s="329">
        <v>1</v>
      </c>
      <c r="N634" s="328">
        <v>0</v>
      </c>
      <c r="O634" s="328">
        <v>0</v>
      </c>
      <c r="P634" s="284"/>
      <c r="Q634" s="284">
        <f t="shared" si="26"/>
        <v>0</v>
      </c>
      <c r="R634" s="3" t="str">
        <f>_xlfn.IFNA(VLOOKUP(Tabella1[[#This Row],[Nome]],'ROSE SQUADRE'!$N$3:$O$260,2,0),"")</f>
        <v/>
      </c>
      <c r="S634" s="193">
        <f>SUM(Tabella1[[#This Row],[Gf]],Tabella1[[#This Row],[Rf]])</f>
        <v>0</v>
      </c>
      <c r="T634" s="193"/>
      <c r="U634" s="285" t="str">
        <f>IF(Tabella1[[#This Row],[N° FantaTit]]="","",Tabella1[[#This Row],[fanta voto]])</f>
        <v/>
      </c>
      <c r="V634" s="193">
        <f>SUM(Tabella1[[#This Row],[Voto]],(G634*3),Q634,P634,O634,-(N634),(-M634/2),(-L634*2),(-H634),(I634*3),(-J634*3),(K634*3))</f>
        <v>5</v>
      </c>
      <c r="W634" s="193"/>
      <c r="X634" s="193" t="str">
        <f>IF(Tabella1[[#This Row],[Best 11]]=1,Tabella1[[#This Row],[fanta voto]],"")</f>
        <v/>
      </c>
      <c r="Z634" s="193" t="str">
        <f>IF(Tabella1[[#This Row],[Best 11 MOD]]=1,Tabella1[[#This Row],[fanta voto]],"")</f>
        <v/>
      </c>
      <c r="AA634" t="str">
        <f>CONCATENATE(Tabella1[[#This Row],[GG]],Tabella1[[#This Row],[Nome]])</f>
        <v>3Sohm</v>
      </c>
      <c r="AB634" t="str">
        <f t="shared" si="27"/>
        <v>3</v>
      </c>
      <c r="AC634" t="str">
        <f>_xlfn.CONCAT(Tabella1[[#This Row],[Ruolo]],Tabella1[[#This Row],[Gs]])</f>
        <v>C0</v>
      </c>
    </row>
    <row r="635" spans="1:29" hidden="1" x14ac:dyDescent="0.3">
      <c r="A635" s="14">
        <v>46270</v>
      </c>
      <c r="B635" s="15">
        <v>3</v>
      </c>
      <c r="C635" s="321" t="str">
        <f>_xlfn.XLOOKUP(Tabella1[[#This Row],[Nome]],Tabella4[NOME],Tabella4[SQUADRA],"")</f>
        <v>Napoli</v>
      </c>
      <c r="D635" s="330" t="s">
        <v>161</v>
      </c>
      <c r="E635" s="330" t="s">
        <v>253</v>
      </c>
      <c r="F635" s="331">
        <v>5.5</v>
      </c>
      <c r="G635" s="332">
        <v>0</v>
      </c>
      <c r="H635" s="332">
        <v>0</v>
      </c>
      <c r="I635" s="332">
        <v>0</v>
      </c>
      <c r="J635" s="332">
        <v>0</v>
      </c>
      <c r="K635" s="332">
        <v>0</v>
      </c>
      <c r="L635" s="332">
        <v>0</v>
      </c>
      <c r="M635" s="332">
        <v>0</v>
      </c>
      <c r="N635" s="332">
        <v>0</v>
      </c>
      <c r="O635" s="332">
        <v>0</v>
      </c>
      <c r="P635" s="284"/>
      <c r="Q635" s="284">
        <f t="shared" si="26"/>
        <v>0</v>
      </c>
      <c r="R635" s="3" t="str">
        <f>_xlfn.IFNA(VLOOKUP(Tabella1[[#This Row],[Nome]],'ROSE SQUADRE'!$N$3:$O$260,2,0),"")</f>
        <v>SHARK</v>
      </c>
      <c r="S635" s="193">
        <f>SUM(Tabella1[[#This Row],[Gf]],Tabella1[[#This Row],[Rf]])</f>
        <v>0</v>
      </c>
      <c r="T635" s="193">
        <v>1</v>
      </c>
      <c r="U635" s="285">
        <f>IF(Tabella1[[#This Row],[N° FantaTit]]="","",Tabella1[[#This Row],[fanta voto]])</f>
        <v>5.5</v>
      </c>
      <c r="V635" s="193">
        <f>SUM(Tabella1[[#This Row],[Voto]],(G635*3),Q635,P635,O635,-(N635),(-M635/2),(-L635*2),(-H635),(I635*3),(-J635*3),(K635*3))</f>
        <v>5.5</v>
      </c>
      <c r="W635" s="193">
        <v>1</v>
      </c>
      <c r="X635" s="193">
        <f>IF(Tabella1[[#This Row],[Best 11]]=1,Tabella1[[#This Row],[fanta voto]],"")</f>
        <v>5.5</v>
      </c>
      <c r="Y635">
        <v>1</v>
      </c>
      <c r="Z635" s="193">
        <f>IF(Tabella1[[#This Row],[Best 11 MOD]]=1,Tabella1[[#This Row],[fanta voto]],"")</f>
        <v>5.5</v>
      </c>
      <c r="AA635" t="str">
        <f>CONCATENATE(Tabella1[[#This Row],[GG]],Tabella1[[#This Row],[Nome]])</f>
        <v>3Rrahmani</v>
      </c>
      <c r="AB635" t="str">
        <f t="shared" si="27"/>
        <v>3SHARK1</v>
      </c>
      <c r="AC635" t="str">
        <f>_xlfn.CONCAT(Tabella1[[#This Row],[Ruolo]],Tabella1[[#This Row],[Gs]])</f>
        <v>D0</v>
      </c>
    </row>
    <row r="636" spans="1:29" hidden="1" x14ac:dyDescent="0.3">
      <c r="A636" s="14">
        <v>46270</v>
      </c>
      <c r="B636" s="15">
        <v>3</v>
      </c>
      <c r="C636" s="321" t="str">
        <f>_xlfn.XLOOKUP(Tabella1[[#This Row],[Nome]],Tabella4[NOME],Tabella4[SQUADRA],"")</f>
        <v>Lecce</v>
      </c>
      <c r="D636" s="330" t="s">
        <v>161</v>
      </c>
      <c r="E636" s="330" t="s">
        <v>540</v>
      </c>
      <c r="F636" s="331">
        <v>5</v>
      </c>
      <c r="G636" s="332">
        <v>0</v>
      </c>
      <c r="H636" s="332">
        <v>0</v>
      </c>
      <c r="I636" s="332">
        <v>0</v>
      </c>
      <c r="J636" s="332">
        <v>0</v>
      </c>
      <c r="K636" s="332">
        <v>0</v>
      </c>
      <c r="L636" s="332">
        <v>0</v>
      </c>
      <c r="M636" s="333">
        <v>1</v>
      </c>
      <c r="N636" s="332">
        <v>0</v>
      </c>
      <c r="O636" s="332">
        <v>0</v>
      </c>
      <c r="P636" s="284"/>
      <c r="Q636" s="284">
        <f t="shared" si="26"/>
        <v>0</v>
      </c>
      <c r="R636" s="3" t="str">
        <f>_xlfn.IFNA(VLOOKUP(Tabella1[[#This Row],[Nome]],'ROSE SQUADRE'!$N$3:$O$260,2,0),"")</f>
        <v>AS PIPPERIA</v>
      </c>
      <c r="S636" s="193">
        <f>SUM(Tabella1[[#This Row],[Gf]],Tabella1[[#This Row],[Rf]])</f>
        <v>0</v>
      </c>
      <c r="T636" s="193">
        <v>1</v>
      </c>
      <c r="U636" s="285">
        <f>IF(Tabella1[[#This Row],[N° FantaTit]]="","",Tabella1[[#This Row],[fanta voto]])</f>
        <v>4.5</v>
      </c>
      <c r="V636" s="193">
        <f>SUM(Tabella1[[#This Row],[Voto]],(G636*3),Q636,P636,O636,-(N636),(-M636/2),(-L636*2),(-H636),(I636*3),(-J636*3),(K636*3))</f>
        <v>4.5</v>
      </c>
      <c r="W636" s="193"/>
      <c r="X636" s="193" t="str">
        <f>IF(Tabella1[[#This Row],[Best 11]]=1,Tabella1[[#This Row],[fanta voto]],"")</f>
        <v/>
      </c>
      <c r="Y636">
        <v>1</v>
      </c>
      <c r="Z636" s="193">
        <f>IF(Tabella1[[#This Row],[Best 11 MOD]]=1,Tabella1[[#This Row],[fanta voto]],"")</f>
        <v>4.5</v>
      </c>
      <c r="AA636" t="str">
        <f>CONCATENATE(Tabella1[[#This Row],[GG]],Tabella1[[#This Row],[Nome]])</f>
        <v>3Gaspar K.</v>
      </c>
      <c r="AB636" t="str">
        <f t="shared" si="27"/>
        <v>3AS PIPPERIA1</v>
      </c>
      <c r="AC636" t="str">
        <f>_xlfn.CONCAT(Tabella1[[#This Row],[Ruolo]],Tabella1[[#This Row],[Gs]])</f>
        <v>D0</v>
      </c>
    </row>
    <row r="637" spans="1:29" hidden="1" x14ac:dyDescent="0.3">
      <c r="A637" s="14">
        <v>46270</v>
      </c>
      <c r="B637" s="15">
        <v>3</v>
      </c>
      <c r="C637" s="321" t="str">
        <f>_xlfn.XLOOKUP(Tabella1[[#This Row],[Nome]],Tabella4[NOME],Tabella4[SQUADRA],"")</f>
        <v>Parma</v>
      </c>
      <c r="D637" t="s">
        <v>162</v>
      </c>
      <c r="E637" t="s">
        <v>1055</v>
      </c>
      <c r="F637" s="194">
        <v>6</v>
      </c>
      <c r="G637" s="328">
        <v>0</v>
      </c>
      <c r="H637" s="328">
        <v>0</v>
      </c>
      <c r="I637" s="328">
        <v>0</v>
      </c>
      <c r="J637" s="328">
        <v>0</v>
      </c>
      <c r="K637" s="328">
        <v>0</v>
      </c>
      <c r="L637" s="328">
        <v>0</v>
      </c>
      <c r="M637" s="328">
        <v>0</v>
      </c>
      <c r="N637" s="328">
        <v>0</v>
      </c>
      <c r="O637" s="328">
        <v>0</v>
      </c>
      <c r="P637" s="284"/>
      <c r="Q637" s="284">
        <f t="shared" si="26"/>
        <v>0</v>
      </c>
      <c r="R637" s="3" t="str">
        <f>_xlfn.IFNA(VLOOKUP(Tabella1[[#This Row],[Nome]],'ROSE SQUADRE'!$N$3:$O$260,2,0),"")</f>
        <v/>
      </c>
      <c r="S637" s="193">
        <f>SUM(Tabella1[[#This Row],[Gf]],Tabella1[[#This Row],[Rf]])</f>
        <v>0</v>
      </c>
      <c r="T637" s="193"/>
      <c r="U637" s="285" t="str">
        <f>IF(Tabella1[[#This Row],[N° FantaTit]]="","",Tabella1[[#This Row],[fanta voto]])</f>
        <v/>
      </c>
      <c r="V637" s="193">
        <f>SUM(Tabella1[[#This Row],[Voto]],(G637*3),Q637,P637,O637,-(N637),(-M637/2),(-L637*2),(-H637),(I637*3),(-J637*3),(K637*3))</f>
        <v>6</v>
      </c>
      <c r="W637" s="193"/>
      <c r="X637" s="193" t="str">
        <f>IF(Tabella1[[#This Row],[Best 11]]=1,Tabella1[[#This Row],[fanta voto]],"")</f>
        <v/>
      </c>
      <c r="Z637" s="193" t="str">
        <f>IF(Tabella1[[#This Row],[Best 11 MOD]]=1,Tabella1[[#This Row],[fanta voto]],"")</f>
        <v/>
      </c>
      <c r="AA637" t="str">
        <f>CONCATENATE(Tabella1[[#This Row],[GG]],Tabella1[[#This Row],[Nome]])</f>
        <v>3Sierro</v>
      </c>
      <c r="AB637" t="str">
        <f t="shared" si="27"/>
        <v>3</v>
      </c>
      <c r="AC637" t="str">
        <f>_xlfn.CONCAT(Tabella1[[#This Row],[Ruolo]],Tabella1[[#This Row],[Gs]])</f>
        <v>C0</v>
      </c>
    </row>
    <row r="638" spans="1:29" hidden="1" x14ac:dyDescent="0.3">
      <c r="A638" s="14">
        <v>46270</v>
      </c>
      <c r="B638" s="15">
        <v>3</v>
      </c>
      <c r="C638" s="321" t="str">
        <f>_xlfn.XLOOKUP(Tabella1[[#This Row],[Nome]],Tabella4[NOME],Tabella4[SQUADRA],"")</f>
        <v>Lecce</v>
      </c>
      <c r="D638" t="s">
        <v>161</v>
      </c>
      <c r="E638" t="s">
        <v>814</v>
      </c>
      <c r="F638" s="194">
        <v>5.5</v>
      </c>
      <c r="G638" s="328">
        <v>0</v>
      </c>
      <c r="H638" s="328">
        <v>0</v>
      </c>
      <c r="I638" s="328">
        <v>0</v>
      </c>
      <c r="J638" s="328">
        <v>0</v>
      </c>
      <c r="K638" s="328">
        <v>0</v>
      </c>
      <c r="L638" s="328">
        <v>0</v>
      </c>
      <c r="M638" s="329">
        <v>1</v>
      </c>
      <c r="N638" s="328">
        <v>0</v>
      </c>
      <c r="O638" s="328">
        <v>0</v>
      </c>
      <c r="P638" s="284"/>
      <c r="Q638" s="284">
        <f t="shared" si="26"/>
        <v>0</v>
      </c>
      <c r="R638" s="3" t="str">
        <f>_xlfn.IFNA(VLOOKUP(Tabella1[[#This Row],[Nome]],'ROSE SQUADRE'!$N$3:$O$260,2,0),"")</f>
        <v/>
      </c>
      <c r="S638" s="193">
        <f>SUM(Tabella1[[#This Row],[Gf]],Tabella1[[#This Row],[Rf]])</f>
        <v>0</v>
      </c>
      <c r="T638" s="193"/>
      <c r="U638" s="285" t="str">
        <f>IF(Tabella1[[#This Row],[N° FantaTit]]="","",Tabella1[[#This Row],[fanta voto]])</f>
        <v/>
      </c>
      <c r="V638" s="193">
        <f>SUM(Tabella1[[#This Row],[Voto]],(G638*3),Q638,P638,O638,-(N638),(-M638/2),(-L638*2),(-H638),(I638*3),(-J638*3),(K638*3))</f>
        <v>5</v>
      </c>
      <c r="W638" s="193"/>
      <c r="X638" s="193" t="str">
        <f>IF(Tabella1[[#This Row],[Best 11]]=1,Tabella1[[#This Row],[fanta voto]],"")</f>
        <v/>
      </c>
      <c r="Z638" s="193" t="str">
        <f>IF(Tabella1[[#This Row],[Best 11 MOD]]=1,Tabella1[[#This Row],[fanta voto]],"")</f>
        <v/>
      </c>
      <c r="AA638" t="str">
        <f>CONCATENATE(Tabella1[[#This Row],[GG]],Tabella1[[#This Row],[Nome]])</f>
        <v>3Siebert</v>
      </c>
      <c r="AB638" t="str">
        <f t="shared" si="27"/>
        <v>3</v>
      </c>
      <c r="AC638" t="str">
        <f>_xlfn.CONCAT(Tabella1[[#This Row],[Ruolo]],Tabella1[[#This Row],[Gs]])</f>
        <v>D0</v>
      </c>
    </row>
    <row r="639" spans="1:29" hidden="1" x14ac:dyDescent="0.3">
      <c r="A639" s="14">
        <v>46270</v>
      </c>
      <c r="B639" s="15">
        <v>3</v>
      </c>
      <c r="C639" s="321" t="str">
        <f>_xlfn.XLOOKUP(Tabella1[[#This Row],[Nome]],Tabella4[NOME],Tabella4[SQUADRA],"")</f>
        <v>Frosinone</v>
      </c>
      <c r="D639" t="s">
        <v>162</v>
      </c>
      <c r="E639" t="s">
        <v>744</v>
      </c>
      <c r="F639" s="194">
        <v>6</v>
      </c>
      <c r="G639" s="328">
        <v>0</v>
      </c>
      <c r="H639" s="328">
        <v>0</v>
      </c>
      <c r="I639" s="328">
        <v>0</v>
      </c>
      <c r="J639" s="328">
        <v>0</v>
      </c>
      <c r="K639" s="328">
        <v>0</v>
      </c>
      <c r="L639" s="328">
        <v>0</v>
      </c>
      <c r="M639" s="329">
        <v>1</v>
      </c>
      <c r="N639" s="328">
        <v>0</v>
      </c>
      <c r="O639" s="328">
        <v>0</v>
      </c>
      <c r="P639" s="284"/>
      <c r="Q639" s="284">
        <f t="shared" si="26"/>
        <v>0</v>
      </c>
      <c r="R639" s="3" t="str">
        <f>_xlfn.IFNA(VLOOKUP(Tabella1[[#This Row],[Nome]],'ROSE SQUADRE'!$N$3:$O$260,2,0),"")</f>
        <v/>
      </c>
      <c r="S639" s="193">
        <f>SUM(Tabella1[[#This Row],[Gf]],Tabella1[[#This Row],[Rf]])</f>
        <v>0</v>
      </c>
      <c r="T639" s="193"/>
      <c r="U639" s="285" t="str">
        <f>IF(Tabella1[[#This Row],[N° FantaTit]]="","",Tabella1[[#This Row],[fanta voto]])</f>
        <v/>
      </c>
      <c r="V639" s="193">
        <f>SUM(Tabella1[[#This Row],[Voto]],(G639*3),Q639,P639,O639,-(N639),(-M639/2),(-L639*2),(-H639),(I639*3),(-J639*3),(K639*3))</f>
        <v>5.5</v>
      </c>
      <c r="W639" s="193"/>
      <c r="X639" s="193" t="str">
        <f>IF(Tabella1[[#This Row],[Best 11]]=1,Tabella1[[#This Row],[fanta voto]],"")</f>
        <v/>
      </c>
      <c r="Z639" s="193" t="str">
        <f>IF(Tabella1[[#This Row],[Best 11 MOD]]=1,Tabella1[[#This Row],[fanta voto]],"")</f>
        <v/>
      </c>
      <c r="AA639" t="str">
        <f>CONCATENATE(Tabella1[[#This Row],[GG]],Tabella1[[#This Row],[Nome]])</f>
        <v>3Schmid</v>
      </c>
      <c r="AB639" t="str">
        <f t="shared" si="27"/>
        <v>3</v>
      </c>
      <c r="AC639" t="str">
        <f>_xlfn.CONCAT(Tabella1[[#This Row],[Ruolo]],Tabella1[[#This Row],[Gs]])</f>
        <v>C0</v>
      </c>
    </row>
    <row r="640" spans="1:29" hidden="1" x14ac:dyDescent="0.3">
      <c r="A640" s="14">
        <v>46270</v>
      </c>
      <c r="B640" s="15">
        <v>3</v>
      </c>
      <c r="C640" s="321" t="str">
        <f>_xlfn.XLOOKUP(Tabella1[[#This Row],[Nome]],Tabella4[NOME],Tabella4[SQUADRA],"")</f>
        <v>Venezia</v>
      </c>
      <c r="D640" s="330" t="s">
        <v>161</v>
      </c>
      <c r="E640" s="330" t="s">
        <v>977</v>
      </c>
      <c r="F640" s="331">
        <v>4.5</v>
      </c>
      <c r="G640" s="332">
        <v>0</v>
      </c>
      <c r="H640" s="332">
        <v>0</v>
      </c>
      <c r="I640" s="332">
        <v>0</v>
      </c>
      <c r="J640" s="332">
        <v>0</v>
      </c>
      <c r="K640" s="332">
        <v>0</v>
      </c>
      <c r="L640" s="332">
        <v>0</v>
      </c>
      <c r="M640" s="332">
        <v>0</v>
      </c>
      <c r="N640" s="332">
        <v>0</v>
      </c>
      <c r="O640" s="332">
        <v>0</v>
      </c>
      <c r="P640" s="284"/>
      <c r="Q640" s="284">
        <f t="shared" si="26"/>
        <v>0</v>
      </c>
      <c r="R640" s="3" t="str">
        <f>_xlfn.IFNA(VLOOKUP(Tabella1[[#This Row],[Nome]],'ROSE SQUADRE'!$N$3:$O$260,2,0),"")</f>
        <v/>
      </c>
      <c r="S640" s="193">
        <f>SUM(Tabella1[[#This Row],[Gf]],Tabella1[[#This Row],[Rf]])</f>
        <v>0</v>
      </c>
      <c r="T640" s="193"/>
      <c r="U640" s="285" t="str">
        <f>IF(Tabella1[[#This Row],[N° FantaTit]]="","",Tabella1[[#This Row],[fanta voto]])</f>
        <v/>
      </c>
      <c r="V640" s="193">
        <f>SUM(Tabella1[[#This Row],[Voto]],(G640*3),Q640,P640,O640,-(N640),(-M640/2),(-L640*2),(-H640),(I640*3),(-J640*3),(K640*3))</f>
        <v>4.5</v>
      </c>
      <c r="W640" s="193"/>
      <c r="X640" s="193" t="str">
        <f>IF(Tabella1[[#This Row],[Best 11]]=1,Tabella1[[#This Row],[fanta voto]],"")</f>
        <v/>
      </c>
      <c r="Z640" s="193" t="str">
        <f>IF(Tabella1[[#This Row],[Best 11 MOD]]=1,Tabella1[[#This Row],[fanta voto]],"")</f>
        <v/>
      </c>
      <c r="AA640" t="str">
        <f>CONCATENATE(Tabella1[[#This Row],[GG]],Tabella1[[#This Row],[Nome]])</f>
        <v>3Schingtienne</v>
      </c>
      <c r="AB640" t="str">
        <f t="shared" si="27"/>
        <v>3</v>
      </c>
      <c r="AC640" t="str">
        <f>_xlfn.CONCAT(Tabella1[[#This Row],[Ruolo]],Tabella1[[#This Row],[Gs]])</f>
        <v>D0</v>
      </c>
    </row>
    <row r="641" spans="1:29" hidden="1" x14ac:dyDescent="0.3">
      <c r="A641" s="14">
        <v>46270</v>
      </c>
      <c r="B641" s="15">
        <v>3</v>
      </c>
      <c r="C641" s="321" t="str">
        <f>_xlfn.XLOOKUP(Tabella1[[#This Row],[Nome]],Tabella4[NOME],Tabella4[SQUADRA],"")</f>
        <v>Udinese</v>
      </c>
      <c r="D641" t="s">
        <v>161</v>
      </c>
      <c r="E641" t="s">
        <v>469</v>
      </c>
      <c r="F641" s="194">
        <v>6.5</v>
      </c>
      <c r="G641" s="328">
        <v>0</v>
      </c>
      <c r="H641" s="328">
        <v>0</v>
      </c>
      <c r="I641" s="328">
        <v>0</v>
      </c>
      <c r="J641" s="328">
        <v>0</v>
      </c>
      <c r="K641" s="328">
        <v>0</v>
      </c>
      <c r="L641" s="328">
        <v>0</v>
      </c>
      <c r="M641" s="328">
        <v>0</v>
      </c>
      <c r="N641" s="328">
        <v>0</v>
      </c>
      <c r="O641" s="328">
        <v>0</v>
      </c>
      <c r="P641" s="284"/>
      <c r="Q641" s="284">
        <f t="shared" si="26"/>
        <v>0</v>
      </c>
      <c r="R641" s="3" t="str">
        <f>_xlfn.IFNA(VLOOKUP(Tabella1[[#This Row],[Nome]],'ROSE SQUADRE'!$N$3:$O$260,2,0),"")</f>
        <v>TRICCHETRACHT</v>
      </c>
      <c r="S641" s="193">
        <f>SUM(Tabella1[[#This Row],[Gf]],Tabella1[[#This Row],[Rf]])</f>
        <v>0</v>
      </c>
      <c r="T641" s="193">
        <v>1</v>
      </c>
      <c r="U641" s="285">
        <f>IF(Tabella1[[#This Row],[N° FantaTit]]="","",Tabella1[[#This Row],[fanta voto]])</f>
        <v>6.5</v>
      </c>
      <c r="V641" s="193">
        <f>SUM(Tabella1[[#This Row],[Voto]],(G641*3),Q641,P641,O641,-(N641),(-M641/2),(-L641*2),(-H641),(I641*3),(-J641*3),(K641*3))</f>
        <v>6.5</v>
      </c>
      <c r="W641" s="193">
        <v>1</v>
      </c>
      <c r="X641" s="193">
        <f>IF(Tabella1[[#This Row],[Best 11]]=1,Tabella1[[#This Row],[fanta voto]],"")</f>
        <v>6.5</v>
      </c>
      <c r="Y641">
        <v>1</v>
      </c>
      <c r="Z641" s="193">
        <f>IF(Tabella1[[#This Row],[Best 11 MOD]]=1,Tabella1[[#This Row],[fanta voto]],"")</f>
        <v>6.5</v>
      </c>
      <c r="AA641" t="str">
        <f>CONCATENATE(Tabella1[[#This Row],[GG]],Tabella1[[#This Row],[Nome]])</f>
        <v>3Kamara H.</v>
      </c>
      <c r="AB641" t="str">
        <f t="shared" si="27"/>
        <v>3TRICCHETRACHT1</v>
      </c>
      <c r="AC641" t="str">
        <f>_xlfn.CONCAT(Tabella1[[#This Row],[Ruolo]],Tabella1[[#This Row],[Gs]])</f>
        <v>D0</v>
      </c>
    </row>
    <row r="642" spans="1:29" hidden="1" x14ac:dyDescent="0.3">
      <c r="A642" s="14">
        <v>46270</v>
      </c>
      <c r="B642" s="15">
        <v>3</v>
      </c>
      <c r="C642" s="321" t="str">
        <f>_xlfn.XLOOKUP(Tabella1[[#This Row],[Nome]],Tabella4[NOME],Tabella4[SQUADRA],"")</f>
        <v>Como</v>
      </c>
      <c r="D642" s="330" t="s">
        <v>5</v>
      </c>
      <c r="E642" s="330" t="s">
        <v>680</v>
      </c>
      <c r="F642" s="331">
        <v>6</v>
      </c>
      <c r="G642" s="332">
        <v>0</v>
      </c>
      <c r="H642" s="333">
        <v>1</v>
      </c>
      <c r="I642" s="332">
        <v>0</v>
      </c>
      <c r="J642" s="332">
        <v>0</v>
      </c>
      <c r="K642" s="332">
        <v>0</v>
      </c>
      <c r="L642" s="332">
        <v>0</v>
      </c>
      <c r="M642" s="332">
        <v>0</v>
      </c>
      <c r="N642" s="332">
        <v>0</v>
      </c>
      <c r="O642" s="332">
        <v>0</v>
      </c>
      <c r="P642" s="284"/>
      <c r="Q642" s="284">
        <f t="shared" si="26"/>
        <v>0</v>
      </c>
      <c r="R642" s="3" t="str">
        <f>_xlfn.IFNA(VLOOKUP(Tabella1[[#This Row],[Nome]],'ROSE SQUADRE'!$N$3:$O$260,2,0),"")</f>
        <v>SESTO ASENSIO</v>
      </c>
      <c r="S642" s="193">
        <f>SUM(Tabella1[[#This Row],[Gf]],Tabella1[[#This Row],[Rf]])</f>
        <v>0</v>
      </c>
      <c r="T642" s="193">
        <v>1</v>
      </c>
      <c r="U642" s="285">
        <f>IF(Tabella1[[#This Row],[N° FantaTit]]="","",Tabella1[[#This Row],[fanta voto]])</f>
        <v>5</v>
      </c>
      <c r="V642" s="193">
        <f>SUM(Tabella1[[#This Row],[Voto]],(G642*3),Q642,P642,O642,-(N642),(-M642/2),(-L642*2),(-H642),(I642*3),(-J642*3),(K642*3))</f>
        <v>5</v>
      </c>
      <c r="W642" s="193">
        <v>1</v>
      </c>
      <c r="X642" s="193">
        <f>IF(Tabella1[[#This Row],[Best 11]]=1,Tabella1[[#This Row],[fanta voto]],"")</f>
        <v>5</v>
      </c>
      <c r="Y642">
        <v>1</v>
      </c>
      <c r="Z642" s="193">
        <f>IF(Tabella1[[#This Row],[Best 11 MOD]]=1,Tabella1[[#This Row],[fanta voto]],"")</f>
        <v>5</v>
      </c>
      <c r="AA642" t="str">
        <f>CONCATENATE(Tabella1[[#This Row],[GG]],Tabella1[[#This Row],[Nome]])</f>
        <v>3Butez</v>
      </c>
      <c r="AB642" t="str">
        <f t="shared" si="27"/>
        <v>3SESTO ASENSIO1</v>
      </c>
      <c r="AC642" t="str">
        <f>_xlfn.CONCAT(Tabella1[[#This Row],[Ruolo]],Tabella1[[#This Row],[Gs]])</f>
        <v>P1</v>
      </c>
    </row>
    <row r="643" spans="1:29" hidden="1" x14ac:dyDescent="0.3">
      <c r="A643" s="14">
        <v>46270</v>
      </c>
      <c r="B643" s="15">
        <v>3</v>
      </c>
      <c r="C643" s="321" t="str">
        <f>_xlfn.XLOOKUP(Tabella1[[#This Row],[Nome]],Tabella4[NOME],Tabella4[SQUADRA],"")</f>
        <v>Inter</v>
      </c>
      <c r="D643" t="s">
        <v>161</v>
      </c>
      <c r="E643" t="s">
        <v>275</v>
      </c>
      <c r="F643" s="194">
        <v>6.5</v>
      </c>
      <c r="G643" s="328">
        <v>0</v>
      </c>
      <c r="H643" s="328">
        <v>0</v>
      </c>
      <c r="I643" s="328">
        <v>0</v>
      </c>
      <c r="J643" s="328">
        <v>0</v>
      </c>
      <c r="K643" s="328">
        <v>0</v>
      </c>
      <c r="L643" s="328">
        <v>0</v>
      </c>
      <c r="M643" s="328">
        <v>0</v>
      </c>
      <c r="N643" s="328">
        <v>0</v>
      </c>
      <c r="O643" s="329">
        <v>1</v>
      </c>
      <c r="P643" s="284"/>
      <c r="Q643" s="284">
        <f t="shared" si="26"/>
        <v>0</v>
      </c>
      <c r="R643" s="3" t="str">
        <f>_xlfn.IFNA(VLOOKUP(Tabella1[[#This Row],[Nome]],'ROSE SQUADRE'!$N$3:$O$260,2,0),"")</f>
        <v>TRICCHETRACHT</v>
      </c>
      <c r="S643" s="193">
        <f>SUM(Tabella1[[#This Row],[Gf]],Tabella1[[#This Row],[Rf]])</f>
        <v>0</v>
      </c>
      <c r="T643" s="193">
        <v>1</v>
      </c>
      <c r="U643" s="285">
        <f>IF(Tabella1[[#This Row],[N° FantaTit]]="","",Tabella1[[#This Row],[fanta voto]])</f>
        <v>7.5</v>
      </c>
      <c r="V643" s="193">
        <f>SUM(Tabella1[[#This Row],[Voto]],(G643*3),Q643,P643,O643,-(N643),(-M643/2),(-L643*2),(-H643),(I643*3),(-J643*3),(K643*3))</f>
        <v>7.5</v>
      </c>
      <c r="W643" s="193">
        <v>1</v>
      </c>
      <c r="X643" s="193">
        <f>IF(Tabella1[[#This Row],[Best 11]]=1,Tabella1[[#This Row],[fanta voto]],"")</f>
        <v>7.5</v>
      </c>
      <c r="Y643">
        <v>1</v>
      </c>
      <c r="Z643" s="193">
        <f>IF(Tabella1[[#This Row],[Best 11 MOD]]=1,Tabella1[[#This Row],[fanta voto]],"")</f>
        <v>7.5</v>
      </c>
      <c r="AA643" t="str">
        <f>CONCATENATE(Tabella1[[#This Row],[GG]],Tabella1[[#This Row],[Nome]])</f>
        <v>3Dimarco</v>
      </c>
      <c r="AB643" t="str">
        <f t="shared" si="27"/>
        <v>3TRICCHETRACHT1</v>
      </c>
      <c r="AC643" t="str">
        <f>_xlfn.CONCAT(Tabella1[[#This Row],[Ruolo]],Tabella1[[#This Row],[Gs]])</f>
        <v>D0</v>
      </c>
    </row>
    <row r="644" spans="1:29" hidden="1" x14ac:dyDescent="0.3">
      <c r="A644" s="14">
        <v>46270</v>
      </c>
      <c r="B644" s="15">
        <v>3</v>
      </c>
      <c r="C644" s="321" t="str">
        <f>_xlfn.XLOOKUP(Tabella1[[#This Row],[Nome]],Tabella4[NOME],Tabella4[SQUADRA],"")</f>
        <v>Napoli</v>
      </c>
      <c r="D644" t="s">
        <v>161</v>
      </c>
      <c r="E644" t="s">
        <v>270</v>
      </c>
      <c r="F644" s="194">
        <v>6</v>
      </c>
      <c r="G644" s="328">
        <v>0</v>
      </c>
      <c r="H644" s="328">
        <v>0</v>
      </c>
      <c r="I644" s="328">
        <v>0</v>
      </c>
      <c r="J644" s="328">
        <v>0</v>
      </c>
      <c r="K644" s="328">
        <v>0</v>
      </c>
      <c r="L644" s="328">
        <v>0</v>
      </c>
      <c r="M644" s="328">
        <v>0</v>
      </c>
      <c r="N644" s="328">
        <v>0</v>
      </c>
      <c r="O644" s="329">
        <v>1</v>
      </c>
      <c r="P644" s="284"/>
      <c r="Q644" s="284">
        <f t="shared" si="26"/>
        <v>0</v>
      </c>
      <c r="R644" s="3" t="str">
        <f>_xlfn.IFNA(VLOOKUP(Tabella1[[#This Row],[Nome]],'ROSE SQUADRE'!$N$3:$O$260,2,0),"")</f>
        <v>AS PIPPERIA</v>
      </c>
      <c r="S644" s="193">
        <f>SUM(Tabella1[[#This Row],[Gf]],Tabella1[[#This Row],[Rf]])</f>
        <v>0</v>
      </c>
      <c r="T644" s="193"/>
      <c r="U644" s="285" t="str">
        <f>IF(Tabella1[[#This Row],[N° FantaTit]]="","",Tabella1[[#This Row],[fanta voto]])</f>
        <v/>
      </c>
      <c r="V644" s="193">
        <f>SUM(Tabella1[[#This Row],[Voto]],(G644*3),Q644,P644,O644,-(N644),(-M644/2),(-L644*2),(-H644),(I644*3),(-J644*3),(K644*3))</f>
        <v>7</v>
      </c>
      <c r="W644" s="193">
        <v>1</v>
      </c>
      <c r="X644" s="193">
        <f>IF(Tabella1[[#This Row],[Best 11]]=1,Tabella1[[#This Row],[fanta voto]],"")</f>
        <v>7</v>
      </c>
      <c r="Y644">
        <v>1</v>
      </c>
      <c r="Z644" s="193">
        <f>IF(Tabella1[[#This Row],[Best 11 MOD]]=1,Tabella1[[#This Row],[fanta voto]],"")</f>
        <v>7</v>
      </c>
      <c r="AA644" t="str">
        <f>CONCATENATE(Tabella1[[#This Row],[GG]],Tabella1[[#This Row],[Nome]])</f>
        <v>3Di Lorenzo</v>
      </c>
      <c r="AB644" t="str">
        <f t="shared" si="27"/>
        <v>3AS PIPPERIA</v>
      </c>
      <c r="AC644" t="str">
        <f>_xlfn.CONCAT(Tabella1[[#This Row],[Ruolo]],Tabella1[[#This Row],[Gs]])</f>
        <v>D0</v>
      </c>
    </row>
    <row r="645" spans="1:29" hidden="1" x14ac:dyDescent="0.3">
      <c r="A645" s="14">
        <v>46270</v>
      </c>
      <c r="B645" s="15">
        <v>3</v>
      </c>
      <c r="C645" s="321" t="str">
        <f>_xlfn.XLOOKUP(Tabella1[[#This Row],[Nome]],Tabella4[NOME],Tabella4[SQUADRA],"")</f>
        <v>Venezia</v>
      </c>
      <c r="D645" t="s">
        <v>161</v>
      </c>
      <c r="E645" t="s">
        <v>586</v>
      </c>
      <c r="F645" s="194">
        <v>7</v>
      </c>
      <c r="G645" s="329">
        <v>1</v>
      </c>
      <c r="H645" s="328">
        <v>0</v>
      </c>
      <c r="I645" s="328">
        <v>0</v>
      </c>
      <c r="J645" s="328">
        <v>0</v>
      </c>
      <c r="K645" s="328">
        <v>0</v>
      </c>
      <c r="L645" s="328">
        <v>0</v>
      </c>
      <c r="M645" s="328">
        <v>0</v>
      </c>
      <c r="N645" s="328">
        <v>0</v>
      </c>
      <c r="O645" s="328">
        <v>0</v>
      </c>
      <c r="P645" s="284"/>
      <c r="Q645" s="284">
        <f t="shared" si="26"/>
        <v>0</v>
      </c>
      <c r="R645" s="3" t="str">
        <f>_xlfn.IFNA(VLOOKUP(Tabella1[[#This Row],[Nome]],'ROSE SQUADRE'!$N$3:$O$260,2,0),"")</f>
        <v/>
      </c>
      <c r="S645" s="193">
        <f>SUM(Tabella1[[#This Row],[Gf]],Tabella1[[#This Row],[Rf]])</f>
        <v>1</v>
      </c>
      <c r="T645" s="193"/>
      <c r="U645" s="285" t="str">
        <f>IF(Tabella1[[#This Row],[N° FantaTit]]="","",Tabella1[[#This Row],[fanta voto]])</f>
        <v/>
      </c>
      <c r="V645" s="193">
        <f>SUM(Tabella1[[#This Row],[Voto]],(G645*3),Q645,P645,O645,-(N645),(-M645/2),(-L645*2),(-H645),(I645*3),(-J645*3),(K645*3))</f>
        <v>10</v>
      </c>
      <c r="W645" s="193"/>
      <c r="X645" s="193" t="str">
        <f>IF(Tabella1[[#This Row],[Best 11]]=1,Tabella1[[#This Row],[fanta voto]],"")</f>
        <v/>
      </c>
      <c r="Z645" s="193" t="str">
        <f>IF(Tabella1[[#This Row],[Best 11 MOD]]=1,Tabella1[[#This Row],[fanta voto]],"")</f>
        <v/>
      </c>
      <c r="AA645" t="str">
        <f>CONCATENATE(Tabella1[[#This Row],[GG]],Tabella1[[#This Row],[Nome]])</f>
        <v>3Sagrado</v>
      </c>
      <c r="AB645" t="str">
        <f t="shared" si="27"/>
        <v>3</v>
      </c>
      <c r="AC645" t="str">
        <f>_xlfn.CONCAT(Tabella1[[#This Row],[Ruolo]],Tabella1[[#This Row],[Gs]])</f>
        <v>D0</v>
      </c>
    </row>
    <row r="646" spans="1:29" hidden="1" x14ac:dyDescent="0.3">
      <c r="A646" s="14">
        <v>46270</v>
      </c>
      <c r="B646" s="15">
        <v>3</v>
      </c>
      <c r="C646" s="321" t="str">
        <f>_xlfn.XLOOKUP(Tabella1[[#This Row],[Nome]],Tabella4[NOME],Tabella4[SQUADRA],"")</f>
        <v>Sassuolo</v>
      </c>
      <c r="D646" s="330" t="s">
        <v>161</v>
      </c>
      <c r="E646" s="330" t="s">
        <v>996</v>
      </c>
      <c r="F646" s="331">
        <v>6.5</v>
      </c>
      <c r="G646" s="332">
        <v>0</v>
      </c>
      <c r="H646" s="332">
        <v>0</v>
      </c>
      <c r="I646" s="332">
        <v>0</v>
      </c>
      <c r="J646" s="332">
        <v>0</v>
      </c>
      <c r="K646" s="332">
        <v>0</v>
      </c>
      <c r="L646" s="332">
        <v>0</v>
      </c>
      <c r="M646" s="332">
        <v>0</v>
      </c>
      <c r="N646" s="332">
        <v>0</v>
      </c>
      <c r="O646" s="332">
        <v>0</v>
      </c>
      <c r="P646" s="284"/>
      <c r="Q646" s="284">
        <f t="shared" si="26"/>
        <v>0</v>
      </c>
      <c r="R646" s="3" t="str">
        <f>_xlfn.IFNA(VLOOKUP(Tabella1[[#This Row],[Nome]],'ROSE SQUADRE'!$N$3:$O$260,2,0),"")</f>
        <v>SAN GRIA</v>
      </c>
      <c r="S646" s="193">
        <f>SUM(Tabella1[[#This Row],[Gf]],Tabella1[[#This Row],[Rf]])</f>
        <v>0</v>
      </c>
      <c r="T646" s="193"/>
      <c r="U646" s="285" t="str">
        <f>IF(Tabella1[[#This Row],[N° FantaTit]]="","",Tabella1[[#This Row],[fanta voto]])</f>
        <v/>
      </c>
      <c r="V646" s="193">
        <f>SUM(Tabella1[[#This Row],[Voto]],(G646*3),Q646,P646,O646,-(N646),(-M646/2),(-L646*2),(-H646),(I646*3),(-J646*3),(K646*3))</f>
        <v>6.5</v>
      </c>
      <c r="W646" s="193">
        <v>1</v>
      </c>
      <c r="X646" s="193">
        <f>IF(Tabella1[[#This Row],[Best 11]]=1,Tabella1[[#This Row],[fanta voto]],"")</f>
        <v>6.5</v>
      </c>
      <c r="Y646">
        <v>1</v>
      </c>
      <c r="Z646" s="193">
        <f>IF(Tabella1[[#This Row],[Best 11 MOD]]=1,Tabella1[[#This Row],[fanta voto]],"")</f>
        <v>6.5</v>
      </c>
      <c r="AA646" t="str">
        <f>CONCATENATE(Tabella1[[#This Row],[GG]],Tabella1[[#This Row],[Nome]])</f>
        <v>3Leysen F.</v>
      </c>
      <c r="AB646" t="str">
        <f t="shared" si="27"/>
        <v>3SAN GRIA</v>
      </c>
      <c r="AC646" t="str">
        <f>_xlfn.CONCAT(Tabella1[[#This Row],[Ruolo]],Tabella1[[#This Row],[Gs]])</f>
        <v>D0</v>
      </c>
    </row>
    <row r="647" spans="1:29" hidden="1" x14ac:dyDescent="0.3">
      <c r="A647" s="14">
        <v>46270</v>
      </c>
      <c r="B647" s="15">
        <v>3</v>
      </c>
      <c r="C647" s="321" t="str">
        <f>_xlfn.XLOOKUP(Tabella1[[#This Row],[Nome]],Tabella4[NOME],Tabella4[SQUADRA],"")</f>
        <v>Genoa</v>
      </c>
      <c r="D647" s="330" t="s">
        <v>161</v>
      </c>
      <c r="E647" s="330" t="s">
        <v>444</v>
      </c>
      <c r="F647" s="331">
        <v>5</v>
      </c>
      <c r="G647" s="332">
        <v>0</v>
      </c>
      <c r="H647" s="332">
        <v>0</v>
      </c>
      <c r="I647" s="332">
        <v>0</v>
      </c>
      <c r="J647" s="332">
        <v>0</v>
      </c>
      <c r="K647" s="332">
        <v>0</v>
      </c>
      <c r="L647" s="332">
        <v>0</v>
      </c>
      <c r="M647" s="332">
        <v>0</v>
      </c>
      <c r="N647" s="332">
        <v>0</v>
      </c>
      <c r="O647" s="332">
        <v>0</v>
      </c>
      <c r="P647" s="284"/>
      <c r="Q647" s="284">
        <f t="shared" si="26"/>
        <v>0</v>
      </c>
      <c r="R647" s="3" t="str">
        <f>_xlfn.IFNA(VLOOKUP(Tabella1[[#This Row],[Nome]],'ROSE SQUADRE'!$N$3:$O$260,2,0),"")</f>
        <v/>
      </c>
      <c r="S647" s="193">
        <f>SUM(Tabella1[[#This Row],[Gf]],Tabella1[[#This Row],[Rf]])</f>
        <v>0</v>
      </c>
      <c r="T647" s="193"/>
      <c r="U647" s="285" t="str">
        <f>IF(Tabella1[[#This Row],[N° FantaTit]]="","",Tabella1[[#This Row],[fanta voto]])</f>
        <v/>
      </c>
      <c r="V647" s="193">
        <f>SUM(Tabella1[[#This Row],[Voto]],(G647*3),Q647,P647,O647,-(N647),(-M647/2),(-L647*2),(-H647),(I647*3),(-J647*3),(K647*3))</f>
        <v>5</v>
      </c>
      <c r="W647" s="193"/>
      <c r="X647" s="193" t="str">
        <f>IF(Tabella1[[#This Row],[Best 11]]=1,Tabella1[[#This Row],[fanta voto]],"")</f>
        <v/>
      </c>
      <c r="Z647" s="193" t="str">
        <f>IF(Tabella1[[#This Row],[Best 11 MOD]]=1,Tabella1[[#This Row],[fanta voto]],"")</f>
        <v/>
      </c>
      <c r="AA647" t="str">
        <f>CONCATENATE(Tabella1[[#This Row],[GG]],Tabella1[[#This Row],[Nome]])</f>
        <v>3Sabelli</v>
      </c>
      <c r="AB647" t="str">
        <f t="shared" si="27"/>
        <v>3</v>
      </c>
      <c r="AC647" t="str">
        <f>_xlfn.CONCAT(Tabella1[[#This Row],[Ruolo]],Tabella1[[#This Row],[Gs]])</f>
        <v>D0</v>
      </c>
    </row>
    <row r="648" spans="1:29" hidden="1" x14ac:dyDescent="0.3">
      <c r="A648" s="14">
        <v>46270</v>
      </c>
      <c r="B648" s="15">
        <v>3</v>
      </c>
      <c r="C648" s="321" t="str">
        <f>_xlfn.XLOOKUP(Tabella1[[#This Row],[Nome]],Tabella4[NOME],Tabella4[SQUADRA],"")</f>
        <v>Venezia</v>
      </c>
      <c r="D648" s="330" t="s">
        <v>163</v>
      </c>
      <c r="E648" s="330" t="s">
        <v>987</v>
      </c>
      <c r="F648" s="331">
        <v>5.5</v>
      </c>
      <c r="G648" s="332">
        <v>0</v>
      </c>
      <c r="H648" s="332">
        <v>0</v>
      </c>
      <c r="I648" s="332">
        <v>0</v>
      </c>
      <c r="J648" s="332">
        <v>0</v>
      </c>
      <c r="K648" s="332">
        <v>0</v>
      </c>
      <c r="L648" s="332">
        <v>0</v>
      </c>
      <c r="M648" s="332">
        <v>0</v>
      </c>
      <c r="N648" s="332">
        <v>0</v>
      </c>
      <c r="O648" s="332">
        <v>0</v>
      </c>
      <c r="P648" s="284"/>
      <c r="Q648" s="284">
        <f t="shared" si="26"/>
        <v>0</v>
      </c>
      <c r="R648" s="3" t="str">
        <f>_xlfn.IFNA(VLOOKUP(Tabella1[[#This Row],[Nome]],'ROSE SQUADRE'!$N$3:$O$260,2,0),"")</f>
        <v/>
      </c>
      <c r="S648" s="193">
        <f>SUM(Tabella1[[#This Row],[Gf]],Tabella1[[#This Row],[Rf]])</f>
        <v>0</v>
      </c>
      <c r="T648" s="193"/>
      <c r="U648" s="285" t="str">
        <f>IF(Tabella1[[#This Row],[N° FantaTit]]="","",Tabella1[[#This Row],[fanta voto]])</f>
        <v/>
      </c>
      <c r="V648" s="193">
        <f>SUM(Tabella1[[#This Row],[Voto]],(G648*3),Q648,P648,O648,-(N648),(-M648/2),(-L648*2),(-H648),(I648*3),(-J648*3),(K648*3))</f>
        <v>5.5</v>
      </c>
      <c r="W648" s="193"/>
      <c r="X648" s="193" t="str">
        <f>IF(Tabella1[[#This Row],[Best 11]]=1,Tabella1[[#This Row],[fanta voto]],"")</f>
        <v/>
      </c>
      <c r="Z648" s="193" t="str">
        <f>IF(Tabella1[[#This Row],[Best 11 MOD]]=1,Tabella1[[#This Row],[fanta voto]],"")</f>
        <v/>
      </c>
      <c r="AA648" t="str">
        <f>CONCATENATE(Tabella1[[#This Row],[GG]],Tabella1[[#This Row],[Nome]])</f>
        <v>3Rrahmani Al.</v>
      </c>
      <c r="AB648" t="str">
        <f t="shared" si="27"/>
        <v>3</v>
      </c>
      <c r="AC648" t="str">
        <f>_xlfn.CONCAT(Tabella1[[#This Row],[Ruolo]],Tabella1[[#This Row],[Gs]])</f>
        <v>A0</v>
      </c>
    </row>
    <row r="649" spans="1:29" hidden="1" x14ac:dyDescent="0.3">
      <c r="A649" s="14">
        <v>46270</v>
      </c>
      <c r="B649" s="15">
        <v>3</v>
      </c>
      <c r="C649" s="321" t="str">
        <f>_xlfn.XLOOKUP(Tabella1[[#This Row],[Nome]],Tabella4[NOME],Tabella4[SQUADRA],"")</f>
        <v>Genoa</v>
      </c>
      <c r="D649" s="330" t="s">
        <v>161</v>
      </c>
      <c r="E649" s="330" t="s">
        <v>756</v>
      </c>
      <c r="F649" s="331">
        <v>4.5</v>
      </c>
      <c r="G649" s="332">
        <v>0</v>
      </c>
      <c r="H649" s="332">
        <v>0</v>
      </c>
      <c r="I649" s="332">
        <v>0</v>
      </c>
      <c r="J649" s="332">
        <v>0</v>
      </c>
      <c r="K649" s="332">
        <v>0</v>
      </c>
      <c r="L649" s="332">
        <v>0</v>
      </c>
      <c r="M649" s="333">
        <v>1</v>
      </c>
      <c r="N649" s="332">
        <v>0</v>
      </c>
      <c r="O649" s="332">
        <v>0</v>
      </c>
      <c r="P649" s="284"/>
      <c r="Q649" s="284">
        <f t="shared" si="26"/>
        <v>0</v>
      </c>
      <c r="R649" s="3" t="str">
        <f>_xlfn.IFNA(VLOOKUP(Tabella1[[#This Row],[Nome]],'ROSE SQUADRE'!$N$3:$O$260,2,0),"")</f>
        <v>SHARK</v>
      </c>
      <c r="S649" s="193">
        <f>SUM(Tabella1[[#This Row],[Gf]],Tabella1[[#This Row],[Rf]])</f>
        <v>0</v>
      </c>
      <c r="T649" s="193">
        <v>1</v>
      </c>
      <c r="U649" s="285">
        <f>IF(Tabella1[[#This Row],[N° FantaTit]]="","",Tabella1[[#This Row],[fanta voto]])</f>
        <v>4</v>
      </c>
      <c r="V649" s="193">
        <f>SUM(Tabella1[[#This Row],[Voto]],(G649*3),Q649,P649,O649,-(N649),(-M649/2),(-L649*2),(-H649),(I649*3),(-J649*3),(K649*3))</f>
        <v>4</v>
      </c>
      <c r="W649" s="193"/>
      <c r="X649" s="193" t="str">
        <f>IF(Tabella1[[#This Row],[Best 11]]=1,Tabella1[[#This Row],[fanta voto]],"")</f>
        <v/>
      </c>
      <c r="Z649" s="193" t="str">
        <f>IF(Tabella1[[#This Row],[Best 11 MOD]]=1,Tabella1[[#This Row],[fanta voto]],"")</f>
        <v/>
      </c>
      <c r="AA649" t="str">
        <f>CONCATENATE(Tabella1[[#This Row],[GG]],Tabella1[[#This Row],[Nome]])</f>
        <v>3Ostigard</v>
      </c>
      <c r="AB649" t="str">
        <f t="shared" si="27"/>
        <v>3SHARK1</v>
      </c>
      <c r="AC649" t="str">
        <f>_xlfn.CONCAT(Tabella1[[#This Row],[Ruolo]],Tabella1[[#This Row],[Gs]])</f>
        <v>D0</v>
      </c>
    </row>
    <row r="650" spans="1:29" hidden="1" x14ac:dyDescent="0.3">
      <c r="A650" s="14">
        <v>46270</v>
      </c>
      <c r="B650" s="15">
        <v>3</v>
      </c>
      <c r="C650" s="321" t="str">
        <f>_xlfn.XLOOKUP(Tabella1[[#This Row],[Nome]],Tabella4[NOME],Tabella4[SQUADRA],"")</f>
        <v>Parma</v>
      </c>
      <c r="D650" s="330" t="s">
        <v>163</v>
      </c>
      <c r="E650" s="330" t="s">
        <v>891</v>
      </c>
      <c r="F650" s="331">
        <v>5.5</v>
      </c>
      <c r="G650" s="332">
        <v>0</v>
      </c>
      <c r="H650" s="332">
        <v>0</v>
      </c>
      <c r="I650" s="332">
        <v>0</v>
      </c>
      <c r="J650" s="332">
        <v>0</v>
      </c>
      <c r="K650" s="332">
        <v>0</v>
      </c>
      <c r="L650" s="332">
        <v>0</v>
      </c>
      <c r="M650" s="332">
        <v>0</v>
      </c>
      <c r="N650" s="332">
        <v>0</v>
      </c>
      <c r="O650" s="332">
        <v>0</v>
      </c>
      <c r="P650" s="284"/>
      <c r="Q650" s="284">
        <f t="shared" si="26"/>
        <v>0</v>
      </c>
      <c r="R650" s="3" t="str">
        <f>_xlfn.IFNA(VLOOKUP(Tabella1[[#This Row],[Nome]],'ROSE SQUADRE'!$N$3:$O$260,2,0),"")</f>
        <v>AC ASPARAGHESE</v>
      </c>
      <c r="S650" s="193">
        <f>SUM(Tabella1[[#This Row],[Gf]],Tabella1[[#This Row],[Rf]])</f>
        <v>0</v>
      </c>
      <c r="T650" s="193">
        <v>1</v>
      </c>
      <c r="U650" s="285">
        <f>IF(Tabella1[[#This Row],[N° FantaTit]]="","",Tabella1[[#This Row],[fanta voto]])</f>
        <v>5.5</v>
      </c>
      <c r="V650" s="193">
        <f>SUM(Tabella1[[#This Row],[Voto]],(G650*3),Q650,P650,O650,-(N650),(-M650/2),(-L650*2),(-H650),(I650*3),(-J650*3),(K650*3))</f>
        <v>5.5</v>
      </c>
      <c r="W650" s="193"/>
      <c r="X650" s="193" t="str">
        <f>IF(Tabella1[[#This Row],[Best 11]]=1,Tabella1[[#This Row],[fanta voto]],"")</f>
        <v/>
      </c>
      <c r="Z650" s="193" t="str">
        <f>IF(Tabella1[[#This Row],[Best 11 MOD]]=1,Tabella1[[#This Row],[fanta voto]],"")</f>
        <v/>
      </c>
      <c r="AA650" t="str">
        <f>CONCATENATE(Tabella1[[#This Row],[GG]],Tabella1[[#This Row],[Nome]])</f>
        <v>3Romero D.</v>
      </c>
      <c r="AB650" t="str">
        <f t="shared" si="27"/>
        <v>3AC ASPARAGHESE1</v>
      </c>
      <c r="AC650" t="str">
        <f>_xlfn.CONCAT(Tabella1[[#This Row],[Ruolo]],Tabella1[[#This Row],[Gs]])</f>
        <v>A0</v>
      </c>
    </row>
    <row r="651" spans="1:29" hidden="1" x14ac:dyDescent="0.3">
      <c r="A651" s="14">
        <v>46270</v>
      </c>
      <c r="B651" s="15">
        <v>3</v>
      </c>
      <c r="C651" s="321" t="str">
        <f>_xlfn.XLOOKUP(Tabella1[[#This Row],[Nome]],Tabella4[NOME],Tabella4[SQUADRA],"")</f>
        <v>Fiorentina</v>
      </c>
      <c r="D651" s="330" t="s">
        <v>161</v>
      </c>
      <c r="E651" s="330" t="s">
        <v>712</v>
      </c>
      <c r="F651" s="331">
        <v>5</v>
      </c>
      <c r="G651" s="332">
        <v>0</v>
      </c>
      <c r="H651" s="332">
        <v>0</v>
      </c>
      <c r="I651" s="332">
        <v>0</v>
      </c>
      <c r="J651" s="332">
        <v>0</v>
      </c>
      <c r="K651" s="332">
        <v>0</v>
      </c>
      <c r="L651" s="332">
        <v>0</v>
      </c>
      <c r="M651" s="332">
        <v>0</v>
      </c>
      <c r="N651" s="332">
        <v>0</v>
      </c>
      <c r="O651" s="332">
        <v>0</v>
      </c>
      <c r="P651" s="284"/>
      <c r="Q651" s="284">
        <f t="shared" si="26"/>
        <v>0</v>
      </c>
      <c r="R651" s="3" t="str">
        <f>_xlfn.IFNA(VLOOKUP(Tabella1[[#This Row],[Nome]],'ROSE SQUADRE'!$N$3:$O$260,2,0),"")</f>
        <v>PARTIZAN DEGRADO</v>
      </c>
      <c r="S651" s="193">
        <f>SUM(Tabella1[[#This Row],[Gf]],Tabella1[[#This Row],[Rf]])</f>
        <v>0</v>
      </c>
      <c r="T651" s="193">
        <v>1</v>
      </c>
      <c r="U651" s="285">
        <f>IF(Tabella1[[#This Row],[N° FantaTit]]="","",Tabella1[[#This Row],[fanta voto]])</f>
        <v>5</v>
      </c>
      <c r="V651" s="193">
        <f>SUM(Tabella1[[#This Row],[Voto]],(G651*3),Q651,P651,O651,-(N651),(-M651/2),(-L651*2),(-H651),(I651*3),(-J651*3),(K651*3))</f>
        <v>5</v>
      </c>
      <c r="W651" s="193"/>
      <c r="X651" s="193" t="str">
        <f>IF(Tabella1[[#This Row],[Best 11]]=1,Tabella1[[#This Row],[fanta voto]],"")</f>
        <v/>
      </c>
      <c r="Z651" s="193" t="str">
        <f>IF(Tabella1[[#This Row],[Best 11 MOD]]=1,Tabella1[[#This Row],[fanta voto]],"")</f>
        <v/>
      </c>
      <c r="AA651" t="str">
        <f>CONCATENATE(Tabella1[[#This Row],[GG]],Tabella1[[#This Row],[Nome]])</f>
        <v>3Valdepenas</v>
      </c>
      <c r="AB651" t="str">
        <f t="shared" si="27"/>
        <v>3PARTIZAN DEGRADO1</v>
      </c>
      <c r="AC651" t="str">
        <f>_xlfn.CONCAT(Tabella1[[#This Row],[Ruolo]],Tabella1[[#This Row],[Gs]])</f>
        <v>D0</v>
      </c>
    </row>
    <row r="652" spans="1:29" hidden="1" x14ac:dyDescent="0.3">
      <c r="A652" s="14">
        <v>46270</v>
      </c>
      <c r="B652" s="15">
        <v>3</v>
      </c>
      <c r="C652" s="321" t="str">
        <f>_xlfn.XLOOKUP(Tabella1[[#This Row],[Nome]],Tabella4[NOME],Tabella4[SQUADRA],"")</f>
        <v>Cagliari</v>
      </c>
      <c r="D652" t="s">
        <v>161</v>
      </c>
      <c r="E652" t="s">
        <v>669</v>
      </c>
      <c r="F652" s="194">
        <v>6</v>
      </c>
      <c r="G652" s="328">
        <v>0</v>
      </c>
      <c r="H652" s="328">
        <v>0</v>
      </c>
      <c r="I652" s="328">
        <v>0</v>
      </c>
      <c r="J652" s="328">
        <v>0</v>
      </c>
      <c r="K652" s="328">
        <v>0</v>
      </c>
      <c r="L652" s="328">
        <v>0</v>
      </c>
      <c r="M652" s="328">
        <v>0</v>
      </c>
      <c r="N652" s="328">
        <v>0</v>
      </c>
      <c r="O652" s="328">
        <v>0</v>
      </c>
      <c r="P652" s="284"/>
      <c r="Q652" s="284">
        <f t="shared" si="26"/>
        <v>0</v>
      </c>
      <c r="R652" s="3" t="str">
        <f>_xlfn.IFNA(VLOOKUP(Tabella1[[#This Row],[Nome]],'ROSE SQUADRE'!$N$3:$O$260,2,0),"")</f>
        <v/>
      </c>
      <c r="S652" s="193">
        <f>SUM(Tabella1[[#This Row],[Gf]],Tabella1[[#This Row],[Rf]])</f>
        <v>0</v>
      </c>
      <c r="T652" s="193"/>
      <c r="U652" s="285" t="str">
        <f>IF(Tabella1[[#This Row],[N° FantaTit]]="","",Tabella1[[#This Row],[fanta voto]])</f>
        <v/>
      </c>
      <c r="V652" s="193">
        <f>SUM(Tabella1[[#This Row],[Voto]],(G652*3),Q652,P652,O652,-(N652),(-M652/2),(-L652*2),(-H652),(I652*3),(-J652*3),(K652*3))</f>
        <v>6</v>
      </c>
      <c r="W652" s="193"/>
      <c r="X652" s="193" t="str">
        <f>IF(Tabella1[[#This Row],[Best 11]]=1,Tabella1[[#This Row],[fanta voto]],"")</f>
        <v/>
      </c>
      <c r="Z652" s="193" t="str">
        <f>IF(Tabella1[[#This Row],[Best 11 MOD]]=1,Tabella1[[#This Row],[fanta voto]],"")</f>
        <v/>
      </c>
      <c r="AA652" t="str">
        <f>CONCATENATE(Tabella1[[#This Row],[GG]],Tabella1[[#This Row],[Nome]])</f>
        <v>3Rodriguez Ju.</v>
      </c>
      <c r="AB652" t="str">
        <f t="shared" si="27"/>
        <v>3</v>
      </c>
      <c r="AC652" t="str">
        <f>_xlfn.CONCAT(Tabella1[[#This Row],[Ruolo]],Tabella1[[#This Row],[Gs]])</f>
        <v>D0</v>
      </c>
    </row>
    <row r="653" spans="1:29" hidden="1" x14ac:dyDescent="0.3">
      <c r="A653" s="14">
        <v>46270</v>
      </c>
      <c r="B653" s="15">
        <v>3</v>
      </c>
      <c r="C653" s="321" t="str">
        <f>_xlfn.XLOOKUP(Tabella1[[#This Row],[Nome]],Tabella4[NOME],Tabella4[SQUADRA],"")</f>
        <v>Monza</v>
      </c>
      <c r="D653" t="s">
        <v>163</v>
      </c>
      <c r="E653" t="s">
        <v>857</v>
      </c>
      <c r="F653" s="194">
        <v>7</v>
      </c>
      <c r="G653" s="329">
        <v>1</v>
      </c>
      <c r="H653" s="328">
        <v>0</v>
      </c>
      <c r="I653" s="328">
        <v>0</v>
      </c>
      <c r="J653" s="328">
        <v>0</v>
      </c>
      <c r="K653" s="328">
        <v>0</v>
      </c>
      <c r="L653" s="328">
        <v>0</v>
      </c>
      <c r="M653" s="328">
        <v>0</v>
      </c>
      <c r="N653" s="328">
        <v>0</v>
      </c>
      <c r="O653" s="328">
        <v>0</v>
      </c>
      <c r="P653" s="284"/>
      <c r="Q653" s="284">
        <f t="shared" si="26"/>
        <v>0</v>
      </c>
      <c r="R653" s="3" t="str">
        <f>_xlfn.IFNA(VLOOKUP(Tabella1[[#This Row],[Nome]],'ROSE SQUADRE'!$N$3:$O$260,2,0),"")</f>
        <v/>
      </c>
      <c r="S653" s="193">
        <f>SUM(Tabella1[[#This Row],[Gf]],Tabella1[[#This Row],[Rf]])</f>
        <v>1</v>
      </c>
      <c r="T653" s="193"/>
      <c r="U653" s="285" t="str">
        <f>IF(Tabella1[[#This Row],[N° FantaTit]]="","",Tabella1[[#This Row],[fanta voto]])</f>
        <v/>
      </c>
      <c r="V653" s="193">
        <f>SUM(Tabella1[[#This Row],[Voto]],(G653*3),Q653,P653,O653,-(N653),(-M653/2),(-L653*2),(-H653),(I653*3),(-J653*3),(K653*3))</f>
        <v>10</v>
      </c>
      <c r="W653" s="193"/>
      <c r="X653" s="193" t="str">
        <f>IF(Tabella1[[#This Row],[Best 11]]=1,Tabella1[[#This Row],[fanta voto]],"")</f>
        <v/>
      </c>
      <c r="Z653" s="193" t="str">
        <f>IF(Tabella1[[#This Row],[Best 11 MOD]]=1,Tabella1[[#This Row],[fanta voto]],"")</f>
        <v/>
      </c>
      <c r="AA653" t="str">
        <f>CONCATENATE(Tabella1[[#This Row],[GG]],Tabella1[[#This Row],[Nome]])</f>
        <v>3Robinson J.</v>
      </c>
      <c r="AB653" t="str">
        <f t="shared" si="27"/>
        <v>3</v>
      </c>
      <c r="AC653" t="str">
        <f>_xlfn.CONCAT(Tabella1[[#This Row],[Ruolo]],Tabella1[[#This Row],[Gs]])</f>
        <v>A0</v>
      </c>
    </row>
    <row r="654" spans="1:29" hidden="1" x14ac:dyDescent="0.3">
      <c r="A654" s="14">
        <v>46270</v>
      </c>
      <c r="B654" s="15">
        <v>3</v>
      </c>
      <c r="C654" s="321" t="str">
        <f>_xlfn.XLOOKUP(Tabella1[[#This Row],[Nome]],Tabella4[NOME],Tabella4[SQUADRA],"")</f>
        <v>Milan</v>
      </c>
      <c r="D654" s="330" t="s">
        <v>163</v>
      </c>
      <c r="E654" s="330" t="s">
        <v>841</v>
      </c>
      <c r="F654" s="331">
        <v>5</v>
      </c>
      <c r="G654" s="332">
        <v>0</v>
      </c>
      <c r="H654" s="332">
        <v>0</v>
      </c>
      <c r="I654" s="332">
        <v>0</v>
      </c>
      <c r="J654" s="332">
        <v>0</v>
      </c>
      <c r="K654" s="332">
        <v>0</v>
      </c>
      <c r="L654" s="332">
        <v>0</v>
      </c>
      <c r="M654" s="332">
        <v>0</v>
      </c>
      <c r="N654" s="332">
        <v>0</v>
      </c>
      <c r="O654" s="332">
        <v>0</v>
      </c>
      <c r="P654" s="284"/>
      <c r="Q654" s="284">
        <f t="shared" si="26"/>
        <v>0</v>
      </c>
      <c r="R654" s="3" t="str">
        <f>_xlfn.IFNA(VLOOKUP(Tabella1[[#This Row],[Nome]],'ROSE SQUADRE'!$N$3:$O$260,2,0),"")</f>
        <v>AS PIPPERIA</v>
      </c>
      <c r="S654" s="193">
        <f>SUM(Tabella1[[#This Row],[Gf]],Tabella1[[#This Row],[Rf]])</f>
        <v>0</v>
      </c>
      <c r="T654" s="193">
        <v>1</v>
      </c>
      <c r="U654" s="285">
        <f>IF(Tabella1[[#This Row],[N° FantaTit]]="","",Tabella1[[#This Row],[fanta voto]])</f>
        <v>5</v>
      </c>
      <c r="V654" s="193">
        <f>SUM(Tabella1[[#This Row],[Voto]],(G654*3),Q654,P654,O654,-(N654),(-M654/2),(-L654*2),(-H654),(I654*3),(-J654*3),(K654*3))</f>
        <v>5</v>
      </c>
      <c r="W654" s="193"/>
      <c r="X654" s="193" t="str">
        <f>IF(Tabella1[[#This Row],[Best 11]]=1,Tabella1[[#This Row],[fanta voto]],"")</f>
        <v/>
      </c>
      <c r="Z654" s="193" t="str">
        <f>IF(Tabella1[[#This Row],[Best 11 MOD]]=1,Tabella1[[#This Row],[fanta voto]],"")</f>
        <v/>
      </c>
      <c r="AA654" t="str">
        <f>CONCATENATE(Tabella1[[#This Row],[GG]],Tabella1[[#This Row],[Nome]])</f>
        <v>3Ramos G.</v>
      </c>
      <c r="AB654" t="str">
        <f t="shared" si="27"/>
        <v>3AS PIPPERIA1</v>
      </c>
      <c r="AC654" t="str">
        <f>_xlfn.CONCAT(Tabella1[[#This Row],[Ruolo]],Tabella1[[#This Row],[Gs]])</f>
        <v>A0</v>
      </c>
    </row>
    <row r="655" spans="1:29" hidden="1" x14ac:dyDescent="0.3">
      <c r="A655" s="14">
        <v>46270</v>
      </c>
      <c r="B655" s="15">
        <v>3</v>
      </c>
      <c r="C655" s="321" t="str">
        <f>_xlfn.XLOOKUP(Tabella1[[#This Row],[Nome]],Tabella4[NOME],Tabella4[SQUADRA],"")</f>
        <v>Lecce</v>
      </c>
      <c r="D655" t="s">
        <v>161</v>
      </c>
      <c r="E655" t="s">
        <v>815</v>
      </c>
      <c r="F655" s="194">
        <v>5</v>
      </c>
      <c r="G655" s="328">
        <v>0</v>
      </c>
      <c r="H655" s="328">
        <v>0</v>
      </c>
      <c r="I655" s="328">
        <v>0</v>
      </c>
      <c r="J655" s="328">
        <v>0</v>
      </c>
      <c r="K655" s="328">
        <v>0</v>
      </c>
      <c r="L655" s="328">
        <v>0</v>
      </c>
      <c r="M655" s="328">
        <v>0</v>
      </c>
      <c r="N655" s="328">
        <v>0</v>
      </c>
      <c r="O655" s="328">
        <v>0</v>
      </c>
      <c r="P655" s="284"/>
      <c r="Q655" s="284">
        <f t="shared" si="26"/>
        <v>0</v>
      </c>
      <c r="R655" s="3" t="str">
        <f>_xlfn.IFNA(VLOOKUP(Tabella1[[#This Row],[Nome]],'ROSE SQUADRE'!$N$3:$O$260,2,0),"")</f>
        <v>PARTIZAN DEGRADO</v>
      </c>
      <c r="S655" s="193">
        <f>SUM(Tabella1[[#This Row],[Gf]],Tabella1[[#This Row],[Rf]])</f>
        <v>0</v>
      </c>
      <c r="T655" s="193"/>
      <c r="U655" s="285" t="str">
        <f>IF(Tabella1[[#This Row],[N° FantaTit]]="","",Tabella1[[#This Row],[fanta voto]])</f>
        <v/>
      </c>
      <c r="V655" s="193">
        <f>SUM(Tabella1[[#This Row],[Voto]],(G655*3),Q655,P655,O655,-(N655),(-M655/2),(-L655*2),(-H655),(I655*3),(-J655*3),(K655*3))</f>
        <v>5</v>
      </c>
      <c r="W655" s="193"/>
      <c r="X655" s="193" t="str">
        <f>IF(Tabella1[[#This Row],[Best 11]]=1,Tabella1[[#This Row],[fanta voto]],"")</f>
        <v/>
      </c>
      <c r="Z655" s="193" t="str">
        <f>IF(Tabella1[[#This Row],[Best 11 MOD]]=1,Tabella1[[#This Row],[fanta voto]],"")</f>
        <v/>
      </c>
      <c r="AA655" t="str">
        <f>CONCATENATE(Tabella1[[#This Row],[GG]],Tabella1[[#This Row],[Nome]])</f>
        <v>3Tiago Gabriel</v>
      </c>
      <c r="AB655" t="str">
        <f t="shared" si="27"/>
        <v>3PARTIZAN DEGRADO</v>
      </c>
      <c r="AC655" t="str">
        <f>_xlfn.CONCAT(Tabella1[[#This Row],[Ruolo]],Tabella1[[#This Row],[Gs]])</f>
        <v>D0</v>
      </c>
    </row>
    <row r="656" spans="1:29" hidden="1" x14ac:dyDescent="0.3">
      <c r="A656" s="14">
        <v>46270</v>
      </c>
      <c r="B656" s="15">
        <v>3</v>
      </c>
      <c r="C656" s="321" t="str">
        <f>_xlfn.XLOOKUP(Tabella1[[#This Row],[Nome]],Tabella4[NOME],Tabella4[SQUADRA],"")</f>
        <v>Atalanta</v>
      </c>
      <c r="D656" t="s">
        <v>161</v>
      </c>
      <c r="E656" t="s">
        <v>636</v>
      </c>
      <c r="F656" s="194">
        <v>6.5</v>
      </c>
      <c r="G656" s="328">
        <v>0</v>
      </c>
      <c r="H656" s="328">
        <v>0</v>
      </c>
      <c r="I656" s="328">
        <v>0</v>
      </c>
      <c r="J656" s="328">
        <v>0</v>
      </c>
      <c r="K656" s="328">
        <v>0</v>
      </c>
      <c r="L656" s="328">
        <v>0</v>
      </c>
      <c r="M656" s="328">
        <v>0</v>
      </c>
      <c r="N656" s="328">
        <v>0</v>
      </c>
      <c r="O656" s="328">
        <v>0</v>
      </c>
      <c r="P656" s="284"/>
      <c r="Q656" s="284">
        <f t="shared" si="26"/>
        <v>0</v>
      </c>
      <c r="R656" s="3" t="str">
        <f>_xlfn.IFNA(VLOOKUP(Tabella1[[#This Row],[Nome]],'ROSE SQUADRE'!$N$3:$O$260,2,0),"")</f>
        <v>SESTO ASENSIO</v>
      </c>
      <c r="S656" s="193">
        <f>SUM(Tabella1[[#This Row],[Gf]],Tabella1[[#This Row],[Rf]])</f>
        <v>0</v>
      </c>
      <c r="T656" s="193"/>
      <c r="U656" s="285" t="str">
        <f>IF(Tabella1[[#This Row],[N° FantaTit]]="","",Tabella1[[#This Row],[fanta voto]])</f>
        <v/>
      </c>
      <c r="V656" s="193">
        <f>SUM(Tabella1[[#This Row],[Voto]],(G656*3),Q656,P656,O656,-(N656),(-M656/2),(-L656*2),(-H656),(I656*3),(-J656*3),(K656*3))</f>
        <v>6.5</v>
      </c>
      <c r="W656" s="193">
        <v>1</v>
      </c>
      <c r="X656" s="193">
        <f>IF(Tabella1[[#This Row],[Best 11]]=1,Tabella1[[#This Row],[fanta voto]],"")</f>
        <v>6.5</v>
      </c>
      <c r="Y656">
        <v>1</v>
      </c>
      <c r="Z656" s="193">
        <f>IF(Tabella1[[#This Row],[Best 11 MOD]]=1,Tabella1[[#This Row],[fanta voto]],"")</f>
        <v>6.5</v>
      </c>
      <c r="AA656" t="str">
        <f>CONCATENATE(Tabella1[[#This Row],[GG]],Tabella1[[#This Row],[Nome]])</f>
        <v>3Scalvini</v>
      </c>
      <c r="AB656" t="str">
        <f t="shared" si="27"/>
        <v>3SESTO ASENSIO</v>
      </c>
      <c r="AC656" t="str">
        <f>_xlfn.CONCAT(Tabella1[[#This Row],[Ruolo]],Tabella1[[#This Row],[Gs]])</f>
        <v>D0</v>
      </c>
    </row>
    <row r="657" spans="1:29" hidden="1" x14ac:dyDescent="0.3">
      <c r="A657" s="14">
        <v>46270</v>
      </c>
      <c r="B657" s="15">
        <v>3</v>
      </c>
      <c r="C657" s="321" t="str">
        <f>_xlfn.XLOOKUP(Tabella1[[#This Row],[Nome]],Tabella4[NOME],Tabella4[SQUADRA],"")</f>
        <v>Milan</v>
      </c>
      <c r="D657" s="330" t="s">
        <v>161</v>
      </c>
      <c r="E657" s="330" t="s">
        <v>832</v>
      </c>
      <c r="F657" s="331">
        <v>6.5</v>
      </c>
      <c r="G657" s="332">
        <v>0</v>
      </c>
      <c r="H657" s="332">
        <v>0</v>
      </c>
      <c r="I657" s="332">
        <v>0</v>
      </c>
      <c r="J657" s="332">
        <v>0</v>
      </c>
      <c r="K657" s="332">
        <v>0</v>
      </c>
      <c r="L657" s="332">
        <v>0</v>
      </c>
      <c r="M657" s="332">
        <v>0</v>
      </c>
      <c r="N657" s="332">
        <v>0</v>
      </c>
      <c r="O657" s="332">
        <v>0</v>
      </c>
      <c r="P657" s="284"/>
      <c r="Q657" s="284">
        <f t="shared" si="26"/>
        <v>0</v>
      </c>
      <c r="R657" s="3" t="str">
        <f>_xlfn.IFNA(VLOOKUP(Tabella1[[#This Row],[Nome]],'ROSE SQUADRE'!$N$3:$O$260,2,0),"")</f>
        <v>SAN GRIA</v>
      </c>
      <c r="S657" s="193">
        <f>SUM(Tabella1[[#This Row],[Gf]],Tabella1[[#This Row],[Rf]])</f>
        <v>0</v>
      </c>
      <c r="T657" s="193">
        <v>1</v>
      </c>
      <c r="U657" s="285">
        <f>IF(Tabella1[[#This Row],[N° FantaTit]]="","",Tabella1[[#This Row],[fanta voto]])</f>
        <v>6.5</v>
      </c>
      <c r="V657" s="193">
        <f>SUM(Tabella1[[#This Row],[Voto]],(G657*3),Q657,P657,O657,-(N657),(-M657/2),(-L657*2),(-H657),(I657*3),(-J657*3),(K657*3))</f>
        <v>6.5</v>
      </c>
      <c r="W657" s="193">
        <v>1</v>
      </c>
      <c r="X657" s="193">
        <f>IF(Tabella1[[#This Row],[Best 11]]=1,Tabella1[[#This Row],[fanta voto]],"")</f>
        <v>6.5</v>
      </c>
      <c r="Y657">
        <v>1</v>
      </c>
      <c r="Z657" s="193">
        <f>IF(Tabella1[[#This Row],[Best 11 MOD]]=1,Tabella1[[#This Row],[fanta voto]],"")</f>
        <v>6.5</v>
      </c>
      <c r="AA657" t="str">
        <f>CONCATENATE(Tabella1[[#This Row],[GG]],Tabella1[[#This Row],[Nome]])</f>
        <v>3Gila</v>
      </c>
      <c r="AB657" t="str">
        <f t="shared" si="27"/>
        <v>3SAN GRIA1</v>
      </c>
      <c r="AC657" t="str">
        <f>_xlfn.CONCAT(Tabella1[[#This Row],[Ruolo]],Tabella1[[#This Row],[Gs]])</f>
        <v>D0</v>
      </c>
    </row>
    <row r="658" spans="1:29" hidden="1" x14ac:dyDescent="0.3">
      <c r="A658" s="14">
        <v>46270</v>
      </c>
      <c r="B658" s="15">
        <v>3</v>
      </c>
      <c r="C658" s="321" t="str">
        <f>_xlfn.XLOOKUP(Tabella1[[#This Row],[Nome]],Tabella4[NOME],Tabella4[SQUADRA],"")</f>
        <v>Lazio</v>
      </c>
      <c r="D658" s="330" t="s">
        <v>161</v>
      </c>
      <c r="E658" s="330" t="s">
        <v>803</v>
      </c>
      <c r="F658" s="331">
        <v>5.5</v>
      </c>
      <c r="G658" s="332">
        <v>0</v>
      </c>
      <c r="H658" s="332">
        <v>0</v>
      </c>
      <c r="I658" s="332">
        <v>0</v>
      </c>
      <c r="J658" s="332">
        <v>0</v>
      </c>
      <c r="K658" s="332">
        <v>0</v>
      </c>
      <c r="L658" s="332">
        <v>0</v>
      </c>
      <c r="M658" s="332">
        <v>0</v>
      </c>
      <c r="N658" s="332">
        <v>0</v>
      </c>
      <c r="O658" s="332">
        <v>0</v>
      </c>
      <c r="P658" s="284"/>
      <c r="Q658" s="284">
        <f t="shared" si="26"/>
        <v>0</v>
      </c>
      <c r="R658" s="3" t="str">
        <f>_xlfn.IFNA(VLOOKUP(Tabella1[[#This Row],[Nome]],'ROSE SQUADRE'!$N$3:$O$260,2,0),"")</f>
        <v/>
      </c>
      <c r="S658" s="193">
        <f>SUM(Tabella1[[#This Row],[Gf]],Tabella1[[#This Row],[Rf]])</f>
        <v>0</v>
      </c>
      <c r="T658" s="193"/>
      <c r="U658" s="285" t="str">
        <f>IF(Tabella1[[#This Row],[N° FantaTit]]="","",Tabella1[[#This Row],[fanta voto]])</f>
        <v/>
      </c>
      <c r="V658" s="193">
        <f>SUM(Tabella1[[#This Row],[Voto]],(G658*3),Q658,P658,O658,-(N658),(-M658/2),(-L658*2),(-H658),(I658*3),(-J658*3),(K658*3))</f>
        <v>5.5</v>
      </c>
      <c r="W658" s="193"/>
      <c r="X658" s="193" t="str">
        <f>IF(Tabella1[[#This Row],[Best 11]]=1,Tabella1[[#This Row],[fanta voto]],"")</f>
        <v/>
      </c>
      <c r="Z658" s="193" t="str">
        <f>IF(Tabella1[[#This Row],[Best 11 MOD]]=1,Tabella1[[#This Row],[fanta voto]],"")</f>
        <v/>
      </c>
      <c r="AA658" t="str">
        <f>CONCATENATE(Tabella1[[#This Row],[GG]],Tabella1[[#This Row],[Nome]])</f>
        <v>3Provstgaard</v>
      </c>
      <c r="AB658" t="str">
        <f t="shared" si="27"/>
        <v>3</v>
      </c>
      <c r="AC658" t="str">
        <f>_xlfn.CONCAT(Tabella1[[#This Row],[Ruolo]],Tabella1[[#This Row],[Gs]])</f>
        <v>D0</v>
      </c>
    </row>
    <row r="659" spans="1:29" hidden="1" x14ac:dyDescent="0.3">
      <c r="A659" s="14">
        <v>46270</v>
      </c>
      <c r="B659" s="15">
        <v>3</v>
      </c>
      <c r="C659" s="321" t="str">
        <f>_xlfn.XLOOKUP(Tabella1[[#This Row],[Nome]],Tabella4[NOME],Tabella4[SQUADRA],"")</f>
        <v>Roma</v>
      </c>
      <c r="D659" s="330" t="s">
        <v>161</v>
      </c>
      <c r="E659" s="330" t="s">
        <v>900</v>
      </c>
      <c r="F659" s="331">
        <v>7</v>
      </c>
      <c r="G659" s="332">
        <v>0</v>
      </c>
      <c r="H659" s="332">
        <v>0</v>
      </c>
      <c r="I659" s="332">
        <v>0</v>
      </c>
      <c r="J659" s="332">
        <v>0</v>
      </c>
      <c r="K659" s="332">
        <v>0</v>
      </c>
      <c r="L659" s="332">
        <v>0</v>
      </c>
      <c r="M659" s="332">
        <v>0</v>
      </c>
      <c r="N659" s="332">
        <v>0</v>
      </c>
      <c r="O659" s="332">
        <v>0</v>
      </c>
      <c r="P659" s="284"/>
      <c r="Q659" s="284">
        <f t="shared" si="26"/>
        <v>0</v>
      </c>
      <c r="R659" s="3" t="str">
        <f>_xlfn.IFNA(VLOOKUP(Tabella1[[#This Row],[Nome]],'ROSE SQUADRE'!$N$3:$O$260,2,0),"")</f>
        <v>PESCICULINI</v>
      </c>
      <c r="S659" s="193">
        <f>SUM(Tabella1[[#This Row],[Gf]],Tabella1[[#This Row],[Rf]])</f>
        <v>0</v>
      </c>
      <c r="T659" s="193">
        <v>1</v>
      </c>
      <c r="U659" s="285">
        <f>IF(Tabella1[[#This Row],[N° FantaTit]]="","",Tabella1[[#This Row],[fanta voto]])</f>
        <v>7</v>
      </c>
      <c r="V659" s="193">
        <f>SUM(Tabella1[[#This Row],[Voto]],(G659*3),Q659,P659,O659,-(N659),(-M659/2),(-L659*2),(-H659),(I659*3),(-J659*3),(K659*3))</f>
        <v>7</v>
      </c>
      <c r="W659" s="193">
        <v>1</v>
      </c>
      <c r="X659" s="193">
        <f>IF(Tabella1[[#This Row],[Best 11]]=1,Tabella1[[#This Row],[fanta voto]],"")</f>
        <v>7</v>
      </c>
      <c r="Y659">
        <v>1</v>
      </c>
      <c r="Z659" s="193">
        <f>IF(Tabella1[[#This Row],[Best 11 MOD]]=1,Tabella1[[#This Row],[fanta voto]],"")</f>
        <v>7</v>
      </c>
      <c r="AA659" t="str">
        <f>CONCATENATE(Tabella1[[#This Row],[GG]],Tabella1[[#This Row],[Nome]])</f>
        <v>3Wesley</v>
      </c>
      <c r="AB659" t="str">
        <f t="shared" si="27"/>
        <v>3PESCICULINI1</v>
      </c>
      <c r="AC659" t="str">
        <f>_xlfn.CONCAT(Tabella1[[#This Row],[Ruolo]],Tabella1[[#This Row],[Gs]])</f>
        <v>D0</v>
      </c>
    </row>
    <row r="660" spans="1:29" hidden="1" x14ac:dyDescent="0.3">
      <c r="A660" s="14">
        <v>46270</v>
      </c>
      <c r="B660" s="15">
        <v>3</v>
      </c>
      <c r="C660" s="321" t="str">
        <f>_xlfn.XLOOKUP(Tabella1[[#This Row],[Nome]],Tabella4[NOME],Tabella4[SQUADRA],"")</f>
        <v>Bologna</v>
      </c>
      <c r="D660" t="s">
        <v>162</v>
      </c>
      <c r="E660" t="s">
        <v>659</v>
      </c>
      <c r="F660" s="194">
        <v>6</v>
      </c>
      <c r="G660" s="328">
        <v>0</v>
      </c>
      <c r="H660" s="328">
        <v>0</v>
      </c>
      <c r="I660" s="328">
        <v>0</v>
      </c>
      <c r="J660" s="328">
        <v>0</v>
      </c>
      <c r="K660" s="328">
        <v>0</v>
      </c>
      <c r="L660" s="328">
        <v>0</v>
      </c>
      <c r="M660" s="328">
        <v>0</v>
      </c>
      <c r="N660" s="328">
        <v>0</v>
      </c>
      <c r="O660" s="328">
        <v>0</v>
      </c>
      <c r="P660" s="284"/>
      <c r="Q660" s="284">
        <f t="shared" ref="Q660:Q723" si="28">IF(AC660="P0",1,0)</f>
        <v>0</v>
      </c>
      <c r="R660" s="3" t="str">
        <f>_xlfn.IFNA(VLOOKUP(Tabella1[[#This Row],[Nome]],'ROSE SQUADRE'!$N$3:$O$260,2,0),"")</f>
        <v/>
      </c>
      <c r="S660" s="193">
        <f>SUM(Tabella1[[#This Row],[Gf]],Tabella1[[#This Row],[Rf]])</f>
        <v>0</v>
      </c>
      <c r="T660" s="193"/>
      <c r="U660" s="285" t="str">
        <f>IF(Tabella1[[#This Row],[N° FantaTit]]="","",Tabella1[[#This Row],[fanta voto]])</f>
        <v/>
      </c>
      <c r="V660" s="193">
        <f>SUM(Tabella1[[#This Row],[Voto]],(G660*3),Q660,P660,O660,-(N660),(-M660/2),(-L660*2),(-H660),(I660*3),(-J660*3),(K660*3))</f>
        <v>6</v>
      </c>
      <c r="W660" s="193"/>
      <c r="X660" s="193" t="str">
        <f>IF(Tabella1[[#This Row],[Best 11]]=1,Tabella1[[#This Row],[fanta voto]],"")</f>
        <v/>
      </c>
      <c r="Z660" s="193" t="str">
        <f>IF(Tabella1[[#This Row],[Best 11 MOD]]=1,Tabella1[[#This Row],[fanta voto]],"")</f>
        <v/>
      </c>
      <c r="AA660" t="str">
        <f>CONCATENATE(Tabella1[[#This Row],[GG]],Tabella1[[#This Row],[Nome]])</f>
        <v>3Pobega</v>
      </c>
      <c r="AB660" t="str">
        <f t="shared" ref="AB660:AB723" si="29">CONCATENATE(B660,R660,T660)</f>
        <v>3</v>
      </c>
      <c r="AC660" t="str">
        <f>_xlfn.CONCAT(Tabella1[[#This Row],[Ruolo]],Tabella1[[#This Row],[Gs]])</f>
        <v>C0</v>
      </c>
    </row>
    <row r="661" spans="1:29" hidden="1" x14ac:dyDescent="0.3">
      <c r="A661" s="14">
        <v>46270</v>
      </c>
      <c r="B661" s="15">
        <v>3</v>
      </c>
      <c r="C661" s="321" t="str">
        <f>_xlfn.XLOOKUP(Tabella1[[#This Row],[Nome]],Tabella4[NOME],Tabella4[SQUADRA],"")</f>
        <v>Udinese</v>
      </c>
      <c r="D661" s="330" t="s">
        <v>162</v>
      </c>
      <c r="E661" s="330" t="s">
        <v>962</v>
      </c>
      <c r="F661" s="335">
        <v>6</v>
      </c>
      <c r="G661" s="332">
        <v>0</v>
      </c>
      <c r="H661" s="332">
        <v>0</v>
      </c>
      <c r="I661" s="332">
        <v>0</v>
      </c>
      <c r="J661" s="332">
        <v>0</v>
      </c>
      <c r="K661" s="332">
        <v>0</v>
      </c>
      <c r="L661" s="332">
        <v>0</v>
      </c>
      <c r="M661" s="333">
        <v>1</v>
      </c>
      <c r="N661" s="332">
        <v>0</v>
      </c>
      <c r="O661" s="332">
        <v>0</v>
      </c>
      <c r="P661" s="284"/>
      <c r="Q661" s="284">
        <f t="shared" si="28"/>
        <v>0</v>
      </c>
      <c r="R661" s="3" t="str">
        <f>_xlfn.IFNA(VLOOKUP(Tabella1[[#This Row],[Nome]],'ROSE SQUADRE'!$N$3:$O$260,2,0),"")</f>
        <v/>
      </c>
      <c r="S661" s="193">
        <f>SUM(Tabella1[[#This Row],[Gf]],Tabella1[[#This Row],[Rf]])</f>
        <v>0</v>
      </c>
      <c r="T661" s="193"/>
      <c r="U661" s="285" t="str">
        <f>IF(Tabella1[[#This Row],[N° FantaTit]]="","",Tabella1[[#This Row],[fanta voto]])</f>
        <v/>
      </c>
      <c r="V661" s="193">
        <f>SUM(Tabella1[[#This Row],[Voto]],(G661*3),Q661,P661,O661,-(N661),(-M661/2),(-L661*2),(-H661),(I661*3),(-J661*3),(K661*3))</f>
        <v>5.5</v>
      </c>
      <c r="W661" s="193"/>
      <c r="X661" s="193" t="str">
        <f>IF(Tabella1[[#This Row],[Best 11]]=1,Tabella1[[#This Row],[fanta voto]],"")</f>
        <v/>
      </c>
      <c r="Z661" s="193" t="str">
        <f>IF(Tabella1[[#This Row],[Best 11 MOD]]=1,Tabella1[[#This Row],[fanta voto]],"")</f>
        <v/>
      </c>
      <c r="AA661" t="str">
        <f>CONCATENATE(Tabella1[[#This Row],[GG]],Tabella1[[#This Row],[Nome]])</f>
        <v>3Piotrowski</v>
      </c>
      <c r="AB661" t="str">
        <f t="shared" si="29"/>
        <v>3</v>
      </c>
      <c r="AC661" t="str">
        <f>_xlfn.CONCAT(Tabella1[[#This Row],[Ruolo]],Tabella1[[#This Row],[Gs]])</f>
        <v>C0</v>
      </c>
    </row>
    <row r="662" spans="1:29" hidden="1" x14ac:dyDescent="0.3">
      <c r="A662" s="14">
        <v>46270</v>
      </c>
      <c r="B662" s="15">
        <v>3</v>
      </c>
      <c r="C662" s="321" t="str">
        <f>_xlfn.XLOOKUP(Tabella1[[#This Row],[Nome]],Tabella4[NOME],Tabella4[SQUADRA],"")</f>
        <v>Lazio</v>
      </c>
      <c r="D662" t="s">
        <v>163</v>
      </c>
      <c r="E662" t="s">
        <v>611</v>
      </c>
      <c r="F662" s="194">
        <v>5</v>
      </c>
      <c r="G662" s="328">
        <v>0</v>
      </c>
      <c r="H662" s="328">
        <v>0</v>
      </c>
      <c r="I662" s="328">
        <v>0</v>
      </c>
      <c r="J662" s="328">
        <v>0</v>
      </c>
      <c r="K662" s="328">
        <v>0</v>
      </c>
      <c r="L662" s="328">
        <v>0</v>
      </c>
      <c r="M662" s="328">
        <v>0</v>
      </c>
      <c r="N662" s="328">
        <v>0</v>
      </c>
      <c r="O662" s="328">
        <v>0</v>
      </c>
      <c r="P662" s="284"/>
      <c r="Q662" s="284">
        <f t="shared" si="28"/>
        <v>0</v>
      </c>
      <c r="R662" s="3" t="str">
        <f>_xlfn.IFNA(VLOOKUP(Tabella1[[#This Row],[Nome]],'ROSE SQUADRE'!$N$3:$O$260,2,0),"")</f>
        <v>AS PIPPERIA</v>
      </c>
      <c r="S662" s="193">
        <f>SUM(Tabella1[[#This Row],[Gf]],Tabella1[[#This Row],[Rf]])</f>
        <v>0</v>
      </c>
      <c r="T662" s="193"/>
      <c r="U662" s="285" t="str">
        <f>IF(Tabella1[[#This Row],[N° FantaTit]]="","",Tabella1[[#This Row],[fanta voto]])</f>
        <v/>
      </c>
      <c r="V662" s="193">
        <f>SUM(Tabella1[[#This Row],[Voto]],(G662*3),Q662,P662,O662,-(N662),(-M662/2),(-L662*2),(-H662),(I662*3),(-J662*3),(K662*3))</f>
        <v>5</v>
      </c>
      <c r="W662" s="193"/>
      <c r="X662" s="193" t="str">
        <f>IF(Tabella1[[#This Row],[Best 11]]=1,Tabella1[[#This Row],[fanta voto]],"")</f>
        <v/>
      </c>
      <c r="Z662" s="193" t="str">
        <f>IF(Tabella1[[#This Row],[Best 11 MOD]]=1,Tabella1[[#This Row],[fanta voto]],"")</f>
        <v/>
      </c>
      <c r="AA662" t="str">
        <f>CONCATENATE(Tabella1[[#This Row],[GG]],Tabella1[[#This Row],[Nome]])</f>
        <v>3Pinamonti</v>
      </c>
      <c r="AB662" t="str">
        <f t="shared" si="29"/>
        <v>3AS PIPPERIA</v>
      </c>
      <c r="AC662" t="str">
        <f>_xlfn.CONCAT(Tabella1[[#This Row],[Ruolo]],Tabella1[[#This Row],[Gs]])</f>
        <v>A0</v>
      </c>
    </row>
    <row r="663" spans="1:29" hidden="1" x14ac:dyDescent="0.3">
      <c r="A663" s="14">
        <v>46270</v>
      </c>
      <c r="B663" s="15">
        <v>3</v>
      </c>
      <c r="C663" s="321" t="str">
        <f>_xlfn.XLOOKUP(Tabella1[[#This Row],[Nome]],Tabella4[NOME],Tabella4[SQUADRA],"")</f>
        <v>Lecce</v>
      </c>
      <c r="D663" s="330" t="s">
        <v>162</v>
      </c>
      <c r="E663" s="330" t="s">
        <v>546</v>
      </c>
      <c r="F663" s="331">
        <v>5.5</v>
      </c>
      <c r="G663" s="332">
        <v>0</v>
      </c>
      <c r="H663" s="332">
        <v>0</v>
      </c>
      <c r="I663" s="332">
        <v>0</v>
      </c>
      <c r="J663" s="332">
        <v>0</v>
      </c>
      <c r="K663" s="332">
        <v>0</v>
      </c>
      <c r="L663" s="332">
        <v>0</v>
      </c>
      <c r="M663" s="332">
        <v>0</v>
      </c>
      <c r="N663" s="332">
        <v>0</v>
      </c>
      <c r="O663" s="332">
        <v>0</v>
      </c>
      <c r="P663" s="284"/>
      <c r="Q663" s="284">
        <f t="shared" si="28"/>
        <v>0</v>
      </c>
      <c r="R663" s="3" t="str">
        <f>_xlfn.IFNA(VLOOKUP(Tabella1[[#This Row],[Nome]],'ROSE SQUADRE'!$N$3:$O$260,2,0),"")</f>
        <v/>
      </c>
      <c r="S663" s="193">
        <f>SUM(Tabella1[[#This Row],[Gf]],Tabella1[[#This Row],[Rf]])</f>
        <v>0</v>
      </c>
      <c r="T663" s="193"/>
      <c r="U663" s="285" t="str">
        <f>IF(Tabella1[[#This Row],[N° FantaTit]]="","",Tabella1[[#This Row],[fanta voto]])</f>
        <v/>
      </c>
      <c r="V663" s="193">
        <f>SUM(Tabella1[[#This Row],[Voto]],(G663*3),Q663,P663,O663,-(N663),(-M663/2),(-L663*2),(-H663),(I663*3),(-J663*3),(K663*3))</f>
        <v>5.5</v>
      </c>
      <c r="W663" s="193"/>
      <c r="X663" s="193" t="str">
        <f>IF(Tabella1[[#This Row],[Best 11]]=1,Tabella1[[#This Row],[fanta voto]],"")</f>
        <v/>
      </c>
      <c r="Z663" s="193" t="str">
        <f>IF(Tabella1[[#This Row],[Best 11 MOD]]=1,Tabella1[[#This Row],[fanta voto]],"")</f>
        <v/>
      </c>
      <c r="AA663" t="str">
        <f>CONCATENATE(Tabella1[[#This Row],[GG]],Tabella1[[#This Row],[Nome]])</f>
        <v>3Pierotti</v>
      </c>
      <c r="AB663" t="str">
        <f t="shared" si="29"/>
        <v>3</v>
      </c>
      <c r="AC663" t="str">
        <f>_xlfn.CONCAT(Tabella1[[#This Row],[Ruolo]],Tabella1[[#This Row],[Gs]])</f>
        <v>C0</v>
      </c>
    </row>
    <row r="664" spans="1:29" hidden="1" x14ac:dyDescent="0.3">
      <c r="A664" s="14">
        <v>46270</v>
      </c>
      <c r="B664" s="15">
        <v>3</v>
      </c>
      <c r="C664" s="321" t="str">
        <f>_xlfn.XLOOKUP(Tabella1[[#This Row],[Nome]],Tabella4[NOME],Tabella4[SQUADRA],"")</f>
        <v>Como</v>
      </c>
      <c r="D664" t="s">
        <v>161</v>
      </c>
      <c r="E664" t="s">
        <v>684</v>
      </c>
      <c r="F664" s="194">
        <v>6</v>
      </c>
      <c r="G664" s="328">
        <v>0</v>
      </c>
      <c r="H664" s="328">
        <v>0</v>
      </c>
      <c r="I664" s="328">
        <v>0</v>
      </c>
      <c r="J664" s="328">
        <v>0</v>
      </c>
      <c r="K664" s="328">
        <v>0</v>
      </c>
      <c r="L664" s="328">
        <v>0</v>
      </c>
      <c r="M664" s="328">
        <v>0</v>
      </c>
      <c r="N664" s="328">
        <v>0</v>
      </c>
      <c r="O664" s="328">
        <v>0</v>
      </c>
      <c r="P664" s="284"/>
      <c r="Q664" s="284">
        <f t="shared" si="28"/>
        <v>0</v>
      </c>
      <c r="R664" s="3" t="str">
        <f>_xlfn.IFNA(VLOOKUP(Tabella1[[#This Row],[Nome]],'ROSE SQUADRE'!$N$3:$O$260,2,0),"")</f>
        <v>SHARK</v>
      </c>
      <c r="S664" s="193">
        <f>SUM(Tabella1[[#This Row],[Gf]],Tabella1[[#This Row],[Rf]])</f>
        <v>0</v>
      </c>
      <c r="T664" s="193"/>
      <c r="U664" s="285" t="str">
        <f>IF(Tabella1[[#This Row],[N° FantaTit]]="","",Tabella1[[#This Row],[fanta voto]])</f>
        <v/>
      </c>
      <c r="V664" s="193">
        <f>SUM(Tabella1[[#This Row],[Voto]],(G664*3),Q664,P664,O664,-(N664),(-M664/2),(-L664*2),(-H664),(I664*3),(-J664*3),(K664*3))</f>
        <v>6</v>
      </c>
      <c r="W664" s="193">
        <v>1</v>
      </c>
      <c r="X664" s="193">
        <f>IF(Tabella1[[#This Row],[Best 11]]=1,Tabella1[[#This Row],[fanta voto]],"")</f>
        <v>6</v>
      </c>
      <c r="Y664">
        <v>1</v>
      </c>
      <c r="Z664" s="193">
        <f>IF(Tabella1[[#This Row],[Best 11 MOD]]=1,Tabella1[[#This Row],[fanta voto]],"")</f>
        <v>6</v>
      </c>
      <c r="AA664" t="str">
        <f>CONCATENATE(Tabella1[[#This Row],[GG]],Tabella1[[#This Row],[Nome]])</f>
        <v>3Chalobah T.</v>
      </c>
      <c r="AB664" t="str">
        <f t="shared" si="29"/>
        <v>3SHARK</v>
      </c>
      <c r="AC664" t="str">
        <f>_xlfn.CONCAT(Tabella1[[#This Row],[Ruolo]],Tabella1[[#This Row],[Gs]])</f>
        <v>D0</v>
      </c>
    </row>
    <row r="665" spans="1:29" hidden="1" x14ac:dyDescent="0.3">
      <c r="A665" s="14">
        <v>46270</v>
      </c>
      <c r="B665" s="15">
        <v>3</v>
      </c>
      <c r="C665" s="321" t="str">
        <f>_xlfn.XLOOKUP(Tabella1[[#This Row],[Nome]],Tabella4[NOME],Tabella4[SQUADRA],"")</f>
        <v>Frosinone</v>
      </c>
      <c r="D665" s="330" t="s">
        <v>161</v>
      </c>
      <c r="E665" s="330" t="s">
        <v>727</v>
      </c>
      <c r="F665" s="331">
        <v>6</v>
      </c>
      <c r="G665" s="332">
        <v>0</v>
      </c>
      <c r="H665" s="332">
        <v>0</v>
      </c>
      <c r="I665" s="332">
        <v>0</v>
      </c>
      <c r="J665" s="332">
        <v>0</v>
      </c>
      <c r="K665" s="332">
        <v>0</v>
      </c>
      <c r="L665" s="332">
        <v>0</v>
      </c>
      <c r="M665" s="332">
        <v>0</v>
      </c>
      <c r="N665" s="332">
        <v>0</v>
      </c>
      <c r="O665" s="332">
        <v>0</v>
      </c>
      <c r="P665" s="284"/>
      <c r="Q665" s="284">
        <f t="shared" si="28"/>
        <v>0</v>
      </c>
      <c r="R665" s="3" t="str">
        <f>_xlfn.IFNA(VLOOKUP(Tabella1[[#This Row],[Nome]],'ROSE SQUADRE'!$N$3:$O$260,2,0),"")</f>
        <v>SAN GRIA</v>
      </c>
      <c r="S665" s="193">
        <f>SUM(Tabella1[[#This Row],[Gf]],Tabella1[[#This Row],[Rf]])</f>
        <v>0</v>
      </c>
      <c r="T665" s="193"/>
      <c r="U665" s="285" t="str">
        <f>IF(Tabella1[[#This Row],[N° FantaTit]]="","",Tabella1[[#This Row],[fanta voto]])</f>
        <v/>
      </c>
      <c r="V665" s="193">
        <f>SUM(Tabella1[[#This Row],[Voto]],(G665*3),Q665,P665,O665,-(N665),(-M665/2),(-L665*2),(-H665),(I665*3),(-J665*3),(K665*3))</f>
        <v>6</v>
      </c>
      <c r="W665" s="193">
        <v>1</v>
      </c>
      <c r="X665" s="193">
        <f>IF(Tabella1[[#This Row],[Best 11]]=1,Tabella1[[#This Row],[fanta voto]],"")</f>
        <v>6</v>
      </c>
      <c r="Y665">
        <v>1</v>
      </c>
      <c r="Z665" s="193">
        <f>IF(Tabella1[[#This Row],[Best 11 MOD]]=1,Tabella1[[#This Row],[fanta voto]],"")</f>
        <v>6</v>
      </c>
      <c r="AA665" t="str">
        <f>CONCATENATE(Tabella1[[#This Row],[GG]],Tabella1[[#This Row],[Nome]])</f>
        <v>3Bracaglia</v>
      </c>
      <c r="AB665" t="str">
        <f t="shared" si="29"/>
        <v>3SAN GRIA</v>
      </c>
      <c r="AC665" t="str">
        <f>_xlfn.CONCAT(Tabella1[[#This Row],[Ruolo]],Tabella1[[#This Row],[Gs]])</f>
        <v>D0</v>
      </c>
    </row>
    <row r="666" spans="1:29" hidden="1" x14ac:dyDescent="0.3">
      <c r="A666" s="14">
        <v>46270</v>
      </c>
      <c r="B666" s="15">
        <v>3</v>
      </c>
      <c r="C666" s="321" t="str">
        <f>_xlfn.XLOOKUP(Tabella1[[#This Row],[Nome]],Tabella4[NOME],Tabella4[SQUADRA],"")</f>
        <v>Torino</v>
      </c>
      <c r="D666" t="s">
        <v>5</v>
      </c>
      <c r="E666" t="s">
        <v>1046</v>
      </c>
      <c r="F666" s="194">
        <v>5.5</v>
      </c>
      <c r="G666" s="328">
        <v>0</v>
      </c>
      <c r="H666" s="329">
        <v>1</v>
      </c>
      <c r="I666" s="328">
        <v>0</v>
      </c>
      <c r="J666" s="328">
        <v>0</v>
      </c>
      <c r="K666" s="328">
        <v>0</v>
      </c>
      <c r="L666" s="328">
        <v>0</v>
      </c>
      <c r="M666" s="328">
        <v>0</v>
      </c>
      <c r="N666" s="328">
        <v>0</v>
      </c>
      <c r="O666" s="328">
        <v>0</v>
      </c>
      <c r="P666" s="284"/>
      <c r="Q666" s="284">
        <f t="shared" si="28"/>
        <v>0</v>
      </c>
      <c r="R666" s="3" t="str">
        <f>_xlfn.IFNA(VLOOKUP(Tabella1[[#This Row],[Nome]],'ROSE SQUADRE'!$N$3:$O$260,2,0),"")</f>
        <v>AS PIPPERIA</v>
      </c>
      <c r="S666" s="193">
        <f>SUM(Tabella1[[#This Row],[Gf]],Tabella1[[#This Row],[Rf]])</f>
        <v>0</v>
      </c>
      <c r="T666" s="193"/>
      <c r="U666" s="285" t="str">
        <f>IF(Tabella1[[#This Row],[N° FantaTit]]="","",Tabella1[[#This Row],[fanta voto]])</f>
        <v/>
      </c>
      <c r="V666" s="193">
        <f>SUM(Tabella1[[#This Row],[Voto]],(G666*3),Q666,P666,O666,-(N666),(-M666/2),(-L666*2),(-H666),(I666*3),(-J666*3),(K666*3))</f>
        <v>4.5</v>
      </c>
      <c r="W666" s="193"/>
      <c r="X666" s="193" t="str">
        <f>IF(Tabella1[[#This Row],[Best 11]]=1,Tabella1[[#This Row],[fanta voto]],"")</f>
        <v/>
      </c>
      <c r="Z666" s="193" t="str">
        <f>IF(Tabella1[[#This Row],[Best 11 MOD]]=1,Tabella1[[#This Row],[fanta voto]],"")</f>
        <v/>
      </c>
      <c r="AA666" t="str">
        <f>CONCATENATE(Tabella1[[#This Row],[GG]],Tabella1[[#This Row],[Nome]])</f>
        <v>3Perri</v>
      </c>
      <c r="AB666" t="str">
        <f t="shared" si="29"/>
        <v>3AS PIPPERIA</v>
      </c>
      <c r="AC666" t="str">
        <f>_xlfn.CONCAT(Tabella1[[#This Row],[Ruolo]],Tabella1[[#This Row],[Gs]])</f>
        <v>P1</v>
      </c>
    </row>
    <row r="667" spans="1:29" hidden="1" x14ac:dyDescent="0.3">
      <c r="A667" s="14">
        <v>46270</v>
      </c>
      <c r="B667" s="15">
        <v>3</v>
      </c>
      <c r="C667" s="321" t="str">
        <f>_xlfn.XLOOKUP(Tabella1[[#This Row],[Nome]],Tabella4[NOME],Tabella4[SQUADRA],"")</f>
        <v>Venezia</v>
      </c>
      <c r="D667" t="s">
        <v>162</v>
      </c>
      <c r="E667" t="s">
        <v>982</v>
      </c>
      <c r="F667" s="194">
        <v>6</v>
      </c>
      <c r="G667" s="328">
        <v>0</v>
      </c>
      <c r="H667" s="328">
        <v>0</v>
      </c>
      <c r="I667" s="328">
        <v>0</v>
      </c>
      <c r="J667" s="328">
        <v>0</v>
      </c>
      <c r="K667" s="328">
        <v>0</v>
      </c>
      <c r="L667" s="328">
        <v>0</v>
      </c>
      <c r="M667" s="328">
        <v>0</v>
      </c>
      <c r="N667" s="328">
        <v>0</v>
      </c>
      <c r="O667" s="328">
        <v>0</v>
      </c>
      <c r="P667" s="284"/>
      <c r="Q667" s="284">
        <f t="shared" si="28"/>
        <v>0</v>
      </c>
      <c r="R667" s="3" t="str">
        <f>_xlfn.IFNA(VLOOKUP(Tabella1[[#This Row],[Nome]],'ROSE SQUADRE'!$N$3:$O$260,2,0),"")</f>
        <v/>
      </c>
      <c r="S667" s="193">
        <f>SUM(Tabella1[[#This Row],[Gf]],Tabella1[[#This Row],[Rf]])</f>
        <v>0</v>
      </c>
      <c r="T667" s="193"/>
      <c r="U667" s="285" t="str">
        <f>IF(Tabella1[[#This Row],[N° FantaTit]]="","",Tabella1[[#This Row],[fanta voto]])</f>
        <v/>
      </c>
      <c r="V667" s="193">
        <f>SUM(Tabella1[[#This Row],[Voto]],(G667*3),Q667,P667,O667,-(N667),(-M667/2),(-L667*2),(-H667),(I667*3),(-J667*3),(K667*3))</f>
        <v>6</v>
      </c>
      <c r="W667" s="193"/>
      <c r="X667" s="193" t="str">
        <f>IF(Tabella1[[#This Row],[Best 11]]=1,Tabella1[[#This Row],[fanta voto]],"")</f>
        <v/>
      </c>
      <c r="Z667" s="193" t="str">
        <f>IF(Tabella1[[#This Row],[Best 11 MOD]]=1,Tabella1[[#This Row],[fanta voto]],"")</f>
        <v/>
      </c>
      <c r="AA667" t="str">
        <f>CONCATENATE(Tabella1[[#This Row],[GG]],Tabella1[[#This Row],[Nome]])</f>
        <v>3Perez K.</v>
      </c>
      <c r="AB667" t="str">
        <f t="shared" si="29"/>
        <v>3</v>
      </c>
      <c r="AC667" t="str">
        <f>_xlfn.CONCAT(Tabella1[[#This Row],[Ruolo]],Tabella1[[#This Row],[Gs]])</f>
        <v>C0</v>
      </c>
    </row>
    <row r="668" spans="1:29" hidden="1" x14ac:dyDescent="0.3">
      <c r="A668" s="14">
        <v>46270</v>
      </c>
      <c r="B668" s="15">
        <v>3</v>
      </c>
      <c r="C668" s="321" t="str">
        <f>_xlfn.XLOOKUP(Tabella1[[#This Row],[Nome]],Tabella4[NOME],Tabella4[SQUADRA],"")</f>
        <v>Inter</v>
      </c>
      <c r="D668" t="s">
        <v>161</v>
      </c>
      <c r="E668" t="s">
        <v>768</v>
      </c>
      <c r="F668" s="194">
        <v>6.5</v>
      </c>
      <c r="G668" s="328">
        <v>0</v>
      </c>
      <c r="H668" s="328">
        <v>0</v>
      </c>
      <c r="I668" s="328">
        <v>0</v>
      </c>
      <c r="J668" s="328">
        <v>0</v>
      </c>
      <c r="K668" s="328">
        <v>0</v>
      </c>
      <c r="L668" s="328">
        <v>0</v>
      </c>
      <c r="M668" s="328">
        <v>0</v>
      </c>
      <c r="N668" s="328">
        <v>0</v>
      </c>
      <c r="O668" s="329">
        <v>1</v>
      </c>
      <c r="P668" s="284"/>
      <c r="Q668" s="284">
        <f t="shared" si="28"/>
        <v>0</v>
      </c>
      <c r="R668" s="3" t="str">
        <f>_xlfn.IFNA(VLOOKUP(Tabella1[[#This Row],[Nome]],'ROSE SQUADRE'!$N$3:$O$260,2,0),"")</f>
        <v>SHARK</v>
      </c>
      <c r="S668" s="193">
        <f>SUM(Tabella1[[#This Row],[Gf]],Tabella1[[#This Row],[Rf]])</f>
        <v>0</v>
      </c>
      <c r="T668" s="193">
        <v>1</v>
      </c>
      <c r="U668" s="285">
        <f>IF(Tabella1[[#This Row],[N° FantaTit]]="","",Tabella1[[#This Row],[fanta voto]])</f>
        <v>7.5</v>
      </c>
      <c r="V668" s="193">
        <f>SUM(Tabella1[[#This Row],[Voto]],(G668*3),Q668,P668,O668,-(N668),(-M668/2),(-L668*2),(-H668),(I668*3),(-J668*3),(K668*3))</f>
        <v>7.5</v>
      </c>
      <c r="W668" s="193">
        <v>1</v>
      </c>
      <c r="X668" s="193">
        <f>IF(Tabella1[[#This Row],[Best 11]]=1,Tabella1[[#This Row],[fanta voto]],"")</f>
        <v>7.5</v>
      </c>
      <c r="Y668">
        <v>1</v>
      </c>
      <c r="Z668" s="193">
        <f>IF(Tabella1[[#This Row],[Best 11 MOD]]=1,Tabella1[[#This Row],[fanta voto]],"")</f>
        <v>7.5</v>
      </c>
      <c r="AA668" t="str">
        <f>CONCATENATE(Tabella1[[#This Row],[GG]],Tabella1[[#This Row],[Nome]])</f>
        <v>3Akanji</v>
      </c>
      <c r="AB668" t="str">
        <f t="shared" si="29"/>
        <v>3SHARK1</v>
      </c>
      <c r="AC668" t="str">
        <f>_xlfn.CONCAT(Tabella1[[#This Row],[Ruolo]],Tabella1[[#This Row],[Gs]])</f>
        <v>D0</v>
      </c>
    </row>
    <row r="669" spans="1:29" hidden="1" x14ac:dyDescent="0.3">
      <c r="A669" s="14">
        <v>46270</v>
      </c>
      <c r="B669" s="15">
        <v>3</v>
      </c>
      <c r="C669" s="321" t="str">
        <f>_xlfn.XLOOKUP(Tabella1[[#This Row],[Nome]],Tabella4[NOME],Tabella4[SQUADRA],"")</f>
        <v>Parma</v>
      </c>
      <c r="D669" s="330" t="s">
        <v>161</v>
      </c>
      <c r="E669" s="330" t="s">
        <v>619</v>
      </c>
      <c r="F669" s="331">
        <v>6</v>
      </c>
      <c r="G669" s="332">
        <v>0</v>
      </c>
      <c r="H669" s="332">
        <v>0</v>
      </c>
      <c r="I669" s="332">
        <v>0</v>
      </c>
      <c r="J669" s="332">
        <v>0</v>
      </c>
      <c r="K669" s="332">
        <v>0</v>
      </c>
      <c r="L669" s="332">
        <v>0</v>
      </c>
      <c r="M669" s="332">
        <v>0</v>
      </c>
      <c r="N669" s="332">
        <v>0</v>
      </c>
      <c r="O669" s="332">
        <v>0</v>
      </c>
      <c r="P669" s="284"/>
      <c r="Q669" s="284">
        <f t="shared" si="28"/>
        <v>0</v>
      </c>
      <c r="R669" s="3" t="str">
        <f>_xlfn.IFNA(VLOOKUP(Tabella1[[#This Row],[Nome]],'ROSE SQUADRE'!$N$3:$O$260,2,0),"")</f>
        <v>AS PIPPERIA</v>
      </c>
      <c r="S669" s="193">
        <f>SUM(Tabella1[[#This Row],[Gf]],Tabella1[[#This Row],[Rf]])</f>
        <v>0</v>
      </c>
      <c r="T669" s="193">
        <v>1</v>
      </c>
      <c r="U669" s="285">
        <f>IF(Tabella1[[#This Row],[N° FantaTit]]="","",Tabella1[[#This Row],[fanta voto]])</f>
        <v>6</v>
      </c>
      <c r="V669" s="193">
        <f>SUM(Tabella1[[#This Row],[Voto]],(G669*3),Q669,P669,O669,-(N669),(-M669/2),(-L669*2),(-H669),(I669*3),(-J669*3),(K669*3))</f>
        <v>6</v>
      </c>
      <c r="W669" s="193">
        <v>1</v>
      </c>
      <c r="X669" s="193">
        <f>IF(Tabella1[[#This Row],[Best 11]]=1,Tabella1[[#This Row],[fanta voto]],"")</f>
        <v>6</v>
      </c>
      <c r="Y669">
        <v>1</v>
      </c>
      <c r="Z669" s="193">
        <f>IF(Tabella1[[#This Row],[Best 11 MOD]]=1,Tabella1[[#This Row],[fanta voto]],"")</f>
        <v>6</v>
      </c>
      <c r="AA669" t="str">
        <f>CONCATENATE(Tabella1[[#This Row],[GG]],Tabella1[[#This Row],[Nome]])</f>
        <v>3Delprato</v>
      </c>
      <c r="AB669" t="str">
        <f t="shared" si="29"/>
        <v>3AS PIPPERIA1</v>
      </c>
      <c r="AC669" t="str">
        <f>_xlfn.CONCAT(Tabella1[[#This Row],[Ruolo]],Tabella1[[#This Row],[Gs]])</f>
        <v>D0</v>
      </c>
    </row>
    <row r="670" spans="1:29" hidden="1" x14ac:dyDescent="0.3">
      <c r="A670" s="14">
        <v>46270</v>
      </c>
      <c r="B670" s="15">
        <v>3</v>
      </c>
      <c r="C670" s="321" t="str">
        <f>_xlfn.XLOOKUP(Tabella1[[#This Row],[Nome]],Tabella4[NOME],Tabella4[SQUADRA],"")</f>
        <v>Milan</v>
      </c>
      <c r="D670" s="330" t="s">
        <v>161</v>
      </c>
      <c r="E670" s="330" t="s">
        <v>615</v>
      </c>
      <c r="F670" s="331">
        <v>6</v>
      </c>
      <c r="G670" s="332">
        <v>0</v>
      </c>
      <c r="H670" s="332">
        <v>0</v>
      </c>
      <c r="I670" s="332">
        <v>0</v>
      </c>
      <c r="J670" s="332">
        <v>0</v>
      </c>
      <c r="K670" s="332">
        <v>0</v>
      </c>
      <c r="L670" s="332">
        <v>0</v>
      </c>
      <c r="M670" s="332">
        <v>0</v>
      </c>
      <c r="N670" s="332">
        <v>0</v>
      </c>
      <c r="O670" s="332">
        <v>0</v>
      </c>
      <c r="P670" s="284"/>
      <c r="Q670" s="284">
        <f t="shared" si="28"/>
        <v>0</v>
      </c>
      <c r="R670" s="3" t="str">
        <f>_xlfn.IFNA(VLOOKUP(Tabella1[[#This Row],[Nome]],'ROSE SQUADRE'!$N$3:$O$260,2,0),"")</f>
        <v>SESTO ASENSIO</v>
      </c>
      <c r="S670" s="193">
        <f>SUM(Tabella1[[#This Row],[Gf]],Tabella1[[#This Row],[Rf]])</f>
        <v>0</v>
      </c>
      <c r="T670" s="193">
        <v>1</v>
      </c>
      <c r="U670" s="285">
        <f>IF(Tabella1[[#This Row],[N° FantaTit]]="","",Tabella1[[#This Row],[fanta voto]])</f>
        <v>6</v>
      </c>
      <c r="V670" s="193">
        <f>SUM(Tabella1[[#This Row],[Voto]],(G670*3),Q670,P670,O670,-(N670),(-M670/2),(-L670*2),(-H670),(I670*3),(-J670*3),(K670*3))</f>
        <v>6</v>
      </c>
      <c r="W670" s="193"/>
      <c r="X670" s="193" t="str">
        <f>IF(Tabella1[[#This Row],[Best 11]]=1,Tabella1[[#This Row],[fanta voto]],"")</f>
        <v/>
      </c>
      <c r="Z670" s="193" t="str">
        <f>IF(Tabella1[[#This Row],[Best 11 MOD]]=1,Tabella1[[#This Row],[fanta voto]],"")</f>
        <v/>
      </c>
      <c r="AA670" t="str">
        <f>CONCATENATE(Tabella1[[#This Row],[GG]],Tabella1[[#This Row],[Nome]])</f>
        <v>3Pavlovic</v>
      </c>
      <c r="AB670" t="str">
        <f t="shared" si="29"/>
        <v>3SESTO ASENSIO1</v>
      </c>
      <c r="AC670" t="str">
        <f>_xlfn.CONCAT(Tabella1[[#This Row],[Ruolo]],Tabella1[[#This Row],[Gs]])</f>
        <v>D0</v>
      </c>
    </row>
    <row r="671" spans="1:29" hidden="1" x14ac:dyDescent="0.3">
      <c r="A671" s="14">
        <v>46270</v>
      </c>
      <c r="B671" s="15">
        <v>3</v>
      </c>
      <c r="C671" s="321" t="str">
        <f>_xlfn.XLOOKUP(Tabella1[[#This Row],[Nome]],Tabella4[NOME],Tabella4[SQUADRA],"")</f>
        <v>Torino</v>
      </c>
      <c r="D671" t="s">
        <v>161</v>
      </c>
      <c r="E671" t="s">
        <v>1057</v>
      </c>
      <c r="F671" s="194">
        <v>6</v>
      </c>
      <c r="G671" s="328">
        <v>0</v>
      </c>
      <c r="H671" s="328">
        <v>0</v>
      </c>
      <c r="I671" s="328">
        <v>0</v>
      </c>
      <c r="J671" s="328">
        <v>0</v>
      </c>
      <c r="K671" s="328">
        <v>0</v>
      </c>
      <c r="L671" s="328">
        <v>0</v>
      </c>
      <c r="M671" s="328">
        <v>0</v>
      </c>
      <c r="N671" s="328">
        <v>0</v>
      </c>
      <c r="O671" s="328">
        <v>0</v>
      </c>
      <c r="P671" s="284"/>
      <c r="Q671" s="284">
        <f t="shared" si="28"/>
        <v>0</v>
      </c>
      <c r="R671" s="3" t="str">
        <f>_xlfn.IFNA(VLOOKUP(Tabella1[[#This Row],[Nome]],'ROSE SQUADRE'!$N$3:$O$260,2,0),"")</f>
        <v/>
      </c>
      <c r="S671" s="193">
        <f>SUM(Tabella1[[#This Row],[Gf]],Tabella1[[#This Row],[Rf]])</f>
        <v>0</v>
      </c>
      <c r="T671" s="193"/>
      <c r="U671" s="285" t="str">
        <f>IF(Tabella1[[#This Row],[N° FantaTit]]="","",Tabella1[[#This Row],[fanta voto]])</f>
        <v/>
      </c>
      <c r="V671" s="193">
        <f>SUM(Tabella1[[#This Row],[Voto]],(G671*3),Q671,P671,O671,-(N671),(-M671/2),(-L671*2),(-H671),(I671*3),(-J671*3),(K671*3))</f>
        <v>6</v>
      </c>
      <c r="W671" s="193"/>
      <c r="X671" s="193" t="str">
        <f>IF(Tabella1[[#This Row],[Best 11]]=1,Tabella1[[#This Row],[fanta voto]],"")</f>
        <v/>
      </c>
      <c r="Z671" s="193" t="str">
        <f>IF(Tabella1[[#This Row],[Best 11 MOD]]=1,Tabella1[[#This Row],[fanta voto]],"")</f>
        <v/>
      </c>
      <c r="AA671" t="str">
        <f>CONCATENATE(Tabella1[[#This Row],[GG]],Tabella1[[#This Row],[Nome]])</f>
        <v>3Patterson</v>
      </c>
      <c r="AB671" t="str">
        <f t="shared" si="29"/>
        <v>3</v>
      </c>
      <c r="AC671" t="str">
        <f>_xlfn.CONCAT(Tabella1[[#This Row],[Ruolo]],Tabella1[[#This Row],[Gs]])</f>
        <v>D0</v>
      </c>
    </row>
    <row r="672" spans="1:29" hidden="1" x14ac:dyDescent="0.3">
      <c r="A672" s="14">
        <v>46270</v>
      </c>
      <c r="B672" s="15">
        <v>3</v>
      </c>
      <c r="C672" s="321" t="str">
        <f>_xlfn.XLOOKUP(Tabella1[[#This Row],[Nome]],Tabella4[NOME],Tabella4[SQUADRA],"")</f>
        <v>Inter</v>
      </c>
      <c r="D672" s="330" t="s">
        <v>162</v>
      </c>
      <c r="E672" s="330" t="s">
        <v>775</v>
      </c>
      <c r="F672" s="331">
        <v>6.5</v>
      </c>
      <c r="G672" s="332">
        <v>0</v>
      </c>
      <c r="H672" s="332">
        <v>0</v>
      </c>
      <c r="I672" s="332">
        <v>0</v>
      </c>
      <c r="J672" s="332">
        <v>0</v>
      </c>
      <c r="K672" s="332">
        <v>0</v>
      </c>
      <c r="L672" s="332">
        <v>0</v>
      </c>
      <c r="M672" s="332">
        <v>0</v>
      </c>
      <c r="N672" s="332">
        <v>0</v>
      </c>
      <c r="O672" s="332">
        <v>0</v>
      </c>
      <c r="P672" s="284"/>
      <c r="Q672" s="284">
        <f t="shared" si="28"/>
        <v>0</v>
      </c>
      <c r="R672" s="3" t="str">
        <f>_xlfn.IFNA(VLOOKUP(Tabella1[[#This Row],[Nome]],'ROSE SQUADRE'!$N$3:$O$260,2,0),"")</f>
        <v>ATL. IMPROVVISATO</v>
      </c>
      <c r="S672" s="193">
        <f>SUM(Tabella1[[#This Row],[Gf]],Tabella1[[#This Row],[Rf]])</f>
        <v>0</v>
      </c>
      <c r="T672" s="193">
        <v>1</v>
      </c>
      <c r="U672" s="285">
        <f>IF(Tabella1[[#This Row],[N° FantaTit]]="","",Tabella1[[#This Row],[fanta voto]])</f>
        <v>6.5</v>
      </c>
      <c r="V672" s="193">
        <f>SUM(Tabella1[[#This Row],[Voto]],(G672*3),Q672,P672,O672,-(N672),(-M672/2),(-L672*2),(-H672),(I672*3),(-J672*3),(K672*3))</f>
        <v>6.5</v>
      </c>
      <c r="W672" s="193">
        <v>1</v>
      </c>
      <c r="X672" s="193">
        <f>IF(Tabella1[[#This Row],[Best 11]]=1,Tabella1[[#This Row],[fanta voto]],"")</f>
        <v>6.5</v>
      </c>
      <c r="Y672">
        <v>1</v>
      </c>
      <c r="Z672" s="193">
        <f>IF(Tabella1[[#This Row],[Best 11 MOD]]=1,Tabella1[[#This Row],[fanta voto]],"")</f>
        <v>6.5</v>
      </c>
      <c r="AA672" t="str">
        <f>CONCATENATE(Tabella1[[#This Row],[GG]],Tabella1[[#This Row],[Nome]])</f>
        <v>3Zielinski</v>
      </c>
      <c r="AB672" t="str">
        <f t="shared" si="29"/>
        <v>3ATL. IMPROVVISATO1</v>
      </c>
      <c r="AC672" t="str">
        <f>_xlfn.CONCAT(Tabella1[[#This Row],[Ruolo]],Tabella1[[#This Row],[Gs]])</f>
        <v>C0</v>
      </c>
    </row>
    <row r="673" spans="1:29" hidden="1" x14ac:dyDescent="0.3">
      <c r="A673" s="14">
        <v>46270</v>
      </c>
      <c r="B673" s="15">
        <v>3</v>
      </c>
      <c r="C673" s="321" t="str">
        <f>_xlfn.XLOOKUP(Tabella1[[#This Row],[Nome]],Tabella4[NOME],Tabella4[SQUADRA],"")</f>
        <v>Sassuolo</v>
      </c>
      <c r="D673" s="330" t="s">
        <v>162</v>
      </c>
      <c r="E673" s="330" t="s">
        <v>929</v>
      </c>
      <c r="F673" s="331">
        <v>6.5</v>
      </c>
      <c r="G673" s="332">
        <v>0</v>
      </c>
      <c r="H673" s="332">
        <v>0</v>
      </c>
      <c r="I673" s="332">
        <v>0</v>
      </c>
      <c r="J673" s="332">
        <v>0</v>
      </c>
      <c r="K673" s="332">
        <v>0</v>
      </c>
      <c r="L673" s="332">
        <v>0</v>
      </c>
      <c r="M673" s="332">
        <v>0</v>
      </c>
      <c r="N673" s="332">
        <v>0</v>
      </c>
      <c r="O673" s="332">
        <v>0</v>
      </c>
      <c r="P673" s="284"/>
      <c r="Q673" s="284">
        <f t="shared" si="28"/>
        <v>0</v>
      </c>
      <c r="R673" s="3" t="str">
        <f>_xlfn.IFNA(VLOOKUP(Tabella1[[#This Row],[Nome]],'ROSE SQUADRE'!$N$3:$O$260,2,0),"")</f>
        <v>TRICCHETRACHT</v>
      </c>
      <c r="S673" s="193">
        <f>SUM(Tabella1[[#This Row],[Gf]],Tabella1[[#This Row],[Rf]])</f>
        <v>0</v>
      </c>
      <c r="T673" s="193"/>
      <c r="U673" s="285" t="str">
        <f>IF(Tabella1[[#This Row],[N° FantaTit]]="","",Tabella1[[#This Row],[fanta voto]])</f>
        <v/>
      </c>
      <c r="V673" s="193">
        <f>SUM(Tabella1[[#This Row],[Voto]],(G673*3),Q673,P673,O673,-(N673),(-M673/2),(-L673*2),(-H673),(I673*3),(-J673*3),(K673*3))</f>
        <v>6.5</v>
      </c>
      <c r="W673" s="193">
        <v>1</v>
      </c>
      <c r="X673" s="193">
        <f>IF(Tabella1[[#This Row],[Best 11]]=1,Tabella1[[#This Row],[fanta voto]],"")</f>
        <v>6.5</v>
      </c>
      <c r="Y673">
        <v>1</v>
      </c>
      <c r="Z673" s="193">
        <f>IF(Tabella1[[#This Row],[Best 11 MOD]]=1,Tabella1[[#This Row],[fanta voto]],"")</f>
        <v>6.5</v>
      </c>
      <c r="AA673" t="str">
        <f>CONCATENATE(Tabella1[[#This Row],[GG]],Tabella1[[#This Row],[Nome]])</f>
        <v>3Volpato</v>
      </c>
      <c r="AB673" t="str">
        <f t="shared" si="29"/>
        <v>3TRICCHETRACHT</v>
      </c>
      <c r="AC673" t="str">
        <f>_xlfn.CONCAT(Tabella1[[#This Row],[Ruolo]],Tabella1[[#This Row],[Gs]])</f>
        <v>C0</v>
      </c>
    </row>
    <row r="674" spans="1:29" hidden="1" x14ac:dyDescent="0.3">
      <c r="A674" s="14">
        <v>46270</v>
      </c>
      <c r="B674" s="15">
        <v>3</v>
      </c>
      <c r="C674" s="321" t="str">
        <f>_xlfn.XLOOKUP(Tabella1[[#This Row],[Nome]],Tabella4[NOME],Tabella4[SQUADRA],"")</f>
        <v>Frosinone</v>
      </c>
      <c r="D674" s="330" t="s">
        <v>161</v>
      </c>
      <c r="E674" s="330" t="s">
        <v>732</v>
      </c>
      <c r="F674" s="331">
        <v>7</v>
      </c>
      <c r="G674" s="332">
        <v>0</v>
      </c>
      <c r="H674" s="332">
        <v>0</v>
      </c>
      <c r="I674" s="332">
        <v>0</v>
      </c>
      <c r="J674" s="332">
        <v>0</v>
      </c>
      <c r="K674" s="332">
        <v>0</v>
      </c>
      <c r="L674" s="332">
        <v>0</v>
      </c>
      <c r="M674" s="333">
        <v>1</v>
      </c>
      <c r="N674" s="332">
        <v>0</v>
      </c>
      <c r="O674" s="333">
        <v>1</v>
      </c>
      <c r="P674" s="284"/>
      <c r="Q674" s="284">
        <f t="shared" si="28"/>
        <v>0</v>
      </c>
      <c r="R674" s="3" t="str">
        <f>_xlfn.IFNA(VLOOKUP(Tabella1[[#This Row],[Nome]],'ROSE SQUADRE'!$N$3:$O$260,2,0),"")</f>
        <v/>
      </c>
      <c r="S674" s="193">
        <f>SUM(Tabella1[[#This Row],[Gf]],Tabella1[[#This Row],[Rf]])</f>
        <v>0</v>
      </c>
      <c r="T674" s="193"/>
      <c r="U674" s="285" t="str">
        <f>IF(Tabella1[[#This Row],[N° FantaTit]]="","",Tabella1[[#This Row],[fanta voto]])</f>
        <v/>
      </c>
      <c r="V674" s="193">
        <f>SUM(Tabella1[[#This Row],[Voto]],(G674*3),Q674,P674,O674,-(N674),(-M674/2),(-L674*2),(-H674),(I674*3),(-J674*3),(K674*3))</f>
        <v>7.5</v>
      </c>
      <c r="W674" s="193"/>
      <c r="X674" s="193" t="str">
        <f>IF(Tabella1[[#This Row],[Best 11]]=1,Tabella1[[#This Row],[fanta voto]],"")</f>
        <v/>
      </c>
      <c r="Z674" s="193" t="str">
        <f>IF(Tabella1[[#This Row],[Best 11 MOD]]=1,Tabella1[[#This Row],[fanta voto]],"")</f>
        <v/>
      </c>
      <c r="AA674" t="str">
        <f>CONCATENATE(Tabella1[[#This Row],[GG]],Tabella1[[#This Row],[Nome]])</f>
        <v>3Oyono A.</v>
      </c>
      <c r="AB674" t="str">
        <f t="shared" si="29"/>
        <v>3</v>
      </c>
      <c r="AC674" t="str">
        <f>_xlfn.CONCAT(Tabella1[[#This Row],[Ruolo]],Tabella1[[#This Row],[Gs]])</f>
        <v>D0</v>
      </c>
    </row>
    <row r="675" spans="1:29" hidden="1" x14ac:dyDescent="0.3">
      <c r="A675" s="14">
        <v>46270</v>
      </c>
      <c r="B675" s="15">
        <v>3</v>
      </c>
      <c r="C675" s="321" t="str">
        <f>_xlfn.XLOOKUP(Tabella1[[#This Row],[Nome]],Tabella4[NOME],Tabella4[SQUADRA],"")</f>
        <v>Fiorentina</v>
      </c>
      <c r="D675" s="330" t="s">
        <v>162</v>
      </c>
      <c r="E675" s="330" t="s">
        <v>718</v>
      </c>
      <c r="F675" s="331">
        <v>6</v>
      </c>
      <c r="G675" s="332">
        <v>0</v>
      </c>
      <c r="H675" s="332">
        <v>0</v>
      </c>
      <c r="I675" s="332">
        <v>0</v>
      </c>
      <c r="J675" s="332">
        <v>0</v>
      </c>
      <c r="K675" s="332">
        <v>0</v>
      </c>
      <c r="L675" s="332">
        <v>0</v>
      </c>
      <c r="M675" s="332">
        <v>0</v>
      </c>
      <c r="N675" s="332">
        <v>0</v>
      </c>
      <c r="O675" s="332">
        <v>0</v>
      </c>
      <c r="P675" s="284"/>
      <c r="Q675" s="284">
        <f t="shared" si="28"/>
        <v>0</v>
      </c>
      <c r="R675" s="3" t="str">
        <f>_xlfn.IFNA(VLOOKUP(Tabella1[[#This Row],[Nome]],'ROSE SQUADRE'!$N$3:$O$260,2,0),"")</f>
        <v/>
      </c>
      <c r="S675" s="193">
        <f>SUM(Tabella1[[#This Row],[Gf]],Tabella1[[#This Row],[Rf]])</f>
        <v>0</v>
      </c>
      <c r="T675" s="193"/>
      <c r="U675" s="285" t="str">
        <f>IF(Tabella1[[#This Row],[N° FantaTit]]="","",Tabella1[[#This Row],[fanta voto]])</f>
        <v/>
      </c>
      <c r="V675" s="193">
        <f>SUM(Tabella1[[#This Row],[Voto]],(G675*3),Q675,P675,O675,-(N675),(-M675/2),(-L675*2),(-H675),(I675*3),(-J675*3),(K675*3))</f>
        <v>6</v>
      </c>
      <c r="W675" s="193"/>
      <c r="X675" s="193" t="str">
        <f>IF(Tabella1[[#This Row],[Best 11]]=1,Tabella1[[#This Row],[fanta voto]],"")</f>
        <v/>
      </c>
      <c r="Z675" s="193" t="str">
        <f>IF(Tabella1[[#This Row],[Best 11 MOD]]=1,Tabella1[[#This Row],[fanta voto]],"")</f>
        <v/>
      </c>
      <c r="AA675" t="str">
        <f>CONCATENATE(Tabella1[[#This Row],[GG]],Tabella1[[#This Row],[Nome]])</f>
        <v>3Oulai</v>
      </c>
      <c r="AB675" t="str">
        <f t="shared" si="29"/>
        <v>3</v>
      </c>
      <c r="AC675" t="str">
        <f>_xlfn.CONCAT(Tabella1[[#This Row],[Ruolo]],Tabella1[[#This Row],[Gs]])</f>
        <v>C0</v>
      </c>
    </row>
    <row r="676" spans="1:29" hidden="1" x14ac:dyDescent="0.3">
      <c r="A676" s="14">
        <v>46270</v>
      </c>
      <c r="B676" s="15">
        <v>3</v>
      </c>
      <c r="C676" s="321" t="str">
        <f>_xlfn.XLOOKUP(Tabella1[[#This Row],[Nome]],Tabella4[NOME],Tabella4[SQUADRA],"")</f>
        <v>Lazio</v>
      </c>
      <c r="D676" s="330" t="s">
        <v>162</v>
      </c>
      <c r="E676" s="330" t="s">
        <v>807</v>
      </c>
      <c r="F676" s="331">
        <v>6</v>
      </c>
      <c r="G676" s="332">
        <v>0</v>
      </c>
      <c r="H676" s="332">
        <v>0</v>
      </c>
      <c r="I676" s="332">
        <v>0</v>
      </c>
      <c r="J676" s="332">
        <v>0</v>
      </c>
      <c r="K676" s="332">
        <v>0</v>
      </c>
      <c r="L676" s="332">
        <v>0</v>
      </c>
      <c r="M676" s="332">
        <v>0</v>
      </c>
      <c r="N676" s="332">
        <v>0</v>
      </c>
      <c r="O676" s="332">
        <v>0</v>
      </c>
      <c r="P676" s="284"/>
      <c r="Q676" s="284">
        <f t="shared" si="28"/>
        <v>0</v>
      </c>
      <c r="R676" s="3" t="str">
        <f>_xlfn.IFNA(VLOOKUP(Tabella1[[#This Row],[Nome]],'ROSE SQUADRE'!$N$3:$O$260,2,0),"")</f>
        <v>SHARK</v>
      </c>
      <c r="S676" s="193">
        <f>SUM(Tabella1[[#This Row],[Gf]],Tabella1[[#This Row],[Rf]])</f>
        <v>0</v>
      </c>
      <c r="T676" s="193">
        <v>1</v>
      </c>
      <c r="U676" s="285">
        <f>IF(Tabella1[[#This Row],[N° FantaTit]]="","",Tabella1[[#This Row],[fanta voto]])</f>
        <v>6</v>
      </c>
      <c r="V676" s="193">
        <f>SUM(Tabella1[[#This Row],[Voto]],(G676*3),Q676,P676,O676,-(N676),(-M676/2),(-L676*2),(-H676),(I676*3),(-J676*3),(K676*3))</f>
        <v>6</v>
      </c>
      <c r="W676" s="193">
        <v>1</v>
      </c>
      <c r="X676" s="193">
        <f>IF(Tabella1[[#This Row],[Best 11]]=1,Tabella1[[#This Row],[fanta voto]],"")</f>
        <v>6</v>
      </c>
      <c r="Y676">
        <v>1</v>
      </c>
      <c r="Z676" s="193">
        <f>IF(Tabella1[[#This Row],[Best 11 MOD]]=1,Tabella1[[#This Row],[fanta voto]],"")</f>
        <v>6</v>
      </c>
      <c r="AA676" t="str">
        <f>CONCATENATE(Tabella1[[#This Row],[GG]],Tabella1[[#This Row],[Nome]])</f>
        <v>3Taylor K.</v>
      </c>
      <c r="AB676" t="str">
        <f t="shared" si="29"/>
        <v>3SHARK1</v>
      </c>
      <c r="AC676" t="str">
        <f>_xlfn.CONCAT(Tabella1[[#This Row],[Ruolo]],Tabella1[[#This Row],[Gs]])</f>
        <v>C0</v>
      </c>
    </row>
    <row r="677" spans="1:29" hidden="1" x14ac:dyDescent="0.3">
      <c r="A677" s="14">
        <v>46270</v>
      </c>
      <c r="B677" s="15">
        <v>3</v>
      </c>
      <c r="C677" s="321" t="str">
        <f>_xlfn.XLOOKUP(Tabella1[[#This Row],[Nome]],Tabella4[NOME],Tabella4[SQUADRA],"")</f>
        <v>Inter</v>
      </c>
      <c r="D677" s="330" t="s">
        <v>161</v>
      </c>
      <c r="E677" s="330" t="s">
        <v>243</v>
      </c>
      <c r="F677" s="331">
        <v>5.5</v>
      </c>
      <c r="G677" s="332">
        <v>0</v>
      </c>
      <c r="H677" s="332">
        <v>0</v>
      </c>
      <c r="I677" s="332">
        <v>0</v>
      </c>
      <c r="J677" s="332">
        <v>0</v>
      </c>
      <c r="K677" s="332">
        <v>0</v>
      </c>
      <c r="L677" s="332">
        <v>0</v>
      </c>
      <c r="M677" s="332">
        <v>0</v>
      </c>
      <c r="N677" s="332">
        <v>0</v>
      </c>
      <c r="O677" s="332">
        <v>0</v>
      </c>
      <c r="P677" s="284"/>
      <c r="Q677" s="284">
        <f t="shared" si="28"/>
        <v>0</v>
      </c>
      <c r="R677" s="3" t="str">
        <f>_xlfn.IFNA(VLOOKUP(Tabella1[[#This Row],[Nome]],'ROSE SQUADRE'!$N$3:$O$260,2,0),"")</f>
        <v>SAN GRIA</v>
      </c>
      <c r="S677" s="193">
        <f>SUM(Tabella1[[#This Row],[Gf]],Tabella1[[#This Row],[Rf]])</f>
        <v>0</v>
      </c>
      <c r="T677" s="193">
        <v>1</v>
      </c>
      <c r="U677" s="285">
        <f>IF(Tabella1[[#This Row],[N° FantaTit]]="","",Tabella1[[#This Row],[fanta voto]])</f>
        <v>5.5</v>
      </c>
      <c r="V677" s="193">
        <f>SUM(Tabella1[[#This Row],[Voto]],(G677*3),Q677,P677,O677,-(N677),(-M677/2),(-L677*2),(-H677),(I677*3),(-J677*3),(K677*3))</f>
        <v>5.5</v>
      </c>
      <c r="W677" s="193"/>
      <c r="X677" s="193" t="str">
        <f>IF(Tabella1[[#This Row],[Best 11]]=1,Tabella1[[#This Row],[fanta voto]],"")</f>
        <v/>
      </c>
      <c r="Z677" s="193" t="str">
        <f>IF(Tabella1[[#This Row],[Best 11 MOD]]=1,Tabella1[[#This Row],[fanta voto]],"")</f>
        <v/>
      </c>
      <c r="AA677" t="str">
        <f>CONCATENATE(Tabella1[[#This Row],[GG]],Tabella1[[#This Row],[Nome]])</f>
        <v>3Bastoni</v>
      </c>
      <c r="AB677" t="str">
        <f t="shared" si="29"/>
        <v>3SAN GRIA1</v>
      </c>
      <c r="AC677" t="str">
        <f>_xlfn.CONCAT(Tabella1[[#This Row],[Ruolo]],Tabella1[[#This Row],[Gs]])</f>
        <v>D0</v>
      </c>
    </row>
    <row r="678" spans="1:29" hidden="1" x14ac:dyDescent="0.3">
      <c r="A678" s="14">
        <v>46270</v>
      </c>
      <c r="B678" s="15">
        <v>3</v>
      </c>
      <c r="C678" s="321" t="str">
        <f>_xlfn.XLOOKUP(Tabella1[[#This Row],[Nome]],Tabella4[NOME],Tabella4[SQUADRA],"")</f>
        <v>Parma</v>
      </c>
      <c r="D678" s="330" t="s">
        <v>162</v>
      </c>
      <c r="E678" s="330" t="s">
        <v>885</v>
      </c>
      <c r="F678" s="331">
        <v>5.5</v>
      </c>
      <c r="G678" s="332">
        <v>0</v>
      </c>
      <c r="H678" s="332">
        <v>0</v>
      </c>
      <c r="I678" s="332">
        <v>0</v>
      </c>
      <c r="J678" s="332">
        <v>0</v>
      </c>
      <c r="K678" s="332">
        <v>0</v>
      </c>
      <c r="L678" s="332">
        <v>0</v>
      </c>
      <c r="M678" s="332">
        <v>0</v>
      </c>
      <c r="N678" s="332">
        <v>0</v>
      </c>
      <c r="O678" s="332">
        <v>0</v>
      </c>
      <c r="P678" s="284"/>
      <c r="Q678" s="284">
        <f t="shared" si="28"/>
        <v>0</v>
      </c>
      <c r="R678" s="3" t="str">
        <f>_xlfn.IFNA(VLOOKUP(Tabella1[[#This Row],[Nome]],'ROSE SQUADRE'!$N$3:$O$260,2,0),"")</f>
        <v/>
      </c>
      <c r="S678" s="193">
        <f>SUM(Tabella1[[#This Row],[Gf]],Tabella1[[#This Row],[Rf]])</f>
        <v>0</v>
      </c>
      <c r="T678" s="193"/>
      <c r="U678" s="285" t="str">
        <f>IF(Tabella1[[#This Row],[N° FantaTit]]="","",Tabella1[[#This Row],[fanta voto]])</f>
        <v/>
      </c>
      <c r="V678" s="193">
        <f>SUM(Tabella1[[#This Row],[Voto]],(G678*3),Q678,P678,O678,-(N678),(-M678/2),(-L678*2),(-H678),(I678*3),(-J678*3),(K678*3))</f>
        <v>5.5</v>
      </c>
      <c r="W678" s="193"/>
      <c r="X678" s="193" t="str">
        <f>IF(Tabella1[[#This Row],[Best 11]]=1,Tabella1[[#This Row],[fanta voto]],"")</f>
        <v/>
      </c>
      <c r="Z678" s="193" t="str">
        <f>IF(Tabella1[[#This Row],[Best 11 MOD]]=1,Tabella1[[#This Row],[fanta voto]],"")</f>
        <v/>
      </c>
      <c r="AA678" t="str">
        <f>CONCATENATE(Tabella1[[#This Row],[GG]],Tabella1[[#This Row],[Nome]])</f>
        <v>3Ordonez C.</v>
      </c>
      <c r="AB678" t="str">
        <f t="shared" si="29"/>
        <v>3</v>
      </c>
      <c r="AC678" t="str">
        <f>_xlfn.CONCAT(Tabella1[[#This Row],[Ruolo]],Tabella1[[#This Row],[Gs]])</f>
        <v>C0</v>
      </c>
    </row>
    <row r="679" spans="1:29" hidden="1" x14ac:dyDescent="0.3">
      <c r="A679" s="14">
        <v>46270</v>
      </c>
      <c r="B679" s="15">
        <v>3</v>
      </c>
      <c r="C679" s="321" t="str">
        <f>_xlfn.XLOOKUP(Tabella1[[#This Row],[Nome]],Tabella4[NOME],Tabella4[SQUADRA],"")</f>
        <v>Napoli</v>
      </c>
      <c r="D679" t="s">
        <v>162</v>
      </c>
      <c r="E679" t="s">
        <v>254</v>
      </c>
      <c r="F679" s="194">
        <v>5.5</v>
      </c>
      <c r="G679" s="328">
        <v>0</v>
      </c>
      <c r="H679" s="328">
        <v>0</v>
      </c>
      <c r="I679" s="328">
        <v>0</v>
      </c>
      <c r="J679" s="328">
        <v>0</v>
      </c>
      <c r="K679" s="328">
        <v>0</v>
      </c>
      <c r="L679" s="328">
        <v>0</v>
      </c>
      <c r="M679" s="328">
        <v>0</v>
      </c>
      <c r="N679" s="328">
        <v>0</v>
      </c>
      <c r="O679" s="328">
        <v>0</v>
      </c>
      <c r="P679" s="284"/>
      <c r="Q679" s="284">
        <f t="shared" si="28"/>
        <v>0</v>
      </c>
      <c r="R679" s="3" t="str">
        <f>_xlfn.IFNA(VLOOKUP(Tabella1[[#This Row],[Nome]],'ROSE SQUADRE'!$N$3:$O$260,2,0),"")</f>
        <v>ATL. IMPROVVISATO</v>
      </c>
      <c r="S679" s="193">
        <f>SUM(Tabella1[[#This Row],[Gf]],Tabella1[[#This Row],[Rf]])</f>
        <v>0</v>
      </c>
      <c r="T679" s="193">
        <v>1</v>
      </c>
      <c r="U679" s="285">
        <f>IF(Tabella1[[#This Row],[N° FantaTit]]="","",Tabella1[[#This Row],[fanta voto]])</f>
        <v>5.5</v>
      </c>
      <c r="V679" s="193">
        <f>SUM(Tabella1[[#This Row],[Voto]],(G679*3),Q679,P679,O679,-(N679),(-M679/2),(-L679*2),(-H679),(I679*3),(-J679*3),(K679*3))</f>
        <v>5.5</v>
      </c>
      <c r="W679" s="193">
        <v>1</v>
      </c>
      <c r="X679" s="193">
        <f>IF(Tabella1[[#This Row],[Best 11]]=1,Tabella1[[#This Row],[fanta voto]],"")</f>
        <v>5.5</v>
      </c>
      <c r="Y679">
        <v>1</v>
      </c>
      <c r="Z679" s="193">
        <f>IF(Tabella1[[#This Row],[Best 11 MOD]]=1,Tabella1[[#This Row],[fanta voto]],"")</f>
        <v>5.5</v>
      </c>
      <c r="AA679" t="str">
        <f>CONCATENATE(Tabella1[[#This Row],[GG]],Tabella1[[#This Row],[Nome]])</f>
        <v>3Zambo Anguissa</v>
      </c>
      <c r="AB679" t="str">
        <f t="shared" si="29"/>
        <v>3ATL. IMPROVVISATO1</v>
      </c>
      <c r="AC679" t="str">
        <f>_xlfn.CONCAT(Tabella1[[#This Row],[Ruolo]],Tabella1[[#This Row],[Gs]])</f>
        <v>C0</v>
      </c>
    </row>
    <row r="680" spans="1:29" hidden="1" x14ac:dyDescent="0.3">
      <c r="A680" s="14">
        <v>46270</v>
      </c>
      <c r="B680" s="15">
        <v>3</v>
      </c>
      <c r="C680" s="321" t="str">
        <f>_xlfn.XLOOKUP(Tabella1[[#This Row],[Nome]],Tabella4[NOME],Tabella4[SQUADRA],"")</f>
        <v>Bologna</v>
      </c>
      <c r="D680" t="s">
        <v>162</v>
      </c>
      <c r="E680" t="s">
        <v>508</v>
      </c>
      <c r="F680" s="194">
        <v>5.5</v>
      </c>
      <c r="G680" s="328">
        <v>0</v>
      </c>
      <c r="H680" s="328">
        <v>0</v>
      </c>
      <c r="I680" s="328">
        <v>0</v>
      </c>
      <c r="J680" s="328">
        <v>0</v>
      </c>
      <c r="K680" s="328">
        <v>0</v>
      </c>
      <c r="L680" s="328">
        <v>0</v>
      </c>
      <c r="M680" s="328">
        <v>0</v>
      </c>
      <c r="N680" s="328">
        <v>0</v>
      </c>
      <c r="O680" s="328">
        <v>0</v>
      </c>
      <c r="P680" s="284"/>
      <c r="Q680" s="284">
        <f t="shared" si="28"/>
        <v>0</v>
      </c>
      <c r="R680" s="3" t="str">
        <f>_xlfn.IFNA(VLOOKUP(Tabella1[[#This Row],[Nome]],'ROSE SQUADRE'!$N$3:$O$260,2,0),"")</f>
        <v>AS PIPPERIA</v>
      </c>
      <c r="S680" s="193">
        <f>SUM(Tabella1[[#This Row],[Gf]],Tabella1[[#This Row],[Rf]])</f>
        <v>0</v>
      </c>
      <c r="T680" s="193">
        <v>1</v>
      </c>
      <c r="U680" s="285">
        <f>IF(Tabella1[[#This Row],[N° FantaTit]]="","",Tabella1[[#This Row],[fanta voto]])</f>
        <v>5.5</v>
      </c>
      <c r="V680" s="193">
        <f>SUM(Tabella1[[#This Row],[Voto]],(G680*3),Q680,P680,O680,-(N680),(-M680/2),(-L680*2),(-H680),(I680*3),(-J680*3),(K680*3))</f>
        <v>5.5</v>
      </c>
      <c r="W680" s="193"/>
      <c r="X680" s="193" t="str">
        <f>IF(Tabella1[[#This Row],[Best 11]]=1,Tabella1[[#This Row],[fanta voto]],"")</f>
        <v/>
      </c>
      <c r="Z680" s="193" t="str">
        <f>IF(Tabella1[[#This Row],[Best 11 MOD]]=1,Tabella1[[#This Row],[fanta voto]],"")</f>
        <v/>
      </c>
      <c r="AA680" t="str">
        <f>CONCATENATE(Tabella1[[#This Row],[GG]],Tabella1[[#This Row],[Nome]])</f>
        <v>3Odgaard</v>
      </c>
      <c r="AB680" t="str">
        <f t="shared" si="29"/>
        <v>3AS PIPPERIA1</v>
      </c>
      <c r="AC680" t="str">
        <f>_xlfn.CONCAT(Tabella1[[#This Row],[Ruolo]],Tabella1[[#This Row],[Gs]])</f>
        <v>C0</v>
      </c>
    </row>
    <row r="681" spans="1:29" hidden="1" x14ac:dyDescent="0.3">
      <c r="A681" s="14">
        <v>46270</v>
      </c>
      <c r="B681" s="15">
        <v>3</v>
      </c>
      <c r="C681" s="321" t="str">
        <f>_xlfn.XLOOKUP(Tabella1[[#This Row],[Nome]],Tabella4[NOME],Tabella4[SQUADRA],"")</f>
        <v>Cagliari</v>
      </c>
      <c r="D681" s="330" t="s">
        <v>161</v>
      </c>
      <c r="E681" s="330" t="s">
        <v>668</v>
      </c>
      <c r="F681" s="331">
        <v>6.5</v>
      </c>
      <c r="G681" s="332">
        <v>0</v>
      </c>
      <c r="H681" s="332">
        <v>0</v>
      </c>
      <c r="I681" s="332">
        <v>0</v>
      </c>
      <c r="J681" s="332">
        <v>0</v>
      </c>
      <c r="K681" s="332">
        <v>0</v>
      </c>
      <c r="L681" s="332">
        <v>0</v>
      </c>
      <c r="M681" s="332">
        <v>0</v>
      </c>
      <c r="N681" s="332">
        <v>0</v>
      </c>
      <c r="O681" s="332">
        <v>0</v>
      </c>
      <c r="P681" s="284"/>
      <c r="Q681" s="284">
        <f t="shared" si="28"/>
        <v>0</v>
      </c>
      <c r="R681" s="3" t="str">
        <f>_xlfn.IFNA(VLOOKUP(Tabella1[[#This Row],[Nome]],'ROSE SQUADRE'!$N$3:$O$260,2,0),"")</f>
        <v/>
      </c>
      <c r="S681" s="193">
        <f>SUM(Tabella1[[#This Row],[Gf]],Tabella1[[#This Row],[Rf]])</f>
        <v>0</v>
      </c>
      <c r="T681" s="193"/>
      <c r="U681" s="285" t="str">
        <f>IF(Tabella1[[#This Row],[N° FantaTit]]="","",Tabella1[[#This Row],[fanta voto]])</f>
        <v/>
      </c>
      <c r="V681" s="193">
        <f>SUM(Tabella1[[#This Row],[Voto]],(G681*3),Q681,P681,O681,-(N681),(-M681/2),(-L681*2),(-H681),(I681*3),(-J681*3),(K681*3))</f>
        <v>6.5</v>
      </c>
      <c r="W681" s="193"/>
      <c r="X681" s="193" t="str">
        <f>IF(Tabella1[[#This Row],[Best 11]]=1,Tabella1[[#This Row],[fanta voto]],"")</f>
        <v/>
      </c>
      <c r="Z681" s="193" t="str">
        <f>IF(Tabella1[[#This Row],[Best 11 MOD]]=1,Tabella1[[#This Row],[fanta voto]],"")</f>
        <v/>
      </c>
      <c r="AA681" t="str">
        <f>CONCATENATE(Tabella1[[#This Row],[GG]],Tabella1[[#This Row],[Nome]])</f>
        <v>3Obert</v>
      </c>
      <c r="AB681" t="str">
        <f t="shared" si="29"/>
        <v>3</v>
      </c>
      <c r="AC681" t="str">
        <f>_xlfn.CONCAT(Tabella1[[#This Row],[Ruolo]],Tabella1[[#This Row],[Gs]])</f>
        <v>D0</v>
      </c>
    </row>
    <row r="682" spans="1:29" hidden="1" x14ac:dyDescent="0.3">
      <c r="A682" s="14">
        <v>46270</v>
      </c>
      <c r="B682" s="15">
        <v>3</v>
      </c>
      <c r="C682" s="321" t="str">
        <f>_xlfn.XLOOKUP(Tabella1[[#This Row],[Nome]],Tabella4[NOME],Tabella4[SQUADRA],"")</f>
        <v>Venezia</v>
      </c>
      <c r="D682" s="330" t="s">
        <v>161</v>
      </c>
      <c r="E682" s="330" t="s">
        <v>584</v>
      </c>
      <c r="F682" s="331">
        <v>5.5</v>
      </c>
      <c r="G682" s="332">
        <v>0</v>
      </c>
      <c r="H682" s="332">
        <v>0</v>
      </c>
      <c r="I682" s="332">
        <v>0</v>
      </c>
      <c r="J682" s="332">
        <v>0</v>
      </c>
      <c r="K682" s="332">
        <v>0</v>
      </c>
      <c r="L682" s="332">
        <v>0</v>
      </c>
      <c r="M682" s="332">
        <v>0</v>
      </c>
      <c r="N682" s="332">
        <v>0</v>
      </c>
      <c r="O682" s="332">
        <v>0</v>
      </c>
      <c r="P682" s="284"/>
      <c r="Q682" s="284">
        <f t="shared" si="28"/>
        <v>0</v>
      </c>
      <c r="R682" s="3" t="str">
        <f>_xlfn.IFNA(VLOOKUP(Tabella1[[#This Row],[Nome]],'ROSE SQUADRE'!$N$3:$O$260,2,0),"")</f>
        <v>FC INTERNAZIOANALE</v>
      </c>
      <c r="S682" s="193">
        <f>SUM(Tabella1[[#This Row],[Gf]],Tabella1[[#This Row],[Rf]])</f>
        <v>0</v>
      </c>
      <c r="T682" s="193"/>
      <c r="U682" s="285" t="str">
        <f>IF(Tabella1[[#This Row],[N° FantaTit]]="","",Tabella1[[#This Row],[fanta voto]])</f>
        <v/>
      </c>
      <c r="V682" s="193">
        <f>SUM(Tabella1[[#This Row],[Voto]],(G682*3),Q682,P682,O682,-(N682),(-M682/2),(-L682*2),(-H682),(I682*3),(-J682*3),(K682*3))</f>
        <v>5.5</v>
      </c>
      <c r="W682" s="193"/>
      <c r="X682" s="193" t="str">
        <f>IF(Tabella1[[#This Row],[Best 11]]=1,Tabella1[[#This Row],[fanta voto]],"")</f>
        <v/>
      </c>
      <c r="Z682" s="193" t="str">
        <f>IF(Tabella1[[#This Row],[Best 11 MOD]]=1,Tabella1[[#This Row],[fanta voto]],"")</f>
        <v/>
      </c>
      <c r="AA682" t="str">
        <f>CONCATENATE(Tabella1[[#This Row],[GG]],Tabella1[[#This Row],[Nome]])</f>
        <v>3Haps</v>
      </c>
      <c r="AB682" t="str">
        <f t="shared" si="29"/>
        <v>3FC INTERNAZIOANALE</v>
      </c>
      <c r="AC682" t="str">
        <f>_xlfn.CONCAT(Tabella1[[#This Row],[Ruolo]],Tabella1[[#This Row],[Gs]])</f>
        <v>D0</v>
      </c>
    </row>
    <row r="683" spans="1:29" hidden="1" x14ac:dyDescent="0.3">
      <c r="A683" s="14">
        <v>46270</v>
      </c>
      <c r="B683" s="15">
        <v>3</v>
      </c>
      <c r="C683" s="321" t="str">
        <f>_xlfn.XLOOKUP(Tabella1[[#This Row],[Nome]],Tabella4[NOME],Tabella4[SQUADRA],"")</f>
        <v>Roma</v>
      </c>
      <c r="D683" s="330" t="s">
        <v>161</v>
      </c>
      <c r="E683" s="330" t="s">
        <v>277</v>
      </c>
      <c r="F683" s="331">
        <v>5</v>
      </c>
      <c r="G683" s="332">
        <v>0</v>
      </c>
      <c r="H683" s="332">
        <v>0</v>
      </c>
      <c r="I683" s="332">
        <v>0</v>
      </c>
      <c r="J683" s="332">
        <v>0</v>
      </c>
      <c r="K683" s="332">
        <v>0</v>
      </c>
      <c r="L683" s="332">
        <v>0</v>
      </c>
      <c r="M683" s="332">
        <v>0</v>
      </c>
      <c r="N683" s="332">
        <v>0</v>
      </c>
      <c r="O683" s="332">
        <v>0</v>
      </c>
      <c r="P683" s="284"/>
      <c r="Q683" s="284">
        <f t="shared" si="28"/>
        <v>0</v>
      </c>
      <c r="R683" s="3" t="str">
        <f>_xlfn.IFNA(VLOOKUP(Tabella1[[#This Row],[Nome]],'ROSE SQUADRE'!$N$3:$O$260,2,0),"")</f>
        <v>PESCICULINI</v>
      </c>
      <c r="S683" s="193">
        <f>SUM(Tabella1[[#This Row],[Gf]],Tabella1[[#This Row],[Rf]])</f>
        <v>0</v>
      </c>
      <c r="T683" s="193">
        <v>1</v>
      </c>
      <c r="U683" s="285">
        <f>IF(Tabella1[[#This Row],[N° FantaTit]]="","",Tabella1[[#This Row],[fanta voto]])</f>
        <v>5</v>
      </c>
      <c r="V683" s="193">
        <f>SUM(Tabella1[[#This Row],[Voto]],(G683*3),Q683,P683,O683,-(N683),(-M683/2),(-L683*2),(-H683),(I683*3),(-J683*3),(K683*3))</f>
        <v>5</v>
      </c>
      <c r="W683" s="193"/>
      <c r="X683" s="193" t="str">
        <f>IF(Tabella1[[#This Row],[Best 11]]=1,Tabella1[[#This Row],[fanta voto]],"")</f>
        <v/>
      </c>
      <c r="Z683" s="193" t="str">
        <f>IF(Tabella1[[#This Row],[Best 11 MOD]]=1,Tabella1[[#This Row],[fanta voto]],"")</f>
        <v/>
      </c>
      <c r="AA683" t="str">
        <f>CONCATENATE(Tabella1[[#This Row],[GG]],Tabella1[[#This Row],[Nome]])</f>
        <v>3Mancini</v>
      </c>
      <c r="AB683" t="str">
        <f t="shared" si="29"/>
        <v>3PESCICULINI1</v>
      </c>
      <c r="AC683" t="str">
        <f>_xlfn.CONCAT(Tabella1[[#This Row],[Ruolo]],Tabella1[[#This Row],[Gs]])</f>
        <v>D0</v>
      </c>
    </row>
    <row r="684" spans="1:29" hidden="1" x14ac:dyDescent="0.3">
      <c r="A684" s="14">
        <v>46270</v>
      </c>
      <c r="B684" s="15">
        <v>3</v>
      </c>
      <c r="C684" s="321" t="str">
        <f>_xlfn.XLOOKUP(Tabella1[[#This Row],[Nome]],Tabella4[NOME],Tabella4[SQUADRA],"")</f>
        <v>Lecce</v>
      </c>
      <c r="D684" t="s">
        <v>162</v>
      </c>
      <c r="E684" t="s">
        <v>822</v>
      </c>
      <c r="F684" s="194">
        <v>5.5</v>
      </c>
      <c r="G684" s="328">
        <v>0</v>
      </c>
      <c r="H684" s="328">
        <v>0</v>
      </c>
      <c r="I684" s="328">
        <v>0</v>
      </c>
      <c r="J684" s="328">
        <v>0</v>
      </c>
      <c r="K684" s="328">
        <v>0</v>
      </c>
      <c r="L684" s="328">
        <v>0</v>
      </c>
      <c r="M684" s="328">
        <v>0</v>
      </c>
      <c r="N684" s="328">
        <v>0</v>
      </c>
      <c r="O684" s="328">
        <v>0</v>
      </c>
      <c r="P684" s="284"/>
      <c r="Q684" s="284">
        <f t="shared" si="28"/>
        <v>0</v>
      </c>
      <c r="R684" s="3" t="str">
        <f>_xlfn.IFNA(VLOOKUP(Tabella1[[#This Row],[Nome]],'ROSE SQUADRE'!$N$3:$O$260,2,0),"")</f>
        <v/>
      </c>
      <c r="S684" s="193">
        <f>SUM(Tabella1[[#This Row],[Gf]],Tabella1[[#This Row],[Rf]])</f>
        <v>0</v>
      </c>
      <c r="T684" s="193"/>
      <c r="U684" s="285" t="str">
        <f>IF(Tabella1[[#This Row],[N° FantaTit]]="","",Tabella1[[#This Row],[fanta voto]])</f>
        <v/>
      </c>
      <c r="V684" s="193">
        <f>SUM(Tabella1[[#This Row],[Voto]],(G684*3),Q684,P684,O684,-(N684),(-M684/2),(-L684*2),(-H684),(I684*3),(-J684*3),(K684*3))</f>
        <v>5.5</v>
      </c>
      <c r="W684" s="193"/>
      <c r="X684" s="193" t="str">
        <f>IF(Tabella1[[#This Row],[Best 11]]=1,Tabella1[[#This Row],[fanta voto]],"")</f>
        <v/>
      </c>
      <c r="Z684" s="193" t="str">
        <f>IF(Tabella1[[#This Row],[Best 11 MOD]]=1,Tabella1[[#This Row],[fanta voto]],"")</f>
        <v/>
      </c>
      <c r="AA684" t="str">
        <f>CONCATENATE(Tabella1[[#This Row],[GG]],Tabella1[[#This Row],[Nome]])</f>
        <v>3Ngom</v>
      </c>
      <c r="AB684" t="str">
        <f t="shared" si="29"/>
        <v>3</v>
      </c>
      <c r="AC684" t="str">
        <f>_xlfn.CONCAT(Tabella1[[#This Row],[Ruolo]],Tabella1[[#This Row],[Gs]])</f>
        <v>C0</v>
      </c>
    </row>
    <row r="685" spans="1:29" hidden="1" x14ac:dyDescent="0.3">
      <c r="A685" s="14">
        <v>46270</v>
      </c>
      <c r="B685" s="15">
        <v>3</v>
      </c>
      <c r="C685" s="321" t="str">
        <f>_xlfn.XLOOKUP(Tabella1[[#This Row],[Nome]],Tabella4[NOME],Tabella4[SQUADRA],"")</f>
        <v>Milan</v>
      </c>
      <c r="D685" s="330" t="s">
        <v>162</v>
      </c>
      <c r="E685" s="330" t="s">
        <v>466</v>
      </c>
      <c r="F685" s="331">
        <v>6</v>
      </c>
      <c r="G685" s="332">
        <v>0</v>
      </c>
      <c r="H685" s="332">
        <v>0</v>
      </c>
      <c r="I685" s="332">
        <v>0</v>
      </c>
      <c r="J685" s="332">
        <v>0</v>
      </c>
      <c r="K685" s="332">
        <v>0</v>
      </c>
      <c r="L685" s="332">
        <v>0</v>
      </c>
      <c r="M685" s="332">
        <v>0</v>
      </c>
      <c r="N685" s="332">
        <v>0</v>
      </c>
      <c r="O685" s="332">
        <v>0</v>
      </c>
      <c r="P685" s="284"/>
      <c r="Q685" s="284">
        <f t="shared" si="28"/>
        <v>0</v>
      </c>
      <c r="R685" s="3" t="str">
        <f>_xlfn.IFNA(VLOOKUP(Tabella1[[#This Row],[Nome]],'ROSE SQUADRE'!$N$3:$O$260,2,0),"")</f>
        <v>SHARK</v>
      </c>
      <c r="S685" s="193">
        <f>SUM(Tabella1[[#This Row],[Gf]],Tabella1[[#This Row],[Rf]])</f>
        <v>0</v>
      </c>
      <c r="T685" s="193">
        <v>1</v>
      </c>
      <c r="U685" s="285">
        <f>IF(Tabella1[[#This Row],[N° FantaTit]]="","",Tabella1[[#This Row],[fanta voto]])</f>
        <v>6</v>
      </c>
      <c r="V685" s="193">
        <f>SUM(Tabella1[[#This Row],[Voto]],(G685*3),Q685,P685,O685,-(N685),(-M685/2),(-L685*2),(-H685),(I685*3),(-J685*3),(K685*3))</f>
        <v>6</v>
      </c>
      <c r="W685" s="193">
        <v>1</v>
      </c>
      <c r="X685" s="193">
        <f>IF(Tabella1[[#This Row],[Best 11]]=1,Tabella1[[#This Row],[fanta voto]],"")</f>
        <v>6</v>
      </c>
      <c r="Y685">
        <v>1</v>
      </c>
      <c r="Z685" s="193">
        <f>IF(Tabella1[[#This Row],[Best 11 MOD]]=1,Tabella1[[#This Row],[fanta voto]],"")</f>
        <v>6</v>
      </c>
      <c r="AA685" t="str">
        <f>CONCATENATE(Tabella1[[#This Row],[GG]],Tabella1[[#This Row],[Nome]])</f>
        <v>3Musah</v>
      </c>
      <c r="AB685" t="str">
        <f t="shared" si="29"/>
        <v>3SHARK1</v>
      </c>
      <c r="AC685" t="str">
        <f>_xlfn.CONCAT(Tabella1[[#This Row],[Ruolo]],Tabella1[[#This Row],[Gs]])</f>
        <v>C0</v>
      </c>
    </row>
    <row r="686" spans="1:29" hidden="1" x14ac:dyDescent="0.3">
      <c r="A686" s="14">
        <v>46270</v>
      </c>
      <c r="B686" s="15">
        <v>3</v>
      </c>
      <c r="C686" s="321" t="str">
        <f>_xlfn.XLOOKUP(Tabella1[[#This Row],[Nome]],Tabella4[NOME],Tabella4[SQUADRA],"")</f>
        <v>Lecce</v>
      </c>
      <c r="D686" t="s">
        <v>163</v>
      </c>
      <c r="E686" t="s">
        <v>824</v>
      </c>
      <c r="F686" s="194">
        <v>6</v>
      </c>
      <c r="G686" s="328">
        <v>0</v>
      </c>
      <c r="H686" s="328">
        <v>0</v>
      </c>
      <c r="I686" s="328">
        <v>0</v>
      </c>
      <c r="J686" s="328">
        <v>0</v>
      </c>
      <c r="K686" s="328">
        <v>0</v>
      </c>
      <c r="L686" s="328">
        <v>0</v>
      </c>
      <c r="M686" s="328">
        <v>0</v>
      </c>
      <c r="N686" s="328">
        <v>0</v>
      </c>
      <c r="O686" s="328">
        <v>0</v>
      </c>
      <c r="P686" s="284"/>
      <c r="Q686" s="284">
        <f t="shared" si="28"/>
        <v>0</v>
      </c>
      <c r="R686" s="3" t="str">
        <f>_xlfn.IFNA(VLOOKUP(Tabella1[[#This Row],[Nome]],'ROSE SQUADRE'!$N$3:$O$260,2,0),"")</f>
        <v/>
      </c>
      <c r="S686" s="193">
        <f>SUM(Tabella1[[#This Row],[Gf]],Tabella1[[#This Row],[Rf]])</f>
        <v>0</v>
      </c>
      <c r="T686" s="193"/>
      <c r="U686" s="285" t="str">
        <f>IF(Tabella1[[#This Row],[N° FantaTit]]="","",Tabella1[[#This Row],[fanta voto]])</f>
        <v/>
      </c>
      <c r="V686" s="193">
        <f>SUM(Tabella1[[#This Row],[Voto]],(G686*3),Q686,P686,O686,-(N686),(-M686/2),(-L686*2),(-H686),(I686*3),(-J686*3),(K686*3))</f>
        <v>6</v>
      </c>
      <c r="W686" s="193"/>
      <c r="X686" s="193" t="str">
        <f>IF(Tabella1[[#This Row],[Best 11]]=1,Tabella1[[#This Row],[fanta voto]],"")</f>
        <v/>
      </c>
      <c r="Z686" s="193" t="str">
        <f>IF(Tabella1[[#This Row],[Best 11 MOD]]=1,Tabella1[[#This Row],[fanta voto]],"")</f>
        <v/>
      </c>
      <c r="AA686" t="str">
        <f>CONCATENATE(Tabella1[[#This Row],[GG]],Tabella1[[#This Row],[Nome]])</f>
        <v>3N'Dri</v>
      </c>
      <c r="AB686" t="str">
        <f t="shared" si="29"/>
        <v>3</v>
      </c>
      <c r="AC686" t="str">
        <f>_xlfn.CONCAT(Tabella1[[#This Row],[Ruolo]],Tabella1[[#This Row],[Gs]])</f>
        <v>A0</v>
      </c>
    </row>
    <row r="687" spans="1:29" hidden="1" x14ac:dyDescent="0.3">
      <c r="A687" s="14">
        <v>46270</v>
      </c>
      <c r="B687" s="15">
        <v>3</v>
      </c>
      <c r="C687" s="321" t="str">
        <f>_xlfn.XLOOKUP(Tabella1[[#This Row],[Nome]],Tabella4[NOME],Tabella4[SQUADRA],"")</f>
        <v>Torino</v>
      </c>
      <c r="D687" s="330" t="s">
        <v>161</v>
      </c>
      <c r="E687" s="330" t="s">
        <v>938</v>
      </c>
      <c r="F687" s="331">
        <v>6.5</v>
      </c>
      <c r="G687" s="332">
        <v>0</v>
      </c>
      <c r="H687" s="332">
        <v>0</v>
      </c>
      <c r="I687" s="332">
        <v>0</v>
      </c>
      <c r="J687" s="332">
        <v>0</v>
      </c>
      <c r="K687" s="332">
        <v>0</v>
      </c>
      <c r="L687" s="332">
        <v>0</v>
      </c>
      <c r="M687" s="332">
        <v>0</v>
      </c>
      <c r="N687" s="332">
        <v>0</v>
      </c>
      <c r="O687" s="332">
        <v>0</v>
      </c>
      <c r="P687" s="284"/>
      <c r="Q687" s="284">
        <f t="shared" si="28"/>
        <v>0</v>
      </c>
      <c r="R687" s="3" t="str">
        <f>_xlfn.IFNA(VLOOKUP(Tabella1[[#This Row],[Nome]],'ROSE SQUADRE'!$N$3:$O$260,2,0),"")</f>
        <v>FC INTERNAZIOANALE</v>
      </c>
      <c r="S687" s="193">
        <f>SUM(Tabella1[[#This Row],[Gf]],Tabella1[[#This Row],[Rf]])</f>
        <v>0</v>
      </c>
      <c r="T687" s="193"/>
      <c r="U687" s="285" t="str">
        <f>IF(Tabella1[[#This Row],[N° FantaTit]]="","",Tabella1[[#This Row],[fanta voto]])</f>
        <v/>
      </c>
      <c r="V687" s="193">
        <f>SUM(Tabella1[[#This Row],[Voto]],(G687*3),Q687,P687,O687,-(N687),(-M687/2),(-L687*2),(-H687),(I687*3),(-J687*3),(K687*3))</f>
        <v>6.5</v>
      </c>
      <c r="W687" s="193">
        <v>1</v>
      </c>
      <c r="X687" s="193">
        <f>IF(Tabella1[[#This Row],[Best 11]]=1,Tabella1[[#This Row],[fanta voto]],"")</f>
        <v>6.5</v>
      </c>
      <c r="Y687">
        <v>1</v>
      </c>
      <c r="Z687" s="193">
        <f>IF(Tabella1[[#This Row],[Best 11 MOD]]=1,Tabella1[[#This Row],[fanta voto]],"")</f>
        <v>6.5</v>
      </c>
      <c r="AA687" t="str">
        <f>CONCATENATE(Tabella1[[#This Row],[GG]],Tabella1[[#This Row],[Nome]])</f>
        <v>3Fortini</v>
      </c>
      <c r="AB687" t="str">
        <f t="shared" si="29"/>
        <v>3FC INTERNAZIOANALE</v>
      </c>
      <c r="AC687" t="str">
        <f>_xlfn.CONCAT(Tabella1[[#This Row],[Ruolo]],Tabella1[[#This Row],[Gs]])</f>
        <v>D0</v>
      </c>
    </row>
    <row r="688" spans="1:29" hidden="1" x14ac:dyDescent="0.3">
      <c r="A688" s="14">
        <v>46270</v>
      </c>
      <c r="B688" s="15">
        <v>3</v>
      </c>
      <c r="C688" s="321" t="str">
        <f>_xlfn.XLOOKUP(Tabella1[[#This Row],[Nome]],Tabella4[NOME],Tabella4[SQUADRA],"")</f>
        <v>Juventus</v>
      </c>
      <c r="D688" t="s">
        <v>161</v>
      </c>
      <c r="E688" t="s">
        <v>321</v>
      </c>
      <c r="F688" s="194">
        <v>5.5</v>
      </c>
      <c r="G688" s="328">
        <v>0</v>
      </c>
      <c r="H688" s="328">
        <v>0</v>
      </c>
      <c r="I688" s="328">
        <v>0</v>
      </c>
      <c r="J688" s="328">
        <v>0</v>
      </c>
      <c r="K688" s="328">
        <v>0</v>
      </c>
      <c r="L688" s="328">
        <v>0</v>
      </c>
      <c r="M688" s="328">
        <v>0</v>
      </c>
      <c r="N688" s="328">
        <v>0</v>
      </c>
      <c r="O688" s="328">
        <v>0</v>
      </c>
      <c r="P688" s="284"/>
      <c r="Q688" s="284">
        <f t="shared" si="28"/>
        <v>0</v>
      </c>
      <c r="R688" s="3" t="str">
        <f>_xlfn.IFNA(VLOOKUP(Tabella1[[#This Row],[Nome]],'ROSE SQUADRE'!$N$3:$O$260,2,0),"")</f>
        <v>FC INTERNAZIOANALE</v>
      </c>
      <c r="S688" s="193">
        <f>SUM(Tabella1[[#This Row],[Gf]],Tabella1[[#This Row],[Rf]])</f>
        <v>0</v>
      </c>
      <c r="T688" s="193">
        <v>1</v>
      </c>
      <c r="U688" s="285">
        <f>IF(Tabella1[[#This Row],[N° FantaTit]]="","",Tabella1[[#This Row],[fanta voto]])</f>
        <v>5.5</v>
      </c>
      <c r="V688" s="193">
        <f>SUM(Tabella1[[#This Row],[Voto]],(G688*3),Q688,P688,O688,-(N688),(-M688/2),(-L688*2),(-H688),(I688*3),(-J688*3),(K688*3))</f>
        <v>5.5</v>
      </c>
      <c r="W688" s="193"/>
      <c r="X688" s="193" t="str">
        <f>IF(Tabella1[[#This Row],[Best 11]]=1,Tabella1[[#This Row],[fanta voto]],"")</f>
        <v/>
      </c>
      <c r="Z688" s="193" t="str">
        <f>IF(Tabella1[[#This Row],[Best 11 MOD]]=1,Tabella1[[#This Row],[fanta voto]],"")</f>
        <v/>
      </c>
      <c r="AA688" t="str">
        <f>CONCATENATE(Tabella1[[#This Row],[GG]],Tabella1[[#This Row],[Nome]])</f>
        <v>3Celik</v>
      </c>
      <c r="AB688" t="str">
        <f t="shared" si="29"/>
        <v>3FC INTERNAZIOANALE1</v>
      </c>
      <c r="AC688" t="str">
        <f>_xlfn.CONCAT(Tabella1[[#This Row],[Ruolo]],Tabella1[[#This Row],[Gs]])</f>
        <v>D0</v>
      </c>
    </row>
    <row r="689" spans="1:29" hidden="1" x14ac:dyDescent="0.3">
      <c r="A689" s="14">
        <v>46270</v>
      </c>
      <c r="B689" s="15">
        <v>3</v>
      </c>
      <c r="C689" s="321" t="str">
        <f>_xlfn.XLOOKUP(Tabella1[[#This Row],[Nome]],Tabella4[NOME],Tabella4[SQUADRA],"")</f>
        <v>Lecce</v>
      </c>
      <c r="D689" t="s">
        <v>162</v>
      </c>
      <c r="E689" t="s">
        <v>242</v>
      </c>
      <c r="F689" s="194">
        <v>5.5</v>
      </c>
      <c r="G689" s="328">
        <v>0</v>
      </c>
      <c r="H689" s="328">
        <v>0</v>
      </c>
      <c r="I689" s="328">
        <v>0</v>
      </c>
      <c r="J689" s="328">
        <v>0</v>
      </c>
      <c r="K689" s="328">
        <v>0</v>
      </c>
      <c r="L689" s="328">
        <v>0</v>
      </c>
      <c r="M689" s="328">
        <v>0</v>
      </c>
      <c r="N689" s="328">
        <v>0</v>
      </c>
      <c r="O689" s="328">
        <v>0</v>
      </c>
      <c r="P689" s="284"/>
      <c r="Q689" s="284">
        <f t="shared" si="28"/>
        <v>0</v>
      </c>
      <c r="R689" s="3" t="str">
        <f>_xlfn.IFNA(VLOOKUP(Tabella1[[#This Row],[Nome]],'ROSE SQUADRE'!$N$3:$O$260,2,0),"")</f>
        <v>SHARK</v>
      </c>
      <c r="S689" s="193">
        <f>SUM(Tabella1[[#This Row],[Gf]],Tabella1[[#This Row],[Rf]])</f>
        <v>0</v>
      </c>
      <c r="T689" s="193"/>
      <c r="U689" s="285" t="str">
        <f>IF(Tabella1[[#This Row],[N° FantaTit]]="","",Tabella1[[#This Row],[fanta voto]])</f>
        <v/>
      </c>
      <c r="V689" s="193">
        <f>SUM(Tabella1[[#This Row],[Voto]],(G689*3),Q689,P689,O689,-(N689),(-M689/2),(-L689*2),(-H689),(I689*3),(-J689*3),(K689*3))</f>
        <v>5.5</v>
      </c>
      <c r="W689" s="193"/>
      <c r="X689" s="193" t="str">
        <f>IF(Tabella1[[#This Row],[Best 11]]=1,Tabella1[[#This Row],[fanta voto]],"")</f>
        <v/>
      </c>
      <c r="Z689" s="193" t="str">
        <f>IF(Tabella1[[#This Row],[Best 11 MOD]]=1,Tabella1[[#This Row],[fanta voto]],"")</f>
        <v/>
      </c>
      <c r="AA689" t="str">
        <f>CONCATENATE(Tabella1[[#This Row],[GG]],Tabella1[[#This Row],[Nome]])</f>
        <v>3Maleh</v>
      </c>
      <c r="AB689" t="str">
        <f t="shared" si="29"/>
        <v>3SHARK</v>
      </c>
      <c r="AC689" t="str">
        <f>_xlfn.CONCAT(Tabella1[[#This Row],[Ruolo]],Tabella1[[#This Row],[Gs]])</f>
        <v>C0</v>
      </c>
    </row>
    <row r="690" spans="1:29" hidden="1" x14ac:dyDescent="0.3">
      <c r="A690" s="14">
        <v>46270</v>
      </c>
      <c r="B690" s="15">
        <v>3</v>
      </c>
      <c r="C690" s="321" t="str">
        <f>_xlfn.XLOOKUP(Tabella1[[#This Row],[Nome]],Tabella4[NOME],Tabella4[SQUADRA],"")</f>
        <v>Sassuolo</v>
      </c>
      <c r="D690" s="330" t="s">
        <v>5</v>
      </c>
      <c r="E690" s="330" t="s">
        <v>909</v>
      </c>
      <c r="F690" s="331">
        <v>5.5</v>
      </c>
      <c r="G690" s="332">
        <v>0</v>
      </c>
      <c r="H690" s="333">
        <v>2</v>
      </c>
      <c r="I690" s="332">
        <v>0</v>
      </c>
      <c r="J690" s="332">
        <v>0</v>
      </c>
      <c r="K690" s="332">
        <v>0</v>
      </c>
      <c r="L690" s="332">
        <v>0</v>
      </c>
      <c r="M690" s="332">
        <v>0</v>
      </c>
      <c r="N690" s="332">
        <v>0</v>
      </c>
      <c r="O690" s="332">
        <v>0</v>
      </c>
      <c r="P690" s="284"/>
      <c r="Q690" s="284">
        <f t="shared" si="28"/>
        <v>0</v>
      </c>
      <c r="R690" s="3" t="str">
        <f>_xlfn.IFNA(VLOOKUP(Tabella1[[#This Row],[Nome]],'ROSE SQUADRE'!$N$3:$O$260,2,0),"")</f>
        <v>AC ASPARAGHESE</v>
      </c>
      <c r="S690" s="193">
        <f>SUM(Tabella1[[#This Row],[Gf]],Tabella1[[#This Row],[Rf]])</f>
        <v>0</v>
      </c>
      <c r="T690" s="193"/>
      <c r="U690" s="285" t="str">
        <f>IF(Tabella1[[#This Row],[N° FantaTit]]="","",Tabella1[[#This Row],[fanta voto]])</f>
        <v/>
      </c>
      <c r="V690" s="193">
        <f>SUM(Tabella1[[#This Row],[Voto]],(G690*3),Q690,P690,O690,-(N690),(-M690/2),(-L690*2),(-H690),(I690*3),(-J690*3),(K690*3))</f>
        <v>3.5</v>
      </c>
      <c r="W690" s="193"/>
      <c r="X690" s="193" t="str">
        <f>IF(Tabella1[[#This Row],[Best 11]]=1,Tabella1[[#This Row],[fanta voto]],"")</f>
        <v/>
      </c>
      <c r="Z690" s="193" t="str">
        <f>IF(Tabella1[[#This Row],[Best 11 MOD]]=1,Tabella1[[#This Row],[fanta voto]],"")</f>
        <v/>
      </c>
      <c r="AA690" t="str">
        <f>CONCATENATE(Tabella1[[#This Row],[GG]],Tabella1[[#This Row],[Nome]])</f>
        <v>3Muric</v>
      </c>
      <c r="AB690" t="str">
        <f t="shared" si="29"/>
        <v>3AC ASPARAGHESE</v>
      </c>
      <c r="AC690" t="str">
        <f>_xlfn.CONCAT(Tabella1[[#This Row],[Ruolo]],Tabella1[[#This Row],[Gs]])</f>
        <v>P2</v>
      </c>
    </row>
    <row r="691" spans="1:29" hidden="1" x14ac:dyDescent="0.3">
      <c r="A691" s="14">
        <v>46270</v>
      </c>
      <c r="B691" s="15">
        <v>3</v>
      </c>
      <c r="C691" s="321" t="str">
        <f>_xlfn.XLOOKUP(Tabella1[[#This Row],[Nome]],Tabella4[NOME],Tabella4[SQUADRA],"")</f>
        <v>Monza</v>
      </c>
      <c r="D691" s="330" t="s">
        <v>163</v>
      </c>
      <c r="E691" s="330" t="s">
        <v>285</v>
      </c>
      <c r="F691" s="331">
        <v>6</v>
      </c>
      <c r="G691" s="332">
        <v>0</v>
      </c>
      <c r="H691" s="332">
        <v>0</v>
      </c>
      <c r="I691" s="332">
        <v>0</v>
      </c>
      <c r="J691" s="332">
        <v>0</v>
      </c>
      <c r="K691" s="332">
        <v>0</v>
      </c>
      <c r="L691" s="332">
        <v>0</v>
      </c>
      <c r="M691" s="332">
        <v>0</v>
      </c>
      <c r="N691" s="332">
        <v>0</v>
      </c>
      <c r="O691" s="332">
        <v>0</v>
      </c>
      <c r="P691" s="284"/>
      <c r="Q691" s="284">
        <f t="shared" si="28"/>
        <v>0</v>
      </c>
      <c r="R691" s="3" t="str">
        <f>_xlfn.IFNA(VLOOKUP(Tabella1[[#This Row],[Nome]],'ROSE SQUADRE'!$N$3:$O$260,2,0),"")</f>
        <v/>
      </c>
      <c r="S691" s="193">
        <f>SUM(Tabella1[[#This Row],[Gf]],Tabella1[[#This Row],[Rf]])</f>
        <v>0</v>
      </c>
      <c r="T691" s="193"/>
      <c r="U691" s="285" t="str">
        <f>IF(Tabella1[[#This Row],[N° FantaTit]]="","",Tabella1[[#This Row],[fanta voto]])</f>
        <v/>
      </c>
      <c r="V691" s="193">
        <f>SUM(Tabella1[[#This Row],[Voto]],(G691*3),Q691,P691,O691,-(N691),(-M691/2),(-L691*2),(-H691),(I691*3),(-J691*3),(K691*3))</f>
        <v>6</v>
      </c>
      <c r="W691" s="193"/>
      <c r="X691" s="193" t="str">
        <f>IF(Tabella1[[#This Row],[Best 11]]=1,Tabella1[[#This Row],[fanta voto]],"")</f>
        <v/>
      </c>
      <c r="Z691" s="193" t="str">
        <f>IF(Tabella1[[#This Row],[Best 11 MOD]]=1,Tabella1[[#This Row],[fanta voto]],"")</f>
        <v/>
      </c>
      <c r="AA691" t="str">
        <f>CONCATENATE(Tabella1[[#This Row],[GG]],Tabella1[[#This Row],[Nome]])</f>
        <v>3Mota</v>
      </c>
      <c r="AB691" t="str">
        <f t="shared" si="29"/>
        <v>3</v>
      </c>
      <c r="AC691" t="str">
        <f>_xlfn.CONCAT(Tabella1[[#This Row],[Ruolo]],Tabella1[[#This Row],[Gs]])</f>
        <v>A0</v>
      </c>
    </row>
    <row r="692" spans="1:29" hidden="1" x14ac:dyDescent="0.3">
      <c r="A692" s="14">
        <v>46270</v>
      </c>
      <c r="B692" s="15">
        <v>3</v>
      </c>
      <c r="C692" s="321" t="str">
        <f>_xlfn.XLOOKUP(Tabella1[[#This Row],[Nome]],Tabella4[NOME],Tabella4[SQUADRA],"")</f>
        <v>Bologna</v>
      </c>
      <c r="D692" t="s">
        <v>162</v>
      </c>
      <c r="E692" t="s">
        <v>336</v>
      </c>
      <c r="F692" s="194">
        <v>5.5</v>
      </c>
      <c r="G692" s="328">
        <v>0</v>
      </c>
      <c r="H692" s="328">
        <v>0</v>
      </c>
      <c r="I692" s="328">
        <v>0</v>
      </c>
      <c r="J692" s="328">
        <v>0</v>
      </c>
      <c r="K692" s="328">
        <v>0</v>
      </c>
      <c r="L692" s="328">
        <v>0</v>
      </c>
      <c r="M692" s="328">
        <v>0</v>
      </c>
      <c r="N692" s="328">
        <v>0</v>
      </c>
      <c r="O692" s="328">
        <v>0</v>
      </c>
      <c r="P692" s="284"/>
      <c r="Q692" s="284">
        <f t="shared" si="28"/>
        <v>0</v>
      </c>
      <c r="R692" s="3" t="str">
        <f>_xlfn.IFNA(VLOOKUP(Tabella1[[#This Row],[Nome]],'ROSE SQUADRE'!$N$3:$O$260,2,0),"")</f>
        <v/>
      </c>
      <c r="S692" s="193">
        <f>SUM(Tabella1[[#This Row],[Gf]],Tabella1[[#This Row],[Rf]])</f>
        <v>0</v>
      </c>
      <c r="T692" s="193"/>
      <c r="U692" s="285" t="str">
        <f>IF(Tabella1[[#This Row],[N° FantaTit]]="","",Tabella1[[#This Row],[fanta voto]])</f>
        <v/>
      </c>
      <c r="V692" s="193">
        <f>SUM(Tabella1[[#This Row],[Voto]],(G692*3),Q692,P692,O692,-(N692),(-M692/2),(-L692*2),(-H692),(I692*3),(-J692*3),(K692*3))</f>
        <v>5.5</v>
      </c>
      <c r="W692" s="193"/>
      <c r="X692" s="193" t="str">
        <f>IF(Tabella1[[#This Row],[Best 11]]=1,Tabella1[[#This Row],[fanta voto]],"")</f>
        <v/>
      </c>
      <c r="Z692" s="193" t="str">
        <f>IF(Tabella1[[#This Row],[Best 11 MOD]]=1,Tabella1[[#This Row],[fanta voto]],"")</f>
        <v/>
      </c>
      <c r="AA692" t="str">
        <f>CONCATENATE(Tabella1[[#This Row],[GG]],Tabella1[[#This Row],[Nome]])</f>
        <v>3Moro N.</v>
      </c>
      <c r="AB692" t="str">
        <f t="shared" si="29"/>
        <v>3</v>
      </c>
      <c r="AC692" t="str">
        <f>_xlfn.CONCAT(Tabella1[[#This Row],[Ruolo]],Tabella1[[#This Row],[Gs]])</f>
        <v>C0</v>
      </c>
    </row>
    <row r="693" spans="1:29" hidden="1" x14ac:dyDescent="0.3">
      <c r="A693" s="14">
        <v>46270</v>
      </c>
      <c r="B693" s="15">
        <v>3</v>
      </c>
      <c r="C693" s="321" t="str">
        <f>_xlfn.XLOOKUP(Tabella1[[#This Row],[Nome]],Tabella4[NOME],Tabella4[SQUADRA],"")</f>
        <v>Venezia</v>
      </c>
      <c r="D693" t="s">
        <v>161</v>
      </c>
      <c r="E693" t="s">
        <v>976</v>
      </c>
      <c r="F693" s="194">
        <v>5.5</v>
      </c>
      <c r="G693" s="328">
        <v>0</v>
      </c>
      <c r="H693" s="328">
        <v>0</v>
      </c>
      <c r="I693" s="328">
        <v>0</v>
      </c>
      <c r="J693" s="328">
        <v>0</v>
      </c>
      <c r="K693" s="328">
        <v>0</v>
      </c>
      <c r="L693" s="328">
        <v>0</v>
      </c>
      <c r="M693" s="329">
        <v>1</v>
      </c>
      <c r="N693" s="328">
        <v>0</v>
      </c>
      <c r="O693" s="328">
        <v>0</v>
      </c>
      <c r="P693" s="284"/>
      <c r="Q693" s="284">
        <f t="shared" si="28"/>
        <v>0</v>
      </c>
      <c r="R693" s="3" t="str">
        <f>_xlfn.IFNA(VLOOKUP(Tabella1[[#This Row],[Nome]],'ROSE SQUADRE'!$N$3:$O$260,2,0),"")</f>
        <v/>
      </c>
      <c r="S693" s="193">
        <f>SUM(Tabella1[[#This Row],[Gf]],Tabella1[[#This Row],[Rf]])</f>
        <v>0</v>
      </c>
      <c r="T693" s="193"/>
      <c r="U693" s="285" t="str">
        <f>IF(Tabella1[[#This Row],[N° FantaTit]]="","",Tabella1[[#This Row],[fanta voto]])</f>
        <v/>
      </c>
      <c r="V693" s="193">
        <f>SUM(Tabella1[[#This Row],[Voto]],(G693*3),Q693,P693,O693,-(N693),(-M693/2),(-L693*2),(-H693),(I693*3),(-J693*3),(K693*3))</f>
        <v>5</v>
      </c>
      <c r="W693" s="193"/>
      <c r="X693" s="193" t="str">
        <f>IF(Tabella1[[#This Row],[Best 11]]=1,Tabella1[[#This Row],[fanta voto]],"")</f>
        <v/>
      </c>
      <c r="Z693" s="193" t="str">
        <f>IF(Tabella1[[#This Row],[Best 11 MOD]]=1,Tabella1[[#This Row],[fanta voto]],"")</f>
        <v/>
      </c>
      <c r="AA693" t="str">
        <f>CONCATENATE(Tabella1[[#This Row],[GG]],Tabella1[[#This Row],[Nome]])</f>
        <v>3Moreno M.</v>
      </c>
      <c r="AB693" t="str">
        <f t="shared" si="29"/>
        <v>3</v>
      </c>
      <c r="AC693" t="str">
        <f>_xlfn.CONCAT(Tabella1[[#This Row],[Ruolo]],Tabella1[[#This Row],[Gs]])</f>
        <v>D0</v>
      </c>
    </row>
    <row r="694" spans="1:29" hidden="1" x14ac:dyDescent="0.3">
      <c r="A694" s="14">
        <v>46270</v>
      </c>
      <c r="B694" s="15">
        <v>3</v>
      </c>
      <c r="C694" s="321" t="str">
        <f>_xlfn.XLOOKUP(Tabella1[[#This Row],[Nome]],Tabella4[NOME],Tabella4[SQUADRA],"")</f>
        <v>Milan</v>
      </c>
      <c r="D694" t="s">
        <v>162</v>
      </c>
      <c r="E694" t="s">
        <v>837</v>
      </c>
      <c r="F694" s="194">
        <v>5</v>
      </c>
      <c r="G694" s="328">
        <v>0</v>
      </c>
      <c r="H694" s="328">
        <v>0</v>
      </c>
      <c r="I694" s="328">
        <v>0</v>
      </c>
      <c r="J694" s="328">
        <v>0</v>
      </c>
      <c r="K694" s="328">
        <v>0</v>
      </c>
      <c r="L694" s="328">
        <v>0</v>
      </c>
      <c r="M694" s="328">
        <v>0</v>
      </c>
      <c r="N694" s="328">
        <v>0</v>
      </c>
      <c r="O694" s="328">
        <v>0</v>
      </c>
      <c r="P694" s="284"/>
      <c r="Q694" s="284">
        <f t="shared" si="28"/>
        <v>0</v>
      </c>
      <c r="R694" s="3" t="str">
        <f>_xlfn.IFNA(VLOOKUP(Tabella1[[#This Row],[Nome]],'ROSE SQUADRE'!$N$3:$O$260,2,0),"")</f>
        <v>AS PIPPERIA</v>
      </c>
      <c r="S694" s="193">
        <f>SUM(Tabella1[[#This Row],[Gf]],Tabella1[[#This Row],[Rf]])</f>
        <v>0</v>
      </c>
      <c r="T694" s="193"/>
      <c r="U694" s="285" t="str">
        <f>IF(Tabella1[[#This Row],[N° FantaTit]]="","",Tabella1[[#This Row],[fanta voto]])</f>
        <v/>
      </c>
      <c r="V694" s="193">
        <f>SUM(Tabella1[[#This Row],[Voto]],(G694*3),Q694,P694,O694,-(N694),(-M694/2),(-L694*2),(-H694),(I694*3),(-J694*3),(K694*3))</f>
        <v>5</v>
      </c>
      <c r="W694" s="193"/>
      <c r="X694" s="193" t="str">
        <f>IF(Tabella1[[#This Row],[Best 11]]=1,Tabella1[[#This Row],[fanta voto]],"")</f>
        <v/>
      </c>
      <c r="Z694" s="193" t="str">
        <f>IF(Tabella1[[#This Row],[Best 11 MOD]]=1,Tabella1[[#This Row],[fanta voto]],"")</f>
        <v/>
      </c>
      <c r="AA694" t="str">
        <f>CONCATENATE(Tabella1[[#This Row],[GG]],Tabella1[[#This Row],[Nome]])</f>
        <v>3Moreira</v>
      </c>
      <c r="AB694" t="str">
        <f t="shared" si="29"/>
        <v>3AS PIPPERIA</v>
      </c>
      <c r="AC694" t="str">
        <f>_xlfn.CONCAT(Tabella1[[#This Row],[Ruolo]],Tabella1[[#This Row],[Gs]])</f>
        <v>C0</v>
      </c>
    </row>
    <row r="695" spans="1:29" hidden="1" x14ac:dyDescent="0.3">
      <c r="A695" s="14">
        <v>46270</v>
      </c>
      <c r="B695" s="15">
        <v>3</v>
      </c>
      <c r="C695" s="321" t="str">
        <f>_xlfn.XLOOKUP(Tabella1[[#This Row],[Nome]],Tabella4[NOME],Tabella4[SQUADRA],"")</f>
        <v>Juventus</v>
      </c>
      <c r="D695" s="330" t="s">
        <v>161</v>
      </c>
      <c r="E695" s="330" t="s">
        <v>783</v>
      </c>
      <c r="F695" s="331">
        <v>6.5</v>
      </c>
      <c r="G695" s="332">
        <v>0</v>
      </c>
      <c r="H695" s="332">
        <v>0</v>
      </c>
      <c r="I695" s="332">
        <v>0</v>
      </c>
      <c r="J695" s="332">
        <v>0</v>
      </c>
      <c r="K695" s="332">
        <v>0</v>
      </c>
      <c r="L695" s="332">
        <v>0</v>
      </c>
      <c r="M695" s="332">
        <v>0</v>
      </c>
      <c r="N695" s="332">
        <v>0</v>
      </c>
      <c r="O695" s="332">
        <v>0</v>
      </c>
      <c r="P695" s="284"/>
      <c r="Q695" s="284">
        <f t="shared" si="28"/>
        <v>0</v>
      </c>
      <c r="R695" s="3" t="str">
        <f>_xlfn.IFNA(VLOOKUP(Tabella1[[#This Row],[Nome]],'ROSE SQUADRE'!$N$3:$O$260,2,0),"")</f>
        <v>SESTO ASENSIO</v>
      </c>
      <c r="S695" s="193">
        <f>SUM(Tabella1[[#This Row],[Gf]],Tabella1[[#This Row],[Rf]])</f>
        <v>0</v>
      </c>
      <c r="T695" s="193"/>
      <c r="U695" s="285" t="str">
        <f>IF(Tabella1[[#This Row],[N° FantaTit]]="","",Tabella1[[#This Row],[fanta voto]])</f>
        <v/>
      </c>
      <c r="V695" s="193">
        <f>SUM(Tabella1[[#This Row],[Voto]],(G695*3),Q695,P695,O695,-(N695),(-M695/2),(-L695*2),(-H695),(I695*3),(-J695*3),(K695*3))</f>
        <v>6.5</v>
      </c>
      <c r="W695" s="193">
        <v>1</v>
      </c>
      <c r="X695" s="193">
        <f>IF(Tabella1[[#This Row],[Best 11]]=1,Tabella1[[#This Row],[fanta voto]],"")</f>
        <v>6.5</v>
      </c>
      <c r="Y695">
        <v>1</v>
      </c>
      <c r="Z695" s="193">
        <f>IF(Tabella1[[#This Row],[Best 11 MOD]]=1,Tabella1[[#This Row],[fanta voto]],"")</f>
        <v>6.5</v>
      </c>
      <c r="AA695" t="str">
        <f>CONCATENATE(Tabella1[[#This Row],[GG]],Tabella1[[#This Row],[Nome]])</f>
        <v>3Lucumì</v>
      </c>
      <c r="AB695" t="str">
        <f t="shared" si="29"/>
        <v>3SESTO ASENSIO</v>
      </c>
      <c r="AC695" t="str">
        <f>_xlfn.CONCAT(Tabella1[[#This Row],[Ruolo]],Tabella1[[#This Row],[Gs]])</f>
        <v>D0</v>
      </c>
    </row>
    <row r="696" spans="1:29" hidden="1" x14ac:dyDescent="0.3">
      <c r="A696" s="14">
        <v>46270</v>
      </c>
      <c r="B696" s="15">
        <v>3</v>
      </c>
      <c r="C696" s="321" t="str">
        <f>_xlfn.XLOOKUP(Tabella1[[#This Row],[Nome]],Tabella4[NOME],Tabella4[SQUADRA],"")</f>
        <v>Lecce</v>
      </c>
      <c r="D696" s="330" t="s">
        <v>162</v>
      </c>
      <c r="E696" s="330" t="s">
        <v>1053</v>
      </c>
      <c r="F696" s="331">
        <v>5.5</v>
      </c>
      <c r="G696" s="332">
        <v>0</v>
      </c>
      <c r="H696" s="332">
        <v>0</v>
      </c>
      <c r="I696" s="332">
        <v>0</v>
      </c>
      <c r="J696" s="332">
        <v>0</v>
      </c>
      <c r="K696" s="332">
        <v>0</v>
      </c>
      <c r="L696" s="332">
        <v>0</v>
      </c>
      <c r="M696" s="332">
        <v>0</v>
      </c>
      <c r="N696" s="332">
        <v>0</v>
      </c>
      <c r="O696" s="332">
        <v>0</v>
      </c>
      <c r="P696" s="284"/>
      <c r="Q696" s="284">
        <f t="shared" si="28"/>
        <v>0</v>
      </c>
      <c r="R696" s="3" t="str">
        <f>_xlfn.IFNA(VLOOKUP(Tabella1[[#This Row],[Nome]],'ROSE SQUADRE'!$N$3:$O$260,2,0),"")</f>
        <v/>
      </c>
      <c r="S696" s="193">
        <f>SUM(Tabella1[[#This Row],[Gf]],Tabella1[[#This Row],[Rf]])</f>
        <v>0</v>
      </c>
      <c r="T696" s="193"/>
      <c r="U696" s="285" t="str">
        <f>IF(Tabella1[[#This Row],[N° FantaTit]]="","",Tabella1[[#This Row],[fanta voto]])</f>
        <v/>
      </c>
      <c r="V696" s="193">
        <f>SUM(Tabella1[[#This Row],[Voto]],(G696*3),Q696,P696,O696,-(N696),(-M696/2),(-L696*2),(-H696),(I696*3),(-J696*3),(K696*3))</f>
        <v>5.5</v>
      </c>
      <c r="W696" s="193"/>
      <c r="X696" s="193" t="str">
        <f>IF(Tabella1[[#This Row],[Best 11]]=1,Tabella1[[#This Row],[fanta voto]],"")</f>
        <v/>
      </c>
      <c r="Z696" s="193" t="str">
        <f>IF(Tabella1[[#This Row],[Best 11 MOD]]=1,Tabella1[[#This Row],[fanta voto]],"")</f>
        <v/>
      </c>
      <c r="AA696" t="str">
        <f>CONCATENATE(Tabella1[[#This Row],[GG]],Tabella1[[#This Row],[Nome]])</f>
        <v>3Monteiro J.</v>
      </c>
      <c r="AB696" t="str">
        <f t="shared" si="29"/>
        <v>3</v>
      </c>
      <c r="AC696" t="str">
        <f>_xlfn.CONCAT(Tabella1[[#This Row],[Ruolo]],Tabella1[[#This Row],[Gs]])</f>
        <v>C0</v>
      </c>
    </row>
    <row r="697" spans="1:29" x14ac:dyDescent="0.3">
      <c r="A697" s="14">
        <v>46270</v>
      </c>
      <c r="B697" s="15">
        <v>3</v>
      </c>
      <c r="C697" s="321" t="str">
        <f>_xlfn.XLOOKUP(Tabella1[[#This Row],[Nome]],Tabella4[NOME],Tabella4[SQUADRA],"")</f>
        <v>Lazio</v>
      </c>
      <c r="D697" t="s">
        <v>162</v>
      </c>
      <c r="E697" t="s">
        <v>715</v>
      </c>
      <c r="F697" s="194">
        <v>7</v>
      </c>
      <c r="G697" s="329">
        <v>1</v>
      </c>
      <c r="H697" s="328">
        <v>0</v>
      </c>
      <c r="I697" s="328">
        <v>0</v>
      </c>
      <c r="J697" s="328">
        <v>0</v>
      </c>
      <c r="K697" s="328">
        <v>0</v>
      </c>
      <c r="L697" s="328">
        <v>0</v>
      </c>
      <c r="M697" s="328">
        <v>0</v>
      </c>
      <c r="N697" s="328">
        <v>0</v>
      </c>
      <c r="O697" s="328">
        <v>0</v>
      </c>
      <c r="P697" s="284">
        <v>1</v>
      </c>
      <c r="Q697" s="284">
        <f t="shared" si="28"/>
        <v>0</v>
      </c>
      <c r="R697" s="3" t="str">
        <f>_xlfn.IFNA(VLOOKUP(Tabella1[[#This Row],[Nome]],'ROSE SQUADRE'!$N$3:$O$260,2,0),"")</f>
        <v>TRICCHETRACHT</v>
      </c>
      <c r="S697" s="193">
        <f>SUM(Tabella1[[#This Row],[Gf]],Tabella1[[#This Row],[Rf]])</f>
        <v>1</v>
      </c>
      <c r="T697" s="193">
        <v>1</v>
      </c>
      <c r="U697" s="285">
        <f>IF(Tabella1[[#This Row],[N° FantaTit]]="","",Tabella1[[#This Row],[fanta voto]])</f>
        <v>11</v>
      </c>
      <c r="V697" s="193">
        <f>SUM(Tabella1[[#This Row],[Voto]],(G697*3),Q697,P697,O697,-(N697),(-M697/2),(-L697*2),(-H697),(I697*3),(-J697*3),(K697*3))</f>
        <v>11</v>
      </c>
      <c r="W697" s="193">
        <v>1</v>
      </c>
      <c r="X697" s="193">
        <f>IF(Tabella1[[#This Row],[Best 11]]=1,Tabella1[[#This Row],[fanta voto]],"")</f>
        <v>11</v>
      </c>
      <c r="Y697">
        <v>1</v>
      </c>
      <c r="Z697" s="193">
        <f>IF(Tabella1[[#This Row],[Best 11 MOD]]=1,Tabella1[[#This Row],[fanta voto]],"")</f>
        <v>11</v>
      </c>
      <c r="AA697" t="str">
        <f>CONCATENATE(Tabella1[[#This Row],[GG]],Tabella1[[#This Row],[Nome]])</f>
        <v>3Gudmundsson A.</v>
      </c>
      <c r="AB697" t="str">
        <f t="shared" si="29"/>
        <v>3TRICCHETRACHT1</v>
      </c>
      <c r="AC697" t="str">
        <f>_xlfn.CONCAT(Tabella1[[#This Row],[Ruolo]],Tabella1[[#This Row],[Gs]])</f>
        <v>C0</v>
      </c>
    </row>
    <row r="698" spans="1:29" hidden="1" x14ac:dyDescent="0.3">
      <c r="A698" s="14">
        <v>46270</v>
      </c>
      <c r="B698" s="15">
        <v>3</v>
      </c>
      <c r="C698" s="321" t="str">
        <f>_xlfn.XLOOKUP(Tabella1[[#This Row],[Nome]],Tabella4[NOME],Tabella4[SQUADRA],"")</f>
        <v>Bologna</v>
      </c>
      <c r="D698" t="s">
        <v>161</v>
      </c>
      <c r="E698" t="s">
        <v>652</v>
      </c>
      <c r="F698" s="194">
        <v>6</v>
      </c>
      <c r="G698" s="328">
        <v>0</v>
      </c>
      <c r="H698" s="328">
        <v>0</v>
      </c>
      <c r="I698" s="328">
        <v>0</v>
      </c>
      <c r="J698" s="328">
        <v>0</v>
      </c>
      <c r="K698" s="328">
        <v>0</v>
      </c>
      <c r="L698" s="328">
        <v>0</v>
      </c>
      <c r="M698" s="329">
        <v>1</v>
      </c>
      <c r="N698" s="328">
        <v>0</v>
      </c>
      <c r="O698" s="328">
        <v>0</v>
      </c>
      <c r="P698" s="284"/>
      <c r="Q698" s="284">
        <f t="shared" si="28"/>
        <v>0</v>
      </c>
      <c r="R698" s="3" t="str">
        <f>_xlfn.IFNA(VLOOKUP(Tabella1[[#This Row],[Nome]],'ROSE SQUADRE'!$N$3:$O$260,2,0),"")</f>
        <v>SESTO ASENSIO</v>
      </c>
      <c r="S698" s="193">
        <f>SUM(Tabella1[[#This Row],[Gf]],Tabella1[[#This Row],[Rf]])</f>
        <v>0</v>
      </c>
      <c r="T698" s="193"/>
      <c r="U698" s="285" t="str">
        <f>IF(Tabella1[[#This Row],[N° FantaTit]]="","",Tabella1[[#This Row],[fanta voto]])</f>
        <v/>
      </c>
      <c r="V698" s="193">
        <f>SUM(Tabella1[[#This Row],[Voto]],(G698*3),Q698,P698,O698,-(N698),(-M698/2),(-L698*2),(-H698),(I698*3),(-J698*3),(K698*3))</f>
        <v>5.5</v>
      </c>
      <c r="W698" s="193"/>
      <c r="X698" s="193" t="str">
        <f>IF(Tabella1[[#This Row],[Best 11]]=1,Tabella1[[#This Row],[fanta voto]],"")</f>
        <v/>
      </c>
      <c r="Z698" s="193" t="str">
        <f>IF(Tabella1[[#This Row],[Best 11 MOD]]=1,Tabella1[[#This Row],[fanta voto]],"")</f>
        <v/>
      </c>
      <c r="AA698" t="str">
        <f>CONCATENATE(Tabella1[[#This Row],[GG]],Tabella1[[#This Row],[Nome]])</f>
        <v>3Holm</v>
      </c>
      <c r="AB698" t="str">
        <f t="shared" si="29"/>
        <v>3SESTO ASENSIO</v>
      </c>
      <c r="AC698" t="str">
        <f>_xlfn.CONCAT(Tabella1[[#This Row],[Ruolo]],Tabella1[[#This Row],[Gs]])</f>
        <v>D0</v>
      </c>
    </row>
    <row r="699" spans="1:29" hidden="1" x14ac:dyDescent="0.3">
      <c r="A699" s="14">
        <v>46270</v>
      </c>
      <c r="B699" s="15">
        <v>3</v>
      </c>
      <c r="C699" s="321" t="str">
        <f>_xlfn.XLOOKUP(Tabella1[[#This Row],[Nome]],Tabella4[NOME],Tabella4[SQUADRA],"")</f>
        <v>Torino</v>
      </c>
      <c r="D699" t="s">
        <v>161</v>
      </c>
      <c r="E699" t="s">
        <v>1049</v>
      </c>
      <c r="F699" s="194">
        <v>6.5</v>
      </c>
      <c r="G699" s="328">
        <v>0</v>
      </c>
      <c r="H699" s="328">
        <v>0</v>
      </c>
      <c r="I699" s="328">
        <v>0</v>
      </c>
      <c r="J699" s="328">
        <v>0</v>
      </c>
      <c r="K699" s="328">
        <v>0</v>
      </c>
      <c r="L699" s="328">
        <v>0</v>
      </c>
      <c r="M699" s="328">
        <v>0</v>
      </c>
      <c r="N699" s="328">
        <v>0</v>
      </c>
      <c r="O699" s="329">
        <v>1</v>
      </c>
      <c r="P699" s="284"/>
      <c r="Q699" s="284">
        <f t="shared" si="28"/>
        <v>0</v>
      </c>
      <c r="R699" s="3" t="str">
        <f>_xlfn.IFNA(VLOOKUP(Tabella1[[#This Row],[Nome]],'ROSE SQUADRE'!$N$3:$O$260,2,0),"")</f>
        <v>FC INTERNAZIOANALE</v>
      </c>
      <c r="S699" s="193">
        <f>SUM(Tabella1[[#This Row],[Gf]],Tabella1[[#This Row],[Rf]])</f>
        <v>0</v>
      </c>
      <c r="T699" s="193">
        <v>1</v>
      </c>
      <c r="U699" s="285">
        <f>IF(Tabella1[[#This Row],[N° FantaTit]]="","",Tabella1[[#This Row],[fanta voto]])</f>
        <v>7.5</v>
      </c>
      <c r="V699" s="193">
        <f>SUM(Tabella1[[#This Row],[Voto]],(G699*3),Q699,P699,O699,-(N699),(-M699/2),(-L699*2),(-H699),(I699*3),(-J699*3),(K699*3))</f>
        <v>7.5</v>
      </c>
      <c r="W699" s="193">
        <v>1</v>
      </c>
      <c r="X699" s="193">
        <f>IF(Tabella1[[#This Row],[Best 11]]=1,Tabella1[[#This Row],[fanta voto]],"")</f>
        <v>7.5</v>
      </c>
      <c r="Y699">
        <v>1</v>
      </c>
      <c r="Z699" s="193">
        <f>IF(Tabella1[[#This Row],[Best 11 MOD]]=1,Tabella1[[#This Row],[fanta voto]],"")</f>
        <v>7.5</v>
      </c>
      <c r="AA699" t="str">
        <f>CONCATENATE(Tabella1[[#This Row],[GG]],Tabella1[[#This Row],[Nome]])</f>
        <v>3Belghali</v>
      </c>
      <c r="AB699" t="str">
        <f t="shared" si="29"/>
        <v>3FC INTERNAZIOANALE1</v>
      </c>
      <c r="AC699" t="str">
        <f>_xlfn.CONCAT(Tabella1[[#This Row],[Ruolo]],Tabella1[[#This Row],[Gs]])</f>
        <v>D0</v>
      </c>
    </row>
    <row r="700" spans="1:29" hidden="1" x14ac:dyDescent="0.3">
      <c r="A700" s="14">
        <v>46270</v>
      </c>
      <c r="B700" s="15">
        <v>3</v>
      </c>
      <c r="C700" s="321" t="str">
        <f>_xlfn.XLOOKUP(Tabella1[[#This Row],[Nome]],Tabella4[NOME],Tabella4[SQUADRA],"")</f>
        <v>Udinese</v>
      </c>
      <c r="D700" t="s">
        <v>162</v>
      </c>
      <c r="E700" t="s">
        <v>961</v>
      </c>
      <c r="F700" s="194">
        <v>6</v>
      </c>
      <c r="G700" s="328">
        <v>0</v>
      </c>
      <c r="H700" s="328">
        <v>0</v>
      </c>
      <c r="I700" s="328">
        <v>0</v>
      </c>
      <c r="J700" s="328">
        <v>0</v>
      </c>
      <c r="K700" s="328">
        <v>0</v>
      </c>
      <c r="L700" s="328">
        <v>0</v>
      </c>
      <c r="M700" s="329">
        <v>1</v>
      </c>
      <c r="N700" s="328">
        <v>0</v>
      </c>
      <c r="O700" s="328">
        <v>0</v>
      </c>
      <c r="P700" s="284"/>
      <c r="Q700" s="284">
        <f t="shared" si="28"/>
        <v>0</v>
      </c>
      <c r="R700" s="3" t="str">
        <f>_xlfn.IFNA(VLOOKUP(Tabella1[[#This Row],[Nome]],'ROSE SQUADRE'!$N$3:$O$260,2,0),"")</f>
        <v/>
      </c>
      <c r="S700" s="193">
        <f>SUM(Tabella1[[#This Row],[Gf]],Tabella1[[#This Row],[Rf]])</f>
        <v>0</v>
      </c>
      <c r="T700" s="193"/>
      <c r="U700" s="285" t="str">
        <f>IF(Tabella1[[#This Row],[N° FantaTit]]="","",Tabella1[[#This Row],[fanta voto]])</f>
        <v/>
      </c>
      <c r="V700" s="193">
        <f>SUM(Tabella1[[#This Row],[Voto]],(G700*3),Q700,P700,O700,-(N700),(-M700/2),(-L700*2),(-H700),(I700*3),(-J700*3),(K700*3))</f>
        <v>5.5</v>
      </c>
      <c r="W700" s="193"/>
      <c r="X700" s="193" t="str">
        <f>IF(Tabella1[[#This Row],[Best 11]]=1,Tabella1[[#This Row],[fanta voto]],"")</f>
        <v/>
      </c>
      <c r="Z700" s="193" t="str">
        <f>IF(Tabella1[[#This Row],[Best 11 MOD]]=1,Tabella1[[#This Row],[fanta voto]],"")</f>
        <v/>
      </c>
      <c r="AA700" t="str">
        <f>CONCATENATE(Tabella1[[#This Row],[GG]],Tabella1[[#This Row],[Nome]])</f>
        <v>3Miller L.</v>
      </c>
      <c r="AB700" t="str">
        <f t="shared" si="29"/>
        <v>3</v>
      </c>
      <c r="AC700" t="str">
        <f>_xlfn.CONCAT(Tabella1[[#This Row],[Ruolo]],Tabella1[[#This Row],[Gs]])</f>
        <v>C0</v>
      </c>
    </row>
    <row r="701" spans="1:29" hidden="1" x14ac:dyDescent="0.3">
      <c r="A701" s="14">
        <v>46270</v>
      </c>
      <c r="B701" s="15">
        <v>3</v>
      </c>
      <c r="C701" s="321" t="str">
        <f>_xlfn.XLOOKUP(Tabella1[[#This Row],[Nome]],Tabella4[NOME],Tabella4[SQUADRA],"")</f>
        <v>Genoa</v>
      </c>
      <c r="D701" t="s">
        <v>162</v>
      </c>
      <c r="E701" t="s">
        <v>206</v>
      </c>
      <c r="F701" s="194">
        <v>6</v>
      </c>
      <c r="G701" s="328">
        <v>0</v>
      </c>
      <c r="H701" s="328">
        <v>0</v>
      </c>
      <c r="I701" s="328">
        <v>0</v>
      </c>
      <c r="J701" s="328">
        <v>0</v>
      </c>
      <c r="K701" s="328">
        <v>0</v>
      </c>
      <c r="L701" s="328">
        <v>0</v>
      </c>
      <c r="M701" s="328">
        <v>0</v>
      </c>
      <c r="N701" s="328">
        <v>0</v>
      </c>
      <c r="O701" s="328">
        <v>0</v>
      </c>
      <c r="P701" s="284"/>
      <c r="Q701" s="284">
        <f t="shared" si="28"/>
        <v>0</v>
      </c>
      <c r="R701" s="3" t="str">
        <f>_xlfn.IFNA(VLOOKUP(Tabella1[[#This Row],[Nome]],'ROSE SQUADRE'!$N$3:$O$260,2,0),"")</f>
        <v/>
      </c>
      <c r="S701" s="193">
        <f>SUM(Tabella1[[#This Row],[Gf]],Tabella1[[#This Row],[Rf]])</f>
        <v>0</v>
      </c>
      <c r="T701" s="193"/>
      <c r="U701" s="285" t="str">
        <f>IF(Tabella1[[#This Row],[N° FantaTit]]="","",Tabella1[[#This Row],[fanta voto]])</f>
        <v/>
      </c>
      <c r="V701" s="193">
        <f>SUM(Tabella1[[#This Row],[Voto]],(G701*3),Q701,P701,O701,-(N701),(-M701/2),(-L701*2),(-H701),(I701*3),(-J701*3),(K701*3))</f>
        <v>6</v>
      </c>
      <c r="W701" s="193"/>
      <c r="X701" s="193" t="str">
        <f>IF(Tabella1[[#This Row],[Best 11]]=1,Tabella1[[#This Row],[fanta voto]],"")</f>
        <v/>
      </c>
      <c r="Z701" s="193" t="str">
        <f>IF(Tabella1[[#This Row],[Best 11 MOD]]=1,Tabella1[[#This Row],[fanta voto]],"")</f>
        <v/>
      </c>
      <c r="AA701" t="str">
        <f>CONCATENATE(Tabella1[[#This Row],[GG]],Tabella1[[#This Row],[Nome]])</f>
        <v>3Messias</v>
      </c>
      <c r="AB701" t="str">
        <f t="shared" si="29"/>
        <v>3</v>
      </c>
      <c r="AC701" t="str">
        <f>_xlfn.CONCAT(Tabella1[[#This Row],[Ruolo]],Tabella1[[#This Row],[Gs]])</f>
        <v>C0</v>
      </c>
    </row>
    <row r="702" spans="1:29" hidden="1" x14ac:dyDescent="0.3">
      <c r="A702" s="14">
        <v>46270</v>
      </c>
      <c r="B702" s="15">
        <v>3</v>
      </c>
      <c r="C702" s="321" t="str">
        <f>_xlfn.XLOOKUP(Tabella1[[#This Row],[Nome]],Tabella4[NOME],Tabella4[SQUADRA],"")</f>
        <v>Milan</v>
      </c>
      <c r="D702" t="s">
        <v>161</v>
      </c>
      <c r="E702" t="s">
        <v>830</v>
      </c>
      <c r="F702" s="194">
        <v>6</v>
      </c>
      <c r="G702" s="328">
        <v>0</v>
      </c>
      <c r="H702" s="328">
        <v>0</v>
      </c>
      <c r="I702" s="328">
        <v>0</v>
      </c>
      <c r="J702" s="328">
        <v>0</v>
      </c>
      <c r="K702" s="328">
        <v>0</v>
      </c>
      <c r="L702" s="328">
        <v>0</v>
      </c>
      <c r="M702" s="329">
        <v>1</v>
      </c>
      <c r="N702" s="328">
        <v>0</v>
      </c>
      <c r="O702" s="328">
        <v>0</v>
      </c>
      <c r="P702" s="284"/>
      <c r="Q702" s="284">
        <f t="shared" si="28"/>
        <v>0</v>
      </c>
      <c r="R702" s="3" t="str">
        <f>_xlfn.IFNA(VLOOKUP(Tabella1[[#This Row],[Nome]],'ROSE SQUADRE'!$N$3:$O$260,2,0),"")</f>
        <v>PESCICULINI</v>
      </c>
      <c r="S702" s="193">
        <f>SUM(Tabella1[[#This Row],[Gf]],Tabella1[[#This Row],[Rf]])</f>
        <v>0</v>
      </c>
      <c r="T702" s="193"/>
      <c r="U702" s="285" t="str">
        <f>IF(Tabella1[[#This Row],[N° FantaTit]]="","",Tabella1[[#This Row],[fanta voto]])</f>
        <v/>
      </c>
      <c r="V702" s="193">
        <f>SUM(Tabella1[[#This Row],[Voto]],(G702*3),Q702,P702,O702,-(N702),(-M702/2),(-L702*2),(-H702),(I702*3),(-J702*3),(K702*3))</f>
        <v>5.5</v>
      </c>
      <c r="W702" s="193">
        <v>1</v>
      </c>
      <c r="X702" s="193">
        <f>IF(Tabella1[[#This Row],[Best 11]]=1,Tabella1[[#This Row],[fanta voto]],"")</f>
        <v>5.5</v>
      </c>
      <c r="Y702">
        <v>1</v>
      </c>
      <c r="Z702" s="193">
        <f>IF(Tabella1[[#This Row],[Best 11 MOD]]=1,Tabella1[[#This Row],[fanta voto]],"")</f>
        <v>5.5</v>
      </c>
      <c r="AA702" t="str">
        <f>CONCATENATE(Tabella1[[#This Row],[GG]],Tabella1[[#This Row],[Nome]])</f>
        <v>3Estupinan</v>
      </c>
      <c r="AB702" t="str">
        <f t="shared" si="29"/>
        <v>3PESCICULINI</v>
      </c>
      <c r="AC702" t="str">
        <f>_xlfn.CONCAT(Tabella1[[#This Row],[Ruolo]],Tabella1[[#This Row],[Gs]])</f>
        <v>D0</v>
      </c>
    </row>
    <row r="703" spans="1:29" hidden="1" x14ac:dyDescent="0.3">
      <c r="A703" s="14">
        <v>46270</v>
      </c>
      <c r="B703" s="15">
        <v>3</v>
      </c>
      <c r="C703" s="321" t="str">
        <f>_xlfn.XLOOKUP(Tabella1[[#This Row],[Nome]],Tabella4[NOME],Tabella4[SQUADRA],"")</f>
        <v>Cagliari</v>
      </c>
      <c r="D703" t="s">
        <v>163</v>
      </c>
      <c r="E703" t="s">
        <v>677</v>
      </c>
      <c r="F703" s="194">
        <v>6.5</v>
      </c>
      <c r="G703" s="328">
        <v>0</v>
      </c>
      <c r="H703" s="328">
        <v>0</v>
      </c>
      <c r="I703" s="328">
        <v>0</v>
      </c>
      <c r="J703" s="328">
        <v>0</v>
      </c>
      <c r="K703" s="328">
        <v>0</v>
      </c>
      <c r="L703" s="328">
        <v>0</v>
      </c>
      <c r="M703" s="328">
        <v>0</v>
      </c>
      <c r="N703" s="328">
        <v>0</v>
      </c>
      <c r="O703" s="328">
        <v>0</v>
      </c>
      <c r="P703" s="284"/>
      <c r="Q703" s="284">
        <f t="shared" si="28"/>
        <v>0</v>
      </c>
      <c r="R703" s="3" t="str">
        <f>_xlfn.IFNA(VLOOKUP(Tabella1[[#This Row],[Nome]],'ROSE SQUADRE'!$N$3:$O$260,2,0),"")</f>
        <v/>
      </c>
      <c r="S703" s="193">
        <f>SUM(Tabella1[[#This Row],[Gf]],Tabella1[[#This Row],[Rf]])</f>
        <v>0</v>
      </c>
      <c r="T703" s="193"/>
      <c r="U703" s="285" t="str">
        <f>IF(Tabella1[[#This Row],[N° FantaTit]]="","",Tabella1[[#This Row],[fanta voto]])</f>
        <v/>
      </c>
      <c r="V703" s="193">
        <f>SUM(Tabella1[[#This Row],[Voto]],(G703*3),Q703,P703,O703,-(N703),(-M703/2),(-L703*2),(-H703),(I703*3),(-J703*3),(K703*3))</f>
        <v>6.5</v>
      </c>
      <c r="W703" s="193"/>
      <c r="X703" s="193" t="str">
        <f>IF(Tabella1[[#This Row],[Best 11]]=1,Tabella1[[#This Row],[fanta voto]],"")</f>
        <v/>
      </c>
      <c r="Z703" s="193" t="str">
        <f>IF(Tabella1[[#This Row],[Best 11 MOD]]=1,Tabella1[[#This Row],[fanta voto]],"")</f>
        <v/>
      </c>
      <c r="AA703" t="str">
        <f>CONCATENATE(Tabella1[[#This Row],[GG]],Tabella1[[#This Row],[Nome]])</f>
        <v>3Mendy P.</v>
      </c>
      <c r="AB703" t="str">
        <f t="shared" si="29"/>
        <v>3</v>
      </c>
      <c r="AC703" t="str">
        <f>_xlfn.CONCAT(Tabella1[[#This Row],[Ruolo]],Tabella1[[#This Row],[Gs]])</f>
        <v>A0</v>
      </c>
    </row>
    <row r="704" spans="1:29" hidden="1" x14ac:dyDescent="0.3">
      <c r="A704" s="14">
        <v>46270</v>
      </c>
      <c r="B704" s="15">
        <v>3</v>
      </c>
      <c r="C704" s="321" t="str">
        <f>_xlfn.XLOOKUP(Tabella1[[#This Row],[Nome]],Tabella4[NOME],Tabella4[SQUADRA],"")</f>
        <v>Sassuolo</v>
      </c>
      <c r="D704" s="330" t="s">
        <v>162</v>
      </c>
      <c r="E704" s="330" t="s">
        <v>927</v>
      </c>
      <c r="F704" s="331">
        <v>6.5</v>
      </c>
      <c r="G704" s="332">
        <v>0</v>
      </c>
      <c r="H704" s="332">
        <v>0</v>
      </c>
      <c r="I704" s="332">
        <v>0</v>
      </c>
      <c r="J704" s="332">
        <v>0</v>
      </c>
      <c r="K704" s="332">
        <v>0</v>
      </c>
      <c r="L704" s="332">
        <v>0</v>
      </c>
      <c r="M704" s="332">
        <v>0</v>
      </c>
      <c r="N704" s="332">
        <v>0</v>
      </c>
      <c r="O704" s="332">
        <v>0</v>
      </c>
      <c r="P704" s="284"/>
      <c r="Q704" s="284">
        <f t="shared" si="28"/>
        <v>0</v>
      </c>
      <c r="R704" s="3" t="str">
        <f>_xlfn.IFNA(VLOOKUP(Tabella1[[#This Row],[Nome]],'ROSE SQUADRE'!$N$3:$O$260,2,0),"")</f>
        <v/>
      </c>
      <c r="S704" s="193">
        <f>SUM(Tabella1[[#This Row],[Gf]],Tabella1[[#This Row],[Rf]])</f>
        <v>0</v>
      </c>
      <c r="T704" s="193"/>
      <c r="U704" s="285" t="str">
        <f>IF(Tabella1[[#This Row],[N° FantaTit]]="","",Tabella1[[#This Row],[fanta voto]])</f>
        <v/>
      </c>
      <c r="V704" s="193">
        <f>SUM(Tabella1[[#This Row],[Voto]],(G704*3),Q704,P704,O704,-(N704),(-M704/2),(-L704*2),(-H704),(I704*3),(-J704*3),(K704*3))</f>
        <v>6.5</v>
      </c>
      <c r="W704" s="193"/>
      <c r="X704" s="193" t="str">
        <f>IF(Tabella1[[#This Row],[Best 11]]=1,Tabella1[[#This Row],[fanta voto]],"")</f>
        <v/>
      </c>
      <c r="Z704" s="193" t="str">
        <f>IF(Tabella1[[#This Row],[Best 11 MOD]]=1,Tabella1[[#This Row],[fanta voto]],"")</f>
        <v/>
      </c>
      <c r="AA704" t="str">
        <f>CONCATENATE(Tabella1[[#This Row],[GG]],Tabella1[[#This Row],[Nome]])</f>
        <v>3Matic</v>
      </c>
      <c r="AB704" t="str">
        <f t="shared" si="29"/>
        <v>3</v>
      </c>
      <c r="AC704" t="str">
        <f>_xlfn.CONCAT(Tabella1[[#This Row],[Ruolo]],Tabella1[[#This Row],[Gs]])</f>
        <v>C0</v>
      </c>
    </row>
    <row r="705" spans="1:29" hidden="1" x14ac:dyDescent="0.3">
      <c r="A705" s="14">
        <v>46270</v>
      </c>
      <c r="B705" s="15">
        <v>3</v>
      </c>
      <c r="C705" s="321" t="str">
        <f>_xlfn.XLOOKUP(Tabella1[[#This Row],[Nome]],Tabella4[NOME],Tabella4[SQUADRA],"")</f>
        <v>Cagliari</v>
      </c>
      <c r="D705" t="s">
        <v>161</v>
      </c>
      <c r="E705" t="s">
        <v>667</v>
      </c>
      <c r="F705" s="194">
        <v>6</v>
      </c>
      <c r="G705" s="328">
        <v>0</v>
      </c>
      <c r="H705" s="328">
        <v>0</v>
      </c>
      <c r="I705" s="328">
        <v>0</v>
      </c>
      <c r="J705" s="328">
        <v>0</v>
      </c>
      <c r="K705" s="328">
        <v>0</v>
      </c>
      <c r="L705" s="328">
        <v>0</v>
      </c>
      <c r="M705" s="328">
        <v>0</v>
      </c>
      <c r="N705" s="328">
        <v>0</v>
      </c>
      <c r="O705" s="328">
        <v>0</v>
      </c>
      <c r="P705" s="284"/>
      <c r="Q705" s="284">
        <f t="shared" si="28"/>
        <v>0</v>
      </c>
      <c r="R705" s="3" t="str">
        <f>_xlfn.IFNA(VLOOKUP(Tabella1[[#This Row],[Nome]],'ROSE SQUADRE'!$N$3:$O$260,2,0),"")</f>
        <v>AC ASPARAGHESE</v>
      </c>
      <c r="S705" s="193">
        <f>SUM(Tabella1[[#This Row],[Gf]],Tabella1[[#This Row],[Rf]])</f>
        <v>0</v>
      </c>
      <c r="T705" s="193"/>
      <c r="U705" s="285" t="str">
        <f>IF(Tabella1[[#This Row],[N° FantaTit]]="","",Tabella1[[#This Row],[fanta voto]])</f>
        <v/>
      </c>
      <c r="V705" s="193">
        <f>SUM(Tabella1[[#This Row],[Voto]],(G705*3),Q705,P705,O705,-(N705),(-M705/2),(-L705*2),(-H705),(I705*3),(-J705*3),(K705*3))</f>
        <v>6</v>
      </c>
      <c r="W705" s="193">
        <v>1</v>
      </c>
      <c r="X705" s="193">
        <f>IF(Tabella1[[#This Row],[Best 11]]=1,Tabella1[[#This Row],[fanta voto]],"")</f>
        <v>6</v>
      </c>
      <c r="Y705">
        <v>1</v>
      </c>
      <c r="Z705" s="193">
        <f>IF(Tabella1[[#This Row],[Best 11 MOD]]=1,Tabella1[[#This Row],[fanta voto]],"")</f>
        <v>6</v>
      </c>
      <c r="AA705" t="str">
        <f>CONCATENATE(Tabella1[[#This Row],[GG]],Tabella1[[#This Row],[Nome]])</f>
        <v>3Kofler</v>
      </c>
      <c r="AB705" t="str">
        <f t="shared" si="29"/>
        <v>3AC ASPARAGHESE</v>
      </c>
      <c r="AC705" t="str">
        <f>_xlfn.CONCAT(Tabella1[[#This Row],[Ruolo]],Tabella1[[#This Row],[Gs]])</f>
        <v>D0</v>
      </c>
    </row>
    <row r="706" spans="1:29" hidden="1" x14ac:dyDescent="0.3">
      <c r="A706" s="14">
        <v>46270</v>
      </c>
      <c r="B706" s="15">
        <v>3</v>
      </c>
      <c r="C706" s="321" t="str">
        <f>_xlfn.XLOOKUP(Tabella1[[#This Row],[Nome]],Tabella4[NOME],Tabella4[SQUADRA],"")</f>
        <v>Frosinone</v>
      </c>
      <c r="D706" s="330" t="s">
        <v>162</v>
      </c>
      <c r="E706" s="330" t="s">
        <v>743</v>
      </c>
      <c r="F706" s="331">
        <v>6.5</v>
      </c>
      <c r="G706" s="332">
        <v>0</v>
      </c>
      <c r="H706" s="332">
        <v>0</v>
      </c>
      <c r="I706" s="332">
        <v>0</v>
      </c>
      <c r="J706" s="332">
        <v>0</v>
      </c>
      <c r="K706" s="332">
        <v>0</v>
      </c>
      <c r="L706" s="332">
        <v>0</v>
      </c>
      <c r="M706" s="332">
        <v>0</v>
      </c>
      <c r="N706" s="332">
        <v>0</v>
      </c>
      <c r="O706" s="333">
        <v>1</v>
      </c>
      <c r="P706" s="284"/>
      <c r="Q706" s="284">
        <f t="shared" si="28"/>
        <v>0</v>
      </c>
      <c r="R706" s="3" t="str">
        <f>_xlfn.IFNA(VLOOKUP(Tabella1[[#This Row],[Nome]],'ROSE SQUADRE'!$N$3:$O$260,2,0),"")</f>
        <v/>
      </c>
      <c r="S706" s="193">
        <f>SUM(Tabella1[[#This Row],[Gf]],Tabella1[[#This Row],[Rf]])</f>
        <v>0</v>
      </c>
      <c r="T706" s="193"/>
      <c r="U706" s="285" t="str">
        <f>IF(Tabella1[[#This Row],[N° FantaTit]]="","",Tabella1[[#This Row],[fanta voto]])</f>
        <v/>
      </c>
      <c r="V706" s="193">
        <f>SUM(Tabella1[[#This Row],[Voto]],(G706*3),Q706,P706,O706,-(N706),(-M706/2),(-L706*2),(-H706),(I706*3),(-J706*3),(K706*3))</f>
        <v>7.5</v>
      </c>
      <c r="W706" s="193"/>
      <c r="X706" s="193" t="str">
        <f>IF(Tabella1[[#This Row],[Best 11]]=1,Tabella1[[#This Row],[fanta voto]],"")</f>
        <v/>
      </c>
      <c r="Z706" s="193" t="str">
        <f>IF(Tabella1[[#This Row],[Best 11 MOD]]=1,Tabella1[[#This Row],[fanta voto]],"")</f>
        <v/>
      </c>
      <c r="AA706" t="str">
        <f>CONCATENATE(Tabella1[[#This Row],[GG]],Tabella1[[#This Row],[Nome]])</f>
        <v>3Masini</v>
      </c>
      <c r="AB706" t="str">
        <f t="shared" si="29"/>
        <v>3</v>
      </c>
      <c r="AC706" t="str">
        <f>_xlfn.CONCAT(Tabella1[[#This Row],[Ruolo]],Tabella1[[#This Row],[Gs]])</f>
        <v>C0</v>
      </c>
    </row>
    <row r="707" spans="1:29" hidden="1" x14ac:dyDescent="0.3">
      <c r="A707" s="14">
        <v>46270</v>
      </c>
      <c r="B707" s="15">
        <v>3</v>
      </c>
      <c r="C707" s="321" t="str">
        <f>_xlfn.XLOOKUP(Tabella1[[#This Row],[Nome]],Tabella4[NOME],Tabella4[SQUADRA],"")</f>
        <v>Atalanta</v>
      </c>
      <c r="D707" t="s">
        <v>162</v>
      </c>
      <c r="E707" t="s">
        <v>639</v>
      </c>
      <c r="F707" s="194">
        <v>5.5</v>
      </c>
      <c r="G707" s="328">
        <v>0</v>
      </c>
      <c r="H707" s="328">
        <v>0</v>
      </c>
      <c r="I707" s="328">
        <v>0</v>
      </c>
      <c r="J707" s="328">
        <v>0</v>
      </c>
      <c r="K707" s="328">
        <v>0</v>
      </c>
      <c r="L707" s="328">
        <v>0</v>
      </c>
      <c r="M707" s="328">
        <v>0</v>
      </c>
      <c r="N707" s="329">
        <v>1</v>
      </c>
      <c r="O707" s="328">
        <v>0</v>
      </c>
      <c r="P707" s="284"/>
      <c r="Q707" s="284">
        <f t="shared" si="28"/>
        <v>0</v>
      </c>
      <c r="R707" s="3" t="str">
        <f>_xlfn.IFNA(VLOOKUP(Tabella1[[#This Row],[Nome]],'ROSE SQUADRE'!$N$3:$O$260,2,0),"")</f>
        <v>TRICCHETRACHT</v>
      </c>
      <c r="S707" s="193">
        <f>SUM(Tabella1[[#This Row],[Gf]],Tabella1[[#This Row],[Rf]])</f>
        <v>0</v>
      </c>
      <c r="T707" s="193"/>
      <c r="U707" s="285" t="str">
        <f>IF(Tabella1[[#This Row],[N° FantaTit]]="","",Tabella1[[#This Row],[fanta voto]])</f>
        <v/>
      </c>
      <c r="V707" s="193">
        <f>SUM(Tabella1[[#This Row],[Voto]],(G707*3),Q707,P707,O707,-(N707),(-M707/2),(-L707*2),(-H707),(I707*3),(-J707*3),(K707*3))</f>
        <v>4.5</v>
      </c>
      <c r="W707" s="193"/>
      <c r="X707" s="193" t="str">
        <f>IF(Tabella1[[#This Row],[Best 11]]=1,Tabella1[[#This Row],[fanta voto]],"")</f>
        <v/>
      </c>
      <c r="Z707" s="193" t="str">
        <f>IF(Tabella1[[#This Row],[Best 11 MOD]]=1,Tabella1[[#This Row],[fanta voto]],"")</f>
        <v/>
      </c>
      <c r="AA707" t="str">
        <f>CONCATENATE(Tabella1[[#This Row],[GG]],Tabella1[[#This Row],[Nome]])</f>
        <v>3Gaetano</v>
      </c>
      <c r="AB707" t="str">
        <f t="shared" si="29"/>
        <v>3TRICCHETRACHT</v>
      </c>
      <c r="AC707" t="str">
        <f>_xlfn.CONCAT(Tabella1[[#This Row],[Ruolo]],Tabella1[[#This Row],[Gs]])</f>
        <v>C0</v>
      </c>
    </row>
    <row r="708" spans="1:29" hidden="1" x14ac:dyDescent="0.3">
      <c r="A708" s="14">
        <v>46270</v>
      </c>
      <c r="B708" s="15">
        <v>3</v>
      </c>
      <c r="C708" s="321" t="str">
        <f>_xlfn.XLOOKUP(Tabella1[[#This Row],[Nome]],Tabella4[NOME],Tabella4[SQUADRA],"")</f>
        <v>Torino</v>
      </c>
      <c r="D708" s="330" t="s">
        <v>162</v>
      </c>
      <c r="E708" s="330" t="s">
        <v>948</v>
      </c>
      <c r="F708" s="331">
        <v>5.5</v>
      </c>
      <c r="G708" s="332">
        <v>0</v>
      </c>
      <c r="H708" s="332">
        <v>0</v>
      </c>
      <c r="I708" s="332">
        <v>0</v>
      </c>
      <c r="J708" s="332">
        <v>0</v>
      </c>
      <c r="K708" s="332">
        <v>0</v>
      </c>
      <c r="L708" s="332">
        <v>0</v>
      </c>
      <c r="M708" s="332">
        <v>0</v>
      </c>
      <c r="N708" s="332">
        <v>0</v>
      </c>
      <c r="O708" s="332">
        <v>0</v>
      </c>
      <c r="P708" s="284"/>
      <c r="Q708" s="284">
        <f t="shared" si="28"/>
        <v>0</v>
      </c>
      <c r="R708" s="3" t="str">
        <f>_xlfn.IFNA(VLOOKUP(Tabella1[[#This Row],[Nome]],'ROSE SQUADRE'!$N$3:$O$260,2,0),"")</f>
        <v>FC INTERNAZIOANALE</v>
      </c>
      <c r="S708" s="193">
        <f>SUM(Tabella1[[#This Row],[Gf]],Tabella1[[#This Row],[Rf]])</f>
        <v>0</v>
      </c>
      <c r="T708" s="193">
        <v>1</v>
      </c>
      <c r="U708" s="285">
        <f>IF(Tabella1[[#This Row],[N° FantaTit]]="","",Tabella1[[#This Row],[fanta voto]])</f>
        <v>5.5</v>
      </c>
      <c r="V708" s="193">
        <f>SUM(Tabella1[[#This Row],[Voto]],(G708*3),Q708,P708,O708,-(N708),(-M708/2),(-L708*2),(-H708),(I708*3),(-J708*3),(K708*3))</f>
        <v>5.5</v>
      </c>
      <c r="W708" s="193"/>
      <c r="X708" s="193" t="str">
        <f>IF(Tabella1[[#This Row],[Best 11]]=1,Tabella1[[#This Row],[fanta voto]],"")</f>
        <v/>
      </c>
      <c r="Z708" s="193" t="str">
        <f>IF(Tabella1[[#This Row],[Best 11 MOD]]=1,Tabella1[[#This Row],[fanta voto]],"")</f>
        <v/>
      </c>
      <c r="AA708" t="str">
        <f>CONCATENATE(Tabella1[[#This Row],[GG]],Tabella1[[#This Row],[Nome]])</f>
        <v>3Vlasic</v>
      </c>
      <c r="AB708" t="str">
        <f t="shared" si="29"/>
        <v>3FC INTERNAZIOANALE1</v>
      </c>
      <c r="AC708" t="str">
        <f>_xlfn.CONCAT(Tabella1[[#This Row],[Ruolo]],Tabella1[[#This Row],[Gs]])</f>
        <v>C0</v>
      </c>
    </row>
    <row r="709" spans="1:29" hidden="1" x14ac:dyDescent="0.3">
      <c r="A709" s="14">
        <v>46270</v>
      </c>
      <c r="B709" s="15">
        <v>3</v>
      </c>
      <c r="C709" s="321" t="str">
        <f>_xlfn.XLOOKUP(Tabella1[[#This Row],[Nome]],Tabella4[NOME],Tabella4[SQUADRA],"")</f>
        <v>Napoli</v>
      </c>
      <c r="D709" s="330" t="s">
        <v>161</v>
      </c>
      <c r="E709" s="330" t="s">
        <v>863</v>
      </c>
      <c r="F709" s="331">
        <v>5.5</v>
      </c>
      <c r="G709" s="332">
        <v>0</v>
      </c>
      <c r="H709" s="332">
        <v>0</v>
      </c>
      <c r="I709" s="332">
        <v>0</v>
      </c>
      <c r="J709" s="332">
        <v>0</v>
      </c>
      <c r="K709" s="332">
        <v>0</v>
      </c>
      <c r="L709" s="332">
        <v>0</v>
      </c>
      <c r="M709" s="333">
        <v>1</v>
      </c>
      <c r="N709" s="332">
        <v>0</v>
      </c>
      <c r="O709" s="332">
        <v>0</v>
      </c>
      <c r="P709" s="284"/>
      <c r="Q709" s="284">
        <f t="shared" si="28"/>
        <v>0</v>
      </c>
      <c r="R709" s="3" t="str">
        <f>_xlfn.IFNA(VLOOKUP(Tabella1[[#This Row],[Nome]],'ROSE SQUADRE'!$N$3:$O$260,2,0),"")</f>
        <v/>
      </c>
      <c r="S709" s="193">
        <f>SUM(Tabella1[[#This Row],[Gf]],Tabella1[[#This Row],[Rf]])</f>
        <v>0</v>
      </c>
      <c r="T709" s="193"/>
      <c r="U709" s="285" t="str">
        <f>IF(Tabella1[[#This Row],[N° FantaTit]]="","",Tabella1[[#This Row],[fanta voto]])</f>
        <v/>
      </c>
      <c r="V709" s="193">
        <f>SUM(Tabella1[[#This Row],[Voto]],(G709*3),Q709,P709,O709,-(N709),(-M709/2),(-L709*2),(-H709),(I709*3),(-J709*3),(K709*3))</f>
        <v>5</v>
      </c>
      <c r="W709" s="193"/>
      <c r="X709" s="193" t="str">
        <f>IF(Tabella1[[#This Row],[Best 11]]=1,Tabella1[[#This Row],[fanta voto]],"")</f>
        <v/>
      </c>
      <c r="Z709" s="193" t="str">
        <f>IF(Tabella1[[#This Row],[Best 11 MOD]]=1,Tabella1[[#This Row],[fanta voto]],"")</f>
        <v/>
      </c>
      <c r="AA709" t="str">
        <f>CONCATENATE(Tabella1[[#This Row],[GG]],Tabella1[[#This Row],[Nome]])</f>
        <v>3Marin R.</v>
      </c>
      <c r="AB709" t="str">
        <f t="shared" si="29"/>
        <v>3</v>
      </c>
      <c r="AC709" t="str">
        <f>_xlfn.CONCAT(Tabella1[[#This Row],[Ruolo]],Tabella1[[#This Row],[Gs]])</f>
        <v>D0</v>
      </c>
    </row>
    <row r="710" spans="1:29" hidden="1" x14ac:dyDescent="0.3">
      <c r="A710" s="14">
        <v>46270</v>
      </c>
      <c r="B710" s="15">
        <v>3</v>
      </c>
      <c r="C710" s="321" t="str">
        <f>_xlfn.XLOOKUP(Tabella1[[#This Row],[Nome]],Tabella4[NOME],Tabella4[SQUADRA],"")</f>
        <v>Genoa</v>
      </c>
      <c r="D710" s="330" t="s">
        <v>161</v>
      </c>
      <c r="E710" s="330" t="s">
        <v>752</v>
      </c>
      <c r="F710" s="331">
        <v>4.5</v>
      </c>
      <c r="G710" s="332">
        <v>0</v>
      </c>
      <c r="H710" s="332">
        <v>0</v>
      </c>
      <c r="I710" s="332">
        <v>0</v>
      </c>
      <c r="J710" s="332">
        <v>0</v>
      </c>
      <c r="K710" s="332">
        <v>0</v>
      </c>
      <c r="L710" s="332">
        <v>0</v>
      </c>
      <c r="M710" s="332">
        <v>0</v>
      </c>
      <c r="N710" s="332">
        <v>0</v>
      </c>
      <c r="O710" s="332">
        <v>0</v>
      </c>
      <c r="P710" s="284"/>
      <c r="Q710" s="284">
        <f t="shared" si="28"/>
        <v>0</v>
      </c>
      <c r="R710" s="3" t="str">
        <f>_xlfn.IFNA(VLOOKUP(Tabella1[[#This Row],[Nome]],'ROSE SQUADRE'!$N$3:$O$260,2,0),"")</f>
        <v>AS PIPPERIA</v>
      </c>
      <c r="S710" s="193">
        <f>SUM(Tabella1[[#This Row],[Gf]],Tabella1[[#This Row],[Rf]])</f>
        <v>0</v>
      </c>
      <c r="T710" s="193"/>
      <c r="U710" s="285" t="str">
        <f>IF(Tabella1[[#This Row],[N° FantaTit]]="","",Tabella1[[#This Row],[fanta voto]])</f>
        <v/>
      </c>
      <c r="V710" s="193">
        <f>SUM(Tabella1[[#This Row],[Voto]],(G710*3),Q710,P710,O710,-(N710),(-M710/2),(-L710*2),(-H710),(I710*3),(-J710*3),(K710*3))</f>
        <v>4.5</v>
      </c>
      <c r="W710" s="193"/>
      <c r="X710" s="193" t="str">
        <f>IF(Tabella1[[#This Row],[Best 11]]=1,Tabella1[[#This Row],[fanta voto]],"")</f>
        <v/>
      </c>
      <c r="Z710" s="193" t="str">
        <f>IF(Tabella1[[#This Row],[Best 11 MOD]]=1,Tabella1[[#This Row],[fanta voto]],"")</f>
        <v/>
      </c>
      <c r="AA710" t="str">
        <f>CONCATENATE(Tabella1[[#This Row],[GG]],Tabella1[[#This Row],[Nome]])</f>
        <v>3Marcandalli</v>
      </c>
      <c r="AB710" t="str">
        <f t="shared" si="29"/>
        <v>3AS PIPPERIA</v>
      </c>
      <c r="AC710" t="str">
        <f>_xlfn.CONCAT(Tabella1[[#This Row],[Ruolo]],Tabella1[[#This Row],[Gs]])</f>
        <v>D0</v>
      </c>
    </row>
    <row r="711" spans="1:29" hidden="1" x14ac:dyDescent="0.3">
      <c r="A711" s="14">
        <v>46270</v>
      </c>
      <c r="B711" s="15">
        <v>3</v>
      </c>
      <c r="C711" s="321" t="str">
        <f>_xlfn.XLOOKUP(Tabella1[[#This Row],[Nome]],Tabella4[NOME],Tabella4[SQUADRA],"")</f>
        <v>Monza</v>
      </c>
      <c r="D711" s="330" t="s">
        <v>161</v>
      </c>
      <c r="E711" s="330" t="s">
        <v>851</v>
      </c>
      <c r="F711" s="331">
        <v>6</v>
      </c>
      <c r="G711" s="332">
        <v>0</v>
      </c>
      <c r="H711" s="332">
        <v>0</v>
      </c>
      <c r="I711" s="332">
        <v>0</v>
      </c>
      <c r="J711" s="332">
        <v>0</v>
      </c>
      <c r="K711" s="332">
        <v>0</v>
      </c>
      <c r="L711" s="332">
        <v>0</v>
      </c>
      <c r="M711" s="332">
        <v>0</v>
      </c>
      <c r="N711" s="332">
        <v>0</v>
      </c>
      <c r="O711" s="333">
        <v>1</v>
      </c>
      <c r="P711" s="284"/>
      <c r="Q711" s="284">
        <f t="shared" si="28"/>
        <v>0</v>
      </c>
      <c r="R711" s="3" t="str">
        <f>_xlfn.IFNA(VLOOKUP(Tabella1[[#This Row],[Nome]],'ROSE SQUADRE'!$N$3:$O$260,2,0),"")</f>
        <v/>
      </c>
      <c r="S711" s="193">
        <f>SUM(Tabella1[[#This Row],[Gf]],Tabella1[[#This Row],[Rf]])</f>
        <v>0</v>
      </c>
      <c r="T711" s="193"/>
      <c r="U711" s="285" t="str">
        <f>IF(Tabella1[[#This Row],[N° FantaTit]]="","",Tabella1[[#This Row],[fanta voto]])</f>
        <v/>
      </c>
      <c r="V711" s="193">
        <f>SUM(Tabella1[[#This Row],[Voto]],(G711*3),Q711,P711,O711,-(N711),(-M711/2),(-L711*2),(-H711),(I711*3),(-J711*3),(K711*3))</f>
        <v>7</v>
      </c>
      <c r="W711" s="193"/>
      <c r="X711" s="193" t="str">
        <f>IF(Tabella1[[#This Row],[Best 11]]=1,Tabella1[[#This Row],[fanta voto]],"")</f>
        <v/>
      </c>
      <c r="Z711" s="193" t="str">
        <f>IF(Tabella1[[#This Row],[Best 11 MOD]]=1,Tabella1[[#This Row],[fanta voto]],"")</f>
        <v/>
      </c>
      <c r="AA711" t="str">
        <f>CONCATENATE(Tabella1[[#This Row],[GG]],Tabella1[[#This Row],[Nome]])</f>
        <v>3Mangas</v>
      </c>
      <c r="AB711" t="str">
        <f t="shared" si="29"/>
        <v>3</v>
      </c>
      <c r="AC711" t="str">
        <f>_xlfn.CONCAT(Tabella1[[#This Row],[Ruolo]],Tabella1[[#This Row],[Gs]])</f>
        <v>D0</v>
      </c>
    </row>
    <row r="712" spans="1:29" hidden="1" x14ac:dyDescent="0.3">
      <c r="A712" s="14">
        <v>46270</v>
      </c>
      <c r="B712" s="15">
        <v>3</v>
      </c>
      <c r="C712" s="321" t="str">
        <f>_xlfn.XLOOKUP(Tabella1[[#This Row],[Nome]],Tabella4[NOME],Tabella4[SQUADRA],"")</f>
        <v>Torino</v>
      </c>
      <c r="D712" t="s">
        <v>162</v>
      </c>
      <c r="E712" t="s">
        <v>282</v>
      </c>
      <c r="F712" s="194">
        <v>7.5</v>
      </c>
      <c r="G712" s="329">
        <v>1</v>
      </c>
      <c r="H712" s="328">
        <v>0</v>
      </c>
      <c r="I712" s="328">
        <v>0</v>
      </c>
      <c r="J712" s="328">
        <v>0</v>
      </c>
      <c r="K712" s="328">
        <v>0</v>
      </c>
      <c r="L712" s="328">
        <v>0</v>
      </c>
      <c r="M712" s="328">
        <v>0</v>
      </c>
      <c r="N712" s="328">
        <v>0</v>
      </c>
      <c r="O712" s="328">
        <v>0</v>
      </c>
      <c r="P712" s="284"/>
      <c r="Q712" s="284">
        <f t="shared" si="28"/>
        <v>0</v>
      </c>
      <c r="R712" s="3" t="str">
        <f>_xlfn.IFNA(VLOOKUP(Tabella1[[#This Row],[Nome]],'ROSE SQUADRE'!$N$3:$O$260,2,0),"")</f>
        <v/>
      </c>
      <c r="S712" s="193">
        <f>SUM(Tabella1[[#This Row],[Gf]],Tabella1[[#This Row],[Rf]])</f>
        <v>1</v>
      </c>
      <c r="T712" s="193"/>
      <c r="U712" s="285" t="str">
        <f>IF(Tabella1[[#This Row],[N° FantaTit]]="","",Tabella1[[#This Row],[fanta voto]])</f>
        <v/>
      </c>
      <c r="V712" s="193">
        <f>SUM(Tabella1[[#This Row],[Voto]],(G712*3),Q712,P712,O712,-(N712),(-M712/2),(-L712*2),(-H712),(I712*3),(-J712*3),(K712*3))</f>
        <v>10.5</v>
      </c>
      <c r="W712" s="193"/>
      <c r="X712" s="193" t="str">
        <f>IF(Tabella1[[#This Row],[Best 11]]=1,Tabella1[[#This Row],[fanta voto]],"")</f>
        <v/>
      </c>
      <c r="Z712" s="193" t="str">
        <f>IF(Tabella1[[#This Row],[Best 11 MOD]]=1,Tabella1[[#This Row],[fanta voto]],"")</f>
        <v/>
      </c>
      <c r="AA712" t="str">
        <f>CONCATENATE(Tabella1[[#This Row],[GG]],Tabella1[[#This Row],[Nome]])</f>
        <v>3Mandragora</v>
      </c>
      <c r="AB712" t="str">
        <f t="shared" si="29"/>
        <v>3</v>
      </c>
      <c r="AC712" t="str">
        <f>_xlfn.CONCAT(Tabella1[[#This Row],[Ruolo]],Tabella1[[#This Row],[Gs]])</f>
        <v>C0</v>
      </c>
    </row>
    <row r="713" spans="1:29" hidden="1" x14ac:dyDescent="0.3">
      <c r="A713" s="14">
        <v>46270</v>
      </c>
      <c r="B713" s="15">
        <v>3</v>
      </c>
      <c r="C713" s="321" t="str">
        <f>_xlfn.XLOOKUP(Tabella1[[#This Row],[Nome]],Tabella4[NOME],Tabella4[SQUADRA],"")</f>
        <v>Como</v>
      </c>
      <c r="D713" s="330" t="s">
        <v>161</v>
      </c>
      <c r="E713" s="330" t="s">
        <v>685</v>
      </c>
      <c r="F713" s="331">
        <v>7</v>
      </c>
      <c r="G713" s="332">
        <v>0</v>
      </c>
      <c r="H713" s="332">
        <v>0</v>
      </c>
      <c r="I713" s="332">
        <v>0</v>
      </c>
      <c r="J713" s="332">
        <v>0</v>
      </c>
      <c r="K713" s="332">
        <v>0</v>
      </c>
      <c r="L713" s="332">
        <v>0</v>
      </c>
      <c r="M713" s="332">
        <v>0</v>
      </c>
      <c r="N713" s="332">
        <v>0</v>
      </c>
      <c r="O713" s="333">
        <v>1</v>
      </c>
      <c r="P713" s="284"/>
      <c r="Q713" s="284">
        <f t="shared" si="28"/>
        <v>0</v>
      </c>
      <c r="R713" s="3" t="str">
        <f>_xlfn.IFNA(VLOOKUP(Tabella1[[#This Row],[Nome]],'ROSE SQUADRE'!$N$3:$O$260,2,0),"")</f>
        <v>AS PIPPERIA</v>
      </c>
      <c r="S713" s="193">
        <f>SUM(Tabella1[[#This Row],[Gf]],Tabella1[[#This Row],[Rf]])</f>
        <v>0</v>
      </c>
      <c r="T713" s="193">
        <v>1</v>
      </c>
      <c r="U713" s="285">
        <f>IF(Tabella1[[#This Row],[N° FantaTit]]="","",Tabella1[[#This Row],[fanta voto]])</f>
        <v>8</v>
      </c>
      <c r="V713" s="193">
        <f>SUM(Tabella1[[#This Row],[Voto]],(G713*3),Q713,P713,O713,-(N713),(-M713/2),(-L713*2),(-H713),(I713*3),(-J713*3),(K713*3))</f>
        <v>8</v>
      </c>
      <c r="W713" s="193">
        <v>1</v>
      </c>
      <c r="X713" s="193">
        <f>IF(Tabella1[[#This Row],[Best 11]]=1,Tabella1[[#This Row],[fanta voto]],"")</f>
        <v>8</v>
      </c>
      <c r="Y713">
        <v>1</v>
      </c>
      <c r="Z713" s="193">
        <f>IF(Tabella1[[#This Row],[Best 11 MOD]]=1,Tabella1[[#This Row],[fanta voto]],"")</f>
        <v>8</v>
      </c>
      <c r="AA713" t="str">
        <f>CONCATENATE(Tabella1[[#This Row],[GG]],Tabella1[[#This Row],[Nome]])</f>
        <v>3Couto</v>
      </c>
      <c r="AB713" t="str">
        <f t="shared" si="29"/>
        <v>3AS PIPPERIA1</v>
      </c>
      <c r="AC713" t="str">
        <f>_xlfn.CONCAT(Tabella1[[#This Row],[Ruolo]],Tabella1[[#This Row],[Gs]])</f>
        <v>D0</v>
      </c>
    </row>
    <row r="714" spans="1:29" hidden="1" x14ac:dyDescent="0.3">
      <c r="A714" s="14">
        <v>46270</v>
      </c>
      <c r="B714" s="15">
        <v>3</v>
      </c>
      <c r="C714" s="321" t="str">
        <f>_xlfn.XLOOKUP(Tabella1[[#This Row],[Nome]],Tabella4[NOME],Tabella4[SQUADRA],"")</f>
        <v>Inter</v>
      </c>
      <c r="D714" s="330" t="s">
        <v>161</v>
      </c>
      <c r="E714" s="330" t="s">
        <v>251</v>
      </c>
      <c r="F714" s="331">
        <v>6.5</v>
      </c>
      <c r="G714" s="332">
        <v>0</v>
      </c>
      <c r="H714" s="332">
        <v>0</v>
      </c>
      <c r="I714" s="332">
        <v>0</v>
      </c>
      <c r="J714" s="332">
        <v>0</v>
      </c>
      <c r="K714" s="332">
        <v>0</v>
      </c>
      <c r="L714" s="332">
        <v>0</v>
      </c>
      <c r="M714" s="332">
        <v>0</v>
      </c>
      <c r="N714" s="332">
        <v>0</v>
      </c>
      <c r="O714" s="333">
        <v>1</v>
      </c>
      <c r="P714" s="284"/>
      <c r="Q714" s="284">
        <f t="shared" si="28"/>
        <v>0</v>
      </c>
      <c r="R714" s="3" t="str">
        <f>_xlfn.IFNA(VLOOKUP(Tabella1[[#This Row],[Nome]],'ROSE SQUADRE'!$N$3:$O$260,2,0),"")</f>
        <v>PESCICULINI</v>
      </c>
      <c r="S714" s="193">
        <f>SUM(Tabella1[[#This Row],[Gf]],Tabella1[[#This Row],[Rf]])</f>
        <v>0</v>
      </c>
      <c r="T714" s="193"/>
      <c r="U714" s="285" t="str">
        <f>IF(Tabella1[[#This Row],[N° FantaTit]]="","",Tabella1[[#This Row],[fanta voto]])</f>
        <v/>
      </c>
      <c r="V714" s="193">
        <f>SUM(Tabella1[[#This Row],[Voto]],(G714*3),Q714,P714,O714,-(N714),(-M714/2),(-L714*2),(-H714),(I714*3),(-J714*3),(K714*3))</f>
        <v>7.5</v>
      </c>
      <c r="W714" s="193">
        <v>1</v>
      </c>
      <c r="X714" s="193">
        <f>IF(Tabella1[[#This Row],[Best 11]]=1,Tabella1[[#This Row],[fanta voto]],"")</f>
        <v>7.5</v>
      </c>
      <c r="Y714">
        <v>1</v>
      </c>
      <c r="Z714" s="193">
        <f>IF(Tabella1[[#This Row],[Best 11 MOD]]=1,Tabella1[[#This Row],[fanta voto]],"")</f>
        <v>7.5</v>
      </c>
      <c r="AA714" t="str">
        <f>CONCATENATE(Tabella1[[#This Row],[GG]],Tabella1[[#This Row],[Nome]])</f>
        <v>3Carlos Augusto</v>
      </c>
      <c r="AB714" t="str">
        <f t="shared" si="29"/>
        <v>3PESCICULINI</v>
      </c>
      <c r="AC714" t="str">
        <f>_xlfn.CONCAT(Tabella1[[#This Row],[Ruolo]],Tabella1[[#This Row],[Gs]])</f>
        <v>D0</v>
      </c>
    </row>
    <row r="715" spans="1:29" hidden="1" x14ac:dyDescent="0.3">
      <c r="A715" s="14">
        <v>46270</v>
      </c>
      <c r="B715" s="15">
        <v>3</v>
      </c>
      <c r="C715" s="321" t="str">
        <f>_xlfn.XLOOKUP(Tabella1[[#This Row],[Nome]],Tabella4[NOME],Tabella4[SQUADRA],"")</f>
        <v>Juventus</v>
      </c>
      <c r="D715" s="330" t="s">
        <v>161</v>
      </c>
      <c r="E715" s="330" t="s">
        <v>781</v>
      </c>
      <c r="F715" s="331">
        <v>6.5</v>
      </c>
      <c r="G715" s="332">
        <v>0</v>
      </c>
      <c r="H715" s="332">
        <v>0</v>
      </c>
      <c r="I715" s="332">
        <v>0</v>
      </c>
      <c r="J715" s="332">
        <v>0</v>
      </c>
      <c r="K715" s="332">
        <v>0</v>
      </c>
      <c r="L715" s="332">
        <v>0</v>
      </c>
      <c r="M715" s="332">
        <v>0</v>
      </c>
      <c r="N715" s="332">
        <v>0</v>
      </c>
      <c r="O715" s="332">
        <v>0</v>
      </c>
      <c r="P715" s="284"/>
      <c r="Q715" s="284">
        <f t="shared" si="28"/>
        <v>0</v>
      </c>
      <c r="R715" s="3" t="str">
        <f>_xlfn.IFNA(VLOOKUP(Tabella1[[#This Row],[Nome]],'ROSE SQUADRE'!$N$3:$O$260,2,0),"")</f>
        <v>AC ASPARAGHESE</v>
      </c>
      <c r="S715" s="193">
        <f>SUM(Tabella1[[#This Row],[Gf]],Tabella1[[#This Row],[Rf]])</f>
        <v>0</v>
      </c>
      <c r="T715" s="193">
        <v>1</v>
      </c>
      <c r="U715" s="285">
        <f>IF(Tabella1[[#This Row],[N° FantaTit]]="","",Tabella1[[#This Row],[fanta voto]])</f>
        <v>6.5</v>
      </c>
      <c r="V715" s="193">
        <f>SUM(Tabella1[[#This Row],[Voto]],(G715*3),Q715,P715,O715,-(N715),(-M715/2),(-L715*2),(-H715),(I715*3),(-J715*3),(K715*3))</f>
        <v>6.5</v>
      </c>
      <c r="W715" s="193">
        <v>1</v>
      </c>
      <c r="X715" s="193">
        <f>IF(Tabella1[[#This Row],[Best 11]]=1,Tabella1[[#This Row],[fanta voto]],"")</f>
        <v>6.5</v>
      </c>
      <c r="Y715">
        <v>1</v>
      </c>
      <c r="Z715" s="193">
        <f>IF(Tabella1[[#This Row],[Best 11 MOD]]=1,Tabella1[[#This Row],[fanta voto]],"")</f>
        <v>6.5</v>
      </c>
      <c r="AA715" t="str">
        <f>CONCATENATE(Tabella1[[#This Row],[GG]],Tabella1[[#This Row],[Nome]])</f>
        <v>3Kalulu</v>
      </c>
      <c r="AB715" t="str">
        <f t="shared" si="29"/>
        <v>3AC ASPARAGHESE1</v>
      </c>
      <c r="AC715" t="str">
        <f>_xlfn.CONCAT(Tabella1[[#This Row],[Ruolo]],Tabella1[[#This Row],[Gs]])</f>
        <v>D0</v>
      </c>
    </row>
    <row r="716" spans="1:29" hidden="1" x14ac:dyDescent="0.3">
      <c r="A716" s="14">
        <v>46270</v>
      </c>
      <c r="B716" s="15">
        <v>3</v>
      </c>
      <c r="C716" s="321" t="str">
        <f>_xlfn.XLOOKUP(Tabella1[[#This Row],[Nome]],Tabella4[NOME],Tabella4[SQUADRA],"")</f>
        <v>Milan</v>
      </c>
      <c r="D716" t="s">
        <v>162</v>
      </c>
      <c r="E716" t="s">
        <v>464</v>
      </c>
      <c r="F716" s="194">
        <v>5.5</v>
      </c>
      <c r="G716" s="328">
        <v>0</v>
      </c>
      <c r="H716" s="328">
        <v>0</v>
      </c>
      <c r="I716" s="328">
        <v>0</v>
      </c>
      <c r="J716" s="328">
        <v>0</v>
      </c>
      <c r="K716" s="328">
        <v>0</v>
      </c>
      <c r="L716" s="328">
        <v>0</v>
      </c>
      <c r="M716" s="328">
        <v>0</v>
      </c>
      <c r="N716" s="328">
        <v>0</v>
      </c>
      <c r="O716" s="328">
        <v>0</v>
      </c>
      <c r="P716" s="284"/>
      <c r="Q716" s="284">
        <f t="shared" si="28"/>
        <v>0</v>
      </c>
      <c r="R716" s="3" t="str">
        <f>_xlfn.IFNA(VLOOKUP(Tabella1[[#This Row],[Nome]],'ROSE SQUADRE'!$N$3:$O$260,2,0),"")</f>
        <v>SHARK</v>
      </c>
      <c r="S716" s="193">
        <f>SUM(Tabella1[[#This Row],[Gf]],Tabella1[[#This Row],[Rf]])</f>
        <v>0</v>
      </c>
      <c r="T716" s="193"/>
      <c r="U716" s="285" t="str">
        <f>IF(Tabella1[[#This Row],[N° FantaTit]]="","",Tabella1[[#This Row],[fanta voto]])</f>
        <v/>
      </c>
      <c r="V716" s="193">
        <f>SUM(Tabella1[[#This Row],[Voto]],(G716*3),Q716,P716,O716,-(N716),(-M716/2),(-L716*2),(-H716),(I716*3),(-J716*3),(K716*3))</f>
        <v>5.5</v>
      </c>
      <c r="W716" s="193"/>
      <c r="X716" s="193" t="str">
        <f>IF(Tabella1[[#This Row],[Best 11]]=1,Tabella1[[#This Row],[fanta voto]],"")</f>
        <v/>
      </c>
      <c r="Z716" s="193" t="str">
        <f>IF(Tabella1[[#This Row],[Best 11 MOD]]=1,Tabella1[[#This Row],[fanta voto]],"")</f>
        <v/>
      </c>
      <c r="AA716" t="str">
        <f>CONCATENATE(Tabella1[[#This Row],[GG]],Tabella1[[#This Row],[Nome]])</f>
        <v>3Loftus-Cheek</v>
      </c>
      <c r="AB716" t="str">
        <f t="shared" si="29"/>
        <v>3SHARK</v>
      </c>
      <c r="AC716" t="str">
        <f>_xlfn.CONCAT(Tabella1[[#This Row],[Ruolo]],Tabella1[[#This Row],[Gs]])</f>
        <v>C0</v>
      </c>
    </row>
    <row r="717" spans="1:29" hidden="1" x14ac:dyDescent="0.3">
      <c r="A717" s="14">
        <v>46270</v>
      </c>
      <c r="B717" s="15">
        <v>3</v>
      </c>
      <c r="C717" s="321" t="str">
        <f>_xlfn.XLOOKUP(Tabella1[[#This Row],[Nome]],Tabella4[NOME],Tabella4[SQUADRA],"")</f>
        <v>Atalanta</v>
      </c>
      <c r="D717" s="330" t="s">
        <v>162</v>
      </c>
      <c r="E717" s="330" t="s">
        <v>271</v>
      </c>
      <c r="F717" s="331">
        <v>5.5</v>
      </c>
      <c r="G717" s="332">
        <v>0</v>
      </c>
      <c r="H717" s="332">
        <v>0</v>
      </c>
      <c r="I717" s="332">
        <v>0</v>
      </c>
      <c r="J717" s="332">
        <v>0</v>
      </c>
      <c r="K717" s="332">
        <v>0</v>
      </c>
      <c r="L717" s="332">
        <v>0</v>
      </c>
      <c r="M717" s="332">
        <v>0</v>
      </c>
      <c r="N717" s="332">
        <v>0</v>
      </c>
      <c r="O717" s="332">
        <v>0</v>
      </c>
      <c r="P717" s="284"/>
      <c r="Q717" s="284">
        <f t="shared" si="28"/>
        <v>0</v>
      </c>
      <c r="R717" s="3" t="str">
        <f>_xlfn.IFNA(VLOOKUP(Tabella1[[#This Row],[Nome]],'ROSE SQUADRE'!$N$3:$O$260,2,0),"")</f>
        <v>ATL. IMPROVVISATO</v>
      </c>
      <c r="S717" s="193">
        <f>SUM(Tabella1[[#This Row],[Gf]],Tabella1[[#This Row],[Rf]])</f>
        <v>0</v>
      </c>
      <c r="T717" s="193"/>
      <c r="U717" s="285" t="str">
        <f>IF(Tabella1[[#This Row],[N° FantaTit]]="","",Tabella1[[#This Row],[fanta voto]])</f>
        <v/>
      </c>
      <c r="V717" s="193">
        <f>SUM(Tabella1[[#This Row],[Voto]],(G717*3),Q717,P717,O717,-(N717),(-M717/2),(-L717*2),(-H717),(I717*3),(-J717*3),(K717*3))</f>
        <v>5.5</v>
      </c>
      <c r="W717" s="193"/>
      <c r="X717" s="193" t="str">
        <f>IF(Tabella1[[#This Row],[Best 11]]=1,Tabella1[[#This Row],[fanta voto]],"")</f>
        <v/>
      </c>
      <c r="Z717" s="193" t="str">
        <f>IF(Tabella1[[#This Row],[Best 11 MOD]]=1,Tabella1[[#This Row],[fanta voto]],"")</f>
        <v/>
      </c>
      <c r="AA717" t="str">
        <f>CONCATENATE(Tabella1[[#This Row],[GG]],Tabella1[[#This Row],[Nome]])</f>
        <v>3Pasalic</v>
      </c>
      <c r="AB717" t="str">
        <f t="shared" si="29"/>
        <v>3ATL. IMPROVVISATO</v>
      </c>
      <c r="AC717" t="str">
        <f>_xlfn.CONCAT(Tabella1[[#This Row],[Ruolo]],Tabella1[[#This Row],[Gs]])</f>
        <v>C0</v>
      </c>
    </row>
    <row r="718" spans="1:29" hidden="1" x14ac:dyDescent="0.3">
      <c r="A718" s="14">
        <v>46270</v>
      </c>
      <c r="B718" s="15">
        <v>3</v>
      </c>
      <c r="C718" s="321" t="str">
        <f>_xlfn.XLOOKUP(Tabella1[[#This Row],[Nome]],Tabella4[NOME],Tabella4[SQUADRA],"")</f>
        <v>Milan</v>
      </c>
      <c r="D718" s="330" t="s">
        <v>161</v>
      </c>
      <c r="E718" s="330" t="s">
        <v>307</v>
      </c>
      <c r="F718" s="331">
        <v>6.5</v>
      </c>
      <c r="G718" s="332">
        <v>0</v>
      </c>
      <c r="H718" s="332">
        <v>0</v>
      </c>
      <c r="I718" s="332">
        <v>0</v>
      </c>
      <c r="J718" s="332">
        <v>0</v>
      </c>
      <c r="K718" s="332">
        <v>0</v>
      </c>
      <c r="L718" s="332">
        <v>0</v>
      </c>
      <c r="M718" s="333">
        <v>1</v>
      </c>
      <c r="N718" s="332">
        <v>0</v>
      </c>
      <c r="O718" s="332">
        <v>0</v>
      </c>
      <c r="P718" s="284"/>
      <c r="Q718" s="284">
        <f t="shared" si="28"/>
        <v>0</v>
      </c>
      <c r="R718" s="3" t="str">
        <f>_xlfn.IFNA(VLOOKUP(Tabella1[[#This Row],[Nome]],'ROSE SQUADRE'!$N$3:$O$260,2,0),"")</f>
        <v>SESTO ASENSIO</v>
      </c>
      <c r="S718" s="193">
        <f>SUM(Tabella1[[#This Row],[Gf]],Tabella1[[#This Row],[Rf]])</f>
        <v>0</v>
      </c>
      <c r="T718" s="193">
        <v>1</v>
      </c>
      <c r="U718" s="285">
        <f>IF(Tabella1[[#This Row],[N° FantaTit]]="","",Tabella1[[#This Row],[fanta voto]])</f>
        <v>6</v>
      </c>
      <c r="V718" s="193">
        <f>SUM(Tabella1[[#This Row],[Voto]],(G718*3),Q718,P718,O718,-(N718),(-M718/2),(-L718*2),(-H718),(I718*3),(-J718*3),(K718*3))</f>
        <v>6</v>
      </c>
      <c r="W718" s="193">
        <v>1</v>
      </c>
      <c r="X718" s="193">
        <f>IF(Tabella1[[#This Row],[Best 11]]=1,Tabella1[[#This Row],[fanta voto]],"")</f>
        <v>6</v>
      </c>
      <c r="Y718">
        <v>1</v>
      </c>
      <c r="Z718" s="193">
        <f>IF(Tabella1[[#This Row],[Best 11 MOD]]=1,Tabella1[[#This Row],[fanta voto]],"")</f>
        <v>6</v>
      </c>
      <c r="AA718" t="str">
        <f>CONCATENATE(Tabella1[[#This Row],[GG]],Tabella1[[#This Row],[Nome]])</f>
        <v>3De Winter</v>
      </c>
      <c r="AB718" t="str">
        <f t="shared" si="29"/>
        <v>3SESTO ASENSIO1</v>
      </c>
      <c r="AC718" t="str">
        <f>_xlfn.CONCAT(Tabella1[[#This Row],[Ruolo]],Tabella1[[#This Row],[Gs]])</f>
        <v>D0</v>
      </c>
    </row>
    <row r="719" spans="1:29" hidden="1" x14ac:dyDescent="0.3">
      <c r="A719" s="14">
        <v>46270</v>
      </c>
      <c r="B719" s="15">
        <v>3</v>
      </c>
      <c r="C719" s="321" t="str">
        <f>_xlfn.XLOOKUP(Tabella1[[#This Row],[Nome]],Tabella4[NOME],Tabella4[SQUADRA],"")</f>
        <v>Udinese</v>
      </c>
      <c r="D719" t="s">
        <v>161</v>
      </c>
      <c r="E719" t="s">
        <v>959</v>
      </c>
      <c r="F719" s="194">
        <v>6</v>
      </c>
      <c r="G719" s="328">
        <v>0</v>
      </c>
      <c r="H719" s="328">
        <v>0</v>
      </c>
      <c r="I719" s="328">
        <v>0</v>
      </c>
      <c r="J719" s="328">
        <v>0</v>
      </c>
      <c r="K719" s="328">
        <v>0</v>
      </c>
      <c r="L719" s="328">
        <v>0</v>
      </c>
      <c r="M719" s="328">
        <v>0</v>
      </c>
      <c r="N719" s="328">
        <v>0</v>
      </c>
      <c r="O719" s="328">
        <v>0</v>
      </c>
      <c r="P719" s="284"/>
      <c r="Q719" s="284">
        <f t="shared" si="28"/>
        <v>0</v>
      </c>
      <c r="R719" s="3" t="str">
        <f>_xlfn.IFNA(VLOOKUP(Tabella1[[#This Row],[Nome]],'ROSE SQUADRE'!$N$3:$O$260,2,0),"")</f>
        <v>PARTIZAN DEGRADO</v>
      </c>
      <c r="S719" s="193">
        <f>SUM(Tabella1[[#This Row],[Gf]],Tabella1[[#This Row],[Rf]])</f>
        <v>0</v>
      </c>
      <c r="T719" s="193">
        <v>1</v>
      </c>
      <c r="U719" s="285">
        <f>IF(Tabella1[[#This Row],[N° FantaTit]]="","",Tabella1[[#This Row],[fanta voto]])</f>
        <v>6</v>
      </c>
      <c r="V719" s="193">
        <f>SUM(Tabella1[[#This Row],[Voto]],(G719*3),Q719,P719,O719,-(N719),(-M719/2),(-L719*2),(-H719),(I719*3),(-J719*3),(K719*3))</f>
        <v>6</v>
      </c>
      <c r="W719" s="193">
        <v>1</v>
      </c>
      <c r="X719" s="193">
        <f>IF(Tabella1[[#This Row],[Best 11]]=1,Tabella1[[#This Row],[fanta voto]],"")</f>
        <v>6</v>
      </c>
      <c r="Y719">
        <v>1</v>
      </c>
      <c r="Z719" s="193">
        <f>IF(Tabella1[[#This Row],[Best 11 MOD]]=1,Tabella1[[#This Row],[fanta voto]],"")</f>
        <v>6</v>
      </c>
      <c r="AA719" t="str">
        <f>CONCATENATE(Tabella1[[#This Row],[GG]],Tabella1[[#This Row],[Nome]])</f>
        <v>3Solet</v>
      </c>
      <c r="AB719" t="str">
        <f t="shared" si="29"/>
        <v>3PARTIZAN DEGRADO1</v>
      </c>
      <c r="AC719" t="str">
        <f>_xlfn.CONCAT(Tabella1[[#This Row],[Ruolo]],Tabella1[[#This Row],[Gs]])</f>
        <v>D0</v>
      </c>
    </row>
    <row r="720" spans="1:29" hidden="1" x14ac:dyDescent="0.3">
      <c r="A720" s="14">
        <v>46270</v>
      </c>
      <c r="B720" s="15">
        <v>3</v>
      </c>
      <c r="C720" s="321" t="str">
        <f>_xlfn.XLOOKUP(Tabella1[[#This Row],[Nome]],Tabella4[NOME],Tabella4[SQUADRA],"")</f>
        <v>Torino</v>
      </c>
      <c r="D720" s="330" t="s">
        <v>161</v>
      </c>
      <c r="E720" s="330" t="s">
        <v>526</v>
      </c>
      <c r="F720" s="331">
        <v>6</v>
      </c>
      <c r="G720" s="332">
        <v>0</v>
      </c>
      <c r="H720" s="332">
        <v>0</v>
      </c>
      <c r="I720" s="332">
        <v>0</v>
      </c>
      <c r="J720" s="332">
        <v>0</v>
      </c>
      <c r="K720" s="332">
        <v>0</v>
      </c>
      <c r="L720" s="332">
        <v>0</v>
      </c>
      <c r="M720" s="332">
        <v>0</v>
      </c>
      <c r="N720" s="332">
        <v>0</v>
      </c>
      <c r="O720" s="332">
        <v>0</v>
      </c>
      <c r="P720" s="284"/>
      <c r="Q720" s="284">
        <f t="shared" si="28"/>
        <v>0</v>
      </c>
      <c r="R720" s="3" t="str">
        <f>_xlfn.IFNA(VLOOKUP(Tabella1[[#This Row],[Nome]],'ROSE SQUADRE'!$N$3:$O$260,2,0),"")</f>
        <v>SESTO ASENSIO</v>
      </c>
      <c r="S720" s="193">
        <f>SUM(Tabella1[[#This Row],[Gf]],Tabella1[[#This Row],[Rf]])</f>
        <v>0</v>
      </c>
      <c r="T720" s="193">
        <v>1</v>
      </c>
      <c r="U720" s="285">
        <f>IF(Tabella1[[#This Row],[N° FantaTit]]="","",Tabella1[[#This Row],[fanta voto]])</f>
        <v>6</v>
      </c>
      <c r="V720" s="193">
        <f>SUM(Tabella1[[#This Row],[Voto]],(G720*3),Q720,P720,O720,-(N720),(-M720/2),(-L720*2),(-H720),(I720*3),(-J720*3),(K720*3))</f>
        <v>6</v>
      </c>
      <c r="W720" s="193"/>
      <c r="X720" s="193" t="str">
        <f>IF(Tabella1[[#This Row],[Best 11]]=1,Tabella1[[#This Row],[fanta voto]],"")</f>
        <v/>
      </c>
      <c r="Y720">
        <v>1</v>
      </c>
      <c r="Z720" s="193">
        <f>IF(Tabella1[[#This Row],[Best 11 MOD]]=1,Tabella1[[#This Row],[fanta voto]],"")</f>
        <v>6</v>
      </c>
      <c r="AA720" t="str">
        <f>CONCATENATE(Tabella1[[#This Row],[GG]],Tabella1[[#This Row],[Nome]])</f>
        <v>3Comuzzo</v>
      </c>
      <c r="AB720" t="str">
        <f t="shared" si="29"/>
        <v>3SESTO ASENSIO1</v>
      </c>
      <c r="AC720" t="str">
        <f>_xlfn.CONCAT(Tabella1[[#This Row],[Ruolo]],Tabella1[[#This Row],[Gs]])</f>
        <v>D0</v>
      </c>
    </row>
    <row r="721" spans="1:29" hidden="1" x14ac:dyDescent="0.3">
      <c r="A721" s="14">
        <v>46270</v>
      </c>
      <c r="B721" s="15">
        <v>3</v>
      </c>
      <c r="C721" s="321" t="str">
        <f>_xlfn.XLOOKUP(Tabella1[[#This Row],[Nome]],Tabella4[NOME],Tabella4[SQUADRA],"")</f>
        <v>Monza</v>
      </c>
      <c r="D721" t="s">
        <v>161</v>
      </c>
      <c r="E721" t="s">
        <v>850</v>
      </c>
      <c r="F721" s="194">
        <v>6.5</v>
      </c>
      <c r="G721" s="328">
        <v>0</v>
      </c>
      <c r="H721" s="328">
        <v>0</v>
      </c>
      <c r="I721" s="328">
        <v>0</v>
      </c>
      <c r="J721" s="328">
        <v>0</v>
      </c>
      <c r="K721" s="328">
        <v>0</v>
      </c>
      <c r="L721" s="328">
        <v>0</v>
      </c>
      <c r="M721" s="328">
        <v>0</v>
      </c>
      <c r="N721" s="328">
        <v>0</v>
      </c>
      <c r="O721" s="328">
        <v>0</v>
      </c>
      <c r="P721" s="284"/>
      <c r="Q721" s="284">
        <f t="shared" si="28"/>
        <v>0</v>
      </c>
      <c r="R721" s="3" t="str">
        <f>_xlfn.IFNA(VLOOKUP(Tabella1[[#This Row],[Nome]],'ROSE SQUADRE'!$N$3:$O$260,2,0),"")</f>
        <v/>
      </c>
      <c r="S721" s="193">
        <f>SUM(Tabella1[[#This Row],[Gf]],Tabella1[[#This Row],[Rf]])</f>
        <v>0</v>
      </c>
      <c r="T721" s="193"/>
      <c r="U721" s="285" t="str">
        <f>IF(Tabella1[[#This Row],[N° FantaTit]]="","",Tabella1[[#This Row],[fanta voto]])</f>
        <v/>
      </c>
      <c r="V721" s="193">
        <f>SUM(Tabella1[[#This Row],[Voto]],(G721*3),Q721,P721,O721,-(N721),(-M721/2),(-L721*2),(-H721),(I721*3),(-J721*3),(K721*3))</f>
        <v>6.5</v>
      </c>
      <c r="W721" s="193"/>
      <c r="X721" s="193" t="str">
        <f>IF(Tabella1[[#This Row],[Best 11]]=1,Tabella1[[#This Row],[fanta voto]],"")</f>
        <v/>
      </c>
      <c r="Z721" s="193" t="str">
        <f>IF(Tabella1[[#This Row],[Best 11 MOD]]=1,Tabella1[[#This Row],[fanta voto]],"")</f>
        <v/>
      </c>
      <c r="AA721" t="str">
        <f>CONCATENATE(Tabella1[[#This Row],[GG]],Tabella1[[#This Row],[Nome]])</f>
        <v>3Lucchesi</v>
      </c>
      <c r="AB721" t="str">
        <f t="shared" si="29"/>
        <v>3</v>
      </c>
      <c r="AC721" t="str">
        <f>_xlfn.CONCAT(Tabella1[[#This Row],[Ruolo]],Tabella1[[#This Row],[Gs]])</f>
        <v>D0</v>
      </c>
    </row>
    <row r="722" spans="1:29" hidden="1" x14ac:dyDescent="0.3">
      <c r="A722" s="14">
        <v>46270</v>
      </c>
      <c r="B722" s="15">
        <v>3</v>
      </c>
      <c r="C722" s="321" t="str">
        <f>_xlfn.XLOOKUP(Tabella1[[#This Row],[Nome]],Tabella4[NOME],Tabella4[SQUADRA],"")</f>
        <v>Atalanta</v>
      </c>
      <c r="D722" s="330" t="s">
        <v>161</v>
      </c>
      <c r="E722" s="330" t="s">
        <v>347</v>
      </c>
      <c r="F722" s="331">
        <v>5.5</v>
      </c>
      <c r="G722" s="332">
        <v>0</v>
      </c>
      <c r="H722" s="332">
        <v>0</v>
      </c>
      <c r="I722" s="332">
        <v>0</v>
      </c>
      <c r="J722" s="332">
        <v>0</v>
      </c>
      <c r="K722" s="332">
        <v>0</v>
      </c>
      <c r="L722" s="332">
        <v>0</v>
      </c>
      <c r="M722" s="333">
        <v>1</v>
      </c>
      <c r="N722" s="332">
        <v>0</v>
      </c>
      <c r="O722" s="332">
        <v>0</v>
      </c>
      <c r="P722" s="284"/>
      <c r="Q722" s="284">
        <f t="shared" si="28"/>
        <v>0</v>
      </c>
      <c r="R722" s="3" t="str">
        <f>_xlfn.IFNA(VLOOKUP(Tabella1[[#This Row],[Nome]],'ROSE SQUADRE'!$N$3:$O$260,2,0),"")</f>
        <v>PESCICULINI</v>
      </c>
      <c r="S722" s="193">
        <f>SUM(Tabella1[[#This Row],[Gf]],Tabella1[[#This Row],[Rf]])</f>
        <v>0</v>
      </c>
      <c r="T722" s="193">
        <v>1</v>
      </c>
      <c r="U722" s="285">
        <f>IF(Tabella1[[#This Row],[N° FantaTit]]="","",Tabella1[[#This Row],[fanta voto]])</f>
        <v>5</v>
      </c>
      <c r="V722" s="193">
        <f>SUM(Tabella1[[#This Row],[Voto]],(G722*3),Q722,P722,O722,-(N722),(-M722/2),(-L722*2),(-H722),(I722*3),(-J722*3),(K722*3))</f>
        <v>5</v>
      </c>
      <c r="W722" s="193"/>
      <c r="X722" s="193" t="str">
        <f>IF(Tabella1[[#This Row],[Best 11]]=1,Tabella1[[#This Row],[fanta voto]],"")</f>
        <v/>
      </c>
      <c r="Y722">
        <v>1</v>
      </c>
      <c r="Z722" s="193">
        <f>IF(Tabella1[[#This Row],[Best 11 MOD]]=1,Tabella1[[#This Row],[fanta voto]],"")</f>
        <v>5</v>
      </c>
      <c r="AA722" t="str">
        <f>CONCATENATE(Tabella1[[#This Row],[GG]],Tabella1[[#This Row],[Nome]])</f>
        <v>3Bellanova</v>
      </c>
      <c r="AB722" t="str">
        <f t="shared" si="29"/>
        <v>3PESCICULINI1</v>
      </c>
      <c r="AC722" t="str">
        <f>_xlfn.CONCAT(Tabella1[[#This Row],[Ruolo]],Tabella1[[#This Row],[Gs]])</f>
        <v>D0</v>
      </c>
    </row>
    <row r="723" spans="1:29" hidden="1" x14ac:dyDescent="0.3">
      <c r="A723" s="14">
        <v>46270</v>
      </c>
      <c r="B723" s="15">
        <v>3</v>
      </c>
      <c r="C723" s="321" t="str">
        <f>_xlfn.XLOOKUP(Tabella1[[#This Row],[Nome]],Tabella4[NOME],Tabella4[SQUADRA],"")</f>
        <v>Atalanta</v>
      </c>
      <c r="D723" s="330" t="s">
        <v>162</v>
      </c>
      <c r="E723" s="330" t="s">
        <v>317</v>
      </c>
      <c r="F723" s="331">
        <v>5.5</v>
      </c>
      <c r="G723" s="332">
        <v>0</v>
      </c>
      <c r="H723" s="332">
        <v>0</v>
      </c>
      <c r="I723" s="332">
        <v>0</v>
      </c>
      <c r="J723" s="332">
        <v>0</v>
      </c>
      <c r="K723" s="332">
        <v>0</v>
      </c>
      <c r="L723" s="332">
        <v>0</v>
      </c>
      <c r="M723" s="332">
        <v>0</v>
      </c>
      <c r="N723" s="332">
        <v>0</v>
      </c>
      <c r="O723" s="332">
        <v>0</v>
      </c>
      <c r="P723" s="284"/>
      <c r="Q723" s="284">
        <f t="shared" si="28"/>
        <v>0</v>
      </c>
      <c r="R723" s="3" t="str">
        <f>_xlfn.IFNA(VLOOKUP(Tabella1[[#This Row],[Nome]],'ROSE SQUADRE'!$N$3:$O$260,2,0),"")</f>
        <v>PESCICULINI</v>
      </c>
      <c r="S723" s="193">
        <f>SUM(Tabella1[[#This Row],[Gf]],Tabella1[[#This Row],[Rf]])</f>
        <v>0</v>
      </c>
      <c r="T723" s="193"/>
      <c r="U723" s="285" t="str">
        <f>IF(Tabella1[[#This Row],[N° FantaTit]]="","",Tabella1[[#This Row],[fanta voto]])</f>
        <v/>
      </c>
      <c r="V723" s="193">
        <f>SUM(Tabella1[[#This Row],[Voto]],(G723*3),Q723,P723,O723,-(N723),(-M723/2),(-L723*2),(-H723),(I723*3),(-J723*3),(K723*3))</f>
        <v>5.5</v>
      </c>
      <c r="W723" s="193">
        <v>1</v>
      </c>
      <c r="X723" s="193">
        <f>IF(Tabella1[[#This Row],[Best 11]]=1,Tabella1[[#This Row],[fanta voto]],"")</f>
        <v>5.5</v>
      </c>
      <c r="Z723" s="193" t="str">
        <f>IF(Tabella1[[#This Row],[Best 11 MOD]]=1,Tabella1[[#This Row],[fanta voto]],"")</f>
        <v/>
      </c>
      <c r="AA723" t="str">
        <f>CONCATENATE(Tabella1[[#This Row],[GG]],Tabella1[[#This Row],[Nome]])</f>
        <v>3Zalewski</v>
      </c>
      <c r="AB723" t="str">
        <f t="shared" si="29"/>
        <v>3PESCICULINI</v>
      </c>
      <c r="AC723" t="str">
        <f>_xlfn.CONCAT(Tabella1[[#This Row],[Ruolo]],Tabella1[[#This Row],[Gs]])</f>
        <v>C0</v>
      </c>
    </row>
    <row r="724" spans="1:29" hidden="1" x14ac:dyDescent="0.3">
      <c r="A724" s="14">
        <v>46270</v>
      </c>
      <c r="B724" s="15">
        <v>3</v>
      </c>
      <c r="C724" s="321" t="str">
        <f>_xlfn.XLOOKUP(Tabella1[[#This Row],[Nome]],Tabella4[NOME],Tabella4[SQUADRA],"")</f>
        <v>Napoli</v>
      </c>
      <c r="D724" s="330" t="s">
        <v>162</v>
      </c>
      <c r="E724" s="330" t="s">
        <v>295</v>
      </c>
      <c r="F724" s="331">
        <v>6.5</v>
      </c>
      <c r="G724" s="332">
        <v>0</v>
      </c>
      <c r="H724" s="332">
        <v>0</v>
      </c>
      <c r="I724" s="332">
        <v>0</v>
      </c>
      <c r="J724" s="332">
        <v>0</v>
      </c>
      <c r="K724" s="332">
        <v>0</v>
      </c>
      <c r="L724" s="332">
        <v>0</v>
      </c>
      <c r="M724" s="332">
        <v>0</v>
      </c>
      <c r="N724" s="332">
        <v>0</v>
      </c>
      <c r="O724" s="332">
        <v>0</v>
      </c>
      <c r="P724" s="284"/>
      <c r="Q724" s="284">
        <f t="shared" ref="Q724:Q787" si="30">IF(AC724="P0",1,0)</f>
        <v>0</v>
      </c>
      <c r="R724" s="3" t="str">
        <f>_xlfn.IFNA(VLOOKUP(Tabella1[[#This Row],[Nome]],'ROSE SQUADRE'!$N$3:$O$260,2,0),"")</f>
        <v>SHARK</v>
      </c>
      <c r="S724" s="193">
        <f>SUM(Tabella1[[#This Row],[Gf]],Tabella1[[#This Row],[Rf]])</f>
        <v>0</v>
      </c>
      <c r="T724" s="193">
        <v>1</v>
      </c>
      <c r="U724" s="285">
        <f>IF(Tabella1[[#This Row],[N° FantaTit]]="","",Tabella1[[#This Row],[fanta voto]])</f>
        <v>6.5</v>
      </c>
      <c r="V724" s="193">
        <f>SUM(Tabella1[[#This Row],[Voto]],(G724*3),Q724,P724,O724,-(N724),(-M724/2),(-L724*2),(-H724),(I724*3),(-J724*3),(K724*3))</f>
        <v>6.5</v>
      </c>
      <c r="W724" s="193">
        <v>1</v>
      </c>
      <c r="X724" s="193">
        <f>IF(Tabella1[[#This Row],[Best 11]]=1,Tabella1[[#This Row],[fanta voto]],"")</f>
        <v>6.5</v>
      </c>
      <c r="Y724">
        <v>1</v>
      </c>
      <c r="Z724" s="193">
        <f>IF(Tabella1[[#This Row],[Best 11 MOD]]=1,Tabella1[[#This Row],[fanta voto]],"")</f>
        <v>6.5</v>
      </c>
      <c r="AA724" t="str">
        <f>CONCATENATE(Tabella1[[#This Row],[GG]],Tabella1[[#This Row],[Nome]])</f>
        <v>3Lobotka</v>
      </c>
      <c r="AB724" t="str">
        <f t="shared" ref="AB724:AB787" si="31">CONCATENATE(B724,R724,T724)</f>
        <v>3SHARK1</v>
      </c>
      <c r="AC724" t="str">
        <f>_xlfn.CONCAT(Tabella1[[#This Row],[Ruolo]],Tabella1[[#This Row],[Gs]])</f>
        <v>C0</v>
      </c>
    </row>
    <row r="725" spans="1:29" hidden="1" x14ac:dyDescent="0.3">
      <c r="A725" s="14">
        <v>46270</v>
      </c>
      <c r="B725" s="15">
        <v>3</v>
      </c>
      <c r="C725" s="321" t="str">
        <f>_xlfn.XLOOKUP(Tabella1[[#This Row],[Nome]],Tabella4[NOME],Tabella4[SQUADRA],"")</f>
        <v>Juventus</v>
      </c>
      <c r="D725" t="s">
        <v>162</v>
      </c>
      <c r="E725" t="s">
        <v>263</v>
      </c>
      <c r="F725" s="194">
        <v>5.5</v>
      </c>
      <c r="G725" s="328">
        <v>0</v>
      </c>
      <c r="H725" s="328">
        <v>0</v>
      </c>
      <c r="I725" s="328">
        <v>0</v>
      </c>
      <c r="J725" s="328">
        <v>0</v>
      </c>
      <c r="K725" s="328">
        <v>0</v>
      </c>
      <c r="L725" s="328">
        <v>0</v>
      </c>
      <c r="M725" s="328">
        <v>0</v>
      </c>
      <c r="N725" s="328">
        <v>0</v>
      </c>
      <c r="O725" s="328">
        <v>0</v>
      </c>
      <c r="P725" s="284"/>
      <c r="Q725" s="284">
        <f t="shared" si="30"/>
        <v>0</v>
      </c>
      <c r="R725" s="3" t="str">
        <f>_xlfn.IFNA(VLOOKUP(Tabella1[[#This Row],[Nome]],'ROSE SQUADRE'!$N$3:$O$260,2,0),"")</f>
        <v>ATL. IMPROVVISATO</v>
      </c>
      <c r="S725" s="193">
        <f>SUM(Tabella1[[#This Row],[Gf]],Tabella1[[#This Row],[Rf]])</f>
        <v>0</v>
      </c>
      <c r="T725" s="193">
        <v>1</v>
      </c>
      <c r="U725" s="285">
        <f>IF(Tabella1[[#This Row],[N° FantaTit]]="","",Tabella1[[#This Row],[fanta voto]])</f>
        <v>5.5</v>
      </c>
      <c r="V725" s="193">
        <f>SUM(Tabella1[[#This Row],[Voto]],(G725*3),Q725,P725,O725,-(N725),(-M725/2),(-L725*2),(-H725),(I725*3),(-J725*3),(K725*3))</f>
        <v>5.5</v>
      </c>
      <c r="W725" s="193"/>
      <c r="X725" s="193" t="str">
        <f>IF(Tabella1[[#This Row],[Best 11]]=1,Tabella1[[#This Row],[fanta voto]],"")</f>
        <v/>
      </c>
      <c r="Z725" s="193" t="str">
        <f>IF(Tabella1[[#This Row],[Best 11 MOD]]=1,Tabella1[[#This Row],[fanta voto]],"")</f>
        <v/>
      </c>
      <c r="AA725" t="str">
        <f>CONCATENATE(Tabella1[[#This Row],[GG]],Tabella1[[#This Row],[Nome]])</f>
        <v>3Locatelli</v>
      </c>
      <c r="AB725" t="str">
        <f t="shared" si="31"/>
        <v>3ATL. IMPROVVISATO1</v>
      </c>
      <c r="AC725" t="str">
        <f>_xlfn.CONCAT(Tabella1[[#This Row],[Ruolo]],Tabella1[[#This Row],[Gs]])</f>
        <v>C0</v>
      </c>
    </row>
    <row r="726" spans="1:29" hidden="1" x14ac:dyDescent="0.3">
      <c r="A726" s="14">
        <v>46270</v>
      </c>
      <c r="B726" s="15">
        <v>3</v>
      </c>
      <c r="C726" s="321" t="str">
        <f>_xlfn.XLOOKUP(Tabella1[[#This Row],[Nome]],Tabella4[NOME],Tabella4[SQUADRA],"")</f>
        <v>Parma</v>
      </c>
      <c r="D726" t="s">
        <v>162</v>
      </c>
      <c r="E726" t="s">
        <v>884</v>
      </c>
      <c r="F726" s="194">
        <v>6</v>
      </c>
      <c r="G726" s="328">
        <v>0</v>
      </c>
      <c r="H726" s="328">
        <v>0</v>
      </c>
      <c r="I726" s="328">
        <v>0</v>
      </c>
      <c r="J726" s="328">
        <v>0</v>
      </c>
      <c r="K726" s="328">
        <v>0</v>
      </c>
      <c r="L726" s="328">
        <v>0</v>
      </c>
      <c r="M726" s="329">
        <v>1</v>
      </c>
      <c r="N726" s="328">
        <v>0</v>
      </c>
      <c r="O726" s="328">
        <v>0</v>
      </c>
      <c r="P726" s="284"/>
      <c r="Q726" s="284">
        <f t="shared" si="30"/>
        <v>0</v>
      </c>
      <c r="R726" s="3" t="str">
        <f>_xlfn.IFNA(VLOOKUP(Tabella1[[#This Row],[Nome]],'ROSE SQUADRE'!$N$3:$O$260,2,0),"")</f>
        <v>SHARK</v>
      </c>
      <c r="S726" s="193">
        <f>SUM(Tabella1[[#This Row],[Gf]],Tabella1[[#This Row],[Rf]])</f>
        <v>0</v>
      </c>
      <c r="T726" s="193">
        <v>1</v>
      </c>
      <c r="U726" s="285">
        <f>IF(Tabella1[[#This Row],[N° FantaTit]]="","",Tabella1[[#This Row],[fanta voto]])</f>
        <v>5.5</v>
      </c>
      <c r="V726" s="193">
        <f>SUM(Tabella1[[#This Row],[Voto]],(G726*3),Q726,P726,O726,-(N726),(-M726/2),(-L726*2),(-H726),(I726*3),(-J726*3),(K726*3))</f>
        <v>5.5</v>
      </c>
      <c r="W726" s="193"/>
      <c r="X726" s="193" t="str">
        <f>IF(Tabella1[[#This Row],[Best 11]]=1,Tabella1[[#This Row],[fanta voto]],"")</f>
        <v/>
      </c>
      <c r="Z726" s="193" t="str">
        <f>IF(Tabella1[[#This Row],[Best 11 MOD]]=1,Tabella1[[#This Row],[fanta voto]],"")</f>
        <v/>
      </c>
      <c r="AA726" t="str">
        <f>CONCATENATE(Tabella1[[#This Row],[GG]],Tabella1[[#This Row],[Nome]])</f>
        <v>3Keita M.</v>
      </c>
      <c r="AB726" t="str">
        <f t="shared" si="31"/>
        <v>3SHARK1</v>
      </c>
      <c r="AC726" t="str">
        <f>_xlfn.CONCAT(Tabella1[[#This Row],[Ruolo]],Tabella1[[#This Row],[Gs]])</f>
        <v>C0</v>
      </c>
    </row>
    <row r="727" spans="1:29" hidden="1" x14ac:dyDescent="0.3">
      <c r="A727" s="14">
        <v>46270</v>
      </c>
      <c r="B727" s="15">
        <v>3</v>
      </c>
      <c r="C727" s="321" t="str">
        <f>_xlfn.XLOOKUP(Tabella1[[#This Row],[Nome]],Tabella4[NOME],Tabella4[SQUADRA],"")</f>
        <v>Sassuolo</v>
      </c>
      <c r="D727" t="s">
        <v>162</v>
      </c>
      <c r="E727" t="s">
        <v>926</v>
      </c>
      <c r="F727" s="194">
        <v>6</v>
      </c>
      <c r="G727" s="328">
        <v>0</v>
      </c>
      <c r="H727" s="328">
        <v>0</v>
      </c>
      <c r="I727" s="328">
        <v>0</v>
      </c>
      <c r="J727" s="328">
        <v>0</v>
      </c>
      <c r="K727" s="328">
        <v>0</v>
      </c>
      <c r="L727" s="328">
        <v>0</v>
      </c>
      <c r="M727" s="328">
        <v>0</v>
      </c>
      <c r="N727" s="328">
        <v>0</v>
      </c>
      <c r="O727" s="328">
        <v>0</v>
      </c>
      <c r="P727" s="284"/>
      <c r="Q727" s="284">
        <f t="shared" si="30"/>
        <v>0</v>
      </c>
      <c r="R727" s="3" t="str">
        <f>_xlfn.IFNA(VLOOKUP(Tabella1[[#This Row],[Nome]],'ROSE SQUADRE'!$N$3:$O$260,2,0),"")</f>
        <v/>
      </c>
      <c r="S727" s="193">
        <f>SUM(Tabella1[[#This Row],[Gf]],Tabella1[[#This Row],[Rf]])</f>
        <v>0</v>
      </c>
      <c r="T727" s="193"/>
      <c r="U727" s="285" t="str">
        <f>IF(Tabella1[[#This Row],[N° FantaTit]]="","",Tabella1[[#This Row],[fanta voto]])</f>
        <v/>
      </c>
      <c r="V727" s="193">
        <f>SUM(Tabella1[[#This Row],[Voto]],(G727*3),Q727,P727,O727,-(N727),(-M727/2),(-L727*2),(-H727),(I727*3),(-J727*3),(K727*3))</f>
        <v>6</v>
      </c>
      <c r="W727" s="193"/>
      <c r="X727" s="193" t="str">
        <f>IF(Tabella1[[#This Row],[Best 11]]=1,Tabella1[[#This Row],[fanta voto]],"")</f>
        <v/>
      </c>
      <c r="Z727" s="193" t="str">
        <f>IF(Tabella1[[#This Row],[Best 11 MOD]]=1,Tabella1[[#This Row],[fanta voto]],"")</f>
        <v/>
      </c>
      <c r="AA727" t="str">
        <f>CONCATENATE(Tabella1[[#This Row],[GG]],Tabella1[[#This Row],[Nome]])</f>
        <v>3Lipani</v>
      </c>
      <c r="AB727" t="str">
        <f t="shared" si="31"/>
        <v>3</v>
      </c>
      <c r="AC727" t="str">
        <f>_xlfn.CONCAT(Tabella1[[#This Row],[Ruolo]],Tabella1[[#This Row],[Gs]])</f>
        <v>C0</v>
      </c>
    </row>
    <row r="728" spans="1:29" hidden="1" x14ac:dyDescent="0.3">
      <c r="A728" s="14">
        <v>46270</v>
      </c>
      <c r="B728" s="15">
        <v>3</v>
      </c>
      <c r="C728" s="321" t="str">
        <f>_xlfn.XLOOKUP(Tabella1[[#This Row],[Nome]],Tabella4[NOME],Tabella4[SQUADRA],"")</f>
        <v>Bologna</v>
      </c>
      <c r="D728" t="s">
        <v>162</v>
      </c>
      <c r="E728" t="s">
        <v>1051</v>
      </c>
      <c r="F728" s="194">
        <v>6</v>
      </c>
      <c r="G728" s="328">
        <v>0</v>
      </c>
      <c r="H728" s="328">
        <v>0</v>
      </c>
      <c r="I728" s="328">
        <v>0</v>
      </c>
      <c r="J728" s="328">
        <v>0</v>
      </c>
      <c r="K728" s="328">
        <v>0</v>
      </c>
      <c r="L728" s="328">
        <v>0</v>
      </c>
      <c r="M728" s="328">
        <v>0</v>
      </c>
      <c r="N728" s="328">
        <v>0</v>
      </c>
      <c r="O728" s="328">
        <v>0</v>
      </c>
      <c r="P728" s="284"/>
      <c r="Q728" s="284">
        <f t="shared" si="30"/>
        <v>0</v>
      </c>
      <c r="R728" s="3" t="str">
        <f>_xlfn.IFNA(VLOOKUP(Tabella1[[#This Row],[Nome]],'ROSE SQUADRE'!$N$3:$O$260,2,0),"")</f>
        <v/>
      </c>
      <c r="S728" s="193">
        <f>SUM(Tabella1[[#This Row],[Gf]],Tabella1[[#This Row],[Rf]])</f>
        <v>0</v>
      </c>
      <c r="T728" s="193"/>
      <c r="U728" s="285" t="str">
        <f>IF(Tabella1[[#This Row],[N° FantaTit]]="","",Tabella1[[#This Row],[fanta voto]])</f>
        <v/>
      </c>
      <c r="V728" s="193">
        <f>SUM(Tabella1[[#This Row],[Voto]],(G728*3),Q728,P728,O728,-(N728),(-M728/2),(-L728*2),(-H728),(I728*3),(-J728*3),(K728*3))</f>
        <v>6</v>
      </c>
      <c r="W728" s="193"/>
      <c r="X728" s="193" t="str">
        <f>IF(Tabella1[[#This Row],[Best 11]]=1,Tabella1[[#This Row],[fanta voto]],"")</f>
        <v/>
      </c>
      <c r="Z728" s="193" t="str">
        <f>IF(Tabella1[[#This Row],[Best 11 MOD]]=1,Tabella1[[#This Row],[fanta voto]],"")</f>
        <v/>
      </c>
      <c r="AA728" t="str">
        <f>CONCATENATE(Tabella1[[#This Row],[GG]],Tabella1[[#This Row],[Nome]])</f>
        <v>3Libra</v>
      </c>
      <c r="AB728" t="str">
        <f t="shared" si="31"/>
        <v>3</v>
      </c>
      <c r="AC728" t="str">
        <f>_xlfn.CONCAT(Tabella1[[#This Row],[Ruolo]],Tabella1[[#This Row],[Gs]])</f>
        <v>C0</v>
      </c>
    </row>
    <row r="729" spans="1:29" hidden="1" x14ac:dyDescent="0.3">
      <c r="A729" s="14">
        <v>46270</v>
      </c>
      <c r="B729" s="15">
        <v>3</v>
      </c>
      <c r="C729" s="321" t="str">
        <f>_xlfn.XLOOKUP(Tabella1[[#This Row],[Nome]],Tabella4[NOME],Tabella4[SQUADRA],"")</f>
        <v>Como</v>
      </c>
      <c r="D729" t="s">
        <v>162</v>
      </c>
      <c r="E729" t="s">
        <v>697</v>
      </c>
      <c r="F729" s="334" t="s">
        <v>1050</v>
      </c>
      <c r="G729" s="328">
        <v>0</v>
      </c>
      <c r="H729" s="328">
        <v>0</v>
      </c>
      <c r="I729" s="328">
        <v>0</v>
      </c>
      <c r="J729" s="328">
        <v>0</v>
      </c>
      <c r="K729" s="328">
        <v>0</v>
      </c>
      <c r="L729" s="328">
        <v>0</v>
      </c>
      <c r="M729" s="328">
        <v>0</v>
      </c>
      <c r="N729" s="328">
        <v>0</v>
      </c>
      <c r="O729" s="328">
        <v>0</v>
      </c>
      <c r="P729" s="284"/>
      <c r="Q729" s="284">
        <f t="shared" si="30"/>
        <v>0</v>
      </c>
      <c r="R729" s="3" t="str">
        <f>_xlfn.IFNA(VLOOKUP(Tabella1[[#This Row],[Nome]],'ROSE SQUADRE'!$N$3:$O$260,2,0),"")</f>
        <v/>
      </c>
      <c r="S729" s="193">
        <f>SUM(Tabella1[[#This Row],[Gf]],Tabella1[[#This Row],[Rf]])</f>
        <v>0</v>
      </c>
      <c r="T729" s="193"/>
      <c r="U729" s="285" t="str">
        <f>IF(Tabella1[[#This Row],[N° FantaTit]]="","",Tabella1[[#This Row],[fanta voto]])</f>
        <v/>
      </c>
      <c r="V729" s="193">
        <f>SUM(Tabella1[[#This Row],[Voto]],(G729*3),Q729,P729,O729,-(N729),(-M729/2),(-L729*2),(-H729),(I729*3),(-J729*3),(K729*3))</f>
        <v>0</v>
      </c>
      <c r="W729" s="193"/>
      <c r="X729" s="193" t="str">
        <f>IF(Tabella1[[#This Row],[Best 11]]=1,Tabella1[[#This Row],[fanta voto]],"")</f>
        <v/>
      </c>
      <c r="Z729" s="193" t="str">
        <f>IF(Tabella1[[#This Row],[Best 11 MOD]]=1,Tabella1[[#This Row],[fanta voto]],"")</f>
        <v/>
      </c>
      <c r="AA729" t="str">
        <f>CONCATENATE(Tabella1[[#This Row],[GG]],Tabella1[[#This Row],[Nome]])</f>
        <v>3Liberali</v>
      </c>
      <c r="AB729" t="str">
        <f t="shared" si="31"/>
        <v>3</v>
      </c>
      <c r="AC729" t="str">
        <f>_xlfn.CONCAT(Tabella1[[#This Row],[Ruolo]],Tabella1[[#This Row],[Gs]])</f>
        <v>C0</v>
      </c>
    </row>
    <row r="730" spans="1:29" hidden="1" x14ac:dyDescent="0.3">
      <c r="A730" s="14">
        <v>46270</v>
      </c>
      <c r="B730" s="15">
        <v>3</v>
      </c>
      <c r="C730" s="321" t="str">
        <f>_xlfn.XLOOKUP(Tabella1[[#This Row],[Nome]],Tabella4[NOME],Tabella4[SQUADRA],"")</f>
        <v>Milan</v>
      </c>
      <c r="D730" t="s">
        <v>162</v>
      </c>
      <c r="E730" t="s">
        <v>249</v>
      </c>
      <c r="F730" s="194">
        <v>5.5</v>
      </c>
      <c r="G730" s="328">
        <v>0</v>
      </c>
      <c r="H730" s="328">
        <v>0</v>
      </c>
      <c r="I730" s="328">
        <v>0</v>
      </c>
      <c r="J730" s="328">
        <v>0</v>
      </c>
      <c r="K730" s="328">
        <v>0</v>
      </c>
      <c r="L730" s="328">
        <v>0</v>
      </c>
      <c r="M730" s="328">
        <v>0</v>
      </c>
      <c r="N730" s="328">
        <v>0</v>
      </c>
      <c r="O730" s="328">
        <v>0</v>
      </c>
      <c r="P730" s="284"/>
      <c r="Q730" s="284">
        <f t="shared" si="30"/>
        <v>0</v>
      </c>
      <c r="R730" s="3" t="str">
        <f>_xlfn.IFNA(VLOOKUP(Tabella1[[#This Row],[Nome]],'ROSE SQUADRE'!$N$3:$O$260,2,0),"")</f>
        <v>SAN GRIA</v>
      </c>
      <c r="S730" s="193">
        <f>SUM(Tabella1[[#This Row],[Gf]],Tabella1[[#This Row],[Rf]])</f>
        <v>0</v>
      </c>
      <c r="T730" s="193"/>
      <c r="U730" s="285" t="str">
        <f>IF(Tabella1[[#This Row],[N° FantaTit]]="","",Tabella1[[#This Row],[fanta voto]])</f>
        <v/>
      </c>
      <c r="V730" s="193">
        <f>SUM(Tabella1[[#This Row],[Voto]],(G730*3),Q730,P730,O730,-(N730),(-M730/2),(-L730*2),(-H730),(I730*3),(-J730*3),(K730*3))</f>
        <v>5.5</v>
      </c>
      <c r="W730" s="193">
        <v>1</v>
      </c>
      <c r="X730" s="193">
        <f>IF(Tabella1[[#This Row],[Best 11]]=1,Tabella1[[#This Row],[fanta voto]],"")</f>
        <v>5.5</v>
      </c>
      <c r="Y730">
        <v>1</v>
      </c>
      <c r="Z730" s="193">
        <f>IF(Tabella1[[#This Row],[Best 11 MOD]]=1,Tabella1[[#This Row],[fanta voto]],"")</f>
        <v>5.5</v>
      </c>
      <c r="AA730" t="str">
        <f>CONCATENATE(Tabella1[[#This Row],[GG]],Tabella1[[#This Row],[Nome]])</f>
        <v>3Saelemaekers</v>
      </c>
      <c r="AB730" t="str">
        <f t="shared" si="31"/>
        <v>3SAN GRIA</v>
      </c>
      <c r="AC730" t="str">
        <f>_xlfn.CONCAT(Tabella1[[#This Row],[Ruolo]],Tabella1[[#This Row],[Gs]])</f>
        <v>C0</v>
      </c>
    </row>
    <row r="731" spans="1:29" hidden="1" x14ac:dyDescent="0.3">
      <c r="A731" s="14">
        <v>46270</v>
      </c>
      <c r="B731" s="15">
        <v>3</v>
      </c>
      <c r="C731" s="321" t="str">
        <f>_xlfn.XLOOKUP(Tabella1[[#This Row],[Nome]],Tabella4[NOME],Tabella4[SQUADRA],"")</f>
        <v>Juventus</v>
      </c>
      <c r="D731" s="330" t="s">
        <v>161</v>
      </c>
      <c r="E731" s="330" t="s">
        <v>244</v>
      </c>
      <c r="F731" s="331">
        <v>6</v>
      </c>
      <c r="G731" s="332">
        <v>0</v>
      </c>
      <c r="H731" s="332">
        <v>0</v>
      </c>
      <c r="I731" s="332">
        <v>0</v>
      </c>
      <c r="J731" s="332">
        <v>0</v>
      </c>
      <c r="K731" s="332">
        <v>0</v>
      </c>
      <c r="L731" s="332">
        <v>0</v>
      </c>
      <c r="M731" s="332">
        <v>0</v>
      </c>
      <c r="N731" s="332">
        <v>0</v>
      </c>
      <c r="O731" s="332">
        <v>0</v>
      </c>
      <c r="P731" s="284"/>
      <c r="Q731" s="284">
        <f t="shared" si="30"/>
        <v>0</v>
      </c>
      <c r="R731" s="3" t="str">
        <f>_xlfn.IFNA(VLOOKUP(Tabella1[[#This Row],[Nome]],'ROSE SQUADRE'!$N$3:$O$260,2,0),"")</f>
        <v>SESTO ASENSIO</v>
      </c>
      <c r="S731" s="193">
        <f>SUM(Tabella1[[#This Row],[Gf]],Tabella1[[#This Row],[Rf]])</f>
        <v>0</v>
      </c>
      <c r="T731" s="193"/>
      <c r="U731" s="285" t="str">
        <f>IF(Tabella1[[#This Row],[N° FantaTit]]="","",Tabella1[[#This Row],[fanta voto]])</f>
        <v/>
      </c>
      <c r="V731" s="193">
        <f>SUM(Tabella1[[#This Row],[Voto]],(G731*3),Q731,P731,O731,-(N731),(-M731/2),(-L731*2),(-H731),(I731*3),(-J731*3),(K731*3))</f>
        <v>6</v>
      </c>
      <c r="W731" s="193"/>
      <c r="X731" s="193" t="str">
        <f>IF(Tabella1[[#This Row],[Best 11]]=1,Tabella1[[#This Row],[fanta voto]],"")</f>
        <v/>
      </c>
      <c r="Z731" s="193" t="str">
        <f>IF(Tabella1[[#This Row],[Best 11 MOD]]=1,Tabella1[[#This Row],[fanta voto]],"")</f>
        <v/>
      </c>
      <c r="AA731" t="str">
        <f>CONCATENATE(Tabella1[[#This Row],[GG]],Tabella1[[#This Row],[Nome]])</f>
        <v>3Bremer</v>
      </c>
      <c r="AB731" t="str">
        <f t="shared" si="31"/>
        <v>3SESTO ASENSIO</v>
      </c>
      <c r="AC731" t="str">
        <f>_xlfn.CONCAT(Tabella1[[#This Row],[Ruolo]],Tabella1[[#This Row],[Gs]])</f>
        <v>D0</v>
      </c>
    </row>
    <row r="732" spans="1:29" hidden="1" x14ac:dyDescent="0.3">
      <c r="A732" s="14">
        <v>46270</v>
      </c>
      <c r="B732" s="15">
        <v>3</v>
      </c>
      <c r="C732" s="321" t="str">
        <f>_xlfn.XLOOKUP(Tabella1[[#This Row],[Nome]],Tabella4[NOME],Tabella4[SQUADRA],"")</f>
        <v>Milan</v>
      </c>
      <c r="D732" t="s">
        <v>162</v>
      </c>
      <c r="E732" t="s">
        <v>838</v>
      </c>
      <c r="F732" s="194">
        <v>5</v>
      </c>
      <c r="G732" s="328">
        <v>0</v>
      </c>
      <c r="H732" s="328">
        <v>0</v>
      </c>
      <c r="I732" s="328">
        <v>0</v>
      </c>
      <c r="J732" s="328">
        <v>0</v>
      </c>
      <c r="K732" s="328">
        <v>0</v>
      </c>
      <c r="L732" s="328">
        <v>0</v>
      </c>
      <c r="M732" s="328">
        <v>0</v>
      </c>
      <c r="N732" s="328">
        <v>0</v>
      </c>
      <c r="O732" s="328">
        <v>0</v>
      </c>
      <c r="P732" s="284"/>
      <c r="Q732" s="284">
        <f t="shared" si="30"/>
        <v>0</v>
      </c>
      <c r="R732" s="3" t="str">
        <f>_xlfn.IFNA(VLOOKUP(Tabella1[[#This Row],[Nome]],'ROSE SQUADRE'!$N$3:$O$260,2,0),"")</f>
        <v>SAN GRIA</v>
      </c>
      <c r="S732" s="193">
        <f>SUM(Tabella1[[#This Row],[Gf]],Tabella1[[#This Row],[Rf]])</f>
        <v>0</v>
      </c>
      <c r="T732" s="193">
        <v>1</v>
      </c>
      <c r="U732" s="285">
        <f>IF(Tabella1[[#This Row],[N° FantaTit]]="","",Tabella1[[#This Row],[fanta voto]])</f>
        <v>5</v>
      </c>
      <c r="V732" s="193">
        <f>SUM(Tabella1[[#This Row],[Voto]],(G732*3),Q732,P732,O732,-(N732),(-M732/2),(-L732*2),(-H732),(I732*3),(-J732*3),(K732*3))</f>
        <v>5</v>
      </c>
      <c r="W732" s="193"/>
      <c r="X732" s="193" t="str">
        <f>IF(Tabella1[[#This Row],[Best 11]]=1,Tabella1[[#This Row],[fanta voto]],"")</f>
        <v/>
      </c>
      <c r="Z732" s="193" t="str">
        <f>IF(Tabella1[[#This Row],[Best 11 MOD]]=1,Tabella1[[#This Row],[fanta voto]],"")</f>
        <v/>
      </c>
      <c r="AA732" t="str">
        <f>CONCATENATE(Tabella1[[#This Row],[GG]],Tabella1[[#This Row],[Nome]])</f>
        <v>3Rabiot</v>
      </c>
      <c r="AB732" t="str">
        <f t="shared" si="31"/>
        <v>3SAN GRIA1</v>
      </c>
      <c r="AC732" t="str">
        <f>_xlfn.CONCAT(Tabella1[[#This Row],[Ruolo]],Tabella1[[#This Row],[Gs]])</f>
        <v>C0</v>
      </c>
    </row>
    <row r="733" spans="1:29" hidden="1" x14ac:dyDescent="0.3">
      <c r="A733" s="286">
        <v>46270</v>
      </c>
      <c r="B733" s="15">
        <v>3</v>
      </c>
      <c r="C733" s="283" t="str">
        <f>_xlfn.XLOOKUP(Tabella1[[#This Row],[Nome]],Tabella4[NOME],Tabella4[SQUADRA],"")</f>
        <v>Como</v>
      </c>
      <c r="D733" s="330" t="s">
        <v>161</v>
      </c>
      <c r="E733" s="330" t="s">
        <v>688</v>
      </c>
      <c r="F733" s="331">
        <v>6</v>
      </c>
      <c r="G733" s="332">
        <v>0</v>
      </c>
      <c r="H733" s="332">
        <v>0</v>
      </c>
      <c r="I733" s="332">
        <v>0</v>
      </c>
      <c r="J733" s="332">
        <v>0</v>
      </c>
      <c r="K733" s="332">
        <v>0</v>
      </c>
      <c r="L733" s="332">
        <v>0</v>
      </c>
      <c r="M733" s="332">
        <v>0</v>
      </c>
      <c r="N733" s="332">
        <v>0</v>
      </c>
      <c r="O733" s="332">
        <v>0</v>
      </c>
      <c r="P733" s="284"/>
      <c r="Q733" s="284">
        <f t="shared" si="30"/>
        <v>0</v>
      </c>
      <c r="R733" s="3" t="str">
        <f>_xlfn.IFNA(VLOOKUP(Tabella1[[#This Row],[Nome]],'ROSE SQUADRE'!$N$3:$O$260,2,0),"")</f>
        <v>PARTIZAN DEGRADO</v>
      </c>
      <c r="S733" s="193">
        <f>SUM(Tabella1[[#This Row],[Gf]],Tabella1[[#This Row],[Rf]])</f>
        <v>0</v>
      </c>
      <c r="T733" s="193">
        <v>1</v>
      </c>
      <c r="U733" s="285">
        <f>IF(Tabella1[[#This Row],[N° FantaTit]]="","",Tabella1[[#This Row],[fanta voto]])</f>
        <v>6</v>
      </c>
      <c r="V733" s="195">
        <f>SUM(Tabella1[[#This Row],[Voto]],(G733*3),Q733,P733,O733,-(N733),(-M733/2),(-L733*2),(-H733),(I733*3),(-J733*3),(K733*3))</f>
        <v>6</v>
      </c>
      <c r="W733" s="193">
        <v>1</v>
      </c>
      <c r="X733" s="193">
        <f>IF(Tabella1[[#This Row],[Best 11]]=1,Tabella1[[#This Row],[fanta voto]],"")</f>
        <v>6</v>
      </c>
      <c r="Y733">
        <v>1</v>
      </c>
      <c r="Z733" s="193">
        <f>IF(Tabella1[[#This Row],[Best 11 MOD]]=1,Tabella1[[#This Row],[fanta voto]],"")</f>
        <v>6</v>
      </c>
      <c r="AA733" t="str">
        <f>CONCATENATE(Tabella1[[#This Row],[GG]],Tabella1[[#This Row],[Nome]])</f>
        <v>3Ramon</v>
      </c>
      <c r="AB733" t="str">
        <f t="shared" si="31"/>
        <v>3PARTIZAN DEGRADO1</v>
      </c>
      <c r="AC733" t="str">
        <f>_xlfn.CONCAT(Tabella1[[#This Row],[Ruolo]],Tabella1[[#This Row],[Gs]])</f>
        <v>D0</v>
      </c>
    </row>
    <row r="734" spans="1:29" x14ac:dyDescent="0.3">
      <c r="A734" s="14">
        <v>46270</v>
      </c>
      <c r="B734" s="15">
        <v>3</v>
      </c>
      <c r="C734" s="321" t="str">
        <f>_xlfn.XLOOKUP(Tabella1[[#This Row],[Nome]],Tabella4[NOME],Tabella4[SQUADRA],"")</f>
        <v>Napoli</v>
      </c>
      <c r="D734" t="s">
        <v>162</v>
      </c>
      <c r="E734" t="s">
        <v>268</v>
      </c>
      <c r="F734" s="194">
        <v>6.5</v>
      </c>
      <c r="G734" s="329">
        <v>1</v>
      </c>
      <c r="H734" s="328">
        <v>0</v>
      </c>
      <c r="I734" s="328">
        <v>0</v>
      </c>
      <c r="J734" s="328">
        <v>0</v>
      </c>
      <c r="K734" s="328">
        <v>0</v>
      </c>
      <c r="L734" s="328">
        <v>0</v>
      </c>
      <c r="M734" s="328">
        <v>0</v>
      </c>
      <c r="N734" s="328">
        <v>0</v>
      </c>
      <c r="O734" s="328">
        <v>0</v>
      </c>
      <c r="P734" s="284"/>
      <c r="Q734" s="284">
        <f t="shared" si="30"/>
        <v>0</v>
      </c>
      <c r="R734" s="3" t="str">
        <f>_xlfn.IFNA(VLOOKUP(Tabella1[[#This Row],[Nome]],'ROSE SQUADRE'!$N$3:$O$260,2,0),"")</f>
        <v>PESCICULINI</v>
      </c>
      <c r="S734" s="193">
        <f>SUM(Tabella1[[#This Row],[Gf]],Tabella1[[#This Row],[Rf]])</f>
        <v>1</v>
      </c>
      <c r="T734" s="193">
        <v>1</v>
      </c>
      <c r="U734" s="285">
        <f>IF(Tabella1[[#This Row],[N° FantaTit]]="","",Tabella1[[#This Row],[fanta voto]])</f>
        <v>9.5</v>
      </c>
      <c r="V734" s="193">
        <f>SUM(Tabella1[[#This Row],[Voto]],(G734*3),Q734,P734,O734,-(N734),(-M734/2),(-L734*2),(-H734),(I734*3),(-J734*3),(K734*3))</f>
        <v>9.5</v>
      </c>
      <c r="W734" s="193">
        <v>1</v>
      </c>
      <c r="X734" s="193">
        <f>IF(Tabella1[[#This Row],[Best 11]]=1,Tabella1[[#This Row],[fanta voto]],"")</f>
        <v>9.5</v>
      </c>
      <c r="Y734">
        <v>1</v>
      </c>
      <c r="Z734" s="193">
        <f>IF(Tabella1[[#This Row],[Best 11 MOD]]=1,Tabella1[[#This Row],[fanta voto]],"")</f>
        <v>9.5</v>
      </c>
      <c r="AA734" t="str">
        <f>CONCATENATE(Tabella1[[#This Row],[GG]],Tabella1[[#This Row],[Nome]])</f>
        <v>3Politano</v>
      </c>
      <c r="AB734" t="str">
        <f t="shared" si="31"/>
        <v>3PESCICULINI1</v>
      </c>
      <c r="AC734" t="str">
        <f>_xlfn.CONCAT(Tabella1[[#This Row],[Ruolo]],Tabella1[[#This Row],[Gs]])</f>
        <v>C0</v>
      </c>
    </row>
    <row r="735" spans="1:29" hidden="1" x14ac:dyDescent="0.3">
      <c r="A735" s="14">
        <v>46270</v>
      </c>
      <c r="B735" s="15">
        <v>3</v>
      </c>
      <c r="C735" s="321" t="str">
        <f>_xlfn.XLOOKUP(Tabella1[[#This Row],[Nome]],Tabella4[NOME],Tabella4[SQUADRA],"")</f>
        <v>Monza</v>
      </c>
      <c r="D735" s="330" t="s">
        <v>161</v>
      </c>
      <c r="E735" s="330" t="s">
        <v>849</v>
      </c>
      <c r="F735" s="331">
        <v>6</v>
      </c>
      <c r="G735" s="332">
        <v>0</v>
      </c>
      <c r="H735" s="332">
        <v>0</v>
      </c>
      <c r="I735" s="332">
        <v>0</v>
      </c>
      <c r="J735" s="332">
        <v>0</v>
      </c>
      <c r="K735" s="332">
        <v>0</v>
      </c>
      <c r="L735" s="332">
        <v>0</v>
      </c>
      <c r="M735" s="332">
        <v>0</v>
      </c>
      <c r="N735" s="332">
        <v>0</v>
      </c>
      <c r="O735" s="332">
        <v>0</v>
      </c>
      <c r="P735" s="284"/>
      <c r="Q735" s="284">
        <f t="shared" si="30"/>
        <v>0</v>
      </c>
      <c r="R735" s="3" t="str">
        <f>_xlfn.IFNA(VLOOKUP(Tabella1[[#This Row],[Nome]],'ROSE SQUADRE'!$N$3:$O$260,2,0),"")</f>
        <v/>
      </c>
      <c r="S735" s="193">
        <f>SUM(Tabella1[[#This Row],[Gf]],Tabella1[[#This Row],[Rf]])</f>
        <v>0</v>
      </c>
      <c r="T735" s="193"/>
      <c r="U735" s="285" t="str">
        <f>IF(Tabella1[[#This Row],[N° FantaTit]]="","",Tabella1[[#This Row],[fanta voto]])</f>
        <v/>
      </c>
      <c r="V735" s="193">
        <f>SUM(Tabella1[[#This Row],[Voto]],(G735*3),Q735,P735,O735,-(N735),(-M735/2),(-L735*2),(-H735),(I735*3),(-J735*3),(K735*3))</f>
        <v>6</v>
      </c>
      <c r="W735" s="193"/>
      <c r="X735" s="193" t="str">
        <f>IF(Tabella1[[#This Row],[Best 11]]=1,Tabella1[[#This Row],[fanta voto]],"")</f>
        <v/>
      </c>
      <c r="Z735" s="193" t="str">
        <f>IF(Tabella1[[#This Row],[Best 11 MOD]]=1,Tabella1[[#This Row],[fanta voto]],"")</f>
        <v/>
      </c>
      <c r="AA735" t="str">
        <f>CONCATENATE(Tabella1[[#This Row],[GG]],Tabella1[[#This Row],[Nome]])</f>
        <v>3Kouadio</v>
      </c>
      <c r="AB735" t="str">
        <f t="shared" si="31"/>
        <v>3</v>
      </c>
      <c r="AC735" t="str">
        <f>_xlfn.CONCAT(Tabella1[[#This Row],[Ruolo]],Tabella1[[#This Row],[Gs]])</f>
        <v>D0</v>
      </c>
    </row>
    <row r="736" spans="1:29" hidden="1" x14ac:dyDescent="0.3">
      <c r="A736" s="14">
        <v>46270</v>
      </c>
      <c r="B736" s="15">
        <v>3</v>
      </c>
      <c r="C736" s="321" t="str">
        <f>_xlfn.XLOOKUP(Tabella1[[#This Row],[Nome]],Tabella4[NOME],Tabella4[SQUADRA],"")</f>
        <v>Atalanta</v>
      </c>
      <c r="D736" s="330" t="s">
        <v>161</v>
      </c>
      <c r="E736" s="330" t="s">
        <v>637</v>
      </c>
      <c r="F736" s="331">
        <v>5.5</v>
      </c>
      <c r="G736" s="332">
        <v>0</v>
      </c>
      <c r="H736" s="332">
        <v>0</v>
      </c>
      <c r="I736" s="332">
        <v>0</v>
      </c>
      <c r="J736" s="332">
        <v>0</v>
      </c>
      <c r="K736" s="332">
        <v>0</v>
      </c>
      <c r="L736" s="332">
        <v>0</v>
      </c>
      <c r="M736" s="332">
        <v>0</v>
      </c>
      <c r="N736" s="332">
        <v>0</v>
      </c>
      <c r="O736" s="332">
        <v>0</v>
      </c>
      <c r="P736" s="284"/>
      <c r="Q736" s="284">
        <f t="shared" si="30"/>
        <v>0</v>
      </c>
      <c r="R736" s="3" t="str">
        <f>_xlfn.IFNA(VLOOKUP(Tabella1[[#This Row],[Nome]],'ROSE SQUADRE'!$N$3:$O$260,2,0),"")</f>
        <v/>
      </c>
      <c r="S736" s="193">
        <f>SUM(Tabella1[[#This Row],[Gf]],Tabella1[[#This Row],[Rf]])</f>
        <v>0</v>
      </c>
      <c r="T736" s="193"/>
      <c r="U736" s="285" t="str">
        <f>IF(Tabella1[[#This Row],[N° FantaTit]]="","",Tabella1[[#This Row],[fanta voto]])</f>
        <v/>
      </c>
      <c r="V736" s="193">
        <f>SUM(Tabella1[[#This Row],[Voto]],(G736*3),Q736,P736,O736,-(N736),(-M736/2),(-L736*2),(-H736),(I736*3),(-J736*3),(K736*3))</f>
        <v>5.5</v>
      </c>
      <c r="W736" s="193"/>
      <c r="X736" s="193" t="str">
        <f>IF(Tabella1[[#This Row],[Best 11]]=1,Tabella1[[#This Row],[fanta voto]],"")</f>
        <v/>
      </c>
      <c r="Z736" s="193" t="str">
        <f>IF(Tabella1[[#This Row],[Best 11 MOD]]=1,Tabella1[[#This Row],[fanta voto]],"")</f>
        <v/>
      </c>
      <c r="AA736" t="str">
        <f>CONCATENATE(Tabella1[[#This Row],[GG]],Tabella1[[#This Row],[Nome]])</f>
        <v>3Kossounou</v>
      </c>
      <c r="AB736" t="str">
        <f t="shared" si="31"/>
        <v>3</v>
      </c>
      <c r="AC736" t="str">
        <f>_xlfn.CONCAT(Tabella1[[#This Row],[Ruolo]],Tabella1[[#This Row],[Gs]])</f>
        <v>D0</v>
      </c>
    </row>
    <row r="737" spans="1:29" hidden="1" x14ac:dyDescent="0.3">
      <c r="A737" s="14">
        <v>46270</v>
      </c>
      <c r="B737" s="15">
        <v>3</v>
      </c>
      <c r="C737" s="321" t="str">
        <f>_xlfn.XLOOKUP(Tabella1[[#This Row],[Nome]],Tabella4[NOME],Tabella4[SQUADRA],"")</f>
        <v>Napoli</v>
      </c>
      <c r="D737" s="330" t="s">
        <v>162</v>
      </c>
      <c r="E737" s="330" t="s">
        <v>868</v>
      </c>
      <c r="F737" s="331">
        <v>5.5</v>
      </c>
      <c r="G737" s="332">
        <v>0</v>
      </c>
      <c r="H737" s="332">
        <v>0</v>
      </c>
      <c r="I737" s="332">
        <v>0</v>
      </c>
      <c r="J737" s="332">
        <v>0</v>
      </c>
      <c r="K737" s="332">
        <v>0</v>
      </c>
      <c r="L737" s="332">
        <v>0</v>
      </c>
      <c r="M737" s="333">
        <v>1</v>
      </c>
      <c r="N737" s="332">
        <v>0</v>
      </c>
      <c r="O737" s="332">
        <v>0</v>
      </c>
      <c r="P737" s="284"/>
      <c r="Q737" s="284">
        <f t="shared" si="30"/>
        <v>0</v>
      </c>
      <c r="R737" s="3" t="str">
        <f>_xlfn.IFNA(VLOOKUP(Tabella1[[#This Row],[Nome]],'ROSE SQUADRE'!$N$3:$O$260,2,0),"")</f>
        <v>SESTO ASENSIO</v>
      </c>
      <c r="S737" s="193">
        <f>SUM(Tabella1[[#This Row],[Gf]],Tabella1[[#This Row],[Rf]])</f>
        <v>0</v>
      </c>
      <c r="T737" s="193"/>
      <c r="U737" s="285" t="str">
        <f>IF(Tabella1[[#This Row],[N° FantaTit]]="","",Tabella1[[#This Row],[fanta voto]])</f>
        <v/>
      </c>
      <c r="V737" s="193">
        <f>SUM(Tabella1[[#This Row],[Voto]],(G737*3),Q737,P737,O737,-(N737),(-M737/2),(-L737*2),(-H737),(I737*3),(-J737*3),(K737*3))</f>
        <v>5</v>
      </c>
      <c r="W737" s="193"/>
      <c r="X737" s="193" t="str">
        <f>IF(Tabella1[[#This Row],[Best 11]]=1,Tabella1[[#This Row],[fanta voto]],"")</f>
        <v/>
      </c>
      <c r="Z737" s="193" t="str">
        <f>IF(Tabella1[[#This Row],[Best 11 MOD]]=1,Tabella1[[#This Row],[fanta voto]],"")</f>
        <v/>
      </c>
      <c r="AA737" t="str">
        <f>CONCATENATE(Tabella1[[#This Row],[GG]],Tabella1[[#This Row],[Nome]])</f>
        <v>3Vergara</v>
      </c>
      <c r="AB737" t="str">
        <f t="shared" si="31"/>
        <v>3SESTO ASENSIO</v>
      </c>
      <c r="AC737" t="str">
        <f>_xlfn.CONCAT(Tabella1[[#This Row],[Ruolo]],Tabella1[[#This Row],[Gs]])</f>
        <v>C0</v>
      </c>
    </row>
    <row r="738" spans="1:29" hidden="1" x14ac:dyDescent="0.3">
      <c r="A738" s="14">
        <v>46270</v>
      </c>
      <c r="B738" s="15">
        <v>3</v>
      </c>
      <c r="C738" s="321" t="str">
        <f>_xlfn.XLOOKUP(Tabella1[[#This Row],[Nome]],Tabella4[NOME],Tabella4[SQUADRA],"")</f>
        <v>Lazio</v>
      </c>
      <c r="D738" t="s">
        <v>161</v>
      </c>
      <c r="E738" t="s">
        <v>799</v>
      </c>
      <c r="F738" s="194">
        <v>6.5</v>
      </c>
      <c r="G738" s="328">
        <v>0</v>
      </c>
      <c r="H738" s="328">
        <v>0</v>
      </c>
      <c r="I738" s="328">
        <v>0</v>
      </c>
      <c r="J738" s="328">
        <v>0</v>
      </c>
      <c r="K738" s="328">
        <v>0</v>
      </c>
      <c r="L738" s="328">
        <v>0</v>
      </c>
      <c r="M738" s="328">
        <v>0</v>
      </c>
      <c r="N738" s="328">
        <v>0</v>
      </c>
      <c r="O738" s="329">
        <v>1</v>
      </c>
      <c r="P738" s="284"/>
      <c r="Q738" s="284">
        <f t="shared" si="30"/>
        <v>0</v>
      </c>
      <c r="R738" s="3" t="str">
        <f>_xlfn.IFNA(VLOOKUP(Tabella1[[#This Row],[Nome]],'ROSE SQUADRE'!$N$3:$O$260,2,0),"")</f>
        <v>AC ASPARAGHESE</v>
      </c>
      <c r="S738" s="193">
        <f>SUM(Tabella1[[#This Row],[Gf]],Tabella1[[#This Row],[Rf]])</f>
        <v>0</v>
      </c>
      <c r="T738" s="193">
        <v>1</v>
      </c>
      <c r="U738" s="285">
        <f>IF(Tabella1[[#This Row],[N° FantaTit]]="","",Tabella1[[#This Row],[fanta voto]])</f>
        <v>7.5</v>
      </c>
      <c r="V738" s="193">
        <f>SUM(Tabella1[[#This Row],[Voto]],(G738*3),Q738,P738,O738,-(N738),(-M738/2),(-L738*2),(-H738),(I738*3),(-J738*3),(K738*3))</f>
        <v>7.5</v>
      </c>
      <c r="W738" s="193">
        <v>1</v>
      </c>
      <c r="X738" s="193">
        <f>IF(Tabella1[[#This Row],[Best 11]]=1,Tabella1[[#This Row],[fanta voto]],"")</f>
        <v>7.5</v>
      </c>
      <c r="Y738">
        <v>1</v>
      </c>
      <c r="Z738" s="193">
        <f>IF(Tabella1[[#This Row],[Best 11 MOD]]=1,Tabella1[[#This Row],[fanta voto]],"")</f>
        <v>7.5</v>
      </c>
      <c r="AA738" t="str">
        <f>CONCATENATE(Tabella1[[#This Row],[GG]],Tabella1[[#This Row],[Nome]])</f>
        <v>3Doekhi</v>
      </c>
      <c r="AB738" t="str">
        <f t="shared" si="31"/>
        <v>3AC ASPARAGHESE1</v>
      </c>
      <c r="AC738" t="str">
        <f>_xlfn.CONCAT(Tabella1[[#This Row],[Ruolo]],Tabella1[[#This Row],[Gs]])</f>
        <v>D0</v>
      </c>
    </row>
    <row r="739" spans="1:29" hidden="1" x14ac:dyDescent="0.3">
      <c r="A739" s="14">
        <v>46270</v>
      </c>
      <c r="B739" s="15">
        <v>3</v>
      </c>
      <c r="C739" s="321" t="str">
        <f>_xlfn.XLOOKUP(Tabella1[[#This Row],[Nome]],Tabella4[NOME],Tabella4[SQUADRA],"")</f>
        <v>Como</v>
      </c>
      <c r="D739" s="330" t="s">
        <v>162</v>
      </c>
      <c r="E739" s="330" t="s">
        <v>608</v>
      </c>
      <c r="F739" s="331">
        <v>6.5</v>
      </c>
      <c r="G739" s="332">
        <v>0</v>
      </c>
      <c r="H739" s="332">
        <v>0</v>
      </c>
      <c r="I739" s="332">
        <v>0</v>
      </c>
      <c r="J739" s="332">
        <v>0</v>
      </c>
      <c r="K739" s="332">
        <v>0</v>
      </c>
      <c r="L739" s="332">
        <v>0</v>
      </c>
      <c r="M739" s="332">
        <v>0</v>
      </c>
      <c r="N739" s="332">
        <v>0</v>
      </c>
      <c r="O739" s="332">
        <v>0</v>
      </c>
      <c r="P739" s="284"/>
      <c r="Q739" s="284">
        <f t="shared" si="30"/>
        <v>0</v>
      </c>
      <c r="R739" s="3" t="str">
        <f>_xlfn.IFNA(VLOOKUP(Tabella1[[#This Row],[Nome]],'ROSE SQUADRE'!$N$3:$O$260,2,0),"")</f>
        <v>SAN GRIA</v>
      </c>
      <c r="S739" s="193">
        <f>SUM(Tabella1[[#This Row],[Gf]],Tabella1[[#This Row],[Rf]])</f>
        <v>0</v>
      </c>
      <c r="T739" s="193"/>
      <c r="U739" s="285" t="str">
        <f>IF(Tabella1[[#This Row],[N° FantaTit]]="","",Tabella1[[#This Row],[fanta voto]])</f>
        <v/>
      </c>
      <c r="V739" s="193">
        <f>SUM(Tabella1[[#This Row],[Voto]],(G739*3),Q739,P739,O739,-(N739),(-M739/2),(-L739*2),(-H739),(I739*3),(-J739*3),(K739*3))</f>
        <v>6.5</v>
      </c>
      <c r="W739" s="193">
        <v>1</v>
      </c>
      <c r="X739" s="193">
        <f>IF(Tabella1[[#This Row],[Best 11]]=1,Tabella1[[#This Row],[fanta voto]],"")</f>
        <v>6.5</v>
      </c>
      <c r="Y739">
        <v>1</v>
      </c>
      <c r="Z739" s="193">
        <f>IF(Tabella1[[#This Row],[Best 11 MOD]]=1,Tabella1[[#This Row],[fanta voto]],"")</f>
        <v>6.5</v>
      </c>
      <c r="AA739" t="str">
        <f>CONCATENATE(Tabella1[[#This Row],[GG]],Tabella1[[#This Row],[Nome]])</f>
        <v>3Perrone</v>
      </c>
      <c r="AB739" t="str">
        <f t="shared" si="31"/>
        <v>3SAN GRIA</v>
      </c>
      <c r="AC739" t="str">
        <f>_xlfn.CONCAT(Tabella1[[#This Row],[Ruolo]],Tabella1[[#This Row],[Gs]])</f>
        <v>C0</v>
      </c>
    </row>
    <row r="740" spans="1:29" hidden="1" x14ac:dyDescent="0.3">
      <c r="A740" s="14">
        <v>46270</v>
      </c>
      <c r="B740" s="15">
        <v>3</v>
      </c>
      <c r="C740" s="321" t="str">
        <f>_xlfn.XLOOKUP(Tabella1[[#This Row],[Nome]],Tabella4[NOME],Tabella4[SQUADRA],"")</f>
        <v>Atalanta</v>
      </c>
      <c r="D740" t="s">
        <v>161</v>
      </c>
      <c r="E740" t="s">
        <v>635</v>
      </c>
      <c r="F740" s="194">
        <v>6.5</v>
      </c>
      <c r="G740" s="328">
        <v>0</v>
      </c>
      <c r="H740" s="328">
        <v>0</v>
      </c>
      <c r="I740" s="328">
        <v>0</v>
      </c>
      <c r="J740" s="328">
        <v>0</v>
      </c>
      <c r="K740" s="328">
        <v>0</v>
      </c>
      <c r="L740" s="328">
        <v>0</v>
      </c>
      <c r="M740" s="328">
        <v>0</v>
      </c>
      <c r="N740" s="328">
        <v>0</v>
      </c>
      <c r="O740" s="328">
        <v>0</v>
      </c>
      <c r="P740" s="284"/>
      <c r="Q740" s="284">
        <f t="shared" si="30"/>
        <v>0</v>
      </c>
      <c r="R740" s="3" t="str">
        <f>_xlfn.IFNA(VLOOKUP(Tabella1[[#This Row],[Nome]],'ROSE SQUADRE'!$N$3:$O$260,2,0),"")</f>
        <v/>
      </c>
      <c r="S740" s="193">
        <f>SUM(Tabella1[[#This Row],[Gf]],Tabella1[[#This Row],[Rf]])</f>
        <v>0</v>
      </c>
      <c r="T740" s="193"/>
      <c r="U740" s="285" t="str">
        <f>IF(Tabella1[[#This Row],[N° FantaTit]]="","",Tabella1[[#This Row],[fanta voto]])</f>
        <v/>
      </c>
      <c r="V740" s="193">
        <f>SUM(Tabella1[[#This Row],[Voto]],(G740*3),Q740,P740,O740,-(N740),(-M740/2),(-L740*2),(-H740),(I740*3),(-J740*3),(K740*3))</f>
        <v>6.5</v>
      </c>
      <c r="W740" s="193"/>
      <c r="X740" s="193" t="str">
        <f>IF(Tabella1[[#This Row],[Best 11]]=1,Tabella1[[#This Row],[fanta voto]],"")</f>
        <v/>
      </c>
      <c r="Z740" s="193" t="str">
        <f>IF(Tabella1[[#This Row],[Best 11 MOD]]=1,Tabella1[[#This Row],[fanta voto]],"")</f>
        <v/>
      </c>
      <c r="AA740" t="str">
        <f>CONCATENATE(Tabella1[[#This Row],[GG]],Tabella1[[#This Row],[Nome]])</f>
        <v>3Kolasinac</v>
      </c>
      <c r="AB740" t="str">
        <f t="shared" si="31"/>
        <v>3</v>
      </c>
      <c r="AC740" t="str">
        <f>_xlfn.CONCAT(Tabella1[[#This Row],[Ruolo]],Tabella1[[#This Row],[Gs]])</f>
        <v>D0</v>
      </c>
    </row>
    <row r="741" spans="1:29" hidden="1" x14ac:dyDescent="0.3">
      <c r="A741" s="14">
        <v>46270</v>
      </c>
      <c r="B741" s="15">
        <v>3</v>
      </c>
      <c r="C741" s="321" t="str">
        <f>_xlfn.XLOOKUP(Tabella1[[#This Row],[Nome]],Tabella4[NOME],Tabella4[SQUADRA],"")</f>
        <v>Fiorentina</v>
      </c>
      <c r="D741" t="s">
        <v>162</v>
      </c>
      <c r="E741" t="s">
        <v>716</v>
      </c>
      <c r="F741" s="194">
        <v>5.5</v>
      </c>
      <c r="G741" s="328">
        <v>0</v>
      </c>
      <c r="H741" s="328">
        <v>0</v>
      </c>
      <c r="I741" s="328">
        <v>0</v>
      </c>
      <c r="J741" s="328">
        <v>0</v>
      </c>
      <c r="K741" s="328">
        <v>0</v>
      </c>
      <c r="L741" s="328">
        <v>0</v>
      </c>
      <c r="M741" s="328">
        <v>0</v>
      </c>
      <c r="N741" s="328">
        <v>0</v>
      </c>
      <c r="O741" s="328">
        <v>0</v>
      </c>
      <c r="P741" s="284"/>
      <c r="Q741" s="284">
        <f t="shared" si="30"/>
        <v>0</v>
      </c>
      <c r="R741" s="3" t="str">
        <f>_xlfn.IFNA(VLOOKUP(Tabella1[[#This Row],[Nome]],'ROSE SQUADRE'!$N$3:$O$260,2,0),"")</f>
        <v>AC ASPARAGHESE</v>
      </c>
      <c r="S741" s="193">
        <f>SUM(Tabella1[[#This Row],[Gf]],Tabella1[[#This Row],[Rf]])</f>
        <v>0</v>
      </c>
      <c r="T741" s="193">
        <v>1</v>
      </c>
      <c r="U741" s="285">
        <f>IF(Tabella1[[#This Row],[N° FantaTit]]="","",Tabella1[[#This Row],[fanta voto]])</f>
        <v>5.5</v>
      </c>
      <c r="V741" s="193">
        <f>SUM(Tabella1[[#This Row],[Voto]],(G741*3),Q741,P741,O741,-(N741),(-M741/2),(-L741*2),(-H741),(I741*3),(-J741*3),(K741*3))</f>
        <v>5.5</v>
      </c>
      <c r="W741" s="193">
        <v>1</v>
      </c>
      <c r="X741" s="193">
        <f>IF(Tabella1[[#This Row],[Best 11]]=1,Tabella1[[#This Row],[fanta voto]],"")</f>
        <v>5.5</v>
      </c>
      <c r="Y741">
        <v>1</v>
      </c>
      <c r="Z741" s="193">
        <f>IF(Tabella1[[#This Row],[Best 11 MOD]]=1,Tabella1[[#This Row],[fanta voto]],"")</f>
        <v>5.5</v>
      </c>
      <c r="AA741" t="str">
        <f>CONCATENATE(Tabella1[[#This Row],[GG]],Tabella1[[#This Row],[Nome]])</f>
        <v>3Mastantuono</v>
      </c>
      <c r="AB741" t="str">
        <f t="shared" si="31"/>
        <v>3AC ASPARAGHESE1</v>
      </c>
      <c r="AC741" t="str">
        <f>_xlfn.CONCAT(Tabella1[[#This Row],[Ruolo]],Tabella1[[#This Row],[Gs]])</f>
        <v>C0</v>
      </c>
    </row>
    <row r="742" spans="1:29" hidden="1" x14ac:dyDescent="0.3">
      <c r="A742" s="14">
        <v>46270</v>
      </c>
      <c r="B742" s="15">
        <v>3</v>
      </c>
      <c r="C742" s="321" t="str">
        <f>_xlfn.XLOOKUP(Tabella1[[#This Row],[Nome]],Tabella4[NOME],Tabella4[SQUADRA],"")</f>
        <v>Udinese</v>
      </c>
      <c r="D742" t="s">
        <v>162</v>
      </c>
      <c r="E742" t="s">
        <v>578</v>
      </c>
      <c r="F742" s="194">
        <v>7</v>
      </c>
      <c r="G742" s="329">
        <v>1</v>
      </c>
      <c r="H742" s="328">
        <v>0</v>
      </c>
      <c r="I742" s="328">
        <v>0</v>
      </c>
      <c r="J742" s="328">
        <v>0</v>
      </c>
      <c r="K742" s="328">
        <v>0</v>
      </c>
      <c r="L742" s="328">
        <v>0</v>
      </c>
      <c r="M742" s="329">
        <v>1</v>
      </c>
      <c r="N742" s="328">
        <v>0</v>
      </c>
      <c r="O742" s="328">
        <v>0</v>
      </c>
      <c r="P742" s="284"/>
      <c r="Q742" s="284">
        <f t="shared" si="30"/>
        <v>0</v>
      </c>
      <c r="R742" s="3" t="str">
        <f>_xlfn.IFNA(VLOOKUP(Tabella1[[#This Row],[Nome]],'ROSE SQUADRE'!$N$3:$O$260,2,0),"")</f>
        <v>SHARK</v>
      </c>
      <c r="S742" s="193">
        <f>SUM(Tabella1[[#This Row],[Gf]],Tabella1[[#This Row],[Rf]])</f>
        <v>1</v>
      </c>
      <c r="T742" s="193"/>
      <c r="U742" s="285" t="str">
        <f>IF(Tabella1[[#This Row],[N° FantaTit]]="","",Tabella1[[#This Row],[fanta voto]])</f>
        <v/>
      </c>
      <c r="V742" s="193">
        <f>SUM(Tabella1[[#This Row],[Voto]],(G742*3),Q742,P742,O742,-(N742),(-M742/2),(-L742*2),(-H742),(I742*3),(-J742*3),(K742*3))</f>
        <v>9.5</v>
      </c>
      <c r="W742" s="193">
        <v>1</v>
      </c>
      <c r="X742" s="193">
        <f>IF(Tabella1[[#This Row],[Best 11]]=1,Tabella1[[#This Row],[fanta voto]],"")</f>
        <v>9.5</v>
      </c>
      <c r="Y742">
        <v>1</v>
      </c>
      <c r="Z742" s="193">
        <f>IF(Tabella1[[#This Row],[Best 11 MOD]]=1,Tabella1[[#This Row],[fanta voto]],"")</f>
        <v>9.5</v>
      </c>
      <c r="AA742" t="str">
        <f>CONCATENATE(Tabella1[[#This Row],[GG]],Tabella1[[#This Row],[Nome]])</f>
        <v>3Karlstrom</v>
      </c>
      <c r="AB742" t="str">
        <f t="shared" si="31"/>
        <v>3SHARK</v>
      </c>
      <c r="AC742" t="str">
        <f>_xlfn.CONCAT(Tabella1[[#This Row],[Ruolo]],Tabella1[[#This Row],[Gs]])</f>
        <v>C0</v>
      </c>
    </row>
    <row r="743" spans="1:29" hidden="1" x14ac:dyDescent="0.3">
      <c r="A743" s="14">
        <v>46270</v>
      </c>
      <c r="B743" s="15">
        <v>3</v>
      </c>
      <c r="C743" s="321" t="str">
        <f>_xlfn.XLOOKUP(Tabella1[[#This Row],[Nome]],Tabella4[NOME],Tabella4[SQUADRA],"")</f>
        <v>Fiorentina</v>
      </c>
      <c r="D743" t="s">
        <v>162</v>
      </c>
      <c r="E743" t="s">
        <v>947</v>
      </c>
      <c r="F743" s="194">
        <v>6</v>
      </c>
      <c r="G743" s="328">
        <v>0</v>
      </c>
      <c r="H743" s="328">
        <v>0</v>
      </c>
      <c r="I743" s="328">
        <v>0</v>
      </c>
      <c r="J743" s="328">
        <v>0</v>
      </c>
      <c r="K743" s="328">
        <v>0</v>
      </c>
      <c r="L743" s="328">
        <v>0</v>
      </c>
      <c r="M743" s="328">
        <v>0</v>
      </c>
      <c r="N743" s="328">
        <v>0</v>
      </c>
      <c r="O743" s="328">
        <v>0</v>
      </c>
      <c r="P743" s="284"/>
      <c r="Q743" s="284">
        <f t="shared" si="30"/>
        <v>0</v>
      </c>
      <c r="R743" s="3" t="str">
        <f>_xlfn.IFNA(VLOOKUP(Tabella1[[#This Row],[Nome]],'ROSE SQUADRE'!$N$3:$O$260,2,0),"")</f>
        <v>PESCICULINI</v>
      </c>
      <c r="S743" s="193">
        <f>SUM(Tabella1[[#This Row],[Gf]],Tabella1[[#This Row],[Rf]])</f>
        <v>0</v>
      </c>
      <c r="T743" s="193">
        <v>1</v>
      </c>
      <c r="U743" s="285">
        <f>IF(Tabella1[[#This Row],[N° FantaTit]]="","",Tabella1[[#This Row],[fanta voto]])</f>
        <v>6</v>
      </c>
      <c r="V743" s="193">
        <f>SUM(Tabella1[[#This Row],[Voto]],(G743*3),Q743,P743,O743,-(N743),(-M743/2),(-L743*2),(-H743),(I743*3),(-J743*3),(K743*3))</f>
        <v>6</v>
      </c>
      <c r="W743" s="193">
        <v>1</v>
      </c>
      <c r="X743" s="193">
        <f>IF(Tabella1[[#This Row],[Best 11]]=1,Tabella1[[#This Row],[fanta voto]],"")</f>
        <v>6</v>
      </c>
      <c r="Y743">
        <v>1</v>
      </c>
      <c r="Z743" s="193">
        <f>IF(Tabella1[[#This Row],[Best 11 MOD]]=1,Tabella1[[#This Row],[fanta voto]],"")</f>
        <v>6</v>
      </c>
      <c r="AA743" t="str">
        <f>CONCATENATE(Tabella1[[#This Row],[GG]],Tabella1[[#This Row],[Nome]])</f>
        <v>3Njie</v>
      </c>
      <c r="AB743" t="str">
        <f t="shared" si="31"/>
        <v>3PESCICULINI1</v>
      </c>
      <c r="AC743" t="str">
        <f>_xlfn.CONCAT(Tabella1[[#This Row],[Ruolo]],Tabella1[[#This Row],[Gs]])</f>
        <v>C0</v>
      </c>
    </row>
    <row r="744" spans="1:29" x14ac:dyDescent="0.3">
      <c r="A744" s="14">
        <v>46270</v>
      </c>
      <c r="B744" s="15">
        <v>3</v>
      </c>
      <c r="C744" s="321" t="str">
        <f>_xlfn.XLOOKUP(Tabella1[[#This Row],[Nome]],Tabella4[NOME],Tabella4[SQUADRA],"")</f>
        <v>Bologna</v>
      </c>
      <c r="D744" s="330" t="s">
        <v>163</v>
      </c>
      <c r="E744" s="330" t="s">
        <v>260</v>
      </c>
      <c r="F744" s="331">
        <v>6.5</v>
      </c>
      <c r="G744" s="333">
        <v>1</v>
      </c>
      <c r="H744" s="332">
        <v>0</v>
      </c>
      <c r="I744" s="332">
        <v>0</v>
      </c>
      <c r="J744" s="332">
        <v>0</v>
      </c>
      <c r="K744" s="332">
        <v>0</v>
      </c>
      <c r="L744" s="332">
        <v>0</v>
      </c>
      <c r="M744" s="333">
        <v>1</v>
      </c>
      <c r="N744" s="332">
        <v>0</v>
      </c>
      <c r="O744" s="332">
        <v>0</v>
      </c>
      <c r="P744" s="284"/>
      <c r="Q744" s="284">
        <f t="shared" si="30"/>
        <v>0</v>
      </c>
      <c r="R744" s="3" t="str">
        <f>_xlfn.IFNA(VLOOKUP(Tabella1[[#This Row],[Nome]],'ROSE SQUADRE'!$N$3:$O$260,2,0),"")</f>
        <v>SHARK</v>
      </c>
      <c r="S744" s="193">
        <f>SUM(Tabella1[[#This Row],[Gf]],Tabella1[[#This Row],[Rf]])</f>
        <v>1</v>
      </c>
      <c r="T744" s="193">
        <v>1</v>
      </c>
      <c r="U744" s="285">
        <f>IF(Tabella1[[#This Row],[N° FantaTit]]="","",Tabella1[[#This Row],[fanta voto]])</f>
        <v>9</v>
      </c>
      <c r="V744" s="193">
        <f>SUM(Tabella1[[#This Row],[Voto]],(G744*3),Q744,P744,O744,-(N744),(-M744/2),(-L744*2),(-H744),(I744*3),(-J744*3),(K744*3))</f>
        <v>9</v>
      </c>
      <c r="W744" s="193">
        <v>1</v>
      </c>
      <c r="X744" s="193">
        <f>IF(Tabella1[[#This Row],[Best 11]]=1,Tabella1[[#This Row],[fanta voto]],"")</f>
        <v>9</v>
      </c>
      <c r="Y744">
        <v>1</v>
      </c>
      <c r="Z744" s="193">
        <f>IF(Tabella1[[#This Row],[Best 11 MOD]]=1,Tabella1[[#This Row],[fanta voto]],"")</f>
        <v>9</v>
      </c>
      <c r="AA744" t="str">
        <f>CONCATENATE(Tabella1[[#This Row],[GG]],Tabella1[[#This Row],[Nome]])</f>
        <v>3Piccoli</v>
      </c>
      <c r="AB744" t="str">
        <f t="shared" si="31"/>
        <v>3SHARK1</v>
      </c>
      <c r="AC744" t="str">
        <f>_xlfn.CONCAT(Tabella1[[#This Row],[Ruolo]],Tabella1[[#This Row],[Gs]])</f>
        <v>A0</v>
      </c>
    </row>
    <row r="745" spans="1:29" x14ac:dyDescent="0.3">
      <c r="A745" s="14">
        <v>46270</v>
      </c>
      <c r="B745" s="15">
        <v>3</v>
      </c>
      <c r="C745" s="321" t="str">
        <f>_xlfn.XLOOKUP(Tabella1[[#This Row],[Nome]],Tabella4[NOME],Tabella4[SQUADRA],"")</f>
        <v>Lazio</v>
      </c>
      <c r="D745" t="s">
        <v>162</v>
      </c>
      <c r="E745" t="s">
        <v>258</v>
      </c>
      <c r="F745" s="194">
        <v>7</v>
      </c>
      <c r="G745" s="329">
        <v>1</v>
      </c>
      <c r="H745" s="328">
        <v>0</v>
      </c>
      <c r="I745" s="328">
        <v>0</v>
      </c>
      <c r="J745" s="328">
        <v>0</v>
      </c>
      <c r="K745" s="328">
        <v>0</v>
      </c>
      <c r="L745" s="328">
        <v>0</v>
      </c>
      <c r="M745" s="328">
        <v>0</v>
      </c>
      <c r="N745" s="328">
        <v>0</v>
      </c>
      <c r="O745" s="328">
        <v>0</v>
      </c>
      <c r="P745" s="284"/>
      <c r="Q745" s="284">
        <f t="shared" si="30"/>
        <v>0</v>
      </c>
      <c r="R745" s="3" t="str">
        <f>_xlfn.IFNA(VLOOKUP(Tabella1[[#This Row],[Nome]],'ROSE SQUADRE'!$N$3:$O$260,2,0),"")</f>
        <v>TRICCHETRACHT</v>
      </c>
      <c r="S745" s="193">
        <f>SUM(Tabella1[[#This Row],[Gf]],Tabella1[[#This Row],[Rf]])</f>
        <v>1</v>
      </c>
      <c r="T745" s="193">
        <v>1</v>
      </c>
      <c r="U745" s="285">
        <f>IF(Tabella1[[#This Row],[N° FantaTit]]="","",Tabella1[[#This Row],[fanta voto]])</f>
        <v>10</v>
      </c>
      <c r="V745" s="193">
        <f>SUM(Tabella1[[#This Row],[Voto]],(G745*3),Q745,P745,O745,-(N745),(-M745/2),(-L745*2),(-H745),(I745*3),(-J745*3),(K745*3))</f>
        <v>10</v>
      </c>
      <c r="W745" s="193">
        <v>1</v>
      </c>
      <c r="X745" s="193">
        <f>IF(Tabella1[[#This Row],[Best 11]]=1,Tabella1[[#This Row],[fanta voto]],"")</f>
        <v>10</v>
      </c>
      <c r="Y745">
        <v>1</v>
      </c>
      <c r="Z745" s="193">
        <f>IF(Tabella1[[#This Row],[Best 11 MOD]]=1,Tabella1[[#This Row],[fanta voto]],"")</f>
        <v>10</v>
      </c>
      <c r="AA745" t="str">
        <f>CONCATENATE(Tabella1[[#This Row],[GG]],Tabella1[[#This Row],[Nome]])</f>
        <v>3Frattesi</v>
      </c>
      <c r="AB745" t="str">
        <f t="shared" si="31"/>
        <v>3TRICCHETRACHT1</v>
      </c>
      <c r="AC745" t="str">
        <f>_xlfn.CONCAT(Tabella1[[#This Row],[Ruolo]],Tabella1[[#This Row],[Gs]])</f>
        <v>C0</v>
      </c>
    </row>
    <row r="746" spans="1:29" hidden="1" x14ac:dyDescent="0.3">
      <c r="A746" s="14">
        <v>46270</v>
      </c>
      <c r="B746" s="15">
        <v>3</v>
      </c>
      <c r="C746" s="321" t="str">
        <f>_xlfn.XLOOKUP(Tabella1[[#This Row],[Nome]],Tabella4[NOME],Tabella4[SQUADRA],"")</f>
        <v>Roma</v>
      </c>
      <c r="D746" t="s">
        <v>162</v>
      </c>
      <c r="E746" t="s">
        <v>903</v>
      </c>
      <c r="F746" s="194">
        <v>6</v>
      </c>
      <c r="G746" s="328">
        <v>0</v>
      </c>
      <c r="H746" s="328">
        <v>0</v>
      </c>
      <c r="I746" s="328">
        <v>0</v>
      </c>
      <c r="J746" s="328">
        <v>0</v>
      </c>
      <c r="K746" s="328">
        <v>0</v>
      </c>
      <c r="L746" s="328">
        <v>0</v>
      </c>
      <c r="M746" s="328">
        <v>0</v>
      </c>
      <c r="N746" s="328">
        <v>0</v>
      </c>
      <c r="O746" s="328">
        <v>0</v>
      </c>
      <c r="P746" s="284"/>
      <c r="Q746" s="284">
        <f t="shared" si="30"/>
        <v>0</v>
      </c>
      <c r="R746" s="3" t="str">
        <f>_xlfn.IFNA(VLOOKUP(Tabella1[[#This Row],[Nome]],'ROSE SQUADRE'!$N$3:$O$260,2,0),"")</f>
        <v>AC ASPARAGHESE</v>
      </c>
      <c r="S746" s="193">
        <f>SUM(Tabella1[[#This Row],[Gf]],Tabella1[[#This Row],[Rf]])</f>
        <v>0</v>
      </c>
      <c r="T746" s="193">
        <v>1</v>
      </c>
      <c r="U746" s="285">
        <f>IF(Tabella1[[#This Row],[N° FantaTit]]="","",Tabella1[[#This Row],[fanta voto]])</f>
        <v>6</v>
      </c>
      <c r="V746" s="193">
        <f>SUM(Tabella1[[#This Row],[Voto]],(G746*3),Q746,P746,O746,-(N746),(-M746/2),(-L746*2),(-H746),(I746*3),(-J746*3),(K746*3))</f>
        <v>6</v>
      </c>
      <c r="W746" s="193">
        <v>1</v>
      </c>
      <c r="X746" s="193">
        <f>IF(Tabella1[[#This Row],[Best 11]]=1,Tabella1[[#This Row],[fanta voto]],"")</f>
        <v>6</v>
      </c>
      <c r="Y746">
        <v>1</v>
      </c>
      <c r="Z746" s="193">
        <f>IF(Tabella1[[#This Row],[Best 11 MOD]]=1,Tabella1[[#This Row],[fanta voto]],"")</f>
        <v>6</v>
      </c>
      <c r="AA746" t="str">
        <f>CONCATENATE(Tabella1[[#This Row],[GG]],Tabella1[[#This Row],[Nome]])</f>
        <v>3Konè M.</v>
      </c>
      <c r="AB746" t="str">
        <f t="shared" si="31"/>
        <v>3AC ASPARAGHESE1</v>
      </c>
      <c r="AC746" t="str">
        <f>_xlfn.CONCAT(Tabella1[[#This Row],[Ruolo]],Tabella1[[#This Row],[Gs]])</f>
        <v>C0</v>
      </c>
    </row>
    <row r="747" spans="1:29" hidden="1" x14ac:dyDescent="0.3">
      <c r="A747" s="14">
        <v>46270</v>
      </c>
      <c r="B747" s="15">
        <v>3</v>
      </c>
      <c r="C747" s="321" t="str">
        <f>_xlfn.XLOOKUP(Tabella1[[#This Row],[Nome]],Tabella4[NOME],Tabella4[SQUADRA],"")</f>
        <v>Udinese</v>
      </c>
      <c r="D747" t="s">
        <v>161</v>
      </c>
      <c r="E747" t="s">
        <v>620</v>
      </c>
      <c r="F747" s="194">
        <v>5.5</v>
      </c>
      <c r="G747" s="328">
        <v>0</v>
      </c>
      <c r="H747" s="328">
        <v>0</v>
      </c>
      <c r="I747" s="328">
        <v>0</v>
      </c>
      <c r="J747" s="328">
        <v>0</v>
      </c>
      <c r="K747" s="328">
        <v>0</v>
      </c>
      <c r="L747" s="328">
        <v>0</v>
      </c>
      <c r="M747" s="328">
        <v>0</v>
      </c>
      <c r="N747" s="328">
        <v>0</v>
      </c>
      <c r="O747" s="328">
        <v>0</v>
      </c>
      <c r="P747" s="284"/>
      <c r="Q747" s="284">
        <f t="shared" si="30"/>
        <v>0</v>
      </c>
      <c r="R747" s="3" t="str">
        <f>_xlfn.IFNA(VLOOKUP(Tabella1[[#This Row],[Nome]],'ROSE SQUADRE'!$N$3:$O$260,2,0),"")</f>
        <v/>
      </c>
      <c r="S747" s="193">
        <f>SUM(Tabella1[[#This Row],[Gf]],Tabella1[[#This Row],[Rf]])</f>
        <v>0</v>
      </c>
      <c r="T747" s="193"/>
      <c r="U747" s="285" t="str">
        <f>IF(Tabella1[[#This Row],[N° FantaTit]]="","",Tabella1[[#This Row],[fanta voto]])</f>
        <v/>
      </c>
      <c r="V747" s="193">
        <f>SUM(Tabella1[[#This Row],[Voto]],(G747*3),Q747,P747,O747,-(N747),(-M747/2),(-L747*2),(-H747),(I747*3),(-J747*3),(K747*3))</f>
        <v>5.5</v>
      </c>
      <c r="W747" s="193"/>
      <c r="X747" s="193" t="str">
        <f>IF(Tabella1[[#This Row],[Best 11]]=1,Tabella1[[#This Row],[fanta voto]],"")</f>
        <v/>
      </c>
      <c r="Z747" s="193" t="str">
        <f>IF(Tabella1[[#This Row],[Best 11 MOD]]=1,Tabella1[[#This Row],[fanta voto]],"")</f>
        <v/>
      </c>
      <c r="AA747" t="str">
        <f>CONCATENATE(Tabella1[[#This Row],[GG]],Tabella1[[#This Row],[Nome]])</f>
        <v>3Kabasele</v>
      </c>
      <c r="AB747" t="str">
        <f t="shared" si="31"/>
        <v>3</v>
      </c>
      <c r="AC747" t="str">
        <f>_xlfn.CONCAT(Tabella1[[#This Row],[Ruolo]],Tabella1[[#This Row],[Gs]])</f>
        <v>D0</v>
      </c>
    </row>
    <row r="748" spans="1:29" hidden="1" x14ac:dyDescent="0.3">
      <c r="A748" s="14">
        <v>46270</v>
      </c>
      <c r="B748" s="15">
        <v>3</v>
      </c>
      <c r="C748" s="321" t="str">
        <f>_xlfn.XLOOKUP(Tabella1[[#This Row],[Nome]],Tabella4[NOME],Tabella4[SQUADRA],"")</f>
        <v>Roma</v>
      </c>
      <c r="D748" t="s">
        <v>161</v>
      </c>
      <c r="E748" t="s">
        <v>994</v>
      </c>
      <c r="F748" s="194">
        <v>6</v>
      </c>
      <c r="G748" s="328">
        <v>0</v>
      </c>
      <c r="H748" s="328">
        <v>0</v>
      </c>
      <c r="I748" s="328">
        <v>0</v>
      </c>
      <c r="J748" s="328">
        <v>0</v>
      </c>
      <c r="K748" s="328">
        <v>0</v>
      </c>
      <c r="L748" s="328">
        <v>0</v>
      </c>
      <c r="M748" s="328">
        <v>0</v>
      </c>
      <c r="N748" s="328">
        <v>0</v>
      </c>
      <c r="O748" s="328">
        <v>0</v>
      </c>
      <c r="P748" s="284"/>
      <c r="Q748" s="284">
        <f t="shared" si="30"/>
        <v>0</v>
      </c>
      <c r="R748" s="3" t="str">
        <f>_xlfn.IFNA(VLOOKUP(Tabella1[[#This Row],[Nome]],'ROSE SQUADRE'!$N$3:$O$260,2,0),"")</f>
        <v>PARTIZAN DEGRADO</v>
      </c>
      <c r="S748" s="193">
        <f>SUM(Tabella1[[#This Row],[Gf]],Tabella1[[#This Row],[Rf]])</f>
        <v>0</v>
      </c>
      <c r="T748" s="193"/>
      <c r="U748" s="285" t="str">
        <f>IF(Tabella1[[#This Row],[N° FantaTit]]="","",Tabella1[[#This Row],[fanta voto]])</f>
        <v/>
      </c>
      <c r="V748" s="193">
        <f>SUM(Tabella1[[#This Row],[Voto]],(G748*3),Q748,P748,O748,-(N748),(-M748/2),(-L748*2),(-H748),(I748*3),(-J748*3),(K748*3))</f>
        <v>6</v>
      </c>
      <c r="W748" s="193">
        <v>1</v>
      </c>
      <c r="X748" s="193">
        <f>IF(Tabella1[[#This Row],[Best 11]]=1,Tabella1[[#This Row],[fanta voto]],"")</f>
        <v>6</v>
      </c>
      <c r="Y748">
        <v>1</v>
      </c>
      <c r="Z748" s="193">
        <f>IF(Tabella1[[#This Row],[Best 11 MOD]]=1,Tabella1[[#This Row],[fanta voto]],"")</f>
        <v>6</v>
      </c>
      <c r="AA748" t="str">
        <f>CONCATENATE(Tabella1[[#This Row],[GG]],Tabella1[[#This Row],[Nome]])</f>
        <v>3Lulli</v>
      </c>
      <c r="AB748" t="str">
        <f t="shared" si="31"/>
        <v>3PARTIZAN DEGRADO</v>
      </c>
      <c r="AC748" t="str">
        <f>_xlfn.CONCAT(Tabella1[[#This Row],[Ruolo]],Tabella1[[#This Row],[Gs]])</f>
        <v>D0</v>
      </c>
    </row>
    <row r="749" spans="1:29" hidden="1" x14ac:dyDescent="0.3">
      <c r="A749" s="14">
        <v>46270</v>
      </c>
      <c r="B749" s="15">
        <v>3</v>
      </c>
      <c r="C749" s="321" t="str">
        <f>_xlfn.XLOOKUP(Tabella1[[#This Row],[Nome]],Tabella4[NOME],Tabella4[SQUADRA],"")</f>
        <v>Fiorentina</v>
      </c>
      <c r="D749" t="s">
        <v>161</v>
      </c>
      <c r="E749" t="s">
        <v>711</v>
      </c>
      <c r="F749" s="194">
        <v>5.5</v>
      </c>
      <c r="G749" s="328">
        <v>0</v>
      </c>
      <c r="H749" s="328">
        <v>0</v>
      </c>
      <c r="I749" s="328">
        <v>0</v>
      </c>
      <c r="J749" s="328">
        <v>0</v>
      </c>
      <c r="K749" s="328">
        <v>0</v>
      </c>
      <c r="L749" s="328">
        <v>0</v>
      </c>
      <c r="M749" s="328">
        <v>0</v>
      </c>
      <c r="N749" s="328">
        <v>0</v>
      </c>
      <c r="O749" s="328">
        <v>0</v>
      </c>
      <c r="P749" s="284"/>
      <c r="Q749" s="284">
        <f t="shared" si="30"/>
        <v>0</v>
      </c>
      <c r="R749" s="3" t="str">
        <f>_xlfn.IFNA(VLOOKUP(Tabella1[[#This Row],[Nome]],'ROSE SQUADRE'!$N$3:$O$260,2,0),"")</f>
        <v/>
      </c>
      <c r="S749" s="193">
        <f>SUM(Tabella1[[#This Row],[Gf]],Tabella1[[#This Row],[Rf]])</f>
        <v>0</v>
      </c>
      <c r="T749" s="193"/>
      <c r="U749" s="285" t="str">
        <f>IF(Tabella1[[#This Row],[N° FantaTit]]="","",Tabella1[[#This Row],[fanta voto]])</f>
        <v/>
      </c>
      <c r="V749" s="193">
        <f>SUM(Tabella1[[#This Row],[Voto]],(G749*3),Q749,P749,O749,-(N749),(-M749/2),(-L749*2),(-H749),(I749*3),(-J749*3),(K749*3))</f>
        <v>5.5</v>
      </c>
      <c r="W749" s="193"/>
      <c r="X749" s="193" t="str">
        <f>IF(Tabella1[[#This Row],[Best 11]]=1,Tabella1[[#This Row],[fanta voto]],"")</f>
        <v/>
      </c>
      <c r="Z749" s="193" t="str">
        <f>IF(Tabella1[[#This Row],[Best 11 MOD]]=1,Tabella1[[#This Row],[fanta voto]],"")</f>
        <v/>
      </c>
      <c r="AA749" t="str">
        <f>CONCATENATE(Tabella1[[#This Row],[GG]],Tabella1[[#This Row],[Nome]])</f>
        <v>3Joao Mario</v>
      </c>
      <c r="AB749" t="str">
        <f t="shared" si="31"/>
        <v>3</v>
      </c>
      <c r="AC749" t="str">
        <f>_xlfn.CONCAT(Tabella1[[#This Row],[Ruolo]],Tabella1[[#This Row],[Gs]])</f>
        <v>D0</v>
      </c>
    </row>
    <row r="750" spans="1:29" hidden="1" x14ac:dyDescent="0.3">
      <c r="A750" s="14">
        <v>46270</v>
      </c>
      <c r="B750" s="15">
        <v>3</v>
      </c>
      <c r="C750" s="321" t="str">
        <f>_xlfn.XLOOKUP(Tabella1[[#This Row],[Nome]],Tabella4[NOME],Tabella4[SQUADRA],"")</f>
        <v>Torino</v>
      </c>
      <c r="D750" s="330" t="s">
        <v>161</v>
      </c>
      <c r="E750" s="330" t="s">
        <v>214</v>
      </c>
      <c r="F750" s="331">
        <v>6</v>
      </c>
      <c r="G750" s="332">
        <v>0</v>
      </c>
      <c r="H750" s="332">
        <v>0</v>
      </c>
      <c r="I750" s="332">
        <v>0</v>
      </c>
      <c r="J750" s="332">
        <v>0</v>
      </c>
      <c r="K750" s="332">
        <v>0</v>
      </c>
      <c r="L750" s="332">
        <v>0</v>
      </c>
      <c r="M750" s="332">
        <v>0</v>
      </c>
      <c r="N750" s="332">
        <v>0</v>
      </c>
      <c r="O750" s="332">
        <v>0</v>
      </c>
      <c r="P750" s="284"/>
      <c r="Q750" s="284">
        <f t="shared" si="30"/>
        <v>0</v>
      </c>
      <c r="R750" s="3" t="str">
        <f>_xlfn.IFNA(VLOOKUP(Tabella1[[#This Row],[Nome]],'ROSE SQUADRE'!$N$3:$O$260,2,0),"")</f>
        <v/>
      </c>
      <c r="S750" s="193">
        <f>SUM(Tabella1[[#This Row],[Gf]],Tabella1[[#This Row],[Rf]])</f>
        <v>0</v>
      </c>
      <c r="T750" s="193"/>
      <c r="U750" s="285" t="str">
        <f>IF(Tabella1[[#This Row],[N° FantaTit]]="","",Tabella1[[#This Row],[fanta voto]])</f>
        <v/>
      </c>
      <c r="V750" s="193">
        <f>SUM(Tabella1[[#This Row],[Voto]],(G750*3),Q750,P750,O750,-(N750),(-M750/2),(-L750*2),(-H750),(I750*3),(-J750*3),(K750*3))</f>
        <v>6</v>
      </c>
      <c r="W750" s="193"/>
      <c r="X750" s="193" t="str">
        <f>IF(Tabella1[[#This Row],[Best 11]]=1,Tabella1[[#This Row],[fanta voto]],"")</f>
        <v/>
      </c>
      <c r="Z750" s="193" t="str">
        <f>IF(Tabella1[[#This Row],[Best 11 MOD]]=1,Tabella1[[#This Row],[fanta voto]],"")</f>
        <v/>
      </c>
      <c r="AA750" t="str">
        <f>CONCATENATE(Tabella1[[#This Row],[GG]],Tabella1[[#This Row],[Nome]])</f>
        <v>3Ismajli</v>
      </c>
      <c r="AB750" t="str">
        <f t="shared" si="31"/>
        <v>3</v>
      </c>
      <c r="AC750" t="str">
        <f>_xlfn.CONCAT(Tabella1[[#This Row],[Ruolo]],Tabella1[[#This Row],[Gs]])</f>
        <v>D0</v>
      </c>
    </row>
    <row r="751" spans="1:29" hidden="1" x14ac:dyDescent="0.3">
      <c r="A751" s="14">
        <v>46270</v>
      </c>
      <c r="B751" s="15">
        <v>3</v>
      </c>
      <c r="C751" s="321" t="str">
        <f>_xlfn.XLOOKUP(Tabella1[[#This Row],[Nome]],Tabella4[NOME],Tabella4[SQUADRA],"")</f>
        <v>Lazio</v>
      </c>
      <c r="D751" t="s">
        <v>162</v>
      </c>
      <c r="E751" t="s">
        <v>457</v>
      </c>
      <c r="F751" s="194">
        <v>5.5</v>
      </c>
      <c r="G751" s="328">
        <v>0</v>
      </c>
      <c r="H751" s="328">
        <v>0</v>
      </c>
      <c r="I751" s="328">
        <v>0</v>
      </c>
      <c r="J751" s="328">
        <v>0</v>
      </c>
      <c r="K751" s="328">
        <v>0</v>
      </c>
      <c r="L751" s="328">
        <v>0</v>
      </c>
      <c r="M751" s="329">
        <v>1</v>
      </c>
      <c r="N751" s="328">
        <v>0</v>
      </c>
      <c r="O751" s="328">
        <v>0</v>
      </c>
      <c r="P751" s="284"/>
      <c r="Q751" s="284">
        <f t="shared" si="30"/>
        <v>0</v>
      </c>
      <c r="R751" s="3" t="str">
        <f>_xlfn.IFNA(VLOOKUP(Tabella1[[#This Row],[Nome]],'ROSE SQUADRE'!$N$3:$O$260,2,0),"")</f>
        <v>PESCICULINI</v>
      </c>
      <c r="S751" s="193">
        <f>SUM(Tabella1[[#This Row],[Gf]],Tabella1[[#This Row],[Rf]])</f>
        <v>0</v>
      </c>
      <c r="T751" s="193">
        <v>1</v>
      </c>
      <c r="U751" s="285">
        <f>IF(Tabella1[[#This Row],[N° FantaTit]]="","",Tabella1[[#This Row],[fanta voto]])</f>
        <v>5</v>
      </c>
      <c r="V751" s="193">
        <f>SUM(Tabella1[[#This Row],[Voto]],(G751*3),Q751,P751,O751,-(N751),(-M751/2),(-L751*2),(-H751),(I751*3),(-J751*3),(K751*3))</f>
        <v>5</v>
      </c>
      <c r="W751" s="193"/>
      <c r="X751" s="193" t="str">
        <f>IF(Tabella1[[#This Row],[Best 11]]=1,Tabella1[[#This Row],[fanta voto]],"")</f>
        <v/>
      </c>
      <c r="Z751" s="193" t="str">
        <f>IF(Tabella1[[#This Row],[Best 11 MOD]]=1,Tabella1[[#This Row],[fanta voto]],"")</f>
        <v/>
      </c>
      <c r="AA751" t="str">
        <f>CONCATENATE(Tabella1[[#This Row],[GG]],Tabella1[[#This Row],[Nome]])</f>
        <v>3Isaksen</v>
      </c>
      <c r="AB751" t="str">
        <f t="shared" si="31"/>
        <v>3PESCICULINI1</v>
      </c>
      <c r="AC751" t="str">
        <f>_xlfn.CONCAT(Tabella1[[#This Row],[Ruolo]],Tabella1[[#This Row],[Gs]])</f>
        <v>C0</v>
      </c>
    </row>
    <row r="752" spans="1:29" hidden="1" x14ac:dyDescent="0.3">
      <c r="A752" s="14">
        <v>46270</v>
      </c>
      <c r="B752" s="15">
        <v>3</v>
      </c>
      <c r="C752" s="321" t="str">
        <f>_xlfn.XLOOKUP(Tabella1[[#This Row],[Nome]],Tabella4[NOME],Tabella4[SQUADRA],"")</f>
        <v>Lecce</v>
      </c>
      <c r="D752" s="330" t="s">
        <v>162</v>
      </c>
      <c r="E752" s="330" t="s">
        <v>208</v>
      </c>
      <c r="F752" s="331">
        <v>5</v>
      </c>
      <c r="G752" s="332">
        <v>0</v>
      </c>
      <c r="H752" s="332">
        <v>0</v>
      </c>
      <c r="I752" s="332">
        <v>0</v>
      </c>
      <c r="J752" s="332">
        <v>0</v>
      </c>
      <c r="K752" s="332">
        <v>0</v>
      </c>
      <c r="L752" s="332">
        <v>0</v>
      </c>
      <c r="M752" s="332">
        <v>0</v>
      </c>
      <c r="N752" s="332">
        <v>0</v>
      </c>
      <c r="O752" s="332">
        <v>0</v>
      </c>
      <c r="P752" s="284"/>
      <c r="Q752" s="284">
        <f t="shared" si="30"/>
        <v>0</v>
      </c>
      <c r="R752" s="3" t="str">
        <f>_xlfn.IFNA(VLOOKUP(Tabella1[[#This Row],[Nome]],'ROSE SQUADRE'!$N$3:$O$260,2,0),"")</f>
        <v/>
      </c>
      <c r="S752" s="193">
        <f>SUM(Tabella1[[#This Row],[Gf]],Tabella1[[#This Row],[Rf]])</f>
        <v>0</v>
      </c>
      <c r="T752" s="193"/>
      <c r="U752" s="285" t="str">
        <f>IF(Tabella1[[#This Row],[N° FantaTit]]="","",Tabella1[[#This Row],[fanta voto]])</f>
        <v/>
      </c>
      <c r="V752" s="193">
        <f>SUM(Tabella1[[#This Row],[Voto]],(G752*3),Q752,P752,O752,-(N752),(-M752/2),(-L752*2),(-H752),(I752*3),(-J752*3),(K752*3))</f>
        <v>5</v>
      </c>
      <c r="W752" s="193"/>
      <c r="X752" s="193" t="str">
        <f>IF(Tabella1[[#This Row],[Best 11]]=1,Tabella1[[#This Row],[fanta voto]],"")</f>
        <v/>
      </c>
      <c r="Z752" s="193" t="str">
        <f>IF(Tabella1[[#This Row],[Best 11 MOD]]=1,Tabella1[[#This Row],[fanta voto]],"")</f>
        <v/>
      </c>
      <c r="AA752" t="str">
        <f>CONCATENATE(Tabella1[[#This Row],[GG]],Tabella1[[#This Row],[Nome]])</f>
        <v>3Ilic</v>
      </c>
      <c r="AB752" t="str">
        <f t="shared" si="31"/>
        <v>3</v>
      </c>
      <c r="AC752" t="str">
        <f>_xlfn.CONCAT(Tabella1[[#This Row],[Ruolo]],Tabella1[[#This Row],[Gs]])</f>
        <v>C0</v>
      </c>
    </row>
    <row r="753" spans="1:29" hidden="1" x14ac:dyDescent="0.3">
      <c r="A753" s="14">
        <v>46270</v>
      </c>
      <c r="B753" s="15">
        <v>3</v>
      </c>
      <c r="C753" s="321" t="str">
        <f>_xlfn.XLOOKUP(Tabella1[[#This Row],[Nome]],Tabella4[NOME],Tabella4[SQUADRA],"")</f>
        <v>Sassuolo</v>
      </c>
      <c r="D753" s="330" t="s">
        <v>161</v>
      </c>
      <c r="E753" s="330" t="s">
        <v>622</v>
      </c>
      <c r="F753" s="331">
        <v>6</v>
      </c>
      <c r="G753" s="332">
        <v>0</v>
      </c>
      <c r="H753" s="332">
        <v>0</v>
      </c>
      <c r="I753" s="332">
        <v>0</v>
      </c>
      <c r="J753" s="332">
        <v>0</v>
      </c>
      <c r="K753" s="332">
        <v>0</v>
      </c>
      <c r="L753" s="332">
        <v>0</v>
      </c>
      <c r="M753" s="333">
        <v>1</v>
      </c>
      <c r="N753" s="332">
        <v>0</v>
      </c>
      <c r="O753" s="332">
        <v>0</v>
      </c>
      <c r="P753" s="284"/>
      <c r="Q753" s="284">
        <f t="shared" si="30"/>
        <v>0</v>
      </c>
      <c r="R753" s="3" t="str">
        <f>_xlfn.IFNA(VLOOKUP(Tabella1[[#This Row],[Nome]],'ROSE SQUADRE'!$N$3:$O$260,2,0),"")</f>
        <v/>
      </c>
      <c r="S753" s="193">
        <f>SUM(Tabella1[[#This Row],[Gf]],Tabella1[[#This Row],[Rf]])</f>
        <v>0</v>
      </c>
      <c r="T753" s="193"/>
      <c r="U753" s="285" t="str">
        <f>IF(Tabella1[[#This Row],[N° FantaTit]]="","",Tabella1[[#This Row],[fanta voto]])</f>
        <v/>
      </c>
      <c r="V753" s="193">
        <f>SUM(Tabella1[[#This Row],[Voto]],(G753*3),Q753,P753,O753,-(N753),(-M753/2),(-L753*2),(-H753),(I753*3),(-J753*3),(K753*3))</f>
        <v>5.5</v>
      </c>
      <c r="W753" s="193"/>
      <c r="X753" s="193" t="str">
        <f>IF(Tabella1[[#This Row],[Best 11]]=1,Tabella1[[#This Row],[fanta voto]],"")</f>
        <v/>
      </c>
      <c r="Z753" s="193" t="str">
        <f>IF(Tabella1[[#This Row],[Best 11 MOD]]=1,Tabella1[[#This Row],[fanta voto]],"")</f>
        <v/>
      </c>
      <c r="AA753" t="str">
        <f>CONCATENATE(Tabella1[[#This Row],[GG]],Tabella1[[#This Row],[Nome]])</f>
        <v>3Idzes</v>
      </c>
      <c r="AB753" t="str">
        <f t="shared" si="31"/>
        <v>3</v>
      </c>
      <c r="AC753" t="str">
        <f>_xlfn.CONCAT(Tabella1[[#This Row],[Ruolo]],Tabella1[[#This Row],[Gs]])</f>
        <v>D0</v>
      </c>
    </row>
    <row r="754" spans="1:29" hidden="1" x14ac:dyDescent="0.3">
      <c r="A754" s="14">
        <v>46270</v>
      </c>
      <c r="B754" s="15">
        <v>3</v>
      </c>
      <c r="C754" s="321" t="str">
        <f>_xlfn.XLOOKUP(Tabella1[[#This Row],[Nome]],Tabella4[NOME],Tabella4[SQUADRA],"")</f>
        <v>Roma</v>
      </c>
      <c r="D754" s="330" t="s">
        <v>162</v>
      </c>
      <c r="E754" s="330" t="s">
        <v>904</v>
      </c>
      <c r="F754" s="331">
        <v>6</v>
      </c>
      <c r="G754" s="332">
        <v>0</v>
      </c>
      <c r="H754" s="332">
        <v>0</v>
      </c>
      <c r="I754" s="332">
        <v>0</v>
      </c>
      <c r="J754" s="332">
        <v>0</v>
      </c>
      <c r="K754" s="332">
        <v>0</v>
      </c>
      <c r="L754" s="332">
        <v>0</v>
      </c>
      <c r="M754" s="332">
        <v>0</v>
      </c>
      <c r="N754" s="332">
        <v>0</v>
      </c>
      <c r="O754" s="332">
        <v>0</v>
      </c>
      <c r="P754" s="284"/>
      <c r="Q754" s="284">
        <f t="shared" si="30"/>
        <v>0</v>
      </c>
      <c r="R754" s="3" t="str">
        <f>_xlfn.IFNA(VLOOKUP(Tabella1[[#This Row],[Nome]],'ROSE SQUADRE'!$N$3:$O$260,2,0),"")</f>
        <v>SESTO ASENSIO</v>
      </c>
      <c r="S754" s="193">
        <f>SUM(Tabella1[[#This Row],[Gf]],Tabella1[[#This Row],[Rf]])</f>
        <v>0</v>
      </c>
      <c r="T754" s="193">
        <v>1</v>
      </c>
      <c r="U754" s="285">
        <f>IF(Tabella1[[#This Row],[N° FantaTit]]="","",Tabella1[[#This Row],[fanta voto]])</f>
        <v>6</v>
      </c>
      <c r="V754" s="193">
        <f>SUM(Tabella1[[#This Row],[Voto]],(G754*3),Q754,P754,O754,-(N754),(-M754/2),(-L754*2),(-H754),(I754*3),(-J754*3),(K754*3))</f>
        <v>6</v>
      </c>
      <c r="W754" s="193"/>
      <c r="X754" s="193" t="str">
        <f>IF(Tabella1[[#This Row],[Best 11]]=1,Tabella1[[#This Row],[fanta voto]],"")</f>
        <v/>
      </c>
      <c r="Z754" s="193" t="str">
        <f>IF(Tabella1[[#This Row],[Best 11 MOD]]=1,Tabella1[[#This Row],[fanta voto]],"")</f>
        <v/>
      </c>
      <c r="AA754" t="str">
        <f>CONCATENATE(Tabella1[[#This Row],[GG]],Tabella1[[#This Row],[Nome]])</f>
        <v>3Mora</v>
      </c>
      <c r="AB754" t="str">
        <f t="shared" si="31"/>
        <v>3SESTO ASENSIO1</v>
      </c>
      <c r="AC754" t="str">
        <f>_xlfn.CONCAT(Tabella1[[#This Row],[Ruolo]],Tabella1[[#This Row],[Gs]])</f>
        <v>C0</v>
      </c>
    </row>
    <row r="755" spans="1:29" hidden="1" x14ac:dyDescent="0.3">
      <c r="A755" s="14">
        <v>46270</v>
      </c>
      <c r="B755" s="15">
        <v>3</v>
      </c>
      <c r="C755" s="321" t="str">
        <f>_xlfn.XLOOKUP(Tabella1[[#This Row],[Nome]],Tabella4[NOME],Tabella4[SQUADRA],"")</f>
        <v>Lazio</v>
      </c>
      <c r="D755" s="330" t="s">
        <v>162</v>
      </c>
      <c r="E755" s="330" t="s">
        <v>302</v>
      </c>
      <c r="F755" s="331">
        <v>6.5</v>
      </c>
      <c r="G755" s="332">
        <v>0</v>
      </c>
      <c r="H755" s="332">
        <v>0</v>
      </c>
      <c r="I755" s="332">
        <v>0</v>
      </c>
      <c r="J755" s="332">
        <v>0</v>
      </c>
      <c r="K755" s="332">
        <v>0</v>
      </c>
      <c r="L755" s="332">
        <v>0</v>
      </c>
      <c r="M755" s="332">
        <v>0</v>
      </c>
      <c r="N755" s="332">
        <v>0</v>
      </c>
      <c r="O755" s="333">
        <v>1</v>
      </c>
      <c r="P755" s="284"/>
      <c r="Q755" s="284">
        <f t="shared" si="30"/>
        <v>0</v>
      </c>
      <c r="R755" s="3" t="str">
        <f>_xlfn.IFNA(VLOOKUP(Tabella1[[#This Row],[Nome]],'ROSE SQUADRE'!$N$3:$O$260,2,0),"")</f>
        <v>AS PIPPERIA</v>
      </c>
      <c r="S755" s="193">
        <f>SUM(Tabella1[[#This Row],[Gf]],Tabella1[[#This Row],[Rf]])</f>
        <v>0</v>
      </c>
      <c r="T755" s="193">
        <v>1</v>
      </c>
      <c r="U755" s="285">
        <f>IF(Tabella1[[#This Row],[N° FantaTit]]="","",Tabella1[[#This Row],[fanta voto]])</f>
        <v>7.5</v>
      </c>
      <c r="V755" s="193">
        <f>SUM(Tabella1[[#This Row],[Voto]],(G755*3),Q755,P755,O755,-(N755),(-M755/2),(-L755*2),(-H755),(I755*3),(-J755*3),(K755*3))</f>
        <v>7.5</v>
      </c>
      <c r="W755" s="193">
        <v>1</v>
      </c>
      <c r="X755" s="193">
        <f>IF(Tabella1[[#This Row],[Best 11]]=1,Tabella1[[#This Row],[fanta voto]],"")</f>
        <v>7.5</v>
      </c>
      <c r="Y755">
        <v>1</v>
      </c>
      <c r="Z755" s="193">
        <f>IF(Tabella1[[#This Row],[Best 11 MOD]]=1,Tabella1[[#This Row],[fanta voto]],"")</f>
        <v>7.5</v>
      </c>
      <c r="AA755" t="str">
        <f>CONCATENATE(Tabella1[[#This Row],[GG]],Tabella1[[#This Row],[Nome]])</f>
        <v>3Zaccagni</v>
      </c>
      <c r="AB755" t="str">
        <f t="shared" si="31"/>
        <v>3AS PIPPERIA1</v>
      </c>
      <c r="AC755" t="str">
        <f>_xlfn.CONCAT(Tabella1[[#This Row],[Ruolo]],Tabella1[[#This Row],[Gs]])</f>
        <v>C0</v>
      </c>
    </row>
    <row r="756" spans="1:29" x14ac:dyDescent="0.3">
      <c r="A756" s="14">
        <v>46270</v>
      </c>
      <c r="B756" s="15">
        <v>3</v>
      </c>
      <c r="C756" s="321" t="str">
        <f>_xlfn.XLOOKUP(Tabella1[[#This Row],[Nome]],Tabella4[NOME],Tabella4[SQUADRA],"")</f>
        <v>Roma</v>
      </c>
      <c r="D756" t="s">
        <v>161</v>
      </c>
      <c r="E756" t="s">
        <v>896</v>
      </c>
      <c r="F756" s="194">
        <v>7</v>
      </c>
      <c r="G756" s="329">
        <v>1</v>
      </c>
      <c r="H756" s="328">
        <v>0</v>
      </c>
      <c r="I756" s="328">
        <v>0</v>
      </c>
      <c r="J756" s="328">
        <v>0</v>
      </c>
      <c r="K756" s="328">
        <v>0</v>
      </c>
      <c r="L756" s="328">
        <v>0</v>
      </c>
      <c r="M756" s="328">
        <v>0</v>
      </c>
      <c r="N756" s="328">
        <v>0</v>
      </c>
      <c r="O756" s="328">
        <v>0</v>
      </c>
      <c r="P756" s="284"/>
      <c r="Q756" s="284">
        <f t="shared" si="30"/>
        <v>0</v>
      </c>
      <c r="R756" s="3" t="str">
        <f>_xlfn.IFNA(VLOOKUP(Tabella1[[#This Row],[Nome]],'ROSE SQUADRE'!$N$3:$O$260,2,0),"")</f>
        <v>PARTIZAN DEGRADO</v>
      </c>
      <c r="S756" s="193">
        <f>SUM(Tabella1[[#This Row],[Gf]],Tabella1[[#This Row],[Rf]])</f>
        <v>1</v>
      </c>
      <c r="T756" s="193">
        <v>1</v>
      </c>
      <c r="U756" s="285">
        <f>IF(Tabella1[[#This Row],[N° FantaTit]]="","",Tabella1[[#This Row],[fanta voto]])</f>
        <v>10</v>
      </c>
      <c r="V756" s="193">
        <f>SUM(Tabella1[[#This Row],[Voto]],(G756*3),Q756,P756,O756,-(N756),(-M756/2),(-L756*2),(-H756),(I756*3),(-J756*3),(K756*3))</f>
        <v>10</v>
      </c>
      <c r="W756" s="193">
        <v>1</v>
      </c>
      <c r="X756" s="193">
        <f>IF(Tabella1[[#This Row],[Best 11]]=1,Tabella1[[#This Row],[fanta voto]],"")</f>
        <v>10</v>
      </c>
      <c r="Y756">
        <v>1</v>
      </c>
      <c r="Z756" s="193">
        <f>IF(Tabella1[[#This Row],[Best 11 MOD]]=1,Tabella1[[#This Row],[fanta voto]],"")</f>
        <v>10</v>
      </c>
      <c r="AA756" t="str">
        <f>CONCATENATE(Tabella1[[#This Row],[GG]],Tabella1[[#This Row],[Nome]])</f>
        <v>3Hermoso</v>
      </c>
      <c r="AB756" t="str">
        <f t="shared" si="31"/>
        <v>3PARTIZAN DEGRADO1</v>
      </c>
      <c r="AC756" t="str">
        <f>_xlfn.CONCAT(Tabella1[[#This Row],[Ruolo]],Tabella1[[#This Row],[Gs]])</f>
        <v>D0</v>
      </c>
    </row>
    <row r="757" spans="1:29" hidden="1" x14ac:dyDescent="0.3">
      <c r="A757" s="14">
        <v>46270</v>
      </c>
      <c r="B757" s="15">
        <v>3</v>
      </c>
      <c r="C757" s="321" t="str">
        <f>_xlfn.XLOOKUP(Tabella1[[#This Row],[Nome]],Tabella4[NOME],Tabella4[SQUADRA],"")</f>
        <v>Bologna</v>
      </c>
      <c r="D757" s="330" t="s">
        <v>161</v>
      </c>
      <c r="E757" s="330" t="s">
        <v>650</v>
      </c>
      <c r="F757" s="331">
        <v>5</v>
      </c>
      <c r="G757" s="332">
        <v>0</v>
      </c>
      <c r="H757" s="332">
        <v>0</v>
      </c>
      <c r="I757" s="332">
        <v>0</v>
      </c>
      <c r="J757" s="332">
        <v>0</v>
      </c>
      <c r="K757" s="332">
        <v>0</v>
      </c>
      <c r="L757" s="332">
        <v>0</v>
      </c>
      <c r="M757" s="332">
        <v>0</v>
      </c>
      <c r="N757" s="332">
        <v>0</v>
      </c>
      <c r="O757" s="332">
        <v>0</v>
      </c>
      <c r="P757" s="284"/>
      <c r="Q757" s="284">
        <f t="shared" si="30"/>
        <v>0</v>
      </c>
      <c r="R757" s="3" t="str">
        <f>_xlfn.IFNA(VLOOKUP(Tabella1[[#This Row],[Nome]],'ROSE SQUADRE'!$N$3:$O$260,2,0),"")</f>
        <v/>
      </c>
      <c r="S757" s="193">
        <f>SUM(Tabella1[[#This Row],[Gf]],Tabella1[[#This Row],[Rf]])</f>
        <v>0</v>
      </c>
      <c r="T757" s="193"/>
      <c r="U757" s="285" t="str">
        <f>IF(Tabella1[[#This Row],[N° FantaTit]]="","",Tabella1[[#This Row],[fanta voto]])</f>
        <v/>
      </c>
      <c r="V757" s="193">
        <f>SUM(Tabella1[[#This Row],[Voto]],(G757*3),Q757,P757,O757,-(N757),(-M757/2),(-L757*2),(-H757),(I757*3),(-J757*3),(K757*3))</f>
        <v>5</v>
      </c>
      <c r="W757" s="193"/>
      <c r="X757" s="193" t="str">
        <f>IF(Tabella1[[#This Row],[Best 11]]=1,Tabella1[[#This Row],[fanta voto]],"")</f>
        <v/>
      </c>
      <c r="Z757" s="193" t="str">
        <f>IF(Tabella1[[#This Row],[Best 11 MOD]]=1,Tabella1[[#This Row],[fanta voto]],"")</f>
        <v/>
      </c>
      <c r="AA757" t="str">
        <f>CONCATENATE(Tabella1[[#This Row],[GG]],Tabella1[[#This Row],[Nome]])</f>
        <v>3Heggem</v>
      </c>
      <c r="AB757" t="str">
        <f t="shared" si="31"/>
        <v>3</v>
      </c>
      <c r="AC757" t="str">
        <f>_xlfn.CONCAT(Tabella1[[#This Row],[Ruolo]],Tabella1[[#This Row],[Gs]])</f>
        <v>D0</v>
      </c>
    </row>
    <row r="758" spans="1:29" hidden="1" x14ac:dyDescent="0.3">
      <c r="A758" s="14">
        <v>46270</v>
      </c>
      <c r="B758" s="15">
        <v>3</v>
      </c>
      <c r="C758" s="321" t="str">
        <f>_xlfn.XLOOKUP(Tabella1[[#This Row],[Nome]],Tabella4[NOME],Tabella4[SQUADRA],"")</f>
        <v>Sassuolo</v>
      </c>
      <c r="D758" t="s">
        <v>162</v>
      </c>
      <c r="E758" t="s">
        <v>928</v>
      </c>
      <c r="F758" s="194">
        <v>6</v>
      </c>
      <c r="G758" s="328">
        <v>0</v>
      </c>
      <c r="H758" s="328">
        <v>0</v>
      </c>
      <c r="I758" s="328">
        <v>0</v>
      </c>
      <c r="J758" s="328">
        <v>0</v>
      </c>
      <c r="K758" s="328">
        <v>0</v>
      </c>
      <c r="L758" s="328">
        <v>0</v>
      </c>
      <c r="M758" s="328">
        <v>0</v>
      </c>
      <c r="N758" s="328">
        <v>0</v>
      </c>
      <c r="O758" s="328">
        <v>0</v>
      </c>
      <c r="P758" s="284"/>
      <c r="Q758" s="284">
        <f t="shared" si="30"/>
        <v>0</v>
      </c>
      <c r="R758" s="3" t="str">
        <f>_xlfn.IFNA(VLOOKUP(Tabella1[[#This Row],[Nome]],'ROSE SQUADRE'!$N$3:$O$260,2,0),"")</f>
        <v>FC INTERNAZIOANALE</v>
      </c>
      <c r="S758" s="193">
        <f>SUM(Tabella1[[#This Row],[Gf]],Tabella1[[#This Row],[Rf]])</f>
        <v>0</v>
      </c>
      <c r="T758" s="193">
        <v>1</v>
      </c>
      <c r="U758" s="285">
        <f>IF(Tabella1[[#This Row],[N° FantaTit]]="","",Tabella1[[#This Row],[fanta voto]])</f>
        <v>6</v>
      </c>
      <c r="V758" s="193">
        <f>SUM(Tabella1[[#This Row],[Voto]],(G758*3),Q758,P758,O758,-(N758),(-M758/2),(-L758*2),(-H758),(I758*3),(-J758*3),(K758*3))</f>
        <v>6</v>
      </c>
      <c r="W758" s="193">
        <v>1</v>
      </c>
      <c r="X758" s="193">
        <f>IF(Tabella1[[#This Row],[Best 11]]=1,Tabella1[[#This Row],[fanta voto]],"")</f>
        <v>6</v>
      </c>
      <c r="Y758">
        <v>1</v>
      </c>
      <c r="Z758" s="193">
        <f>IF(Tabella1[[#This Row],[Best 11 MOD]]=1,Tabella1[[#This Row],[fanta voto]],"")</f>
        <v>6</v>
      </c>
      <c r="AA758" t="str">
        <f>CONCATENATE(Tabella1[[#This Row],[GG]],Tabella1[[#This Row],[Nome]])</f>
        <v>3Thorstvedt</v>
      </c>
      <c r="AB758" t="str">
        <f t="shared" si="31"/>
        <v>3FC INTERNAZIOANALE1</v>
      </c>
      <c r="AC758" t="str">
        <f>_xlfn.CONCAT(Tabella1[[#This Row],[Ruolo]],Tabella1[[#This Row],[Gs]])</f>
        <v>C0</v>
      </c>
    </row>
    <row r="759" spans="1:29" hidden="1" x14ac:dyDescent="0.3">
      <c r="A759" s="14">
        <v>46270</v>
      </c>
      <c r="B759" s="15">
        <v>3</v>
      </c>
      <c r="C759" s="321" t="str">
        <f>_xlfn.XLOOKUP(Tabella1[[#This Row],[Nome]],Tabella4[NOME],Tabella4[SQUADRA],"")</f>
        <v>Venezia</v>
      </c>
      <c r="D759" s="330" t="s">
        <v>161</v>
      </c>
      <c r="E759" s="330" t="s">
        <v>975</v>
      </c>
      <c r="F759" s="331">
        <v>4.5</v>
      </c>
      <c r="G759" s="332">
        <v>0</v>
      </c>
      <c r="H759" s="332">
        <v>0</v>
      </c>
      <c r="I759" s="332">
        <v>0</v>
      </c>
      <c r="J759" s="332">
        <v>0</v>
      </c>
      <c r="K759" s="332">
        <v>0</v>
      </c>
      <c r="L759" s="332">
        <v>0</v>
      </c>
      <c r="M759" s="333">
        <v>1</v>
      </c>
      <c r="N759" s="332">
        <v>0</v>
      </c>
      <c r="O759" s="332">
        <v>0</v>
      </c>
      <c r="P759" s="284"/>
      <c r="Q759" s="284">
        <f t="shared" si="30"/>
        <v>0</v>
      </c>
      <c r="R759" s="3" t="str">
        <f>_xlfn.IFNA(VLOOKUP(Tabella1[[#This Row],[Nome]],'ROSE SQUADRE'!$N$3:$O$260,2,0),"")</f>
        <v/>
      </c>
      <c r="S759" s="193">
        <f>SUM(Tabella1[[#This Row],[Gf]],Tabella1[[#This Row],[Rf]])</f>
        <v>0</v>
      </c>
      <c r="T759" s="193"/>
      <c r="U759" s="285" t="str">
        <f>IF(Tabella1[[#This Row],[N° FantaTit]]="","",Tabella1[[#This Row],[fanta voto]])</f>
        <v/>
      </c>
      <c r="V759" s="193">
        <f>SUM(Tabella1[[#This Row],[Voto]],(G759*3),Q759,P759,O759,-(N759),(-M759/2),(-L759*2),(-H759),(I759*3),(-J759*3),(K759*3))</f>
        <v>4</v>
      </c>
      <c r="W759" s="193"/>
      <c r="X759" s="193" t="str">
        <f>IF(Tabella1[[#This Row],[Best 11]]=1,Tabella1[[#This Row],[fanta voto]],"")</f>
        <v/>
      </c>
      <c r="Z759" s="193" t="str">
        <f>IF(Tabella1[[#This Row],[Best 11 MOD]]=1,Tabella1[[#This Row],[fanta voto]],"")</f>
        <v/>
      </c>
      <c r="AA759" t="str">
        <f>CONCATENATE(Tabella1[[#This Row],[GG]],Tabella1[[#This Row],[Nome]])</f>
        <v>3Halhal</v>
      </c>
      <c r="AB759" t="str">
        <f t="shared" si="31"/>
        <v>3</v>
      </c>
      <c r="AC759" t="str">
        <f>_xlfn.CONCAT(Tabella1[[#This Row],[Ruolo]],Tabella1[[#This Row],[Gs]])</f>
        <v>D0</v>
      </c>
    </row>
    <row r="760" spans="1:29" hidden="1" x14ac:dyDescent="0.3">
      <c r="A760" s="14">
        <v>46270</v>
      </c>
      <c r="B760" s="15">
        <v>3</v>
      </c>
      <c r="C760" s="321" t="str">
        <f>_xlfn.XLOOKUP(Tabella1[[#This Row],[Nome]],Tabella4[NOME],Tabella4[SQUADRA],"")</f>
        <v>Venezia</v>
      </c>
      <c r="D760" s="330" t="s">
        <v>161</v>
      </c>
      <c r="E760" s="330" t="s">
        <v>563</v>
      </c>
      <c r="F760" s="331">
        <v>6.5</v>
      </c>
      <c r="G760" s="332">
        <v>0</v>
      </c>
      <c r="H760" s="332">
        <v>0</v>
      </c>
      <c r="I760" s="332">
        <v>0</v>
      </c>
      <c r="J760" s="332">
        <v>0</v>
      </c>
      <c r="K760" s="332">
        <v>0</v>
      </c>
      <c r="L760" s="332">
        <v>0</v>
      </c>
      <c r="M760" s="332">
        <v>0</v>
      </c>
      <c r="N760" s="332">
        <v>0</v>
      </c>
      <c r="O760" s="333">
        <v>1</v>
      </c>
      <c r="P760" s="284"/>
      <c r="Q760" s="284">
        <f t="shared" si="30"/>
        <v>0</v>
      </c>
      <c r="R760" s="3" t="str">
        <f>_xlfn.IFNA(VLOOKUP(Tabella1[[#This Row],[Nome]],'ROSE SQUADRE'!$N$3:$O$260,2,0),"")</f>
        <v/>
      </c>
      <c r="S760" s="193">
        <f>SUM(Tabella1[[#This Row],[Gf]],Tabella1[[#This Row],[Rf]])</f>
        <v>0</v>
      </c>
      <c r="T760" s="193"/>
      <c r="U760" s="285" t="str">
        <f>IF(Tabella1[[#This Row],[N° FantaTit]]="","",Tabella1[[#This Row],[fanta voto]])</f>
        <v/>
      </c>
      <c r="V760" s="193">
        <f>SUM(Tabella1[[#This Row],[Voto]],(G760*3),Q760,P760,O760,-(N760),(-M760/2),(-L760*2),(-H760),(I760*3),(-J760*3),(K760*3))</f>
        <v>7.5</v>
      </c>
      <c r="W760" s="193"/>
      <c r="X760" s="193" t="str">
        <f>IF(Tabella1[[#This Row],[Best 11]]=1,Tabella1[[#This Row],[fanta voto]],"")</f>
        <v/>
      </c>
      <c r="Z760" s="193" t="str">
        <f>IF(Tabella1[[#This Row],[Best 11 MOD]]=1,Tabella1[[#This Row],[fanta voto]],"")</f>
        <v/>
      </c>
      <c r="AA760" t="str">
        <f>CONCATENATE(Tabella1[[#This Row],[GG]],Tabella1[[#This Row],[Nome]])</f>
        <v>3Hainaut</v>
      </c>
      <c r="AB760" t="str">
        <f t="shared" si="31"/>
        <v>3</v>
      </c>
      <c r="AC760" t="str">
        <f>_xlfn.CONCAT(Tabella1[[#This Row],[Ruolo]],Tabella1[[#This Row],[Gs]])</f>
        <v>D0</v>
      </c>
    </row>
    <row r="761" spans="1:29" hidden="1" x14ac:dyDescent="0.3">
      <c r="A761" s="14">
        <v>46270</v>
      </c>
      <c r="B761" s="15">
        <v>3</v>
      </c>
      <c r="C761" s="321" t="str">
        <f>_xlfn.XLOOKUP(Tabella1[[#This Row],[Nome]],Tabella4[NOME],Tabella4[SQUADRA],"")</f>
        <v>Frosinone</v>
      </c>
      <c r="D761" t="s">
        <v>162</v>
      </c>
      <c r="E761" t="s">
        <v>734</v>
      </c>
      <c r="F761" s="194">
        <v>6.5</v>
      </c>
      <c r="G761" s="328">
        <v>0</v>
      </c>
      <c r="H761" s="328">
        <v>0</v>
      </c>
      <c r="I761" s="328">
        <v>0</v>
      </c>
      <c r="J761" s="328">
        <v>0</v>
      </c>
      <c r="K761" s="328">
        <v>0</v>
      </c>
      <c r="L761" s="328">
        <v>0</v>
      </c>
      <c r="M761" s="328">
        <v>0</v>
      </c>
      <c r="N761" s="328">
        <v>0</v>
      </c>
      <c r="O761" s="328">
        <v>0</v>
      </c>
      <c r="P761" s="284"/>
      <c r="Q761" s="284">
        <f t="shared" si="30"/>
        <v>0</v>
      </c>
      <c r="R761" s="3" t="str">
        <f>_xlfn.IFNA(VLOOKUP(Tabella1[[#This Row],[Nome]],'ROSE SQUADRE'!$N$3:$O$260,2,0),"")</f>
        <v>TRICCHETRACHT</v>
      </c>
      <c r="S761" s="193">
        <f>SUM(Tabella1[[#This Row],[Gf]],Tabella1[[#This Row],[Rf]])</f>
        <v>0</v>
      </c>
      <c r="T761" s="193"/>
      <c r="U761" s="285" t="str">
        <f>IF(Tabella1[[#This Row],[N° FantaTit]]="","",Tabella1[[#This Row],[fanta voto]])</f>
        <v/>
      </c>
      <c r="V761" s="193">
        <f>SUM(Tabella1[[#This Row],[Voto]],(G761*3),Q761,P761,O761,-(N761),(-M761/2),(-L761*2),(-H761),(I761*3),(-J761*3),(K761*3))</f>
        <v>6.5</v>
      </c>
      <c r="W761" s="193">
        <v>1</v>
      </c>
      <c r="X761" s="193">
        <f>IF(Tabella1[[#This Row],[Best 11]]=1,Tabella1[[#This Row],[fanta voto]],"")</f>
        <v>6.5</v>
      </c>
      <c r="Y761">
        <v>1</v>
      </c>
      <c r="Z761" s="193">
        <f>IF(Tabella1[[#This Row],[Best 11 MOD]]=1,Tabella1[[#This Row],[fanta voto]],"")</f>
        <v>6.5</v>
      </c>
      <c r="AA761" t="str">
        <f>CONCATENATE(Tabella1[[#This Row],[GG]],Tabella1[[#This Row],[Nome]])</f>
        <v>3Calò</v>
      </c>
      <c r="AB761" t="str">
        <f t="shared" si="31"/>
        <v>3TRICCHETRACHT</v>
      </c>
      <c r="AC761" t="str">
        <f>_xlfn.CONCAT(Tabella1[[#This Row],[Ruolo]],Tabella1[[#This Row],[Gs]])</f>
        <v>C0</v>
      </c>
    </row>
    <row r="762" spans="1:29" hidden="1" x14ac:dyDescent="0.3">
      <c r="A762" s="14">
        <v>46270</v>
      </c>
      <c r="B762" s="15">
        <v>3</v>
      </c>
      <c r="C762" s="321" t="str">
        <f>_xlfn.XLOOKUP(Tabella1[[#This Row],[Nome]],Tabella4[NOME],Tabella4[SQUADRA],"")</f>
        <v>Milan</v>
      </c>
      <c r="D762" s="330" t="s">
        <v>162</v>
      </c>
      <c r="E762" s="330" t="s">
        <v>836</v>
      </c>
      <c r="F762" s="331">
        <v>6</v>
      </c>
      <c r="G762" s="332">
        <v>0</v>
      </c>
      <c r="H762" s="332">
        <v>0</v>
      </c>
      <c r="I762" s="332">
        <v>0</v>
      </c>
      <c r="J762" s="332">
        <v>0</v>
      </c>
      <c r="K762" s="332">
        <v>0</v>
      </c>
      <c r="L762" s="332">
        <v>0</v>
      </c>
      <c r="M762" s="332">
        <v>0</v>
      </c>
      <c r="N762" s="332">
        <v>0</v>
      </c>
      <c r="O762" s="332">
        <v>0</v>
      </c>
      <c r="P762" s="284"/>
      <c r="Q762" s="284">
        <f t="shared" si="30"/>
        <v>0</v>
      </c>
      <c r="R762" s="3" t="str">
        <f>_xlfn.IFNA(VLOOKUP(Tabella1[[#This Row],[Nome]],'ROSE SQUADRE'!$N$3:$O$260,2,0),"")</f>
        <v>SESTO ASENSIO</v>
      </c>
      <c r="S762" s="193">
        <f>SUM(Tabella1[[#This Row],[Gf]],Tabella1[[#This Row],[Rf]])</f>
        <v>0</v>
      </c>
      <c r="T762" s="193">
        <v>1</v>
      </c>
      <c r="U762" s="285">
        <f>IF(Tabella1[[#This Row],[N° FantaTit]]="","",Tabella1[[#This Row],[fanta voto]])</f>
        <v>6</v>
      </c>
      <c r="V762" s="193">
        <f>SUM(Tabella1[[#This Row],[Voto]],(G762*3),Q762,P762,O762,-(N762),(-M762/2),(-L762*2),(-H762),(I762*3),(-J762*3),(K762*3))</f>
        <v>6</v>
      </c>
      <c r="W762" s="193"/>
      <c r="X762" s="193" t="str">
        <f>IF(Tabella1[[#This Row],[Best 11]]=1,Tabella1[[#This Row],[fanta voto]],"")</f>
        <v/>
      </c>
      <c r="Z762" s="193" t="str">
        <f>IF(Tabella1[[#This Row],[Best 11 MOD]]=1,Tabella1[[#This Row],[fanta voto]],"")</f>
        <v/>
      </c>
      <c r="AA762" t="str">
        <f>CONCATENATE(Tabella1[[#This Row],[GG]],Tabella1[[#This Row],[Nome]])</f>
        <v>3Modric</v>
      </c>
      <c r="AB762" t="str">
        <f t="shared" si="31"/>
        <v>3SESTO ASENSIO1</v>
      </c>
      <c r="AC762" t="str">
        <f>_xlfn.CONCAT(Tabella1[[#This Row],[Ruolo]],Tabella1[[#This Row],[Gs]])</f>
        <v>C0</v>
      </c>
    </row>
    <row r="763" spans="1:29" hidden="1" x14ac:dyDescent="0.3">
      <c r="A763" s="14">
        <v>46270</v>
      </c>
      <c r="B763" s="15">
        <v>3</v>
      </c>
      <c r="C763" s="321" t="str">
        <f>_xlfn.XLOOKUP(Tabella1[[#This Row],[Nome]],Tabella4[NOME],Tabella4[SQUADRA],"")</f>
        <v>Genoa</v>
      </c>
      <c r="D763" s="330" t="s">
        <v>162</v>
      </c>
      <c r="E763" s="330" t="s">
        <v>448</v>
      </c>
      <c r="F763" s="331">
        <v>5</v>
      </c>
      <c r="G763" s="332">
        <v>0</v>
      </c>
      <c r="H763" s="332">
        <v>0</v>
      </c>
      <c r="I763" s="332">
        <v>0</v>
      </c>
      <c r="J763" s="332">
        <v>0</v>
      </c>
      <c r="K763" s="332">
        <v>0</v>
      </c>
      <c r="L763" s="332">
        <v>0</v>
      </c>
      <c r="M763" s="332">
        <v>0</v>
      </c>
      <c r="N763" s="332">
        <v>0</v>
      </c>
      <c r="O763" s="332">
        <v>0</v>
      </c>
      <c r="P763" s="284"/>
      <c r="Q763" s="284">
        <f t="shared" si="30"/>
        <v>0</v>
      </c>
      <c r="R763" s="3" t="str">
        <f>_xlfn.IFNA(VLOOKUP(Tabella1[[#This Row],[Nome]],'ROSE SQUADRE'!$N$3:$O$260,2,0),"")</f>
        <v>SAN GRIA</v>
      </c>
      <c r="S763" s="193">
        <f>SUM(Tabella1[[#This Row],[Gf]],Tabella1[[#This Row],[Rf]])</f>
        <v>0</v>
      </c>
      <c r="T763" s="193"/>
      <c r="U763" s="285" t="str">
        <f>IF(Tabella1[[#This Row],[N° FantaTit]]="","",Tabella1[[#This Row],[fanta voto]])</f>
        <v/>
      </c>
      <c r="V763" s="193">
        <f>SUM(Tabella1[[#This Row],[Voto]],(G763*3),Q763,P763,O763,-(N763),(-M763/2),(-L763*2),(-H763),(I763*3),(-J763*3),(K763*3))</f>
        <v>5</v>
      </c>
      <c r="W763" s="193"/>
      <c r="X763" s="193" t="str">
        <f>IF(Tabella1[[#This Row],[Best 11]]=1,Tabella1[[#This Row],[fanta voto]],"")</f>
        <v/>
      </c>
      <c r="Z763" s="193" t="str">
        <f>IF(Tabella1[[#This Row],[Best 11 MOD]]=1,Tabella1[[#This Row],[fanta voto]],"")</f>
        <v/>
      </c>
      <c r="AA763" t="str">
        <f>CONCATENATE(Tabella1[[#This Row],[GG]],Tabella1[[#This Row],[Nome]])</f>
        <v>3Frendrup</v>
      </c>
      <c r="AB763" t="str">
        <f t="shared" si="31"/>
        <v>3SAN GRIA</v>
      </c>
      <c r="AC763" t="str">
        <f>_xlfn.CONCAT(Tabella1[[#This Row],[Ruolo]],Tabella1[[#This Row],[Gs]])</f>
        <v>C0</v>
      </c>
    </row>
    <row r="764" spans="1:29" hidden="1" x14ac:dyDescent="0.3">
      <c r="A764" s="14">
        <v>46270</v>
      </c>
      <c r="B764" s="15">
        <v>3</v>
      </c>
      <c r="C764" s="321" t="str">
        <f>_xlfn.XLOOKUP(Tabella1[[#This Row],[Nome]],Tabella4[NOME],Tabella4[SQUADRA],"")</f>
        <v>Torino</v>
      </c>
      <c r="D764" t="s">
        <v>162</v>
      </c>
      <c r="E764" t="s">
        <v>945</v>
      </c>
      <c r="F764" s="194">
        <v>5.5</v>
      </c>
      <c r="G764" s="328">
        <v>0</v>
      </c>
      <c r="H764" s="328">
        <v>0</v>
      </c>
      <c r="I764" s="328">
        <v>0</v>
      </c>
      <c r="J764" s="328">
        <v>0</v>
      </c>
      <c r="K764" s="328">
        <v>0</v>
      </c>
      <c r="L764" s="328">
        <v>0</v>
      </c>
      <c r="M764" s="328">
        <v>0</v>
      </c>
      <c r="N764" s="328">
        <v>0</v>
      </c>
      <c r="O764" s="328">
        <v>0</v>
      </c>
      <c r="P764" s="284"/>
      <c r="Q764" s="284">
        <f t="shared" si="30"/>
        <v>0</v>
      </c>
      <c r="R764" s="3" t="str">
        <f>_xlfn.IFNA(VLOOKUP(Tabella1[[#This Row],[Nome]],'ROSE SQUADRE'!$N$3:$O$260,2,0),"")</f>
        <v/>
      </c>
      <c r="S764" s="193">
        <f>SUM(Tabella1[[#This Row],[Gf]],Tabella1[[#This Row],[Rf]])</f>
        <v>0</v>
      </c>
      <c r="T764" s="193"/>
      <c r="U764" s="285" t="str">
        <f>IF(Tabella1[[#This Row],[N° FantaTit]]="","",Tabella1[[#This Row],[fanta voto]])</f>
        <v/>
      </c>
      <c r="V764" s="193">
        <f>SUM(Tabella1[[#This Row],[Voto]],(G764*3),Q764,P764,O764,-(N764),(-M764/2),(-L764*2),(-H764),(I764*3),(-J764*3),(K764*3))</f>
        <v>5.5</v>
      </c>
      <c r="W764" s="193"/>
      <c r="X764" s="193" t="str">
        <f>IF(Tabella1[[#This Row],[Best 11]]=1,Tabella1[[#This Row],[fanta voto]],"")</f>
        <v/>
      </c>
      <c r="Z764" s="193" t="str">
        <f>IF(Tabella1[[#This Row],[Best 11 MOD]]=1,Tabella1[[#This Row],[fanta voto]],"")</f>
        <v/>
      </c>
      <c r="AA764" t="str">
        <f>CONCATENATE(Tabella1[[#This Row],[GG]],Tabella1[[#This Row],[Nome]])</f>
        <v>3Gineitis</v>
      </c>
      <c r="AB764" t="str">
        <f t="shared" si="31"/>
        <v>3</v>
      </c>
      <c r="AC764" t="str">
        <f>_xlfn.CONCAT(Tabella1[[#This Row],[Ruolo]],Tabella1[[#This Row],[Gs]])</f>
        <v>C0</v>
      </c>
    </row>
    <row r="765" spans="1:29" hidden="1" x14ac:dyDescent="0.3">
      <c r="A765" s="14">
        <v>46270</v>
      </c>
      <c r="B765" s="15">
        <v>3</v>
      </c>
      <c r="C765" s="321" t="str">
        <f>_xlfn.XLOOKUP(Tabella1[[#This Row],[Nome]],Tabella4[NOME],Tabella4[SQUADRA],"")</f>
        <v>Roma</v>
      </c>
      <c r="D765" s="330" t="s">
        <v>162</v>
      </c>
      <c r="E765" s="330" t="s">
        <v>281</v>
      </c>
      <c r="F765" s="331">
        <v>6</v>
      </c>
      <c r="G765" s="332">
        <v>0</v>
      </c>
      <c r="H765" s="332">
        <v>0</v>
      </c>
      <c r="I765" s="332">
        <v>0</v>
      </c>
      <c r="J765" s="332">
        <v>0</v>
      </c>
      <c r="K765" s="332">
        <v>0</v>
      </c>
      <c r="L765" s="332">
        <v>0</v>
      </c>
      <c r="M765" s="332">
        <v>0</v>
      </c>
      <c r="N765" s="332">
        <v>0</v>
      </c>
      <c r="O765" s="332">
        <v>0</v>
      </c>
      <c r="P765" s="284"/>
      <c r="Q765" s="284">
        <f t="shared" si="30"/>
        <v>0</v>
      </c>
      <c r="R765" s="3" t="str">
        <f>_xlfn.IFNA(VLOOKUP(Tabella1[[#This Row],[Nome]],'ROSE SQUADRE'!$N$3:$O$260,2,0),"")</f>
        <v>SAN GRIA</v>
      </c>
      <c r="S765" s="193">
        <f>SUM(Tabella1[[#This Row],[Gf]],Tabella1[[#This Row],[Rf]])</f>
        <v>0</v>
      </c>
      <c r="T765" s="193">
        <v>1</v>
      </c>
      <c r="U765" s="285">
        <f>IF(Tabella1[[#This Row],[N° FantaTit]]="","",Tabella1[[#This Row],[fanta voto]])</f>
        <v>6</v>
      </c>
      <c r="V765" s="193">
        <f>SUM(Tabella1[[#This Row],[Voto]],(G765*3),Q765,P765,O765,-(N765),(-M765/2),(-L765*2),(-H765),(I765*3),(-J765*3),(K765*3))</f>
        <v>6</v>
      </c>
      <c r="W765" s="193">
        <v>1</v>
      </c>
      <c r="X765" s="193">
        <f>IF(Tabella1[[#This Row],[Best 11]]=1,Tabella1[[#This Row],[fanta voto]],"")</f>
        <v>6</v>
      </c>
      <c r="Y765">
        <v>1</v>
      </c>
      <c r="Z765" s="193">
        <f>IF(Tabella1[[#This Row],[Best 11 MOD]]=1,Tabella1[[#This Row],[fanta voto]],"")</f>
        <v>6</v>
      </c>
      <c r="AA765" t="str">
        <f>CONCATENATE(Tabella1[[#This Row],[GG]],Tabella1[[#This Row],[Nome]])</f>
        <v>3Cristante</v>
      </c>
      <c r="AB765" t="str">
        <f t="shared" si="31"/>
        <v>3SAN GRIA1</v>
      </c>
      <c r="AC765" t="str">
        <f>_xlfn.CONCAT(Tabella1[[#This Row],[Ruolo]],Tabella1[[#This Row],[Gs]])</f>
        <v>C0</v>
      </c>
    </row>
    <row r="766" spans="1:29" hidden="1" x14ac:dyDescent="0.3">
      <c r="A766" s="14">
        <v>46270</v>
      </c>
      <c r="B766" s="15">
        <v>3</v>
      </c>
      <c r="C766" s="321" t="str">
        <f>_xlfn.XLOOKUP(Tabella1[[#This Row],[Nome]],Tabella4[NOME],Tabella4[SQUADRA],"")</f>
        <v>Roma</v>
      </c>
      <c r="D766" t="s">
        <v>161</v>
      </c>
      <c r="E766" t="s">
        <v>895</v>
      </c>
      <c r="F766" s="194">
        <v>6</v>
      </c>
      <c r="G766" s="328">
        <v>0</v>
      </c>
      <c r="H766" s="328">
        <v>0</v>
      </c>
      <c r="I766" s="328">
        <v>0</v>
      </c>
      <c r="J766" s="328">
        <v>0</v>
      </c>
      <c r="K766" s="328">
        <v>0</v>
      </c>
      <c r="L766" s="328">
        <v>0</v>
      </c>
      <c r="M766" s="328">
        <v>0</v>
      </c>
      <c r="N766" s="328">
        <v>0</v>
      </c>
      <c r="O766" s="328">
        <v>0</v>
      </c>
      <c r="P766" s="284"/>
      <c r="Q766" s="284">
        <f t="shared" si="30"/>
        <v>0</v>
      </c>
      <c r="R766" s="3" t="str">
        <f>_xlfn.IFNA(VLOOKUP(Tabella1[[#This Row],[Nome]],'ROSE SQUADRE'!$N$3:$O$260,2,0),"")</f>
        <v/>
      </c>
      <c r="S766" s="193">
        <f>SUM(Tabella1[[#This Row],[Gf]],Tabella1[[#This Row],[Rf]])</f>
        <v>0</v>
      </c>
      <c r="T766" s="193"/>
      <c r="U766" s="285" t="str">
        <f>IF(Tabella1[[#This Row],[N° FantaTit]]="","",Tabella1[[#This Row],[fanta voto]])</f>
        <v/>
      </c>
      <c r="V766" s="193">
        <f>SUM(Tabella1[[#This Row],[Voto]],(G766*3),Q766,P766,O766,-(N766),(-M766/2),(-L766*2),(-H766),(I766*3),(-J766*3),(K766*3))</f>
        <v>6</v>
      </c>
      <c r="W766" s="193"/>
      <c r="X766" s="193" t="str">
        <f>IF(Tabella1[[#This Row],[Best 11]]=1,Tabella1[[#This Row],[fanta voto]],"")</f>
        <v/>
      </c>
      <c r="Z766" s="193" t="str">
        <f>IF(Tabella1[[#This Row],[Best 11 MOD]]=1,Tabella1[[#This Row],[fanta voto]],"")</f>
        <v/>
      </c>
      <c r="AA766" t="str">
        <f>CONCATENATE(Tabella1[[#This Row],[GG]],Tabella1[[#This Row],[Nome]])</f>
        <v>3Ghilardi</v>
      </c>
      <c r="AB766" t="str">
        <f t="shared" si="31"/>
        <v>3</v>
      </c>
      <c r="AC766" t="str">
        <f>_xlfn.CONCAT(Tabella1[[#This Row],[Ruolo]],Tabella1[[#This Row],[Gs]])</f>
        <v>D0</v>
      </c>
    </row>
    <row r="767" spans="1:29" hidden="1" x14ac:dyDescent="0.3">
      <c r="A767" s="14">
        <v>46270</v>
      </c>
      <c r="B767" s="15">
        <v>3</v>
      </c>
      <c r="C767" s="321" t="str">
        <f>_xlfn.XLOOKUP(Tabella1[[#This Row],[Nome]],Tabella4[NOME],Tabella4[SQUADRA],"")</f>
        <v>Frosinone</v>
      </c>
      <c r="D767" s="330" t="s">
        <v>163</v>
      </c>
      <c r="E767" s="330" t="s">
        <v>746</v>
      </c>
      <c r="F767" s="331">
        <v>6</v>
      </c>
      <c r="G767" s="332">
        <v>0</v>
      </c>
      <c r="H767" s="332">
        <v>0</v>
      </c>
      <c r="I767" s="332">
        <v>0</v>
      </c>
      <c r="J767" s="332">
        <v>0</v>
      </c>
      <c r="K767" s="332">
        <v>0</v>
      </c>
      <c r="L767" s="332">
        <v>0</v>
      </c>
      <c r="M767" s="332">
        <v>0</v>
      </c>
      <c r="N767" s="332">
        <v>0</v>
      </c>
      <c r="O767" s="332">
        <v>0</v>
      </c>
      <c r="P767" s="284"/>
      <c r="Q767" s="284">
        <f t="shared" si="30"/>
        <v>0</v>
      </c>
      <c r="R767" s="3" t="str">
        <f>_xlfn.IFNA(VLOOKUP(Tabella1[[#This Row],[Nome]],'ROSE SQUADRE'!$N$3:$O$260,2,0),"")</f>
        <v/>
      </c>
      <c r="S767" s="193">
        <f>SUM(Tabella1[[#This Row],[Gf]],Tabella1[[#This Row],[Rf]])</f>
        <v>0</v>
      </c>
      <c r="T767" s="193"/>
      <c r="U767" s="285" t="str">
        <f>IF(Tabella1[[#This Row],[N° FantaTit]]="","",Tabella1[[#This Row],[fanta voto]])</f>
        <v/>
      </c>
      <c r="V767" s="193">
        <f>SUM(Tabella1[[#This Row],[Voto]],(G767*3),Q767,P767,O767,-(N767),(-M767/2),(-L767*2),(-H767),(I767*3),(-J767*3),(K767*3))</f>
        <v>6</v>
      </c>
      <c r="W767" s="193"/>
      <c r="X767" s="193" t="str">
        <f>IF(Tabella1[[#This Row],[Best 11]]=1,Tabella1[[#This Row],[fanta voto]],"")</f>
        <v/>
      </c>
      <c r="Z767" s="193" t="str">
        <f>IF(Tabella1[[#This Row],[Best 11 MOD]]=1,Tabella1[[#This Row],[fanta voto]],"")</f>
        <v/>
      </c>
      <c r="AA767" t="str">
        <f>CONCATENATE(Tabella1[[#This Row],[GG]],Tabella1[[#This Row],[Nome]])</f>
        <v>3Ghedjemis</v>
      </c>
      <c r="AB767" t="str">
        <f t="shared" si="31"/>
        <v>3</v>
      </c>
      <c r="AC767" t="str">
        <f>_xlfn.CONCAT(Tabella1[[#This Row],[Ruolo]],Tabella1[[#This Row],[Gs]])</f>
        <v>A0</v>
      </c>
    </row>
    <row r="768" spans="1:29" hidden="1" x14ac:dyDescent="0.3">
      <c r="A768" s="14">
        <v>46270</v>
      </c>
      <c r="B768" s="15">
        <v>3</v>
      </c>
      <c r="C768" s="321" t="str">
        <f>_xlfn.XLOOKUP(Tabella1[[#This Row],[Nome]],Tabella4[NOME],Tabella4[SQUADRA],"")</f>
        <v>Juventus</v>
      </c>
      <c r="D768" t="s">
        <v>161</v>
      </c>
      <c r="E768" t="s">
        <v>333</v>
      </c>
      <c r="F768" s="194">
        <v>7</v>
      </c>
      <c r="G768" s="329">
        <v>1</v>
      </c>
      <c r="H768" s="328">
        <v>0</v>
      </c>
      <c r="I768" s="328">
        <v>0</v>
      </c>
      <c r="J768" s="328">
        <v>0</v>
      </c>
      <c r="K768" s="328">
        <v>0</v>
      </c>
      <c r="L768" s="328">
        <v>0</v>
      </c>
      <c r="M768" s="329">
        <v>1</v>
      </c>
      <c r="N768" s="328">
        <v>0</v>
      </c>
      <c r="O768" s="328">
        <v>0</v>
      </c>
      <c r="P768" s="284"/>
      <c r="Q768" s="284">
        <f t="shared" si="30"/>
        <v>0</v>
      </c>
      <c r="R768" s="3" t="str">
        <f>_xlfn.IFNA(VLOOKUP(Tabella1[[#This Row],[Nome]],'ROSE SQUADRE'!$N$3:$O$260,2,0),"")</f>
        <v/>
      </c>
      <c r="S768" s="193">
        <f>SUM(Tabella1[[#This Row],[Gf]],Tabella1[[#This Row],[Rf]])</f>
        <v>1</v>
      </c>
      <c r="T768" s="193"/>
      <c r="U768" s="285" t="str">
        <f>IF(Tabella1[[#This Row],[N° FantaTit]]="","",Tabella1[[#This Row],[fanta voto]])</f>
        <v/>
      </c>
      <c r="V768" s="193">
        <f>SUM(Tabella1[[#This Row],[Voto]],(G768*3),Q768,P768,O768,-(N768),(-M768/2),(-L768*2),(-H768),(I768*3),(-J768*3),(K768*3))</f>
        <v>9.5</v>
      </c>
      <c r="W768" s="193"/>
      <c r="X768" s="193" t="str">
        <f>IF(Tabella1[[#This Row],[Best 11]]=1,Tabella1[[#This Row],[fanta voto]],"")</f>
        <v/>
      </c>
      <c r="Z768" s="193" t="str">
        <f>IF(Tabella1[[#This Row],[Best 11 MOD]]=1,Tabella1[[#This Row],[fanta voto]],"")</f>
        <v/>
      </c>
      <c r="AA768" t="str">
        <f>CONCATENATE(Tabella1[[#This Row],[GG]],Tabella1[[#This Row],[Nome]])</f>
        <v>3Gatti</v>
      </c>
      <c r="AB768" t="str">
        <f t="shared" si="31"/>
        <v>3</v>
      </c>
      <c r="AC768" t="str">
        <f>_xlfn.CONCAT(Tabella1[[#This Row],[Ruolo]],Tabella1[[#This Row],[Gs]])</f>
        <v>D0</v>
      </c>
    </row>
    <row r="769" spans="1:29" hidden="1" x14ac:dyDescent="0.3">
      <c r="A769" s="14">
        <v>46270</v>
      </c>
      <c r="B769" s="15">
        <v>3</v>
      </c>
      <c r="C769" s="321" t="str">
        <f>_xlfn.XLOOKUP(Tabella1[[#This Row],[Nome]],Tabella4[NOME],Tabella4[SQUADRA],"")</f>
        <v>Atalanta</v>
      </c>
      <c r="D769" t="s">
        <v>162</v>
      </c>
      <c r="E769" t="s">
        <v>606</v>
      </c>
      <c r="F769" s="194">
        <v>6</v>
      </c>
      <c r="G769" s="328">
        <v>0</v>
      </c>
      <c r="H769" s="328">
        <v>0</v>
      </c>
      <c r="I769" s="328">
        <v>0</v>
      </c>
      <c r="J769" s="328">
        <v>0</v>
      </c>
      <c r="K769" s="328">
        <v>0</v>
      </c>
      <c r="L769" s="328">
        <v>0</v>
      </c>
      <c r="M769" s="328">
        <v>0</v>
      </c>
      <c r="N769" s="328">
        <v>0</v>
      </c>
      <c r="O769" s="328">
        <v>0</v>
      </c>
      <c r="P769" s="284"/>
      <c r="Q769" s="284">
        <f t="shared" si="30"/>
        <v>0</v>
      </c>
      <c r="R769" s="3" t="str">
        <f>_xlfn.IFNA(VLOOKUP(Tabella1[[#This Row],[Nome]],'ROSE SQUADRE'!$N$3:$O$260,2,0),"")</f>
        <v>AS PIPPERIA</v>
      </c>
      <c r="S769" s="193">
        <f>SUM(Tabella1[[#This Row],[Gf]],Tabella1[[#This Row],[Rf]])</f>
        <v>0</v>
      </c>
      <c r="T769" s="193"/>
      <c r="U769" s="285" t="str">
        <f>IF(Tabella1[[#This Row],[N° FantaTit]]="","",Tabella1[[#This Row],[fanta voto]])</f>
        <v/>
      </c>
      <c r="V769" s="193">
        <f>SUM(Tabella1[[#This Row],[Voto]],(G769*3),Q769,P769,O769,-(N769),(-M769/2),(-L769*2),(-H769),(I769*3),(-J769*3),(K769*3))</f>
        <v>6</v>
      </c>
      <c r="W769" s="193">
        <v>1</v>
      </c>
      <c r="X769" s="193">
        <f>IF(Tabella1[[#This Row],[Best 11]]=1,Tabella1[[#This Row],[fanta voto]],"")</f>
        <v>6</v>
      </c>
      <c r="Y769">
        <v>1</v>
      </c>
      <c r="Z769" s="193">
        <f>IF(Tabella1[[#This Row],[Best 11 MOD]]=1,Tabella1[[#This Row],[fanta voto]],"")</f>
        <v>6</v>
      </c>
      <c r="AA769" t="str">
        <f>CONCATENATE(Tabella1[[#This Row],[GG]],Tabella1[[#This Row],[Nome]])</f>
        <v>3Samardzic</v>
      </c>
      <c r="AB769" t="str">
        <f t="shared" si="31"/>
        <v>3AS PIPPERIA</v>
      </c>
      <c r="AC769" t="str">
        <f>_xlfn.CONCAT(Tabella1[[#This Row],[Ruolo]],Tabella1[[#This Row],[Gs]])</f>
        <v>C0</v>
      </c>
    </row>
    <row r="770" spans="1:29" hidden="1" x14ac:dyDescent="0.3">
      <c r="A770" s="14">
        <v>46270</v>
      </c>
      <c r="B770" s="15">
        <v>3</v>
      </c>
      <c r="C770" s="321" t="str">
        <f>_xlfn.XLOOKUP(Tabella1[[#This Row],[Nome]],Tabella4[NOME],Tabella4[SQUADRA],"")</f>
        <v>Lazio</v>
      </c>
      <c r="D770" s="330" t="s">
        <v>162</v>
      </c>
      <c r="E770" s="330" t="s">
        <v>330</v>
      </c>
      <c r="F770" s="331">
        <v>6</v>
      </c>
      <c r="G770" s="332">
        <v>0</v>
      </c>
      <c r="H770" s="332">
        <v>0</v>
      </c>
      <c r="I770" s="332">
        <v>0</v>
      </c>
      <c r="J770" s="332">
        <v>0</v>
      </c>
      <c r="K770" s="332">
        <v>0</v>
      </c>
      <c r="L770" s="332">
        <v>0</v>
      </c>
      <c r="M770" s="332">
        <v>0</v>
      </c>
      <c r="N770" s="332">
        <v>0</v>
      </c>
      <c r="O770" s="332">
        <v>0</v>
      </c>
      <c r="P770" s="284"/>
      <c r="Q770" s="284">
        <f t="shared" si="30"/>
        <v>0</v>
      </c>
      <c r="R770" s="3" t="str">
        <f>_xlfn.IFNA(VLOOKUP(Tabella1[[#This Row],[Nome]],'ROSE SQUADRE'!$N$3:$O$260,2,0),"")</f>
        <v>ATL. IMPROVVISATO</v>
      </c>
      <c r="S770" s="193">
        <f>SUM(Tabella1[[#This Row],[Gf]],Tabella1[[#This Row],[Rf]])</f>
        <v>0</v>
      </c>
      <c r="T770" s="193">
        <v>1</v>
      </c>
      <c r="U770" s="285">
        <f>IF(Tabella1[[#This Row],[N° FantaTit]]="","",Tabella1[[#This Row],[fanta voto]])</f>
        <v>6</v>
      </c>
      <c r="V770" s="193">
        <f>SUM(Tabella1[[#This Row],[Voto]],(G770*3),Q770,P770,O770,-(N770),(-M770/2),(-L770*2),(-H770),(I770*3),(-J770*3),(K770*3))</f>
        <v>6</v>
      </c>
      <c r="W770" s="193">
        <v>1</v>
      </c>
      <c r="X770" s="193">
        <f>IF(Tabella1[[#This Row],[Best 11]]=1,Tabella1[[#This Row],[fanta voto]],"")</f>
        <v>6</v>
      </c>
      <c r="Y770">
        <v>1</v>
      </c>
      <c r="Z770" s="193">
        <f>IF(Tabella1[[#This Row],[Best 11 MOD]]=1,Tabella1[[#This Row],[fanta voto]],"")</f>
        <v>6</v>
      </c>
      <c r="AA770" t="str">
        <f>CONCATENATE(Tabella1[[#This Row],[GG]],Tabella1[[#This Row],[Nome]])</f>
        <v>3Cancellieri</v>
      </c>
      <c r="AB770" t="str">
        <f t="shared" si="31"/>
        <v>3ATL. IMPROVVISATO1</v>
      </c>
      <c r="AC770" t="str">
        <f>_xlfn.CONCAT(Tabella1[[#This Row],[Ruolo]],Tabella1[[#This Row],[Gs]])</f>
        <v>C0</v>
      </c>
    </row>
    <row r="771" spans="1:29" hidden="1" x14ac:dyDescent="0.3">
      <c r="A771" s="14">
        <v>46270</v>
      </c>
      <c r="B771" s="15">
        <v>3</v>
      </c>
      <c r="C771" s="321" t="str">
        <f>_xlfn.XLOOKUP(Tabella1[[#This Row],[Nome]],Tabella4[NOME],Tabella4[SQUADRA],"")</f>
        <v>Cagliari</v>
      </c>
      <c r="D771" s="330" t="s">
        <v>162</v>
      </c>
      <c r="E771" s="330" t="s">
        <v>309</v>
      </c>
      <c r="F771" s="331">
        <v>5.5</v>
      </c>
      <c r="G771" s="332">
        <v>0</v>
      </c>
      <c r="H771" s="332">
        <v>0</v>
      </c>
      <c r="I771" s="332">
        <v>0</v>
      </c>
      <c r="J771" s="332">
        <v>0</v>
      </c>
      <c r="K771" s="332">
        <v>0</v>
      </c>
      <c r="L771" s="332">
        <v>0</v>
      </c>
      <c r="M771" s="332">
        <v>0</v>
      </c>
      <c r="N771" s="332">
        <v>0</v>
      </c>
      <c r="O771" s="332">
        <v>0</v>
      </c>
      <c r="P771" s="284"/>
      <c r="Q771" s="284">
        <f t="shared" si="30"/>
        <v>0</v>
      </c>
      <c r="R771" s="3" t="str">
        <f>_xlfn.IFNA(VLOOKUP(Tabella1[[#This Row],[Nome]],'ROSE SQUADRE'!$N$3:$O$260,2,0),"")</f>
        <v/>
      </c>
      <c r="S771" s="193">
        <f>SUM(Tabella1[[#This Row],[Gf]],Tabella1[[#This Row],[Rf]])</f>
        <v>0</v>
      </c>
      <c r="T771" s="193"/>
      <c r="U771" s="285" t="str">
        <f>IF(Tabella1[[#This Row],[N° FantaTit]]="","",Tabella1[[#This Row],[fanta voto]])</f>
        <v/>
      </c>
      <c r="V771" s="193">
        <f>SUM(Tabella1[[#This Row],[Voto]],(G771*3),Q771,P771,O771,-(N771),(-M771/2),(-L771*2),(-H771),(I771*3),(-J771*3),(K771*3))</f>
        <v>5.5</v>
      </c>
      <c r="W771" s="193"/>
      <c r="X771" s="193" t="str">
        <f>IF(Tabella1[[#This Row],[Best 11]]=1,Tabella1[[#This Row],[fanta voto]],"")</f>
        <v/>
      </c>
      <c r="Z771" s="193" t="str">
        <f>IF(Tabella1[[#This Row],[Best 11 MOD]]=1,Tabella1[[#This Row],[fanta voto]],"")</f>
        <v/>
      </c>
      <c r="AA771" t="str">
        <f>CONCATENATE(Tabella1[[#This Row],[GG]],Tabella1[[#This Row],[Nome]])</f>
        <v>3Gagliardini</v>
      </c>
      <c r="AB771" t="str">
        <f t="shared" si="31"/>
        <v>3</v>
      </c>
      <c r="AC771" t="str">
        <f>_xlfn.CONCAT(Tabella1[[#This Row],[Ruolo]],Tabella1[[#This Row],[Gs]])</f>
        <v>C0</v>
      </c>
    </row>
    <row r="772" spans="1:29" hidden="1" x14ac:dyDescent="0.3">
      <c r="A772" s="14">
        <v>46270</v>
      </c>
      <c r="B772" s="15">
        <v>3</v>
      </c>
      <c r="C772" s="321" t="str">
        <f>_xlfn.XLOOKUP(Tabella1[[#This Row],[Nome]],Tabella4[NOME],Tabella4[SQUADRA],"")</f>
        <v>Inter</v>
      </c>
      <c r="D772" s="330" t="s">
        <v>162</v>
      </c>
      <c r="E772" s="330" t="s">
        <v>218</v>
      </c>
      <c r="F772" s="331">
        <v>6</v>
      </c>
      <c r="G772" s="332">
        <v>0</v>
      </c>
      <c r="H772" s="332">
        <v>0</v>
      </c>
      <c r="I772" s="332">
        <v>0</v>
      </c>
      <c r="J772" s="332">
        <v>0</v>
      </c>
      <c r="K772" s="332">
        <v>0</v>
      </c>
      <c r="L772" s="332">
        <v>0</v>
      </c>
      <c r="M772" s="332">
        <v>0</v>
      </c>
      <c r="N772" s="332">
        <v>0</v>
      </c>
      <c r="O772" s="332">
        <v>0</v>
      </c>
      <c r="P772" s="284"/>
      <c r="Q772" s="284">
        <f t="shared" si="30"/>
        <v>0</v>
      </c>
      <c r="R772" s="3" t="str">
        <f>_xlfn.IFNA(VLOOKUP(Tabella1[[#This Row],[Nome]],'ROSE SQUADRE'!$N$3:$O$260,2,0),"")</f>
        <v>TRICCHETRACHT</v>
      </c>
      <c r="S772" s="193">
        <f>SUM(Tabella1[[#This Row],[Gf]],Tabella1[[#This Row],[Rf]])</f>
        <v>0</v>
      </c>
      <c r="T772" s="193">
        <v>1</v>
      </c>
      <c r="U772" s="285">
        <f>IF(Tabella1[[#This Row],[N° FantaTit]]="","",Tabella1[[#This Row],[fanta voto]])</f>
        <v>6</v>
      </c>
      <c r="V772" s="193">
        <f>SUM(Tabella1[[#This Row],[Voto]],(G772*3),Q772,P772,O772,-(N772),(-M772/2),(-L772*2),(-H772),(I772*3),(-J772*3),(K772*3))</f>
        <v>6</v>
      </c>
      <c r="W772" s="193"/>
      <c r="X772" s="193" t="str">
        <f>IF(Tabella1[[#This Row],[Best 11]]=1,Tabella1[[#This Row],[fanta voto]],"")</f>
        <v/>
      </c>
      <c r="Z772" s="193" t="str">
        <f>IF(Tabella1[[#This Row],[Best 11 MOD]]=1,Tabella1[[#This Row],[fanta voto]],"")</f>
        <v/>
      </c>
      <c r="AA772" t="str">
        <f>CONCATENATE(Tabella1[[#This Row],[GG]],Tabella1[[#This Row],[Nome]])</f>
        <v>3Calhanoglu</v>
      </c>
      <c r="AB772" t="str">
        <f t="shared" si="31"/>
        <v>3TRICCHETRACHT1</v>
      </c>
      <c r="AC772" t="str">
        <f>_xlfn.CONCAT(Tabella1[[#This Row],[Ruolo]],Tabella1[[#This Row],[Gs]])</f>
        <v>C0</v>
      </c>
    </row>
    <row r="773" spans="1:29" hidden="1" x14ac:dyDescent="0.3">
      <c r="A773" s="14">
        <v>46270</v>
      </c>
      <c r="B773" s="15">
        <v>3</v>
      </c>
      <c r="C773" s="321" t="str">
        <f>_xlfn.XLOOKUP(Tabella1[[#This Row],[Nome]],Tabella4[NOME],Tabella4[SQUADRA],"")</f>
        <v>Parma</v>
      </c>
      <c r="D773" t="s">
        <v>163</v>
      </c>
      <c r="E773" t="s">
        <v>889</v>
      </c>
      <c r="F773" s="194">
        <v>5.5</v>
      </c>
      <c r="G773" s="328">
        <v>0</v>
      </c>
      <c r="H773" s="328">
        <v>0</v>
      </c>
      <c r="I773" s="328">
        <v>0</v>
      </c>
      <c r="J773" s="328">
        <v>0</v>
      </c>
      <c r="K773" s="328">
        <v>0</v>
      </c>
      <c r="L773" s="328">
        <v>0</v>
      </c>
      <c r="M773" s="328">
        <v>0</v>
      </c>
      <c r="N773" s="328">
        <v>0</v>
      </c>
      <c r="O773" s="328">
        <v>0</v>
      </c>
      <c r="P773" s="284"/>
      <c r="Q773" s="284">
        <f t="shared" si="30"/>
        <v>0</v>
      </c>
      <c r="R773" s="3" t="str">
        <f>_xlfn.IFNA(VLOOKUP(Tabella1[[#This Row],[Nome]],'ROSE SQUADRE'!$N$3:$O$260,2,0),"")</f>
        <v/>
      </c>
      <c r="S773" s="193">
        <f>SUM(Tabella1[[#This Row],[Gf]],Tabella1[[#This Row],[Rf]])</f>
        <v>0</v>
      </c>
      <c r="T773" s="193"/>
      <c r="U773" s="285" t="str">
        <f>IF(Tabella1[[#This Row],[N° FantaTit]]="","",Tabella1[[#This Row],[fanta voto]])</f>
        <v/>
      </c>
      <c r="V773" s="193">
        <f>SUM(Tabella1[[#This Row],[Voto]],(G773*3),Q773,P773,O773,-(N773),(-M773/2),(-L773*2),(-H773),(I773*3),(-J773*3),(K773*3))</f>
        <v>5.5</v>
      </c>
      <c r="W773" s="193"/>
      <c r="X773" s="193" t="str">
        <f>IF(Tabella1[[#This Row],[Best 11]]=1,Tabella1[[#This Row],[fanta voto]],"")</f>
        <v/>
      </c>
      <c r="Z773" s="193" t="str">
        <f>IF(Tabella1[[#This Row],[Best 11 MOD]]=1,Tabella1[[#This Row],[fanta voto]],"")</f>
        <v/>
      </c>
      <c r="AA773" t="str">
        <f>CONCATENATE(Tabella1[[#This Row],[GG]],Tabella1[[#This Row],[Nome]])</f>
        <v>3Frigan</v>
      </c>
      <c r="AB773" t="str">
        <f t="shared" si="31"/>
        <v>3</v>
      </c>
      <c r="AC773" t="str">
        <f>_xlfn.CONCAT(Tabella1[[#This Row],[Ruolo]],Tabella1[[#This Row],[Gs]])</f>
        <v>A0</v>
      </c>
    </row>
    <row r="774" spans="1:29" hidden="1" x14ac:dyDescent="0.3">
      <c r="A774" s="14">
        <v>46270</v>
      </c>
      <c r="B774" s="15">
        <v>3</v>
      </c>
      <c r="C774" s="321" t="str">
        <f>_xlfn.XLOOKUP(Tabella1[[#This Row],[Nome]],Tabella4[NOME],Tabella4[SQUADRA],"")</f>
        <v>Juventus</v>
      </c>
      <c r="D774" s="330" t="s">
        <v>162</v>
      </c>
      <c r="E774" s="330" t="s">
        <v>786</v>
      </c>
      <c r="F774" s="331">
        <v>6.5</v>
      </c>
      <c r="G774" s="332">
        <v>0</v>
      </c>
      <c r="H774" s="332">
        <v>0</v>
      </c>
      <c r="I774" s="332">
        <v>0</v>
      </c>
      <c r="J774" s="332">
        <v>0</v>
      </c>
      <c r="K774" s="332">
        <v>0</v>
      </c>
      <c r="L774" s="332">
        <v>0</v>
      </c>
      <c r="M774" s="332">
        <v>0</v>
      </c>
      <c r="N774" s="332">
        <v>0</v>
      </c>
      <c r="O774" s="332">
        <v>0</v>
      </c>
      <c r="P774" s="284"/>
      <c r="Q774" s="284">
        <f t="shared" si="30"/>
        <v>0</v>
      </c>
      <c r="R774" s="3" t="str">
        <f>_xlfn.IFNA(VLOOKUP(Tabella1[[#This Row],[Nome]],'ROSE SQUADRE'!$N$3:$O$260,2,0),"")</f>
        <v>SAN GRIA</v>
      </c>
      <c r="S774" s="193">
        <f>SUM(Tabella1[[#This Row],[Gf]],Tabella1[[#This Row],[Rf]])</f>
        <v>0</v>
      </c>
      <c r="T774" s="193">
        <v>1</v>
      </c>
      <c r="U774" s="285">
        <f>IF(Tabella1[[#This Row],[N° FantaTit]]="","",Tabella1[[#This Row],[fanta voto]])</f>
        <v>6.5</v>
      </c>
      <c r="V774" s="193">
        <f>SUM(Tabella1[[#This Row],[Voto]],(G774*3),Q774,P774,O774,-(N774),(-M774/2),(-L774*2),(-H774),(I774*3),(-J774*3),(K774*3))</f>
        <v>6.5</v>
      </c>
      <c r="W774" s="193">
        <v>1</v>
      </c>
      <c r="X774" s="193">
        <f>IF(Tabella1[[#This Row],[Best 11]]=1,Tabella1[[#This Row],[fanta voto]],"")</f>
        <v>6.5</v>
      </c>
      <c r="Y774">
        <v>1</v>
      </c>
      <c r="Z774" s="193">
        <f>IF(Tabella1[[#This Row],[Best 11 MOD]]=1,Tabella1[[#This Row],[fanta voto]],"")</f>
        <v>6.5</v>
      </c>
      <c r="AA774" t="str">
        <f>CONCATENATE(Tabella1[[#This Row],[GG]],Tabella1[[#This Row],[Nome]])</f>
        <v>3Conceicao</v>
      </c>
      <c r="AB774" t="str">
        <f t="shared" si="31"/>
        <v>3SAN GRIA1</v>
      </c>
      <c r="AC774" t="str">
        <f>_xlfn.CONCAT(Tabella1[[#This Row],[Ruolo]],Tabella1[[#This Row],[Gs]])</f>
        <v>C0</v>
      </c>
    </row>
    <row r="775" spans="1:29" hidden="1" x14ac:dyDescent="0.3">
      <c r="A775" s="14">
        <v>46270</v>
      </c>
      <c r="B775" s="15">
        <v>3</v>
      </c>
      <c r="C775" s="321" t="str">
        <f>_xlfn.XLOOKUP(Tabella1[[#This Row],[Nome]],Tabella4[NOME],Tabella4[SQUADRA],"")</f>
        <v>Como</v>
      </c>
      <c r="D775" s="330" t="s">
        <v>162</v>
      </c>
      <c r="E775" s="330" t="s">
        <v>698</v>
      </c>
      <c r="F775" s="335">
        <v>6</v>
      </c>
      <c r="G775" s="332">
        <v>0</v>
      </c>
      <c r="H775" s="332">
        <v>0</v>
      </c>
      <c r="I775" s="332">
        <v>0</v>
      </c>
      <c r="J775" s="332">
        <v>0</v>
      </c>
      <c r="K775" s="332">
        <v>0</v>
      </c>
      <c r="L775" s="332">
        <v>0</v>
      </c>
      <c r="M775" s="332">
        <v>0</v>
      </c>
      <c r="N775" s="332">
        <v>0</v>
      </c>
      <c r="O775" s="332">
        <v>0</v>
      </c>
      <c r="P775" s="284"/>
      <c r="Q775" s="284">
        <f t="shared" si="30"/>
        <v>0</v>
      </c>
      <c r="R775" s="3" t="str">
        <f>_xlfn.IFNA(VLOOKUP(Tabella1[[#This Row],[Nome]],'ROSE SQUADRE'!$N$3:$O$260,2,0),"")</f>
        <v>TRICCHETRACHT</v>
      </c>
      <c r="S775" s="193">
        <f>SUM(Tabella1[[#This Row],[Gf]],Tabella1[[#This Row],[Rf]])</f>
        <v>0</v>
      </c>
      <c r="T775" s="193">
        <v>1</v>
      </c>
      <c r="U775" s="285">
        <f>IF(Tabella1[[#This Row],[N° FantaTit]]="","",Tabella1[[#This Row],[fanta voto]])</f>
        <v>6</v>
      </c>
      <c r="V775" s="193">
        <f>SUM(Tabella1[[#This Row],[Voto]],(G775*3),Q775,P775,O775,-(N775),(-M775/2),(-L775*2),(-H775),(I775*3),(-J775*3),(K775*3))</f>
        <v>6</v>
      </c>
      <c r="W775" s="193"/>
      <c r="X775" s="193" t="str">
        <f>IF(Tabella1[[#This Row],[Best 11]]=1,Tabella1[[#This Row],[fanta voto]],"")</f>
        <v/>
      </c>
      <c r="Z775" s="193" t="str">
        <f>IF(Tabella1[[#This Row],[Best 11 MOD]]=1,Tabella1[[#This Row],[fanta voto]],"")</f>
        <v/>
      </c>
      <c r="AA775" t="str">
        <f>CONCATENATE(Tabella1[[#This Row],[GG]],Tabella1[[#This Row],[Nome]])</f>
        <v>3Milla</v>
      </c>
      <c r="AB775" t="str">
        <f t="shared" si="31"/>
        <v>3TRICCHETRACHT1</v>
      </c>
      <c r="AC775" t="str">
        <f>_xlfn.CONCAT(Tabella1[[#This Row],[Ruolo]],Tabella1[[#This Row],[Gs]])</f>
        <v>C0</v>
      </c>
    </row>
    <row r="776" spans="1:29" hidden="1" x14ac:dyDescent="0.3">
      <c r="A776" s="14">
        <v>46270</v>
      </c>
      <c r="B776" s="15">
        <v>3</v>
      </c>
      <c r="C776" s="321" t="str">
        <f>_xlfn.XLOOKUP(Tabella1[[#This Row],[Nome]],Tabella4[NOME],Tabella4[SQUADRA],"")</f>
        <v>Fiorentina</v>
      </c>
      <c r="D776" s="330" t="s">
        <v>162</v>
      </c>
      <c r="E776" s="330" t="s">
        <v>717</v>
      </c>
      <c r="F776" s="331">
        <v>5.5</v>
      </c>
      <c r="G776" s="332">
        <v>0</v>
      </c>
      <c r="H776" s="332">
        <v>0</v>
      </c>
      <c r="I776" s="332">
        <v>0</v>
      </c>
      <c r="J776" s="332">
        <v>0</v>
      </c>
      <c r="K776" s="332">
        <v>0</v>
      </c>
      <c r="L776" s="332">
        <v>0</v>
      </c>
      <c r="M776" s="332">
        <v>0</v>
      </c>
      <c r="N776" s="332">
        <v>0</v>
      </c>
      <c r="O776" s="332">
        <v>0</v>
      </c>
      <c r="P776" s="284"/>
      <c r="Q776" s="284">
        <f t="shared" si="30"/>
        <v>0</v>
      </c>
      <c r="R776" s="3" t="str">
        <f>_xlfn.IFNA(VLOOKUP(Tabella1[[#This Row],[Nome]],'ROSE SQUADRE'!$N$3:$O$260,2,0),"")</f>
        <v>FC INTERNAZIOANALE</v>
      </c>
      <c r="S776" s="193">
        <f>SUM(Tabella1[[#This Row],[Gf]],Tabella1[[#This Row],[Rf]])</f>
        <v>0</v>
      </c>
      <c r="T776" s="193"/>
      <c r="U776" s="285" t="str">
        <f>IF(Tabella1[[#This Row],[N° FantaTit]]="","",Tabella1[[#This Row],[fanta voto]])</f>
        <v/>
      </c>
      <c r="V776" s="193">
        <f>SUM(Tabella1[[#This Row],[Voto]],(G776*3),Q776,P776,O776,-(N776),(-M776/2),(-L776*2),(-H776),(I776*3),(-J776*3),(K776*3))</f>
        <v>5.5</v>
      </c>
      <c r="W776" s="193"/>
      <c r="X776" s="193" t="str">
        <f>IF(Tabella1[[#This Row],[Best 11]]=1,Tabella1[[#This Row],[fanta voto]],"")</f>
        <v/>
      </c>
      <c r="Z776" s="193" t="str">
        <f>IF(Tabella1[[#This Row],[Best 11 MOD]]=1,Tabella1[[#This Row],[fanta voto]],"")</f>
        <v/>
      </c>
      <c r="AA776" t="str">
        <f>CONCATENATE(Tabella1[[#This Row],[GG]],Tabella1[[#This Row],[Nome]])</f>
        <v>3Ndour</v>
      </c>
      <c r="AB776" t="str">
        <f t="shared" si="31"/>
        <v>3FC INTERNAZIOANALE</v>
      </c>
      <c r="AC776" t="str">
        <f>_xlfn.CONCAT(Tabella1[[#This Row],[Ruolo]],Tabella1[[#This Row],[Gs]])</f>
        <v>C0</v>
      </c>
    </row>
    <row r="777" spans="1:29" hidden="1" x14ac:dyDescent="0.3">
      <c r="A777" s="14">
        <v>46270</v>
      </c>
      <c r="B777" s="15">
        <v>3</v>
      </c>
      <c r="C777" s="321" t="str">
        <f>_xlfn.XLOOKUP(Tabella1[[#This Row],[Nome]],Tabella4[NOME],Tabella4[SQUADRA],"")</f>
        <v>Monza</v>
      </c>
      <c r="D777" s="330" t="s">
        <v>162</v>
      </c>
      <c r="E777" s="330" t="s">
        <v>855</v>
      </c>
      <c r="F777" s="331">
        <v>5.5</v>
      </c>
      <c r="G777" s="332">
        <v>0</v>
      </c>
      <c r="H777" s="332">
        <v>0</v>
      </c>
      <c r="I777" s="332">
        <v>0</v>
      </c>
      <c r="J777" s="332">
        <v>0</v>
      </c>
      <c r="K777" s="332">
        <v>0</v>
      </c>
      <c r="L777" s="332">
        <v>0</v>
      </c>
      <c r="M777" s="332">
        <v>0</v>
      </c>
      <c r="N777" s="332">
        <v>0</v>
      </c>
      <c r="O777" s="332">
        <v>0</v>
      </c>
      <c r="P777" s="284"/>
      <c r="Q777" s="284">
        <f t="shared" si="30"/>
        <v>0</v>
      </c>
      <c r="R777" s="3" t="str">
        <f>_xlfn.IFNA(VLOOKUP(Tabella1[[#This Row],[Nome]],'ROSE SQUADRE'!$N$3:$O$260,2,0),"")</f>
        <v/>
      </c>
      <c r="S777" s="193">
        <f>SUM(Tabella1[[#This Row],[Gf]],Tabella1[[#This Row],[Rf]])</f>
        <v>0</v>
      </c>
      <c r="T777" s="193"/>
      <c r="U777" s="285" t="str">
        <f>IF(Tabella1[[#This Row],[N° FantaTit]]="","",Tabella1[[#This Row],[fanta voto]])</f>
        <v/>
      </c>
      <c r="V777" s="193">
        <f>SUM(Tabella1[[#This Row],[Voto]],(G777*3),Q777,P777,O777,-(N777),(-M777/2),(-L777*2),(-H777),(I777*3),(-J777*3),(K777*3))</f>
        <v>5.5</v>
      </c>
      <c r="W777" s="193"/>
      <c r="X777" s="193" t="str">
        <f>IF(Tabella1[[#This Row],[Best 11]]=1,Tabella1[[#This Row],[fanta voto]],"")</f>
        <v/>
      </c>
      <c r="Z777" s="193" t="str">
        <f>IF(Tabella1[[#This Row],[Best 11 MOD]]=1,Tabella1[[#This Row],[fanta voto]],"")</f>
        <v/>
      </c>
      <c r="AA777" t="str">
        <f>CONCATENATE(Tabella1[[#This Row],[GG]],Tabella1[[#This Row],[Nome]])</f>
        <v>3Forson O.</v>
      </c>
      <c r="AB777" t="str">
        <f t="shared" si="31"/>
        <v>3</v>
      </c>
      <c r="AC777" t="str">
        <f>_xlfn.CONCAT(Tabella1[[#This Row],[Ruolo]],Tabella1[[#This Row],[Gs]])</f>
        <v>C0</v>
      </c>
    </row>
    <row r="778" spans="1:29" hidden="1" x14ac:dyDescent="0.3">
      <c r="A778" s="14">
        <v>46270</v>
      </c>
      <c r="B778" s="15">
        <v>3</v>
      </c>
      <c r="C778" s="321" t="str">
        <f>_xlfn.XLOOKUP(Tabella1[[#This Row],[Nome]],Tabella4[NOME],Tabella4[SQUADRA],"")</f>
        <v>Monza</v>
      </c>
      <c r="D778" t="s">
        <v>162</v>
      </c>
      <c r="E778" t="s">
        <v>865</v>
      </c>
      <c r="F778" s="194">
        <v>5.5</v>
      </c>
      <c r="G778" s="328">
        <v>0</v>
      </c>
      <c r="H778" s="328">
        <v>0</v>
      </c>
      <c r="I778" s="328">
        <v>0</v>
      </c>
      <c r="J778" s="328">
        <v>0</v>
      </c>
      <c r="K778" s="328">
        <v>0</v>
      </c>
      <c r="L778" s="328">
        <v>0</v>
      </c>
      <c r="M778" s="329">
        <v>1</v>
      </c>
      <c r="N778" s="328">
        <v>0</v>
      </c>
      <c r="O778" s="328">
        <v>0</v>
      </c>
      <c r="P778" s="284"/>
      <c r="Q778" s="284">
        <f t="shared" si="30"/>
        <v>0</v>
      </c>
      <c r="R778" s="3" t="str">
        <f>_xlfn.IFNA(VLOOKUP(Tabella1[[#This Row],[Nome]],'ROSE SQUADRE'!$N$3:$O$260,2,0),"")</f>
        <v/>
      </c>
      <c r="S778" s="193">
        <f>SUM(Tabella1[[#This Row],[Gf]],Tabella1[[#This Row],[Rf]])</f>
        <v>0</v>
      </c>
      <c r="T778" s="193"/>
      <c r="U778" s="285" t="str">
        <f>IF(Tabella1[[#This Row],[N° FantaTit]]="","",Tabella1[[#This Row],[fanta voto]])</f>
        <v/>
      </c>
      <c r="V778" s="193">
        <f>SUM(Tabella1[[#This Row],[Voto]],(G778*3),Q778,P778,O778,-(N778),(-M778/2),(-L778*2),(-H778),(I778*3),(-J778*3),(K778*3))</f>
        <v>5</v>
      </c>
      <c r="W778" s="193"/>
      <c r="X778" s="193" t="str">
        <f>IF(Tabella1[[#This Row],[Best 11]]=1,Tabella1[[#This Row],[fanta voto]],"")</f>
        <v/>
      </c>
      <c r="Z778" s="193" t="str">
        <f>IF(Tabella1[[#This Row],[Best 11 MOD]]=1,Tabella1[[#This Row],[fanta voto]],"")</f>
        <v/>
      </c>
      <c r="AA778" t="str">
        <f>CONCATENATE(Tabella1[[#This Row],[GG]],Tabella1[[#This Row],[Nome]])</f>
        <v>3Folorunsho</v>
      </c>
      <c r="AB778" t="str">
        <f t="shared" si="31"/>
        <v>3</v>
      </c>
      <c r="AC778" t="str">
        <f>_xlfn.CONCAT(Tabella1[[#This Row],[Ruolo]],Tabella1[[#This Row],[Gs]])</f>
        <v>C0</v>
      </c>
    </row>
    <row r="779" spans="1:29" hidden="1" x14ac:dyDescent="0.3">
      <c r="A779" s="14">
        <v>46270</v>
      </c>
      <c r="B779" s="15">
        <v>3</v>
      </c>
      <c r="C779" s="321" t="str">
        <f>_xlfn.XLOOKUP(Tabella1[[#This Row],[Nome]],Tabella4[NOME],Tabella4[SQUADRA],"")</f>
        <v>Lazio</v>
      </c>
      <c r="D779" t="s">
        <v>161</v>
      </c>
      <c r="E779" t="s">
        <v>800</v>
      </c>
      <c r="F779" s="194">
        <v>5.5</v>
      </c>
      <c r="G779" s="328">
        <v>0</v>
      </c>
      <c r="H779" s="328">
        <v>0</v>
      </c>
      <c r="I779" s="328">
        <v>0</v>
      </c>
      <c r="J779" s="328">
        <v>0</v>
      </c>
      <c r="K779" s="328">
        <v>0</v>
      </c>
      <c r="L779" s="328">
        <v>0</v>
      </c>
      <c r="M779" s="328">
        <v>0</v>
      </c>
      <c r="N779" s="328">
        <v>0</v>
      </c>
      <c r="O779" s="328">
        <v>0</v>
      </c>
      <c r="P779" s="284"/>
      <c r="Q779" s="284">
        <f t="shared" si="30"/>
        <v>0</v>
      </c>
      <c r="R779" s="3" t="str">
        <f>_xlfn.IFNA(VLOOKUP(Tabella1[[#This Row],[Nome]],'ROSE SQUADRE'!$N$3:$O$260,2,0),"")</f>
        <v/>
      </c>
      <c r="S779" s="193">
        <f>SUM(Tabella1[[#This Row],[Gf]],Tabella1[[#This Row],[Rf]])</f>
        <v>0</v>
      </c>
      <c r="T779" s="193"/>
      <c r="U779" s="285" t="str">
        <f>IF(Tabella1[[#This Row],[N° FantaTit]]="","",Tabella1[[#This Row],[fanta voto]])</f>
        <v/>
      </c>
      <c r="V779" s="193">
        <f>SUM(Tabella1[[#This Row],[Voto]],(G779*3),Q779,P779,O779,-(N779),(-M779/2),(-L779*2),(-H779),(I779*3),(-J779*3),(K779*3))</f>
        <v>5.5</v>
      </c>
      <c r="W779" s="193"/>
      <c r="X779" s="193" t="str">
        <f>IF(Tabella1[[#This Row],[Best 11]]=1,Tabella1[[#This Row],[fanta voto]],"")</f>
        <v/>
      </c>
      <c r="Z779" s="193" t="str">
        <f>IF(Tabella1[[#This Row],[Best 11 MOD]]=1,Tabella1[[#This Row],[fanta voto]],"")</f>
        <v/>
      </c>
      <c r="AA779" t="str">
        <f>CONCATENATE(Tabella1[[#This Row],[GG]],Tabella1[[#This Row],[Nome]])</f>
        <v>3Floriani Mussolini</v>
      </c>
      <c r="AB779" t="str">
        <f t="shared" si="31"/>
        <v>3</v>
      </c>
      <c r="AC779" t="str">
        <f>_xlfn.CONCAT(Tabella1[[#This Row],[Ruolo]],Tabella1[[#This Row],[Gs]])</f>
        <v>D0</v>
      </c>
    </row>
    <row r="780" spans="1:29" hidden="1" x14ac:dyDescent="0.3">
      <c r="A780" s="14">
        <v>46270</v>
      </c>
      <c r="B780" s="15">
        <v>3</v>
      </c>
      <c r="C780" s="321" t="str">
        <f>_xlfn.XLOOKUP(Tabella1[[#This Row],[Nome]],Tabella4[NOME],Tabella4[SQUADRA],"")</f>
        <v>Torino</v>
      </c>
      <c r="D780" t="s">
        <v>162</v>
      </c>
      <c r="E780" t="s">
        <v>944</v>
      </c>
      <c r="F780" s="194">
        <v>6.5</v>
      </c>
      <c r="G780" s="328">
        <v>0</v>
      </c>
      <c r="H780" s="328">
        <v>0</v>
      </c>
      <c r="I780" s="328">
        <v>0</v>
      </c>
      <c r="J780" s="328">
        <v>0</v>
      </c>
      <c r="K780" s="328">
        <v>0</v>
      </c>
      <c r="L780" s="328">
        <v>0</v>
      </c>
      <c r="M780" s="328">
        <v>0</v>
      </c>
      <c r="N780" s="328">
        <v>0</v>
      </c>
      <c r="O780" s="328">
        <v>0</v>
      </c>
      <c r="P780" s="284"/>
      <c r="Q780" s="284">
        <f t="shared" si="30"/>
        <v>0</v>
      </c>
      <c r="R780" s="3" t="str">
        <f>_xlfn.IFNA(VLOOKUP(Tabella1[[#This Row],[Nome]],'ROSE SQUADRE'!$N$3:$O$260,2,0),"")</f>
        <v/>
      </c>
      <c r="S780" s="193">
        <f>SUM(Tabella1[[#This Row],[Gf]],Tabella1[[#This Row],[Rf]])</f>
        <v>0</v>
      </c>
      <c r="T780" s="193"/>
      <c r="U780" s="285" t="str">
        <f>IF(Tabella1[[#This Row],[N° FantaTit]]="","",Tabella1[[#This Row],[fanta voto]])</f>
        <v/>
      </c>
      <c r="V780" s="193">
        <f>SUM(Tabella1[[#This Row],[Voto]],(G780*3),Q780,P780,O780,-(N780),(-M780/2),(-L780*2),(-H780),(I780*3),(-J780*3),(K780*3))</f>
        <v>6.5</v>
      </c>
      <c r="W780" s="193"/>
      <c r="X780" s="193" t="str">
        <f>IF(Tabella1[[#This Row],[Best 11]]=1,Tabella1[[#This Row],[fanta voto]],"")</f>
        <v/>
      </c>
      <c r="Z780" s="193" t="str">
        <f>IF(Tabella1[[#This Row],[Best 11 MOD]]=1,Tabella1[[#This Row],[fanta voto]],"")</f>
        <v/>
      </c>
      <c r="AA780" t="str">
        <f>CONCATENATE(Tabella1[[#This Row],[GG]],Tabella1[[#This Row],[Nome]])</f>
        <v>3Fitz-Jim</v>
      </c>
      <c r="AB780" t="str">
        <f t="shared" si="31"/>
        <v>3</v>
      </c>
      <c r="AC780" t="str">
        <f>_xlfn.CONCAT(Tabella1[[#This Row],[Ruolo]],Tabella1[[#This Row],[Gs]])</f>
        <v>C0</v>
      </c>
    </row>
    <row r="781" spans="1:29" hidden="1" x14ac:dyDescent="0.3">
      <c r="A781" s="14">
        <v>46270</v>
      </c>
      <c r="B781" s="15">
        <v>3</v>
      </c>
      <c r="C781" s="321" t="str">
        <f>_xlfn.XLOOKUP(Tabella1[[#This Row],[Nome]],Tabella4[NOME],Tabella4[SQUADRA],"")</f>
        <v>Frosinone</v>
      </c>
      <c r="D781" t="s">
        <v>162</v>
      </c>
      <c r="E781" t="s">
        <v>737</v>
      </c>
      <c r="F781" s="194">
        <v>6</v>
      </c>
      <c r="G781" s="328">
        <v>0</v>
      </c>
      <c r="H781" s="328">
        <v>0</v>
      </c>
      <c r="I781" s="328">
        <v>0</v>
      </c>
      <c r="J781" s="328">
        <v>0</v>
      </c>
      <c r="K781" s="328">
        <v>0</v>
      </c>
      <c r="L781" s="328">
        <v>0</v>
      </c>
      <c r="M781" s="328">
        <v>0</v>
      </c>
      <c r="N781" s="328">
        <v>0</v>
      </c>
      <c r="O781" s="328">
        <v>0</v>
      </c>
      <c r="P781" s="284"/>
      <c r="Q781" s="284">
        <f t="shared" si="30"/>
        <v>0</v>
      </c>
      <c r="R781" s="3" t="str">
        <f>_xlfn.IFNA(VLOOKUP(Tabella1[[#This Row],[Nome]],'ROSE SQUADRE'!$N$3:$O$260,2,0),"")</f>
        <v/>
      </c>
      <c r="S781" s="193">
        <f>SUM(Tabella1[[#This Row],[Gf]],Tabella1[[#This Row],[Rf]])</f>
        <v>0</v>
      </c>
      <c r="T781" s="193"/>
      <c r="U781" s="285" t="str">
        <f>IF(Tabella1[[#This Row],[N° FantaTit]]="","",Tabella1[[#This Row],[fanta voto]])</f>
        <v/>
      </c>
      <c r="V781" s="193">
        <f>SUM(Tabella1[[#This Row],[Voto]],(G781*3),Q781,P781,O781,-(N781),(-M781/2),(-L781*2),(-H781),(I781*3),(-J781*3),(K781*3))</f>
        <v>6</v>
      </c>
      <c r="W781" s="193"/>
      <c r="X781" s="193" t="str">
        <f>IF(Tabella1[[#This Row],[Best 11]]=1,Tabella1[[#This Row],[fanta voto]],"")</f>
        <v/>
      </c>
      <c r="Z781" s="193" t="str">
        <f>IF(Tabella1[[#This Row],[Best 11 MOD]]=1,Tabella1[[#This Row],[fanta voto]],"")</f>
        <v/>
      </c>
      <c r="AA781" t="str">
        <f>CONCATENATE(Tabella1[[#This Row],[GG]],Tabella1[[#This Row],[Nome]])</f>
        <v xml:space="preserve">3Fini </v>
      </c>
      <c r="AB781" t="str">
        <f t="shared" si="31"/>
        <v>3</v>
      </c>
      <c r="AC781" t="str">
        <f>_xlfn.CONCAT(Tabella1[[#This Row],[Ruolo]],Tabella1[[#This Row],[Gs]])</f>
        <v>C0</v>
      </c>
    </row>
    <row r="782" spans="1:29" hidden="1" x14ac:dyDescent="0.3">
      <c r="A782" s="14">
        <v>46270</v>
      </c>
      <c r="B782" s="15">
        <v>3</v>
      </c>
      <c r="C782" s="321" t="str">
        <f>_xlfn.XLOOKUP(Tabella1[[#This Row],[Nome]],Tabella4[NOME],Tabella4[SQUADRA],"")</f>
        <v>Venezia</v>
      </c>
      <c r="D782" s="330" t="s">
        <v>162</v>
      </c>
      <c r="E782" s="330" t="s">
        <v>1059</v>
      </c>
      <c r="F782" s="331">
        <v>6</v>
      </c>
      <c r="G782" s="332">
        <v>0</v>
      </c>
      <c r="H782" s="332">
        <v>0</v>
      </c>
      <c r="I782" s="332">
        <v>0</v>
      </c>
      <c r="J782" s="332">
        <v>0</v>
      </c>
      <c r="K782" s="332">
        <v>0</v>
      </c>
      <c r="L782" s="332">
        <v>0</v>
      </c>
      <c r="M782" s="332">
        <v>0</v>
      </c>
      <c r="N782" s="332">
        <v>0</v>
      </c>
      <c r="O782" s="332">
        <v>0</v>
      </c>
      <c r="P782" s="284"/>
      <c r="Q782" s="284">
        <f t="shared" si="30"/>
        <v>0</v>
      </c>
      <c r="R782" s="3" t="str">
        <f>_xlfn.IFNA(VLOOKUP(Tabella1[[#This Row],[Nome]],'ROSE SQUADRE'!$N$3:$O$260,2,0),"")</f>
        <v/>
      </c>
      <c r="S782" s="193">
        <f>SUM(Tabella1[[#This Row],[Gf]],Tabella1[[#This Row],[Rf]])</f>
        <v>0</v>
      </c>
      <c r="T782" s="193"/>
      <c r="U782" s="285" t="str">
        <f>IF(Tabella1[[#This Row],[N° FantaTit]]="","",Tabella1[[#This Row],[fanta voto]])</f>
        <v/>
      </c>
      <c r="V782" s="193">
        <f>SUM(Tabella1[[#This Row],[Voto]],(G782*3),Q782,P782,O782,-(N782),(-M782/2),(-L782*2),(-H782),(I782*3),(-J782*3),(K782*3))</f>
        <v>6</v>
      </c>
      <c r="W782" s="193"/>
      <c r="X782" s="193" t="str">
        <f>IF(Tabella1[[#This Row],[Best 11]]=1,Tabella1[[#This Row],[fanta voto]],"")</f>
        <v/>
      </c>
      <c r="Z782" s="193" t="str">
        <f>IF(Tabella1[[#This Row],[Best 11 MOD]]=1,Tabella1[[#This Row],[fanta voto]],"")</f>
        <v/>
      </c>
      <c r="AA782" t="str">
        <f>CONCATENATE(Tabella1[[#This Row],[GG]],Tabella1[[#This Row],[Nome]])</f>
        <v>3Fernandez T.</v>
      </c>
      <c r="AB782" t="str">
        <f t="shared" si="31"/>
        <v>3</v>
      </c>
      <c r="AC782" t="str">
        <f>_xlfn.CONCAT(Tabella1[[#This Row],[Ruolo]],Tabella1[[#This Row],[Gs]])</f>
        <v>C0</v>
      </c>
    </row>
    <row r="783" spans="1:29" hidden="1" x14ac:dyDescent="0.3">
      <c r="A783" s="14">
        <v>46270</v>
      </c>
      <c r="B783" s="15">
        <v>3</v>
      </c>
      <c r="C783" s="321" t="str">
        <f>_xlfn.XLOOKUP(Tabella1[[#This Row],[Nome]],Tabella4[NOME],Tabella4[SQUADRA],"")</f>
        <v>Bologna</v>
      </c>
      <c r="D783" s="330" t="s">
        <v>162</v>
      </c>
      <c r="E783" s="330" t="s">
        <v>658</v>
      </c>
      <c r="F783" s="331">
        <v>6</v>
      </c>
      <c r="G783" s="332">
        <v>0</v>
      </c>
      <c r="H783" s="332">
        <v>0</v>
      </c>
      <c r="I783" s="332">
        <v>0</v>
      </c>
      <c r="J783" s="332">
        <v>0</v>
      </c>
      <c r="K783" s="332">
        <v>0</v>
      </c>
      <c r="L783" s="332">
        <v>0</v>
      </c>
      <c r="M783" s="332">
        <v>0</v>
      </c>
      <c r="N783" s="332">
        <v>0</v>
      </c>
      <c r="O783" s="332">
        <v>0</v>
      </c>
      <c r="P783" s="284"/>
      <c r="Q783" s="284">
        <f t="shared" si="30"/>
        <v>0</v>
      </c>
      <c r="R783" s="3" t="str">
        <f>_xlfn.IFNA(VLOOKUP(Tabella1[[#This Row],[Nome]],'ROSE SQUADRE'!$N$3:$O$260,2,0),"")</f>
        <v/>
      </c>
      <c r="S783" s="193">
        <f>SUM(Tabella1[[#This Row],[Gf]],Tabella1[[#This Row],[Rf]])</f>
        <v>0</v>
      </c>
      <c r="T783" s="193"/>
      <c r="U783" s="285" t="str">
        <f>IF(Tabella1[[#This Row],[N° FantaTit]]="","",Tabella1[[#This Row],[fanta voto]])</f>
        <v/>
      </c>
      <c r="V783" s="193">
        <f>SUM(Tabella1[[#This Row],[Voto]],(G783*3),Q783,P783,O783,-(N783),(-M783/2),(-L783*2),(-H783),(I783*3),(-J783*3),(K783*3))</f>
        <v>6</v>
      </c>
      <c r="W783" s="193"/>
      <c r="X783" s="193" t="str">
        <f>IF(Tabella1[[#This Row],[Best 11]]=1,Tabella1[[#This Row],[fanta voto]],"")</f>
        <v/>
      </c>
      <c r="Z783" s="193" t="str">
        <f>IF(Tabella1[[#This Row],[Best 11 MOD]]=1,Tabella1[[#This Row],[fanta voto]],"")</f>
        <v/>
      </c>
      <c r="AA783" t="str">
        <f>CONCATENATE(Tabella1[[#This Row],[GG]],Tabella1[[#This Row],[Nome]])</f>
        <v>3Ferguson</v>
      </c>
      <c r="AB783" t="str">
        <f t="shared" si="31"/>
        <v>3</v>
      </c>
      <c r="AC783" t="str">
        <f>_xlfn.CONCAT(Tabella1[[#This Row],[Ruolo]],Tabella1[[#This Row],[Gs]])</f>
        <v>C0</v>
      </c>
    </row>
    <row r="784" spans="1:29" hidden="1" x14ac:dyDescent="0.3">
      <c r="A784" s="14">
        <v>46270</v>
      </c>
      <c r="B784" s="15">
        <v>3</v>
      </c>
      <c r="C784" s="321" t="str">
        <f>_xlfn.XLOOKUP(Tabella1[[#This Row],[Nome]],Tabella4[NOME],Tabella4[SQUADRA],"")</f>
        <v>Cagliari</v>
      </c>
      <c r="D784" s="330" t="s">
        <v>162</v>
      </c>
      <c r="E784" s="330" t="s">
        <v>352</v>
      </c>
      <c r="F784" s="331">
        <v>7</v>
      </c>
      <c r="G784" s="332">
        <v>0</v>
      </c>
      <c r="H784" s="332">
        <v>0</v>
      </c>
      <c r="I784" s="332">
        <v>0</v>
      </c>
      <c r="J784" s="332">
        <v>0</v>
      </c>
      <c r="K784" s="332">
        <v>0</v>
      </c>
      <c r="L784" s="332">
        <v>0</v>
      </c>
      <c r="M784" s="332">
        <v>0</v>
      </c>
      <c r="N784" s="332">
        <v>0</v>
      </c>
      <c r="O784" s="333">
        <v>1</v>
      </c>
      <c r="P784" s="284"/>
      <c r="Q784" s="284">
        <f t="shared" si="30"/>
        <v>0</v>
      </c>
      <c r="R784" s="3" t="str">
        <f>_xlfn.IFNA(VLOOKUP(Tabella1[[#This Row],[Nome]],'ROSE SQUADRE'!$N$3:$O$260,2,0),"")</f>
        <v>FC INTERNAZIOANALE</v>
      </c>
      <c r="S784" s="193">
        <f>SUM(Tabella1[[#This Row],[Gf]],Tabella1[[#This Row],[Rf]])</f>
        <v>0</v>
      </c>
      <c r="T784" s="193">
        <v>1</v>
      </c>
      <c r="U784" s="285">
        <f>IF(Tabella1[[#This Row],[N° FantaTit]]="","",Tabella1[[#This Row],[fanta voto]])</f>
        <v>8</v>
      </c>
      <c r="V784" s="193">
        <f>SUM(Tabella1[[#This Row],[Voto]],(G784*3),Q784,P784,O784,-(N784),(-M784/2),(-L784*2),(-H784),(I784*3),(-J784*3),(K784*3))</f>
        <v>8</v>
      </c>
      <c r="W784" s="193">
        <v>1</v>
      </c>
      <c r="X784" s="193">
        <f>IF(Tabella1[[#This Row],[Best 11]]=1,Tabella1[[#This Row],[fanta voto]],"")</f>
        <v>8</v>
      </c>
      <c r="Y784">
        <v>1</v>
      </c>
      <c r="Z784" s="193">
        <f>IF(Tabella1[[#This Row],[Best 11 MOD]]=1,Tabella1[[#This Row],[fanta voto]],"")</f>
        <v>8</v>
      </c>
      <c r="AA784" t="str">
        <f>CONCATENATE(Tabella1[[#This Row],[GG]],Tabella1[[#This Row],[Nome]])</f>
        <v>3Fazzini</v>
      </c>
      <c r="AB784" t="str">
        <f t="shared" si="31"/>
        <v>3FC INTERNAZIOANALE1</v>
      </c>
      <c r="AC784" t="str">
        <f>_xlfn.CONCAT(Tabella1[[#This Row],[Ruolo]],Tabella1[[#This Row],[Gs]])</f>
        <v>C0</v>
      </c>
    </row>
    <row r="785" spans="1:29" hidden="1" x14ac:dyDescent="0.3">
      <c r="A785" s="14">
        <v>46270</v>
      </c>
      <c r="B785" s="15">
        <v>3</v>
      </c>
      <c r="C785" s="321" t="str">
        <f>_xlfn.XLOOKUP(Tabella1[[#This Row],[Nome]],Tabella4[NOME],Tabella4[SQUADRA],"")</f>
        <v>Lecce</v>
      </c>
      <c r="D785" t="s">
        <v>163</v>
      </c>
      <c r="E785" t="s">
        <v>1017</v>
      </c>
      <c r="F785" s="194">
        <v>5.5</v>
      </c>
      <c r="G785" s="328">
        <v>0</v>
      </c>
      <c r="H785" s="328">
        <v>0</v>
      </c>
      <c r="I785" s="328">
        <v>0</v>
      </c>
      <c r="J785" s="328">
        <v>0</v>
      </c>
      <c r="K785" s="328">
        <v>0</v>
      </c>
      <c r="L785" s="328">
        <v>0</v>
      </c>
      <c r="M785" s="328">
        <v>0</v>
      </c>
      <c r="N785" s="328">
        <v>0</v>
      </c>
      <c r="O785" s="328">
        <v>0</v>
      </c>
      <c r="P785" s="284"/>
      <c r="Q785" s="284">
        <f t="shared" si="30"/>
        <v>0</v>
      </c>
      <c r="R785" s="3" t="str">
        <f>_xlfn.IFNA(VLOOKUP(Tabella1[[#This Row],[Nome]],'ROSE SQUADRE'!$N$3:$O$260,2,0),"")</f>
        <v/>
      </c>
      <c r="S785" s="193">
        <f>SUM(Tabella1[[#This Row],[Gf]],Tabella1[[#This Row],[Rf]])</f>
        <v>0</v>
      </c>
      <c r="T785" s="193"/>
      <c r="U785" s="285" t="str">
        <f>IF(Tabella1[[#This Row],[N° FantaTit]]="","",Tabella1[[#This Row],[fanta voto]])</f>
        <v/>
      </c>
      <c r="V785" s="193">
        <f>SUM(Tabella1[[#This Row],[Voto]],(G785*3),Q785,P785,O785,-(N785),(-M785/2),(-L785*2),(-H785),(I785*3),(-J785*3),(K785*3))</f>
        <v>5.5</v>
      </c>
      <c r="W785" s="193"/>
      <c r="X785" s="193" t="str">
        <f>IF(Tabella1[[#This Row],[Best 11]]=1,Tabella1[[#This Row],[fanta voto]],"")</f>
        <v/>
      </c>
      <c r="Z785" s="193" t="str">
        <f>IF(Tabella1[[#This Row],[Best 11 MOD]]=1,Tabella1[[#This Row],[fanta voto]],"")</f>
        <v/>
      </c>
      <c r="AA785" t="str">
        <f>CONCATENATE(Tabella1[[#This Row],[GG]],Tabella1[[#This Row],[Nome]])</f>
        <v>3Fatah</v>
      </c>
      <c r="AB785" t="str">
        <f t="shared" si="31"/>
        <v>3</v>
      </c>
      <c r="AC785" t="str">
        <f>_xlfn.CONCAT(Tabella1[[#This Row],[Ruolo]],Tabella1[[#This Row],[Gs]])</f>
        <v>A0</v>
      </c>
    </row>
    <row r="786" spans="1:29" hidden="1" x14ac:dyDescent="0.3">
      <c r="A786" s="14">
        <v>46270</v>
      </c>
      <c r="B786" s="15">
        <v>3</v>
      </c>
      <c r="C786" s="321" t="str">
        <f>_xlfn.XLOOKUP(Tabella1[[#This Row],[Nome]],Tabella4[NOME],Tabella4[SQUADRA],"")</f>
        <v>Cagliari</v>
      </c>
      <c r="D786" t="s">
        <v>162</v>
      </c>
      <c r="E786" t="s">
        <v>673</v>
      </c>
      <c r="F786" s="194">
        <v>6.5</v>
      </c>
      <c r="G786" s="328">
        <v>0</v>
      </c>
      <c r="H786" s="328">
        <v>0</v>
      </c>
      <c r="I786" s="328">
        <v>0</v>
      </c>
      <c r="J786" s="328">
        <v>0</v>
      </c>
      <c r="K786" s="328">
        <v>0</v>
      </c>
      <c r="L786" s="328">
        <v>0</v>
      </c>
      <c r="M786" s="328">
        <v>0</v>
      </c>
      <c r="N786" s="328">
        <v>0</v>
      </c>
      <c r="O786" s="328">
        <v>0</v>
      </c>
      <c r="P786" s="284"/>
      <c r="Q786" s="284">
        <f t="shared" si="30"/>
        <v>0</v>
      </c>
      <c r="R786" s="3" t="str">
        <f>_xlfn.IFNA(VLOOKUP(Tabella1[[#This Row],[Nome]],'ROSE SQUADRE'!$N$3:$O$260,2,0),"")</f>
        <v>PARTIZAN DEGRADO</v>
      </c>
      <c r="S786" s="193">
        <f>SUM(Tabella1[[#This Row],[Gf]],Tabella1[[#This Row],[Rf]])</f>
        <v>0</v>
      </c>
      <c r="T786" s="193">
        <v>1</v>
      </c>
      <c r="U786" s="285">
        <f>IF(Tabella1[[#This Row],[N° FantaTit]]="","",Tabella1[[#This Row],[fanta voto]])</f>
        <v>6.5</v>
      </c>
      <c r="V786" s="193">
        <f>SUM(Tabella1[[#This Row],[Voto]],(G786*3),Q786,P786,O786,-(N786),(-M786/2),(-L786*2),(-H786),(I786*3),(-J786*3),(K786*3))</f>
        <v>6.5</v>
      </c>
      <c r="W786" s="193">
        <v>1</v>
      </c>
      <c r="X786" s="193">
        <f>IF(Tabella1[[#This Row],[Best 11]]=1,Tabella1[[#This Row],[fanta voto]],"")</f>
        <v>6.5</v>
      </c>
      <c r="Y786">
        <v>1</v>
      </c>
      <c r="Z786" s="193">
        <f>IF(Tabella1[[#This Row],[Best 11 MOD]]=1,Tabella1[[#This Row],[fanta voto]],"")</f>
        <v>6.5</v>
      </c>
      <c r="AA786" t="str">
        <f>CONCATENATE(Tabella1[[#This Row],[GG]],Tabella1[[#This Row],[Nome]])</f>
        <v>3Romano</v>
      </c>
      <c r="AB786" t="str">
        <f t="shared" si="31"/>
        <v>3PARTIZAN DEGRADO1</v>
      </c>
      <c r="AC786" t="str">
        <f>_xlfn.CONCAT(Tabella1[[#This Row],[Ruolo]],Tabella1[[#This Row],[Gs]])</f>
        <v>C0</v>
      </c>
    </row>
    <row r="787" spans="1:29" hidden="1" x14ac:dyDescent="0.3">
      <c r="A787" s="14">
        <v>46270</v>
      </c>
      <c r="B787" s="15">
        <v>3</v>
      </c>
      <c r="C787" s="321" t="str">
        <f>_xlfn.XLOOKUP(Tabella1[[#This Row],[Nome]],Tabella4[NOME],Tabella4[SQUADRA],"")</f>
        <v>Fiorentina</v>
      </c>
      <c r="D787" s="330" t="s">
        <v>162</v>
      </c>
      <c r="E787" s="330" t="s">
        <v>342</v>
      </c>
      <c r="F787" s="331">
        <v>5.5</v>
      </c>
      <c r="G787" s="332">
        <v>0</v>
      </c>
      <c r="H787" s="332">
        <v>0</v>
      </c>
      <c r="I787" s="332">
        <v>0</v>
      </c>
      <c r="J787" s="332">
        <v>0</v>
      </c>
      <c r="K787" s="332">
        <v>0</v>
      </c>
      <c r="L787" s="332">
        <v>0</v>
      </c>
      <c r="M787" s="332">
        <v>0</v>
      </c>
      <c r="N787" s="332">
        <v>0</v>
      </c>
      <c r="O787" s="332">
        <v>0</v>
      </c>
      <c r="P787" s="284"/>
      <c r="Q787" s="284">
        <f t="shared" si="30"/>
        <v>0</v>
      </c>
      <c r="R787" s="3" t="str">
        <f>_xlfn.IFNA(VLOOKUP(Tabella1[[#This Row],[Nome]],'ROSE SQUADRE'!$N$3:$O$260,2,0),"")</f>
        <v/>
      </c>
      <c r="S787" s="193">
        <f>SUM(Tabella1[[#This Row],[Gf]],Tabella1[[#This Row],[Rf]])</f>
        <v>0</v>
      </c>
      <c r="T787" s="193"/>
      <c r="U787" s="285" t="str">
        <f>IF(Tabella1[[#This Row],[N° FantaTit]]="","",Tabella1[[#This Row],[fanta voto]])</f>
        <v/>
      </c>
      <c r="V787" s="193">
        <f>SUM(Tabella1[[#This Row],[Voto]],(G787*3),Q787,P787,O787,-(N787),(-M787/2),(-L787*2),(-H787),(I787*3),(-J787*3),(K787*3))</f>
        <v>5.5</v>
      </c>
      <c r="W787" s="193"/>
      <c r="X787" s="193" t="str">
        <f>IF(Tabella1[[#This Row],[Best 11]]=1,Tabella1[[#This Row],[fanta voto]],"")</f>
        <v/>
      </c>
      <c r="Z787" s="193" t="str">
        <f>IF(Tabella1[[#This Row],[Best 11 MOD]]=1,Tabella1[[#This Row],[fanta voto]],"")</f>
        <v/>
      </c>
      <c r="AA787" t="str">
        <f>CONCATENATE(Tabella1[[#This Row],[GG]],Tabella1[[#This Row],[Nome]])</f>
        <v>3Fagioli</v>
      </c>
      <c r="AB787" t="str">
        <f t="shared" si="31"/>
        <v>3</v>
      </c>
      <c r="AC787" t="str">
        <f>_xlfn.CONCAT(Tabella1[[#This Row],[Ruolo]],Tabella1[[#This Row],[Gs]])</f>
        <v>C0</v>
      </c>
    </row>
    <row r="788" spans="1:29" hidden="1" x14ac:dyDescent="0.3">
      <c r="A788" s="14">
        <v>46270</v>
      </c>
      <c r="B788" s="15">
        <v>3</v>
      </c>
      <c r="C788" s="321" t="str">
        <f>_xlfn.XLOOKUP(Tabella1[[#This Row],[Nome]],Tabella4[NOME],Tabella4[SQUADRA],"")</f>
        <v>Cagliari</v>
      </c>
      <c r="D788" s="330" t="s">
        <v>162</v>
      </c>
      <c r="E788" s="330" t="s">
        <v>695</v>
      </c>
      <c r="F788" s="331">
        <v>6</v>
      </c>
      <c r="G788" s="332">
        <v>0</v>
      </c>
      <c r="H788" s="332">
        <v>0</v>
      </c>
      <c r="I788" s="332">
        <v>0</v>
      </c>
      <c r="J788" s="332">
        <v>0</v>
      </c>
      <c r="K788" s="332">
        <v>0</v>
      </c>
      <c r="L788" s="332">
        <v>0</v>
      </c>
      <c r="M788" s="332">
        <v>0</v>
      </c>
      <c r="N788" s="332">
        <v>0</v>
      </c>
      <c r="O788" s="332">
        <v>0</v>
      </c>
      <c r="P788" s="284"/>
      <c r="Q788" s="284">
        <f t="shared" ref="Q788:Q851" si="32">IF(AC788="P0",1,0)</f>
        <v>0</v>
      </c>
      <c r="R788" s="3" t="str">
        <f>_xlfn.IFNA(VLOOKUP(Tabella1[[#This Row],[Nome]],'ROSE SQUADRE'!$N$3:$O$260,2,0),"")</f>
        <v/>
      </c>
      <c r="S788" s="193">
        <f>SUM(Tabella1[[#This Row],[Gf]],Tabella1[[#This Row],[Rf]])</f>
        <v>0</v>
      </c>
      <c r="T788" s="193"/>
      <c r="U788" s="285" t="str">
        <f>IF(Tabella1[[#This Row],[N° FantaTit]]="","",Tabella1[[#This Row],[fanta voto]])</f>
        <v/>
      </c>
      <c r="V788" s="193">
        <f>SUM(Tabella1[[#This Row],[Voto]],(G788*3),Q788,P788,O788,-(N788),(-M788/2),(-L788*2),(-H788),(I788*3),(-J788*3),(K788*3))</f>
        <v>6</v>
      </c>
      <c r="W788" s="193"/>
      <c r="X788" s="193" t="str">
        <f>IF(Tabella1[[#This Row],[Best 11]]=1,Tabella1[[#This Row],[fanta voto]],"")</f>
        <v/>
      </c>
      <c r="Z788" s="193" t="str">
        <f>IF(Tabella1[[#This Row],[Best 11 MOD]]=1,Tabella1[[#This Row],[fanta voto]],"")</f>
        <v/>
      </c>
      <c r="AA788" t="str">
        <f>CONCATENATE(Tabella1[[#This Row],[GG]],Tabella1[[#This Row],[Nome]])</f>
        <v>3Fadera</v>
      </c>
      <c r="AB788" t="str">
        <f t="shared" ref="AB788:AB851" si="33">CONCATENATE(B788,R788,T788)</f>
        <v>3</v>
      </c>
      <c r="AC788" t="str">
        <f>_xlfn.CONCAT(Tabella1[[#This Row],[Ruolo]],Tabella1[[#This Row],[Gs]])</f>
        <v>C0</v>
      </c>
    </row>
    <row r="789" spans="1:29" hidden="1" x14ac:dyDescent="0.3">
      <c r="A789" s="14">
        <v>46270</v>
      </c>
      <c r="B789" s="15">
        <v>3</v>
      </c>
      <c r="C789" s="321" t="str">
        <f>_xlfn.XLOOKUP(Tabella1[[#This Row],[Nome]],Tabella4[NOME],Tabella4[SQUADRA],"")</f>
        <v>Parma</v>
      </c>
      <c r="D789" t="s">
        <v>162</v>
      </c>
      <c r="E789" t="s">
        <v>452</v>
      </c>
      <c r="F789" s="194">
        <v>5.5</v>
      </c>
      <c r="G789" s="328">
        <v>0</v>
      </c>
      <c r="H789" s="328">
        <v>0</v>
      </c>
      <c r="I789" s="328">
        <v>0</v>
      </c>
      <c r="J789" s="328">
        <v>0</v>
      </c>
      <c r="K789" s="328">
        <v>0</v>
      </c>
      <c r="L789" s="328">
        <v>0</v>
      </c>
      <c r="M789" s="328">
        <v>0</v>
      </c>
      <c r="N789" s="328">
        <v>0</v>
      </c>
      <c r="O789" s="328">
        <v>0</v>
      </c>
      <c r="P789" s="284"/>
      <c r="Q789" s="284">
        <f t="shared" si="32"/>
        <v>0</v>
      </c>
      <c r="R789" s="3" t="str">
        <f>_xlfn.IFNA(VLOOKUP(Tabella1[[#This Row],[Nome]],'ROSE SQUADRE'!$N$3:$O$260,2,0),"")</f>
        <v/>
      </c>
      <c r="S789" s="193">
        <f>SUM(Tabella1[[#This Row],[Gf]],Tabella1[[#This Row],[Rf]])</f>
        <v>0</v>
      </c>
      <c r="T789" s="193"/>
      <c r="U789" s="285" t="str">
        <f>IF(Tabella1[[#This Row],[N° FantaTit]]="","",Tabella1[[#This Row],[fanta voto]])</f>
        <v/>
      </c>
      <c r="V789" s="193">
        <f>SUM(Tabella1[[#This Row],[Voto]],(G789*3),Q789,P789,O789,-(N789),(-M789/2),(-L789*2),(-H789),(I789*3),(-J789*3),(K789*3))</f>
        <v>5.5</v>
      </c>
      <c r="W789" s="193"/>
      <c r="X789" s="193" t="str">
        <f>IF(Tabella1[[#This Row],[Best 11]]=1,Tabella1[[#This Row],[fanta voto]],"")</f>
        <v/>
      </c>
      <c r="Z789" s="193" t="str">
        <f>IF(Tabella1[[#This Row],[Best 11 MOD]]=1,Tabella1[[#This Row],[fanta voto]],"")</f>
        <v/>
      </c>
      <c r="AA789" t="str">
        <f>CONCATENATE(Tabella1[[#This Row],[GG]],Tabella1[[#This Row],[Nome]])</f>
        <v>3Fabbian</v>
      </c>
      <c r="AB789" t="str">
        <f t="shared" si="33"/>
        <v>3</v>
      </c>
      <c r="AC789" t="str">
        <f>_xlfn.CONCAT(Tabella1[[#This Row],[Ruolo]],Tabella1[[#This Row],[Gs]])</f>
        <v>C0</v>
      </c>
    </row>
    <row r="790" spans="1:29" hidden="1" x14ac:dyDescent="0.3">
      <c r="A790" s="14">
        <v>46270</v>
      </c>
      <c r="B790" s="15">
        <v>3</v>
      </c>
      <c r="C790" s="321" t="str">
        <f>_xlfn.XLOOKUP(Tabella1[[#This Row],[Nome]],Tabella4[NOME],Tabella4[SQUADRA],"")</f>
        <v>Inter</v>
      </c>
      <c r="D790" t="s">
        <v>162</v>
      </c>
      <c r="E790" t="s">
        <v>276</v>
      </c>
      <c r="F790" s="194">
        <v>5.5</v>
      </c>
      <c r="G790" s="328">
        <v>0</v>
      </c>
      <c r="H790" s="328">
        <v>0</v>
      </c>
      <c r="I790" s="328">
        <v>0</v>
      </c>
      <c r="J790" s="328">
        <v>0</v>
      </c>
      <c r="K790" s="328">
        <v>0</v>
      </c>
      <c r="L790" s="328">
        <v>0</v>
      </c>
      <c r="M790" s="328">
        <v>0</v>
      </c>
      <c r="N790" s="328">
        <v>0</v>
      </c>
      <c r="O790" s="328">
        <v>0</v>
      </c>
      <c r="P790" s="284"/>
      <c r="Q790" s="284">
        <f t="shared" si="32"/>
        <v>0</v>
      </c>
      <c r="R790" s="3" t="str">
        <f>_xlfn.IFNA(VLOOKUP(Tabella1[[#This Row],[Nome]],'ROSE SQUADRE'!$N$3:$O$260,2,0),"")</f>
        <v>PESCICULINI</v>
      </c>
      <c r="S790" s="193">
        <f>SUM(Tabella1[[#This Row],[Gf]],Tabella1[[#This Row],[Rf]])</f>
        <v>0</v>
      </c>
      <c r="T790" s="193">
        <v>1</v>
      </c>
      <c r="U790" s="285">
        <f>IF(Tabella1[[#This Row],[N° FantaTit]]="","",Tabella1[[#This Row],[fanta voto]])</f>
        <v>5.5</v>
      </c>
      <c r="V790" s="193">
        <f>SUM(Tabella1[[#This Row],[Voto]],(G790*3),Q790,P790,O790,-(N790),(-M790/2),(-L790*2),(-H790),(I790*3),(-J790*3),(K790*3))</f>
        <v>5.5</v>
      </c>
      <c r="W790" s="193">
        <v>1</v>
      </c>
      <c r="X790" s="193">
        <f>IF(Tabella1[[#This Row],[Best 11]]=1,Tabella1[[#This Row],[fanta voto]],"")</f>
        <v>5.5</v>
      </c>
      <c r="Y790">
        <v>1</v>
      </c>
      <c r="Z790" s="193">
        <f>IF(Tabella1[[#This Row],[Best 11 MOD]]=1,Tabella1[[#This Row],[fanta voto]],"")</f>
        <v>5.5</v>
      </c>
      <c r="AA790" t="str">
        <f>CONCATENATE(Tabella1[[#This Row],[GG]],Tabella1[[#This Row],[Nome]])</f>
        <v>3Barella</v>
      </c>
      <c r="AB790" t="str">
        <f t="shared" si="33"/>
        <v>3PESCICULINI1</v>
      </c>
      <c r="AC790" t="str">
        <f>_xlfn.CONCAT(Tabella1[[#This Row],[Ruolo]],Tabella1[[#This Row],[Gs]])</f>
        <v>C0</v>
      </c>
    </row>
    <row r="791" spans="1:29" hidden="1" x14ac:dyDescent="0.3">
      <c r="A791" s="14">
        <v>46270</v>
      </c>
      <c r="B791" s="15">
        <v>3</v>
      </c>
      <c r="C791" s="321" t="str">
        <f>_xlfn.XLOOKUP(Tabella1[[#This Row],[Nome]],Tabella4[NOME],Tabella4[SQUADRA],"")</f>
        <v>Juventus</v>
      </c>
      <c r="D791" s="330" t="s">
        <v>163</v>
      </c>
      <c r="E791" s="330" t="s">
        <v>1044</v>
      </c>
      <c r="F791" s="331">
        <v>6</v>
      </c>
      <c r="G791" s="332">
        <v>0</v>
      </c>
      <c r="H791" s="332">
        <v>0</v>
      </c>
      <c r="I791" s="332">
        <v>0</v>
      </c>
      <c r="J791" s="332">
        <v>0</v>
      </c>
      <c r="K791" s="332">
        <v>0</v>
      </c>
      <c r="L791" s="332">
        <v>0</v>
      </c>
      <c r="M791" s="332">
        <v>0</v>
      </c>
      <c r="N791" s="332">
        <v>0</v>
      </c>
      <c r="O791" s="332">
        <v>0</v>
      </c>
      <c r="P791" s="284"/>
      <c r="Q791" s="284">
        <f t="shared" si="32"/>
        <v>0</v>
      </c>
      <c r="R791" s="3" t="str">
        <f>_xlfn.IFNA(VLOOKUP(Tabella1[[#This Row],[Nome]],'ROSE SQUADRE'!$N$3:$O$260,2,0),"")</f>
        <v>ATL. IMPROVVISATO</v>
      </c>
      <c r="S791" s="193">
        <f>SUM(Tabella1[[#This Row],[Gf]],Tabella1[[#This Row],[Rf]])</f>
        <v>0</v>
      </c>
      <c r="T791" s="193">
        <v>1</v>
      </c>
      <c r="U791" s="285">
        <f>IF(Tabella1[[#This Row],[N° FantaTit]]="","",Tabella1[[#This Row],[fanta voto]])</f>
        <v>6</v>
      </c>
      <c r="V791" s="193">
        <f>SUM(Tabella1[[#This Row],[Voto]],(G791*3),Q791,P791,O791,-(N791),(-M791/2),(-L791*2),(-H791),(I791*3),(-J791*3),(K791*3))</f>
        <v>6</v>
      </c>
      <c r="W791" s="193">
        <v>1</v>
      </c>
      <c r="X791" s="193">
        <f>IF(Tabella1[[#This Row],[Best 11]]=1,Tabella1[[#This Row],[fanta voto]],"")</f>
        <v>6</v>
      </c>
      <c r="Y791">
        <v>1</v>
      </c>
      <c r="Z791" s="193">
        <f>IF(Tabella1[[#This Row],[Best 11 MOD]]=1,Tabella1[[#This Row],[fanta voto]],"")</f>
        <v>6</v>
      </c>
      <c r="AA791" t="str">
        <f>CONCATENATE(Tabella1[[#This Row],[GG]],Tabella1[[#This Row],[Nome]])</f>
        <v>3Woltemade</v>
      </c>
      <c r="AB791" t="str">
        <f t="shared" si="33"/>
        <v>3ATL. IMPROVVISATO1</v>
      </c>
      <c r="AC791" t="str">
        <f>_xlfn.CONCAT(Tabella1[[#This Row],[Ruolo]],Tabella1[[#This Row],[Gs]])</f>
        <v>A0</v>
      </c>
    </row>
    <row r="792" spans="1:29" hidden="1" x14ac:dyDescent="0.3">
      <c r="A792" s="14">
        <v>46270</v>
      </c>
      <c r="B792" s="15">
        <v>3</v>
      </c>
      <c r="C792" s="321" t="str">
        <f>_xlfn.XLOOKUP(Tabella1[[#This Row],[Nome]],Tabella4[NOME],Tabella4[SQUADRA],"")</f>
        <v>Atalanta</v>
      </c>
      <c r="D792" s="330" t="s">
        <v>162</v>
      </c>
      <c r="E792" s="330" t="s">
        <v>1013</v>
      </c>
      <c r="F792" s="331">
        <v>5.5</v>
      </c>
      <c r="G792" s="332">
        <v>0</v>
      </c>
      <c r="H792" s="332">
        <v>0</v>
      </c>
      <c r="I792" s="332">
        <v>0</v>
      </c>
      <c r="J792" s="332">
        <v>0</v>
      </c>
      <c r="K792" s="332">
        <v>0</v>
      </c>
      <c r="L792" s="332">
        <v>0</v>
      </c>
      <c r="M792" s="332">
        <v>0</v>
      </c>
      <c r="N792" s="332">
        <v>0</v>
      </c>
      <c r="O792" s="332">
        <v>0</v>
      </c>
      <c r="P792" s="284"/>
      <c r="Q792" s="284">
        <f t="shared" si="32"/>
        <v>0</v>
      </c>
      <c r="R792" s="3" t="str">
        <f>_xlfn.IFNA(VLOOKUP(Tabella1[[#This Row],[Nome]],'ROSE SQUADRE'!$N$3:$O$260,2,0),"")</f>
        <v>FC INTERNAZIOANALE</v>
      </c>
      <c r="S792" s="193">
        <f>SUM(Tabella1[[#This Row],[Gf]],Tabella1[[#This Row],[Rf]])</f>
        <v>0</v>
      </c>
      <c r="T792" s="193"/>
      <c r="U792" s="285" t="str">
        <f>IF(Tabella1[[#This Row],[N° FantaTit]]="","",Tabella1[[#This Row],[fanta voto]])</f>
        <v/>
      </c>
      <c r="V792" s="193">
        <f>SUM(Tabella1[[#This Row],[Voto]],(G792*3),Q792,P792,O792,-(N792),(-M792/2),(-L792*2),(-H792),(I792*3),(-J792*3),(K792*3))</f>
        <v>5.5</v>
      </c>
      <c r="W792" s="193"/>
      <c r="X792" s="193" t="str">
        <f>IF(Tabella1[[#This Row],[Best 11]]=1,Tabella1[[#This Row],[fanta voto]],"")</f>
        <v/>
      </c>
      <c r="Z792" s="193" t="str">
        <f>IF(Tabella1[[#This Row],[Best 11 MOD]]=1,Tabella1[[#This Row],[fanta voto]],"")</f>
        <v/>
      </c>
      <c r="AA792" t="str">
        <f>CONCATENATE(Tabella1[[#This Row],[GG]],Tabella1[[#This Row],[Nome]])</f>
        <v>3Elmas</v>
      </c>
      <c r="AB792" t="str">
        <f t="shared" si="33"/>
        <v>3FC INTERNAZIOANALE</v>
      </c>
      <c r="AC792" t="str">
        <f>_xlfn.CONCAT(Tabella1[[#This Row],[Ruolo]],Tabella1[[#This Row],[Gs]])</f>
        <v>C0</v>
      </c>
    </row>
    <row r="793" spans="1:29" hidden="1" x14ac:dyDescent="0.3">
      <c r="A793" s="14">
        <v>46270</v>
      </c>
      <c r="B793" s="15">
        <v>3</v>
      </c>
      <c r="C793" s="321" t="str">
        <f>_xlfn.XLOOKUP(Tabella1[[#This Row],[Nome]],Tabella4[NOME],Tabella4[SQUADRA],"")</f>
        <v>Genoa</v>
      </c>
      <c r="D793" t="s">
        <v>162</v>
      </c>
      <c r="E793" t="s">
        <v>588</v>
      </c>
      <c r="F793" s="194">
        <v>5.5</v>
      </c>
      <c r="G793" s="328">
        <v>0</v>
      </c>
      <c r="H793" s="328">
        <v>0</v>
      </c>
      <c r="I793" s="328">
        <v>0</v>
      </c>
      <c r="J793" s="328">
        <v>0</v>
      </c>
      <c r="K793" s="328">
        <v>0</v>
      </c>
      <c r="L793" s="328">
        <v>0</v>
      </c>
      <c r="M793" s="328">
        <v>0</v>
      </c>
      <c r="N793" s="328">
        <v>0</v>
      </c>
      <c r="O793" s="328">
        <v>0</v>
      </c>
      <c r="P793" s="284"/>
      <c r="Q793" s="284">
        <f t="shared" si="32"/>
        <v>0</v>
      </c>
      <c r="R793" s="3" t="str">
        <f>_xlfn.IFNA(VLOOKUP(Tabella1[[#This Row],[Nome]],'ROSE SQUADRE'!$N$3:$O$260,2,0),"")</f>
        <v/>
      </c>
      <c r="S793" s="193">
        <f>SUM(Tabella1[[#This Row],[Gf]],Tabella1[[#This Row],[Rf]])</f>
        <v>0</v>
      </c>
      <c r="T793" s="193"/>
      <c r="U793" s="285" t="str">
        <f>IF(Tabella1[[#This Row],[N° FantaTit]]="","",Tabella1[[#This Row],[fanta voto]])</f>
        <v/>
      </c>
      <c r="V793" s="193">
        <f>SUM(Tabella1[[#This Row],[Voto]],(G793*3),Q793,P793,O793,-(N793),(-M793/2),(-L793*2),(-H793),(I793*3),(-J793*3),(K793*3))</f>
        <v>5.5</v>
      </c>
      <c r="W793" s="193"/>
      <c r="X793" s="193" t="str">
        <f>IF(Tabella1[[#This Row],[Best 11]]=1,Tabella1[[#This Row],[fanta voto]],"")</f>
        <v/>
      </c>
      <c r="Z793" s="193" t="str">
        <f>IF(Tabella1[[#This Row],[Best 11 MOD]]=1,Tabella1[[#This Row],[fanta voto]],"")</f>
        <v/>
      </c>
      <c r="AA793" t="str">
        <f>CONCATENATE(Tabella1[[#This Row],[GG]],Tabella1[[#This Row],[Nome]])</f>
        <v>3Ellertsson</v>
      </c>
      <c r="AB793" t="str">
        <f t="shared" si="33"/>
        <v>3</v>
      </c>
      <c r="AC793" t="str">
        <f>_xlfn.CONCAT(Tabella1[[#This Row],[Ruolo]],Tabella1[[#This Row],[Gs]])</f>
        <v>C0</v>
      </c>
    </row>
    <row r="794" spans="1:29" hidden="1" x14ac:dyDescent="0.3">
      <c r="A794" s="14">
        <v>46270</v>
      </c>
      <c r="B794" s="15">
        <v>3</v>
      </c>
      <c r="C794" s="321" t="str">
        <f>_xlfn.XLOOKUP(Tabella1[[#This Row],[Nome]],Tabella4[NOME],Tabella4[SQUADRA],"")</f>
        <v>Inter</v>
      </c>
      <c r="D794" t="s">
        <v>162</v>
      </c>
      <c r="E794" t="s">
        <v>1015</v>
      </c>
      <c r="F794" s="194">
        <v>6</v>
      </c>
      <c r="G794" s="328">
        <v>0</v>
      </c>
      <c r="H794" s="328">
        <v>0</v>
      </c>
      <c r="I794" s="328">
        <v>0</v>
      </c>
      <c r="J794" s="328">
        <v>0</v>
      </c>
      <c r="K794" s="328">
        <v>0</v>
      </c>
      <c r="L794" s="328">
        <v>0</v>
      </c>
      <c r="M794" s="328">
        <v>0</v>
      </c>
      <c r="N794" s="328">
        <v>0</v>
      </c>
      <c r="O794" s="328">
        <v>0</v>
      </c>
      <c r="P794" s="284"/>
      <c r="Q794" s="284">
        <f t="shared" si="32"/>
        <v>0</v>
      </c>
      <c r="R794" s="3" t="str">
        <f>_xlfn.IFNA(VLOOKUP(Tabella1[[#This Row],[Nome]],'ROSE SQUADRE'!$N$3:$O$260,2,0),"")</f>
        <v>PARTIZAN DEGRADO</v>
      </c>
      <c r="S794" s="193">
        <f>SUM(Tabella1[[#This Row],[Gf]],Tabella1[[#This Row],[Rf]])</f>
        <v>0</v>
      </c>
      <c r="T794" s="193"/>
      <c r="U794" s="285" t="str">
        <f>IF(Tabella1[[#This Row],[N° FantaTit]]="","",Tabella1[[#This Row],[fanta voto]])</f>
        <v/>
      </c>
      <c r="V794" s="193">
        <f>SUM(Tabella1[[#This Row],[Voto]],(G794*3),Q794,P794,O794,-(N794),(-M794/2),(-L794*2),(-H794),(I794*3),(-J794*3),(K794*3))</f>
        <v>6</v>
      </c>
      <c r="W794" s="193"/>
      <c r="X794" s="193" t="str">
        <f>IF(Tabella1[[#This Row],[Best 11]]=1,Tabella1[[#This Row],[fanta voto]],"")</f>
        <v/>
      </c>
      <c r="Z794" s="193" t="str">
        <f>IF(Tabella1[[#This Row],[Best 11 MOD]]=1,Tabella1[[#This Row],[fanta voto]],"")</f>
        <v/>
      </c>
      <c r="AA794" t="str">
        <f>CONCATENATE(Tabella1[[#This Row],[GG]],Tabella1[[#This Row],[Nome]])</f>
        <v>3Jones C.</v>
      </c>
      <c r="AB794" t="str">
        <f t="shared" si="33"/>
        <v>3PARTIZAN DEGRADO</v>
      </c>
      <c r="AC794" t="str">
        <f>_xlfn.CONCAT(Tabella1[[#This Row],[Ruolo]],Tabella1[[#This Row],[Gs]])</f>
        <v>C0</v>
      </c>
    </row>
    <row r="795" spans="1:29" hidden="1" x14ac:dyDescent="0.3">
      <c r="A795" s="14">
        <v>46270</v>
      </c>
      <c r="B795" s="15">
        <v>3</v>
      </c>
      <c r="C795" s="321" t="str">
        <f>_xlfn.XLOOKUP(Tabella1[[#This Row],[Nome]],Tabella4[NOME],Tabella4[SQUADRA],"")</f>
        <v>Genoa</v>
      </c>
      <c r="D795" t="s">
        <v>161</v>
      </c>
      <c r="E795" t="s">
        <v>343</v>
      </c>
      <c r="F795" s="194">
        <v>5.5</v>
      </c>
      <c r="G795" s="328">
        <v>0</v>
      </c>
      <c r="H795" s="328">
        <v>0</v>
      </c>
      <c r="I795" s="328">
        <v>0</v>
      </c>
      <c r="J795" s="328">
        <v>0</v>
      </c>
      <c r="K795" s="328">
        <v>0</v>
      </c>
      <c r="L795" s="328">
        <v>0</v>
      </c>
      <c r="M795" s="328">
        <v>0</v>
      </c>
      <c r="N795" s="328">
        <v>0</v>
      </c>
      <c r="O795" s="328">
        <v>0</v>
      </c>
      <c r="P795" s="284"/>
      <c r="Q795" s="284">
        <f t="shared" si="32"/>
        <v>0</v>
      </c>
      <c r="R795" s="3" t="str">
        <f>_xlfn.IFNA(VLOOKUP(Tabella1[[#This Row],[Nome]],'ROSE SQUADRE'!$N$3:$O$260,2,0),"")</f>
        <v/>
      </c>
      <c r="S795" s="193">
        <f>SUM(Tabella1[[#This Row],[Gf]],Tabella1[[#This Row],[Rf]])</f>
        <v>0</v>
      </c>
      <c r="T795" s="193"/>
      <c r="U795" s="285" t="str">
        <f>IF(Tabella1[[#This Row],[N° FantaTit]]="","",Tabella1[[#This Row],[fanta voto]])</f>
        <v/>
      </c>
      <c r="V795" s="193">
        <f>SUM(Tabella1[[#This Row],[Voto]],(G795*3),Q795,P795,O795,-(N795),(-M795/2),(-L795*2),(-H795),(I795*3),(-J795*3),(K795*3))</f>
        <v>5.5</v>
      </c>
      <c r="W795" s="193"/>
      <c r="X795" s="193" t="str">
        <f>IF(Tabella1[[#This Row],[Best 11]]=1,Tabella1[[#This Row],[fanta voto]],"")</f>
        <v/>
      </c>
      <c r="Z795" s="193" t="str">
        <f>IF(Tabella1[[#This Row],[Best 11 MOD]]=1,Tabella1[[#This Row],[fanta voto]],"")</f>
        <v/>
      </c>
      <c r="AA795" t="str">
        <f>CONCATENATE(Tabella1[[#This Row],[GG]],Tabella1[[#This Row],[Nome]])</f>
        <v>3Ehizibue</v>
      </c>
      <c r="AB795" t="str">
        <f t="shared" si="33"/>
        <v>3</v>
      </c>
      <c r="AC795" t="str">
        <f>_xlfn.CONCAT(Tabella1[[#This Row],[Ruolo]],Tabella1[[#This Row],[Gs]])</f>
        <v>D0</v>
      </c>
    </row>
    <row r="796" spans="1:29" hidden="1" x14ac:dyDescent="0.3">
      <c r="A796" s="14">
        <v>46270</v>
      </c>
      <c r="B796" s="15">
        <v>3</v>
      </c>
      <c r="C796" s="321" t="str">
        <f>_xlfn.XLOOKUP(Tabella1[[#This Row],[Nome]],Tabella4[NOME],Tabella4[SQUADRA],"")</f>
        <v>Atalanta</v>
      </c>
      <c r="D796" t="s">
        <v>162</v>
      </c>
      <c r="E796" t="s">
        <v>640</v>
      </c>
      <c r="F796" s="194">
        <v>7</v>
      </c>
      <c r="G796" s="329">
        <v>1</v>
      </c>
      <c r="H796" s="328">
        <v>0</v>
      </c>
      <c r="I796" s="328">
        <v>0</v>
      </c>
      <c r="J796" s="328">
        <v>0</v>
      </c>
      <c r="K796" s="328">
        <v>0</v>
      </c>
      <c r="L796" s="328">
        <v>0</v>
      </c>
      <c r="M796" s="328">
        <v>0</v>
      </c>
      <c r="N796" s="328">
        <v>0</v>
      </c>
      <c r="O796" s="328">
        <v>0</v>
      </c>
      <c r="P796" s="284"/>
      <c r="Q796" s="284">
        <f t="shared" si="32"/>
        <v>0</v>
      </c>
      <c r="R796" s="3" t="str">
        <f>_xlfn.IFNA(VLOOKUP(Tabella1[[#This Row],[Nome]],'ROSE SQUADRE'!$N$3:$O$260,2,0),"")</f>
        <v>FC INTERNAZIOANALE</v>
      </c>
      <c r="S796" s="193">
        <f>SUM(Tabella1[[#This Row],[Gf]],Tabella1[[#This Row],[Rf]])</f>
        <v>1</v>
      </c>
      <c r="T796" s="193"/>
      <c r="U796" s="285" t="str">
        <f>IF(Tabella1[[#This Row],[N° FantaTit]]="","",Tabella1[[#This Row],[fanta voto]])</f>
        <v/>
      </c>
      <c r="V796" s="193">
        <f>SUM(Tabella1[[#This Row],[Voto]],(G796*3),Q796,P796,O796,-(N796),(-M796/2),(-L796*2),(-H796),(I796*3),(-J796*3),(K796*3))</f>
        <v>10</v>
      </c>
      <c r="W796" s="193">
        <v>1</v>
      </c>
      <c r="X796" s="193">
        <f>IF(Tabella1[[#This Row],[Best 11]]=1,Tabella1[[#This Row],[fanta voto]],"")</f>
        <v>10</v>
      </c>
      <c r="Y796">
        <v>1</v>
      </c>
      <c r="Z796" s="193">
        <f>IF(Tabella1[[#This Row],[Best 11 MOD]]=1,Tabella1[[#This Row],[fanta voto]],"")</f>
        <v>10</v>
      </c>
      <c r="AA796" t="str">
        <f>CONCATENATE(Tabella1[[#This Row],[GG]],Tabella1[[#This Row],[Nome]])</f>
        <v>3Ederson D.S.</v>
      </c>
      <c r="AB796" t="str">
        <f t="shared" si="33"/>
        <v>3FC INTERNAZIOANALE</v>
      </c>
      <c r="AC796" t="str">
        <f>_xlfn.CONCAT(Tabella1[[#This Row],[Ruolo]],Tabella1[[#This Row],[Gs]])</f>
        <v>C0</v>
      </c>
    </row>
    <row r="797" spans="1:29" hidden="1" x14ac:dyDescent="0.3">
      <c r="A797" s="14">
        <v>46270</v>
      </c>
      <c r="B797" s="15">
        <v>3</v>
      </c>
      <c r="C797" s="321" t="str">
        <f>_xlfn.XLOOKUP(Tabella1[[#This Row],[Nome]],Tabella4[NOME],Tabella4[SQUADRA],"")</f>
        <v>Udinese</v>
      </c>
      <c r="D797" t="s">
        <v>161</v>
      </c>
      <c r="E797" t="s">
        <v>956</v>
      </c>
      <c r="F797" s="194">
        <v>6</v>
      </c>
      <c r="G797" s="328">
        <v>0</v>
      </c>
      <c r="H797" s="328">
        <v>0</v>
      </c>
      <c r="I797" s="328">
        <v>0</v>
      </c>
      <c r="J797" s="328">
        <v>0</v>
      </c>
      <c r="K797" s="328">
        <v>0</v>
      </c>
      <c r="L797" s="328">
        <v>0</v>
      </c>
      <c r="M797" s="328">
        <v>0</v>
      </c>
      <c r="N797" s="328">
        <v>0</v>
      </c>
      <c r="O797" s="328">
        <v>0</v>
      </c>
      <c r="P797" s="284"/>
      <c r="Q797" s="284">
        <f t="shared" si="32"/>
        <v>0</v>
      </c>
      <c r="R797" s="3" t="str">
        <f>_xlfn.IFNA(VLOOKUP(Tabella1[[#This Row],[Nome]],'ROSE SQUADRE'!$N$3:$O$260,2,0),"")</f>
        <v/>
      </c>
      <c r="S797" s="193">
        <f>SUM(Tabella1[[#This Row],[Gf]],Tabella1[[#This Row],[Rf]])</f>
        <v>0</v>
      </c>
      <c r="T797" s="193"/>
      <c r="U797" s="285" t="str">
        <f>IF(Tabella1[[#This Row],[N° FantaTit]]="","",Tabella1[[#This Row],[fanta voto]])</f>
        <v/>
      </c>
      <c r="V797" s="193">
        <f>SUM(Tabella1[[#This Row],[Voto]],(G797*3),Q797,P797,O797,-(N797),(-M797/2),(-L797*2),(-H797),(I797*3),(-J797*3),(K797*3))</f>
        <v>6</v>
      </c>
      <c r="W797" s="193"/>
      <c r="X797" s="193" t="str">
        <f>IF(Tabella1[[#This Row],[Best 11]]=1,Tabella1[[#This Row],[fanta voto]],"")</f>
        <v/>
      </c>
      <c r="Z797" s="193" t="str">
        <f>IF(Tabella1[[#This Row],[Best 11 MOD]]=1,Tabella1[[#This Row],[fanta voto]],"")</f>
        <v/>
      </c>
      <c r="AA797" t="str">
        <f>CONCATENATE(Tabella1[[#This Row],[GG]],Tabella1[[#This Row],[Nome]])</f>
        <v>3Ebosse</v>
      </c>
      <c r="AB797" t="str">
        <f t="shared" si="33"/>
        <v>3</v>
      </c>
      <c r="AC797" t="str">
        <f>_xlfn.CONCAT(Tabella1[[#This Row],[Ruolo]],Tabella1[[#This Row],[Gs]])</f>
        <v>D0</v>
      </c>
    </row>
    <row r="798" spans="1:29" hidden="1" x14ac:dyDescent="0.3">
      <c r="A798" s="14">
        <v>46270</v>
      </c>
      <c r="B798" s="15">
        <v>3</v>
      </c>
      <c r="C798" s="321" t="str">
        <f>_xlfn.XLOOKUP(Tabella1[[#This Row],[Nome]],Tabella4[NOME],Tabella4[SQUADRA],"")</f>
        <v>Napoli</v>
      </c>
      <c r="D798" s="330" t="s">
        <v>162</v>
      </c>
      <c r="E798" s="330" t="s">
        <v>864</v>
      </c>
      <c r="F798" s="331">
        <v>6</v>
      </c>
      <c r="G798" s="332">
        <v>0</v>
      </c>
      <c r="H798" s="332">
        <v>0</v>
      </c>
      <c r="I798" s="332">
        <v>0</v>
      </c>
      <c r="J798" s="332">
        <v>0</v>
      </c>
      <c r="K798" s="332">
        <v>0</v>
      </c>
      <c r="L798" s="332">
        <v>0</v>
      </c>
      <c r="M798" s="332">
        <v>0</v>
      </c>
      <c r="N798" s="332">
        <v>0</v>
      </c>
      <c r="O798" s="332">
        <v>0</v>
      </c>
      <c r="P798" s="284"/>
      <c r="Q798" s="284">
        <f t="shared" si="32"/>
        <v>0</v>
      </c>
      <c r="R798" s="3" t="str">
        <f>_xlfn.IFNA(VLOOKUP(Tabella1[[#This Row],[Nome]],'ROSE SQUADRE'!$N$3:$O$260,2,0),"")</f>
        <v>FC INTERNAZIOANALE</v>
      </c>
      <c r="S798" s="193">
        <f>SUM(Tabella1[[#This Row],[Gf]],Tabella1[[#This Row],[Rf]])</f>
        <v>0</v>
      </c>
      <c r="T798" s="193">
        <v>1</v>
      </c>
      <c r="U798" s="285">
        <f>IF(Tabella1[[#This Row],[N° FantaTit]]="","",Tabella1[[#This Row],[fanta voto]])</f>
        <v>6</v>
      </c>
      <c r="V798" s="193">
        <f>SUM(Tabella1[[#This Row],[Voto]],(G798*3),Q798,P798,O798,-(N798),(-M798/2),(-L798*2),(-H798),(I798*3),(-J798*3),(K798*3))</f>
        <v>6</v>
      </c>
      <c r="W798" s="193">
        <v>1</v>
      </c>
      <c r="X798" s="193">
        <f>IF(Tabella1[[#This Row],[Best 11]]=1,Tabella1[[#This Row],[fanta voto]],"")</f>
        <v>6</v>
      </c>
      <c r="Z798" s="193" t="str">
        <f>IF(Tabella1[[#This Row],[Best 11 MOD]]=1,Tabella1[[#This Row],[fanta voto]],"")</f>
        <v/>
      </c>
      <c r="AA798" t="str">
        <f>CONCATENATE(Tabella1[[#This Row],[GG]],Tabella1[[#This Row],[Nome]])</f>
        <v>3De Bruyne</v>
      </c>
      <c r="AB798" t="str">
        <f t="shared" si="33"/>
        <v>3FC INTERNAZIOANALE1</v>
      </c>
      <c r="AC798" t="str">
        <f>_xlfn.CONCAT(Tabella1[[#This Row],[Ruolo]],Tabella1[[#This Row],[Gs]])</f>
        <v>C0</v>
      </c>
    </row>
    <row r="799" spans="1:29" hidden="1" x14ac:dyDescent="0.3">
      <c r="A799" s="14">
        <v>46270</v>
      </c>
      <c r="B799" s="15">
        <v>3</v>
      </c>
      <c r="C799" s="321" t="str">
        <f>_xlfn.XLOOKUP(Tabella1[[#This Row],[Nome]],Tabella4[NOME],Tabella4[SQUADRA],"")</f>
        <v>Fiorentina</v>
      </c>
      <c r="D799" s="330" t="s">
        <v>161</v>
      </c>
      <c r="E799" s="330" t="s">
        <v>709</v>
      </c>
      <c r="F799" s="331">
        <v>5.5</v>
      </c>
      <c r="G799" s="332">
        <v>0</v>
      </c>
      <c r="H799" s="332">
        <v>0</v>
      </c>
      <c r="I799" s="332">
        <v>0</v>
      </c>
      <c r="J799" s="332">
        <v>0</v>
      </c>
      <c r="K799" s="332">
        <v>0</v>
      </c>
      <c r="L799" s="332">
        <v>0</v>
      </c>
      <c r="M799" s="332">
        <v>0</v>
      </c>
      <c r="N799" s="332">
        <v>0</v>
      </c>
      <c r="O799" s="333">
        <v>1</v>
      </c>
      <c r="P799" s="284"/>
      <c r="Q799" s="284">
        <f t="shared" si="32"/>
        <v>0</v>
      </c>
      <c r="R799" s="3" t="str">
        <f>_xlfn.IFNA(VLOOKUP(Tabella1[[#This Row],[Nome]],'ROSE SQUADRE'!$N$3:$O$260,2,0),"")</f>
        <v/>
      </c>
      <c r="S799" s="193">
        <f>SUM(Tabella1[[#This Row],[Gf]],Tabella1[[#This Row],[Rf]])</f>
        <v>0</v>
      </c>
      <c r="T799" s="193"/>
      <c r="U799" s="285" t="str">
        <f>IF(Tabella1[[#This Row],[N° FantaTit]]="","",Tabella1[[#This Row],[fanta voto]])</f>
        <v/>
      </c>
      <c r="V799" s="193">
        <f>SUM(Tabella1[[#This Row],[Voto]],(G799*3),Q799,P799,O799,-(N799),(-M799/2),(-L799*2),(-H799),(I799*3),(-J799*3),(K799*3))</f>
        <v>6.5</v>
      </c>
      <c r="W799" s="193"/>
      <c r="X799" s="193" t="str">
        <f>IF(Tabella1[[#This Row],[Best 11]]=1,Tabella1[[#This Row],[fanta voto]],"")</f>
        <v/>
      </c>
      <c r="Z799" s="193" t="str">
        <f>IF(Tabella1[[#This Row],[Best 11 MOD]]=1,Tabella1[[#This Row],[fanta voto]],"")</f>
        <v/>
      </c>
      <c r="AA799" t="str">
        <f>CONCATENATE(Tabella1[[#This Row],[GG]],Tabella1[[#This Row],[Nome]])</f>
        <v>3Dragusin</v>
      </c>
      <c r="AB799" t="str">
        <f t="shared" si="33"/>
        <v>3</v>
      </c>
      <c r="AC799" t="str">
        <f>_xlfn.CONCAT(Tabella1[[#This Row],[Ruolo]],Tabella1[[#This Row],[Gs]])</f>
        <v>D0</v>
      </c>
    </row>
    <row r="800" spans="1:29" hidden="1" x14ac:dyDescent="0.3">
      <c r="A800" s="14">
        <v>46270</v>
      </c>
      <c r="B800" s="15">
        <v>3</v>
      </c>
      <c r="C800" s="321" t="str">
        <f>_xlfn.XLOOKUP(Tabella1[[#This Row],[Nome]],Tabella4[NOME],Tabella4[SQUADRA],"")</f>
        <v>Udinese</v>
      </c>
      <c r="D800" s="330" t="s">
        <v>162</v>
      </c>
      <c r="E800" s="330" t="s">
        <v>579</v>
      </c>
      <c r="F800" s="331">
        <v>5.5</v>
      </c>
      <c r="G800" s="332">
        <v>0</v>
      </c>
      <c r="H800" s="332">
        <v>0</v>
      </c>
      <c r="I800" s="332">
        <v>0</v>
      </c>
      <c r="J800" s="332">
        <v>0</v>
      </c>
      <c r="K800" s="332">
        <v>0</v>
      </c>
      <c r="L800" s="332">
        <v>0</v>
      </c>
      <c r="M800" s="332">
        <v>0</v>
      </c>
      <c r="N800" s="332">
        <v>0</v>
      </c>
      <c r="O800" s="332">
        <v>0</v>
      </c>
      <c r="P800" s="284"/>
      <c r="Q800" s="284">
        <f t="shared" si="32"/>
        <v>0</v>
      </c>
      <c r="R800" s="3" t="str">
        <f>_xlfn.IFNA(VLOOKUP(Tabella1[[#This Row],[Nome]],'ROSE SQUADRE'!$N$3:$O$260,2,0),"")</f>
        <v>PARTIZAN DEGRADO</v>
      </c>
      <c r="S800" s="193">
        <f>SUM(Tabella1[[#This Row],[Gf]],Tabella1[[#This Row],[Rf]])</f>
        <v>0</v>
      </c>
      <c r="T800" s="193"/>
      <c r="U800" s="285" t="str">
        <f>IF(Tabella1[[#This Row],[N° FantaTit]]="","",Tabella1[[#This Row],[fanta voto]])</f>
        <v/>
      </c>
      <c r="V800" s="193">
        <f>SUM(Tabella1[[#This Row],[Voto]],(G800*3),Q800,P800,O800,-(N800),(-M800/2),(-L800*2),(-H800),(I800*3),(-J800*3),(K800*3))</f>
        <v>5.5</v>
      </c>
      <c r="W800" s="193"/>
      <c r="X800" s="193" t="str">
        <f>IF(Tabella1[[#This Row],[Best 11]]=1,Tabella1[[#This Row],[fanta voto]],"")</f>
        <v/>
      </c>
      <c r="Z800" s="193" t="str">
        <f>IF(Tabella1[[#This Row],[Best 11 MOD]]=1,Tabella1[[#This Row],[fanta voto]],"")</f>
        <v/>
      </c>
      <c r="AA800" t="str">
        <f>CONCATENATE(Tabella1[[#This Row],[GG]],Tabella1[[#This Row],[Nome]])</f>
        <v>3Ekkelenkamp</v>
      </c>
      <c r="AB800" t="str">
        <f t="shared" si="33"/>
        <v>3PARTIZAN DEGRADO</v>
      </c>
      <c r="AC800" t="str">
        <f>_xlfn.CONCAT(Tabella1[[#This Row],[Ruolo]],Tabella1[[#This Row],[Gs]])</f>
        <v>C0</v>
      </c>
    </row>
    <row r="801" spans="1:29" hidden="1" x14ac:dyDescent="0.3">
      <c r="A801" s="14">
        <v>46270</v>
      </c>
      <c r="B801" s="15">
        <v>3</v>
      </c>
      <c r="C801" s="321" t="str">
        <f>_xlfn.XLOOKUP(Tabella1[[#This Row],[Nome]],Tabella4[NOME],Tabella4[SQUADRA],"")</f>
        <v>Juventus</v>
      </c>
      <c r="D801" s="330" t="s">
        <v>162</v>
      </c>
      <c r="E801" s="330" t="s">
        <v>787</v>
      </c>
      <c r="F801" s="331">
        <v>6.5</v>
      </c>
      <c r="G801" s="332">
        <v>0</v>
      </c>
      <c r="H801" s="332">
        <v>0</v>
      </c>
      <c r="I801" s="332">
        <v>0</v>
      </c>
      <c r="J801" s="332">
        <v>0</v>
      </c>
      <c r="K801" s="332">
        <v>0</v>
      </c>
      <c r="L801" s="332">
        <v>0</v>
      </c>
      <c r="M801" s="332">
        <v>0</v>
      </c>
      <c r="N801" s="332">
        <v>0</v>
      </c>
      <c r="O801" s="333">
        <v>1</v>
      </c>
      <c r="P801" s="284"/>
      <c r="Q801" s="284">
        <f t="shared" si="32"/>
        <v>0</v>
      </c>
      <c r="R801" s="3" t="str">
        <f>_xlfn.IFNA(VLOOKUP(Tabella1[[#This Row],[Nome]],'ROSE SQUADRE'!$N$3:$O$260,2,0),"")</f>
        <v>SESTO ASENSIO</v>
      </c>
      <c r="S801" s="193">
        <f>SUM(Tabella1[[#This Row],[Gf]],Tabella1[[#This Row],[Rf]])</f>
        <v>0</v>
      </c>
      <c r="T801" s="193"/>
      <c r="U801" s="285" t="str">
        <f>IF(Tabella1[[#This Row],[N° FantaTit]]="","",Tabella1[[#This Row],[fanta voto]])</f>
        <v/>
      </c>
      <c r="V801" s="193">
        <f>SUM(Tabella1[[#This Row],[Voto]],(G801*3),Q801,P801,O801,-(N801),(-M801/2),(-L801*2),(-H801),(I801*3),(-J801*3),(K801*3))</f>
        <v>7.5</v>
      </c>
      <c r="W801" s="193">
        <v>1</v>
      </c>
      <c r="X801" s="193">
        <f>IF(Tabella1[[#This Row],[Best 11]]=1,Tabella1[[#This Row],[fanta voto]],"")</f>
        <v>7.5</v>
      </c>
      <c r="Y801">
        <v>1</v>
      </c>
      <c r="Z801" s="193">
        <f>IF(Tabella1[[#This Row],[Best 11 MOD]]=1,Tabella1[[#This Row],[fanta voto]],"")</f>
        <v>7.5</v>
      </c>
      <c r="AA801" t="str">
        <f>CONCATENATE(Tabella1[[#This Row],[GG]],Tabella1[[#This Row],[Nome]])</f>
        <v>3Koopmeiners</v>
      </c>
      <c r="AB801" t="str">
        <f t="shared" si="33"/>
        <v>3SESTO ASENSIO</v>
      </c>
      <c r="AC801" t="str">
        <f>_xlfn.CONCAT(Tabella1[[#This Row],[Ruolo]],Tabella1[[#This Row],[Gs]])</f>
        <v>C0</v>
      </c>
    </row>
    <row r="802" spans="1:29" hidden="1" x14ac:dyDescent="0.3">
      <c r="A802" s="14">
        <v>46270</v>
      </c>
      <c r="B802" s="15">
        <v>3</v>
      </c>
      <c r="C802" s="321" t="str">
        <f>_xlfn.XLOOKUP(Tabella1[[#This Row],[Nome]],Tabella4[NOME],Tabella4[SQUADRA],"")</f>
        <v>Juventus</v>
      </c>
      <c r="D802" t="s">
        <v>162</v>
      </c>
      <c r="E802" t="s">
        <v>533</v>
      </c>
      <c r="F802" s="194">
        <v>5.5</v>
      </c>
      <c r="G802" s="328">
        <v>0</v>
      </c>
      <c r="H802" s="328">
        <v>0</v>
      </c>
      <c r="I802" s="328">
        <v>0</v>
      </c>
      <c r="J802" s="328">
        <v>0</v>
      </c>
      <c r="K802" s="328">
        <v>0</v>
      </c>
      <c r="L802" s="328">
        <v>0</v>
      </c>
      <c r="M802" s="328">
        <v>0</v>
      </c>
      <c r="N802" s="328">
        <v>0</v>
      </c>
      <c r="O802" s="328">
        <v>0</v>
      </c>
      <c r="P802" s="284"/>
      <c r="Q802" s="284">
        <f t="shared" si="32"/>
        <v>0</v>
      </c>
      <c r="R802" s="3" t="str">
        <f>_xlfn.IFNA(VLOOKUP(Tabella1[[#This Row],[Nome]],'ROSE SQUADRE'!$N$3:$O$260,2,0),"")</f>
        <v>AS PIPPERIA</v>
      </c>
      <c r="S802" s="193">
        <f>SUM(Tabella1[[#This Row],[Gf]],Tabella1[[#This Row],[Rf]])</f>
        <v>0</v>
      </c>
      <c r="T802" s="193"/>
      <c r="U802" s="285" t="str">
        <f>IF(Tabella1[[#This Row],[N° FantaTit]]="","",Tabella1[[#This Row],[fanta voto]])</f>
        <v/>
      </c>
      <c r="V802" s="193">
        <f>SUM(Tabella1[[#This Row],[Voto]],(G802*3),Q802,P802,O802,-(N802),(-M802/2),(-L802*2),(-H802),(I802*3),(-J802*3),(K802*3))</f>
        <v>5.5</v>
      </c>
      <c r="W802" s="193"/>
      <c r="X802" s="193" t="str">
        <f>IF(Tabella1[[#This Row],[Best 11]]=1,Tabella1[[#This Row],[fanta voto]],"")</f>
        <v/>
      </c>
      <c r="Z802" s="193" t="str">
        <f>IF(Tabella1[[#This Row],[Best 11 MOD]]=1,Tabella1[[#This Row],[fanta voto]],"")</f>
        <v/>
      </c>
      <c r="AA802" t="str">
        <f>CONCATENATE(Tabella1[[#This Row],[GG]],Tabella1[[#This Row],[Nome]])</f>
        <v>3Douglas Luiz</v>
      </c>
      <c r="AB802" t="str">
        <f t="shared" si="33"/>
        <v>3AS PIPPERIA</v>
      </c>
      <c r="AC802" t="str">
        <f>_xlfn.CONCAT(Tabella1[[#This Row],[Ruolo]],Tabella1[[#This Row],[Gs]])</f>
        <v>C0</v>
      </c>
    </row>
    <row r="803" spans="1:29" hidden="1" x14ac:dyDescent="0.3">
      <c r="A803" s="14">
        <v>46270</v>
      </c>
      <c r="B803" s="15">
        <v>3</v>
      </c>
      <c r="C803" s="321" t="str">
        <f>_xlfn.XLOOKUP(Tabella1[[#This Row],[Nome]],Tabella4[NOME],Tabella4[SQUADRA],"")</f>
        <v>Sassuolo</v>
      </c>
      <c r="D803" t="s">
        <v>161</v>
      </c>
      <c r="E803" t="s">
        <v>915</v>
      </c>
      <c r="F803" s="194">
        <v>6.5</v>
      </c>
      <c r="G803" s="329">
        <v>1</v>
      </c>
      <c r="H803" s="328">
        <v>0</v>
      </c>
      <c r="I803" s="328">
        <v>0</v>
      </c>
      <c r="J803" s="328">
        <v>0</v>
      </c>
      <c r="K803" s="328">
        <v>0</v>
      </c>
      <c r="L803" s="328">
        <v>0</v>
      </c>
      <c r="M803" s="328">
        <v>0</v>
      </c>
      <c r="N803" s="328">
        <v>0</v>
      </c>
      <c r="O803" s="328">
        <v>0</v>
      </c>
      <c r="P803" s="284"/>
      <c r="Q803" s="284">
        <f t="shared" si="32"/>
        <v>0</v>
      </c>
      <c r="R803" s="3" t="str">
        <f>_xlfn.IFNA(VLOOKUP(Tabella1[[#This Row],[Nome]],'ROSE SQUADRE'!$N$3:$O$260,2,0),"")</f>
        <v/>
      </c>
      <c r="S803" s="193">
        <f>SUM(Tabella1[[#This Row],[Gf]],Tabella1[[#This Row],[Rf]])</f>
        <v>1</v>
      </c>
      <c r="T803" s="193"/>
      <c r="U803" s="285" t="str">
        <f>IF(Tabella1[[#This Row],[N° FantaTit]]="","",Tabella1[[#This Row],[fanta voto]])</f>
        <v/>
      </c>
      <c r="V803" s="193">
        <f>SUM(Tabella1[[#This Row],[Voto]],(G803*3),Q803,P803,O803,-(N803),(-M803/2),(-L803*2),(-H803),(I803*3),(-J803*3),(K803*3))</f>
        <v>9.5</v>
      </c>
      <c r="W803" s="193"/>
      <c r="X803" s="193" t="str">
        <f>IF(Tabella1[[#This Row],[Best 11]]=1,Tabella1[[#This Row],[fanta voto]],"")</f>
        <v/>
      </c>
      <c r="Z803" s="193" t="str">
        <f>IF(Tabella1[[#This Row],[Best 11 MOD]]=1,Tabella1[[#This Row],[fanta voto]],"")</f>
        <v/>
      </c>
      <c r="AA803" t="str">
        <f>CONCATENATE(Tabella1[[#This Row],[GG]],Tabella1[[#This Row],[Nome]])</f>
        <v>3Doig</v>
      </c>
      <c r="AB803" t="str">
        <f t="shared" si="33"/>
        <v>3</v>
      </c>
      <c r="AC803" t="str">
        <f>_xlfn.CONCAT(Tabella1[[#This Row],[Ruolo]],Tabella1[[#This Row],[Gs]])</f>
        <v>D0</v>
      </c>
    </row>
    <row r="804" spans="1:29" hidden="1" x14ac:dyDescent="0.3">
      <c r="A804" s="14">
        <v>46270</v>
      </c>
      <c r="B804" s="15">
        <v>3</v>
      </c>
      <c r="C804" s="321" t="str">
        <f>_xlfn.XLOOKUP(Tabella1[[#This Row],[Nome]],Tabella4[NOME],Tabella4[SQUADRA],"")</f>
        <v>Bologna</v>
      </c>
      <c r="D804" s="330" t="s">
        <v>162</v>
      </c>
      <c r="E804" s="330" t="s">
        <v>656</v>
      </c>
      <c r="F804" s="331">
        <v>6</v>
      </c>
      <c r="G804" s="332">
        <v>0</v>
      </c>
      <c r="H804" s="332">
        <v>0</v>
      </c>
      <c r="I804" s="332">
        <v>0</v>
      </c>
      <c r="J804" s="332">
        <v>0</v>
      </c>
      <c r="K804" s="332">
        <v>0</v>
      </c>
      <c r="L804" s="332">
        <v>0</v>
      </c>
      <c r="M804" s="332">
        <v>0</v>
      </c>
      <c r="N804" s="332">
        <v>0</v>
      </c>
      <c r="O804" s="332">
        <v>0</v>
      </c>
      <c r="P804" s="284"/>
      <c r="Q804" s="284">
        <f t="shared" si="32"/>
        <v>0</v>
      </c>
      <c r="R804" s="3" t="str">
        <f>_xlfn.IFNA(VLOOKUP(Tabella1[[#This Row],[Nome]],'ROSE SQUADRE'!$N$3:$O$260,2,0),"")</f>
        <v>AC ASPARAGHESE</v>
      </c>
      <c r="S804" s="193">
        <f>SUM(Tabella1[[#This Row],[Gf]],Tabella1[[#This Row],[Rf]])</f>
        <v>0</v>
      </c>
      <c r="T804" s="193">
        <v>1</v>
      </c>
      <c r="U804" s="285">
        <f>IF(Tabella1[[#This Row],[N° FantaTit]]="","",Tabella1[[#This Row],[fanta voto]])</f>
        <v>6</v>
      </c>
      <c r="V804" s="193">
        <f>SUM(Tabella1[[#This Row],[Voto]],(G804*3),Q804,P804,O804,-(N804),(-M804/2),(-L804*2),(-H804),(I804*3),(-J804*3),(K804*3))</f>
        <v>6</v>
      </c>
      <c r="W804" s="193">
        <v>1</v>
      </c>
      <c r="X804" s="193">
        <f>IF(Tabella1[[#This Row],[Best 11]]=1,Tabella1[[#This Row],[fanta voto]],"")</f>
        <v>6</v>
      </c>
      <c r="Y804">
        <v>1</v>
      </c>
      <c r="Z804" s="193">
        <f>IF(Tabella1[[#This Row],[Best 11 MOD]]=1,Tabella1[[#This Row],[fanta voto]],"")</f>
        <v>6</v>
      </c>
      <c r="AA804" t="str">
        <f>CONCATENATE(Tabella1[[#This Row],[GG]],Tabella1[[#This Row],[Nome]])</f>
        <v>3Bernardeschi</v>
      </c>
      <c r="AB804" t="str">
        <f t="shared" si="33"/>
        <v>3AC ASPARAGHESE1</v>
      </c>
      <c r="AC804" t="str">
        <f>_xlfn.CONCAT(Tabella1[[#This Row],[Ruolo]],Tabella1[[#This Row],[Gs]])</f>
        <v>C0</v>
      </c>
    </row>
    <row r="805" spans="1:29" hidden="1" x14ac:dyDescent="0.3">
      <c r="A805" s="14">
        <v>46270</v>
      </c>
      <c r="B805" s="15">
        <v>3</v>
      </c>
      <c r="C805" s="321" t="str">
        <f>_xlfn.XLOOKUP(Tabella1[[#This Row],[Nome]],Tabella4[NOME],Tabella4[SQUADRA],"")</f>
        <v>Inter</v>
      </c>
      <c r="D805" s="330" t="s">
        <v>162</v>
      </c>
      <c r="E805" s="330" t="s">
        <v>771</v>
      </c>
      <c r="F805" s="331">
        <v>6</v>
      </c>
      <c r="G805" s="332">
        <v>0</v>
      </c>
      <c r="H805" s="332">
        <v>0</v>
      </c>
      <c r="I805" s="332">
        <v>0</v>
      </c>
      <c r="J805" s="332">
        <v>0</v>
      </c>
      <c r="K805" s="332">
        <v>0</v>
      </c>
      <c r="L805" s="332">
        <v>0</v>
      </c>
      <c r="M805" s="332">
        <v>0</v>
      </c>
      <c r="N805" s="332">
        <v>0</v>
      </c>
      <c r="O805" s="332">
        <v>0</v>
      </c>
      <c r="P805" s="284"/>
      <c r="Q805" s="284">
        <f t="shared" si="32"/>
        <v>0</v>
      </c>
      <c r="R805" s="3" t="str">
        <f>_xlfn.IFNA(VLOOKUP(Tabella1[[#This Row],[Nome]],'ROSE SQUADRE'!$N$3:$O$260,2,0),"")</f>
        <v>PARTIZAN DEGRADO</v>
      </c>
      <c r="S805" s="193">
        <f>SUM(Tabella1[[#This Row],[Gf]],Tabella1[[#This Row],[Rf]])</f>
        <v>0</v>
      </c>
      <c r="T805" s="193">
        <v>1</v>
      </c>
      <c r="U805" s="285">
        <f>IF(Tabella1[[#This Row],[N° FantaTit]]="","",Tabella1[[#This Row],[fanta voto]])</f>
        <v>6</v>
      </c>
      <c r="V805" s="193">
        <f>SUM(Tabella1[[#This Row],[Voto]],(G805*3),Q805,P805,O805,-(N805),(-M805/2),(-L805*2),(-H805),(I805*3),(-J805*3),(K805*3))</f>
        <v>6</v>
      </c>
      <c r="W805" s="193"/>
      <c r="X805" s="193" t="str">
        <f>IF(Tabella1[[#This Row],[Best 11]]=1,Tabella1[[#This Row],[fanta voto]],"")</f>
        <v/>
      </c>
      <c r="Z805" s="193" t="str">
        <f>IF(Tabella1[[#This Row],[Best 11 MOD]]=1,Tabella1[[#This Row],[fanta voto]],"")</f>
        <v/>
      </c>
      <c r="AA805" t="str">
        <f>CONCATENATE(Tabella1[[#This Row],[GG]],Tabella1[[#This Row],[Nome]])</f>
        <v>3Diouf</v>
      </c>
      <c r="AB805" t="str">
        <f t="shared" si="33"/>
        <v>3PARTIZAN DEGRADO1</v>
      </c>
      <c r="AC805" t="str">
        <f>_xlfn.CONCAT(Tabella1[[#This Row],[Ruolo]],Tabella1[[#This Row],[Gs]])</f>
        <v>C0</v>
      </c>
    </row>
    <row r="806" spans="1:29" hidden="1" x14ac:dyDescent="0.3">
      <c r="A806" s="14">
        <v>46270</v>
      </c>
      <c r="B806" s="15">
        <v>3</v>
      </c>
      <c r="C806" s="321" t="str">
        <f>_xlfn.XLOOKUP(Tabella1[[#This Row],[Nome]],Tabella4[NOME],Tabella4[SQUADRA],"")</f>
        <v>Venezia</v>
      </c>
      <c r="D806" t="s">
        <v>163</v>
      </c>
      <c r="E806" t="s">
        <v>988</v>
      </c>
      <c r="F806" s="194">
        <v>7</v>
      </c>
      <c r="G806" s="329">
        <v>1</v>
      </c>
      <c r="H806" s="328">
        <v>0</v>
      </c>
      <c r="I806" s="328">
        <v>0</v>
      </c>
      <c r="J806" s="328">
        <v>0</v>
      </c>
      <c r="K806" s="328">
        <v>0</v>
      </c>
      <c r="L806" s="328">
        <v>0</v>
      </c>
      <c r="M806" s="328">
        <v>0</v>
      </c>
      <c r="N806" s="328">
        <v>0</v>
      </c>
      <c r="O806" s="328">
        <v>0</v>
      </c>
      <c r="P806" s="284"/>
      <c r="Q806" s="284">
        <f t="shared" si="32"/>
        <v>0</v>
      </c>
      <c r="R806" s="3" t="str">
        <f>_xlfn.IFNA(VLOOKUP(Tabella1[[#This Row],[Nome]],'ROSE SQUADRE'!$N$3:$O$260,2,0),"")</f>
        <v>TRICCHETRACHT</v>
      </c>
      <c r="S806" s="193">
        <f>SUM(Tabella1[[#This Row],[Gf]],Tabella1[[#This Row],[Rf]])</f>
        <v>1</v>
      </c>
      <c r="T806" s="193"/>
      <c r="U806" s="285" t="str">
        <f>IF(Tabella1[[#This Row],[N° FantaTit]]="","",Tabella1[[#This Row],[fanta voto]])</f>
        <v/>
      </c>
      <c r="V806" s="193">
        <f>SUM(Tabella1[[#This Row],[Voto]],(G806*3),Q806,P806,O806,-(N806),(-M806/2),(-L806*2),(-H806),(I806*3),(-J806*3),(K806*3))</f>
        <v>10</v>
      </c>
      <c r="W806" s="193">
        <v>1</v>
      </c>
      <c r="X806" s="193">
        <f>IF(Tabella1[[#This Row],[Best 11]]=1,Tabella1[[#This Row],[fanta voto]],"")</f>
        <v>10</v>
      </c>
      <c r="Y806">
        <v>1</v>
      </c>
      <c r="Z806" s="193">
        <f>IF(Tabella1[[#This Row],[Best 11 MOD]]=1,Tabella1[[#This Row],[fanta voto]],"")</f>
        <v>10</v>
      </c>
      <c r="AA806" t="str">
        <f>CONCATENATE(Tabella1[[#This Row],[GG]],Tabella1[[#This Row],[Nome]])</f>
        <v>3Yeboah J.</v>
      </c>
      <c r="AB806" t="str">
        <f t="shared" si="33"/>
        <v>3TRICCHETRACHT</v>
      </c>
      <c r="AC806" t="str">
        <f>_xlfn.CONCAT(Tabella1[[#This Row],[Ruolo]],Tabella1[[#This Row],[Gs]])</f>
        <v>A0</v>
      </c>
    </row>
    <row r="807" spans="1:29" hidden="1" x14ac:dyDescent="0.3">
      <c r="A807" s="14">
        <v>46270</v>
      </c>
      <c r="B807" s="15">
        <v>3</v>
      </c>
      <c r="C807" s="321" t="str">
        <f>_xlfn.XLOOKUP(Tabella1[[#This Row],[Nome]],Tabella4[NOME],Tabella4[SQUADRA],"")</f>
        <v>Parma</v>
      </c>
      <c r="D807" t="s">
        <v>161</v>
      </c>
      <c r="E807" t="s">
        <v>1054</v>
      </c>
      <c r="F807" s="194">
        <v>5.5</v>
      </c>
      <c r="G807" s="328">
        <v>0</v>
      </c>
      <c r="H807" s="328">
        <v>0</v>
      </c>
      <c r="I807" s="328">
        <v>0</v>
      </c>
      <c r="J807" s="328">
        <v>0</v>
      </c>
      <c r="K807" s="328">
        <v>0</v>
      </c>
      <c r="L807" s="328">
        <v>0</v>
      </c>
      <c r="M807" s="328">
        <v>0</v>
      </c>
      <c r="N807" s="328">
        <v>0</v>
      </c>
      <c r="O807" s="328">
        <v>0</v>
      </c>
      <c r="P807" s="284"/>
      <c r="Q807" s="284">
        <f t="shared" si="32"/>
        <v>0</v>
      </c>
      <c r="R807" s="3" t="str">
        <f>_xlfn.IFNA(VLOOKUP(Tabella1[[#This Row],[Nome]],'ROSE SQUADRE'!$N$3:$O$260,2,0),"")</f>
        <v/>
      </c>
      <c r="S807" s="193">
        <f>SUM(Tabella1[[#This Row],[Gf]],Tabella1[[#This Row],[Rf]])</f>
        <v>0</v>
      </c>
      <c r="T807" s="193"/>
      <c r="U807" s="285" t="str">
        <f>IF(Tabella1[[#This Row],[N° FantaTit]]="","",Tabella1[[#This Row],[fanta voto]])</f>
        <v/>
      </c>
      <c r="V807" s="193">
        <f>SUM(Tabella1[[#This Row],[Voto]],(G807*3),Q807,P807,O807,-(N807),(-M807/2),(-L807*2),(-H807),(I807*3),(-J807*3),(K807*3))</f>
        <v>5.5</v>
      </c>
      <c r="W807" s="193"/>
      <c r="X807" s="193" t="str">
        <f>IF(Tabella1[[#This Row],[Best 11]]=1,Tabella1[[#This Row],[fanta voto]],"")</f>
        <v/>
      </c>
      <c r="Z807" s="193" t="str">
        <f>IF(Tabella1[[#This Row],[Best 11 MOD]]=1,Tabella1[[#This Row],[fanta voto]],"")</f>
        <v/>
      </c>
      <c r="AA807" t="str">
        <f>CONCATENATE(Tabella1[[#This Row],[GG]],Tabella1[[#This Row],[Nome]])</f>
        <v>3Diego Carlos</v>
      </c>
      <c r="AB807" t="str">
        <f t="shared" si="33"/>
        <v>3</v>
      </c>
      <c r="AC807" t="str">
        <f>_xlfn.CONCAT(Tabella1[[#This Row],[Ruolo]],Tabella1[[#This Row],[Gs]])</f>
        <v>D0</v>
      </c>
    </row>
    <row r="808" spans="1:29" hidden="1" x14ac:dyDescent="0.3">
      <c r="A808" s="14">
        <v>46270</v>
      </c>
      <c r="B808" s="15">
        <v>3</v>
      </c>
      <c r="C808" s="321" t="str">
        <f>_xlfn.XLOOKUP(Tabella1[[#This Row],[Nome]],Tabella4[NOME],Tabella4[SQUADRA],"")</f>
        <v>Napoli</v>
      </c>
      <c r="D808" s="330" t="s">
        <v>163</v>
      </c>
      <c r="E808" s="330" t="s">
        <v>472</v>
      </c>
      <c r="F808" s="331">
        <v>5.5</v>
      </c>
      <c r="G808" s="332">
        <v>0</v>
      </c>
      <c r="H808" s="332">
        <v>0</v>
      </c>
      <c r="I808" s="332">
        <v>0</v>
      </c>
      <c r="J808" s="332">
        <v>0</v>
      </c>
      <c r="K808" s="332">
        <v>0</v>
      </c>
      <c r="L808" s="332">
        <v>0</v>
      </c>
      <c r="M808" s="332">
        <v>0</v>
      </c>
      <c r="N808" s="332">
        <v>0</v>
      </c>
      <c r="O808" s="332">
        <v>0</v>
      </c>
      <c r="P808" s="284"/>
      <c r="Q808" s="284">
        <f t="shared" si="32"/>
        <v>0</v>
      </c>
      <c r="R808" s="3" t="str">
        <f>_xlfn.IFNA(VLOOKUP(Tabella1[[#This Row],[Nome]],'ROSE SQUADRE'!$N$3:$O$260,2,0),"")</f>
        <v>PESCICULINI</v>
      </c>
      <c r="S808" s="193">
        <f>SUM(Tabella1[[#This Row],[Gf]],Tabella1[[#This Row],[Rf]])</f>
        <v>0</v>
      </c>
      <c r="T808" s="193"/>
      <c r="U808" s="285" t="str">
        <f>IF(Tabella1[[#This Row],[N° FantaTit]]="","",Tabella1[[#This Row],[fanta voto]])</f>
        <v/>
      </c>
      <c r="V808" s="193">
        <f>SUM(Tabella1[[#This Row],[Voto]],(G808*3),Q808,P808,O808,-(N808),(-M808/2),(-L808*2),(-H808),(I808*3),(-J808*3),(K808*3))</f>
        <v>5.5</v>
      </c>
      <c r="W808" s="193"/>
      <c r="X808" s="193" t="str">
        <f>IF(Tabella1[[#This Row],[Best 11]]=1,Tabella1[[#This Row],[fanta voto]],"")</f>
        <v/>
      </c>
      <c r="Z808" s="193" t="str">
        <f>IF(Tabella1[[#This Row],[Best 11 MOD]]=1,Tabella1[[#This Row],[fanta voto]],"")</f>
        <v/>
      </c>
      <c r="AA808" t="str">
        <f>CONCATENATE(Tabella1[[#This Row],[GG]],Tabella1[[#This Row],[Nome]])</f>
        <v>3Lucca</v>
      </c>
      <c r="AB808" t="str">
        <f t="shared" si="33"/>
        <v>3PESCICULINI</v>
      </c>
      <c r="AC808" t="str">
        <f>_xlfn.CONCAT(Tabella1[[#This Row],[Ruolo]],Tabella1[[#This Row],[Gs]])</f>
        <v>A0</v>
      </c>
    </row>
    <row r="809" spans="1:29" x14ac:dyDescent="0.3">
      <c r="A809" s="14">
        <v>46270</v>
      </c>
      <c r="B809" s="15">
        <v>3</v>
      </c>
      <c r="C809" s="321" t="str">
        <f>_xlfn.XLOOKUP(Tabella1[[#This Row],[Nome]],Tabella4[NOME],Tabella4[SQUADRA],"")</f>
        <v>Como</v>
      </c>
      <c r="D809" s="330" t="s">
        <v>162</v>
      </c>
      <c r="E809" s="330" t="s">
        <v>609</v>
      </c>
      <c r="F809" s="331">
        <v>7</v>
      </c>
      <c r="G809" s="333">
        <v>1</v>
      </c>
      <c r="H809" s="332">
        <v>0</v>
      </c>
      <c r="I809" s="332">
        <v>0</v>
      </c>
      <c r="J809" s="332">
        <v>0</v>
      </c>
      <c r="K809" s="332">
        <v>0</v>
      </c>
      <c r="L809" s="332">
        <v>0</v>
      </c>
      <c r="M809" s="332">
        <v>0</v>
      </c>
      <c r="N809" s="332">
        <v>0</v>
      </c>
      <c r="O809" s="332">
        <v>0</v>
      </c>
      <c r="P809" s="284"/>
      <c r="Q809" s="284">
        <f t="shared" si="32"/>
        <v>0</v>
      </c>
      <c r="R809" s="3" t="str">
        <f>_xlfn.IFNA(VLOOKUP(Tabella1[[#This Row],[Nome]],'ROSE SQUADRE'!$N$3:$O$260,2,0),"")</f>
        <v>AS PIPPERIA</v>
      </c>
      <c r="S809" s="193">
        <f>SUM(Tabella1[[#This Row],[Gf]],Tabella1[[#This Row],[Rf]])</f>
        <v>1</v>
      </c>
      <c r="T809" s="193">
        <v>1</v>
      </c>
      <c r="U809" s="285">
        <f>IF(Tabella1[[#This Row],[N° FantaTit]]="","",Tabella1[[#This Row],[fanta voto]])</f>
        <v>10</v>
      </c>
      <c r="V809" s="193">
        <f>SUM(Tabella1[[#This Row],[Voto]],(G809*3),Q809,P809,O809,-(N809),(-M809/2),(-L809*2),(-H809),(I809*3),(-J809*3),(K809*3))</f>
        <v>10</v>
      </c>
      <c r="W809" s="193">
        <v>1</v>
      </c>
      <c r="X809" s="193">
        <f>IF(Tabella1[[#This Row],[Best 11]]=1,Tabella1[[#This Row],[fanta voto]],"")</f>
        <v>10</v>
      </c>
      <c r="Y809">
        <v>1</v>
      </c>
      <c r="Z809" s="193">
        <f>IF(Tabella1[[#This Row],[Best 11 MOD]]=1,Tabella1[[#This Row],[fanta voto]],"")</f>
        <v>10</v>
      </c>
      <c r="AA809" t="str">
        <f>CONCATENATE(Tabella1[[#This Row],[GG]],Tabella1[[#This Row],[Nome]])</f>
        <v>3Paz N.</v>
      </c>
      <c r="AB809" t="str">
        <f t="shared" si="33"/>
        <v>3AS PIPPERIA1</v>
      </c>
      <c r="AC809" t="str">
        <f>_xlfn.CONCAT(Tabella1[[#This Row],[Ruolo]],Tabella1[[#This Row],[Gs]])</f>
        <v>C0</v>
      </c>
    </row>
    <row r="810" spans="1:29" hidden="1" x14ac:dyDescent="0.3">
      <c r="A810" s="14">
        <v>46270</v>
      </c>
      <c r="B810" s="15">
        <v>3</v>
      </c>
      <c r="C810" s="321" t="str">
        <f>_xlfn.XLOOKUP(Tabella1[[#This Row],[Nome]],Tabella4[NOME],Tabella4[SQUADRA],"")</f>
        <v>Monza</v>
      </c>
      <c r="D810" s="330" t="s">
        <v>162</v>
      </c>
      <c r="E810" s="330" t="s">
        <v>328</v>
      </c>
      <c r="F810" s="331">
        <v>6</v>
      </c>
      <c r="G810" s="332">
        <v>0</v>
      </c>
      <c r="H810" s="332">
        <v>0</v>
      </c>
      <c r="I810" s="332">
        <v>0</v>
      </c>
      <c r="J810" s="332">
        <v>0</v>
      </c>
      <c r="K810" s="332">
        <v>0</v>
      </c>
      <c r="L810" s="332">
        <v>0</v>
      </c>
      <c r="M810" s="332">
        <v>0</v>
      </c>
      <c r="N810" s="332">
        <v>0</v>
      </c>
      <c r="O810" s="332">
        <v>0</v>
      </c>
      <c r="P810" s="284"/>
      <c r="Q810" s="284">
        <f t="shared" si="32"/>
        <v>0</v>
      </c>
      <c r="R810" s="3" t="str">
        <f>_xlfn.IFNA(VLOOKUP(Tabella1[[#This Row],[Nome]],'ROSE SQUADRE'!$N$3:$O$260,2,0),"")</f>
        <v>AS PIPPERIA</v>
      </c>
      <c r="S810" s="193">
        <f>SUM(Tabella1[[#This Row],[Gf]],Tabella1[[#This Row],[Rf]])</f>
        <v>0</v>
      </c>
      <c r="T810" s="193">
        <v>1</v>
      </c>
      <c r="U810" s="285">
        <f>IF(Tabella1[[#This Row],[N° FantaTit]]="","",Tabella1[[#This Row],[fanta voto]])</f>
        <v>6</v>
      </c>
      <c r="V810" s="193">
        <f>SUM(Tabella1[[#This Row],[Voto]],(G810*3),Q810,P810,O810,-(N810),(-M810/2),(-L810*2),(-H810),(I810*3),(-J810*3),(K810*3))</f>
        <v>6</v>
      </c>
      <c r="W810" s="193">
        <v>1</v>
      </c>
      <c r="X810" s="193">
        <f>IF(Tabella1[[#This Row],[Best 11]]=1,Tabella1[[#This Row],[fanta voto]],"")</f>
        <v>6</v>
      </c>
      <c r="Y810">
        <v>1</v>
      </c>
      <c r="Z810" s="193">
        <f>IF(Tabella1[[#This Row],[Best 11 MOD]]=1,Tabella1[[#This Row],[fanta voto]],"")</f>
        <v>6</v>
      </c>
      <c r="AA810" t="str">
        <f>CONCATENATE(Tabella1[[#This Row],[GG]],Tabella1[[#This Row],[Nome]])</f>
        <v>3Colpani</v>
      </c>
      <c r="AB810" t="str">
        <f t="shared" si="33"/>
        <v>3AS PIPPERIA1</v>
      </c>
      <c r="AC810" t="str">
        <f>_xlfn.CONCAT(Tabella1[[#This Row],[Ruolo]],Tabella1[[#This Row],[Gs]])</f>
        <v>C0</v>
      </c>
    </row>
    <row r="811" spans="1:29" hidden="1" x14ac:dyDescent="0.3">
      <c r="A811" s="14">
        <v>46270</v>
      </c>
      <c r="B811" s="15">
        <v>3</v>
      </c>
      <c r="C811" s="321" t="str">
        <f>_xlfn.XLOOKUP(Tabella1[[#This Row],[Nome]],Tabella4[NOME],Tabella4[SQUADRA],"")</f>
        <v>Cagliari</v>
      </c>
      <c r="D811" t="s">
        <v>162</v>
      </c>
      <c r="E811" t="s">
        <v>433</v>
      </c>
      <c r="F811" s="194">
        <v>6.5</v>
      </c>
      <c r="G811" s="328">
        <v>0</v>
      </c>
      <c r="H811" s="328">
        <v>0</v>
      </c>
      <c r="I811" s="328">
        <v>0</v>
      </c>
      <c r="J811" s="328">
        <v>0</v>
      </c>
      <c r="K811" s="328">
        <v>0</v>
      </c>
      <c r="L811" s="328">
        <v>0</v>
      </c>
      <c r="M811" s="329">
        <v>1</v>
      </c>
      <c r="N811" s="328">
        <v>0</v>
      </c>
      <c r="O811" s="328">
        <v>0</v>
      </c>
      <c r="P811" s="284"/>
      <c r="Q811" s="284">
        <f t="shared" si="32"/>
        <v>0</v>
      </c>
      <c r="R811" s="3" t="str">
        <f>_xlfn.IFNA(VLOOKUP(Tabella1[[#This Row],[Nome]],'ROSE SQUADRE'!$N$3:$O$260,2,0),"")</f>
        <v/>
      </c>
      <c r="S811" s="193">
        <f>SUM(Tabella1[[#This Row],[Gf]],Tabella1[[#This Row],[Rf]])</f>
        <v>0</v>
      </c>
      <c r="T811" s="193"/>
      <c r="U811" s="285" t="str">
        <f>IF(Tabella1[[#This Row],[N° FantaTit]]="","",Tabella1[[#This Row],[fanta voto]])</f>
        <v/>
      </c>
      <c r="V811" s="193">
        <f>SUM(Tabella1[[#This Row],[Voto]],(G811*3),Q811,P811,O811,-(N811),(-M811/2),(-L811*2),(-H811),(I811*3),(-J811*3),(K811*3))</f>
        <v>6</v>
      </c>
      <c r="W811" s="193"/>
      <c r="X811" s="193" t="str">
        <f>IF(Tabella1[[#This Row],[Best 11]]=1,Tabella1[[#This Row],[fanta voto]],"")</f>
        <v/>
      </c>
      <c r="Z811" s="193" t="str">
        <f>IF(Tabella1[[#This Row],[Best 11 MOD]]=1,Tabella1[[#This Row],[fanta voto]],"")</f>
        <v/>
      </c>
      <c r="AA811" t="str">
        <f>CONCATENATE(Tabella1[[#This Row],[GG]],Tabella1[[#This Row],[Nome]])</f>
        <v>3Deiola</v>
      </c>
      <c r="AB811" t="str">
        <f t="shared" si="33"/>
        <v>3</v>
      </c>
      <c r="AC811" t="str">
        <f>_xlfn.CONCAT(Tabella1[[#This Row],[Ruolo]],Tabella1[[#This Row],[Gs]])</f>
        <v>C0</v>
      </c>
    </row>
    <row r="812" spans="1:29" hidden="1" x14ac:dyDescent="0.3">
      <c r="A812" s="14">
        <v>46270</v>
      </c>
      <c r="B812" s="15">
        <v>3</v>
      </c>
      <c r="C812" s="321" t="str">
        <f>_xlfn.XLOOKUP(Tabella1[[#This Row],[Nome]],Tabella4[NOME],Tabella4[SQUADRA],"")</f>
        <v>Juventus</v>
      </c>
      <c r="D812" s="330" t="s">
        <v>162</v>
      </c>
      <c r="E812" s="330" t="s">
        <v>1016</v>
      </c>
      <c r="F812" s="331">
        <v>6.5</v>
      </c>
      <c r="G812" s="332">
        <v>0</v>
      </c>
      <c r="H812" s="332">
        <v>0</v>
      </c>
      <c r="I812" s="332">
        <v>0</v>
      </c>
      <c r="J812" s="332">
        <v>0</v>
      </c>
      <c r="K812" s="332">
        <v>0</v>
      </c>
      <c r="L812" s="332">
        <v>0</v>
      </c>
      <c r="M812" s="332">
        <v>0</v>
      </c>
      <c r="N812" s="332">
        <v>0</v>
      </c>
      <c r="O812" s="332">
        <v>0</v>
      </c>
      <c r="P812" s="284"/>
      <c r="Q812" s="284">
        <f t="shared" si="32"/>
        <v>0</v>
      </c>
      <c r="R812" s="3" t="str">
        <f>_xlfn.IFNA(VLOOKUP(Tabella1[[#This Row],[Nome]],'ROSE SQUADRE'!$N$3:$O$260,2,0),"")</f>
        <v>SESTO ASENSIO</v>
      </c>
      <c r="S812" s="193">
        <f>SUM(Tabella1[[#This Row],[Gf]],Tabella1[[#This Row],[Rf]])</f>
        <v>0</v>
      </c>
      <c r="T812" s="193"/>
      <c r="U812" s="285" t="str">
        <f>IF(Tabella1[[#This Row],[N° FantaTit]]="","",Tabella1[[#This Row],[fanta voto]])</f>
        <v/>
      </c>
      <c r="V812" s="193">
        <f>SUM(Tabella1[[#This Row],[Voto]],(G812*3),Q812,P812,O812,-(N812),(-M812/2),(-L812*2),(-H812),(I812*3),(-J812*3),(K812*3))</f>
        <v>6.5</v>
      </c>
      <c r="W812" s="193">
        <v>1</v>
      </c>
      <c r="X812" s="193">
        <f>IF(Tabella1[[#This Row],[Best 11]]=1,Tabella1[[#This Row],[fanta voto]],"")</f>
        <v>6.5</v>
      </c>
      <c r="Z812" s="193" t="str">
        <f>IF(Tabella1[[#This Row],[Best 11 MOD]]=1,Tabella1[[#This Row],[fanta voto]],"")</f>
        <v/>
      </c>
      <c r="AA812" t="str">
        <f>CONCATENATE(Tabella1[[#This Row],[GG]],Tabella1[[#This Row],[Nome]])</f>
        <v>3Gonzalez N.</v>
      </c>
      <c r="AB812" t="str">
        <f t="shared" si="33"/>
        <v>3SESTO ASENSIO</v>
      </c>
      <c r="AC812" t="str">
        <f>_xlfn.CONCAT(Tabella1[[#This Row],[Ruolo]],Tabella1[[#This Row],[Gs]])</f>
        <v>C0</v>
      </c>
    </row>
    <row r="813" spans="1:29" hidden="1" x14ac:dyDescent="0.3">
      <c r="A813" s="14">
        <v>46270</v>
      </c>
      <c r="B813" s="15">
        <v>3</v>
      </c>
      <c r="C813" s="321" t="str">
        <f>_xlfn.XLOOKUP(Tabella1[[#This Row],[Nome]],Tabella4[NOME],Tabella4[SQUADRA],"")</f>
        <v>Parma</v>
      </c>
      <c r="D813" t="s">
        <v>163</v>
      </c>
      <c r="E813" t="s">
        <v>890</v>
      </c>
      <c r="F813" s="194">
        <v>7</v>
      </c>
      <c r="G813" s="329">
        <v>1</v>
      </c>
      <c r="H813" s="328">
        <v>0</v>
      </c>
      <c r="I813" s="328">
        <v>0</v>
      </c>
      <c r="J813" s="328">
        <v>0</v>
      </c>
      <c r="K813" s="328">
        <v>0</v>
      </c>
      <c r="L813" s="328">
        <v>0</v>
      </c>
      <c r="M813" s="328">
        <v>0</v>
      </c>
      <c r="N813" s="328">
        <v>0</v>
      </c>
      <c r="O813" s="328">
        <v>0</v>
      </c>
      <c r="P813" s="284"/>
      <c r="Q813" s="284">
        <f t="shared" si="32"/>
        <v>0</v>
      </c>
      <c r="R813" s="3" t="str">
        <f>_xlfn.IFNA(VLOOKUP(Tabella1[[#This Row],[Nome]],'ROSE SQUADRE'!$N$3:$O$260,2,0),"")</f>
        <v>PESCICULINI</v>
      </c>
      <c r="S813" s="193">
        <f>SUM(Tabella1[[#This Row],[Gf]],Tabella1[[#This Row],[Rf]])</f>
        <v>1</v>
      </c>
      <c r="T813" s="193"/>
      <c r="U813" s="285" t="str">
        <f>IF(Tabella1[[#This Row],[N° FantaTit]]="","",Tabella1[[#This Row],[fanta voto]])</f>
        <v/>
      </c>
      <c r="V813" s="193">
        <f>SUM(Tabella1[[#This Row],[Voto]],(G813*3),Q813,P813,O813,-(N813),(-M813/2),(-L813*2),(-H813),(I813*3),(-J813*3),(K813*3))</f>
        <v>10</v>
      </c>
      <c r="W813" s="193">
        <v>1</v>
      </c>
      <c r="X813" s="193">
        <f>IF(Tabella1[[#This Row],[Best 11]]=1,Tabella1[[#This Row],[fanta voto]],"")</f>
        <v>10</v>
      </c>
      <c r="Y813">
        <v>1</v>
      </c>
      <c r="Z813" s="193">
        <f>IF(Tabella1[[#This Row],[Best 11 MOD]]=1,Tabella1[[#This Row],[fanta voto]],"")</f>
        <v>10</v>
      </c>
      <c r="AA813" t="str">
        <f>CONCATENATE(Tabella1[[#This Row],[GG]],Tabella1[[#This Row],[Nome]])</f>
        <v>3Lontani</v>
      </c>
      <c r="AB813" t="str">
        <f t="shared" si="33"/>
        <v>3PESCICULINI</v>
      </c>
      <c r="AC813" t="str">
        <f>_xlfn.CONCAT(Tabella1[[#This Row],[Ruolo]],Tabella1[[#This Row],[Gs]])</f>
        <v>A0</v>
      </c>
    </row>
    <row r="814" spans="1:29" hidden="1" x14ac:dyDescent="0.3">
      <c r="A814" s="14">
        <v>46270</v>
      </c>
      <c r="B814" s="15">
        <v>3</v>
      </c>
      <c r="C814" s="321" t="str">
        <f>_xlfn.XLOOKUP(Tabella1[[#This Row],[Nome]],Tabella4[NOME],Tabella4[SQUADRA],"")</f>
        <v>Atalanta</v>
      </c>
      <c r="D814" s="330" t="s">
        <v>163</v>
      </c>
      <c r="E814" s="330" t="s">
        <v>545</v>
      </c>
      <c r="F814" s="331">
        <v>5</v>
      </c>
      <c r="G814" s="332">
        <v>0</v>
      </c>
      <c r="H814" s="332">
        <v>0</v>
      </c>
      <c r="I814" s="332">
        <v>0</v>
      </c>
      <c r="J814" s="332">
        <v>0</v>
      </c>
      <c r="K814" s="332">
        <v>0</v>
      </c>
      <c r="L814" s="332">
        <v>0</v>
      </c>
      <c r="M814" s="332">
        <v>0</v>
      </c>
      <c r="N814" s="332">
        <v>0</v>
      </c>
      <c r="O814" s="332">
        <v>0</v>
      </c>
      <c r="P814" s="284"/>
      <c r="Q814" s="284">
        <f t="shared" si="32"/>
        <v>0</v>
      </c>
      <c r="R814" s="3" t="str">
        <f>_xlfn.IFNA(VLOOKUP(Tabella1[[#This Row],[Nome]],'ROSE SQUADRE'!$N$3:$O$260,2,0),"")</f>
        <v>PESCICULINI</v>
      </c>
      <c r="S814" s="193">
        <f>SUM(Tabella1[[#This Row],[Gf]],Tabella1[[#This Row],[Rf]])</f>
        <v>0</v>
      </c>
      <c r="T814" s="193"/>
      <c r="U814" s="285" t="str">
        <f>IF(Tabella1[[#This Row],[N° FantaTit]]="","",Tabella1[[#This Row],[fanta voto]])</f>
        <v/>
      </c>
      <c r="V814" s="193">
        <f>SUM(Tabella1[[#This Row],[Voto]],(G814*3),Q814,P814,O814,-(N814),(-M814/2),(-L814*2),(-H814),(I814*3),(-J814*3),(K814*3))</f>
        <v>5</v>
      </c>
      <c r="W814" s="193"/>
      <c r="X814" s="193" t="str">
        <f>IF(Tabella1[[#This Row],[Best 11]]=1,Tabella1[[#This Row],[fanta voto]],"")</f>
        <v/>
      </c>
      <c r="Z814" s="193" t="str">
        <f>IF(Tabella1[[#This Row],[Best 11 MOD]]=1,Tabella1[[#This Row],[fanta voto]],"")</f>
        <v/>
      </c>
      <c r="AA814" t="str">
        <f>CONCATENATE(Tabella1[[#This Row],[GG]],Tabella1[[#This Row],[Nome]])</f>
        <v>3Krstovic</v>
      </c>
      <c r="AB814" t="str">
        <f t="shared" si="33"/>
        <v>3PESCICULINI</v>
      </c>
      <c r="AC814" t="str">
        <f>_xlfn.CONCAT(Tabella1[[#This Row],[Ruolo]],Tabella1[[#This Row],[Gs]])</f>
        <v>A0</v>
      </c>
    </row>
    <row r="815" spans="1:29" hidden="1" x14ac:dyDescent="0.3">
      <c r="A815" s="14">
        <v>46270</v>
      </c>
      <c r="B815" s="15">
        <v>3</v>
      </c>
      <c r="C815" s="321" t="str">
        <f>_xlfn.XLOOKUP(Tabella1[[#This Row],[Nome]],Tabella4[NOME],Tabella4[SQUADRA],"")</f>
        <v>Inter</v>
      </c>
      <c r="D815" t="s">
        <v>163</v>
      </c>
      <c r="E815" t="s">
        <v>453</v>
      </c>
      <c r="F815" s="194">
        <v>7</v>
      </c>
      <c r="G815" s="329">
        <v>1</v>
      </c>
      <c r="H815" s="328">
        <v>0</v>
      </c>
      <c r="I815" s="328">
        <v>0</v>
      </c>
      <c r="J815" s="328">
        <v>0</v>
      </c>
      <c r="K815" s="328">
        <v>0</v>
      </c>
      <c r="L815" s="328">
        <v>0</v>
      </c>
      <c r="M815" s="328">
        <v>0</v>
      </c>
      <c r="N815" s="328">
        <v>0</v>
      </c>
      <c r="O815" s="328">
        <v>0</v>
      </c>
      <c r="P815" s="284"/>
      <c r="Q815" s="284">
        <f t="shared" si="32"/>
        <v>0</v>
      </c>
      <c r="R815" s="3" t="str">
        <f>_xlfn.IFNA(VLOOKUP(Tabella1[[#This Row],[Nome]],'ROSE SQUADRE'!$N$3:$O$260,2,0),"")</f>
        <v>FC INTERNAZIOANALE</v>
      </c>
      <c r="S815" s="193">
        <f>SUM(Tabella1[[#This Row],[Gf]],Tabella1[[#This Row],[Rf]])</f>
        <v>1</v>
      </c>
      <c r="T815" s="193"/>
      <c r="U815" s="285" t="str">
        <f>IF(Tabella1[[#This Row],[N° FantaTit]]="","",Tabella1[[#This Row],[fanta voto]])</f>
        <v/>
      </c>
      <c r="V815" s="193">
        <f>SUM(Tabella1[[#This Row],[Voto]],(G815*3),Q815,P815,O815,-(N815),(-M815/2),(-L815*2),(-H815),(I815*3),(-J815*3),(K815*3))</f>
        <v>10</v>
      </c>
      <c r="W815" s="193">
        <v>1</v>
      </c>
      <c r="X815" s="193">
        <f>IF(Tabella1[[#This Row],[Best 11]]=1,Tabella1[[#This Row],[fanta voto]],"")</f>
        <v>10</v>
      </c>
      <c r="Y815">
        <v>1</v>
      </c>
      <c r="Z815" s="193">
        <f>IF(Tabella1[[#This Row],[Best 11 MOD]]=1,Tabella1[[#This Row],[fanta voto]],"")</f>
        <v>10</v>
      </c>
      <c r="AA815" t="str">
        <f>CONCATENATE(Tabella1[[#This Row],[GG]],Tabella1[[#This Row],[Nome]])</f>
        <v>3Thuram</v>
      </c>
      <c r="AB815" t="str">
        <f t="shared" si="33"/>
        <v>3FC INTERNAZIOANALE</v>
      </c>
      <c r="AC815" t="str">
        <f>_xlfn.CONCAT(Tabella1[[#This Row],[Ruolo]],Tabella1[[#This Row],[Gs]])</f>
        <v>A0</v>
      </c>
    </row>
    <row r="816" spans="1:29" hidden="1" x14ac:dyDescent="0.3">
      <c r="A816" s="14">
        <v>46270</v>
      </c>
      <c r="B816" s="15">
        <v>3</v>
      </c>
      <c r="C816" s="321" t="str">
        <f>_xlfn.XLOOKUP(Tabella1[[#This Row],[Nome]],Tabella4[NOME],Tabella4[SQUADRA],"")</f>
        <v>Como</v>
      </c>
      <c r="D816" t="s">
        <v>162</v>
      </c>
      <c r="E816" t="s">
        <v>517</v>
      </c>
      <c r="F816" s="194">
        <v>6.5</v>
      </c>
      <c r="G816" s="328">
        <v>0</v>
      </c>
      <c r="H816" s="328">
        <v>0</v>
      </c>
      <c r="I816" s="328">
        <v>0</v>
      </c>
      <c r="J816" s="328">
        <v>0</v>
      </c>
      <c r="K816" s="328">
        <v>0</v>
      </c>
      <c r="L816" s="328">
        <v>0</v>
      </c>
      <c r="M816" s="328">
        <v>0</v>
      </c>
      <c r="N816" s="328">
        <v>0</v>
      </c>
      <c r="O816" s="328">
        <v>0</v>
      </c>
      <c r="P816" s="284"/>
      <c r="Q816" s="284">
        <f t="shared" si="32"/>
        <v>0</v>
      </c>
      <c r="R816" s="3" t="str">
        <f>_xlfn.IFNA(VLOOKUP(Tabella1[[#This Row],[Nome]],'ROSE SQUADRE'!$N$3:$O$260,2,0),"")</f>
        <v>PARTIZAN DEGRADO</v>
      </c>
      <c r="S816" s="193">
        <f>SUM(Tabella1[[#This Row],[Gf]],Tabella1[[#This Row],[Rf]])</f>
        <v>0</v>
      </c>
      <c r="T816" s="193">
        <v>1</v>
      </c>
      <c r="U816" s="285">
        <f>IF(Tabella1[[#This Row],[N° FantaTit]]="","",Tabella1[[#This Row],[fanta voto]])</f>
        <v>6.5</v>
      </c>
      <c r="V816" s="193">
        <f>SUM(Tabella1[[#This Row],[Voto]],(G816*3),Q816,P816,O816,-(N816),(-M816/2),(-L816*2),(-H816),(I816*3),(-J816*3),(K816*3))</f>
        <v>6.5</v>
      </c>
      <c r="W816" s="193">
        <v>1</v>
      </c>
      <c r="X816" s="193">
        <f>IF(Tabella1[[#This Row],[Best 11]]=1,Tabella1[[#This Row],[fanta voto]],"")</f>
        <v>6.5</v>
      </c>
      <c r="Y816">
        <v>1</v>
      </c>
      <c r="Z816" s="193">
        <f>IF(Tabella1[[#This Row],[Best 11 MOD]]=1,Tabella1[[#This Row],[fanta voto]],"")</f>
        <v>6.5</v>
      </c>
      <c r="AA816" t="str">
        <f>CONCATENATE(Tabella1[[#This Row],[GG]],Tabella1[[#This Row],[Nome]])</f>
        <v>3Da Cunha</v>
      </c>
      <c r="AB816" t="str">
        <f t="shared" si="33"/>
        <v>3PARTIZAN DEGRADO1</v>
      </c>
      <c r="AC816" t="str">
        <f>_xlfn.CONCAT(Tabella1[[#This Row],[Ruolo]],Tabella1[[#This Row],[Gs]])</f>
        <v>C0</v>
      </c>
    </row>
    <row r="817" spans="1:29" hidden="1" x14ac:dyDescent="0.3">
      <c r="A817" s="14">
        <v>46270</v>
      </c>
      <c r="B817" s="15">
        <v>3</v>
      </c>
      <c r="C817" s="321" t="str">
        <f>_xlfn.XLOOKUP(Tabella1[[#This Row],[Nome]],Tabella4[NOME],Tabella4[SQUADRA],"")</f>
        <v>Torino</v>
      </c>
      <c r="D817" s="330" t="s">
        <v>162</v>
      </c>
      <c r="E817" s="330" t="s">
        <v>942</v>
      </c>
      <c r="F817" s="331">
        <v>6.5</v>
      </c>
      <c r="G817" s="332">
        <v>0</v>
      </c>
      <c r="H817" s="332">
        <v>0</v>
      </c>
      <c r="I817" s="332">
        <v>0</v>
      </c>
      <c r="J817" s="332">
        <v>0</v>
      </c>
      <c r="K817" s="332">
        <v>0</v>
      </c>
      <c r="L817" s="332">
        <v>0</v>
      </c>
      <c r="M817" s="332">
        <v>0</v>
      </c>
      <c r="N817" s="332">
        <v>0</v>
      </c>
      <c r="O817" s="332">
        <v>0</v>
      </c>
      <c r="P817" s="284"/>
      <c r="Q817" s="284">
        <f t="shared" si="32"/>
        <v>0</v>
      </c>
      <c r="R817" s="3" t="str">
        <f>_xlfn.IFNA(VLOOKUP(Tabella1[[#This Row],[Nome]],'ROSE SQUADRE'!$N$3:$O$260,2,0),"")</f>
        <v>PARTIZAN DEGRADO</v>
      </c>
      <c r="S817" s="193">
        <f>SUM(Tabella1[[#This Row],[Gf]],Tabella1[[#This Row],[Rf]])</f>
        <v>0</v>
      </c>
      <c r="T817" s="193"/>
      <c r="U817" s="285" t="str">
        <f>IF(Tabella1[[#This Row],[N° FantaTit]]="","",Tabella1[[#This Row],[fanta voto]])</f>
        <v/>
      </c>
      <c r="V817" s="193">
        <f>SUM(Tabella1[[#This Row],[Voto]],(G817*3),Q817,P817,O817,-(N817),(-M817/2),(-L817*2),(-H817),(I817*3),(-J817*3),(K817*3))</f>
        <v>6.5</v>
      </c>
      <c r="W817" s="193">
        <v>1</v>
      </c>
      <c r="X817" s="193">
        <f>IF(Tabella1[[#This Row],[Best 11]]=1,Tabella1[[#This Row],[fanta voto]],"")</f>
        <v>6.5</v>
      </c>
      <c r="Y817">
        <v>1</v>
      </c>
      <c r="Z817" s="193">
        <f>IF(Tabella1[[#This Row],[Best 11 MOD]]=1,Tabella1[[#This Row],[fanta voto]],"")</f>
        <v>6.5</v>
      </c>
      <c r="AA817" t="str">
        <f>CONCATENATE(Tabella1[[#This Row],[GG]],Tabella1[[#This Row],[Nome]])</f>
        <v>3Cacciamani</v>
      </c>
      <c r="AB817" t="str">
        <f t="shared" si="33"/>
        <v>3PARTIZAN DEGRADO</v>
      </c>
      <c r="AC817" t="str">
        <f>_xlfn.CONCAT(Tabella1[[#This Row],[Ruolo]],Tabella1[[#This Row],[Gs]])</f>
        <v>C0</v>
      </c>
    </row>
    <row r="818" spans="1:29" hidden="1" x14ac:dyDescent="0.3">
      <c r="A818" s="14">
        <v>46270</v>
      </c>
      <c r="B818" s="15">
        <v>3</v>
      </c>
      <c r="C818" s="321" t="str">
        <f>_xlfn.XLOOKUP(Tabella1[[#This Row],[Nome]],Tabella4[NOME],Tabella4[SQUADRA],"")</f>
        <v>Milan</v>
      </c>
      <c r="D818" s="330" t="s">
        <v>162</v>
      </c>
      <c r="E818" s="330" t="s">
        <v>462</v>
      </c>
      <c r="F818" s="331">
        <v>6.5</v>
      </c>
      <c r="G818" s="332">
        <v>0</v>
      </c>
      <c r="H818" s="332">
        <v>0</v>
      </c>
      <c r="I818" s="332">
        <v>0</v>
      </c>
      <c r="J818" s="332">
        <v>0</v>
      </c>
      <c r="K818" s="332">
        <v>0</v>
      </c>
      <c r="L818" s="332">
        <v>0</v>
      </c>
      <c r="M818" s="332">
        <v>0</v>
      </c>
      <c r="N818" s="332">
        <v>0</v>
      </c>
      <c r="O818" s="333">
        <v>1</v>
      </c>
      <c r="P818" s="284"/>
      <c r="Q818" s="284">
        <f t="shared" si="32"/>
        <v>0</v>
      </c>
      <c r="R818" s="3" t="str">
        <f>_xlfn.IFNA(VLOOKUP(Tabella1[[#This Row],[Nome]],'ROSE SQUADRE'!$N$3:$O$260,2,0),"")</f>
        <v>SAN GRIA</v>
      </c>
      <c r="S818" s="193">
        <f>SUM(Tabella1[[#This Row],[Gf]],Tabella1[[#This Row],[Rf]])</f>
        <v>0</v>
      </c>
      <c r="T818" s="193">
        <v>1</v>
      </c>
      <c r="U818" s="285">
        <f>IF(Tabella1[[#This Row],[N° FantaTit]]="","",Tabella1[[#This Row],[fanta voto]])</f>
        <v>7.5</v>
      </c>
      <c r="V818" s="193">
        <f>SUM(Tabella1[[#This Row],[Voto]],(G818*3),Q818,P818,O818,-(N818),(-M818/2),(-L818*2),(-H818),(I818*3),(-J818*3),(K818*3))</f>
        <v>7.5</v>
      </c>
      <c r="W818" s="193">
        <v>1</v>
      </c>
      <c r="X818" s="193">
        <f>IF(Tabella1[[#This Row],[Best 11]]=1,Tabella1[[#This Row],[fanta voto]],"")</f>
        <v>7.5</v>
      </c>
      <c r="Y818">
        <v>1</v>
      </c>
      <c r="Z818" s="193">
        <f>IF(Tabella1[[#This Row],[Best 11 MOD]]=1,Tabella1[[#This Row],[fanta voto]],"")</f>
        <v>7.5</v>
      </c>
      <c r="AA818" t="str">
        <f>CONCATENATE(Tabella1[[#This Row],[GG]],Tabella1[[#This Row],[Nome]])</f>
        <v>3Chukwueze</v>
      </c>
      <c r="AB818" t="str">
        <f t="shared" si="33"/>
        <v>3SAN GRIA1</v>
      </c>
      <c r="AC818" t="str">
        <f>_xlfn.CONCAT(Tabella1[[#This Row],[Ruolo]],Tabella1[[#This Row],[Gs]])</f>
        <v>C0</v>
      </c>
    </row>
    <row r="819" spans="1:29" hidden="1" x14ac:dyDescent="0.3">
      <c r="A819" s="14">
        <v>46270</v>
      </c>
      <c r="B819" s="15">
        <v>3</v>
      </c>
      <c r="C819" s="321" t="str">
        <f>_xlfn.XLOOKUP(Tabella1[[#This Row],[Nome]],Tabella4[NOME],Tabella4[SQUADRA],"")</f>
        <v>Torino</v>
      </c>
      <c r="D819" t="s">
        <v>163</v>
      </c>
      <c r="E819" t="s">
        <v>345</v>
      </c>
      <c r="F819" s="194">
        <v>6</v>
      </c>
      <c r="G819" s="328">
        <v>0</v>
      </c>
      <c r="H819" s="328">
        <v>0</v>
      </c>
      <c r="I819" s="328">
        <v>0</v>
      </c>
      <c r="J819" s="328">
        <v>0</v>
      </c>
      <c r="K819" s="328">
        <v>0</v>
      </c>
      <c r="L819" s="328">
        <v>0</v>
      </c>
      <c r="M819" s="328">
        <v>0</v>
      </c>
      <c r="N819" s="328">
        <v>0</v>
      </c>
      <c r="O819" s="328">
        <v>0</v>
      </c>
      <c r="P819" s="284"/>
      <c r="Q819" s="284">
        <f t="shared" si="32"/>
        <v>0</v>
      </c>
      <c r="R819" s="3" t="str">
        <f>_xlfn.IFNA(VLOOKUP(Tabella1[[#This Row],[Nome]],'ROSE SQUADRE'!$N$3:$O$260,2,0),"")</f>
        <v>AS PIPPERIA</v>
      </c>
      <c r="S819" s="193">
        <f>SUM(Tabella1[[#This Row],[Gf]],Tabella1[[#This Row],[Rf]])</f>
        <v>0</v>
      </c>
      <c r="T819" s="193">
        <v>1</v>
      </c>
      <c r="U819" s="285">
        <f>IF(Tabella1[[#This Row],[N° FantaTit]]="","",Tabella1[[#This Row],[fanta voto]])</f>
        <v>6</v>
      </c>
      <c r="V819" s="193">
        <f>SUM(Tabella1[[#This Row],[Voto]],(G819*3),Q819,P819,O819,-(N819),(-M819/2),(-L819*2),(-H819),(I819*3),(-J819*3),(K819*3))</f>
        <v>6</v>
      </c>
      <c r="W819" s="193">
        <v>1</v>
      </c>
      <c r="X819" s="193">
        <f>IF(Tabella1[[#This Row],[Best 11]]=1,Tabella1[[#This Row],[fanta voto]],"")</f>
        <v>6</v>
      </c>
      <c r="Y819">
        <v>1</v>
      </c>
      <c r="Z819" s="193">
        <f>IF(Tabella1[[#This Row],[Best 11 MOD]]=1,Tabella1[[#This Row],[fanta voto]],"")</f>
        <v>6</v>
      </c>
      <c r="AA819" t="str">
        <f>CONCATENATE(Tabella1[[#This Row],[GG]],Tabella1[[#This Row],[Nome]])</f>
        <v>3Simeone</v>
      </c>
      <c r="AB819" t="str">
        <f t="shared" si="33"/>
        <v>3AS PIPPERIA1</v>
      </c>
      <c r="AC819" t="str">
        <f>_xlfn.CONCAT(Tabella1[[#This Row],[Ruolo]],Tabella1[[#This Row],[Gs]])</f>
        <v>A0</v>
      </c>
    </row>
    <row r="820" spans="1:29" hidden="1" x14ac:dyDescent="0.3">
      <c r="A820" s="14">
        <v>46270</v>
      </c>
      <c r="B820" s="15">
        <v>3</v>
      </c>
      <c r="C820" s="321" t="str">
        <f>_xlfn.XLOOKUP(Tabella1[[#This Row],[Nome]],Tabella4[NOME],Tabella4[SQUADRA],"")</f>
        <v>Lecce</v>
      </c>
      <c r="D820" s="330" t="s">
        <v>162</v>
      </c>
      <c r="E820" s="330" t="s">
        <v>209</v>
      </c>
      <c r="F820" s="331">
        <v>6</v>
      </c>
      <c r="G820" s="332">
        <v>0</v>
      </c>
      <c r="H820" s="332">
        <v>0</v>
      </c>
      <c r="I820" s="332">
        <v>0</v>
      </c>
      <c r="J820" s="332">
        <v>0</v>
      </c>
      <c r="K820" s="332">
        <v>0</v>
      </c>
      <c r="L820" s="332">
        <v>0</v>
      </c>
      <c r="M820" s="332">
        <v>0</v>
      </c>
      <c r="N820" s="332">
        <v>0</v>
      </c>
      <c r="O820" s="332">
        <v>0</v>
      </c>
      <c r="P820" s="284"/>
      <c r="Q820" s="284">
        <f t="shared" si="32"/>
        <v>0</v>
      </c>
      <c r="R820" s="3" t="str">
        <f>_xlfn.IFNA(VLOOKUP(Tabella1[[#This Row],[Nome]],'ROSE SQUADRE'!$N$3:$O$260,2,0),"")</f>
        <v/>
      </c>
      <c r="S820" s="193">
        <f>SUM(Tabella1[[#This Row],[Gf]],Tabella1[[#This Row],[Rf]])</f>
        <v>0</v>
      </c>
      <c r="T820" s="193"/>
      <c r="U820" s="285" t="str">
        <f>IF(Tabella1[[#This Row],[N° FantaTit]]="","",Tabella1[[#This Row],[fanta voto]])</f>
        <v/>
      </c>
      <c r="V820" s="193">
        <f>SUM(Tabella1[[#This Row],[Voto]],(G820*3),Q820,P820,O820,-(N820),(-M820/2),(-L820*2),(-H820),(I820*3),(-J820*3),(K820*3))</f>
        <v>6</v>
      </c>
      <c r="W820" s="193"/>
      <c r="X820" s="193" t="str">
        <f>IF(Tabella1[[#This Row],[Best 11]]=1,Tabella1[[#This Row],[fanta voto]],"")</f>
        <v/>
      </c>
      <c r="Z820" s="193" t="str">
        <f>IF(Tabella1[[#This Row],[Best 11 MOD]]=1,Tabella1[[#This Row],[fanta voto]],"")</f>
        <v/>
      </c>
      <c r="AA820" t="str">
        <f>CONCATENATE(Tabella1[[#This Row],[GG]],Tabella1[[#This Row],[Nome]])</f>
        <v>3Coulibaly L.</v>
      </c>
      <c r="AB820" t="str">
        <f t="shared" si="33"/>
        <v>3</v>
      </c>
      <c r="AC820" t="str">
        <f>_xlfn.CONCAT(Tabella1[[#This Row],[Ruolo]],Tabella1[[#This Row],[Gs]])</f>
        <v>C0</v>
      </c>
    </row>
    <row r="821" spans="1:29" hidden="1" x14ac:dyDescent="0.3">
      <c r="A821" s="14">
        <v>46270</v>
      </c>
      <c r="B821" s="15">
        <v>3</v>
      </c>
      <c r="C821" s="321" t="str">
        <f>_xlfn.XLOOKUP(Tabella1[[#This Row],[Nome]],Tabella4[NOME],Tabella4[SQUADRA],"")</f>
        <v>Genoa</v>
      </c>
      <c r="D821" t="s">
        <v>162</v>
      </c>
      <c r="E821" t="s">
        <v>320</v>
      </c>
      <c r="F821" s="194">
        <v>6</v>
      </c>
      <c r="G821" s="328">
        <v>0</v>
      </c>
      <c r="H821" s="328">
        <v>0</v>
      </c>
      <c r="I821" s="328">
        <v>0</v>
      </c>
      <c r="J821" s="328">
        <v>0</v>
      </c>
      <c r="K821" s="328">
        <v>0</v>
      </c>
      <c r="L821" s="328">
        <v>0</v>
      </c>
      <c r="M821" s="328">
        <v>0</v>
      </c>
      <c r="N821" s="328">
        <v>0</v>
      </c>
      <c r="O821" s="328">
        <v>0</v>
      </c>
      <c r="P821" s="284"/>
      <c r="Q821" s="284">
        <f t="shared" si="32"/>
        <v>0</v>
      </c>
      <c r="R821" s="3" t="str">
        <f>_xlfn.IFNA(VLOOKUP(Tabella1[[#This Row],[Nome]],'ROSE SQUADRE'!$N$3:$O$260,2,0),"")</f>
        <v>PARTIZAN DEGRADO</v>
      </c>
      <c r="S821" s="193">
        <f>SUM(Tabella1[[#This Row],[Gf]],Tabella1[[#This Row],[Rf]])</f>
        <v>0</v>
      </c>
      <c r="T821" s="193"/>
      <c r="U821" s="285" t="str">
        <f>IF(Tabella1[[#This Row],[N° FantaTit]]="","",Tabella1[[#This Row],[fanta voto]])</f>
        <v/>
      </c>
      <c r="V821" s="193">
        <f>SUM(Tabella1[[#This Row],[Voto]],(G821*3),Q821,P821,O821,-(N821),(-M821/2),(-L821*2),(-H821),(I821*3),(-J821*3),(K821*3))</f>
        <v>6</v>
      </c>
      <c r="W821" s="193"/>
      <c r="X821" s="193" t="str">
        <f>IF(Tabella1[[#This Row],[Best 11]]=1,Tabella1[[#This Row],[fanta voto]],"")</f>
        <v/>
      </c>
      <c r="Z821" s="193" t="str">
        <f>IF(Tabella1[[#This Row],[Best 11 MOD]]=1,Tabella1[[#This Row],[fanta voto]],"")</f>
        <v/>
      </c>
      <c r="AA821" t="str">
        <f>CONCATENATE(Tabella1[[#This Row],[GG]],Tabella1[[#This Row],[Nome]])</f>
        <v>3Baldanzi</v>
      </c>
      <c r="AB821" t="str">
        <f t="shared" si="33"/>
        <v>3PARTIZAN DEGRADO</v>
      </c>
      <c r="AC821" t="str">
        <f>_xlfn.CONCAT(Tabella1[[#This Row],[Ruolo]],Tabella1[[#This Row],[Gs]])</f>
        <v>C0</v>
      </c>
    </row>
    <row r="822" spans="1:29" x14ac:dyDescent="0.3">
      <c r="A822" s="14">
        <v>46270</v>
      </c>
      <c r="B822" s="15">
        <v>3</v>
      </c>
      <c r="C822" s="321" t="str">
        <f>_xlfn.XLOOKUP(Tabella1[[#This Row],[Nome]],Tabella4[NOME],Tabella4[SQUADRA],"")</f>
        <v>Genoa</v>
      </c>
      <c r="D822" s="330" t="s">
        <v>163</v>
      </c>
      <c r="E822" s="330" t="s">
        <v>1014</v>
      </c>
      <c r="F822" s="331">
        <v>6.5</v>
      </c>
      <c r="G822" s="333">
        <v>1</v>
      </c>
      <c r="H822" s="332">
        <v>0</v>
      </c>
      <c r="I822" s="332">
        <v>0</v>
      </c>
      <c r="J822" s="332">
        <v>0</v>
      </c>
      <c r="K822" s="332">
        <v>0</v>
      </c>
      <c r="L822" s="332">
        <v>0</v>
      </c>
      <c r="M822" s="332">
        <v>0</v>
      </c>
      <c r="N822" s="332">
        <v>0</v>
      </c>
      <c r="O822" s="332">
        <v>0</v>
      </c>
      <c r="P822" s="284"/>
      <c r="Q822" s="284">
        <f t="shared" si="32"/>
        <v>0</v>
      </c>
      <c r="R822" s="3" t="str">
        <f>_xlfn.IFNA(VLOOKUP(Tabella1[[#This Row],[Nome]],'ROSE SQUADRE'!$N$3:$O$260,2,0),"")</f>
        <v>SAN GRIA</v>
      </c>
      <c r="S822" s="193">
        <f>SUM(Tabella1[[#This Row],[Gf]],Tabella1[[#This Row],[Rf]])</f>
        <v>1</v>
      </c>
      <c r="T822" s="193">
        <v>1</v>
      </c>
      <c r="U822" s="285">
        <f>IF(Tabella1[[#This Row],[N° FantaTit]]="","",Tabella1[[#This Row],[fanta voto]])</f>
        <v>9.5</v>
      </c>
      <c r="V822" s="193">
        <f>SUM(Tabella1[[#This Row],[Voto]],(G822*3),Q822,P822,O822,-(N822),(-M822/2),(-L822*2),(-H822),(I822*3),(-J822*3),(K822*3))</f>
        <v>9.5</v>
      </c>
      <c r="W822" s="193">
        <v>1</v>
      </c>
      <c r="X822" s="193">
        <f>IF(Tabella1[[#This Row],[Best 11]]=1,Tabella1[[#This Row],[fanta voto]],"")</f>
        <v>9.5</v>
      </c>
      <c r="Y822">
        <v>1</v>
      </c>
      <c r="Z822" s="193">
        <f>IF(Tabella1[[#This Row],[Best 11 MOD]]=1,Tabella1[[#This Row],[fanta voto]],"")</f>
        <v>9.5</v>
      </c>
      <c r="AA822" t="str">
        <f>CONCATENATE(Tabella1[[#This Row],[GG]],Tabella1[[#This Row],[Nome]])</f>
        <v>3Osmajic</v>
      </c>
      <c r="AB822" t="str">
        <f t="shared" si="33"/>
        <v>3SAN GRIA1</v>
      </c>
      <c r="AC822" t="str">
        <f>_xlfn.CONCAT(Tabella1[[#This Row],[Ruolo]],Tabella1[[#This Row],[Gs]])</f>
        <v>A0</v>
      </c>
    </row>
    <row r="823" spans="1:29" x14ac:dyDescent="0.3">
      <c r="A823" s="14">
        <v>46270</v>
      </c>
      <c r="B823" s="15">
        <v>3</v>
      </c>
      <c r="C823" s="321" t="str">
        <f>_xlfn.XLOOKUP(Tabella1[[#This Row],[Nome]],Tabella4[NOME],Tabella4[SQUADRA],"")</f>
        <v>Milan</v>
      </c>
      <c r="D823" s="330" t="s">
        <v>162</v>
      </c>
      <c r="E823" s="330" t="s">
        <v>833</v>
      </c>
      <c r="F823" s="331">
        <v>7</v>
      </c>
      <c r="G823" s="333">
        <v>1</v>
      </c>
      <c r="H823" s="332">
        <v>0</v>
      </c>
      <c r="I823" s="332">
        <v>0</v>
      </c>
      <c r="J823" s="332">
        <v>0</v>
      </c>
      <c r="K823" s="332">
        <v>0</v>
      </c>
      <c r="L823" s="332">
        <v>0</v>
      </c>
      <c r="M823" s="333">
        <v>1</v>
      </c>
      <c r="N823" s="332">
        <v>0</v>
      </c>
      <c r="O823" s="332">
        <v>0</v>
      </c>
      <c r="P823" s="284"/>
      <c r="Q823" s="284">
        <f t="shared" si="32"/>
        <v>0</v>
      </c>
      <c r="R823" s="3" t="str">
        <f>_xlfn.IFNA(VLOOKUP(Tabella1[[#This Row],[Nome]],'ROSE SQUADRE'!$N$3:$O$260,2,0),"")</f>
        <v>SESTO ASENSIO</v>
      </c>
      <c r="S823" s="193">
        <f>SUM(Tabella1[[#This Row],[Gf]],Tabella1[[#This Row],[Rf]])</f>
        <v>1</v>
      </c>
      <c r="T823" s="193">
        <v>1</v>
      </c>
      <c r="U823" s="285">
        <f>IF(Tabella1[[#This Row],[N° FantaTit]]="","",Tabella1[[#This Row],[fanta voto]])</f>
        <v>9.5</v>
      </c>
      <c r="V823" s="193">
        <f>SUM(Tabella1[[#This Row],[Voto]],(G823*3),Q823,P823,O823,-(N823),(-M823/2),(-L823*2),(-H823),(I823*3),(-J823*3),(K823*3))</f>
        <v>9.5</v>
      </c>
      <c r="W823" s="193">
        <v>1</v>
      </c>
      <c r="X823" s="193">
        <f>IF(Tabella1[[#This Row],[Best 11]]=1,Tabella1[[#This Row],[fanta voto]],"")</f>
        <v>9.5</v>
      </c>
      <c r="Y823">
        <v>1</v>
      </c>
      <c r="Z823" s="193">
        <f>IF(Tabella1[[#This Row],[Best 11 MOD]]=1,Tabella1[[#This Row],[fanta voto]],"")</f>
        <v>9.5</v>
      </c>
      <c r="AA823" t="str">
        <f>CONCATENATE(Tabella1[[#This Row],[GG]],Tabella1[[#This Row],[Nome]])</f>
        <v>3Cissè A.</v>
      </c>
      <c r="AB823" t="str">
        <f t="shared" si="33"/>
        <v>3SESTO ASENSIO1</v>
      </c>
      <c r="AC823" t="str">
        <f>_xlfn.CONCAT(Tabella1[[#This Row],[Ruolo]],Tabella1[[#This Row],[Gs]])</f>
        <v>C0</v>
      </c>
    </row>
    <row r="824" spans="1:29" hidden="1" x14ac:dyDescent="0.3">
      <c r="A824" s="14">
        <v>46270</v>
      </c>
      <c r="B824" s="15">
        <v>3</v>
      </c>
      <c r="C824" s="321" t="str">
        <f>_xlfn.XLOOKUP(Tabella1[[#This Row],[Nome]],Tabella4[NOME],Tabella4[SQUADRA],"")</f>
        <v>Torino</v>
      </c>
      <c r="D824" s="330" t="s">
        <v>161</v>
      </c>
      <c r="E824" s="330" t="s">
        <v>937</v>
      </c>
      <c r="F824" s="331">
        <v>6.5</v>
      </c>
      <c r="G824" s="332">
        <v>0</v>
      </c>
      <c r="H824" s="332">
        <v>0</v>
      </c>
      <c r="I824" s="332">
        <v>0</v>
      </c>
      <c r="J824" s="332">
        <v>0</v>
      </c>
      <c r="K824" s="332">
        <v>0</v>
      </c>
      <c r="L824" s="332">
        <v>0</v>
      </c>
      <c r="M824" s="332">
        <v>0</v>
      </c>
      <c r="N824" s="332">
        <v>0</v>
      </c>
      <c r="O824" s="333">
        <v>1</v>
      </c>
      <c r="P824" s="284"/>
      <c r="Q824" s="284">
        <f t="shared" si="32"/>
        <v>0</v>
      </c>
      <c r="R824" s="3" t="str">
        <f>_xlfn.IFNA(VLOOKUP(Tabella1[[#This Row],[Nome]],'ROSE SQUADRE'!$N$3:$O$260,2,0),"")</f>
        <v/>
      </c>
      <c r="S824" s="193">
        <f>SUM(Tabella1[[#This Row],[Gf]],Tabella1[[#This Row],[Rf]])</f>
        <v>0</v>
      </c>
      <c r="T824" s="193"/>
      <c r="U824" s="285" t="str">
        <f>IF(Tabella1[[#This Row],[N° FantaTit]]="","",Tabella1[[#This Row],[fanta voto]])</f>
        <v/>
      </c>
      <c r="V824" s="193">
        <f>SUM(Tabella1[[#This Row],[Voto]],(G824*3),Q824,P824,O824,-(N824),(-M824/2),(-L824*2),(-H824),(I824*3),(-J824*3),(K824*3))</f>
        <v>7.5</v>
      </c>
      <c r="W824" s="193"/>
      <c r="X824" s="193" t="str">
        <f>IF(Tabella1[[#This Row],[Best 11]]=1,Tabella1[[#This Row],[fanta voto]],"")</f>
        <v/>
      </c>
      <c r="Z824" s="193" t="str">
        <f>IF(Tabella1[[#This Row],[Best 11 MOD]]=1,Tabella1[[#This Row],[fanta voto]],"")</f>
        <v/>
      </c>
      <c r="AA824" t="str">
        <f>CONCATENATE(Tabella1[[#This Row],[GG]],Tabella1[[#This Row],[Nome]])</f>
        <v>3Comert</v>
      </c>
      <c r="AB824" t="str">
        <f t="shared" si="33"/>
        <v>3</v>
      </c>
      <c r="AC824" t="str">
        <f>_xlfn.CONCAT(Tabella1[[#This Row],[Ruolo]],Tabella1[[#This Row],[Gs]])</f>
        <v>D0</v>
      </c>
    </row>
    <row r="825" spans="1:29" hidden="1" x14ac:dyDescent="0.3">
      <c r="A825" s="14">
        <v>46270</v>
      </c>
      <c r="B825" s="15">
        <v>3</v>
      </c>
      <c r="C825" s="321" t="str">
        <f>_xlfn.XLOOKUP(Tabella1[[#This Row],[Nome]],Tabella4[NOME],Tabella4[SQUADRA],"")</f>
        <v>Napoli</v>
      </c>
      <c r="D825" t="s">
        <v>163</v>
      </c>
      <c r="E825" t="s">
        <v>870</v>
      </c>
      <c r="F825" s="194">
        <v>7</v>
      </c>
      <c r="G825" s="329">
        <v>1</v>
      </c>
      <c r="H825" s="328">
        <v>0</v>
      </c>
      <c r="I825" s="328">
        <v>0</v>
      </c>
      <c r="J825" s="328">
        <v>0</v>
      </c>
      <c r="K825" s="328">
        <v>0</v>
      </c>
      <c r="L825" s="328">
        <v>0</v>
      </c>
      <c r="M825" s="328">
        <v>0</v>
      </c>
      <c r="N825" s="328">
        <v>0</v>
      </c>
      <c r="O825" s="328">
        <v>0</v>
      </c>
      <c r="P825" s="284"/>
      <c r="Q825" s="284">
        <f t="shared" si="32"/>
        <v>0</v>
      </c>
      <c r="R825" s="3" t="str">
        <f>_xlfn.IFNA(VLOOKUP(Tabella1[[#This Row],[Nome]],'ROSE SQUADRE'!$N$3:$O$260,2,0),"")</f>
        <v>AS PIPPERIA</v>
      </c>
      <c r="S825" s="193">
        <f>SUM(Tabella1[[#This Row],[Gf]],Tabella1[[#This Row],[Rf]])</f>
        <v>1</v>
      </c>
      <c r="T825" s="193"/>
      <c r="U825" s="285" t="str">
        <f>IF(Tabella1[[#This Row],[N° FantaTit]]="","",Tabella1[[#This Row],[fanta voto]])</f>
        <v/>
      </c>
      <c r="V825" s="193">
        <f>SUM(Tabella1[[#This Row],[Voto]],(G825*3),Q825,P825,O825,-(N825),(-M825/2),(-L825*2),(-H825),(I825*3),(-J825*3),(K825*3))</f>
        <v>10</v>
      </c>
      <c r="W825" s="193">
        <v>1</v>
      </c>
      <c r="X825" s="193">
        <f>IF(Tabella1[[#This Row],[Best 11]]=1,Tabella1[[#This Row],[fanta voto]],"")</f>
        <v>10</v>
      </c>
      <c r="Y825">
        <v>1</v>
      </c>
      <c r="Z825" s="193">
        <f>IF(Tabella1[[#This Row],[Best 11 MOD]]=1,Tabella1[[#This Row],[fanta voto]],"")</f>
        <v>10</v>
      </c>
      <c r="AA825" t="str">
        <f>CONCATENATE(Tabella1[[#This Row],[GG]],Tabella1[[#This Row],[Nome]])</f>
        <v>3Hojlund</v>
      </c>
      <c r="AB825" t="str">
        <f t="shared" si="33"/>
        <v>3AS PIPPERIA</v>
      </c>
      <c r="AC825" t="str">
        <f>_xlfn.CONCAT(Tabella1[[#This Row],[Ruolo]],Tabella1[[#This Row],[Gs]])</f>
        <v>A0</v>
      </c>
    </row>
    <row r="826" spans="1:29" hidden="1" x14ac:dyDescent="0.3">
      <c r="A826" s="14">
        <v>46270</v>
      </c>
      <c r="B826" s="15">
        <v>3</v>
      </c>
      <c r="C826" s="321" t="str">
        <f>_xlfn.XLOOKUP(Tabella1[[#This Row],[Nome]],Tabella4[NOME],Tabella4[SQUADRA],"")</f>
        <v>Monza</v>
      </c>
      <c r="D826" s="330" t="s">
        <v>162</v>
      </c>
      <c r="E826" s="330" t="s">
        <v>854</v>
      </c>
      <c r="F826" s="331">
        <v>5.5</v>
      </c>
      <c r="G826" s="332">
        <v>0</v>
      </c>
      <c r="H826" s="332">
        <v>0</v>
      </c>
      <c r="I826" s="332">
        <v>0</v>
      </c>
      <c r="J826" s="332">
        <v>0</v>
      </c>
      <c r="K826" s="332">
        <v>0</v>
      </c>
      <c r="L826" s="332">
        <v>0</v>
      </c>
      <c r="M826" s="333">
        <v>1</v>
      </c>
      <c r="N826" s="332">
        <v>0</v>
      </c>
      <c r="O826" s="332">
        <v>0</v>
      </c>
      <c r="P826" s="284"/>
      <c r="Q826" s="284">
        <f t="shared" si="32"/>
        <v>0</v>
      </c>
      <c r="R826" s="3" t="str">
        <f>_xlfn.IFNA(VLOOKUP(Tabella1[[#This Row],[Nome]],'ROSE SQUADRE'!$N$3:$O$260,2,0),"")</f>
        <v/>
      </c>
      <c r="S826" s="193">
        <f>SUM(Tabella1[[#This Row],[Gf]],Tabella1[[#This Row],[Rf]])</f>
        <v>0</v>
      </c>
      <c r="T826" s="193"/>
      <c r="U826" s="285" t="str">
        <f>IF(Tabella1[[#This Row],[N° FantaTit]]="","",Tabella1[[#This Row],[fanta voto]])</f>
        <v/>
      </c>
      <c r="V826" s="193">
        <f>SUM(Tabella1[[#This Row],[Voto]],(G826*3),Q826,P826,O826,-(N826),(-M826/2),(-L826*2),(-H826),(I826*3),(-J826*3),(K826*3))</f>
        <v>5</v>
      </c>
      <c r="W826" s="193"/>
      <c r="X826" s="193" t="str">
        <f>IF(Tabella1[[#This Row],[Best 11]]=1,Tabella1[[#This Row],[fanta voto]],"")</f>
        <v/>
      </c>
      <c r="Z826" s="193" t="str">
        <f>IF(Tabella1[[#This Row],[Best 11 MOD]]=1,Tabella1[[#This Row],[fanta voto]],"")</f>
        <v/>
      </c>
      <c r="AA826" t="str">
        <f>CONCATENATE(Tabella1[[#This Row],[GG]],Tabella1[[#This Row],[Nome]])</f>
        <v>3Colombo L.</v>
      </c>
      <c r="AB826" t="str">
        <f t="shared" si="33"/>
        <v>3</v>
      </c>
      <c r="AC826" t="str">
        <f>_xlfn.CONCAT(Tabella1[[#This Row],[Ruolo]],Tabella1[[#This Row],[Gs]])</f>
        <v>C0</v>
      </c>
    </row>
    <row r="827" spans="1:29" x14ac:dyDescent="0.3">
      <c r="A827" s="14">
        <v>46270</v>
      </c>
      <c r="B827" s="15">
        <v>3</v>
      </c>
      <c r="C827" s="321" t="str">
        <f>_xlfn.XLOOKUP(Tabella1[[#This Row],[Nome]],Tabella4[NOME],Tabella4[SQUADRA],"")</f>
        <v>Frosinone</v>
      </c>
      <c r="D827" t="s">
        <v>163</v>
      </c>
      <c r="E827" t="s">
        <v>747</v>
      </c>
      <c r="F827" s="194">
        <v>7</v>
      </c>
      <c r="G827" s="329">
        <v>1</v>
      </c>
      <c r="H827" s="328">
        <v>0</v>
      </c>
      <c r="I827" s="328">
        <v>0</v>
      </c>
      <c r="J827" s="328">
        <v>0</v>
      </c>
      <c r="K827" s="328">
        <v>0</v>
      </c>
      <c r="L827" s="328">
        <v>0</v>
      </c>
      <c r="M827" s="328">
        <v>0</v>
      </c>
      <c r="N827" s="328">
        <v>0</v>
      </c>
      <c r="O827" s="328">
        <v>0</v>
      </c>
      <c r="P827" s="284">
        <v>1</v>
      </c>
      <c r="Q827" s="284">
        <f t="shared" si="32"/>
        <v>0</v>
      </c>
      <c r="R827" s="3" t="str">
        <f>_xlfn.IFNA(VLOOKUP(Tabella1[[#This Row],[Nome]],'ROSE SQUADRE'!$N$3:$O$260,2,0),"")</f>
        <v>PARTIZAN DEGRADO</v>
      </c>
      <c r="S827" s="193">
        <f>SUM(Tabella1[[#This Row],[Gf]],Tabella1[[#This Row],[Rf]])</f>
        <v>1</v>
      </c>
      <c r="T827" s="193">
        <v>1</v>
      </c>
      <c r="U827" s="285">
        <f>IF(Tabella1[[#This Row],[N° FantaTit]]="","",Tabella1[[#This Row],[fanta voto]])</f>
        <v>11</v>
      </c>
      <c r="V827" s="193">
        <f>SUM(Tabella1[[#This Row],[Voto]],(G827*3),Q827,P827,O827,-(N827),(-M827/2),(-L827*2),(-H827),(I827*3),(-J827*3),(K827*3))</f>
        <v>11</v>
      </c>
      <c r="W827" s="193">
        <v>1</v>
      </c>
      <c r="X827" s="193">
        <f>IF(Tabella1[[#This Row],[Best 11]]=1,Tabella1[[#This Row],[fanta voto]],"")</f>
        <v>11</v>
      </c>
      <c r="Y827">
        <v>1</v>
      </c>
      <c r="Z827" s="193">
        <f>IF(Tabella1[[#This Row],[Best 11 MOD]]=1,Tabella1[[#This Row],[fanta voto]],"")</f>
        <v>11</v>
      </c>
      <c r="AA827" t="str">
        <f>CONCATENATE(Tabella1[[#This Row],[GG]],Tabella1[[#This Row],[Nome]])</f>
        <v>3Kvernadze</v>
      </c>
      <c r="AB827" t="str">
        <f t="shared" si="33"/>
        <v>3PARTIZAN DEGRADO1</v>
      </c>
      <c r="AC827" t="str">
        <f>_xlfn.CONCAT(Tabella1[[#This Row],[Ruolo]],Tabella1[[#This Row],[Gs]])</f>
        <v>A0</v>
      </c>
    </row>
    <row r="828" spans="1:29" hidden="1" x14ac:dyDescent="0.3">
      <c r="A828" s="14">
        <v>46270</v>
      </c>
      <c r="B828" s="15">
        <v>3</v>
      </c>
      <c r="C828" s="321" t="str">
        <f>_xlfn.XLOOKUP(Tabella1[[#This Row],[Nome]],Tabella4[NOME],Tabella4[SQUADRA],"")</f>
        <v>Torino</v>
      </c>
      <c r="D828" t="s">
        <v>161</v>
      </c>
      <c r="E828" t="s">
        <v>572</v>
      </c>
      <c r="F828" s="194">
        <v>6</v>
      </c>
      <c r="G828" s="328">
        <v>0</v>
      </c>
      <c r="H828" s="328">
        <v>0</v>
      </c>
      <c r="I828" s="328">
        <v>0</v>
      </c>
      <c r="J828" s="328">
        <v>0</v>
      </c>
      <c r="K828" s="328">
        <v>0</v>
      </c>
      <c r="L828" s="328">
        <v>0</v>
      </c>
      <c r="M828" s="328">
        <v>0</v>
      </c>
      <c r="N828" s="328">
        <v>0</v>
      </c>
      <c r="O828" s="328">
        <v>0</v>
      </c>
      <c r="P828" s="284"/>
      <c r="Q828" s="284">
        <f t="shared" si="32"/>
        <v>0</v>
      </c>
      <c r="R828" s="3" t="str">
        <f>_xlfn.IFNA(VLOOKUP(Tabella1[[#This Row],[Nome]],'ROSE SQUADRE'!$N$3:$O$260,2,0),"")</f>
        <v/>
      </c>
      <c r="S828" s="193">
        <f>SUM(Tabella1[[#This Row],[Gf]],Tabella1[[#This Row],[Rf]])</f>
        <v>0</v>
      </c>
      <c r="T828" s="193"/>
      <c r="U828" s="285" t="str">
        <f>IF(Tabella1[[#This Row],[N° FantaTit]]="","",Tabella1[[#This Row],[fanta voto]])</f>
        <v/>
      </c>
      <c r="V828" s="193">
        <f>SUM(Tabella1[[#This Row],[Voto]],(G828*3),Q828,P828,O828,-(N828),(-M828/2),(-L828*2),(-H828),(I828*3),(-J828*3),(K828*3))</f>
        <v>6</v>
      </c>
      <c r="W828" s="193"/>
      <c r="X828" s="193" t="str">
        <f>IF(Tabella1[[#This Row],[Best 11]]=1,Tabella1[[#This Row],[fanta voto]],"")</f>
        <v/>
      </c>
      <c r="Z828" s="193" t="str">
        <f>IF(Tabella1[[#This Row],[Best 11 MOD]]=1,Tabella1[[#This Row],[fanta voto]],"")</f>
        <v/>
      </c>
      <c r="AA828" t="str">
        <f>CONCATENATE(Tabella1[[#This Row],[GG]],Tabella1[[#This Row],[Nome]])</f>
        <v>3Coco</v>
      </c>
      <c r="AB828" t="str">
        <f t="shared" si="33"/>
        <v>3</v>
      </c>
      <c r="AC828" t="str">
        <f>_xlfn.CONCAT(Tabella1[[#This Row],[Ruolo]],Tabella1[[#This Row],[Gs]])</f>
        <v>D0</v>
      </c>
    </row>
    <row r="829" spans="1:29" hidden="1" x14ac:dyDescent="0.3">
      <c r="A829" s="14">
        <v>46270</v>
      </c>
      <c r="B829" s="15">
        <v>3</v>
      </c>
      <c r="C829" s="321" t="str">
        <f>_xlfn.XLOOKUP(Tabella1[[#This Row],[Nome]],Tabella4[NOME],Tabella4[SQUADRA],"")</f>
        <v>Frosinone</v>
      </c>
      <c r="D829" t="s">
        <v>161</v>
      </c>
      <c r="E829" t="s">
        <v>729</v>
      </c>
      <c r="F829" s="194">
        <v>6</v>
      </c>
      <c r="G829" s="328">
        <v>0</v>
      </c>
      <c r="H829" s="328">
        <v>0</v>
      </c>
      <c r="I829" s="328">
        <v>0</v>
      </c>
      <c r="J829" s="328">
        <v>0</v>
      </c>
      <c r="K829" s="328">
        <v>0</v>
      </c>
      <c r="L829" s="328">
        <v>0</v>
      </c>
      <c r="M829" s="328">
        <v>0</v>
      </c>
      <c r="N829" s="328">
        <v>0</v>
      </c>
      <c r="O829" s="328">
        <v>0</v>
      </c>
      <c r="P829" s="284"/>
      <c r="Q829" s="284">
        <f t="shared" si="32"/>
        <v>0</v>
      </c>
      <c r="R829" s="3" t="str">
        <f>_xlfn.IFNA(VLOOKUP(Tabella1[[#This Row],[Nome]],'ROSE SQUADRE'!$N$3:$O$260,2,0),"")</f>
        <v/>
      </c>
      <c r="S829" s="193">
        <f>SUM(Tabella1[[#This Row],[Gf]],Tabella1[[#This Row],[Rf]])</f>
        <v>0</v>
      </c>
      <c r="T829" s="193"/>
      <c r="U829" s="285" t="str">
        <f>IF(Tabella1[[#This Row],[N° FantaTit]]="","",Tabella1[[#This Row],[fanta voto]])</f>
        <v/>
      </c>
      <c r="V829" s="193">
        <f>SUM(Tabella1[[#This Row],[Voto]],(G829*3),Q829,P829,O829,-(N829),(-M829/2),(-L829*2),(-H829),(I829*3),(-J829*3),(K829*3))</f>
        <v>6</v>
      </c>
      <c r="W829" s="193"/>
      <c r="X829" s="193" t="str">
        <f>IF(Tabella1[[#This Row],[Best 11]]=1,Tabella1[[#This Row],[fanta voto]],"")</f>
        <v/>
      </c>
      <c r="Z829" s="193" t="str">
        <f>IF(Tabella1[[#This Row],[Best 11 MOD]]=1,Tabella1[[#This Row],[fanta voto]],"")</f>
        <v/>
      </c>
      <c r="AA829" t="str">
        <f>CONCATENATE(Tabella1[[#This Row],[GG]],Tabella1[[#This Row],[Nome]])</f>
        <v>3Cittadini</v>
      </c>
      <c r="AB829" t="str">
        <f t="shared" si="33"/>
        <v>3</v>
      </c>
      <c r="AC829" t="str">
        <f>_xlfn.CONCAT(Tabella1[[#This Row],[Ruolo]],Tabella1[[#This Row],[Gs]])</f>
        <v>D0</v>
      </c>
    </row>
    <row r="830" spans="1:29" x14ac:dyDescent="0.3">
      <c r="A830" s="14">
        <v>46270</v>
      </c>
      <c r="B830" s="15">
        <v>3</v>
      </c>
      <c r="C830" s="321" t="str">
        <f>_xlfn.XLOOKUP(Tabella1[[#This Row],[Nome]],Tabella4[NOME],Tabella4[SQUADRA],"")</f>
        <v>Como</v>
      </c>
      <c r="D830" t="s">
        <v>162</v>
      </c>
      <c r="E830" t="s">
        <v>693</v>
      </c>
      <c r="F830" s="194">
        <v>7</v>
      </c>
      <c r="G830" s="329">
        <v>1</v>
      </c>
      <c r="H830" s="328">
        <v>0</v>
      </c>
      <c r="I830" s="328">
        <v>0</v>
      </c>
      <c r="J830" s="328">
        <v>0</v>
      </c>
      <c r="K830" s="328">
        <v>0</v>
      </c>
      <c r="L830" s="328">
        <v>0</v>
      </c>
      <c r="M830" s="329">
        <v>1</v>
      </c>
      <c r="N830" s="328">
        <v>0</v>
      </c>
      <c r="O830" s="328">
        <v>0</v>
      </c>
      <c r="P830" s="284"/>
      <c r="Q830" s="284">
        <f t="shared" si="32"/>
        <v>0</v>
      </c>
      <c r="R830" s="3" t="str">
        <f>_xlfn.IFNA(VLOOKUP(Tabella1[[#This Row],[Nome]],'ROSE SQUADRE'!$N$3:$O$260,2,0),"")</f>
        <v>SESTO ASENSIO</v>
      </c>
      <c r="S830" s="193">
        <f>SUM(Tabella1[[#This Row],[Gf]],Tabella1[[#This Row],[Rf]])</f>
        <v>1</v>
      </c>
      <c r="T830" s="193">
        <v>1</v>
      </c>
      <c r="U830" s="285">
        <f>IF(Tabella1[[#This Row],[N° FantaTit]]="","",Tabella1[[#This Row],[fanta voto]])</f>
        <v>9.5</v>
      </c>
      <c r="V830" s="193">
        <f>SUM(Tabella1[[#This Row],[Voto]],(G830*3),Q830,P830,O830,-(N830),(-M830/2),(-L830*2),(-H830),(I830*3),(-J830*3),(K830*3))</f>
        <v>9.5</v>
      </c>
      <c r="W830" s="193">
        <v>1</v>
      </c>
      <c r="X830" s="193">
        <f>IF(Tabella1[[#This Row],[Best 11]]=1,Tabella1[[#This Row],[fanta voto]],"")</f>
        <v>9.5</v>
      </c>
      <c r="Y830">
        <v>1</v>
      </c>
      <c r="Z830" s="193">
        <f>IF(Tabella1[[#This Row],[Best 11 MOD]]=1,Tabella1[[#This Row],[fanta voto]],"")</f>
        <v>9.5</v>
      </c>
      <c r="AA830" t="str">
        <f>CONCATENATE(Tabella1[[#This Row],[GG]],Tabella1[[#This Row],[Nome]])</f>
        <v>3Baturina</v>
      </c>
      <c r="AB830" t="str">
        <f t="shared" si="33"/>
        <v>3SESTO ASENSIO1</v>
      </c>
      <c r="AC830" t="str">
        <f>_xlfn.CONCAT(Tabella1[[#This Row],[Ruolo]],Tabella1[[#This Row],[Gs]])</f>
        <v>C0</v>
      </c>
    </row>
    <row r="831" spans="1:29" hidden="1" x14ac:dyDescent="0.3">
      <c r="A831" s="14">
        <v>46270</v>
      </c>
      <c r="B831" s="15">
        <v>3</v>
      </c>
      <c r="C831" s="321" t="str">
        <f>_xlfn.XLOOKUP(Tabella1[[#This Row],[Nome]],Tabella4[NOME],Tabella4[SQUADRA],"")</f>
        <v>Sassuolo</v>
      </c>
      <c r="D831" t="s">
        <v>161</v>
      </c>
      <c r="E831" t="s">
        <v>997</v>
      </c>
      <c r="F831" s="194">
        <v>6.5</v>
      </c>
      <c r="G831" s="328">
        <v>0</v>
      </c>
      <c r="H831" s="328">
        <v>0</v>
      </c>
      <c r="I831" s="328">
        <v>0</v>
      </c>
      <c r="J831" s="328">
        <v>0</v>
      </c>
      <c r="K831" s="328">
        <v>0</v>
      </c>
      <c r="L831" s="328">
        <v>0</v>
      </c>
      <c r="M831" s="328">
        <v>0</v>
      </c>
      <c r="N831" s="328">
        <v>0</v>
      </c>
      <c r="O831" s="329">
        <v>1</v>
      </c>
      <c r="P831" s="284"/>
      <c r="Q831" s="284">
        <f t="shared" si="32"/>
        <v>0</v>
      </c>
      <c r="R831" s="3" t="str">
        <f>_xlfn.IFNA(VLOOKUP(Tabella1[[#This Row],[Nome]],'ROSE SQUADRE'!$N$3:$O$260,2,0),"")</f>
        <v/>
      </c>
      <c r="S831" s="193">
        <f>SUM(Tabella1[[#This Row],[Gf]],Tabella1[[#This Row],[Rf]])</f>
        <v>0</v>
      </c>
      <c r="T831" s="193"/>
      <c r="U831" s="285" t="str">
        <f>IF(Tabella1[[#This Row],[N° FantaTit]]="","",Tabella1[[#This Row],[fanta voto]])</f>
        <v/>
      </c>
      <c r="V831" s="193">
        <f>SUM(Tabella1[[#This Row],[Voto]],(G831*3),Q831,P831,O831,-(N831),(-M831/2),(-L831*2),(-H831),(I831*3),(-J831*3),(K831*3))</f>
        <v>7.5</v>
      </c>
      <c r="W831" s="193"/>
      <c r="X831" s="193" t="str">
        <f>IF(Tabella1[[#This Row],[Best 11]]=1,Tabella1[[#This Row],[fanta voto]],"")</f>
        <v/>
      </c>
      <c r="Z831" s="193" t="str">
        <f>IF(Tabella1[[#This Row],[Best 11 MOD]]=1,Tabella1[[#This Row],[fanta voto]],"")</f>
        <v/>
      </c>
      <c r="AA831" t="str">
        <f>CONCATENATE(Tabella1[[#This Row],[GG]],Tabella1[[#This Row],[Nome]])</f>
        <v>3Cinquegrano</v>
      </c>
      <c r="AB831" t="str">
        <f t="shared" si="33"/>
        <v>3</v>
      </c>
      <c r="AC831" t="str">
        <f>_xlfn.CONCAT(Tabella1[[#This Row],[Ruolo]],Tabella1[[#This Row],[Gs]])</f>
        <v>D0</v>
      </c>
    </row>
    <row r="832" spans="1:29" hidden="1" x14ac:dyDescent="0.3">
      <c r="A832" s="14">
        <v>46270</v>
      </c>
      <c r="B832" s="15">
        <v>3</v>
      </c>
      <c r="C832" s="321" t="str">
        <f>_xlfn.XLOOKUP(Tabella1[[#This Row],[Nome]],Tabella4[NOME],Tabella4[SQUADRA],"")</f>
        <v>Frosinone</v>
      </c>
      <c r="D832" s="330" t="s">
        <v>162</v>
      </c>
      <c r="E832" s="330" t="s">
        <v>735</v>
      </c>
      <c r="F832" s="331">
        <v>6</v>
      </c>
      <c r="G832" s="332">
        <v>0</v>
      </c>
      <c r="H832" s="332">
        <v>0</v>
      </c>
      <c r="I832" s="332">
        <v>0</v>
      </c>
      <c r="J832" s="332">
        <v>0</v>
      </c>
      <c r="K832" s="332">
        <v>0</v>
      </c>
      <c r="L832" s="332">
        <v>0</v>
      </c>
      <c r="M832" s="332">
        <v>0</v>
      </c>
      <c r="N832" s="332">
        <v>0</v>
      </c>
      <c r="O832" s="332">
        <v>0</v>
      </c>
      <c r="P832" s="284"/>
      <c r="Q832" s="284">
        <f t="shared" si="32"/>
        <v>0</v>
      </c>
      <c r="R832" s="3" t="str">
        <f>_xlfn.IFNA(VLOOKUP(Tabella1[[#This Row],[Nome]],'ROSE SQUADRE'!$N$3:$O$260,2,0),"")</f>
        <v/>
      </c>
      <c r="S832" s="193">
        <f>SUM(Tabella1[[#This Row],[Gf]],Tabella1[[#This Row],[Rf]])</f>
        <v>0</v>
      </c>
      <c r="T832" s="193"/>
      <c r="U832" s="285" t="str">
        <f>IF(Tabella1[[#This Row],[N° FantaTit]]="","",Tabella1[[#This Row],[fanta voto]])</f>
        <v/>
      </c>
      <c r="V832" s="193">
        <f>SUM(Tabella1[[#This Row],[Voto]],(G832*3),Q832,P832,O832,-(N832),(-M832/2),(-L832*2),(-H832),(I832*3),(-J832*3),(K832*3))</f>
        <v>6</v>
      </c>
      <c r="W832" s="193"/>
      <c r="X832" s="193" t="str">
        <f>IF(Tabella1[[#This Row],[Best 11]]=1,Tabella1[[#This Row],[fanta voto]],"")</f>
        <v/>
      </c>
      <c r="Z832" s="193" t="str">
        <f>IF(Tabella1[[#This Row],[Best 11 MOD]]=1,Tabella1[[#This Row],[fanta voto]],"")</f>
        <v/>
      </c>
      <c r="AA832" t="str">
        <f>CONCATENATE(Tabella1[[#This Row],[GG]],Tabella1[[#This Row],[Nome]])</f>
        <v>3Cichella</v>
      </c>
      <c r="AB832" t="str">
        <f t="shared" si="33"/>
        <v>3</v>
      </c>
      <c r="AC832" t="str">
        <f>_xlfn.CONCAT(Tabella1[[#This Row],[Ruolo]],Tabella1[[#This Row],[Gs]])</f>
        <v>C0</v>
      </c>
    </row>
    <row r="833" spans="1:29" hidden="1" x14ac:dyDescent="0.3">
      <c r="A833" s="14">
        <v>46270</v>
      </c>
      <c r="B833" s="15">
        <v>3</v>
      </c>
      <c r="C833" s="321" t="str">
        <f>_xlfn.XLOOKUP(Tabella1[[#This Row],[Nome]],Tabella4[NOME],Tabella4[SQUADRA],"")</f>
        <v>Venezia</v>
      </c>
      <c r="D833" t="s">
        <v>163</v>
      </c>
      <c r="E833" t="s">
        <v>985</v>
      </c>
      <c r="F833" s="194">
        <v>5.5</v>
      </c>
      <c r="G833" s="328">
        <v>0</v>
      </c>
      <c r="H833" s="328">
        <v>0</v>
      </c>
      <c r="I833" s="328">
        <v>0</v>
      </c>
      <c r="J833" s="328">
        <v>0</v>
      </c>
      <c r="K833" s="328">
        <v>0</v>
      </c>
      <c r="L833" s="328">
        <v>0</v>
      </c>
      <c r="M833" s="328">
        <v>0</v>
      </c>
      <c r="N833" s="328">
        <v>0</v>
      </c>
      <c r="O833" s="328">
        <v>0</v>
      </c>
      <c r="P833" s="284"/>
      <c r="Q833" s="284">
        <f t="shared" si="32"/>
        <v>0</v>
      </c>
      <c r="R833" s="3" t="str">
        <f>_xlfn.IFNA(VLOOKUP(Tabella1[[#This Row],[Nome]],'ROSE SQUADRE'!$N$3:$O$260,2,0),"")</f>
        <v>SAN GRIA</v>
      </c>
      <c r="S833" s="193">
        <f>SUM(Tabella1[[#This Row],[Gf]],Tabella1[[#This Row],[Rf]])</f>
        <v>0</v>
      </c>
      <c r="T833" s="193"/>
      <c r="U833" s="285" t="str">
        <f>IF(Tabella1[[#This Row],[N° FantaTit]]="","",Tabella1[[#This Row],[fanta voto]])</f>
        <v/>
      </c>
      <c r="V833" s="193">
        <f>SUM(Tabella1[[#This Row],[Voto]],(G833*3),Q833,P833,O833,-(N833),(-M833/2),(-L833*2),(-H833),(I833*3),(-J833*3),(K833*3))</f>
        <v>5.5</v>
      </c>
      <c r="W833" s="193"/>
      <c r="X833" s="193" t="str">
        <f>IF(Tabella1[[#This Row],[Best 11]]=1,Tabella1[[#This Row],[fanta voto]],"")</f>
        <v/>
      </c>
      <c r="Z833" s="193" t="str">
        <f>IF(Tabella1[[#This Row],[Best 11 MOD]]=1,Tabella1[[#This Row],[fanta voto]],"")</f>
        <v/>
      </c>
      <c r="AA833" t="str">
        <f>CONCATENATE(Tabella1[[#This Row],[GG]],Tabella1[[#This Row],[Nome]])</f>
        <v>3Lauberbach</v>
      </c>
      <c r="AB833" t="str">
        <f t="shared" si="33"/>
        <v>3SAN GRIA</v>
      </c>
      <c r="AC833" t="str">
        <f>_xlfn.CONCAT(Tabella1[[#This Row],[Ruolo]],Tabella1[[#This Row],[Gs]])</f>
        <v>A0</v>
      </c>
    </row>
    <row r="834" spans="1:29" x14ac:dyDescent="0.3">
      <c r="A834" s="14">
        <v>46270</v>
      </c>
      <c r="B834" s="15">
        <v>3</v>
      </c>
      <c r="C834" s="321" t="str">
        <f>_xlfn.XLOOKUP(Tabella1[[#This Row],[Nome]],Tabella4[NOME],Tabella4[SQUADRA],"")</f>
        <v>Fiorentina</v>
      </c>
      <c r="D834" t="s">
        <v>163</v>
      </c>
      <c r="E834" t="s">
        <v>719</v>
      </c>
      <c r="F834" s="194">
        <v>6.5</v>
      </c>
      <c r="G834" s="329">
        <v>1</v>
      </c>
      <c r="H834" s="328">
        <v>0</v>
      </c>
      <c r="I834" s="328">
        <v>0</v>
      </c>
      <c r="J834" s="328">
        <v>0</v>
      </c>
      <c r="K834" s="328">
        <v>0</v>
      </c>
      <c r="L834" s="328">
        <v>0</v>
      </c>
      <c r="M834" s="328">
        <v>0</v>
      </c>
      <c r="N834" s="328">
        <v>0</v>
      </c>
      <c r="O834" s="328">
        <v>0</v>
      </c>
      <c r="P834" s="284"/>
      <c r="Q834" s="284">
        <f t="shared" si="32"/>
        <v>0</v>
      </c>
      <c r="R834" s="3" t="str">
        <f>_xlfn.IFNA(VLOOKUP(Tabella1[[#This Row],[Nome]],'ROSE SQUADRE'!$N$3:$O$260,2,0),"")</f>
        <v>SHARK</v>
      </c>
      <c r="S834" s="193">
        <f>SUM(Tabella1[[#This Row],[Gf]],Tabella1[[#This Row],[Rf]])</f>
        <v>1</v>
      </c>
      <c r="T834" s="193">
        <v>1</v>
      </c>
      <c r="U834" s="285">
        <f>IF(Tabella1[[#This Row],[N° FantaTit]]="","",Tabella1[[#This Row],[fanta voto]])</f>
        <v>9.5</v>
      </c>
      <c r="V834" s="193">
        <f>SUM(Tabella1[[#This Row],[Voto]],(G834*3),Q834,P834,O834,-(N834),(-M834/2),(-L834*2),(-H834),(I834*3),(-J834*3),(K834*3))</f>
        <v>9.5</v>
      </c>
      <c r="W834" s="193">
        <v>1</v>
      </c>
      <c r="X834" s="193">
        <f>IF(Tabella1[[#This Row],[Best 11]]=1,Tabella1[[#This Row],[fanta voto]],"")</f>
        <v>9.5</v>
      </c>
      <c r="Y834">
        <v>1</v>
      </c>
      <c r="Z834" s="193">
        <f>IF(Tabella1[[#This Row],[Best 11 MOD]]=1,Tabella1[[#This Row],[fanta voto]],"")</f>
        <v>9.5</v>
      </c>
      <c r="AA834" t="str">
        <f>CONCATENATE(Tabella1[[#This Row],[GG]],Tabella1[[#This Row],[Nome]])</f>
        <v>3Pellegrino M.</v>
      </c>
      <c r="AB834" t="str">
        <f t="shared" si="33"/>
        <v>3SHARK1</v>
      </c>
      <c r="AC834" t="str">
        <f>_xlfn.CONCAT(Tabella1[[#This Row],[Ruolo]],Tabella1[[#This Row],[Gs]])</f>
        <v>A0</v>
      </c>
    </row>
    <row r="835" spans="1:29" hidden="1" x14ac:dyDescent="0.3">
      <c r="A835" s="14">
        <v>46270</v>
      </c>
      <c r="B835" s="15">
        <v>3</v>
      </c>
      <c r="C835" s="321" t="str">
        <f>_xlfn.XLOOKUP(Tabella1[[#This Row],[Nome]],Tabella4[NOME],Tabella4[SQUADRA],"")</f>
        <v>Lazio</v>
      </c>
      <c r="D835" s="330" t="s">
        <v>163</v>
      </c>
      <c r="E835" s="330" t="s">
        <v>539</v>
      </c>
      <c r="F835" s="331">
        <v>6</v>
      </c>
      <c r="G835" s="332">
        <v>0</v>
      </c>
      <c r="H835" s="332">
        <v>0</v>
      </c>
      <c r="I835" s="332">
        <v>0</v>
      </c>
      <c r="J835" s="332">
        <v>0</v>
      </c>
      <c r="K835" s="332">
        <v>0</v>
      </c>
      <c r="L835" s="332">
        <v>0</v>
      </c>
      <c r="M835" s="332">
        <v>0</v>
      </c>
      <c r="N835" s="332">
        <v>0</v>
      </c>
      <c r="O835" s="332">
        <v>0</v>
      </c>
      <c r="P835" s="284"/>
      <c r="Q835" s="284">
        <f t="shared" si="32"/>
        <v>0</v>
      </c>
      <c r="R835" s="3" t="str">
        <f>_xlfn.IFNA(VLOOKUP(Tabella1[[#This Row],[Nome]],'ROSE SQUADRE'!$N$3:$O$260,2,0),"")</f>
        <v>FC INTERNAZIOANALE</v>
      </c>
      <c r="S835" s="193">
        <f>SUM(Tabella1[[#This Row],[Gf]],Tabella1[[#This Row],[Rf]])</f>
        <v>0</v>
      </c>
      <c r="T835" s="193"/>
      <c r="U835" s="285" t="str">
        <f>IF(Tabella1[[#This Row],[N° FantaTit]]="","",Tabella1[[#This Row],[fanta voto]])</f>
        <v/>
      </c>
      <c r="V835" s="193">
        <f>SUM(Tabella1[[#This Row],[Voto]],(G835*3),Q835,P835,O835,-(N835),(-M835/2),(-L835*2),(-H835),(I835*3),(-J835*3),(K835*3))</f>
        <v>6</v>
      </c>
      <c r="W835" s="193"/>
      <c r="X835" s="193" t="str">
        <f>IF(Tabella1[[#This Row],[Best 11]]=1,Tabella1[[#This Row],[fanta voto]],"")</f>
        <v/>
      </c>
      <c r="Z835" s="193" t="str">
        <f>IF(Tabella1[[#This Row],[Best 11 MOD]]=1,Tabella1[[#This Row],[fanta voto]],"")</f>
        <v/>
      </c>
      <c r="AA835" t="str">
        <f>CONCATENATE(Tabella1[[#This Row],[GG]],Tabella1[[#This Row],[Nome]])</f>
        <v>3Noslin</v>
      </c>
      <c r="AB835" t="str">
        <f t="shared" si="33"/>
        <v>3FC INTERNAZIOANALE</v>
      </c>
      <c r="AC835" t="str">
        <f>_xlfn.CONCAT(Tabella1[[#This Row],[Ruolo]],Tabella1[[#This Row],[Gs]])</f>
        <v>A0</v>
      </c>
    </row>
    <row r="836" spans="1:29" x14ac:dyDescent="0.3">
      <c r="A836" s="14">
        <v>46270</v>
      </c>
      <c r="B836" s="15">
        <v>3</v>
      </c>
      <c r="C836" s="321" t="str">
        <f>_xlfn.XLOOKUP(Tabella1[[#This Row],[Nome]],Tabella4[NOME],Tabella4[SQUADRA],"")</f>
        <v>Frosinone</v>
      </c>
      <c r="D836" s="330" t="s">
        <v>163</v>
      </c>
      <c r="E836" s="330" t="s">
        <v>591</v>
      </c>
      <c r="F836" s="331">
        <v>7.5</v>
      </c>
      <c r="G836" s="333">
        <v>2</v>
      </c>
      <c r="H836" s="332">
        <v>0</v>
      </c>
      <c r="I836" s="332">
        <v>0</v>
      </c>
      <c r="J836" s="332">
        <v>0</v>
      </c>
      <c r="K836" s="332">
        <v>0</v>
      </c>
      <c r="L836" s="332">
        <v>0</v>
      </c>
      <c r="M836" s="332">
        <v>0</v>
      </c>
      <c r="N836" s="332">
        <v>0</v>
      </c>
      <c r="O836" s="332">
        <v>0</v>
      </c>
      <c r="P836" s="284"/>
      <c r="Q836" s="284">
        <f t="shared" si="32"/>
        <v>0</v>
      </c>
      <c r="R836" s="3" t="str">
        <f>_xlfn.IFNA(VLOOKUP(Tabella1[[#This Row],[Nome]],'ROSE SQUADRE'!$N$3:$O$260,2,0),"")</f>
        <v>SESTO ASENSIO</v>
      </c>
      <c r="S836" s="193">
        <f>SUM(Tabella1[[#This Row],[Gf]],Tabella1[[#This Row],[Rf]])</f>
        <v>2</v>
      </c>
      <c r="T836" s="193">
        <v>1</v>
      </c>
      <c r="U836" s="285">
        <f>IF(Tabella1[[#This Row],[N° FantaTit]]="","",Tabella1[[#This Row],[fanta voto]])</f>
        <v>13.5</v>
      </c>
      <c r="V836" s="193">
        <f>SUM(Tabella1[[#This Row],[Voto]],(G836*3),Q836,P836,O836,-(N836),(-M836/2),(-L836*2),(-H836),(I836*3),(-J836*3),(K836*3))</f>
        <v>13.5</v>
      </c>
      <c r="W836" s="193">
        <v>1</v>
      </c>
      <c r="X836" s="193">
        <f>IF(Tabella1[[#This Row],[Best 11]]=1,Tabella1[[#This Row],[fanta voto]],"")</f>
        <v>13.5</v>
      </c>
      <c r="Y836">
        <v>1</v>
      </c>
      <c r="Z836" s="193">
        <f>IF(Tabella1[[#This Row],[Best 11 MOD]]=1,Tabella1[[#This Row],[fanta voto]],"")</f>
        <v>13.5</v>
      </c>
      <c r="AA836" t="str">
        <f>CONCATENATE(Tabella1[[#This Row],[GG]],Tabella1[[#This Row],[Nome]])</f>
        <v>3Raimondo</v>
      </c>
      <c r="AB836" t="str">
        <f t="shared" si="33"/>
        <v>3SESTO ASENSIO1</v>
      </c>
      <c r="AC836" t="str">
        <f>_xlfn.CONCAT(Tabella1[[#This Row],[Ruolo]],Tabella1[[#This Row],[Gs]])</f>
        <v>A0</v>
      </c>
    </row>
    <row r="837" spans="1:29" hidden="1" x14ac:dyDescent="0.3">
      <c r="A837" s="14">
        <v>46270</v>
      </c>
      <c r="B837" s="15">
        <v>3</v>
      </c>
      <c r="C837" s="321" t="str">
        <f>_xlfn.XLOOKUP(Tabella1[[#This Row],[Nome]],Tabella4[NOME],Tabella4[SQUADRA],"")</f>
        <v>Bologna</v>
      </c>
      <c r="D837" t="s">
        <v>163</v>
      </c>
      <c r="E837" t="s">
        <v>569</v>
      </c>
      <c r="F837" s="194">
        <v>7</v>
      </c>
      <c r="G837" s="329">
        <v>1</v>
      </c>
      <c r="H837" s="328">
        <v>0</v>
      </c>
      <c r="I837" s="328">
        <v>0</v>
      </c>
      <c r="J837" s="328">
        <v>0</v>
      </c>
      <c r="K837" s="328">
        <v>0</v>
      </c>
      <c r="L837" s="328">
        <v>0</v>
      </c>
      <c r="M837" s="329">
        <v>1</v>
      </c>
      <c r="N837" s="328">
        <v>0</v>
      </c>
      <c r="O837" s="328">
        <v>0</v>
      </c>
      <c r="P837" s="284"/>
      <c r="Q837" s="284">
        <f t="shared" si="32"/>
        <v>0</v>
      </c>
      <c r="R837" s="3" t="str">
        <f>_xlfn.IFNA(VLOOKUP(Tabella1[[#This Row],[Nome]],'ROSE SQUADRE'!$N$3:$O$260,2,0),"")</f>
        <v>PARTIZAN DEGRADO</v>
      </c>
      <c r="S837" s="193">
        <f>SUM(Tabella1[[#This Row],[Gf]],Tabella1[[#This Row],[Rf]])</f>
        <v>1</v>
      </c>
      <c r="T837" s="193"/>
      <c r="U837" s="285" t="str">
        <f>IF(Tabella1[[#This Row],[N° FantaTit]]="","",Tabella1[[#This Row],[fanta voto]])</f>
        <v/>
      </c>
      <c r="V837" s="193">
        <f>SUM(Tabella1[[#This Row],[Voto]],(G837*3),Q837,P837,O837,-(N837),(-M837/2),(-L837*2),(-H837),(I837*3),(-J837*3),(K837*3))</f>
        <v>9.5</v>
      </c>
      <c r="W837" s="193">
        <v>1</v>
      </c>
      <c r="X837" s="193">
        <f>IF(Tabella1[[#This Row],[Best 11]]=1,Tabella1[[#This Row],[fanta voto]],"")</f>
        <v>9.5</v>
      </c>
      <c r="Y837">
        <v>1</v>
      </c>
      <c r="Z837" s="193">
        <f>IF(Tabella1[[#This Row],[Best 11 MOD]]=1,Tabella1[[#This Row],[fanta voto]],"")</f>
        <v>9.5</v>
      </c>
      <c r="AA837" t="str">
        <f>CONCATENATE(Tabella1[[#This Row],[GG]],Tabella1[[#This Row],[Nome]])</f>
        <v>3Dovbyk</v>
      </c>
      <c r="AB837" t="str">
        <f t="shared" si="33"/>
        <v>3PARTIZAN DEGRADO</v>
      </c>
      <c r="AC837" t="str">
        <f>_xlfn.CONCAT(Tabella1[[#This Row],[Ruolo]],Tabella1[[#This Row],[Gs]])</f>
        <v>A0</v>
      </c>
    </row>
    <row r="838" spans="1:29" hidden="1" x14ac:dyDescent="0.3">
      <c r="A838" s="14">
        <v>46270</v>
      </c>
      <c r="B838" s="15">
        <v>3</v>
      </c>
      <c r="C838" s="321" t="str">
        <f>_xlfn.XLOOKUP(Tabella1[[#This Row],[Nome]],Tabella4[NOME],Tabella4[SQUADRA],"")</f>
        <v>Como</v>
      </c>
      <c r="D838" t="s">
        <v>163</v>
      </c>
      <c r="E838" t="s">
        <v>305</v>
      </c>
      <c r="F838" s="194">
        <v>6.5</v>
      </c>
      <c r="G838" s="328">
        <v>0</v>
      </c>
      <c r="H838" s="328">
        <v>0</v>
      </c>
      <c r="I838" s="328">
        <v>0</v>
      </c>
      <c r="J838" s="328">
        <v>0</v>
      </c>
      <c r="K838" s="328">
        <v>0</v>
      </c>
      <c r="L838" s="328">
        <v>0</v>
      </c>
      <c r="M838" s="328">
        <v>0</v>
      </c>
      <c r="N838" s="328">
        <v>0</v>
      </c>
      <c r="O838" s="329">
        <v>1</v>
      </c>
      <c r="P838" s="284"/>
      <c r="Q838" s="284">
        <f t="shared" si="32"/>
        <v>0</v>
      </c>
      <c r="R838" s="3" t="str">
        <f>_xlfn.IFNA(VLOOKUP(Tabella1[[#This Row],[Nome]],'ROSE SQUADRE'!$N$3:$O$260,2,0),"")</f>
        <v>PESCICULINI</v>
      </c>
      <c r="S838" s="193">
        <f>SUM(Tabella1[[#This Row],[Gf]],Tabella1[[#This Row],[Rf]])</f>
        <v>0</v>
      </c>
      <c r="T838" s="193">
        <v>1</v>
      </c>
      <c r="U838" s="285">
        <f>IF(Tabella1[[#This Row],[N° FantaTit]]="","",Tabella1[[#This Row],[fanta voto]])</f>
        <v>7.5</v>
      </c>
      <c r="V838" s="193">
        <f>SUM(Tabella1[[#This Row],[Voto]],(G838*3),Q838,P838,O838,-(N838),(-M838/2),(-L838*2),(-H838),(I838*3),(-J838*3),(K838*3))</f>
        <v>7.5</v>
      </c>
      <c r="W838" s="193">
        <v>1</v>
      </c>
      <c r="X838" s="193">
        <f>IF(Tabella1[[#This Row],[Best 11]]=1,Tabella1[[#This Row],[fanta voto]],"")</f>
        <v>7.5</v>
      </c>
      <c r="Y838">
        <v>1</v>
      </c>
      <c r="Z838" s="193">
        <f>IF(Tabella1[[#This Row],[Best 11 MOD]]=1,Tabella1[[#This Row],[fanta voto]],"")</f>
        <v>7.5</v>
      </c>
      <c r="AA838" t="str">
        <f>CONCATENATE(Tabella1[[#This Row],[GG]],Tabella1[[#This Row],[Nome]])</f>
        <v>3Kean</v>
      </c>
      <c r="AB838" t="str">
        <f t="shared" si="33"/>
        <v>3PESCICULINI1</v>
      </c>
      <c r="AC838" t="str">
        <f>_xlfn.CONCAT(Tabella1[[#This Row],[Ruolo]],Tabella1[[#This Row],[Gs]])</f>
        <v>A0</v>
      </c>
    </row>
    <row r="839" spans="1:29" hidden="1" x14ac:dyDescent="0.3">
      <c r="A839" s="14">
        <v>46270</v>
      </c>
      <c r="B839" s="15">
        <v>3</v>
      </c>
      <c r="C839" s="321" t="str">
        <f>_xlfn.XLOOKUP(Tabella1[[#This Row],[Nome]],Tabella4[NOME],Tabella4[SQUADRA],"")</f>
        <v>Monza</v>
      </c>
      <c r="D839" t="s">
        <v>161</v>
      </c>
      <c r="E839" t="s">
        <v>847</v>
      </c>
      <c r="F839" s="194">
        <v>6</v>
      </c>
      <c r="G839" s="328">
        <v>0</v>
      </c>
      <c r="H839" s="328">
        <v>0</v>
      </c>
      <c r="I839" s="328">
        <v>0</v>
      </c>
      <c r="J839" s="328">
        <v>0</v>
      </c>
      <c r="K839" s="328">
        <v>0</v>
      </c>
      <c r="L839" s="328">
        <v>0</v>
      </c>
      <c r="M839" s="328">
        <v>0</v>
      </c>
      <c r="N839" s="328">
        <v>0</v>
      </c>
      <c r="O839" s="328">
        <v>0</v>
      </c>
      <c r="P839" s="284"/>
      <c r="Q839" s="284">
        <f t="shared" si="32"/>
        <v>0</v>
      </c>
      <c r="R839" s="3" t="str">
        <f>_xlfn.IFNA(VLOOKUP(Tabella1[[#This Row],[Nome]],'ROSE SQUADRE'!$N$3:$O$260,2,0),"")</f>
        <v/>
      </c>
      <c r="S839" s="193">
        <f>SUM(Tabella1[[#This Row],[Gf]],Tabella1[[#This Row],[Rf]])</f>
        <v>0</v>
      </c>
      <c r="T839" s="193"/>
      <c r="U839" s="285" t="str">
        <f>IF(Tabella1[[#This Row],[N° FantaTit]]="","",Tabella1[[#This Row],[fanta voto]])</f>
        <v/>
      </c>
      <c r="V839" s="193">
        <f>SUM(Tabella1[[#This Row],[Voto]],(G839*3),Q839,P839,O839,-(N839),(-M839/2),(-L839*2),(-H839),(I839*3),(-J839*3),(K839*3))</f>
        <v>6</v>
      </c>
      <c r="W839" s="193"/>
      <c r="X839" s="193" t="str">
        <f>IF(Tabella1[[#This Row],[Best 11]]=1,Tabella1[[#This Row],[fanta voto]],"")</f>
        <v/>
      </c>
      <c r="Z839" s="193" t="str">
        <f>IF(Tabella1[[#This Row],[Best 11 MOD]]=1,Tabella1[[#This Row],[fanta voto]],"")</f>
        <v/>
      </c>
      <c r="AA839" t="str">
        <f>CONCATENATE(Tabella1[[#This Row],[GG]],Tabella1[[#This Row],[Nome]])</f>
        <v>3Carboni A.</v>
      </c>
      <c r="AB839" t="str">
        <f t="shared" si="33"/>
        <v>3</v>
      </c>
      <c r="AC839" t="str">
        <f>_xlfn.CONCAT(Tabella1[[#This Row],[Ruolo]],Tabella1[[#This Row],[Gs]])</f>
        <v>D0</v>
      </c>
    </row>
    <row r="840" spans="1:29" hidden="1" x14ac:dyDescent="0.3">
      <c r="A840" s="14">
        <v>46270</v>
      </c>
      <c r="B840" s="15">
        <v>3</v>
      </c>
      <c r="C840" s="321" t="str">
        <f>_xlfn.XLOOKUP(Tabella1[[#This Row],[Nome]],Tabella4[NOME],Tabella4[SQUADRA],"")</f>
        <v>Como</v>
      </c>
      <c r="D840" t="s">
        <v>162</v>
      </c>
      <c r="E840" t="s">
        <v>694</v>
      </c>
      <c r="F840" s="194">
        <v>6.5</v>
      </c>
      <c r="G840" s="328">
        <v>0</v>
      </c>
      <c r="H840" s="328">
        <v>0</v>
      </c>
      <c r="I840" s="328">
        <v>0</v>
      </c>
      <c r="J840" s="328">
        <v>0</v>
      </c>
      <c r="K840" s="328">
        <v>0</v>
      </c>
      <c r="L840" s="328">
        <v>0</v>
      </c>
      <c r="M840" s="328">
        <v>0</v>
      </c>
      <c r="N840" s="328">
        <v>0</v>
      </c>
      <c r="O840" s="328">
        <v>0</v>
      </c>
      <c r="P840" s="284"/>
      <c r="Q840" s="284">
        <f t="shared" si="32"/>
        <v>0</v>
      </c>
      <c r="R840" s="3" t="str">
        <f>_xlfn.IFNA(VLOOKUP(Tabella1[[#This Row],[Nome]],'ROSE SQUADRE'!$N$3:$O$260,2,0),"")</f>
        <v/>
      </c>
      <c r="S840" s="193">
        <f>SUM(Tabella1[[#This Row],[Gf]],Tabella1[[#This Row],[Rf]])</f>
        <v>0</v>
      </c>
      <c r="T840" s="193"/>
      <c r="U840" s="285" t="str">
        <f>IF(Tabella1[[#This Row],[N° FantaTit]]="","",Tabella1[[#This Row],[fanta voto]])</f>
        <v/>
      </c>
      <c r="V840" s="193">
        <f>SUM(Tabella1[[#This Row],[Voto]],(G840*3),Q840,P840,O840,-(N840),(-M840/2),(-L840*2),(-H840),(I840*3),(-J840*3),(K840*3))</f>
        <v>6.5</v>
      </c>
      <c r="W840" s="193"/>
      <c r="X840" s="193" t="str">
        <f>IF(Tabella1[[#This Row],[Best 11]]=1,Tabella1[[#This Row],[fanta voto]],"")</f>
        <v/>
      </c>
      <c r="Z840" s="193" t="str">
        <f>IF(Tabella1[[#This Row],[Best 11 MOD]]=1,Tabella1[[#This Row],[fanta voto]],"")</f>
        <v/>
      </c>
      <c r="AA840" t="str">
        <f>CONCATENATE(Tabella1[[#This Row],[GG]],Tabella1[[#This Row],[Nome]])</f>
        <v>3Caqueret</v>
      </c>
      <c r="AB840" t="str">
        <f t="shared" si="33"/>
        <v>3</v>
      </c>
      <c r="AC840" t="str">
        <f>_xlfn.CONCAT(Tabella1[[#This Row],[Ruolo]],Tabella1[[#This Row],[Gs]])</f>
        <v>C0</v>
      </c>
    </row>
    <row r="841" spans="1:29" hidden="1" x14ac:dyDescent="0.3">
      <c r="A841" s="14">
        <v>46270</v>
      </c>
      <c r="B841" s="15">
        <v>3</v>
      </c>
      <c r="C841" s="321" t="str">
        <f>_xlfn.XLOOKUP(Tabella1[[#This Row],[Nome]],Tabella4[NOME],Tabella4[SQUADRA],"")</f>
        <v>Fiorentina</v>
      </c>
      <c r="D841" s="330" t="s">
        <v>162</v>
      </c>
      <c r="E841" s="330" t="s">
        <v>714</v>
      </c>
      <c r="F841" s="331">
        <v>6</v>
      </c>
      <c r="G841" s="332">
        <v>0</v>
      </c>
      <c r="H841" s="332">
        <v>0</v>
      </c>
      <c r="I841" s="332">
        <v>0</v>
      </c>
      <c r="J841" s="332">
        <v>0</v>
      </c>
      <c r="K841" s="332">
        <v>0</v>
      </c>
      <c r="L841" s="332">
        <v>0</v>
      </c>
      <c r="M841" s="332">
        <v>0</v>
      </c>
      <c r="N841" s="332">
        <v>0</v>
      </c>
      <c r="O841" s="332">
        <v>0</v>
      </c>
      <c r="P841" s="284"/>
      <c r="Q841" s="284">
        <f t="shared" si="32"/>
        <v>0</v>
      </c>
      <c r="R841" s="3" t="str">
        <f>_xlfn.IFNA(VLOOKUP(Tabella1[[#This Row],[Nome]],'ROSE SQUADRE'!$N$3:$O$260,2,0),"")</f>
        <v>AC ASPARAGHESE</v>
      </c>
      <c r="S841" s="193">
        <f>SUM(Tabella1[[#This Row],[Gf]],Tabella1[[#This Row],[Rf]])</f>
        <v>0</v>
      </c>
      <c r="T841" s="193"/>
      <c r="U841" s="285" t="str">
        <f>IF(Tabella1[[#This Row],[N° FantaTit]]="","",Tabella1[[#This Row],[fanta voto]])</f>
        <v/>
      </c>
      <c r="V841" s="193">
        <f>SUM(Tabella1[[#This Row],[Voto]],(G841*3),Q841,P841,O841,-(N841),(-M841/2),(-L841*2),(-H841),(I841*3),(-J841*3),(K841*3))</f>
        <v>6</v>
      </c>
      <c r="W841" s="193">
        <v>1</v>
      </c>
      <c r="X841" s="193">
        <f>IF(Tabella1[[#This Row],[Best 11]]=1,Tabella1[[#This Row],[fanta voto]],"")</f>
        <v>6</v>
      </c>
      <c r="Y841">
        <v>1</v>
      </c>
      <c r="Z841" s="193">
        <f>IF(Tabella1[[#This Row],[Best 11 MOD]]=1,Tabella1[[#This Row],[fanta voto]],"")</f>
        <v>6</v>
      </c>
      <c r="AA841" t="str">
        <f>CONCATENATE(Tabella1[[#This Row],[GG]],Tabella1[[#This Row],[Nome]])</f>
        <v>3Atta</v>
      </c>
      <c r="AB841" t="str">
        <f t="shared" si="33"/>
        <v>3AC ASPARAGHESE</v>
      </c>
      <c r="AC841" t="str">
        <f>_xlfn.CONCAT(Tabella1[[#This Row],[Ruolo]],Tabella1[[#This Row],[Gs]])</f>
        <v>C0</v>
      </c>
    </row>
    <row r="842" spans="1:29" hidden="1" x14ac:dyDescent="0.3">
      <c r="A842" s="14">
        <v>46270</v>
      </c>
      <c r="B842" s="15">
        <v>3</v>
      </c>
      <c r="C842" s="321" t="str">
        <f>_xlfn.XLOOKUP(Tabella1[[#This Row],[Nome]],Tabella4[NOME],Tabella4[SQUADRA],"")</f>
        <v>Parma</v>
      </c>
      <c r="D842" s="330" t="s">
        <v>163</v>
      </c>
      <c r="E842" s="330" t="s">
        <v>892</v>
      </c>
      <c r="F842" s="331">
        <v>6</v>
      </c>
      <c r="G842" s="332">
        <v>0</v>
      </c>
      <c r="H842" s="332">
        <v>0</v>
      </c>
      <c r="I842" s="332">
        <v>0</v>
      </c>
      <c r="J842" s="332">
        <v>0</v>
      </c>
      <c r="K842" s="332">
        <v>0</v>
      </c>
      <c r="L842" s="332">
        <v>0</v>
      </c>
      <c r="M842" s="332">
        <v>0</v>
      </c>
      <c r="N842" s="332">
        <v>0</v>
      </c>
      <c r="O842" s="332">
        <v>0</v>
      </c>
      <c r="P842" s="284"/>
      <c r="Q842" s="284">
        <f t="shared" si="32"/>
        <v>0</v>
      </c>
      <c r="R842" s="3" t="str">
        <f>_xlfn.IFNA(VLOOKUP(Tabella1[[#This Row],[Nome]],'ROSE SQUADRE'!$N$3:$O$260,2,0),"")</f>
        <v>ATL. IMPROVVISATO</v>
      </c>
      <c r="S842" s="193">
        <f>SUM(Tabella1[[#This Row],[Gf]],Tabella1[[#This Row],[Rf]])</f>
        <v>0</v>
      </c>
      <c r="T842" s="193"/>
      <c r="U842" s="285" t="str">
        <f>IF(Tabella1[[#This Row],[N° FantaTit]]="","",Tabella1[[#This Row],[fanta voto]])</f>
        <v/>
      </c>
      <c r="V842" s="193">
        <f>SUM(Tabella1[[#This Row],[Voto]],(G842*3),Q842,P842,O842,-(N842),(-M842/2),(-L842*2),(-H842),(I842*3),(-J842*3),(K842*3))</f>
        <v>6</v>
      </c>
      <c r="W842" s="193"/>
      <c r="X842" s="193" t="str">
        <f>IF(Tabella1[[#This Row],[Best 11]]=1,Tabella1[[#This Row],[fanta voto]],"")</f>
        <v/>
      </c>
      <c r="Z842" s="193" t="str">
        <f>IF(Tabella1[[#This Row],[Best 11 MOD]]=1,Tabella1[[#This Row],[fanta voto]],"")</f>
        <v/>
      </c>
      <c r="AA842" t="str">
        <f>CONCATENATE(Tabella1[[#This Row],[GG]],Tabella1[[#This Row],[Nome]])</f>
        <v>3Tourè E.</v>
      </c>
      <c r="AB842" t="str">
        <f t="shared" si="33"/>
        <v>3ATL. IMPROVVISATO</v>
      </c>
      <c r="AC842" t="str">
        <f>_xlfn.CONCAT(Tabella1[[#This Row],[Ruolo]],Tabella1[[#This Row],[Gs]])</f>
        <v>A0</v>
      </c>
    </row>
    <row r="843" spans="1:29" hidden="1" x14ac:dyDescent="0.3">
      <c r="A843" s="14">
        <v>46270</v>
      </c>
      <c r="B843" s="15">
        <v>3</v>
      </c>
      <c r="C843" s="321" t="str">
        <f>_xlfn.XLOOKUP(Tabella1[[#This Row],[Nome]],Tabella4[NOME],Tabella4[SQUADRA],"")</f>
        <v>Bologna</v>
      </c>
      <c r="D843" s="330" t="s">
        <v>162</v>
      </c>
      <c r="E843" s="330" t="s">
        <v>239</v>
      </c>
      <c r="F843" s="331">
        <v>6</v>
      </c>
      <c r="G843" s="332">
        <v>0</v>
      </c>
      <c r="H843" s="332">
        <v>0</v>
      </c>
      <c r="I843" s="332">
        <v>0</v>
      </c>
      <c r="J843" s="332">
        <v>0</v>
      </c>
      <c r="K843" s="332">
        <v>0</v>
      </c>
      <c r="L843" s="332">
        <v>0</v>
      </c>
      <c r="M843" s="332">
        <v>0</v>
      </c>
      <c r="N843" s="332">
        <v>0</v>
      </c>
      <c r="O843" s="332">
        <v>0</v>
      </c>
      <c r="P843" s="284"/>
      <c r="Q843" s="284">
        <f t="shared" si="32"/>
        <v>0</v>
      </c>
      <c r="R843" s="3" t="str">
        <f>_xlfn.IFNA(VLOOKUP(Tabella1[[#This Row],[Nome]],'ROSE SQUADRE'!$N$3:$O$260,2,0),"")</f>
        <v/>
      </c>
      <c r="S843" s="193">
        <f>SUM(Tabella1[[#This Row],[Gf]],Tabella1[[#This Row],[Rf]])</f>
        <v>0</v>
      </c>
      <c r="T843" s="193"/>
      <c r="U843" s="285" t="str">
        <f>IF(Tabella1[[#This Row],[N° FantaTit]]="","",Tabella1[[#This Row],[fanta voto]])</f>
        <v/>
      </c>
      <c r="V843" s="193">
        <f>SUM(Tabella1[[#This Row],[Voto]],(G843*3),Q843,P843,O843,-(N843),(-M843/2),(-L843*2),(-H843),(I843*3),(-J843*3),(K843*3))</f>
        <v>6</v>
      </c>
      <c r="W843" s="193"/>
      <c r="X843" s="193" t="str">
        <f>IF(Tabella1[[#This Row],[Best 11]]=1,Tabella1[[#This Row],[fanta voto]],"")</f>
        <v/>
      </c>
      <c r="Z843" s="193" t="str">
        <f>IF(Tabella1[[#This Row],[Best 11 MOD]]=1,Tabella1[[#This Row],[fanta voto]],"")</f>
        <v/>
      </c>
      <c r="AA843" t="str">
        <f>CONCATENATE(Tabella1[[#This Row],[GG]],Tabella1[[#This Row],[Nome]])</f>
        <v>3Cambiaghi</v>
      </c>
      <c r="AB843" t="str">
        <f t="shared" si="33"/>
        <v>3</v>
      </c>
      <c r="AC843" t="str">
        <f>_xlfn.CONCAT(Tabella1[[#This Row],[Ruolo]],Tabella1[[#This Row],[Gs]])</f>
        <v>C0</v>
      </c>
    </row>
    <row r="844" spans="1:29" hidden="1" x14ac:dyDescent="0.3">
      <c r="A844" s="14">
        <v>46270</v>
      </c>
      <c r="B844" s="15">
        <v>3</v>
      </c>
      <c r="C844" s="321" t="str">
        <f>_xlfn.XLOOKUP(Tabella1[[#This Row],[Nome]],Tabella4[NOME],Tabella4[SQUADRA],"")</f>
        <v>Frosinone</v>
      </c>
      <c r="D844" t="s">
        <v>161</v>
      </c>
      <c r="E844" t="s">
        <v>728</v>
      </c>
      <c r="F844" s="194">
        <v>6.5</v>
      </c>
      <c r="G844" s="328">
        <v>0</v>
      </c>
      <c r="H844" s="328">
        <v>0</v>
      </c>
      <c r="I844" s="328">
        <v>0</v>
      </c>
      <c r="J844" s="328">
        <v>0</v>
      </c>
      <c r="K844" s="328">
        <v>0</v>
      </c>
      <c r="L844" s="328">
        <v>0</v>
      </c>
      <c r="M844" s="328">
        <v>0</v>
      </c>
      <c r="N844" s="328">
        <v>0</v>
      </c>
      <c r="O844" s="328">
        <v>0</v>
      </c>
      <c r="P844" s="284"/>
      <c r="Q844" s="284">
        <f t="shared" si="32"/>
        <v>0</v>
      </c>
      <c r="R844" s="3" t="str">
        <f>_xlfn.IFNA(VLOOKUP(Tabella1[[#This Row],[Nome]],'ROSE SQUADRE'!$N$3:$O$260,2,0),"")</f>
        <v/>
      </c>
      <c r="S844" s="193">
        <f>SUM(Tabella1[[#This Row],[Gf]],Tabella1[[#This Row],[Rf]])</f>
        <v>0</v>
      </c>
      <c r="T844" s="193"/>
      <c r="U844" s="285" t="str">
        <f>IF(Tabella1[[#This Row],[N° FantaTit]]="","",Tabella1[[#This Row],[fanta voto]])</f>
        <v/>
      </c>
      <c r="V844" s="193">
        <f>SUM(Tabella1[[#This Row],[Voto]],(G844*3),Q844,P844,O844,-(N844),(-M844/2),(-L844*2),(-H844),(I844*3),(-J844*3),(K844*3))</f>
        <v>6.5</v>
      </c>
      <c r="W844" s="193"/>
      <c r="X844" s="193" t="str">
        <f>IF(Tabella1[[#This Row],[Best 11]]=1,Tabella1[[#This Row],[fanta voto]],"")</f>
        <v/>
      </c>
      <c r="Z844" s="193" t="str">
        <f>IF(Tabella1[[#This Row],[Best 11 MOD]]=1,Tabella1[[#This Row],[fanta voto]],"")</f>
        <v/>
      </c>
      <c r="AA844" t="str">
        <f>CONCATENATE(Tabella1[[#This Row],[GG]],Tabella1[[#This Row],[Nome]])</f>
        <v>3Calvani</v>
      </c>
      <c r="AB844" t="str">
        <f t="shared" si="33"/>
        <v>3</v>
      </c>
      <c r="AC844" t="str">
        <f>_xlfn.CONCAT(Tabella1[[#This Row],[Ruolo]],Tabella1[[#This Row],[Gs]])</f>
        <v>D0</v>
      </c>
    </row>
    <row r="845" spans="1:29" hidden="1" x14ac:dyDescent="0.3">
      <c r="A845" s="14">
        <v>46270</v>
      </c>
      <c r="B845" s="15">
        <v>3</v>
      </c>
      <c r="C845" s="321" t="str">
        <f>_xlfn.XLOOKUP(Tabella1[[#This Row],[Nome]],Tabella4[NOME],Tabella4[SQUADRA],"")</f>
        <v>Atalanta</v>
      </c>
      <c r="D845" s="330" t="s">
        <v>163</v>
      </c>
      <c r="E845" s="330" t="s">
        <v>641</v>
      </c>
      <c r="F845" s="331">
        <v>6</v>
      </c>
      <c r="G845" s="332">
        <v>0</v>
      </c>
      <c r="H845" s="332">
        <v>0</v>
      </c>
      <c r="I845" s="332">
        <v>0</v>
      </c>
      <c r="J845" s="332">
        <v>0</v>
      </c>
      <c r="K845" s="332">
        <v>0</v>
      </c>
      <c r="L845" s="332">
        <v>0</v>
      </c>
      <c r="M845" s="332">
        <v>0</v>
      </c>
      <c r="N845" s="332">
        <v>0</v>
      </c>
      <c r="O845" s="332">
        <v>0</v>
      </c>
      <c r="P845" s="284"/>
      <c r="Q845" s="284">
        <f t="shared" si="32"/>
        <v>0</v>
      </c>
      <c r="R845" s="3" t="str">
        <f>_xlfn.IFNA(VLOOKUP(Tabella1[[#This Row],[Nome]],'ROSE SQUADRE'!$N$3:$O$260,2,0),"")</f>
        <v>TRICCHETRACHT</v>
      </c>
      <c r="S845" s="193">
        <f>SUM(Tabella1[[#This Row],[Gf]],Tabella1[[#This Row],[Rf]])</f>
        <v>0</v>
      </c>
      <c r="T845" s="193"/>
      <c r="U845" s="285" t="str">
        <f>IF(Tabella1[[#This Row],[N° FantaTit]]="","",Tabella1[[#This Row],[fanta voto]])</f>
        <v/>
      </c>
      <c r="V845" s="193">
        <f>SUM(Tabella1[[#This Row],[Voto]],(G845*3),Q845,P845,O845,-(N845),(-M845/2),(-L845*2),(-H845),(I845*3),(-J845*3),(K845*3))</f>
        <v>6</v>
      </c>
      <c r="W845" s="193"/>
      <c r="X845" s="193" t="str">
        <f>IF(Tabella1[[#This Row],[Best 11]]=1,Tabella1[[#This Row],[fanta voto]],"")</f>
        <v/>
      </c>
      <c r="Z845" s="193" t="str">
        <f>IF(Tabella1[[#This Row],[Best 11 MOD]]=1,Tabella1[[#This Row],[fanta voto]],"")</f>
        <v/>
      </c>
      <c r="AA845" t="str">
        <f>CONCATENATE(Tabella1[[#This Row],[GG]],Tabella1[[#This Row],[Nome]])</f>
        <v>3Scamacca</v>
      </c>
      <c r="AB845" t="str">
        <f t="shared" si="33"/>
        <v>3TRICCHETRACHT</v>
      </c>
      <c r="AC845" t="str">
        <f>_xlfn.CONCAT(Tabella1[[#This Row],[Ruolo]],Tabella1[[#This Row],[Gs]])</f>
        <v>A0</v>
      </c>
    </row>
    <row r="846" spans="1:29" hidden="1" x14ac:dyDescent="0.3">
      <c r="A846" s="14">
        <v>46270</v>
      </c>
      <c r="B846" s="15">
        <v>3</v>
      </c>
      <c r="C846" s="321" t="str">
        <f>_xlfn.XLOOKUP(Tabella1[[#This Row],[Nome]],Tabella4[NOME],Tabella4[SQUADRA],"")</f>
        <v>Napoli</v>
      </c>
      <c r="D846" s="330" t="s">
        <v>163</v>
      </c>
      <c r="E846" s="330" t="s">
        <v>872</v>
      </c>
      <c r="F846" s="331">
        <v>6</v>
      </c>
      <c r="G846" s="332">
        <v>0</v>
      </c>
      <c r="H846" s="332">
        <v>0</v>
      </c>
      <c r="I846" s="332">
        <v>0</v>
      </c>
      <c r="J846" s="332">
        <v>0</v>
      </c>
      <c r="K846" s="332">
        <v>0</v>
      </c>
      <c r="L846" s="332">
        <v>0</v>
      </c>
      <c r="M846" s="332">
        <v>0</v>
      </c>
      <c r="N846" s="332">
        <v>0</v>
      </c>
      <c r="O846" s="332">
        <v>0</v>
      </c>
      <c r="P846" s="284"/>
      <c r="Q846" s="284">
        <f t="shared" si="32"/>
        <v>0</v>
      </c>
      <c r="R846" s="3" t="str">
        <f>_xlfn.IFNA(VLOOKUP(Tabella1[[#This Row],[Nome]],'ROSE SQUADRE'!$N$3:$O$260,2,0),"")</f>
        <v>TRICCHETRACHT</v>
      </c>
      <c r="S846" s="193">
        <f>SUM(Tabella1[[#This Row],[Gf]],Tabella1[[#This Row],[Rf]])</f>
        <v>0</v>
      </c>
      <c r="T846" s="193"/>
      <c r="U846" s="285" t="str">
        <f>IF(Tabella1[[#This Row],[N° FantaTit]]="","",Tabella1[[#This Row],[fanta voto]])</f>
        <v/>
      </c>
      <c r="V846" s="193">
        <f>SUM(Tabella1[[#This Row],[Voto]],(G846*3),Q846,P846,O846,-(N846),(-M846/2),(-L846*2),(-H846),(I846*3),(-J846*3),(K846*3))</f>
        <v>6</v>
      </c>
      <c r="W846" s="193"/>
      <c r="X846" s="193" t="str">
        <f>IF(Tabella1[[#This Row],[Best 11]]=1,Tabella1[[#This Row],[fanta voto]],"")</f>
        <v/>
      </c>
      <c r="Z846" s="193" t="str">
        <f>IF(Tabella1[[#This Row],[Best 11 MOD]]=1,Tabella1[[#This Row],[fanta voto]],"")</f>
        <v/>
      </c>
      <c r="AA846" t="str">
        <f>CONCATENATE(Tabella1[[#This Row],[GG]],Tabella1[[#This Row],[Nome]])</f>
        <v>3Santos A.</v>
      </c>
      <c r="AB846" t="str">
        <f t="shared" si="33"/>
        <v>3TRICCHETRACHT</v>
      </c>
      <c r="AC846" t="str">
        <f>_xlfn.CONCAT(Tabella1[[#This Row],[Ruolo]],Tabella1[[#This Row],[Gs]])</f>
        <v>A0</v>
      </c>
    </row>
    <row r="847" spans="1:29" hidden="1" x14ac:dyDescent="0.3">
      <c r="A847" s="14">
        <v>46270</v>
      </c>
      <c r="B847" s="15">
        <v>3</v>
      </c>
      <c r="C847" s="321" t="str">
        <f>_xlfn.XLOOKUP(Tabella1[[#This Row],[Nome]],Tabella4[NOME],Tabella4[SQUADRA],"")</f>
        <v>Udinese</v>
      </c>
      <c r="D847" s="330" t="s">
        <v>163</v>
      </c>
      <c r="E847" s="330" t="s">
        <v>580</v>
      </c>
      <c r="F847" s="331">
        <v>6.5</v>
      </c>
      <c r="G847" s="332">
        <v>0</v>
      </c>
      <c r="H847" s="332">
        <v>0</v>
      </c>
      <c r="I847" s="332">
        <v>0</v>
      </c>
      <c r="J847" s="332">
        <v>0</v>
      </c>
      <c r="K847" s="332">
        <v>0</v>
      </c>
      <c r="L847" s="332">
        <v>0</v>
      </c>
      <c r="M847" s="332">
        <v>0</v>
      </c>
      <c r="N847" s="332">
        <v>0</v>
      </c>
      <c r="O847" s="333">
        <v>1</v>
      </c>
      <c r="P847" s="284"/>
      <c r="Q847" s="284">
        <f t="shared" si="32"/>
        <v>0</v>
      </c>
      <c r="R847" s="3" t="str">
        <f>_xlfn.IFNA(VLOOKUP(Tabella1[[#This Row],[Nome]],'ROSE SQUADRE'!$N$3:$O$260,2,0),"")</f>
        <v>PARTIZAN DEGRADO</v>
      </c>
      <c r="S847" s="193">
        <f>SUM(Tabella1[[#This Row],[Gf]],Tabella1[[#This Row],[Rf]])</f>
        <v>0</v>
      </c>
      <c r="T847" s="193">
        <v>1</v>
      </c>
      <c r="U847" s="285">
        <f>IF(Tabella1[[#This Row],[N° FantaTit]]="","",Tabella1[[#This Row],[fanta voto]])</f>
        <v>7.5</v>
      </c>
      <c r="V847" s="193">
        <f>SUM(Tabella1[[#This Row],[Voto]],(G847*3),Q847,P847,O847,-(N847),(-M847/2),(-L847*2),(-H847),(I847*3),(-J847*3),(K847*3))</f>
        <v>7.5</v>
      </c>
      <c r="W847" s="193">
        <v>1</v>
      </c>
      <c r="X847" s="193">
        <f>IF(Tabella1[[#This Row],[Best 11]]=1,Tabella1[[#This Row],[fanta voto]],"")</f>
        <v>7.5</v>
      </c>
      <c r="Y847">
        <v>1</v>
      </c>
      <c r="Z847" s="193">
        <f>IF(Tabella1[[#This Row],[Best 11 MOD]]=1,Tabella1[[#This Row],[fanta voto]],"")</f>
        <v>7.5</v>
      </c>
      <c r="AA847" t="str">
        <f>CONCATENATE(Tabella1[[#This Row],[GG]],Tabella1[[#This Row],[Nome]])</f>
        <v>3Davis K.</v>
      </c>
      <c r="AB847" t="str">
        <f t="shared" si="33"/>
        <v>3PARTIZAN DEGRADO1</v>
      </c>
      <c r="AC847" t="str">
        <f>_xlfn.CONCAT(Tabella1[[#This Row],[Ruolo]],Tabella1[[#This Row],[Gs]])</f>
        <v>A0</v>
      </c>
    </row>
    <row r="848" spans="1:29" hidden="1" x14ac:dyDescent="0.3">
      <c r="A848" s="14">
        <v>46270</v>
      </c>
      <c r="B848" s="15">
        <v>3</v>
      </c>
      <c r="C848" s="321" t="str">
        <f>_xlfn.XLOOKUP(Tabella1[[#This Row],[Nome]],Tabella4[NOME],Tabella4[SQUADRA],"")</f>
        <v>Sassuolo</v>
      </c>
      <c r="D848" s="330" t="s">
        <v>163</v>
      </c>
      <c r="E848" s="330" t="s">
        <v>932</v>
      </c>
      <c r="F848" s="331">
        <v>6.5</v>
      </c>
      <c r="G848" s="332">
        <v>0</v>
      </c>
      <c r="H848" s="332">
        <v>0</v>
      </c>
      <c r="I848" s="332">
        <v>0</v>
      </c>
      <c r="J848" s="332">
        <v>0</v>
      </c>
      <c r="K848" s="332">
        <v>0</v>
      </c>
      <c r="L848" s="332">
        <v>0</v>
      </c>
      <c r="M848" s="332">
        <v>0</v>
      </c>
      <c r="N848" s="332">
        <v>0</v>
      </c>
      <c r="O848" s="332">
        <v>0</v>
      </c>
      <c r="P848" s="284"/>
      <c r="Q848" s="284">
        <f t="shared" si="32"/>
        <v>0</v>
      </c>
      <c r="R848" s="3" t="str">
        <f>_xlfn.IFNA(VLOOKUP(Tabella1[[#This Row],[Nome]],'ROSE SQUADRE'!$N$3:$O$260,2,0),"")</f>
        <v>SESTO ASENSIO</v>
      </c>
      <c r="S848" s="193">
        <f>SUM(Tabella1[[#This Row],[Gf]],Tabella1[[#This Row],[Rf]])</f>
        <v>0</v>
      </c>
      <c r="T848" s="193">
        <v>1</v>
      </c>
      <c r="U848" s="285">
        <f>IF(Tabella1[[#This Row],[N° FantaTit]]="","",Tabella1[[#This Row],[fanta voto]])</f>
        <v>6.5</v>
      </c>
      <c r="V848" s="193">
        <f>SUM(Tabella1[[#This Row],[Voto]],(G848*3),Q848,P848,O848,-(N848),(-M848/2),(-L848*2),(-H848),(I848*3),(-J848*3),(K848*3))</f>
        <v>6.5</v>
      </c>
      <c r="W848" s="193">
        <v>1</v>
      </c>
      <c r="X848" s="193">
        <f>IF(Tabella1[[#This Row],[Best 11]]=1,Tabella1[[#This Row],[fanta voto]],"")</f>
        <v>6.5</v>
      </c>
      <c r="Y848">
        <v>1</v>
      </c>
      <c r="Z848" s="193">
        <f>IF(Tabella1[[#This Row],[Best 11 MOD]]=1,Tabella1[[#This Row],[fanta voto]],"")</f>
        <v>6.5</v>
      </c>
      <c r="AA848" t="str">
        <f>CONCATENATE(Tabella1[[#This Row],[GG]],Tabella1[[#This Row],[Nome]])</f>
        <v>3Laurientè</v>
      </c>
      <c r="AB848" t="str">
        <f t="shared" si="33"/>
        <v>3SESTO ASENSIO1</v>
      </c>
      <c r="AC848" t="str">
        <f>_xlfn.CONCAT(Tabella1[[#This Row],[Ruolo]],Tabella1[[#This Row],[Gs]])</f>
        <v>A0</v>
      </c>
    </row>
    <row r="849" spans="1:29" hidden="1" x14ac:dyDescent="0.3">
      <c r="A849" s="14">
        <v>46270</v>
      </c>
      <c r="B849" s="15">
        <v>3</v>
      </c>
      <c r="C849" s="321" t="str">
        <f>_xlfn.XLOOKUP(Tabella1[[#This Row],[Nome]],Tabella4[NOME],Tabella4[SQUADRA],"")</f>
        <v>Venezia</v>
      </c>
      <c r="D849" s="330" t="s">
        <v>162</v>
      </c>
      <c r="E849" s="330" t="s">
        <v>979</v>
      </c>
      <c r="F849" s="331">
        <v>6.5</v>
      </c>
      <c r="G849" s="332">
        <v>0</v>
      </c>
      <c r="H849" s="332">
        <v>0</v>
      </c>
      <c r="I849" s="332">
        <v>0</v>
      </c>
      <c r="J849" s="332">
        <v>0</v>
      </c>
      <c r="K849" s="332">
        <v>0</v>
      </c>
      <c r="L849" s="332">
        <v>0</v>
      </c>
      <c r="M849" s="333">
        <v>1</v>
      </c>
      <c r="N849" s="332">
        <v>0</v>
      </c>
      <c r="O849" s="333">
        <v>1</v>
      </c>
      <c r="P849" s="284"/>
      <c r="Q849" s="284">
        <f t="shared" si="32"/>
        <v>0</v>
      </c>
      <c r="R849" s="3" t="str">
        <f>_xlfn.IFNA(VLOOKUP(Tabella1[[#This Row],[Nome]],'ROSE SQUADRE'!$N$3:$O$260,2,0),"")</f>
        <v/>
      </c>
      <c r="S849" s="193">
        <f>SUM(Tabella1[[#This Row],[Gf]],Tabella1[[#This Row],[Rf]])</f>
        <v>0</v>
      </c>
      <c r="T849" s="193"/>
      <c r="U849" s="285" t="str">
        <f>IF(Tabella1[[#This Row],[N° FantaTit]]="","",Tabella1[[#This Row],[fanta voto]])</f>
        <v/>
      </c>
      <c r="V849" s="193">
        <f>SUM(Tabella1[[#This Row],[Voto]],(G849*3),Q849,P849,O849,-(N849),(-M849/2),(-L849*2),(-H849),(I849*3),(-J849*3),(K849*3))</f>
        <v>7</v>
      </c>
      <c r="W849" s="193"/>
      <c r="X849" s="193" t="str">
        <f>IF(Tabella1[[#This Row],[Best 11]]=1,Tabella1[[#This Row],[fanta voto]],"")</f>
        <v/>
      </c>
      <c r="Z849" s="193" t="str">
        <f>IF(Tabella1[[#This Row],[Best 11 MOD]]=1,Tabella1[[#This Row],[fanta voto]],"")</f>
        <v/>
      </c>
      <c r="AA849" t="str">
        <f>CONCATENATE(Tabella1[[#This Row],[GG]],Tabella1[[#This Row],[Nome]])</f>
        <v>3Busio</v>
      </c>
      <c r="AB849" t="str">
        <f t="shared" si="33"/>
        <v>3</v>
      </c>
      <c r="AC849" t="str">
        <f>_xlfn.CONCAT(Tabella1[[#This Row],[Ruolo]],Tabella1[[#This Row],[Gs]])</f>
        <v>C0</v>
      </c>
    </row>
    <row r="850" spans="1:29" hidden="1" x14ac:dyDescent="0.3">
      <c r="A850" s="14">
        <v>46270</v>
      </c>
      <c r="B850" s="15">
        <v>3</v>
      </c>
      <c r="C850" s="321" t="str">
        <f>_xlfn.XLOOKUP(Tabella1[[#This Row],[Nome]],Tabella4[NOME],Tabella4[SQUADRA],"")</f>
        <v>Parma</v>
      </c>
      <c r="D850" s="330" t="s">
        <v>161</v>
      </c>
      <c r="E850" s="330" t="s">
        <v>876</v>
      </c>
      <c r="F850" s="331">
        <v>6</v>
      </c>
      <c r="G850" s="332">
        <v>0</v>
      </c>
      <c r="H850" s="332">
        <v>0</v>
      </c>
      <c r="I850" s="332">
        <v>0</v>
      </c>
      <c r="J850" s="332">
        <v>0</v>
      </c>
      <c r="K850" s="332">
        <v>0</v>
      </c>
      <c r="L850" s="332">
        <v>0</v>
      </c>
      <c r="M850" s="332">
        <v>0</v>
      </c>
      <c r="N850" s="332">
        <v>0</v>
      </c>
      <c r="O850" s="332">
        <v>0</v>
      </c>
      <c r="P850" s="284"/>
      <c r="Q850" s="284">
        <f t="shared" si="32"/>
        <v>0</v>
      </c>
      <c r="R850" s="3" t="str">
        <f>_xlfn.IFNA(VLOOKUP(Tabella1[[#This Row],[Nome]],'ROSE SQUADRE'!$N$3:$O$260,2,0),"")</f>
        <v/>
      </c>
      <c r="S850" s="193">
        <f>SUM(Tabella1[[#This Row],[Gf]],Tabella1[[#This Row],[Rf]])</f>
        <v>0</v>
      </c>
      <c r="T850" s="193"/>
      <c r="U850" s="285" t="str">
        <f>IF(Tabella1[[#This Row],[N° FantaTit]]="","",Tabella1[[#This Row],[fanta voto]])</f>
        <v/>
      </c>
      <c r="V850" s="193">
        <f>SUM(Tabella1[[#This Row],[Voto]],(G850*3),Q850,P850,O850,-(N850),(-M850/2),(-L850*2),(-H850),(I850*3),(-J850*3),(K850*3))</f>
        <v>6</v>
      </c>
      <c r="W850" s="193"/>
      <c r="X850" s="193" t="str">
        <f>IF(Tabella1[[#This Row],[Best 11]]=1,Tabella1[[#This Row],[fanta voto]],"")</f>
        <v/>
      </c>
      <c r="Z850" s="193" t="str">
        <f>IF(Tabella1[[#This Row],[Best 11 MOD]]=1,Tabella1[[#This Row],[fanta voto]],"")</f>
        <v/>
      </c>
      <c r="AA850" t="str">
        <f>CONCATENATE(Tabella1[[#This Row],[GG]],Tabella1[[#This Row],[Nome]])</f>
        <v>3Britschgi</v>
      </c>
      <c r="AB850" t="str">
        <f t="shared" si="33"/>
        <v>3</v>
      </c>
      <c r="AC850" t="str">
        <f>_xlfn.CONCAT(Tabella1[[#This Row],[Ruolo]],Tabella1[[#This Row],[Gs]])</f>
        <v>D0</v>
      </c>
    </row>
    <row r="851" spans="1:29" hidden="1" x14ac:dyDescent="0.3">
      <c r="A851" s="14">
        <v>46270</v>
      </c>
      <c r="B851" s="15">
        <v>3</v>
      </c>
      <c r="C851" s="321" t="str">
        <f>_xlfn.XLOOKUP(Tabella1[[#This Row],[Nome]],Tabella4[NOME],Tabella4[SQUADRA],"")</f>
        <v>Fiorentina</v>
      </c>
      <c r="D851" t="s">
        <v>162</v>
      </c>
      <c r="E851" t="s">
        <v>441</v>
      </c>
      <c r="F851" s="194">
        <v>6</v>
      </c>
      <c r="G851" s="328">
        <v>0</v>
      </c>
      <c r="H851" s="328">
        <v>0</v>
      </c>
      <c r="I851" s="328">
        <v>0</v>
      </c>
      <c r="J851" s="328">
        <v>0</v>
      </c>
      <c r="K851" s="328">
        <v>0</v>
      </c>
      <c r="L851" s="328">
        <v>0</v>
      </c>
      <c r="M851" s="328">
        <v>0</v>
      </c>
      <c r="N851" s="328">
        <v>0</v>
      </c>
      <c r="O851" s="328">
        <v>0</v>
      </c>
      <c r="P851" s="284"/>
      <c r="Q851" s="284">
        <f t="shared" si="32"/>
        <v>0</v>
      </c>
      <c r="R851" s="3" t="str">
        <f>_xlfn.IFNA(VLOOKUP(Tabella1[[#This Row],[Nome]],'ROSE SQUADRE'!$N$3:$O$260,2,0),"")</f>
        <v/>
      </c>
      <c r="S851" s="193">
        <f>SUM(Tabella1[[#This Row],[Gf]],Tabella1[[#This Row],[Rf]])</f>
        <v>0</v>
      </c>
      <c r="T851" s="193"/>
      <c r="U851" s="285" t="str">
        <f>IF(Tabella1[[#This Row],[N° FantaTit]]="","",Tabella1[[#This Row],[fanta voto]])</f>
        <v/>
      </c>
      <c r="V851" s="193">
        <f>SUM(Tabella1[[#This Row],[Voto]],(G851*3),Q851,P851,O851,-(N851),(-M851/2),(-L851*2),(-H851),(I851*3),(-J851*3),(K851*3))</f>
        <v>6</v>
      </c>
      <c r="W851" s="193"/>
      <c r="X851" s="193" t="str">
        <f>IF(Tabella1[[#This Row],[Best 11]]=1,Tabella1[[#This Row],[fanta voto]],"")</f>
        <v/>
      </c>
      <c r="Z851" s="193" t="str">
        <f>IF(Tabella1[[#This Row],[Best 11 MOD]]=1,Tabella1[[#This Row],[fanta voto]],"")</f>
        <v/>
      </c>
      <c r="AA851" t="str">
        <f>CONCATENATE(Tabella1[[#This Row],[GG]],Tabella1[[#This Row],[Nome]])</f>
        <v>3Brescianini</v>
      </c>
      <c r="AB851" t="str">
        <f t="shared" si="33"/>
        <v>3</v>
      </c>
      <c r="AC851" t="str">
        <f>_xlfn.CONCAT(Tabella1[[#This Row],[Ruolo]],Tabella1[[#This Row],[Gs]])</f>
        <v>C0</v>
      </c>
    </row>
    <row r="852" spans="1:29" hidden="1" x14ac:dyDescent="0.3">
      <c r="A852" s="14">
        <v>46270</v>
      </c>
      <c r="B852" s="15">
        <v>3</v>
      </c>
      <c r="C852" s="321" t="str">
        <f>_xlfn.XLOOKUP(Tabella1[[#This Row],[Nome]],Tabella4[NOME],Tabella4[SQUADRA],"")</f>
        <v>Como</v>
      </c>
      <c r="D852" t="s">
        <v>163</v>
      </c>
      <c r="E852" t="s">
        <v>702</v>
      </c>
      <c r="F852" s="194">
        <v>5.5</v>
      </c>
      <c r="G852" s="328">
        <v>0</v>
      </c>
      <c r="H852" s="328">
        <v>0</v>
      </c>
      <c r="I852" s="328">
        <v>0</v>
      </c>
      <c r="J852" s="328">
        <v>0</v>
      </c>
      <c r="K852" s="328">
        <v>0</v>
      </c>
      <c r="L852" s="328">
        <v>0</v>
      </c>
      <c r="M852" s="328">
        <v>0</v>
      </c>
      <c r="N852" s="328">
        <v>0</v>
      </c>
      <c r="O852" s="328">
        <v>0</v>
      </c>
      <c r="P852" s="284"/>
      <c r="Q852" s="284">
        <f t="shared" ref="Q852:Q874" si="34">IF(AC852="P0",1,0)</f>
        <v>0</v>
      </c>
      <c r="R852" s="3" t="str">
        <f>_xlfn.IFNA(VLOOKUP(Tabella1[[#This Row],[Nome]],'ROSE SQUADRE'!$N$3:$O$260,2,0),"")</f>
        <v>SESTO ASENSIO</v>
      </c>
      <c r="S852" s="193">
        <f>SUM(Tabella1[[#This Row],[Gf]],Tabella1[[#This Row],[Rf]])</f>
        <v>0</v>
      </c>
      <c r="T852" s="193">
        <v>1</v>
      </c>
      <c r="U852" s="285">
        <f>IF(Tabella1[[#This Row],[N° FantaTit]]="","",Tabella1[[#This Row],[fanta voto]])</f>
        <v>5.5</v>
      </c>
      <c r="V852" s="193">
        <f>SUM(Tabella1[[#This Row],[Voto]],(G852*3),Q852,P852,O852,-(N852),(-M852/2),(-L852*2),(-H852),(I852*3),(-J852*3),(K852*3))</f>
        <v>5.5</v>
      </c>
      <c r="W852" s="193"/>
      <c r="X852" s="193" t="str">
        <f>IF(Tabella1[[#This Row],[Best 11]]=1,Tabella1[[#This Row],[fanta voto]],"")</f>
        <v/>
      </c>
      <c r="Z852" s="193" t="str">
        <f>IF(Tabella1[[#This Row],[Best 11 MOD]]=1,Tabella1[[#This Row],[fanta voto]],"")</f>
        <v/>
      </c>
      <c r="AA852" t="str">
        <f>CONCATENATE(Tabella1[[#This Row],[GG]],Tabella1[[#This Row],[Nome]])</f>
        <v>3Douvikas</v>
      </c>
      <c r="AB852" t="str">
        <f t="shared" ref="AB852:AB874" si="35">CONCATENATE(B852,R852,T852)</f>
        <v>3SESTO ASENSIO1</v>
      </c>
      <c r="AC852" t="str">
        <f>_xlfn.CONCAT(Tabella1[[#This Row],[Ruolo]],Tabella1[[#This Row],[Gs]])</f>
        <v>A0</v>
      </c>
    </row>
    <row r="853" spans="1:29" hidden="1" x14ac:dyDescent="0.3">
      <c r="A853" s="14">
        <v>46270</v>
      </c>
      <c r="B853" s="15">
        <v>3</v>
      </c>
      <c r="C853" s="321" t="str">
        <f>_xlfn.XLOOKUP(Tabella1[[#This Row],[Nome]],Tabella4[NOME],Tabella4[SQUADRA],"")</f>
        <v>Torino</v>
      </c>
      <c r="D853" s="330" t="s">
        <v>162</v>
      </c>
      <c r="E853" s="330" t="s">
        <v>1058</v>
      </c>
      <c r="F853" s="331">
        <v>6</v>
      </c>
      <c r="G853" s="332">
        <v>0</v>
      </c>
      <c r="H853" s="332">
        <v>0</v>
      </c>
      <c r="I853" s="332">
        <v>0</v>
      </c>
      <c r="J853" s="332">
        <v>0</v>
      </c>
      <c r="K853" s="332">
        <v>0</v>
      </c>
      <c r="L853" s="332">
        <v>0</v>
      </c>
      <c r="M853" s="332">
        <v>0</v>
      </c>
      <c r="N853" s="332">
        <v>0</v>
      </c>
      <c r="O853" s="332">
        <v>0</v>
      </c>
      <c r="P853" s="284"/>
      <c r="Q853" s="284">
        <f t="shared" si="34"/>
        <v>0</v>
      </c>
      <c r="R853" s="3" t="str">
        <f>_xlfn.IFNA(VLOOKUP(Tabella1[[#This Row],[Nome]],'ROSE SQUADRE'!$N$3:$O$260,2,0),"")</f>
        <v/>
      </c>
      <c r="S853" s="193">
        <f>SUM(Tabella1[[#This Row],[Gf]],Tabella1[[#This Row],[Rf]])</f>
        <v>0</v>
      </c>
      <c r="T853" s="193"/>
      <c r="U853" s="285" t="str">
        <f>IF(Tabella1[[#This Row],[N° FantaTit]]="","",Tabella1[[#This Row],[fanta voto]])</f>
        <v/>
      </c>
      <c r="V853" s="193">
        <f>SUM(Tabella1[[#This Row],[Voto]],(G853*3),Q853,P853,O853,-(N853),(-M853/2),(-L853*2),(-H853),(I853*3),(-J853*3),(K853*3))</f>
        <v>6</v>
      </c>
      <c r="W853" s="193"/>
      <c r="X853" s="193" t="str">
        <f>IF(Tabella1[[#This Row],[Best 11]]=1,Tabella1[[#This Row],[fanta voto]],"")</f>
        <v/>
      </c>
      <c r="Z853" s="193" t="str">
        <f>IF(Tabella1[[#This Row],[Best 11 MOD]]=1,Tabella1[[#This Row],[fanta voto]],"")</f>
        <v/>
      </c>
      <c r="AA853" t="str">
        <f>CONCATENATE(Tabella1[[#This Row],[GG]],Tabella1[[#This Row],[Nome]])</f>
        <v>3Braganca</v>
      </c>
      <c r="AB853" t="str">
        <f t="shared" si="35"/>
        <v>3</v>
      </c>
      <c r="AC853" t="str">
        <f>_xlfn.CONCAT(Tabella1[[#This Row],[Ruolo]],Tabella1[[#This Row],[Gs]])</f>
        <v>C0</v>
      </c>
    </row>
    <row r="854" spans="1:29" hidden="1" x14ac:dyDescent="0.3">
      <c r="A854" s="14">
        <v>46270</v>
      </c>
      <c r="B854" s="15">
        <v>3</v>
      </c>
      <c r="C854" s="321" t="str">
        <f>_xlfn.XLOOKUP(Tabella1[[#This Row],[Nome]],Tabella4[NOME],Tabella4[SQUADRA],"")</f>
        <v>Juventus</v>
      </c>
      <c r="D854" t="s">
        <v>163</v>
      </c>
      <c r="E854" t="s">
        <v>793</v>
      </c>
      <c r="F854" s="194">
        <v>4.5</v>
      </c>
      <c r="G854" s="328">
        <v>0</v>
      </c>
      <c r="H854" s="328">
        <v>0</v>
      </c>
      <c r="I854" s="328">
        <v>0</v>
      </c>
      <c r="J854" s="328">
        <v>0</v>
      </c>
      <c r="K854" s="328">
        <v>0</v>
      </c>
      <c r="L854" s="328">
        <v>0</v>
      </c>
      <c r="M854" s="328">
        <v>0</v>
      </c>
      <c r="N854" s="328">
        <v>0</v>
      </c>
      <c r="O854" s="328">
        <v>0</v>
      </c>
      <c r="P854" s="284"/>
      <c r="Q854" s="284">
        <f t="shared" si="34"/>
        <v>0</v>
      </c>
      <c r="R854" s="3" t="str">
        <f>_xlfn.IFNA(VLOOKUP(Tabella1[[#This Row],[Nome]],'ROSE SQUADRE'!$N$3:$O$260,2,0),"")</f>
        <v>SAN GRIA</v>
      </c>
      <c r="S854" s="193">
        <f>SUM(Tabella1[[#This Row],[Gf]],Tabella1[[#This Row],[Rf]])</f>
        <v>0</v>
      </c>
      <c r="T854" s="193">
        <v>1</v>
      </c>
      <c r="U854" s="285">
        <f>IF(Tabella1[[#This Row],[N° FantaTit]]="","",Tabella1[[#This Row],[fanta voto]])</f>
        <v>4.5</v>
      </c>
      <c r="V854" s="193">
        <f>SUM(Tabella1[[#This Row],[Voto]],(G854*3),Q854,P854,O854,-(N854),(-M854/2),(-L854*2),(-H854),(I854*3),(-J854*3),(K854*3))</f>
        <v>4.5</v>
      </c>
      <c r="W854" s="193"/>
      <c r="X854" s="193" t="str">
        <f>IF(Tabella1[[#This Row],[Best 11]]=1,Tabella1[[#This Row],[fanta voto]],"")</f>
        <v/>
      </c>
      <c r="Z854" s="193" t="str">
        <f>IF(Tabella1[[#This Row],[Best 11 MOD]]=1,Tabella1[[#This Row],[fanta voto]],"")</f>
        <v/>
      </c>
      <c r="AA854" t="str">
        <f>CONCATENATE(Tabella1[[#This Row],[GG]],Tabella1[[#This Row],[Nome]])</f>
        <v>3Kolo Muani</v>
      </c>
      <c r="AB854" t="str">
        <f t="shared" si="35"/>
        <v>3SAN GRIA1</v>
      </c>
      <c r="AC854" t="str">
        <f>_xlfn.CONCAT(Tabella1[[#This Row],[Ruolo]],Tabella1[[#This Row],[Gs]])</f>
        <v>A0</v>
      </c>
    </row>
    <row r="855" spans="1:29" hidden="1" x14ac:dyDescent="0.3">
      <c r="A855" s="14">
        <v>46270</v>
      </c>
      <c r="B855" s="15">
        <v>3</v>
      </c>
      <c r="C855" s="321" t="str">
        <f>_xlfn.XLOOKUP(Tabella1[[#This Row],[Nome]],Tabella4[NOME],Tabella4[SQUADRA],"")</f>
        <v>Roma</v>
      </c>
      <c r="D855" t="s">
        <v>163</v>
      </c>
      <c r="E855" t="s">
        <v>256</v>
      </c>
      <c r="F855" s="194">
        <v>7</v>
      </c>
      <c r="G855" s="328">
        <v>0</v>
      </c>
      <c r="H855" s="328">
        <v>0</v>
      </c>
      <c r="I855" s="328">
        <v>0</v>
      </c>
      <c r="J855" s="328">
        <v>0</v>
      </c>
      <c r="K855" s="328">
        <v>0</v>
      </c>
      <c r="L855" s="328">
        <v>0</v>
      </c>
      <c r="M855" s="328">
        <v>0</v>
      </c>
      <c r="N855" s="328">
        <v>0</v>
      </c>
      <c r="O855" s="329">
        <v>1</v>
      </c>
      <c r="P855" s="284"/>
      <c r="Q855" s="284">
        <f t="shared" si="34"/>
        <v>0</v>
      </c>
      <c r="R855" s="3" t="str">
        <f>_xlfn.IFNA(VLOOKUP(Tabella1[[#This Row],[Nome]],'ROSE SQUADRE'!$N$3:$O$260,2,0),"")</f>
        <v>FC INTERNAZIOANALE</v>
      </c>
      <c r="S855" s="193">
        <f>SUM(Tabella1[[#This Row],[Gf]],Tabella1[[#This Row],[Rf]])</f>
        <v>0</v>
      </c>
      <c r="T855" s="193">
        <v>1</v>
      </c>
      <c r="U855" s="285">
        <f>IF(Tabella1[[#This Row],[N° FantaTit]]="","",Tabella1[[#This Row],[fanta voto]])</f>
        <v>8</v>
      </c>
      <c r="V855" s="193">
        <f>SUM(Tabella1[[#This Row],[Voto]],(G855*3),Q855,P855,O855,-(N855),(-M855/2),(-L855*2),(-H855),(I855*3),(-J855*3),(K855*3))</f>
        <v>8</v>
      </c>
      <c r="W855" s="193">
        <v>1</v>
      </c>
      <c r="X855" s="193">
        <f>IF(Tabella1[[#This Row],[Best 11]]=1,Tabella1[[#This Row],[fanta voto]],"")</f>
        <v>8</v>
      </c>
      <c r="Y855">
        <v>1</v>
      </c>
      <c r="Z855" s="193">
        <f>IF(Tabella1[[#This Row],[Best 11 MOD]]=1,Tabella1[[#This Row],[fanta voto]],"")</f>
        <v>8</v>
      </c>
      <c r="AA855" t="str">
        <f>CONCATENATE(Tabella1[[#This Row],[GG]],Tabella1[[#This Row],[Nome]])</f>
        <v>3Dybala</v>
      </c>
      <c r="AB855" t="str">
        <f t="shared" si="35"/>
        <v>3FC INTERNAZIOANALE1</v>
      </c>
      <c r="AC855" t="str">
        <f>_xlfn.CONCAT(Tabella1[[#This Row],[Ruolo]],Tabella1[[#This Row],[Gs]])</f>
        <v>A0</v>
      </c>
    </row>
    <row r="856" spans="1:29" x14ac:dyDescent="0.3">
      <c r="A856" s="14">
        <v>46270</v>
      </c>
      <c r="B856" s="15">
        <v>3</v>
      </c>
      <c r="C856" s="321" t="str">
        <f>_xlfn.XLOOKUP(Tabella1[[#This Row],[Nome]],Tabella4[NOME],Tabella4[SQUADRA],"")</f>
        <v>Inter</v>
      </c>
      <c r="D856" s="330" t="s">
        <v>163</v>
      </c>
      <c r="E856" s="330" t="s">
        <v>233</v>
      </c>
      <c r="F856" s="331">
        <v>7.5</v>
      </c>
      <c r="G856" s="333">
        <v>2</v>
      </c>
      <c r="H856" s="332">
        <v>0</v>
      </c>
      <c r="I856" s="332">
        <v>0</v>
      </c>
      <c r="J856" s="332">
        <v>0</v>
      </c>
      <c r="K856" s="332">
        <v>0</v>
      </c>
      <c r="L856" s="332">
        <v>0</v>
      </c>
      <c r="M856" s="333">
        <v>1</v>
      </c>
      <c r="N856" s="332">
        <v>0</v>
      </c>
      <c r="O856" s="332">
        <v>0</v>
      </c>
      <c r="P856" s="284">
        <v>1</v>
      </c>
      <c r="Q856" s="284">
        <f t="shared" si="34"/>
        <v>0</v>
      </c>
      <c r="R856" s="3" t="str">
        <f>_xlfn.IFNA(VLOOKUP(Tabella1[[#This Row],[Nome]],'ROSE SQUADRE'!$N$3:$O$260,2,0),"")</f>
        <v>TRICCHETRACHT</v>
      </c>
      <c r="S856" s="193">
        <f>SUM(Tabella1[[#This Row],[Gf]],Tabella1[[#This Row],[Rf]])</f>
        <v>2</v>
      </c>
      <c r="T856" s="193">
        <v>1</v>
      </c>
      <c r="U856" s="285">
        <f>IF(Tabella1[[#This Row],[N° FantaTit]]="","",Tabella1[[#This Row],[fanta voto]])</f>
        <v>14</v>
      </c>
      <c r="V856" s="193">
        <f>SUM(Tabella1[[#This Row],[Voto]],(G856*3),Q856,P856,O856,-(N856),(-M856/2),(-L856*2),(-H856),(I856*3),(-J856*3),(K856*3))</f>
        <v>14</v>
      </c>
      <c r="W856" s="193">
        <v>1</v>
      </c>
      <c r="X856" s="193">
        <f>IF(Tabella1[[#This Row],[Best 11]]=1,Tabella1[[#This Row],[fanta voto]],"")</f>
        <v>14</v>
      </c>
      <c r="Y856">
        <v>1</v>
      </c>
      <c r="Z856" s="193">
        <f>IF(Tabella1[[#This Row],[Best 11 MOD]]=1,Tabella1[[#This Row],[fanta voto]],"")</f>
        <v>14</v>
      </c>
      <c r="AA856" t="str">
        <f>CONCATENATE(Tabella1[[#This Row],[GG]],Tabella1[[#This Row],[Nome]])</f>
        <v>3Martinez L.</v>
      </c>
      <c r="AB856" t="str">
        <f t="shared" si="35"/>
        <v>3TRICCHETRACHT1</v>
      </c>
      <c r="AC856" t="str">
        <f>_xlfn.CONCAT(Tabella1[[#This Row],[Ruolo]],Tabella1[[#This Row],[Gs]])</f>
        <v>A0</v>
      </c>
    </row>
    <row r="857" spans="1:29" x14ac:dyDescent="0.3">
      <c r="A857" s="14">
        <v>46270</v>
      </c>
      <c r="B857" s="15">
        <v>3</v>
      </c>
      <c r="C857" s="321" t="str">
        <f>_xlfn.XLOOKUP(Tabella1[[#This Row],[Nome]],Tabella4[NOME],Tabella4[SQUADRA],"")</f>
        <v>Cagliari</v>
      </c>
      <c r="D857" s="330" t="s">
        <v>163</v>
      </c>
      <c r="E857" s="330" t="s">
        <v>355</v>
      </c>
      <c r="F857" s="331">
        <v>7</v>
      </c>
      <c r="G857" s="333">
        <v>1</v>
      </c>
      <c r="H857" s="332">
        <v>0</v>
      </c>
      <c r="I857" s="332">
        <v>0</v>
      </c>
      <c r="J857" s="332">
        <v>0</v>
      </c>
      <c r="K857" s="332">
        <v>0</v>
      </c>
      <c r="L857" s="332">
        <v>0</v>
      </c>
      <c r="M857" s="332">
        <v>0</v>
      </c>
      <c r="N857" s="332">
        <v>0</v>
      </c>
      <c r="O857" s="332">
        <v>0</v>
      </c>
      <c r="P857" s="284">
        <v>1</v>
      </c>
      <c r="Q857" s="284">
        <f t="shared" si="34"/>
        <v>0</v>
      </c>
      <c r="R857" s="3" t="str">
        <f>_xlfn.IFNA(VLOOKUP(Tabella1[[#This Row],[Nome]],'ROSE SQUADRE'!$N$3:$O$260,2,0),"")</f>
        <v>ATL. IMPROVVISATO</v>
      </c>
      <c r="S857" s="193">
        <f>SUM(Tabella1[[#This Row],[Gf]],Tabella1[[#This Row],[Rf]])</f>
        <v>1</v>
      </c>
      <c r="T857" s="193">
        <v>1</v>
      </c>
      <c r="U857" s="285">
        <f>IF(Tabella1[[#This Row],[N° FantaTit]]="","",Tabella1[[#This Row],[fanta voto]])</f>
        <v>11</v>
      </c>
      <c r="V857" s="193">
        <f>SUM(Tabella1[[#This Row],[Voto]],(G857*3),Q857,P857,O857,-(N857),(-M857/2),(-L857*2),(-H857),(I857*3),(-J857*3),(K857*3))</f>
        <v>11</v>
      </c>
      <c r="W857" s="193">
        <v>1</v>
      </c>
      <c r="X857" s="193">
        <f>IF(Tabella1[[#This Row],[Best 11]]=1,Tabella1[[#This Row],[fanta voto]],"")</f>
        <v>11</v>
      </c>
      <c r="Y857">
        <v>1</v>
      </c>
      <c r="Z857" s="193">
        <f>IF(Tabella1[[#This Row],[Best 11 MOD]]=1,Tabella1[[#This Row],[fanta voto]],"")</f>
        <v>11</v>
      </c>
      <c r="AA857" t="str">
        <f>CONCATENATE(Tabella1[[#This Row],[GG]],Tabella1[[#This Row],[Nome]])</f>
        <v>3Maldini</v>
      </c>
      <c r="AB857" t="str">
        <f t="shared" si="35"/>
        <v>3ATL. IMPROVVISATO1</v>
      </c>
      <c r="AC857" t="str">
        <f>_xlfn.CONCAT(Tabella1[[#This Row],[Ruolo]],Tabella1[[#This Row],[Gs]])</f>
        <v>A0</v>
      </c>
    </row>
    <row r="858" spans="1:29" hidden="1" x14ac:dyDescent="0.3">
      <c r="A858" s="14">
        <v>46270</v>
      </c>
      <c r="B858" s="15">
        <v>3</v>
      </c>
      <c r="C858" s="321" t="str">
        <f>_xlfn.XLOOKUP(Tabella1[[#This Row],[Nome]],Tabella4[NOME],Tabella4[SQUADRA],"")</f>
        <v>Monza</v>
      </c>
      <c r="D858" s="330" t="s">
        <v>161</v>
      </c>
      <c r="E858" s="330" t="s">
        <v>250</v>
      </c>
      <c r="F858" s="331">
        <v>6</v>
      </c>
      <c r="G858" s="332">
        <v>0</v>
      </c>
      <c r="H858" s="332">
        <v>0</v>
      </c>
      <c r="I858" s="332">
        <v>0</v>
      </c>
      <c r="J858" s="332">
        <v>0</v>
      </c>
      <c r="K858" s="332">
        <v>0</v>
      </c>
      <c r="L858" s="332">
        <v>0</v>
      </c>
      <c r="M858" s="332">
        <v>0</v>
      </c>
      <c r="N858" s="332">
        <v>0</v>
      </c>
      <c r="O858" s="332">
        <v>0</v>
      </c>
      <c r="P858" s="284"/>
      <c r="Q858" s="284">
        <f t="shared" si="34"/>
        <v>0</v>
      </c>
      <c r="R858" s="3" t="str">
        <f>_xlfn.IFNA(VLOOKUP(Tabella1[[#This Row],[Nome]],'ROSE SQUADRE'!$N$3:$O$260,2,0),"")</f>
        <v/>
      </c>
      <c r="S858" s="193">
        <f>SUM(Tabella1[[#This Row],[Gf]],Tabella1[[#This Row],[Rf]])</f>
        <v>0</v>
      </c>
      <c r="T858" s="193"/>
      <c r="U858" s="285" t="str">
        <f>IF(Tabella1[[#This Row],[N° FantaTit]]="","",Tabella1[[#This Row],[fanta voto]])</f>
        <v/>
      </c>
      <c r="V858" s="193">
        <f>SUM(Tabella1[[#This Row],[Voto]],(G858*3),Q858,P858,O858,-(N858),(-M858/2),(-L858*2),(-H858),(I858*3),(-J858*3),(K858*3))</f>
        <v>6</v>
      </c>
      <c r="W858" s="193"/>
      <c r="X858" s="193" t="str">
        <f>IF(Tabella1[[#This Row],[Best 11]]=1,Tabella1[[#This Row],[fanta voto]],"")</f>
        <v/>
      </c>
      <c r="Z858" s="193" t="str">
        <f>IF(Tabella1[[#This Row],[Best 11 MOD]]=1,Tabella1[[#This Row],[fanta voto]],"")</f>
        <v/>
      </c>
      <c r="AA858" t="str">
        <f>CONCATENATE(Tabella1[[#This Row],[GG]],Tabella1[[#This Row],[Nome]])</f>
        <v>3Birindelli</v>
      </c>
      <c r="AB858" t="str">
        <f t="shared" si="35"/>
        <v>3</v>
      </c>
      <c r="AC858" t="str">
        <f>_xlfn.CONCAT(Tabella1[[#This Row],[Ruolo]],Tabella1[[#This Row],[Gs]])</f>
        <v>D0</v>
      </c>
    </row>
    <row r="859" spans="1:29" hidden="1" x14ac:dyDescent="0.3">
      <c r="A859" s="14">
        <v>46270</v>
      </c>
      <c r="B859" s="15">
        <v>3</v>
      </c>
      <c r="C859" s="321" t="str">
        <f>_xlfn.XLOOKUP(Tabella1[[#This Row],[Nome]],Tabella4[NOME],Tabella4[SQUADRA],"")</f>
        <v>Genoa</v>
      </c>
      <c r="D859" t="s">
        <v>5</v>
      </c>
      <c r="E859" t="s">
        <v>748</v>
      </c>
      <c r="F859" s="194">
        <v>5.5</v>
      </c>
      <c r="G859" s="328">
        <v>0</v>
      </c>
      <c r="H859" s="329">
        <v>4</v>
      </c>
      <c r="I859" s="328">
        <v>0</v>
      </c>
      <c r="J859" s="328">
        <v>0</v>
      </c>
      <c r="K859" s="328">
        <v>0</v>
      </c>
      <c r="L859" s="328">
        <v>0</v>
      </c>
      <c r="M859" s="328">
        <v>0</v>
      </c>
      <c r="N859" s="328">
        <v>0</v>
      </c>
      <c r="O859" s="328">
        <v>0</v>
      </c>
      <c r="P859" s="284"/>
      <c r="Q859" s="284">
        <f t="shared" si="34"/>
        <v>0</v>
      </c>
      <c r="R859" s="3" t="str">
        <f>_xlfn.IFNA(VLOOKUP(Tabella1[[#This Row],[Nome]],'ROSE SQUADRE'!$N$3:$O$260,2,0),"")</f>
        <v>AS PIPPERIA</v>
      </c>
      <c r="S859" s="193">
        <f>SUM(Tabella1[[#This Row],[Gf]],Tabella1[[#This Row],[Rf]])</f>
        <v>0</v>
      </c>
      <c r="T859" s="193"/>
      <c r="U859" s="285" t="str">
        <f>IF(Tabella1[[#This Row],[N° FantaTit]]="","",Tabella1[[#This Row],[fanta voto]])</f>
        <v/>
      </c>
      <c r="V859" s="193">
        <f>SUM(Tabella1[[#This Row],[Voto]],(G859*3),Q859,P859,O859,-(N859),(-M859/2),(-L859*2),(-H859),(I859*3),(-J859*3),(K859*3))</f>
        <v>1.5</v>
      </c>
      <c r="W859" s="193"/>
      <c r="X859" s="193" t="str">
        <f>IF(Tabella1[[#This Row],[Best 11]]=1,Tabella1[[#This Row],[fanta voto]],"")</f>
        <v/>
      </c>
      <c r="Z859" s="193" t="str">
        <f>IF(Tabella1[[#This Row],[Best 11 MOD]]=1,Tabella1[[#This Row],[fanta voto]],"")</f>
        <v/>
      </c>
      <c r="AA859" t="str">
        <f>CONCATENATE(Tabella1[[#This Row],[GG]],Tabella1[[#This Row],[Nome]])</f>
        <v>3Bijlow</v>
      </c>
      <c r="AB859" t="str">
        <f t="shared" si="35"/>
        <v>3AS PIPPERIA</v>
      </c>
      <c r="AC859" t="str">
        <f>_xlfn.CONCAT(Tabella1[[#This Row],[Ruolo]],Tabella1[[#This Row],[Gs]])</f>
        <v>P4</v>
      </c>
    </row>
    <row r="860" spans="1:29" hidden="1" x14ac:dyDescent="0.3">
      <c r="A860" s="14">
        <v>46270</v>
      </c>
      <c r="B860" s="15">
        <v>3</v>
      </c>
      <c r="C860" s="321" t="str">
        <f>_xlfn.XLOOKUP(Tabella1[[#This Row],[Nome]],Tabella4[NOME],Tabella4[SQUADRA],"")</f>
        <v>Fiorentina</v>
      </c>
      <c r="D860" s="330" t="s">
        <v>163</v>
      </c>
      <c r="E860" s="330" t="s">
        <v>1042</v>
      </c>
      <c r="F860" s="331">
        <v>5.5</v>
      </c>
      <c r="G860" s="332">
        <v>0</v>
      </c>
      <c r="H860" s="332">
        <v>0</v>
      </c>
      <c r="I860" s="332">
        <v>0</v>
      </c>
      <c r="J860" s="332">
        <v>0</v>
      </c>
      <c r="K860" s="332">
        <v>0</v>
      </c>
      <c r="L860" s="332">
        <v>0</v>
      </c>
      <c r="M860" s="332">
        <v>0</v>
      </c>
      <c r="N860" s="332">
        <v>0</v>
      </c>
      <c r="O860" s="332">
        <v>0</v>
      </c>
      <c r="P860" s="284"/>
      <c r="Q860" s="284">
        <f t="shared" si="34"/>
        <v>0</v>
      </c>
      <c r="R860" s="3" t="str">
        <f>_xlfn.IFNA(VLOOKUP(Tabella1[[#This Row],[Nome]],'ROSE SQUADRE'!$N$3:$O$260,2,0),"")</f>
        <v>SAN GRIA</v>
      </c>
      <c r="S860" s="193">
        <f>SUM(Tabella1[[#This Row],[Gf]],Tabella1[[#This Row],[Rf]])</f>
        <v>0</v>
      </c>
      <c r="T860" s="193"/>
      <c r="U860" s="285" t="str">
        <f>IF(Tabella1[[#This Row],[N° FantaTit]]="","",Tabella1[[#This Row],[fanta voto]])</f>
        <v/>
      </c>
      <c r="V860" s="193">
        <f>SUM(Tabella1[[#This Row],[Voto]],(G860*3),Q860,P860,O860,-(N860),(-M860/2),(-L860*2),(-H860),(I860*3),(-J860*3),(K860*3))</f>
        <v>5.5</v>
      </c>
      <c r="W860" s="193"/>
      <c r="X860" s="193" t="str">
        <f>IF(Tabella1[[#This Row],[Best 11]]=1,Tabella1[[#This Row],[fanta voto]],"")</f>
        <v/>
      </c>
      <c r="Z860" s="193" t="str">
        <f>IF(Tabella1[[#This Row],[Best 11 MOD]]=1,Tabella1[[#This Row],[fanta voto]],"")</f>
        <v/>
      </c>
      <c r="AA860" t="str">
        <f>CONCATENATE(Tabella1[[#This Row],[GG]],Tabella1[[#This Row],[Nome]])</f>
        <v>3Gnonto</v>
      </c>
      <c r="AB860" t="str">
        <f t="shared" si="35"/>
        <v>3SAN GRIA</v>
      </c>
      <c r="AC860" t="str">
        <f>_xlfn.CONCAT(Tabella1[[#This Row],[Ruolo]],Tabella1[[#This Row],[Gs]])</f>
        <v>A0</v>
      </c>
    </row>
    <row r="861" spans="1:29" hidden="1" x14ac:dyDescent="0.3">
      <c r="A861" s="14">
        <v>46270</v>
      </c>
      <c r="B861" s="15">
        <v>3</v>
      </c>
      <c r="C861" s="321" t="str">
        <f>_xlfn.XLOOKUP(Tabella1[[#This Row],[Nome]],Tabella4[NOME],Tabella4[SQUADRA],"")</f>
        <v>Udinese</v>
      </c>
      <c r="D861" s="330" t="s">
        <v>161</v>
      </c>
      <c r="E861" s="330" t="s">
        <v>955</v>
      </c>
      <c r="F861" s="335">
        <v>6</v>
      </c>
      <c r="G861" s="332">
        <v>0</v>
      </c>
      <c r="H861" s="332">
        <v>0</v>
      </c>
      <c r="I861" s="332">
        <v>0</v>
      </c>
      <c r="J861" s="332">
        <v>0</v>
      </c>
      <c r="K861" s="332">
        <v>0</v>
      </c>
      <c r="L861" s="332">
        <v>0</v>
      </c>
      <c r="M861" s="333">
        <v>1</v>
      </c>
      <c r="N861" s="332">
        <v>0</v>
      </c>
      <c r="O861" s="332">
        <v>0</v>
      </c>
      <c r="P861" s="284"/>
      <c r="Q861" s="284">
        <f t="shared" si="34"/>
        <v>0</v>
      </c>
      <c r="R861" s="3" t="str">
        <f>_xlfn.IFNA(VLOOKUP(Tabella1[[#This Row],[Nome]],'ROSE SQUADRE'!$N$3:$O$260,2,0),"")</f>
        <v/>
      </c>
      <c r="S861" s="193">
        <f>SUM(Tabella1[[#This Row],[Gf]],Tabella1[[#This Row],[Rf]])</f>
        <v>0</v>
      </c>
      <c r="T861" s="193"/>
      <c r="U861" s="285" t="str">
        <f>IF(Tabella1[[#This Row],[N° FantaTit]]="","",Tabella1[[#This Row],[fanta voto]])</f>
        <v/>
      </c>
      <c r="V861" s="193">
        <f>SUM(Tabella1[[#This Row],[Voto]],(G861*3),Q861,P861,O861,-(N861),(-M861/2),(-L861*2),(-H861),(I861*3),(-J861*3),(K861*3))</f>
        <v>5.5</v>
      </c>
      <c r="W861" s="193"/>
      <c r="X861" s="193" t="str">
        <f>IF(Tabella1[[#This Row],[Best 11]]=1,Tabella1[[#This Row],[fanta voto]],"")</f>
        <v/>
      </c>
      <c r="Z861" s="193" t="str">
        <f>IF(Tabella1[[#This Row],[Best 11 MOD]]=1,Tabella1[[#This Row],[fanta voto]],"")</f>
        <v/>
      </c>
      <c r="AA861" t="str">
        <f>CONCATENATE(Tabella1[[#This Row],[GG]],Tabella1[[#This Row],[Nome]])</f>
        <v>3Bertola</v>
      </c>
      <c r="AB861" t="str">
        <f t="shared" si="35"/>
        <v>3</v>
      </c>
      <c r="AC861" t="str">
        <f>_xlfn.CONCAT(Tabella1[[#This Row],[Ruolo]],Tabella1[[#This Row],[Gs]])</f>
        <v>D0</v>
      </c>
    </row>
    <row r="862" spans="1:29" x14ac:dyDescent="0.3">
      <c r="A862" s="14">
        <v>46270</v>
      </c>
      <c r="B862" s="15">
        <v>3</v>
      </c>
      <c r="C862" s="321" t="str">
        <f>_xlfn.XLOOKUP(Tabella1[[#This Row],[Nome]],Tabella4[NOME],Tabella4[SQUADRA],"")</f>
        <v>Roma</v>
      </c>
      <c r="D862" t="s">
        <v>163</v>
      </c>
      <c r="E862" t="s">
        <v>907</v>
      </c>
      <c r="F862" s="194">
        <v>7.5</v>
      </c>
      <c r="G862" s="329">
        <v>1</v>
      </c>
      <c r="H862" s="328">
        <v>0</v>
      </c>
      <c r="I862" s="328">
        <v>0</v>
      </c>
      <c r="J862" s="328">
        <v>0</v>
      </c>
      <c r="K862" s="328">
        <v>0</v>
      </c>
      <c r="L862" s="328">
        <v>0</v>
      </c>
      <c r="M862" s="328">
        <v>0</v>
      </c>
      <c r="N862" s="328">
        <v>0</v>
      </c>
      <c r="O862" s="329">
        <v>1</v>
      </c>
      <c r="P862" s="284">
        <v>1</v>
      </c>
      <c r="Q862" s="284">
        <f t="shared" si="34"/>
        <v>0</v>
      </c>
      <c r="R862" s="3" t="str">
        <f>_xlfn.IFNA(VLOOKUP(Tabella1[[#This Row],[Nome]],'ROSE SQUADRE'!$N$3:$O$260,2,0),"")</f>
        <v>AC ASPARAGHESE</v>
      </c>
      <c r="S862" s="193">
        <f>SUM(Tabella1[[#This Row],[Gf]],Tabella1[[#This Row],[Rf]])</f>
        <v>1</v>
      </c>
      <c r="T862" s="193">
        <v>1</v>
      </c>
      <c r="U862" s="285">
        <f>IF(Tabella1[[#This Row],[N° FantaTit]]="","",Tabella1[[#This Row],[fanta voto]])</f>
        <v>12.5</v>
      </c>
      <c r="V862" s="193">
        <f>SUM(Tabella1[[#This Row],[Voto]],(G862*3),Q862,P862,O862,-(N862),(-M862/2),(-L862*2),(-H862),(I862*3),(-J862*3),(K862*3))</f>
        <v>12.5</v>
      </c>
      <c r="W862" s="193">
        <v>1</v>
      </c>
      <c r="X862" s="193">
        <f>IF(Tabella1[[#This Row],[Best 11]]=1,Tabella1[[#This Row],[fanta voto]],"")</f>
        <v>12.5</v>
      </c>
      <c r="Y862">
        <v>1</v>
      </c>
      <c r="Z862" s="193">
        <f>IF(Tabella1[[#This Row],[Best 11 MOD]]=1,Tabella1[[#This Row],[fanta voto]],"")</f>
        <v>12.5</v>
      </c>
      <c r="AA862" t="str">
        <f>CONCATENATE(Tabella1[[#This Row],[GG]],Tabella1[[#This Row],[Nome]])</f>
        <v>3Soulè</v>
      </c>
      <c r="AB862" t="str">
        <f t="shared" si="35"/>
        <v>3AC ASPARAGHESE1</v>
      </c>
      <c r="AC862" t="str">
        <f>_xlfn.CONCAT(Tabella1[[#This Row],[Ruolo]],Tabella1[[#This Row],[Gs]])</f>
        <v>A0</v>
      </c>
    </row>
    <row r="863" spans="1:29" hidden="1" x14ac:dyDescent="0.3">
      <c r="A863" s="14">
        <v>46270</v>
      </c>
      <c r="B863" s="15">
        <v>3</v>
      </c>
      <c r="C863" s="321" t="str">
        <f>_xlfn.XLOOKUP(Tabella1[[#This Row],[Nome]],Tabella4[NOME],Tabella4[SQUADRA],"")</f>
        <v>Genoa</v>
      </c>
      <c r="D863" s="330" t="s">
        <v>163</v>
      </c>
      <c r="E863" s="330" t="s">
        <v>227</v>
      </c>
      <c r="F863" s="331">
        <v>6.5</v>
      </c>
      <c r="G863" s="332">
        <v>0</v>
      </c>
      <c r="H863" s="332">
        <v>0</v>
      </c>
      <c r="I863" s="332">
        <v>0</v>
      </c>
      <c r="J863" s="332">
        <v>0</v>
      </c>
      <c r="K863" s="332">
        <v>0</v>
      </c>
      <c r="L863" s="332">
        <v>0</v>
      </c>
      <c r="M863" s="332">
        <v>0</v>
      </c>
      <c r="N863" s="332">
        <v>0</v>
      </c>
      <c r="O863" s="333">
        <v>1</v>
      </c>
      <c r="P863" s="284"/>
      <c r="Q863" s="284">
        <f t="shared" si="34"/>
        <v>0</v>
      </c>
      <c r="R863" s="3" t="str">
        <f>_xlfn.IFNA(VLOOKUP(Tabella1[[#This Row],[Nome]],'ROSE SQUADRE'!$N$3:$O$260,2,0),"")</f>
        <v>PARTIZAN DEGRADO</v>
      </c>
      <c r="S863" s="193">
        <f>SUM(Tabella1[[#This Row],[Gf]],Tabella1[[#This Row],[Rf]])</f>
        <v>0</v>
      </c>
      <c r="T863" s="193"/>
      <c r="U863" s="285" t="str">
        <f>IF(Tabella1[[#This Row],[N° FantaTit]]="","",Tabella1[[#This Row],[fanta voto]])</f>
        <v/>
      </c>
      <c r="V863" s="193">
        <f>SUM(Tabella1[[#This Row],[Voto]],(G863*3),Q863,P863,O863,-(N863),(-M863/2),(-L863*2),(-H863),(I863*3),(-J863*3),(K863*3))</f>
        <v>7.5</v>
      </c>
      <c r="W863" s="193"/>
      <c r="X863" s="193" t="str">
        <f>IF(Tabella1[[#This Row],[Best 11]]=1,Tabella1[[#This Row],[fanta voto]],"")</f>
        <v/>
      </c>
      <c r="Z863" s="193" t="str">
        <f>IF(Tabella1[[#This Row],[Best 11 MOD]]=1,Tabella1[[#This Row],[fanta voto]],"")</f>
        <v/>
      </c>
      <c r="AA863" t="str">
        <f>CONCATENATE(Tabella1[[#This Row],[GG]],Tabella1[[#This Row],[Nome]])</f>
        <v>3Colombo</v>
      </c>
      <c r="AB863" t="str">
        <f t="shared" si="35"/>
        <v>3PARTIZAN DEGRADO</v>
      </c>
      <c r="AC863" t="str">
        <f>_xlfn.CONCAT(Tabella1[[#This Row],[Ruolo]],Tabella1[[#This Row],[Gs]])</f>
        <v>A0</v>
      </c>
    </row>
    <row r="864" spans="1:29" x14ac:dyDescent="0.3">
      <c r="A864" s="14">
        <v>46270</v>
      </c>
      <c r="B864" s="15">
        <v>3</v>
      </c>
      <c r="C864" s="321" t="str">
        <f>_xlfn.XLOOKUP(Tabella1[[#This Row],[Nome]],Tabella4[NOME],Tabella4[SQUADRA],"")</f>
        <v>Como</v>
      </c>
      <c r="D864" s="330" t="s">
        <v>163</v>
      </c>
      <c r="E864" s="330" t="s">
        <v>701</v>
      </c>
      <c r="F864" s="331">
        <v>7.5</v>
      </c>
      <c r="G864" s="333">
        <v>2</v>
      </c>
      <c r="H864" s="332">
        <v>0</v>
      </c>
      <c r="I864" s="332">
        <v>0</v>
      </c>
      <c r="J864" s="332">
        <v>0</v>
      </c>
      <c r="K864" s="332">
        <v>0</v>
      </c>
      <c r="L864" s="332">
        <v>0</v>
      </c>
      <c r="M864" s="332">
        <v>0</v>
      </c>
      <c r="N864" s="332">
        <v>0</v>
      </c>
      <c r="O864" s="332">
        <v>0</v>
      </c>
      <c r="P864" s="284">
        <v>1</v>
      </c>
      <c r="Q864" s="284">
        <f t="shared" si="34"/>
        <v>0</v>
      </c>
      <c r="R864" s="3" t="str">
        <f>_xlfn.IFNA(VLOOKUP(Tabella1[[#This Row],[Nome]],'ROSE SQUADRE'!$N$3:$O$260,2,0),"")</f>
        <v>PESCICULINI</v>
      </c>
      <c r="S864" s="193">
        <f>SUM(Tabella1[[#This Row],[Gf]],Tabella1[[#This Row],[Rf]])</f>
        <v>2</v>
      </c>
      <c r="T864" s="193">
        <v>1</v>
      </c>
      <c r="U864" s="285">
        <f>IF(Tabella1[[#This Row],[N° FantaTit]]="","",Tabella1[[#This Row],[fanta voto]])</f>
        <v>14.5</v>
      </c>
      <c r="V864" s="193">
        <f>SUM(Tabella1[[#This Row],[Voto]],(G864*3),Q864,P864,O864,-(N864),(-M864/2),(-L864*2),(-H864),(I864*3),(-J864*3),(K864*3))</f>
        <v>14.5</v>
      </c>
      <c r="W864" s="193">
        <v>1</v>
      </c>
      <c r="X864" s="193">
        <f>IF(Tabella1[[#This Row],[Best 11]]=1,Tabella1[[#This Row],[fanta voto]],"")</f>
        <v>14.5</v>
      </c>
      <c r="Y864">
        <v>1</v>
      </c>
      <c r="Z864" s="193">
        <f>IF(Tabella1[[#This Row],[Best 11 MOD]]=1,Tabella1[[#This Row],[fanta voto]],"")</f>
        <v>14.5</v>
      </c>
      <c r="AA864" t="str">
        <f>CONCATENATE(Tabella1[[#This Row],[GG]],Tabella1[[#This Row],[Nome]])</f>
        <v>3Diao</v>
      </c>
      <c r="AB864" t="str">
        <f t="shared" si="35"/>
        <v>3PESCICULINI1</v>
      </c>
      <c r="AC864" t="str">
        <f>_xlfn.CONCAT(Tabella1[[#This Row],[Ruolo]],Tabella1[[#This Row],[Gs]])</f>
        <v>A0</v>
      </c>
    </row>
    <row r="865" spans="1:29" hidden="1" x14ac:dyDescent="0.3">
      <c r="A865" s="14">
        <v>46270</v>
      </c>
      <c r="B865" s="15">
        <v>3</v>
      </c>
      <c r="C865" s="321" t="str">
        <f>_xlfn.XLOOKUP(Tabella1[[#This Row],[Nome]],Tabella4[NOME],Tabella4[SQUADRA],"")</f>
        <v>Sassuolo</v>
      </c>
      <c r="D865" t="s">
        <v>163</v>
      </c>
      <c r="E865" t="s">
        <v>931</v>
      </c>
      <c r="F865" s="194">
        <v>7</v>
      </c>
      <c r="G865" s="328">
        <v>0</v>
      </c>
      <c r="H865" s="328">
        <v>0</v>
      </c>
      <c r="I865" s="328">
        <v>0</v>
      </c>
      <c r="J865" s="328">
        <v>0</v>
      </c>
      <c r="K865" s="328">
        <v>0</v>
      </c>
      <c r="L865" s="328">
        <v>0</v>
      </c>
      <c r="M865" s="328">
        <v>0</v>
      </c>
      <c r="N865" s="328">
        <v>0</v>
      </c>
      <c r="O865" s="328">
        <v>0</v>
      </c>
      <c r="P865" s="284"/>
      <c r="Q865" s="284">
        <f t="shared" si="34"/>
        <v>0</v>
      </c>
      <c r="R865" s="3" t="str">
        <f>_xlfn.IFNA(VLOOKUP(Tabella1[[#This Row],[Nome]],'ROSE SQUADRE'!$N$3:$O$260,2,0),"")</f>
        <v>FC INTERNAZIOANALE</v>
      </c>
      <c r="S865" s="193">
        <f>SUM(Tabella1[[#This Row],[Gf]],Tabella1[[#This Row],[Rf]])</f>
        <v>0</v>
      </c>
      <c r="T865" s="193"/>
      <c r="U865" s="285" t="str">
        <f>IF(Tabella1[[#This Row],[N° FantaTit]]="","",Tabella1[[#This Row],[fanta voto]])</f>
        <v/>
      </c>
      <c r="V865" s="193">
        <f>SUM(Tabella1[[#This Row],[Voto]],(G865*3),Q865,P865,O865,-(N865),(-M865/2),(-L865*2),(-H865),(I865*3),(-J865*3),(K865*3))</f>
        <v>7</v>
      </c>
      <c r="W865" s="193"/>
      <c r="X865" s="193" t="str">
        <f>IF(Tabella1[[#This Row],[Best 11]]=1,Tabella1[[#This Row],[fanta voto]],"")</f>
        <v/>
      </c>
      <c r="Z865" s="193" t="str">
        <f>IF(Tabella1[[#This Row],[Best 11 MOD]]=1,Tabella1[[#This Row],[fanta voto]],"")</f>
        <v/>
      </c>
      <c r="AA865" t="str">
        <f>CONCATENATE(Tabella1[[#This Row],[GG]],Tabella1[[#This Row],[Nome]])</f>
        <v>3Bowie</v>
      </c>
      <c r="AB865" t="str">
        <f t="shared" si="35"/>
        <v>3FC INTERNAZIOANALE</v>
      </c>
      <c r="AC865" t="str">
        <f>_xlfn.CONCAT(Tabella1[[#This Row],[Ruolo]],Tabella1[[#This Row],[Gs]])</f>
        <v>A0</v>
      </c>
    </row>
    <row r="866" spans="1:29" hidden="1" x14ac:dyDescent="0.3">
      <c r="A866" s="14">
        <v>46270</v>
      </c>
      <c r="B866" s="15">
        <v>3</v>
      </c>
      <c r="C866" s="321" t="str">
        <f>_xlfn.XLOOKUP(Tabella1[[#This Row],[Nome]],Tabella4[NOME],Tabella4[SQUADRA],"")</f>
        <v>Lazio</v>
      </c>
      <c r="D866" s="330" t="s">
        <v>162</v>
      </c>
      <c r="E866" s="330" t="s">
        <v>595</v>
      </c>
      <c r="F866" s="331">
        <v>6.5</v>
      </c>
      <c r="G866" s="332">
        <v>0</v>
      </c>
      <c r="H866" s="332">
        <v>0</v>
      </c>
      <c r="I866" s="332">
        <v>0</v>
      </c>
      <c r="J866" s="332">
        <v>0</v>
      </c>
      <c r="K866" s="332">
        <v>0</v>
      </c>
      <c r="L866" s="332">
        <v>0</v>
      </c>
      <c r="M866" s="332">
        <v>0</v>
      </c>
      <c r="N866" s="332">
        <v>0</v>
      </c>
      <c r="O866" s="332">
        <v>0</v>
      </c>
      <c r="P866" s="284"/>
      <c r="Q866" s="284">
        <f t="shared" si="34"/>
        <v>0</v>
      </c>
      <c r="R866" s="3" t="str">
        <f>_xlfn.IFNA(VLOOKUP(Tabella1[[#This Row],[Nome]],'ROSE SQUADRE'!$N$3:$O$260,2,0),"")</f>
        <v/>
      </c>
      <c r="S866" s="193">
        <f>SUM(Tabella1[[#This Row],[Gf]],Tabella1[[#This Row],[Rf]])</f>
        <v>0</v>
      </c>
      <c r="T866" s="193"/>
      <c r="U866" s="285" t="str">
        <f>IF(Tabella1[[#This Row],[N° FantaTit]]="","",Tabella1[[#This Row],[fanta voto]])</f>
        <v/>
      </c>
      <c r="V866" s="193">
        <f>SUM(Tabella1[[#This Row],[Voto]],(G866*3),Q866,P866,O866,-(N866),(-M866/2),(-L866*2),(-H866),(I866*3),(-J866*3),(K866*3))</f>
        <v>6.5</v>
      </c>
      <c r="W866" s="193"/>
      <c r="X866" s="193" t="str">
        <f>IF(Tabella1[[#This Row],[Best 11]]=1,Tabella1[[#This Row],[fanta voto]],"")</f>
        <v/>
      </c>
      <c r="Z866" s="193" t="str">
        <f>IF(Tabella1[[#This Row],[Best 11 MOD]]=1,Tabella1[[#This Row],[fanta voto]],"")</f>
        <v/>
      </c>
      <c r="AA866" t="str">
        <f>CONCATENATE(Tabella1[[#This Row],[GG]],Tabella1[[#This Row],[Nome]])</f>
        <v>3Belahyane</v>
      </c>
      <c r="AB866" t="str">
        <f t="shared" si="35"/>
        <v>3</v>
      </c>
      <c r="AC866" t="str">
        <f>_xlfn.CONCAT(Tabella1[[#This Row],[Ruolo]],Tabella1[[#This Row],[Gs]])</f>
        <v>C0</v>
      </c>
    </row>
    <row r="867" spans="1:29" hidden="1" x14ac:dyDescent="0.3">
      <c r="A867" s="14">
        <v>46270</v>
      </c>
      <c r="B867" s="15">
        <v>3</v>
      </c>
      <c r="C867" s="321" t="str">
        <f>_xlfn.XLOOKUP(Tabella1[[#This Row],[Nome]],Tabella4[NOME],Tabella4[SQUADRA],"")</f>
        <v>Udinese</v>
      </c>
      <c r="D867" t="s">
        <v>163</v>
      </c>
      <c r="E867" t="s">
        <v>964</v>
      </c>
      <c r="F867" s="194">
        <v>5.5</v>
      </c>
      <c r="G867" s="328">
        <v>0</v>
      </c>
      <c r="H867" s="328">
        <v>0</v>
      </c>
      <c r="I867" s="328">
        <v>0</v>
      </c>
      <c r="J867" s="328">
        <v>0</v>
      </c>
      <c r="K867" s="328">
        <v>0</v>
      </c>
      <c r="L867" s="328">
        <v>0</v>
      </c>
      <c r="M867" s="329">
        <v>1</v>
      </c>
      <c r="N867" s="328">
        <v>0</v>
      </c>
      <c r="O867" s="328">
        <v>0</v>
      </c>
      <c r="P867" s="284"/>
      <c r="Q867" s="284">
        <f t="shared" si="34"/>
        <v>0</v>
      </c>
      <c r="R867" s="3" t="str">
        <f>_xlfn.IFNA(VLOOKUP(Tabella1[[#This Row],[Nome]],'ROSE SQUADRE'!$N$3:$O$260,2,0),"")</f>
        <v/>
      </c>
      <c r="S867" s="193">
        <f>SUM(Tabella1[[#This Row],[Gf]],Tabella1[[#This Row],[Rf]])</f>
        <v>0</v>
      </c>
      <c r="T867" s="193"/>
      <c r="U867" s="285" t="str">
        <f>IF(Tabella1[[#This Row],[N° FantaTit]]="","",Tabella1[[#This Row],[fanta voto]])</f>
        <v/>
      </c>
      <c r="V867" s="193">
        <f>SUM(Tabella1[[#This Row],[Voto]],(G867*3),Q867,P867,O867,-(N867),(-M867/2),(-L867*2),(-H867),(I867*3),(-J867*3),(K867*3))</f>
        <v>5</v>
      </c>
      <c r="W867" s="193"/>
      <c r="X867" s="193" t="str">
        <f>IF(Tabella1[[#This Row],[Best 11]]=1,Tabella1[[#This Row],[fanta voto]],"")</f>
        <v/>
      </c>
      <c r="Z867" s="193" t="str">
        <f>IF(Tabella1[[#This Row],[Best 11 MOD]]=1,Tabella1[[#This Row],[fanta voto]],"")</f>
        <v/>
      </c>
      <c r="AA867" t="str">
        <f>CONCATENATE(Tabella1[[#This Row],[GG]],Tabella1[[#This Row],[Nome]])</f>
        <v>3Bayo V.</v>
      </c>
      <c r="AB867" t="str">
        <f t="shared" si="35"/>
        <v>3</v>
      </c>
      <c r="AC867" t="str">
        <f>_xlfn.CONCAT(Tabella1[[#This Row],[Ruolo]],Tabella1[[#This Row],[Gs]])</f>
        <v>A0</v>
      </c>
    </row>
    <row r="868" spans="1:29" hidden="1" x14ac:dyDescent="0.3">
      <c r="A868" s="14">
        <v>46270</v>
      </c>
      <c r="B868" s="15">
        <v>3</v>
      </c>
      <c r="C868" s="321" t="str">
        <f>_xlfn.XLOOKUP(Tabella1[[#This Row],[Nome]],Tabella4[NOME],Tabella4[SQUADRA],"")</f>
        <v>Roma</v>
      </c>
      <c r="D868" s="330" t="s">
        <v>163</v>
      </c>
      <c r="E868" s="330" t="s">
        <v>509</v>
      </c>
      <c r="F868" s="331">
        <v>6.5</v>
      </c>
      <c r="G868" s="332">
        <v>0</v>
      </c>
      <c r="H868" s="332">
        <v>0</v>
      </c>
      <c r="I868" s="332">
        <v>0</v>
      </c>
      <c r="J868" s="332">
        <v>0</v>
      </c>
      <c r="K868" s="332">
        <v>0</v>
      </c>
      <c r="L868" s="332">
        <v>0</v>
      </c>
      <c r="M868" s="332">
        <v>0</v>
      </c>
      <c r="N868" s="332">
        <v>0</v>
      </c>
      <c r="O868" s="332">
        <v>0</v>
      </c>
      <c r="P868" s="284"/>
      <c r="Q868" s="284">
        <f t="shared" si="34"/>
        <v>0</v>
      </c>
      <c r="R868" s="3" t="str">
        <f>_xlfn.IFNA(VLOOKUP(Tabella1[[#This Row],[Nome]],'ROSE SQUADRE'!$N$3:$O$260,2,0),"")</f>
        <v>SESTO ASENSIO</v>
      </c>
      <c r="S868" s="193">
        <f>SUM(Tabella1[[#This Row],[Gf]],Tabella1[[#This Row],[Rf]])</f>
        <v>0</v>
      </c>
      <c r="T868" s="193"/>
      <c r="U868" s="285" t="str">
        <f>IF(Tabella1[[#This Row],[N° FantaTit]]="","",Tabella1[[#This Row],[fanta voto]])</f>
        <v/>
      </c>
      <c r="V868" s="193">
        <f>SUM(Tabella1[[#This Row],[Voto]],(G868*3),Q868,P868,O868,-(N868),(-M868/2),(-L868*2),(-H868),(I868*3),(-J868*3),(K868*3))</f>
        <v>6.5</v>
      </c>
      <c r="W868" s="193">
        <v>1</v>
      </c>
      <c r="X868" s="193">
        <f>IF(Tabella1[[#This Row],[Best 11]]=1,Tabella1[[#This Row],[fanta voto]],"")</f>
        <v>6.5</v>
      </c>
      <c r="Y868">
        <v>1</v>
      </c>
      <c r="Z868" s="193">
        <f>IF(Tabella1[[#This Row],[Best 11 MOD]]=1,Tabella1[[#This Row],[fanta voto]],"")</f>
        <v>6.5</v>
      </c>
      <c r="AA868" t="str">
        <f>CONCATENATE(Tabella1[[#This Row],[GG]],Tabella1[[#This Row],[Nome]])</f>
        <v>3Castro S.</v>
      </c>
      <c r="AB868" t="str">
        <f t="shared" si="35"/>
        <v>3SESTO ASENSIO</v>
      </c>
      <c r="AC868" t="str">
        <f>_xlfn.CONCAT(Tabella1[[#This Row],[Ruolo]],Tabella1[[#This Row],[Gs]])</f>
        <v>A0</v>
      </c>
    </row>
    <row r="869" spans="1:29" hidden="1" x14ac:dyDescent="0.3">
      <c r="A869" s="14">
        <v>46270</v>
      </c>
      <c r="B869" s="15">
        <v>3</v>
      </c>
      <c r="C869" s="321" t="str">
        <f>_xlfn.XLOOKUP(Tabella1[[#This Row],[Nome]],Tabella4[NOME],Tabella4[SQUADRA],"")</f>
        <v>Fiorentina</v>
      </c>
      <c r="D869" s="330" t="s">
        <v>163</v>
      </c>
      <c r="E869" s="330" t="s">
        <v>1041</v>
      </c>
      <c r="F869" s="331">
        <v>5.5</v>
      </c>
      <c r="G869" s="332">
        <v>0</v>
      </c>
      <c r="H869" s="332">
        <v>0</v>
      </c>
      <c r="I869" s="332">
        <v>0</v>
      </c>
      <c r="J869" s="332">
        <v>0</v>
      </c>
      <c r="K869" s="332">
        <v>0</v>
      </c>
      <c r="L869" s="332">
        <v>0</v>
      </c>
      <c r="M869" s="332">
        <v>0</v>
      </c>
      <c r="N869" s="332">
        <v>0</v>
      </c>
      <c r="O869" s="332">
        <v>0</v>
      </c>
      <c r="P869" s="284"/>
      <c r="Q869" s="284">
        <f t="shared" si="34"/>
        <v>0</v>
      </c>
      <c r="R869" s="3" t="str">
        <f>_xlfn.IFNA(VLOOKUP(Tabella1[[#This Row],[Nome]],'ROSE SQUADRE'!$N$3:$O$260,2,0),"")</f>
        <v>SAN GRIA</v>
      </c>
      <c r="S869" s="193">
        <f>SUM(Tabella1[[#This Row],[Gf]],Tabella1[[#This Row],[Rf]])</f>
        <v>0</v>
      </c>
      <c r="T869" s="193">
        <v>1</v>
      </c>
      <c r="U869" s="285">
        <f>IF(Tabella1[[#This Row],[N° FantaTit]]="","",Tabella1[[#This Row],[fanta voto]])</f>
        <v>5.5</v>
      </c>
      <c r="V869" s="193">
        <f>SUM(Tabella1[[#This Row],[Voto]],(G869*3),Q869,P869,O869,-(N869),(-M869/2),(-L869*2),(-H869),(I869*3),(-J869*3),(K869*3))</f>
        <v>5.5</v>
      </c>
      <c r="W869" s="193"/>
      <c r="X869" s="193" t="str">
        <f>IF(Tabella1[[#This Row],[Best 11]]=1,Tabella1[[#This Row],[fanta voto]],"")</f>
        <v/>
      </c>
      <c r="Z869" s="193" t="str">
        <f>IF(Tabella1[[#This Row],[Best 11 MOD]]=1,Tabella1[[#This Row],[fanta voto]],"")</f>
        <v/>
      </c>
      <c r="AA869" t="str">
        <f>CONCATENATE(Tabella1[[#This Row],[GG]],Tabella1[[#This Row],[Nome]])</f>
        <v>3Beto</v>
      </c>
      <c r="AB869" t="str">
        <f t="shared" si="35"/>
        <v>3SAN GRIA1</v>
      </c>
      <c r="AC869" t="str">
        <f>_xlfn.CONCAT(Tabella1[[#This Row],[Ruolo]],Tabella1[[#This Row],[Gs]])</f>
        <v>A0</v>
      </c>
    </row>
    <row r="870" spans="1:29" hidden="1" x14ac:dyDescent="0.3">
      <c r="A870" s="14">
        <v>46270</v>
      </c>
      <c r="B870" s="15">
        <v>3</v>
      </c>
      <c r="C870" s="321" t="str">
        <f>_xlfn.XLOOKUP(Tabella1[[#This Row],[Nome]],Tabella4[NOME],Tabella4[SQUADRA],"")</f>
        <v>Atalanta</v>
      </c>
      <c r="D870" t="s">
        <v>163</v>
      </c>
      <c r="E870" t="s">
        <v>248</v>
      </c>
      <c r="F870" s="194">
        <v>6</v>
      </c>
      <c r="G870" s="328">
        <v>0</v>
      </c>
      <c r="H870" s="328">
        <v>0</v>
      </c>
      <c r="I870" s="328">
        <v>0</v>
      </c>
      <c r="J870" s="328">
        <v>0</v>
      </c>
      <c r="K870" s="328">
        <v>0</v>
      </c>
      <c r="L870" s="328">
        <v>0</v>
      </c>
      <c r="M870" s="328">
        <v>0</v>
      </c>
      <c r="N870" s="328">
        <v>0</v>
      </c>
      <c r="O870" s="328">
        <v>0</v>
      </c>
      <c r="P870" s="284"/>
      <c r="Q870" s="284">
        <f t="shared" si="34"/>
        <v>0</v>
      </c>
      <c r="R870" s="3" t="str">
        <f>_xlfn.IFNA(VLOOKUP(Tabella1[[#This Row],[Nome]],'ROSE SQUADRE'!$N$3:$O$260,2,0),"")</f>
        <v>PESCICULINI</v>
      </c>
      <c r="S870" s="193">
        <f>SUM(Tabella1[[#This Row],[Gf]],Tabella1[[#This Row],[Rf]])</f>
        <v>0</v>
      </c>
      <c r="T870" s="193">
        <v>1</v>
      </c>
      <c r="U870" s="285">
        <f>IF(Tabella1[[#This Row],[N° FantaTit]]="","",Tabella1[[#This Row],[fanta voto]])</f>
        <v>6</v>
      </c>
      <c r="V870" s="193">
        <f>SUM(Tabella1[[#This Row],[Voto]],(G870*3),Q870,P870,O870,-(N870),(-M870/2),(-L870*2),(-H870),(I870*3),(-J870*3),(K870*3))</f>
        <v>6</v>
      </c>
      <c r="W870" s="193"/>
      <c r="X870" s="193" t="str">
        <f>IF(Tabella1[[#This Row],[Best 11]]=1,Tabella1[[#This Row],[fanta voto]],"")</f>
        <v/>
      </c>
      <c r="Z870" s="193" t="str">
        <f>IF(Tabella1[[#This Row],[Best 11 MOD]]=1,Tabella1[[#This Row],[fanta voto]],"")</f>
        <v/>
      </c>
      <c r="AA870" t="str">
        <f>CONCATENATE(Tabella1[[#This Row],[GG]],Tabella1[[#This Row],[Nome]])</f>
        <v>3De Ketelaere</v>
      </c>
      <c r="AB870" t="str">
        <f t="shared" si="35"/>
        <v>3PESCICULINI1</v>
      </c>
      <c r="AC870" t="str">
        <f>_xlfn.CONCAT(Tabella1[[#This Row],[Ruolo]],Tabella1[[#This Row],[Gs]])</f>
        <v>A0</v>
      </c>
    </row>
    <row r="871" spans="1:29" hidden="1" x14ac:dyDescent="0.3">
      <c r="A871" s="14">
        <v>46270</v>
      </c>
      <c r="B871" s="15">
        <v>3</v>
      </c>
      <c r="C871" s="321" t="str">
        <f>_xlfn.XLOOKUP(Tabella1[[#This Row],[Nome]],Tabella4[NOME],Tabella4[SQUADRA],"")</f>
        <v>Roma</v>
      </c>
      <c r="D871" s="330" t="s">
        <v>161</v>
      </c>
      <c r="E871" s="330" t="s">
        <v>1056</v>
      </c>
      <c r="F871" s="331">
        <v>6.5</v>
      </c>
      <c r="G871" s="332">
        <v>0</v>
      </c>
      <c r="H871" s="332">
        <v>0</v>
      </c>
      <c r="I871" s="332">
        <v>0</v>
      </c>
      <c r="J871" s="332">
        <v>0</v>
      </c>
      <c r="K871" s="332">
        <v>0</v>
      </c>
      <c r="L871" s="332">
        <v>0</v>
      </c>
      <c r="M871" s="332">
        <v>0</v>
      </c>
      <c r="N871" s="332">
        <v>0</v>
      </c>
      <c r="O871" s="332">
        <v>0</v>
      </c>
      <c r="P871" s="284"/>
      <c r="Q871" s="284">
        <f t="shared" si="34"/>
        <v>0</v>
      </c>
      <c r="R871" s="3" t="str">
        <f>_xlfn.IFNA(VLOOKUP(Tabella1[[#This Row],[Nome]],'ROSE SQUADRE'!$N$3:$O$260,2,0),"")</f>
        <v/>
      </c>
      <c r="S871" s="193">
        <f>SUM(Tabella1[[#This Row],[Gf]],Tabella1[[#This Row],[Rf]])</f>
        <v>0</v>
      </c>
      <c r="T871" s="193"/>
      <c r="U871" s="285" t="str">
        <f>IF(Tabella1[[#This Row],[N° FantaTit]]="","",Tabella1[[#This Row],[fanta voto]])</f>
        <v/>
      </c>
      <c r="V871" s="193">
        <f>SUM(Tabella1[[#This Row],[Voto]],(G871*3),Q871,P871,O871,-(N871),(-M871/2),(-L871*2),(-H871),(I871*3),(-J871*3),(K871*3))</f>
        <v>6.5</v>
      </c>
      <c r="W871" s="193"/>
      <c r="X871" s="193" t="str">
        <f>IF(Tabella1[[#This Row],[Best 11]]=1,Tabella1[[#This Row],[fanta voto]],"")</f>
        <v/>
      </c>
      <c r="Z871" s="193" t="str">
        <f>IF(Tabella1[[#This Row],[Best 11 MOD]]=1,Tabella1[[#This Row],[fanta voto]],"")</f>
        <v/>
      </c>
      <c r="AA871" t="str">
        <f>CONCATENATE(Tabella1[[#This Row],[GG]],Tabella1[[#This Row],[Nome]])</f>
        <v>3Balerdi</v>
      </c>
      <c r="AB871" t="str">
        <f t="shared" si="35"/>
        <v>3</v>
      </c>
      <c r="AC871" t="str">
        <f>_xlfn.CONCAT(Tabella1[[#This Row],[Ruolo]],Tabella1[[#This Row],[Gs]])</f>
        <v>D0</v>
      </c>
    </row>
    <row r="872" spans="1:29" hidden="1" x14ac:dyDescent="0.3">
      <c r="A872" s="14">
        <v>46270</v>
      </c>
      <c r="B872" s="15">
        <v>3</v>
      </c>
      <c r="C872" s="321" t="str">
        <f>_xlfn.XLOOKUP(Tabella1[[#This Row],[Nome]],Tabella4[NOME],Tabella4[SQUADRA],"")</f>
        <v>Sassuolo</v>
      </c>
      <c r="D872" t="s">
        <v>163</v>
      </c>
      <c r="E872" t="s">
        <v>930</v>
      </c>
      <c r="F872" s="194">
        <v>6.5</v>
      </c>
      <c r="G872" s="328">
        <v>0</v>
      </c>
      <c r="H872" s="328">
        <v>0</v>
      </c>
      <c r="I872" s="328">
        <v>0</v>
      </c>
      <c r="J872" s="328">
        <v>0</v>
      </c>
      <c r="K872" s="328">
        <v>0</v>
      </c>
      <c r="L872" s="328">
        <v>0</v>
      </c>
      <c r="M872" s="328">
        <v>0</v>
      </c>
      <c r="N872" s="328">
        <v>0</v>
      </c>
      <c r="O872" s="328">
        <v>0</v>
      </c>
      <c r="P872" s="284"/>
      <c r="Q872" s="284">
        <f t="shared" si="34"/>
        <v>0</v>
      </c>
      <c r="R872" s="3" t="str">
        <f>_xlfn.IFNA(VLOOKUP(Tabella1[[#This Row],[Nome]],'ROSE SQUADRE'!$N$3:$O$260,2,0),"")</f>
        <v>PARTIZAN DEGRADO</v>
      </c>
      <c r="S872" s="193">
        <f>SUM(Tabella1[[#This Row],[Gf]],Tabella1[[#This Row],[Rf]])</f>
        <v>0</v>
      </c>
      <c r="T872" s="193">
        <v>1</v>
      </c>
      <c r="U872" s="285">
        <f>IF(Tabella1[[#This Row],[N° FantaTit]]="","",Tabella1[[#This Row],[fanta voto]])</f>
        <v>6.5</v>
      </c>
      <c r="V872" s="193">
        <f>SUM(Tabella1[[#This Row],[Voto]],(G872*3),Q872,P872,O872,-(N872),(-M872/2),(-L872*2),(-H872),(I872*3),(-J872*3),(K872*3))</f>
        <v>6.5</v>
      </c>
      <c r="W872" s="193"/>
      <c r="X872" s="193" t="str">
        <f>IF(Tabella1[[#This Row],[Best 11]]=1,Tabella1[[#This Row],[fanta voto]],"")</f>
        <v/>
      </c>
      <c r="Z872" s="193" t="str">
        <f>IF(Tabella1[[#This Row],[Best 11 MOD]]=1,Tabella1[[#This Row],[fanta voto]],"")</f>
        <v/>
      </c>
      <c r="AA872" t="str">
        <f>CONCATENATE(Tabella1[[#This Row],[GG]],Tabella1[[#This Row],[Nome]])</f>
        <v>3Berardi</v>
      </c>
      <c r="AB872" t="str">
        <f t="shared" si="35"/>
        <v>3PARTIZAN DEGRADO1</v>
      </c>
      <c r="AC872" t="str">
        <f>_xlfn.CONCAT(Tabella1[[#This Row],[Ruolo]],Tabella1[[#This Row],[Gs]])</f>
        <v>A0</v>
      </c>
    </row>
    <row r="873" spans="1:29" hidden="1" x14ac:dyDescent="0.3">
      <c r="A873" s="14">
        <v>46270</v>
      </c>
      <c r="B873" s="15">
        <v>3</v>
      </c>
      <c r="C873" s="321" t="str">
        <f>_xlfn.XLOOKUP(Tabella1[[#This Row],[Nome]],Tabella4[NOME],Tabella4[SQUADRA],"")</f>
        <v>Napoli</v>
      </c>
      <c r="D873" t="s">
        <v>161</v>
      </c>
      <c r="E873" t="s">
        <v>1038</v>
      </c>
      <c r="F873" s="194">
        <v>5</v>
      </c>
      <c r="G873" s="328">
        <v>0</v>
      </c>
      <c r="H873" s="328">
        <v>0</v>
      </c>
      <c r="I873" s="328">
        <v>0</v>
      </c>
      <c r="J873" s="328">
        <v>0</v>
      </c>
      <c r="K873" s="328">
        <v>0</v>
      </c>
      <c r="L873" s="328">
        <v>0</v>
      </c>
      <c r="M873" s="328">
        <v>0</v>
      </c>
      <c r="N873" s="328">
        <v>0</v>
      </c>
      <c r="O873" s="328">
        <v>0</v>
      </c>
      <c r="P873" s="284"/>
      <c r="Q873" s="284">
        <f t="shared" si="34"/>
        <v>0</v>
      </c>
      <c r="R873" s="3" t="str">
        <f>_xlfn.IFNA(VLOOKUP(Tabella1[[#This Row],[Nome]],'ROSE SQUADRE'!$N$3:$O$260,2,0),"")</f>
        <v>AC ASPARAGHESE</v>
      </c>
      <c r="S873" s="193">
        <f>SUM(Tabella1[[#This Row],[Gf]],Tabella1[[#This Row],[Rf]])</f>
        <v>0</v>
      </c>
      <c r="T873" s="193"/>
      <c r="U873" s="285" t="str">
        <f>IF(Tabella1[[#This Row],[N° FantaTit]]="","",Tabella1[[#This Row],[fanta voto]])</f>
        <v/>
      </c>
      <c r="V873" s="193">
        <f>SUM(Tabella1[[#This Row],[Voto]],(G873*3),Q873,P873,O873,-(N873),(-M873/2),(-L873*2),(-H873),(I873*3),(-J873*3),(K873*3))</f>
        <v>5</v>
      </c>
      <c r="W873" s="193"/>
      <c r="X873" s="193" t="str">
        <f>IF(Tabella1[[#This Row],[Best 11]]=1,Tabella1[[#This Row],[fanta voto]],"")</f>
        <v/>
      </c>
      <c r="Z873" s="193" t="str">
        <f>IF(Tabella1[[#This Row],[Best 11 MOD]]=1,Tabella1[[#This Row],[fanta voto]],"")</f>
        <v/>
      </c>
      <c r="AA873" t="str">
        <f>CONCATENATE(Tabella1[[#This Row],[GG]],Tabella1[[#This Row],[Nome]])</f>
        <v>3Badiashile</v>
      </c>
      <c r="AB873" t="str">
        <f t="shared" si="35"/>
        <v>3AC ASPARAGHESE</v>
      </c>
      <c r="AC873" t="str">
        <f>_xlfn.CONCAT(Tabella1[[#This Row],[Ruolo]],Tabella1[[#This Row],[Gs]])</f>
        <v>D0</v>
      </c>
    </row>
    <row r="874" spans="1:29" hidden="1" x14ac:dyDescent="0.3">
      <c r="A874" s="14">
        <v>46270</v>
      </c>
      <c r="B874" s="15">
        <v>3</v>
      </c>
      <c r="C874" s="321" t="str">
        <f>_xlfn.XLOOKUP(Tabella1[[#This Row],[Nome]],Tabella4[NOME],Tabella4[SQUADRA],"")</f>
        <v>Roma</v>
      </c>
      <c r="D874" s="330" t="s">
        <v>163</v>
      </c>
      <c r="E874" s="330" t="s">
        <v>906</v>
      </c>
      <c r="F874" s="331">
        <v>6</v>
      </c>
      <c r="G874" s="332">
        <v>0</v>
      </c>
      <c r="H874" s="332">
        <v>0</v>
      </c>
      <c r="I874" s="332">
        <v>0</v>
      </c>
      <c r="J874" s="332">
        <v>0</v>
      </c>
      <c r="K874" s="332">
        <v>0</v>
      </c>
      <c r="L874" s="332">
        <v>0</v>
      </c>
      <c r="M874" s="332">
        <v>0</v>
      </c>
      <c r="N874" s="332">
        <v>0</v>
      </c>
      <c r="O874" s="332">
        <v>0</v>
      </c>
      <c r="P874" s="284"/>
      <c r="Q874" s="284">
        <f t="shared" si="34"/>
        <v>0</v>
      </c>
      <c r="R874" s="3" t="str">
        <f>_xlfn.IFNA(VLOOKUP(Tabella1[[#This Row],[Nome]],'ROSE SQUADRE'!$N$3:$O$260,2,0),"")</f>
        <v>AC ASPARAGHESE</v>
      </c>
      <c r="S874" s="193">
        <f>SUM(Tabella1[[#This Row],[Gf]],Tabella1[[#This Row],[Rf]])</f>
        <v>0</v>
      </c>
      <c r="T874" s="193">
        <v>1</v>
      </c>
      <c r="U874" s="285">
        <f>IF(Tabella1[[#This Row],[N° FantaTit]]="","",Tabella1[[#This Row],[fanta voto]])</f>
        <v>6</v>
      </c>
      <c r="V874" s="193">
        <f>SUM(Tabella1[[#This Row],[Voto]],(G874*3),Q874,P874,O874,-(N874),(-M874/2),(-L874*2),(-H874),(I874*3),(-J874*3),(K874*3))</f>
        <v>6</v>
      </c>
      <c r="W874" s="193">
        <v>1</v>
      </c>
      <c r="X874" s="193">
        <f>IF(Tabella1[[#This Row],[Best 11]]=1,Tabella1[[#This Row],[fanta voto]],"")</f>
        <v>6</v>
      </c>
      <c r="Y874">
        <v>1</v>
      </c>
      <c r="Z874" s="193">
        <f>IF(Tabella1[[#This Row],[Best 11 MOD]]=1,Tabella1[[#This Row],[fanta voto]],"")</f>
        <v>6</v>
      </c>
      <c r="AA874" t="str">
        <f>CONCATENATE(Tabella1[[#This Row],[GG]],Tabella1[[#This Row],[Nome]])</f>
        <v>3Malen</v>
      </c>
      <c r="AB874" t="str">
        <f t="shared" si="35"/>
        <v>3AC ASPARAGHESE1</v>
      </c>
      <c r="AC874" t="str">
        <f>_xlfn.CONCAT(Tabella1[[#This Row],[Ruolo]],Tabella1[[#This Row],[Gs]])</f>
        <v>A0</v>
      </c>
    </row>
    <row r="875" spans="1:29" hidden="1" x14ac:dyDescent="0.3">
      <c r="A875" s="14">
        <v>46270</v>
      </c>
      <c r="B875" s="15">
        <v>3</v>
      </c>
      <c r="C875" s="321" t="str">
        <f>_xlfn.XLOOKUP(Tabella1[[#This Row],[Nome]],Tabella4[NOME],Tabella4[SQUADRA],"")</f>
        <v>Genoa</v>
      </c>
      <c r="D875" s="330" t="s">
        <v>162</v>
      </c>
      <c r="E875" s="330" t="s">
        <v>759</v>
      </c>
      <c r="F875" s="331">
        <v>5.5</v>
      </c>
      <c r="G875" s="332">
        <v>0</v>
      </c>
      <c r="H875" s="332">
        <v>0</v>
      </c>
      <c r="I875" s="332">
        <v>0</v>
      </c>
      <c r="J875" s="332">
        <v>0</v>
      </c>
      <c r="K875" s="332">
        <v>0</v>
      </c>
      <c r="L875" s="332">
        <v>0</v>
      </c>
      <c r="M875" s="332">
        <v>0</v>
      </c>
      <c r="N875" s="332">
        <v>0</v>
      </c>
      <c r="O875" s="332">
        <v>0</v>
      </c>
      <c r="P875" s="284"/>
      <c r="Q875" s="284">
        <f t="shared" ref="Q875:Q887" si="36">IF(AC875="P0",1,0)</f>
        <v>0</v>
      </c>
      <c r="R875" s="3" t="str">
        <f>_xlfn.IFNA(VLOOKUP(Tabella1[[#This Row],[Nome]],'ROSE SQUADRE'!$N$3:$O$260,2,0),"")</f>
        <v/>
      </c>
      <c r="S875" s="193">
        <f>SUM(Tabella1[[#This Row],[Gf]],Tabella1[[#This Row],[Rf]])</f>
        <v>0</v>
      </c>
      <c r="T875" s="193"/>
      <c r="U875" s="285" t="str">
        <f>IF(Tabella1[[#This Row],[N° FantaTit]]="","",Tabella1[[#This Row],[fanta voto]])</f>
        <v/>
      </c>
      <c r="V875" s="193">
        <f>SUM(Tabella1[[#This Row],[Voto]],(G875*3),Q875,P875,O875,-(N875),(-M875/2),(-L875*2),(-H875),(I875*3),(-J875*3),(K875*3))</f>
        <v>5.5</v>
      </c>
      <c r="W875" s="193"/>
      <c r="X875" s="193" t="str">
        <f>IF(Tabella1[[#This Row],[Best 11]]=1,Tabella1[[#This Row],[fanta voto]],"")</f>
        <v/>
      </c>
      <c r="Z875" s="193" t="str">
        <f>IF(Tabella1[[#This Row],[Best 11 MOD]]=1,Tabella1[[#This Row],[fanta voto]],"")</f>
        <v/>
      </c>
      <c r="AA875" t="str">
        <f>CONCATENATE(Tabella1[[#This Row],[GG]],Tabella1[[#This Row],[Nome]])</f>
        <v>3Amorim</v>
      </c>
      <c r="AB875" t="str">
        <f t="shared" ref="AB875:AB887" si="37">CONCATENATE(B875,R875,T875)</f>
        <v>3</v>
      </c>
      <c r="AC875" t="str">
        <f>_xlfn.CONCAT(Tabella1[[#This Row],[Ruolo]],Tabella1[[#This Row],[Gs]])</f>
        <v>C0</v>
      </c>
    </row>
    <row r="876" spans="1:29" hidden="1" x14ac:dyDescent="0.3">
      <c r="A876" s="14">
        <v>46270</v>
      </c>
      <c r="B876" s="15">
        <v>3</v>
      </c>
      <c r="C876" s="321" t="str">
        <f>_xlfn.XLOOKUP(Tabella1[[#This Row],[Nome]],Tabella4[NOME],Tabella4[SQUADRA],"")</f>
        <v>Parma</v>
      </c>
      <c r="D876" s="330" t="s">
        <v>162</v>
      </c>
      <c r="E876" s="330" t="s">
        <v>461</v>
      </c>
      <c r="F876" s="331">
        <v>5.5</v>
      </c>
      <c r="G876" s="332">
        <v>0</v>
      </c>
      <c r="H876" s="332">
        <v>0</v>
      </c>
      <c r="I876" s="332">
        <v>0</v>
      </c>
      <c r="J876" s="332">
        <v>0</v>
      </c>
      <c r="K876" s="332">
        <v>0</v>
      </c>
      <c r="L876" s="332">
        <v>0</v>
      </c>
      <c r="M876" s="333">
        <v>1</v>
      </c>
      <c r="N876" s="332">
        <v>0</v>
      </c>
      <c r="O876" s="332">
        <v>0</v>
      </c>
      <c r="P876" s="284"/>
      <c r="Q876" s="284">
        <f t="shared" si="36"/>
        <v>0</v>
      </c>
      <c r="R876" s="3" t="str">
        <f>_xlfn.IFNA(VLOOKUP(Tabella1[[#This Row],[Nome]],'ROSE SQUADRE'!$N$3:$O$260,2,0),"")</f>
        <v/>
      </c>
      <c r="S876" s="193">
        <f>SUM(Tabella1[[#This Row],[Gf]],Tabella1[[#This Row],[Rf]])</f>
        <v>0</v>
      </c>
      <c r="T876" s="193"/>
      <c r="U876" s="285" t="str">
        <f>IF(Tabella1[[#This Row],[N° FantaTit]]="","",Tabella1[[#This Row],[fanta voto]])</f>
        <v/>
      </c>
      <c r="V876" s="193">
        <f>SUM(Tabella1[[#This Row],[Voto]],(G876*3),Q876,P876,O876,-(N876),(-M876/2),(-L876*2),(-H876),(I876*3),(-J876*3),(K876*3))</f>
        <v>5</v>
      </c>
      <c r="W876" s="193"/>
      <c r="X876" s="193" t="str">
        <f>IF(Tabella1[[#This Row],[Best 11]]=1,Tabella1[[#This Row],[fanta voto]],"")</f>
        <v/>
      </c>
      <c r="Z876" s="193" t="str">
        <f>IF(Tabella1[[#This Row],[Best 11 MOD]]=1,Tabella1[[#This Row],[fanta voto]],"")</f>
        <v/>
      </c>
      <c r="AA876" t="str">
        <f>CONCATENATE(Tabella1[[#This Row],[GG]],Tabella1[[#This Row],[Nome]])</f>
        <v>3Almqvist</v>
      </c>
      <c r="AB876" t="str">
        <f t="shared" si="37"/>
        <v>3</v>
      </c>
      <c r="AC876" t="str">
        <f>_xlfn.CONCAT(Tabella1[[#This Row],[Ruolo]],Tabella1[[#This Row],[Gs]])</f>
        <v>C0</v>
      </c>
    </row>
    <row r="877" spans="1:29" hidden="1" x14ac:dyDescent="0.3">
      <c r="A877" s="14">
        <v>46270</v>
      </c>
      <c r="B877" s="15">
        <v>3</v>
      </c>
      <c r="C877" s="321" t="str">
        <f>_xlfn.XLOOKUP(Tabella1[[#This Row],[Nome]],Tabella4[NOME],Tabella4[SQUADRA],"")</f>
        <v>Bologna</v>
      </c>
      <c r="D877" t="s">
        <v>161</v>
      </c>
      <c r="E877" t="s">
        <v>648</v>
      </c>
      <c r="F877" s="194">
        <v>5.5</v>
      </c>
      <c r="G877" s="328">
        <v>0</v>
      </c>
      <c r="H877" s="328">
        <v>0</v>
      </c>
      <c r="I877" s="328">
        <v>0</v>
      </c>
      <c r="J877" s="328">
        <v>0</v>
      </c>
      <c r="K877" s="328">
        <v>0</v>
      </c>
      <c r="L877" s="328">
        <v>0</v>
      </c>
      <c r="M877" s="328">
        <v>0</v>
      </c>
      <c r="N877" s="328">
        <v>0</v>
      </c>
      <c r="O877" s="328">
        <v>0</v>
      </c>
      <c r="P877" s="284"/>
      <c r="Q877" s="284">
        <f t="shared" si="36"/>
        <v>0</v>
      </c>
      <c r="R877" s="3" t="str">
        <f>_xlfn.IFNA(VLOOKUP(Tabella1[[#This Row],[Nome]],'ROSE SQUADRE'!$N$3:$O$260,2,0),"")</f>
        <v/>
      </c>
      <c r="S877" s="193">
        <f>SUM(Tabella1[[#This Row],[Gf]],Tabella1[[#This Row],[Rf]])</f>
        <v>0</v>
      </c>
      <c r="T877" s="193"/>
      <c r="U877" s="285" t="str">
        <f>IF(Tabella1[[#This Row],[N° FantaTit]]="","",Tabella1[[#This Row],[fanta voto]])</f>
        <v/>
      </c>
      <c r="V877" s="193">
        <f>SUM(Tabella1[[#This Row],[Voto]],(G877*3),Q877,P877,O877,-(N877),(-M877/2),(-L877*2),(-H877),(I877*3),(-J877*3),(K877*3))</f>
        <v>5.5</v>
      </c>
      <c r="W877" s="193"/>
      <c r="X877" s="193" t="str">
        <f>IF(Tabella1[[#This Row],[Best 11]]=1,Tabella1[[#This Row],[fanta voto]],"")</f>
        <v/>
      </c>
      <c r="Z877" s="193" t="str">
        <f>IF(Tabella1[[#This Row],[Best 11 MOD]]=1,Tabella1[[#This Row],[fanta voto]],"")</f>
        <v/>
      </c>
      <c r="AA877" t="str">
        <f>CONCATENATE(Tabella1[[#This Row],[GG]],Tabella1[[#This Row],[Nome]])</f>
        <v>3Alhassane</v>
      </c>
      <c r="AB877" t="str">
        <f t="shared" si="37"/>
        <v>3</v>
      </c>
      <c r="AC877" t="str">
        <f>_xlfn.CONCAT(Tabella1[[#This Row],[Ruolo]],Tabella1[[#This Row],[Gs]])</f>
        <v>D0</v>
      </c>
    </row>
    <row r="878" spans="1:29" hidden="1" x14ac:dyDescent="0.3">
      <c r="A878" s="14">
        <v>46270</v>
      </c>
      <c r="B878" s="15">
        <v>3</v>
      </c>
      <c r="C878" s="321" t="str">
        <f>_xlfn.XLOOKUP(Tabella1[[#This Row],[Nome]],Tabella4[NOME],Tabella4[SQUADRA],"")</f>
        <v>Juventus</v>
      </c>
      <c r="D878" t="s">
        <v>162</v>
      </c>
      <c r="E878" t="s">
        <v>785</v>
      </c>
      <c r="F878" s="194">
        <v>5.5</v>
      </c>
      <c r="G878" s="328">
        <v>0</v>
      </c>
      <c r="H878" s="328">
        <v>0</v>
      </c>
      <c r="I878" s="328">
        <v>0</v>
      </c>
      <c r="J878" s="328">
        <v>0</v>
      </c>
      <c r="K878" s="328">
        <v>0</v>
      </c>
      <c r="L878" s="328">
        <v>0</v>
      </c>
      <c r="M878" s="328">
        <v>0</v>
      </c>
      <c r="N878" s="328">
        <v>0</v>
      </c>
      <c r="O878" s="328">
        <v>0</v>
      </c>
      <c r="P878" s="284"/>
      <c r="Q878" s="284">
        <f t="shared" si="36"/>
        <v>0</v>
      </c>
      <c r="R878" s="3" t="str">
        <f>_xlfn.IFNA(VLOOKUP(Tabella1[[#This Row],[Nome]],'ROSE SQUADRE'!$N$3:$O$260,2,0),"")</f>
        <v>AC ASPARAGHESE</v>
      </c>
      <c r="S878" s="193">
        <f>SUM(Tabella1[[#This Row],[Gf]],Tabella1[[#This Row],[Rf]])</f>
        <v>0</v>
      </c>
      <c r="T878" s="193"/>
      <c r="U878" s="285" t="str">
        <f>IF(Tabella1[[#This Row],[N° FantaTit]]="","",Tabella1[[#This Row],[fanta voto]])</f>
        <v/>
      </c>
      <c r="V878" s="193">
        <f>SUM(Tabella1[[#This Row],[Voto]],(G878*3),Q878,P878,O878,-(N878),(-M878/2),(-L878*2),(-H878),(I878*3),(-J878*3),(K878*3))</f>
        <v>5.5</v>
      </c>
      <c r="W878" s="193"/>
      <c r="X878" s="193" t="str">
        <f>IF(Tabella1[[#This Row],[Best 11]]=1,Tabella1[[#This Row],[fanta voto]],"")</f>
        <v/>
      </c>
      <c r="Z878" s="193" t="str">
        <f>IF(Tabella1[[#This Row],[Best 11 MOD]]=1,Tabella1[[#This Row],[fanta voto]],"")</f>
        <v/>
      </c>
      <c r="AA878" t="str">
        <f>CONCATENATE(Tabella1[[#This Row],[GG]],Tabella1[[#This Row],[Nome]])</f>
        <v>3Alajbegovic</v>
      </c>
      <c r="AB878" t="str">
        <f t="shared" si="37"/>
        <v>3AC ASPARAGHESE</v>
      </c>
      <c r="AC878" t="str">
        <f>_xlfn.CONCAT(Tabella1[[#This Row],[Ruolo]],Tabella1[[#This Row],[Gs]])</f>
        <v>C0</v>
      </c>
    </row>
    <row r="879" spans="1:29" hidden="1" x14ac:dyDescent="0.3">
      <c r="A879" s="14">
        <v>46270</v>
      </c>
      <c r="B879" s="15">
        <v>3</v>
      </c>
      <c r="C879" s="321" t="str">
        <f>_xlfn.XLOOKUP(Tabella1[[#This Row],[Nome]],Tabella4[NOME],Tabella4[SQUADRA],"")</f>
        <v>Monza</v>
      </c>
      <c r="D879" t="s">
        <v>162</v>
      </c>
      <c r="E879" t="s">
        <v>852</v>
      </c>
      <c r="F879" s="194">
        <v>6</v>
      </c>
      <c r="G879" s="328">
        <v>0</v>
      </c>
      <c r="H879" s="328">
        <v>0</v>
      </c>
      <c r="I879" s="328">
        <v>0</v>
      </c>
      <c r="J879" s="328">
        <v>0</v>
      </c>
      <c r="K879" s="328">
        <v>0</v>
      </c>
      <c r="L879" s="328">
        <v>0</v>
      </c>
      <c r="M879" s="328">
        <v>0</v>
      </c>
      <c r="N879" s="328">
        <v>0</v>
      </c>
      <c r="O879" s="328">
        <v>0</v>
      </c>
      <c r="P879" s="284"/>
      <c r="Q879" s="284">
        <f t="shared" si="36"/>
        <v>0</v>
      </c>
      <c r="R879" s="3" t="str">
        <f>_xlfn.IFNA(VLOOKUP(Tabella1[[#This Row],[Nome]],'ROSE SQUADRE'!$N$3:$O$260,2,0),"")</f>
        <v/>
      </c>
      <c r="S879" s="193">
        <f>SUM(Tabella1[[#This Row],[Gf]],Tabella1[[#This Row],[Rf]])</f>
        <v>0</v>
      </c>
      <c r="T879" s="193"/>
      <c r="U879" s="285" t="str">
        <f>IF(Tabella1[[#This Row],[N° FantaTit]]="","",Tabella1[[#This Row],[fanta voto]])</f>
        <v/>
      </c>
      <c r="V879" s="193">
        <f>SUM(Tabella1[[#This Row],[Voto]],(G879*3),Q879,P879,O879,-(N879),(-M879/2),(-L879*2),(-H879),(I879*3),(-J879*3),(K879*3))</f>
        <v>6</v>
      </c>
      <c r="W879" s="193"/>
      <c r="X879" s="193" t="str">
        <f>IF(Tabella1[[#This Row],[Best 11]]=1,Tabella1[[#This Row],[fanta voto]],"")</f>
        <v/>
      </c>
      <c r="Z879" s="193" t="str">
        <f>IF(Tabella1[[#This Row],[Best 11 MOD]]=1,Tabella1[[#This Row],[fanta voto]],"")</f>
        <v/>
      </c>
      <c r="AA879" t="str">
        <f>CONCATENATE(Tabella1[[#This Row],[GG]],Tabella1[[#This Row],[Nome]])</f>
        <v>3Akinsanmiro</v>
      </c>
      <c r="AB879" t="str">
        <f t="shared" si="37"/>
        <v>3</v>
      </c>
      <c r="AC879" t="str">
        <f>_xlfn.CONCAT(Tabella1[[#This Row],[Ruolo]],Tabella1[[#This Row],[Gs]])</f>
        <v>C0</v>
      </c>
    </row>
    <row r="880" spans="1:29" hidden="1" x14ac:dyDescent="0.3">
      <c r="A880" s="14">
        <v>46270</v>
      </c>
      <c r="B880" s="15">
        <v>3</v>
      </c>
      <c r="C880" s="321" t="str">
        <f>_xlfn.XLOOKUP(Tabella1[[#This Row],[Nome]],Tabella4[NOME],Tabella4[SQUADRA],"")</f>
        <v>Napoli</v>
      </c>
      <c r="D880" t="s">
        <v>163</v>
      </c>
      <c r="E880" t="s">
        <v>618</v>
      </c>
      <c r="F880" s="194">
        <v>5.5</v>
      </c>
      <c r="G880" s="328">
        <v>0</v>
      </c>
      <c r="H880" s="328">
        <v>0</v>
      </c>
      <c r="I880" s="328">
        <v>0</v>
      </c>
      <c r="J880" s="328">
        <v>0</v>
      </c>
      <c r="K880" s="328">
        <v>0</v>
      </c>
      <c r="L880" s="328">
        <v>0</v>
      </c>
      <c r="M880" s="328">
        <v>0</v>
      </c>
      <c r="N880" s="328">
        <v>0</v>
      </c>
      <c r="O880" s="328">
        <v>0</v>
      </c>
      <c r="P880" s="284"/>
      <c r="Q880" s="284">
        <f t="shared" si="36"/>
        <v>0</v>
      </c>
      <c r="R880" s="3" t="str">
        <f>_xlfn.IFNA(VLOOKUP(Tabella1[[#This Row],[Nome]],'ROSE SQUADRE'!$N$3:$O$260,2,0),"")</f>
        <v>SHARK</v>
      </c>
      <c r="S880" s="193">
        <f>SUM(Tabella1[[#This Row],[Gf]],Tabella1[[#This Row],[Rf]])</f>
        <v>0</v>
      </c>
      <c r="T880" s="193">
        <v>1</v>
      </c>
      <c r="U880" s="285">
        <f>IF(Tabella1[[#This Row],[N° FantaTit]]="","",Tabella1[[#This Row],[fanta voto]])</f>
        <v>5.5</v>
      </c>
      <c r="V880" s="193">
        <f>SUM(Tabella1[[#This Row],[Voto]],(G880*3),Q880,P880,O880,-(N880),(-M880/2),(-L880*2),(-H880),(I880*3),(-J880*3),(K880*3))</f>
        <v>5.5</v>
      </c>
      <c r="W880" s="193"/>
      <c r="X880" s="193" t="str">
        <f>IF(Tabella1[[#This Row],[Best 11]]=1,Tabella1[[#This Row],[fanta voto]],"")</f>
        <v/>
      </c>
      <c r="Z880" s="193" t="str">
        <f>IF(Tabella1[[#This Row],[Best 11 MOD]]=1,Tabella1[[#This Row],[fanta voto]],"")</f>
        <v/>
      </c>
      <c r="AA880" t="str">
        <f>CONCATENATE(Tabella1[[#This Row],[GG]],Tabella1[[#This Row],[Nome]])</f>
        <v>3Neres</v>
      </c>
      <c r="AB880" t="str">
        <f t="shared" si="37"/>
        <v>3SHARK1</v>
      </c>
      <c r="AC880" t="str">
        <f>_xlfn.CONCAT(Tabella1[[#This Row],[Ruolo]],Tabella1[[#This Row],[Gs]])</f>
        <v>A0</v>
      </c>
    </row>
    <row r="881" spans="1:29" hidden="1" x14ac:dyDescent="0.3">
      <c r="A881" s="14">
        <v>46270</v>
      </c>
      <c r="B881" s="15">
        <v>3</v>
      </c>
      <c r="C881" s="321" t="str">
        <f>_xlfn.XLOOKUP(Tabella1[[#This Row],[Nome]],Tabella4[NOME],Tabella4[SQUADRA],"")</f>
        <v>Sassuolo</v>
      </c>
      <c r="D881" s="330" t="s">
        <v>162</v>
      </c>
      <c r="E881" s="330" t="s">
        <v>920</v>
      </c>
      <c r="F881" s="331">
        <v>7</v>
      </c>
      <c r="G881" s="333">
        <v>1</v>
      </c>
      <c r="H881" s="332">
        <v>0</v>
      </c>
      <c r="I881" s="332">
        <v>0</v>
      </c>
      <c r="J881" s="332">
        <v>0</v>
      </c>
      <c r="K881" s="332">
        <v>0</v>
      </c>
      <c r="L881" s="332">
        <v>0</v>
      </c>
      <c r="M881" s="332">
        <v>0</v>
      </c>
      <c r="N881" s="332">
        <v>0</v>
      </c>
      <c r="O881" s="332">
        <v>0</v>
      </c>
      <c r="P881" s="284"/>
      <c r="Q881" s="284">
        <f t="shared" si="36"/>
        <v>0</v>
      </c>
      <c r="R881" s="3" t="str">
        <f>_xlfn.IFNA(VLOOKUP(Tabella1[[#This Row],[Nome]],'ROSE SQUADRE'!$N$3:$O$260,2,0),"")</f>
        <v/>
      </c>
      <c r="S881" s="193">
        <f>SUM(Tabella1[[#This Row],[Gf]],Tabella1[[#This Row],[Rf]])</f>
        <v>1</v>
      </c>
      <c r="T881" s="193"/>
      <c r="U881" s="285" t="str">
        <f>IF(Tabella1[[#This Row],[N° FantaTit]]="","",Tabella1[[#This Row],[fanta voto]])</f>
        <v/>
      </c>
      <c r="V881" s="193">
        <f>SUM(Tabella1[[#This Row],[Voto]],(G881*3),Q881,P881,O881,-(N881),(-M881/2),(-L881*2),(-H881),(I881*3),(-J881*3),(K881*3))</f>
        <v>10</v>
      </c>
      <c r="W881" s="193"/>
      <c r="X881" s="193" t="str">
        <f>IF(Tabella1[[#This Row],[Best 11]]=1,Tabella1[[#This Row],[fanta voto]],"")</f>
        <v/>
      </c>
      <c r="Z881" s="193" t="str">
        <f>IF(Tabella1[[#This Row],[Best 11 MOD]]=1,Tabella1[[#This Row],[fanta voto]],"")</f>
        <v/>
      </c>
      <c r="AA881" t="str">
        <f>CONCATENATE(Tabella1[[#This Row],[GG]],Tabella1[[#This Row],[Nome]])</f>
        <v>3Adzic</v>
      </c>
      <c r="AB881" t="str">
        <f t="shared" si="37"/>
        <v>3</v>
      </c>
      <c r="AC881" t="str">
        <f>_xlfn.CONCAT(Tabella1[[#This Row],[Ruolo]],Tabella1[[#This Row],[Gs]])</f>
        <v>C0</v>
      </c>
    </row>
    <row r="882" spans="1:29" hidden="1" x14ac:dyDescent="0.3">
      <c r="A882" s="14">
        <v>46270</v>
      </c>
      <c r="B882" s="15">
        <v>3</v>
      </c>
      <c r="C882" s="321" t="str">
        <f>_xlfn.XLOOKUP(Tabella1[[#This Row],[Nome]],Tabella4[NOME],Tabella4[SQUADRA],"")</f>
        <v>Cagliari</v>
      </c>
      <c r="D882" t="s">
        <v>162</v>
      </c>
      <c r="E882" t="s">
        <v>231</v>
      </c>
      <c r="F882" s="194">
        <v>6.5</v>
      </c>
      <c r="G882" s="328">
        <v>0</v>
      </c>
      <c r="H882" s="328">
        <v>0</v>
      </c>
      <c r="I882" s="328">
        <v>0</v>
      </c>
      <c r="J882" s="328">
        <v>0</v>
      </c>
      <c r="K882" s="328">
        <v>0</v>
      </c>
      <c r="L882" s="328">
        <v>0</v>
      </c>
      <c r="M882" s="328">
        <v>0</v>
      </c>
      <c r="N882" s="328">
        <v>0</v>
      </c>
      <c r="O882" s="328">
        <v>0</v>
      </c>
      <c r="P882" s="284"/>
      <c r="Q882" s="284">
        <f t="shared" si="36"/>
        <v>0</v>
      </c>
      <c r="R882" s="3" t="str">
        <f>_xlfn.IFNA(VLOOKUP(Tabella1[[#This Row],[Nome]],'ROSE SQUADRE'!$N$3:$O$260,2,0),"")</f>
        <v/>
      </c>
      <c r="S882" s="193">
        <f>SUM(Tabella1[[#This Row],[Gf]],Tabella1[[#This Row],[Rf]])</f>
        <v>0</v>
      </c>
      <c r="T882" s="193"/>
      <c r="U882" s="285" t="str">
        <f>IF(Tabella1[[#This Row],[N° FantaTit]]="","",Tabella1[[#This Row],[fanta voto]])</f>
        <v/>
      </c>
      <c r="V882" s="193">
        <f>SUM(Tabella1[[#This Row],[Voto]],(G882*3),Q882,P882,O882,-(N882),(-M882/2),(-L882*2),(-H882),(I882*3),(-J882*3),(K882*3))</f>
        <v>6.5</v>
      </c>
      <c r="W882" s="193"/>
      <c r="X882" s="193" t="str">
        <f>IF(Tabella1[[#This Row],[Best 11]]=1,Tabella1[[#This Row],[fanta voto]],"")</f>
        <v/>
      </c>
      <c r="Z882" s="193" t="str">
        <f>IF(Tabella1[[#This Row],[Best 11 MOD]]=1,Tabella1[[#This Row],[fanta voto]],"")</f>
        <v/>
      </c>
      <c r="AA882" t="str">
        <f>CONCATENATE(Tabella1[[#This Row],[GG]],Tabella1[[#This Row],[Nome]])</f>
        <v>3Adopo</v>
      </c>
      <c r="AB882" t="str">
        <f t="shared" si="37"/>
        <v>3</v>
      </c>
      <c r="AC882" t="str">
        <f>_xlfn.CONCAT(Tabella1[[#This Row],[Ruolo]],Tabella1[[#This Row],[Gs]])</f>
        <v>C0</v>
      </c>
    </row>
    <row r="883" spans="1:29" x14ac:dyDescent="0.3">
      <c r="A883" s="14">
        <v>46270</v>
      </c>
      <c r="B883" s="15">
        <v>3</v>
      </c>
      <c r="C883" s="321" t="str">
        <f>_xlfn.XLOOKUP(Tabella1[[#This Row],[Nome]],Tabella4[NOME],Tabella4[SQUADRA],"")</f>
        <v>Torino</v>
      </c>
      <c r="D883" s="330" t="s">
        <v>163</v>
      </c>
      <c r="E883" s="330" t="s">
        <v>574</v>
      </c>
      <c r="F883" s="331">
        <v>7</v>
      </c>
      <c r="G883" s="333">
        <v>1</v>
      </c>
      <c r="H883" s="332">
        <v>0</v>
      </c>
      <c r="I883" s="332">
        <v>0</v>
      </c>
      <c r="J883" s="332">
        <v>0</v>
      </c>
      <c r="K883" s="332">
        <v>0</v>
      </c>
      <c r="L883" s="332">
        <v>0</v>
      </c>
      <c r="M883" s="332">
        <v>0</v>
      </c>
      <c r="N883" s="332">
        <v>0</v>
      </c>
      <c r="O883" s="332">
        <v>0</v>
      </c>
      <c r="P883" s="284">
        <v>1</v>
      </c>
      <c r="Q883" s="284">
        <f t="shared" si="36"/>
        <v>0</v>
      </c>
      <c r="R883" s="3" t="str">
        <f>_xlfn.IFNA(VLOOKUP(Tabella1[[#This Row],[Nome]],'ROSE SQUADRE'!$N$3:$O$260,2,0),"")</f>
        <v>FC INTERNAZIOANALE</v>
      </c>
      <c r="S883" s="193">
        <f>SUM(Tabella1[[#This Row],[Gf]],Tabella1[[#This Row],[Rf]])</f>
        <v>1</v>
      </c>
      <c r="T883" s="193">
        <v>1</v>
      </c>
      <c r="U883" s="285">
        <f>IF(Tabella1[[#This Row],[N° FantaTit]]="","",Tabella1[[#This Row],[fanta voto]])</f>
        <v>11</v>
      </c>
      <c r="V883" s="193">
        <f>SUM(Tabella1[[#This Row],[Voto]],(G883*3),Q883,P883,O883,-(N883),(-M883/2),(-L883*2),(-H883),(I883*3),(-J883*3),(K883*3))</f>
        <v>11</v>
      </c>
      <c r="W883" s="193">
        <v>1</v>
      </c>
      <c r="X883" s="193">
        <f>IF(Tabella1[[#This Row],[Best 11]]=1,Tabella1[[#This Row],[fanta voto]],"")</f>
        <v>11</v>
      </c>
      <c r="Y883">
        <v>1</v>
      </c>
      <c r="Z883" s="193">
        <f>IF(Tabella1[[#This Row],[Best 11 MOD]]=1,Tabella1[[#This Row],[fanta voto]],"")</f>
        <v>11</v>
      </c>
      <c r="AA883" t="str">
        <f>CONCATENATE(Tabella1[[#This Row],[GG]],Tabella1[[#This Row],[Nome]])</f>
        <v>3Adams C.</v>
      </c>
      <c r="AB883" t="str">
        <f t="shared" si="37"/>
        <v>3FC INTERNAZIOANALE1</v>
      </c>
      <c r="AC883" t="str">
        <f>_xlfn.CONCAT(Tabella1[[#This Row],[Ruolo]],Tabella1[[#This Row],[Gs]])</f>
        <v>A0</v>
      </c>
    </row>
    <row r="884" spans="1:29" hidden="1" x14ac:dyDescent="0.3">
      <c r="A884" s="14">
        <v>46270</v>
      </c>
      <c r="B884" s="15">
        <v>3</v>
      </c>
      <c r="C884" s="321" t="str">
        <f>_xlfn.XLOOKUP(Tabella1[[#This Row],[Nome]],Tabella4[NOME],Tabella4[SQUADRA],"")</f>
        <v>Venezia</v>
      </c>
      <c r="D884" s="330" t="s">
        <v>163</v>
      </c>
      <c r="E884" s="330" t="s">
        <v>983</v>
      </c>
      <c r="F884" s="331">
        <v>5.5</v>
      </c>
      <c r="G884" s="332">
        <v>0</v>
      </c>
      <c r="H884" s="332">
        <v>0</v>
      </c>
      <c r="I884" s="332">
        <v>0</v>
      </c>
      <c r="J884" s="332">
        <v>0</v>
      </c>
      <c r="K884" s="332">
        <v>0</v>
      </c>
      <c r="L884" s="332">
        <v>0</v>
      </c>
      <c r="M884" s="332">
        <v>0</v>
      </c>
      <c r="N884" s="332">
        <v>0</v>
      </c>
      <c r="O884" s="332">
        <v>0</v>
      </c>
      <c r="P884" s="284"/>
      <c r="Q884" s="284">
        <f t="shared" si="36"/>
        <v>0</v>
      </c>
      <c r="R884" s="3" t="str">
        <f>_xlfn.IFNA(VLOOKUP(Tabella1[[#This Row],[Nome]],'ROSE SQUADRE'!$N$3:$O$260,2,0),"")</f>
        <v>AS PIPPERIA</v>
      </c>
      <c r="S884" s="193">
        <f>SUM(Tabella1[[#This Row],[Gf]],Tabella1[[#This Row],[Rf]])</f>
        <v>0</v>
      </c>
      <c r="T884" s="193">
        <v>1</v>
      </c>
      <c r="U884" s="285">
        <f>IF(Tabella1[[#This Row],[N° FantaTit]]="","",Tabella1[[#This Row],[fanta voto]])</f>
        <v>5.5</v>
      </c>
      <c r="V884" s="193">
        <f>SUM(Tabella1[[#This Row],[Voto]],(G884*3),Q884,P884,O884,-(N884),(-M884/2),(-L884*2),(-H884),(I884*3),(-J884*3),(K884*3))</f>
        <v>5.5</v>
      </c>
      <c r="W884" s="193">
        <v>1</v>
      </c>
      <c r="X884" s="193">
        <f>IF(Tabella1[[#This Row],[Best 11]]=1,Tabella1[[#This Row],[fanta voto]],"")</f>
        <v>5.5</v>
      </c>
      <c r="Z884" s="193" t="str">
        <f>IF(Tabella1[[#This Row],[Best 11 MOD]]=1,Tabella1[[#This Row],[fanta voto]],"")</f>
        <v/>
      </c>
      <c r="AA884" t="str">
        <f>CONCATENATE(Tabella1[[#This Row],[GG]],Tabella1[[#This Row],[Nome]])</f>
        <v>3Adams A.</v>
      </c>
      <c r="AB884" t="str">
        <f t="shared" si="37"/>
        <v>3AS PIPPERIA1</v>
      </c>
      <c r="AC884" t="str">
        <f>_xlfn.CONCAT(Tabella1[[#This Row],[Ruolo]],Tabella1[[#This Row],[Gs]])</f>
        <v>A0</v>
      </c>
    </row>
    <row r="885" spans="1:29" hidden="1" x14ac:dyDescent="0.3">
      <c r="A885" s="14">
        <v>46270</v>
      </c>
      <c r="B885" s="15">
        <v>3</v>
      </c>
      <c r="C885" s="321" t="str">
        <f>_xlfn.XLOOKUP(Tabella1[[#This Row],[Nome]],Tabella4[NOME],Tabella4[SQUADRA],"")</f>
        <v>Udinese</v>
      </c>
      <c r="D885" s="330" t="s">
        <v>161</v>
      </c>
      <c r="E885" s="330" t="s">
        <v>953</v>
      </c>
      <c r="F885" s="331">
        <v>6</v>
      </c>
      <c r="G885" s="332">
        <v>0</v>
      </c>
      <c r="H885" s="332">
        <v>0</v>
      </c>
      <c r="I885" s="332">
        <v>0</v>
      </c>
      <c r="J885" s="332">
        <v>0</v>
      </c>
      <c r="K885" s="332">
        <v>0</v>
      </c>
      <c r="L885" s="332">
        <v>0</v>
      </c>
      <c r="M885" s="332">
        <v>0</v>
      </c>
      <c r="N885" s="332">
        <v>0</v>
      </c>
      <c r="O885" s="332">
        <v>0</v>
      </c>
      <c r="P885" s="284"/>
      <c r="Q885" s="284">
        <f t="shared" si="36"/>
        <v>0</v>
      </c>
      <c r="R885" s="3" t="str">
        <f>_xlfn.IFNA(VLOOKUP(Tabella1[[#This Row],[Nome]],'ROSE SQUADRE'!$N$3:$O$260,2,0),"")</f>
        <v/>
      </c>
      <c r="S885" s="193">
        <f>SUM(Tabella1[[#This Row],[Gf]],Tabella1[[#This Row],[Rf]])</f>
        <v>0</v>
      </c>
      <c r="T885" s="193"/>
      <c r="U885" s="285" t="str">
        <f>IF(Tabella1[[#This Row],[N° FantaTit]]="","",Tabella1[[#This Row],[fanta voto]])</f>
        <v/>
      </c>
      <c r="V885" s="193">
        <f>SUM(Tabella1[[#This Row],[Voto]],(G885*3),Q885,P885,O885,-(N885),(-M885/2),(-L885*2),(-H885),(I885*3),(-J885*3),(K885*3))</f>
        <v>6</v>
      </c>
      <c r="W885" s="193"/>
      <c r="X885" s="193" t="str">
        <f>IF(Tabella1[[#This Row],[Best 11]]=1,Tabella1[[#This Row],[fanta voto]],"")</f>
        <v/>
      </c>
      <c r="Z885" s="193" t="str">
        <f>IF(Tabella1[[#This Row],[Best 11 MOD]]=1,Tabella1[[#This Row],[fanta voto]],"")</f>
        <v/>
      </c>
      <c r="AA885" t="str">
        <f>CONCATENATE(Tabella1[[#This Row],[GG]],Tabella1[[#This Row],[Nome]])</f>
        <v>3Abankwah</v>
      </c>
      <c r="AB885" t="str">
        <f t="shared" si="37"/>
        <v>3</v>
      </c>
      <c r="AC885" t="str">
        <f>_xlfn.CONCAT(Tabella1[[#This Row],[Ruolo]],Tabella1[[#This Row],[Gs]])</f>
        <v>D0</v>
      </c>
    </row>
    <row r="886" spans="1:29" hidden="1" x14ac:dyDescent="0.3">
      <c r="A886" s="14">
        <v>46270</v>
      </c>
      <c r="B886" s="15">
        <v>3</v>
      </c>
      <c r="C886" s="321" t="str">
        <f>_xlfn.XLOOKUP(Tabella1[[#This Row],[Nome]],Tabella4[NOME],Tabella4[SQUADRA],"")</f>
        <v>Inter</v>
      </c>
      <c r="D886" t="s">
        <v>163</v>
      </c>
      <c r="E886" t="s">
        <v>776</v>
      </c>
      <c r="F886" s="194">
        <v>6</v>
      </c>
      <c r="G886" s="328">
        <v>0</v>
      </c>
      <c r="H886" s="328">
        <v>0</v>
      </c>
      <c r="I886" s="328">
        <v>0</v>
      </c>
      <c r="J886" s="328">
        <v>0</v>
      </c>
      <c r="K886" s="328">
        <v>0</v>
      </c>
      <c r="L886" s="328">
        <v>0</v>
      </c>
      <c r="M886" s="328">
        <v>0</v>
      </c>
      <c r="N886" s="328">
        <v>0</v>
      </c>
      <c r="O886" s="328">
        <v>0</v>
      </c>
      <c r="P886" s="284"/>
      <c r="Q886" s="284">
        <f t="shared" si="36"/>
        <v>0</v>
      </c>
      <c r="R886" s="3" t="str">
        <f>_xlfn.IFNA(VLOOKUP(Tabella1[[#This Row],[Nome]],'ROSE SQUADRE'!$N$3:$O$260,2,0),"")</f>
        <v>ATL. IMPROVVISATO</v>
      </c>
      <c r="S886" s="193">
        <f>SUM(Tabella1[[#This Row],[Gf]],Tabella1[[#This Row],[Rf]])</f>
        <v>0</v>
      </c>
      <c r="T886" s="193">
        <v>1</v>
      </c>
      <c r="U886" s="285">
        <f>IF(Tabella1[[#This Row],[N° FantaTit]]="","",Tabella1[[#This Row],[fanta voto]])</f>
        <v>6</v>
      </c>
      <c r="V886" s="193">
        <f>SUM(Tabella1[[#This Row],[Voto]],(G886*3),Q886,P886,O886,-(N886),(-M886/2),(-L886*2),(-H886),(I886*3),(-J886*3),(K886*3))</f>
        <v>6</v>
      </c>
      <c r="W886" s="193">
        <v>1</v>
      </c>
      <c r="X886" s="193">
        <f>IF(Tabella1[[#This Row],[Best 11]]=1,Tabella1[[#This Row],[fanta voto]],"")</f>
        <v>6</v>
      </c>
      <c r="Y886">
        <v>1</v>
      </c>
      <c r="Z886" s="193">
        <f>IF(Tabella1[[#This Row],[Best 11 MOD]]=1,Tabella1[[#This Row],[fanta voto]],"")</f>
        <v>6</v>
      </c>
      <c r="AA886" t="str">
        <f>CONCATENATE(Tabella1[[#This Row],[GG]],Tabella1[[#This Row],[Nome]])</f>
        <v>3Esposito F.P.</v>
      </c>
      <c r="AB886" t="str">
        <f t="shared" si="37"/>
        <v>3ATL. IMPROVVISATO1</v>
      </c>
      <c r="AC886" t="str">
        <f>_xlfn.CONCAT(Tabella1[[#This Row],[Ruolo]],Tabella1[[#This Row],[Gs]])</f>
        <v>A0</v>
      </c>
    </row>
    <row r="887" spans="1:29" hidden="1" x14ac:dyDescent="0.3">
      <c r="A887" s="14">
        <v>46270</v>
      </c>
      <c r="B887" s="15">
        <v>3</v>
      </c>
      <c r="C887" s="321" t="str">
        <f>_xlfn.XLOOKUP(Tabella1[[#This Row],[Nome]],Tabella4[NOME],Tabella4[SQUADRA],"")</f>
        <v>Juventus</v>
      </c>
      <c r="D887" s="330" t="s">
        <v>163</v>
      </c>
      <c r="E887" s="330" t="s">
        <v>791</v>
      </c>
      <c r="F887" s="331">
        <v>5.5</v>
      </c>
      <c r="G887" s="332">
        <v>0</v>
      </c>
      <c r="H887" s="332">
        <v>0</v>
      </c>
      <c r="I887" s="332">
        <v>0</v>
      </c>
      <c r="J887" s="332">
        <v>0</v>
      </c>
      <c r="K887" s="332">
        <v>0</v>
      </c>
      <c r="L887" s="332">
        <v>0</v>
      </c>
      <c r="M887" s="332">
        <v>0</v>
      </c>
      <c r="N887" s="332">
        <v>0</v>
      </c>
      <c r="O887" s="332">
        <v>0</v>
      </c>
      <c r="P887" s="284"/>
      <c r="Q887" s="284">
        <f t="shared" si="36"/>
        <v>0</v>
      </c>
      <c r="R887" s="3" t="str">
        <f>_xlfn.IFNA(VLOOKUP(Tabella1[[#This Row],[Nome]],'ROSE SQUADRE'!$N$3:$O$260,2,0),"")</f>
        <v>TRICCHETRACHT</v>
      </c>
      <c r="S887" s="193">
        <f>SUM(Tabella1[[#This Row],[Gf]],Tabella1[[#This Row],[Rf]])</f>
        <v>0</v>
      </c>
      <c r="T887" s="193">
        <v>1</v>
      </c>
      <c r="U887" s="285">
        <f>IF(Tabella1[[#This Row],[N° FantaTit]]="","",Tabella1[[#This Row],[fanta voto]])</f>
        <v>5.5</v>
      </c>
      <c r="V887" s="193">
        <f>SUM(Tabella1[[#This Row],[Voto]],(G887*3),Q887,P887,O887,-(N887),(-M887/2),(-L887*2),(-H887),(I887*3),(-J887*3),(K887*3))</f>
        <v>5.5</v>
      </c>
      <c r="W887" s="193"/>
      <c r="X887" s="193" t="str">
        <f>IF(Tabella1[[#This Row],[Best 11]]=1,Tabella1[[#This Row],[fanta voto]],"")</f>
        <v/>
      </c>
      <c r="Z887" s="193" t="str">
        <f>IF(Tabella1[[#This Row],[Best 11 MOD]]=1,Tabella1[[#This Row],[fanta voto]],"")</f>
        <v/>
      </c>
      <c r="AA887" t="str">
        <f>CONCATENATE(Tabella1[[#This Row],[GG]],Tabella1[[#This Row],[Nome]])</f>
        <v>3Boga</v>
      </c>
      <c r="AB887" t="str">
        <f t="shared" si="37"/>
        <v>3TRICCHETRACHT1</v>
      </c>
      <c r="AC887" t="str">
        <f>_xlfn.CONCAT(Tabella1[[#This Row],[Ruolo]],Tabella1[[#This Row],[Gs]])</f>
        <v>A0</v>
      </c>
    </row>
    <row r="888" spans="1:29" hidden="1" x14ac:dyDescent="0.3">
      <c r="A888" s="14">
        <v>46277</v>
      </c>
      <c r="B888" s="15">
        <v>4</v>
      </c>
      <c r="C888" s="321" t="str">
        <f>_xlfn.XLOOKUP(Tabella1[[#This Row],[Nome]],Tabella4[NOME],Tabella4[SQUADRA],"")</f>
        <v>Atalanta</v>
      </c>
      <c r="D888" t="s">
        <v>5</v>
      </c>
      <c r="E888" t="s">
        <v>604</v>
      </c>
      <c r="F888" s="194">
        <v>6.5</v>
      </c>
      <c r="G888" s="402">
        <v>0</v>
      </c>
      <c r="H888" s="403">
        <v>2</v>
      </c>
      <c r="I888" s="402">
        <v>0</v>
      </c>
      <c r="J888" s="402">
        <v>0</v>
      </c>
      <c r="K888" s="402">
        <v>0</v>
      </c>
      <c r="L888" s="402">
        <v>0</v>
      </c>
      <c r="M888" s="402">
        <v>0</v>
      </c>
      <c r="N888" s="402">
        <v>0</v>
      </c>
      <c r="O888" s="402">
        <v>0</v>
      </c>
      <c r="P888" s="284"/>
      <c r="Q888" s="284">
        <f t="shared" ref="Q888:Q951" si="38">IF(AC888="P0",1,0)</f>
        <v>0</v>
      </c>
      <c r="R888" s="3" t="str">
        <f>_xlfn.IFNA(VLOOKUP(Tabella1[[#This Row],[Nome]],'ROSE SQUADRE'!$N$3:$O$260,2,0),"")</f>
        <v>PARTIZAN DEGRADO</v>
      </c>
      <c r="S888" s="193">
        <f>SUM(Tabella1[[#This Row],[Gf]],Tabella1[[#This Row],[Rf]])</f>
        <v>0</v>
      </c>
      <c r="T888" s="193">
        <v>1</v>
      </c>
      <c r="U888" s="285">
        <f>IF(Tabella1[[#This Row],[N° FantaTit]]="","",Tabella1[[#This Row],[fanta voto]])</f>
        <v>4.5</v>
      </c>
      <c r="V888" s="193">
        <f>SUM(Tabella1[[#This Row],[Voto]],(G888*3),Q888,P888,O888,-(N888),(-M888/2),(-L888*2),(-H888),(I888*3),(-J888*3),(K888*3))</f>
        <v>4.5</v>
      </c>
      <c r="W888" s="193">
        <v>1</v>
      </c>
      <c r="X888" s="193">
        <f>IF(Tabella1[[#This Row],[Best 11]]=1,Tabella1[[#This Row],[fanta voto]],"")</f>
        <v>4.5</v>
      </c>
      <c r="Y888">
        <v>1</v>
      </c>
      <c r="Z888" s="193">
        <f>IF(Tabella1[[#This Row],[Best 11 MOD]]=1,Tabella1[[#This Row],[fanta voto]],"")</f>
        <v>4.5</v>
      </c>
      <c r="AA888" t="str">
        <f>CONCATENATE(Tabella1[[#This Row],[GG]],Tabella1[[#This Row],[Nome]])</f>
        <v>4Carnesecchi</v>
      </c>
      <c r="AB888" t="str">
        <f t="shared" ref="AB888:AB951" si="39">CONCATENATE(B888,R888,T888)</f>
        <v>4PARTIZAN DEGRADO1</v>
      </c>
      <c r="AC888" t="str">
        <f>_xlfn.CONCAT(Tabella1[[#This Row],[Ruolo]],Tabella1[[#This Row],[Gs]])</f>
        <v>P2</v>
      </c>
    </row>
    <row r="889" spans="1:29" hidden="1" x14ac:dyDescent="0.3">
      <c r="A889" s="14">
        <v>46277</v>
      </c>
      <c r="B889" s="15">
        <v>4</v>
      </c>
      <c r="C889" s="321" t="str">
        <f>_xlfn.XLOOKUP(Tabella1[[#This Row],[Nome]],Tabella4[NOME],Tabella4[SQUADRA],"")</f>
        <v>Atalanta</v>
      </c>
      <c r="D889" s="330" t="s">
        <v>161</v>
      </c>
      <c r="E889" s="330" t="s">
        <v>635</v>
      </c>
      <c r="F889" s="331">
        <v>4.5</v>
      </c>
      <c r="G889" s="404">
        <v>0</v>
      </c>
      <c r="H889" s="404">
        <v>0</v>
      </c>
      <c r="I889" s="404">
        <v>0</v>
      </c>
      <c r="J889" s="404">
        <v>0</v>
      </c>
      <c r="K889" s="404">
        <v>0</v>
      </c>
      <c r="L889" s="404">
        <v>0</v>
      </c>
      <c r="M889" s="404">
        <v>0</v>
      </c>
      <c r="N889" s="404">
        <v>0</v>
      </c>
      <c r="O889" s="404">
        <v>0</v>
      </c>
      <c r="P889" s="284"/>
      <c r="Q889" s="284">
        <f t="shared" si="38"/>
        <v>0</v>
      </c>
      <c r="R889" s="3" t="str">
        <f>_xlfn.IFNA(VLOOKUP(Tabella1[[#This Row],[Nome]],'ROSE SQUADRE'!$N$3:$O$260,2,0),"")</f>
        <v/>
      </c>
      <c r="S889" s="193">
        <f>SUM(Tabella1[[#This Row],[Gf]],Tabella1[[#This Row],[Rf]])</f>
        <v>0</v>
      </c>
      <c r="T889" s="193"/>
      <c r="U889" s="285" t="str">
        <f>IF(Tabella1[[#This Row],[N° FantaTit]]="","",Tabella1[[#This Row],[fanta voto]])</f>
        <v/>
      </c>
      <c r="V889" s="193">
        <f>SUM(Tabella1[[#This Row],[Voto]],(G889*3),Q889,P889,O889,-(N889),(-M889/2),(-L889*2),(-H889),(I889*3),(-J889*3),(K889*3))</f>
        <v>4.5</v>
      </c>
      <c r="W889" s="193"/>
      <c r="X889" s="193" t="str">
        <f>IF(Tabella1[[#This Row],[Best 11]]=1,Tabella1[[#This Row],[fanta voto]],"")</f>
        <v/>
      </c>
      <c r="Z889" s="193" t="str">
        <f>IF(Tabella1[[#This Row],[Best 11 MOD]]=1,Tabella1[[#This Row],[fanta voto]],"")</f>
        <v/>
      </c>
      <c r="AA889" t="str">
        <f>CONCATENATE(Tabella1[[#This Row],[GG]],Tabella1[[#This Row],[Nome]])</f>
        <v>4Kolasinac</v>
      </c>
      <c r="AB889" t="str">
        <f t="shared" si="39"/>
        <v>4</v>
      </c>
      <c r="AC889" t="str">
        <f>_xlfn.CONCAT(Tabella1[[#This Row],[Ruolo]],Tabella1[[#This Row],[Gs]])</f>
        <v>D0</v>
      </c>
    </row>
    <row r="890" spans="1:29" hidden="1" x14ac:dyDescent="0.3">
      <c r="A890" s="14">
        <v>46277</v>
      </c>
      <c r="B890" s="15">
        <v>4</v>
      </c>
      <c r="C890" s="321" t="str">
        <f>_xlfn.XLOOKUP(Tabella1[[#This Row],[Nome]],Tabella4[NOME],Tabella4[SQUADRA],"")</f>
        <v>Fiorentina</v>
      </c>
      <c r="D890" t="s">
        <v>5</v>
      </c>
      <c r="E890" t="s">
        <v>706</v>
      </c>
      <c r="F890" s="194">
        <v>6</v>
      </c>
      <c r="G890" s="402">
        <v>0</v>
      </c>
      <c r="H890" s="403">
        <v>2</v>
      </c>
      <c r="I890" s="402">
        <v>0</v>
      </c>
      <c r="J890" s="402">
        <v>0</v>
      </c>
      <c r="K890" s="402">
        <v>0</v>
      </c>
      <c r="L890" s="402">
        <v>0</v>
      </c>
      <c r="M890" s="402">
        <v>0</v>
      </c>
      <c r="N890" s="402">
        <v>0</v>
      </c>
      <c r="O890" s="402">
        <v>0</v>
      </c>
      <c r="P890" s="401"/>
      <c r="Q890" s="401">
        <f t="shared" si="38"/>
        <v>0</v>
      </c>
      <c r="R890" s="3" t="str">
        <f>_xlfn.IFNA(VLOOKUP(Tabella1[[#This Row],[Nome]],'ROSE SQUADRE'!$N$3:$O$260,2,0),"")</f>
        <v>PESCICULINI</v>
      </c>
      <c r="S890" s="193">
        <f>SUM(Tabella1[[#This Row],[Gf]],Tabella1[[#This Row],[Rf]])</f>
        <v>0</v>
      </c>
      <c r="T890" s="193">
        <v>1</v>
      </c>
      <c r="U890" s="285">
        <f>IF(Tabella1[[#This Row],[N° FantaTit]]="","",Tabella1[[#This Row],[fanta voto]])</f>
        <v>4</v>
      </c>
      <c r="V890" s="193">
        <f>SUM(Tabella1[[#This Row],[Voto]],(G890*3),Q890,P890,O890,-(N890),(-M890/2),(-L890*2),(-H890),(I890*3),(-J890*3),(K890*3))</f>
        <v>4</v>
      </c>
      <c r="W890" s="193"/>
      <c r="X890" s="193" t="str">
        <f>IF(Tabella1[[#This Row],[Best 11]]=1,Tabella1[[#This Row],[fanta voto]],"")</f>
        <v/>
      </c>
      <c r="Z890" s="193" t="str">
        <f>IF(Tabella1[[#This Row],[Best 11 MOD]]=1,Tabella1[[#This Row],[fanta voto]],"")</f>
        <v/>
      </c>
      <c r="AA890" t="str">
        <f>CONCATENATE(Tabella1[[#This Row],[GG]],Tabella1[[#This Row],[Nome]])</f>
        <v>4De Gea</v>
      </c>
      <c r="AB890" t="str">
        <f t="shared" si="39"/>
        <v>4PESCICULINI1</v>
      </c>
      <c r="AC890" t="str">
        <f>_xlfn.CONCAT(Tabella1[[#This Row],[Ruolo]],Tabella1[[#This Row],[Gs]])</f>
        <v>P2</v>
      </c>
    </row>
    <row r="891" spans="1:29" hidden="1" x14ac:dyDescent="0.3">
      <c r="A891" s="14">
        <v>46277</v>
      </c>
      <c r="B891" s="15">
        <v>4</v>
      </c>
      <c r="C891" s="321" t="str">
        <f>_xlfn.XLOOKUP(Tabella1[[#This Row],[Nome]],Tabella4[NOME],Tabella4[SQUADRA],"")</f>
        <v>Milan</v>
      </c>
      <c r="D891" t="s">
        <v>5</v>
      </c>
      <c r="E891" t="s">
        <v>265</v>
      </c>
      <c r="F891" s="194">
        <v>6.5</v>
      </c>
      <c r="G891" s="402">
        <v>0</v>
      </c>
      <c r="H891" s="403">
        <v>2</v>
      </c>
      <c r="I891" s="402">
        <v>0</v>
      </c>
      <c r="J891" s="402">
        <v>0</v>
      </c>
      <c r="K891" s="402">
        <v>0</v>
      </c>
      <c r="L891" s="402">
        <v>0</v>
      </c>
      <c r="M891" s="402">
        <v>0</v>
      </c>
      <c r="N891" s="402">
        <v>0</v>
      </c>
      <c r="O891" s="402">
        <v>0</v>
      </c>
      <c r="P891" s="401"/>
      <c r="Q891" s="401">
        <f t="shared" si="38"/>
        <v>0</v>
      </c>
      <c r="R891" s="3" t="str">
        <f>_xlfn.IFNA(VLOOKUP(Tabella1[[#This Row],[Nome]],'ROSE SQUADRE'!$N$3:$O$260,2,0),"")</f>
        <v>SESTO ASENSIO</v>
      </c>
      <c r="S891" s="193">
        <f>SUM(Tabella1[[#This Row],[Gf]],Tabella1[[#This Row],[Rf]])</f>
        <v>0</v>
      </c>
      <c r="T891" s="193">
        <v>1</v>
      </c>
      <c r="U891" s="285">
        <f>IF(Tabella1[[#This Row],[N° FantaTit]]="","",Tabella1[[#This Row],[fanta voto]])</f>
        <v>4.5</v>
      </c>
      <c r="V891" s="193">
        <f>SUM(Tabella1[[#This Row],[Voto]],(G891*3),Q891,P891,O891,-(N891),(-M891/2),(-L891*2),(-H891),(I891*3),(-J891*3),(K891*3))</f>
        <v>4.5</v>
      </c>
      <c r="W891" s="193">
        <v>1</v>
      </c>
      <c r="X891" s="193">
        <f>IF(Tabella1[[#This Row],[Best 11]]=1,Tabella1[[#This Row],[fanta voto]],"")</f>
        <v>4.5</v>
      </c>
      <c r="Y891">
        <v>1</v>
      </c>
      <c r="Z891" s="193">
        <f>IF(Tabella1[[#This Row],[Best 11 MOD]]=1,Tabella1[[#This Row],[fanta voto]],"")</f>
        <v>4.5</v>
      </c>
      <c r="AA891" t="str">
        <f>CONCATENATE(Tabella1[[#This Row],[GG]],Tabella1[[#This Row],[Nome]])</f>
        <v>4Maignan</v>
      </c>
      <c r="AB891" t="str">
        <f t="shared" si="39"/>
        <v>4SESTO ASENSIO1</v>
      </c>
      <c r="AC891" t="str">
        <f>_xlfn.CONCAT(Tabella1[[#This Row],[Ruolo]],Tabella1[[#This Row],[Gs]])</f>
        <v>P2</v>
      </c>
    </row>
    <row r="892" spans="1:29" hidden="1" x14ac:dyDescent="0.3">
      <c r="A892" s="14">
        <v>46277</v>
      </c>
      <c r="B892" s="15">
        <v>4</v>
      </c>
      <c r="C892" s="321" t="str">
        <f>_xlfn.XLOOKUP(Tabella1[[#This Row],[Nome]],Tabella4[NOME],Tabella4[SQUADRA],"")</f>
        <v>Atalanta</v>
      </c>
      <c r="D892" t="s">
        <v>161</v>
      </c>
      <c r="E892" t="s">
        <v>637</v>
      </c>
      <c r="F892" s="194">
        <v>5</v>
      </c>
      <c r="G892" s="402">
        <v>0</v>
      </c>
      <c r="H892" s="402">
        <v>0</v>
      </c>
      <c r="I892" s="402">
        <v>0</v>
      </c>
      <c r="J892" s="402">
        <v>0</v>
      </c>
      <c r="K892" s="402">
        <v>0</v>
      </c>
      <c r="L892" s="402">
        <v>0</v>
      </c>
      <c r="M892" s="402">
        <v>0</v>
      </c>
      <c r="N892" s="402">
        <v>0</v>
      </c>
      <c r="O892" s="402">
        <v>0</v>
      </c>
      <c r="P892" s="284"/>
      <c r="Q892" s="284">
        <f t="shared" si="38"/>
        <v>0</v>
      </c>
      <c r="R892" s="3" t="str">
        <f>_xlfn.IFNA(VLOOKUP(Tabella1[[#This Row],[Nome]],'ROSE SQUADRE'!$N$3:$O$260,2,0),"")</f>
        <v/>
      </c>
      <c r="S892" s="193">
        <f>SUM(Tabella1[[#This Row],[Gf]],Tabella1[[#This Row],[Rf]])</f>
        <v>0</v>
      </c>
      <c r="T892" s="193"/>
      <c r="U892" s="285" t="str">
        <f>IF(Tabella1[[#This Row],[N° FantaTit]]="","",Tabella1[[#This Row],[fanta voto]])</f>
        <v/>
      </c>
      <c r="V892" s="193">
        <f>SUM(Tabella1[[#This Row],[Voto]],(G892*3),Q892,P892,O892,-(N892),(-M892/2),(-L892*2),(-H892),(I892*3),(-J892*3),(K892*3))</f>
        <v>5</v>
      </c>
      <c r="W892" s="193"/>
      <c r="X892" s="193" t="str">
        <f>IF(Tabella1[[#This Row],[Best 11]]=1,Tabella1[[#This Row],[fanta voto]],"")</f>
        <v/>
      </c>
      <c r="Z892" s="193" t="str">
        <f>IF(Tabella1[[#This Row],[Best 11 MOD]]=1,Tabella1[[#This Row],[fanta voto]],"")</f>
        <v/>
      </c>
      <c r="AA892" t="str">
        <f>CONCATENATE(Tabella1[[#This Row],[GG]],Tabella1[[#This Row],[Nome]])</f>
        <v>4Kossounou</v>
      </c>
      <c r="AB892" t="str">
        <f t="shared" si="39"/>
        <v>4</v>
      </c>
      <c r="AC892" t="str">
        <f>_xlfn.CONCAT(Tabella1[[#This Row],[Ruolo]],Tabella1[[#This Row],[Gs]])</f>
        <v>D0</v>
      </c>
    </row>
    <row r="893" spans="1:29" hidden="1" x14ac:dyDescent="0.3">
      <c r="A893" s="14">
        <v>46277</v>
      </c>
      <c r="B893" s="15">
        <v>4</v>
      </c>
      <c r="C893" s="321" t="str">
        <f>_xlfn.XLOOKUP(Tabella1[[#This Row],[Nome]],Tabella4[NOME],Tabella4[SQUADRA],"")</f>
        <v>Lecce</v>
      </c>
      <c r="D893" t="s">
        <v>5</v>
      </c>
      <c r="E893" t="s">
        <v>296</v>
      </c>
      <c r="F893" s="194">
        <v>5.5</v>
      </c>
      <c r="G893" s="402">
        <v>0</v>
      </c>
      <c r="H893" s="403">
        <v>2</v>
      </c>
      <c r="I893" s="402">
        <v>0</v>
      </c>
      <c r="J893" s="402">
        <v>0</v>
      </c>
      <c r="K893" s="402">
        <v>0</v>
      </c>
      <c r="L893" s="402">
        <v>0</v>
      </c>
      <c r="M893" s="402">
        <v>0</v>
      </c>
      <c r="N893" s="402">
        <v>0</v>
      </c>
      <c r="O893" s="402">
        <v>0</v>
      </c>
      <c r="P893" s="401"/>
      <c r="Q893" s="401">
        <f t="shared" si="38"/>
        <v>0</v>
      </c>
      <c r="R893" s="3" t="str">
        <f>_xlfn.IFNA(VLOOKUP(Tabella1[[#This Row],[Nome]],'ROSE SQUADRE'!$N$3:$O$260,2,0),"")</f>
        <v>PARTIZAN DEGRADO</v>
      </c>
      <c r="S893" s="193">
        <f>SUM(Tabella1[[#This Row],[Gf]],Tabella1[[#This Row],[Rf]])</f>
        <v>0</v>
      </c>
      <c r="T893" s="193"/>
      <c r="U893" s="285" t="str">
        <f>IF(Tabella1[[#This Row],[N° FantaTit]]="","",Tabella1[[#This Row],[fanta voto]])</f>
        <v/>
      </c>
      <c r="V893" s="193">
        <f>SUM(Tabella1[[#This Row],[Voto]],(G893*3),Q893,P893,O893,-(N893),(-M893/2),(-L893*2),(-H893),(I893*3),(-J893*3),(K893*3))</f>
        <v>3.5</v>
      </c>
      <c r="W893" s="193"/>
      <c r="X893" s="193" t="str">
        <f>IF(Tabella1[[#This Row],[Best 11]]=1,Tabella1[[#This Row],[fanta voto]],"")</f>
        <v/>
      </c>
      <c r="Z893" s="193" t="str">
        <f>IF(Tabella1[[#This Row],[Best 11 MOD]]=1,Tabella1[[#This Row],[fanta voto]],"")</f>
        <v/>
      </c>
      <c r="AA893" t="str">
        <f>CONCATENATE(Tabella1[[#This Row],[GG]],Tabella1[[#This Row],[Nome]])</f>
        <v>4Falcone</v>
      </c>
      <c r="AB893" t="str">
        <f t="shared" si="39"/>
        <v>4PARTIZAN DEGRADO</v>
      </c>
      <c r="AC893" t="str">
        <f>_xlfn.CONCAT(Tabella1[[#This Row],[Ruolo]],Tabella1[[#This Row],[Gs]])</f>
        <v>P2</v>
      </c>
    </row>
    <row r="894" spans="1:29" hidden="1" x14ac:dyDescent="0.3">
      <c r="A894" s="14">
        <v>46277</v>
      </c>
      <c r="B894" s="15">
        <v>4</v>
      </c>
      <c r="C894" s="321" t="str">
        <f>_xlfn.XLOOKUP(Tabella1[[#This Row],[Nome]],Tabella4[NOME],Tabella4[SQUADRA],"")</f>
        <v>Cagliari</v>
      </c>
      <c r="D894" t="s">
        <v>5</v>
      </c>
      <c r="E894" t="s">
        <v>661</v>
      </c>
      <c r="F894" s="194">
        <v>6.5</v>
      </c>
      <c r="G894" s="402">
        <v>0</v>
      </c>
      <c r="H894" s="403">
        <v>1</v>
      </c>
      <c r="I894" s="402">
        <v>0</v>
      </c>
      <c r="J894" s="402">
        <v>0</v>
      </c>
      <c r="K894" s="402">
        <v>0</v>
      </c>
      <c r="L894" s="402">
        <v>0</v>
      </c>
      <c r="M894" s="402">
        <v>0</v>
      </c>
      <c r="N894" s="402">
        <v>0</v>
      </c>
      <c r="O894" s="402">
        <v>0</v>
      </c>
      <c r="P894" s="401"/>
      <c r="Q894" s="401">
        <f t="shared" si="38"/>
        <v>0</v>
      </c>
      <c r="R894" s="3" t="str">
        <f>_xlfn.IFNA(VLOOKUP(Tabella1[[#This Row],[Nome]],'ROSE SQUADRE'!$N$3:$O$260,2,0),"")</f>
        <v>AC ASPARAGHESE</v>
      </c>
      <c r="S894" s="193">
        <f>SUM(Tabella1[[#This Row],[Gf]],Tabella1[[#This Row],[Rf]])</f>
        <v>0</v>
      </c>
      <c r="T894" s="193"/>
      <c r="U894" s="285" t="str">
        <f>IF(Tabella1[[#This Row],[N° FantaTit]]="","",Tabella1[[#This Row],[fanta voto]])</f>
        <v/>
      </c>
      <c r="V894" s="193">
        <f>SUM(Tabella1[[#This Row],[Voto]],(G894*3),Q894,P894,O894,-(N894),(-M894/2),(-L894*2),(-H894),(I894*3),(-J894*3),(K894*3))</f>
        <v>5.5</v>
      </c>
      <c r="W894" s="193">
        <v>1</v>
      </c>
      <c r="X894" s="193">
        <f>IF(Tabella1[[#This Row],[Best 11]]=1,Tabella1[[#This Row],[fanta voto]],"")</f>
        <v>5.5</v>
      </c>
      <c r="Y894">
        <v>1</v>
      </c>
      <c r="Z894" s="193">
        <f>IF(Tabella1[[#This Row],[Best 11 MOD]]=1,Tabella1[[#This Row],[fanta voto]],"")</f>
        <v>5.5</v>
      </c>
      <c r="AA894" t="str">
        <f>CONCATENATE(Tabella1[[#This Row],[GG]],Tabella1[[#This Row],[Nome]])</f>
        <v>4Caprile</v>
      </c>
      <c r="AB894" t="str">
        <f t="shared" si="39"/>
        <v>4AC ASPARAGHESE</v>
      </c>
      <c r="AC894" t="str">
        <f>_xlfn.CONCAT(Tabella1[[#This Row],[Ruolo]],Tabella1[[#This Row],[Gs]])</f>
        <v>P1</v>
      </c>
    </row>
    <row r="895" spans="1:29" ht="14.4" hidden="1" customHeight="1" x14ac:dyDescent="0.3">
      <c r="A895" s="14">
        <v>46277</v>
      </c>
      <c r="B895" s="15">
        <v>4</v>
      </c>
      <c r="C895" s="321" t="str">
        <f>_xlfn.XLOOKUP(Tabella1[[#This Row],[Nome]],Tabella4[NOME],Tabella4[SQUADRA],"")</f>
        <v>Genoa</v>
      </c>
      <c r="D895" t="s">
        <v>5</v>
      </c>
      <c r="E895" t="s">
        <v>748</v>
      </c>
      <c r="F895" s="194">
        <v>6.5</v>
      </c>
      <c r="G895" s="402">
        <v>0</v>
      </c>
      <c r="H895" s="403">
        <v>1</v>
      </c>
      <c r="I895" s="402">
        <v>0</v>
      </c>
      <c r="J895" s="402">
        <v>0</v>
      </c>
      <c r="K895" s="402">
        <v>0</v>
      </c>
      <c r="L895" s="402">
        <v>0</v>
      </c>
      <c r="M895" s="402">
        <v>0</v>
      </c>
      <c r="N895" s="402">
        <v>0</v>
      </c>
      <c r="O895" s="402">
        <v>0</v>
      </c>
      <c r="P895" s="401"/>
      <c r="Q895" s="401">
        <f t="shared" si="38"/>
        <v>0</v>
      </c>
      <c r="R895" s="3" t="str">
        <f>_xlfn.IFNA(VLOOKUP(Tabella1[[#This Row],[Nome]],'ROSE SQUADRE'!$N$3:$O$260,2,0),"")</f>
        <v>AS PIPPERIA</v>
      </c>
      <c r="S895" s="193">
        <f>SUM(Tabella1[[#This Row],[Gf]],Tabella1[[#This Row],[Rf]])</f>
        <v>0</v>
      </c>
      <c r="T895" s="193">
        <v>1</v>
      </c>
      <c r="U895" s="285">
        <f>IF(Tabella1[[#This Row],[N° FantaTit]]="","",Tabella1[[#This Row],[fanta voto]])</f>
        <v>5.5</v>
      </c>
      <c r="V895" s="193">
        <f>SUM(Tabella1[[#This Row],[Voto]],(G895*3),Q895,P895,O895,-(N895),(-M895/2),(-L895*2),(-H895),(I895*3),(-J895*3),(K895*3))</f>
        <v>5.5</v>
      </c>
      <c r="W895" s="193">
        <v>1</v>
      </c>
      <c r="X895" s="193">
        <f>IF(Tabella1[[#This Row],[Best 11]]=1,Tabella1[[#This Row],[fanta voto]],"")</f>
        <v>5.5</v>
      </c>
      <c r="Y895">
        <v>1</v>
      </c>
      <c r="Z895" s="193">
        <f>IF(Tabella1[[#This Row],[Best 11 MOD]]=1,Tabella1[[#This Row],[fanta voto]],"")</f>
        <v>5.5</v>
      </c>
      <c r="AA895" t="str">
        <f>CONCATENATE(Tabella1[[#This Row],[GG]],Tabella1[[#This Row],[Nome]])</f>
        <v>4Bijlow</v>
      </c>
      <c r="AB895" t="str">
        <f t="shared" si="39"/>
        <v>4AS PIPPERIA1</v>
      </c>
      <c r="AC895" t="str">
        <f>_xlfn.CONCAT(Tabella1[[#This Row],[Ruolo]],Tabella1[[#This Row],[Gs]])</f>
        <v>P1</v>
      </c>
    </row>
    <row r="896" spans="1:29" hidden="1" x14ac:dyDescent="0.3">
      <c r="A896" s="286">
        <v>46277</v>
      </c>
      <c r="B896" s="15">
        <v>4</v>
      </c>
      <c r="C896" s="283" t="str">
        <f>_xlfn.XLOOKUP(Tabella1[[#This Row],[Nome]],Tabella4[NOME],Tabella4[SQUADRA],"")</f>
        <v>Inter</v>
      </c>
      <c r="D896" s="330" t="s">
        <v>5</v>
      </c>
      <c r="E896" s="330" t="s">
        <v>767</v>
      </c>
      <c r="F896" s="331">
        <v>5</v>
      </c>
      <c r="G896" s="404">
        <v>0</v>
      </c>
      <c r="H896" s="405">
        <v>3</v>
      </c>
      <c r="I896" s="404">
        <v>0</v>
      </c>
      <c r="J896" s="404">
        <v>0</v>
      </c>
      <c r="K896" s="404">
        <v>0</v>
      </c>
      <c r="L896" s="404">
        <v>0</v>
      </c>
      <c r="M896" s="404">
        <v>0</v>
      </c>
      <c r="N896" s="404">
        <v>0</v>
      </c>
      <c r="O896" s="404">
        <v>0</v>
      </c>
      <c r="P896" s="401"/>
      <c r="Q896" s="401">
        <f t="shared" si="38"/>
        <v>0</v>
      </c>
      <c r="R896" s="3" t="str">
        <f>_xlfn.IFNA(VLOOKUP(Tabella1[[#This Row],[Nome]],'ROSE SQUADRE'!$N$3:$O$260,2,0),"")</f>
        <v>FC INTERNAZIOANALE</v>
      </c>
      <c r="S896" s="193">
        <f>SUM(Tabella1[[#This Row],[Gf]],Tabella1[[#This Row],[Rf]])</f>
        <v>0</v>
      </c>
      <c r="T896" s="193">
        <v>1</v>
      </c>
      <c r="U896" s="285">
        <f>IF(Tabella1[[#This Row],[N° FantaTit]]="","",Tabella1[[#This Row],[fanta voto]])</f>
        <v>2</v>
      </c>
      <c r="V896" s="195">
        <f>SUM(Tabella1[[#This Row],[Voto]],(G896*3),Q896,P896,O896,-(N896),(-M896/2),(-L896*2),(-H896),(I896*3),(-J896*3),(K896*3))</f>
        <v>2</v>
      </c>
      <c r="W896" s="193">
        <v>1</v>
      </c>
      <c r="X896" s="193">
        <f>IF(Tabella1[[#This Row],[Best 11]]=1,Tabella1[[#This Row],[fanta voto]],"")</f>
        <v>2</v>
      </c>
      <c r="Y896">
        <v>1</v>
      </c>
      <c r="Z896" s="193">
        <f>IF(Tabella1[[#This Row],[Best 11 MOD]]=1,Tabella1[[#This Row],[fanta voto]],"")</f>
        <v>2</v>
      </c>
      <c r="AA896" t="str">
        <f>CONCATENATE(Tabella1[[#This Row],[GG]],Tabella1[[#This Row],[Nome]])</f>
        <v>4Martinez Jo.</v>
      </c>
      <c r="AB896" t="str">
        <f t="shared" si="39"/>
        <v>4FC INTERNAZIOANALE1</v>
      </c>
      <c r="AC896" t="str">
        <f>_xlfn.CONCAT(Tabella1[[#This Row],[Ruolo]],Tabella1[[#This Row],[Gs]])</f>
        <v>P3</v>
      </c>
    </row>
    <row r="897" spans="1:29" hidden="1" x14ac:dyDescent="0.3">
      <c r="A897" s="14">
        <v>46277</v>
      </c>
      <c r="B897" s="15">
        <v>4</v>
      </c>
      <c r="C897" s="321" t="str">
        <f>_xlfn.XLOOKUP(Tabella1[[#This Row],[Nome]],Tabella4[NOME],Tabella4[SQUADRA],"")</f>
        <v>Frosinone</v>
      </c>
      <c r="D897" s="330" t="s">
        <v>5</v>
      </c>
      <c r="E897" s="330" t="s">
        <v>723</v>
      </c>
      <c r="F897" s="331">
        <v>7</v>
      </c>
      <c r="G897" s="404">
        <v>0</v>
      </c>
      <c r="H897" s="405">
        <v>1</v>
      </c>
      <c r="I897" s="404">
        <v>0</v>
      </c>
      <c r="J897" s="404">
        <v>0</v>
      </c>
      <c r="K897" s="404">
        <v>0</v>
      </c>
      <c r="L897" s="404">
        <v>0</v>
      </c>
      <c r="M897" s="404">
        <v>0</v>
      </c>
      <c r="N897" s="404">
        <v>0</v>
      </c>
      <c r="O897" s="404">
        <v>0</v>
      </c>
      <c r="P897" s="401"/>
      <c r="Q897" s="401">
        <f t="shared" si="38"/>
        <v>0</v>
      </c>
      <c r="R897" s="3" t="str">
        <f>_xlfn.IFNA(VLOOKUP(Tabella1[[#This Row],[Nome]],'ROSE SQUADRE'!$N$3:$O$260,2,0),"")</f>
        <v>TRICCHETRACHT</v>
      </c>
      <c r="S897" s="193">
        <f>SUM(Tabella1[[#This Row],[Gf]],Tabella1[[#This Row],[Rf]])</f>
        <v>0</v>
      </c>
      <c r="T897" s="193"/>
      <c r="U897" s="285" t="str">
        <f>IF(Tabella1[[#This Row],[N° FantaTit]]="","",Tabella1[[#This Row],[fanta voto]])</f>
        <v/>
      </c>
      <c r="V897" s="193">
        <f>SUM(Tabella1[[#This Row],[Voto]],(G897*3),Q897,P897,O897,-(N897),(-M897/2),(-L897*2),(-H897),(I897*3),(-J897*3),(K897*3))</f>
        <v>6</v>
      </c>
      <c r="W897" s="193">
        <v>1</v>
      </c>
      <c r="X897" s="193">
        <f>IF(Tabella1[[#This Row],[Best 11]]=1,Tabella1[[#This Row],[fanta voto]],"")</f>
        <v>6</v>
      </c>
      <c r="Y897">
        <v>1</v>
      </c>
      <c r="Z897" s="193">
        <f>IF(Tabella1[[#This Row],[Best 11 MOD]]=1,Tabella1[[#This Row],[fanta voto]],"")</f>
        <v>6</v>
      </c>
      <c r="AA897" t="str">
        <f>CONCATENATE(Tabella1[[#This Row],[GG]],Tabella1[[#This Row],[Nome]])</f>
        <v>4Palmisani</v>
      </c>
      <c r="AB897" t="str">
        <f t="shared" si="39"/>
        <v>4TRICCHETRACHT</v>
      </c>
      <c r="AC897" t="str">
        <f>_xlfn.CONCAT(Tabella1[[#This Row],[Ruolo]],Tabella1[[#This Row],[Gs]])</f>
        <v>P1</v>
      </c>
    </row>
    <row r="898" spans="1:29" hidden="1" x14ac:dyDescent="0.3">
      <c r="A898" s="14">
        <v>46277</v>
      </c>
      <c r="B898" s="15">
        <v>4</v>
      </c>
      <c r="C898" s="321" t="str">
        <f>_xlfn.XLOOKUP(Tabella1[[#This Row],[Nome]],Tabella4[NOME],Tabella4[SQUADRA],"")</f>
        <v>Juventus</v>
      </c>
      <c r="D898" t="s">
        <v>5</v>
      </c>
      <c r="E898" t="s">
        <v>780</v>
      </c>
      <c r="F898" s="194">
        <v>6</v>
      </c>
      <c r="G898" s="402">
        <v>0</v>
      </c>
      <c r="H898" s="403">
        <v>3</v>
      </c>
      <c r="I898" s="402">
        <v>0</v>
      </c>
      <c r="J898" s="402">
        <v>0</v>
      </c>
      <c r="K898" s="402">
        <v>0</v>
      </c>
      <c r="L898" s="402">
        <v>0</v>
      </c>
      <c r="M898" s="402">
        <v>0</v>
      </c>
      <c r="N898" s="402">
        <v>0</v>
      </c>
      <c r="O898" s="402">
        <v>0</v>
      </c>
      <c r="P898" s="401"/>
      <c r="Q898" s="401">
        <f t="shared" si="38"/>
        <v>0</v>
      </c>
      <c r="R898" s="3" t="str">
        <f>_xlfn.IFNA(VLOOKUP(Tabella1[[#This Row],[Nome]],'ROSE SQUADRE'!$N$3:$O$260,2,0),"")</f>
        <v>TRICCHETRACHT</v>
      </c>
      <c r="S898" s="193">
        <f>SUM(Tabella1[[#This Row],[Gf]],Tabella1[[#This Row],[Rf]])</f>
        <v>0</v>
      </c>
      <c r="T898" s="193">
        <v>1</v>
      </c>
      <c r="U898" s="285">
        <f>IF(Tabella1[[#This Row],[N° FantaTit]]="","",Tabella1[[#This Row],[fanta voto]])</f>
        <v>3</v>
      </c>
      <c r="V898" s="193">
        <f>SUM(Tabella1[[#This Row],[Voto]],(G898*3),Q898,P898,O898,-(N898),(-M898/2),(-L898*2),(-H898),(I898*3),(-J898*3),(K898*3))</f>
        <v>3</v>
      </c>
      <c r="W898" s="193"/>
      <c r="X898" s="193" t="str">
        <f>IF(Tabella1[[#This Row],[Best 11]]=1,Tabella1[[#This Row],[fanta voto]],"")</f>
        <v/>
      </c>
      <c r="Z898" s="193" t="str">
        <f>IF(Tabella1[[#This Row],[Best 11 MOD]]=1,Tabella1[[#This Row],[fanta voto]],"")</f>
        <v/>
      </c>
      <c r="AA898" t="str">
        <f>CONCATENATE(Tabella1[[#This Row],[GG]],Tabella1[[#This Row],[Nome]])</f>
        <v>4Vicario</v>
      </c>
      <c r="AB898" t="str">
        <f t="shared" si="39"/>
        <v>4TRICCHETRACHT1</v>
      </c>
      <c r="AC898" t="str">
        <f>_xlfn.CONCAT(Tabella1[[#This Row],[Ruolo]],Tabella1[[#This Row],[Gs]])</f>
        <v>P3</v>
      </c>
    </row>
    <row r="899" spans="1:29" hidden="1" x14ac:dyDescent="0.3">
      <c r="A899" s="14">
        <v>46277</v>
      </c>
      <c r="B899" s="15">
        <v>4</v>
      </c>
      <c r="C899" s="321" t="str">
        <f>_xlfn.XLOOKUP(Tabella1[[#This Row],[Nome]],Tabella4[NOME],Tabella4[SQUADRA],"")</f>
        <v>Venezia</v>
      </c>
      <c r="D899" t="s">
        <v>161</v>
      </c>
      <c r="E899" t="s">
        <v>584</v>
      </c>
      <c r="F899" s="194">
        <v>4.5</v>
      </c>
      <c r="G899" s="402">
        <v>0</v>
      </c>
      <c r="H899" s="402">
        <v>0</v>
      </c>
      <c r="I899" s="402">
        <v>0</v>
      </c>
      <c r="J899" s="402">
        <v>0</v>
      </c>
      <c r="K899" s="402">
        <v>0</v>
      </c>
      <c r="L899" s="402">
        <v>0</v>
      </c>
      <c r="M899" s="402">
        <v>0</v>
      </c>
      <c r="N899" s="402">
        <v>0</v>
      </c>
      <c r="O899" s="403">
        <v>1</v>
      </c>
      <c r="P899" s="401"/>
      <c r="Q899" s="401">
        <f t="shared" si="38"/>
        <v>0</v>
      </c>
      <c r="R899" s="3" t="str">
        <f>_xlfn.IFNA(VLOOKUP(Tabella1[[#This Row],[Nome]],'ROSE SQUADRE'!$N$3:$O$260,2,0),"")</f>
        <v>FC INTERNAZIOANALE</v>
      </c>
      <c r="S899" s="193">
        <f>SUM(Tabella1[[#This Row],[Gf]],Tabella1[[#This Row],[Rf]])</f>
        <v>0</v>
      </c>
      <c r="T899" s="193">
        <v>1</v>
      </c>
      <c r="U899" s="285">
        <f>IF(Tabella1[[#This Row],[N° FantaTit]]="","",Tabella1[[#This Row],[fanta voto]])</f>
        <v>5.5</v>
      </c>
      <c r="V899" s="193">
        <f>SUM(Tabella1[[#This Row],[Voto]],(G899*3),Q899,P899,O899,-(N899),(-M899/2),(-L899*2),(-H899),(I899*3),(-J899*3),(K899*3))</f>
        <v>5.5</v>
      </c>
      <c r="W899" s="193"/>
      <c r="X899" s="193" t="str">
        <f>IF(Tabella1[[#This Row],[Best 11]]=1,Tabella1[[#This Row],[fanta voto]],"")</f>
        <v/>
      </c>
      <c r="Z899" s="193" t="str">
        <f>IF(Tabella1[[#This Row],[Best 11 MOD]]=1,Tabella1[[#This Row],[fanta voto]],"")</f>
        <v/>
      </c>
      <c r="AA899" t="str">
        <f>CONCATENATE(Tabella1[[#This Row],[GG]],Tabella1[[#This Row],[Nome]])</f>
        <v>4Haps</v>
      </c>
      <c r="AB899" t="str">
        <f t="shared" si="39"/>
        <v>4FC INTERNAZIOANALE1</v>
      </c>
      <c r="AC899" t="str">
        <f>_xlfn.CONCAT(Tabella1[[#This Row],[Ruolo]],Tabella1[[#This Row],[Gs]])</f>
        <v>D0</v>
      </c>
    </row>
    <row r="900" spans="1:29" hidden="1" x14ac:dyDescent="0.3">
      <c r="A900" s="14">
        <v>46277</v>
      </c>
      <c r="B900" s="15">
        <v>4</v>
      </c>
      <c r="C900" s="321" t="str">
        <f>_xlfn.XLOOKUP(Tabella1[[#This Row],[Nome]],Tabella4[NOME],Tabella4[SQUADRA],"")</f>
        <v>Napoli</v>
      </c>
      <c r="D900" s="330" t="s">
        <v>5</v>
      </c>
      <c r="E900" s="330" t="s">
        <v>264</v>
      </c>
      <c r="F900" s="331">
        <v>6</v>
      </c>
      <c r="G900" s="404">
        <v>0</v>
      </c>
      <c r="H900" s="404">
        <v>0</v>
      </c>
      <c r="I900" s="404">
        <v>0</v>
      </c>
      <c r="J900" s="404">
        <v>0</v>
      </c>
      <c r="K900" s="404">
        <v>0</v>
      </c>
      <c r="L900" s="404">
        <v>0</v>
      </c>
      <c r="M900" s="404">
        <v>0</v>
      </c>
      <c r="N900" s="404">
        <v>0</v>
      </c>
      <c r="O900" s="404">
        <v>0</v>
      </c>
      <c r="P900" s="401"/>
      <c r="Q900" s="401">
        <f t="shared" si="38"/>
        <v>1</v>
      </c>
      <c r="R900" s="3" t="str">
        <f>_xlfn.IFNA(VLOOKUP(Tabella1[[#This Row],[Nome]],'ROSE SQUADRE'!$N$3:$O$260,2,0),"")</f>
        <v>PESCICULINI</v>
      </c>
      <c r="S900" s="193">
        <f>SUM(Tabella1[[#This Row],[Gf]],Tabella1[[#This Row],[Rf]])</f>
        <v>0</v>
      </c>
      <c r="T900" s="193"/>
      <c r="U900" s="285" t="str">
        <f>IF(Tabella1[[#This Row],[N° FantaTit]]="","",Tabella1[[#This Row],[fanta voto]])</f>
        <v/>
      </c>
      <c r="V900" s="193">
        <f>SUM(Tabella1[[#This Row],[Voto]],(G900*3),Q900,P900,O900,-(N900),(-M900/2),(-L900*2),(-H900),(I900*3),(-J900*3),(K900*3))</f>
        <v>7</v>
      </c>
      <c r="W900" s="193">
        <v>1</v>
      </c>
      <c r="X900" s="193">
        <f>IF(Tabella1[[#This Row],[Best 11]]=1,Tabella1[[#This Row],[fanta voto]],"")</f>
        <v>7</v>
      </c>
      <c r="Y900">
        <v>1</v>
      </c>
      <c r="Z900" s="193">
        <f>IF(Tabella1[[#This Row],[Best 11 MOD]]=1,Tabella1[[#This Row],[fanta voto]],"")</f>
        <v>7</v>
      </c>
      <c r="AA900" t="str">
        <f>CONCATENATE(Tabella1[[#This Row],[GG]],Tabella1[[#This Row],[Nome]])</f>
        <v>4Milinkovic-Savic V.</v>
      </c>
      <c r="AB900" t="str">
        <f t="shared" si="39"/>
        <v>4PESCICULINI</v>
      </c>
      <c r="AC900" t="str">
        <f>_xlfn.CONCAT(Tabella1[[#This Row],[Ruolo]],Tabella1[[#This Row],[Gs]])</f>
        <v>P0</v>
      </c>
    </row>
    <row r="901" spans="1:29" hidden="1" x14ac:dyDescent="0.3">
      <c r="A901" s="14">
        <v>46277</v>
      </c>
      <c r="B901" s="15">
        <v>4</v>
      </c>
      <c r="C901" s="321" t="str">
        <f>_xlfn.XLOOKUP(Tabella1[[#This Row],[Nome]],Tabella4[NOME],Tabella4[SQUADRA],"")</f>
        <v>Atalanta</v>
      </c>
      <c r="D901" t="s">
        <v>161</v>
      </c>
      <c r="E901" t="s">
        <v>347</v>
      </c>
      <c r="F901" s="194">
        <v>5.5</v>
      </c>
      <c r="G901" s="402">
        <v>0</v>
      </c>
      <c r="H901" s="402">
        <v>0</v>
      </c>
      <c r="I901" s="402">
        <v>0</v>
      </c>
      <c r="J901" s="402">
        <v>0</v>
      </c>
      <c r="K901" s="402">
        <v>0</v>
      </c>
      <c r="L901" s="402">
        <v>0</v>
      </c>
      <c r="M901" s="402">
        <v>0</v>
      </c>
      <c r="N901" s="402">
        <v>0</v>
      </c>
      <c r="O901" s="402">
        <v>0</v>
      </c>
      <c r="P901" s="284"/>
      <c r="Q901" s="284">
        <f t="shared" si="38"/>
        <v>0</v>
      </c>
      <c r="R901" s="3" t="str">
        <f>_xlfn.IFNA(VLOOKUP(Tabella1[[#This Row],[Nome]],'ROSE SQUADRE'!$N$3:$O$260,2,0),"")</f>
        <v>PESCICULINI</v>
      </c>
      <c r="S901" s="193">
        <f>SUM(Tabella1[[#This Row],[Gf]],Tabella1[[#This Row],[Rf]])</f>
        <v>0</v>
      </c>
      <c r="T901" s="193">
        <v>1</v>
      </c>
      <c r="U901" s="285">
        <f>IF(Tabella1[[#This Row],[N° FantaTit]]="","",Tabella1[[#This Row],[fanta voto]])</f>
        <v>5.5</v>
      </c>
      <c r="V901" s="193">
        <f>SUM(Tabella1[[#This Row],[Voto]],(G901*3),Q901,P901,O901,-(N901),(-M901/2),(-L901*2),(-H901),(I901*3),(-J901*3),(K901*3))</f>
        <v>5.5</v>
      </c>
      <c r="W901" s="193">
        <v>1</v>
      </c>
      <c r="X901" s="193">
        <f>IF(Tabella1[[#This Row],[Best 11]]=1,Tabella1[[#This Row],[fanta voto]],"")</f>
        <v>5.5</v>
      </c>
      <c r="Y901">
        <v>1</v>
      </c>
      <c r="Z901" s="193">
        <f>IF(Tabella1[[#This Row],[Best 11 MOD]]=1,Tabella1[[#This Row],[fanta voto]],"")</f>
        <v>5.5</v>
      </c>
      <c r="AA901" t="str">
        <f>CONCATENATE(Tabella1[[#This Row],[GG]],Tabella1[[#This Row],[Nome]])</f>
        <v>4Bellanova</v>
      </c>
      <c r="AB901" t="str">
        <f t="shared" si="39"/>
        <v>4PESCICULINI1</v>
      </c>
      <c r="AC901" t="str">
        <f>_xlfn.CONCAT(Tabella1[[#This Row],[Ruolo]],Tabella1[[#This Row],[Gs]])</f>
        <v>D0</v>
      </c>
    </row>
    <row r="902" spans="1:29" hidden="1" x14ac:dyDescent="0.3">
      <c r="A902" s="14">
        <v>46277</v>
      </c>
      <c r="B902" s="15">
        <v>4</v>
      </c>
      <c r="C902" s="321" t="str">
        <f>_xlfn.XLOOKUP(Tabella1[[#This Row],[Nome]],Tabella4[NOME],Tabella4[SQUADRA],"")</f>
        <v>Monza</v>
      </c>
      <c r="D902" t="s">
        <v>5</v>
      </c>
      <c r="E902" t="s">
        <v>844</v>
      </c>
      <c r="F902" s="194">
        <v>5</v>
      </c>
      <c r="G902" s="402">
        <v>0</v>
      </c>
      <c r="H902" s="403">
        <v>3</v>
      </c>
      <c r="I902" s="402">
        <v>0</v>
      </c>
      <c r="J902" s="402">
        <v>0</v>
      </c>
      <c r="K902" s="402">
        <v>0</v>
      </c>
      <c r="L902" s="402">
        <v>0</v>
      </c>
      <c r="M902" s="402">
        <v>0</v>
      </c>
      <c r="N902" s="402">
        <v>0</v>
      </c>
      <c r="O902" s="402">
        <v>0</v>
      </c>
      <c r="P902" s="401"/>
      <c r="Q902" s="401">
        <f t="shared" si="38"/>
        <v>0</v>
      </c>
      <c r="R902" s="3" t="str">
        <f>_xlfn.IFNA(VLOOKUP(Tabella1[[#This Row],[Nome]],'ROSE SQUADRE'!$N$3:$O$260,2,0),"")</f>
        <v>AC ASPARAGHESE</v>
      </c>
      <c r="S902" s="193">
        <f>SUM(Tabella1[[#This Row],[Gf]],Tabella1[[#This Row],[Rf]])</f>
        <v>0</v>
      </c>
      <c r="T902" s="193">
        <v>1</v>
      </c>
      <c r="U902" s="285">
        <f>IF(Tabella1[[#This Row],[N° FantaTit]]="","",Tabella1[[#This Row],[fanta voto]])</f>
        <v>2</v>
      </c>
      <c r="V902" s="193">
        <f>SUM(Tabella1[[#This Row],[Voto]],(G902*3),Q902,P902,O902,-(N902),(-M902/2),(-L902*2),(-H902),(I902*3),(-J902*3),(K902*3))</f>
        <v>2</v>
      </c>
      <c r="W902" s="193"/>
      <c r="X902" s="193" t="str">
        <f>IF(Tabella1[[#This Row],[Best 11]]=1,Tabella1[[#This Row],[fanta voto]],"")</f>
        <v/>
      </c>
      <c r="Z902" s="193" t="str">
        <f>IF(Tabella1[[#This Row],[Best 11 MOD]]=1,Tabella1[[#This Row],[fanta voto]],"")</f>
        <v/>
      </c>
      <c r="AA902" t="str">
        <f>CONCATENATE(Tabella1[[#This Row],[GG]],Tabella1[[#This Row],[Nome]])</f>
        <v>4Thiam</v>
      </c>
      <c r="AB902" t="str">
        <f t="shared" si="39"/>
        <v>4AC ASPARAGHESE1</v>
      </c>
      <c r="AC902" t="str">
        <f>_xlfn.CONCAT(Tabella1[[#This Row],[Ruolo]],Tabella1[[#This Row],[Gs]])</f>
        <v>P3</v>
      </c>
    </row>
    <row r="903" spans="1:29" hidden="1" x14ac:dyDescent="0.3">
      <c r="A903" s="14">
        <v>46277</v>
      </c>
      <c r="B903" s="15">
        <v>4</v>
      </c>
      <c r="C903" s="321" t="str">
        <f>_xlfn.XLOOKUP(Tabella1[[#This Row],[Nome]],Tabella4[NOME],Tabella4[SQUADRA],"")</f>
        <v>Cagliari</v>
      </c>
      <c r="D903" s="330" t="s">
        <v>161</v>
      </c>
      <c r="E903" s="330" t="s">
        <v>668</v>
      </c>
      <c r="F903" s="331">
        <v>6</v>
      </c>
      <c r="G903" s="404">
        <v>0</v>
      </c>
      <c r="H903" s="404">
        <v>0</v>
      </c>
      <c r="I903" s="404">
        <v>0</v>
      </c>
      <c r="J903" s="404">
        <v>0</v>
      </c>
      <c r="K903" s="404">
        <v>0</v>
      </c>
      <c r="L903" s="404">
        <v>0</v>
      </c>
      <c r="M903" s="404">
        <v>0</v>
      </c>
      <c r="N903" s="404">
        <v>0</v>
      </c>
      <c r="O903" s="404">
        <v>0</v>
      </c>
      <c r="P903" s="401"/>
      <c r="Q903" s="401">
        <f t="shared" si="38"/>
        <v>0</v>
      </c>
      <c r="R903" s="3" t="str">
        <f>_xlfn.IFNA(VLOOKUP(Tabella1[[#This Row],[Nome]],'ROSE SQUADRE'!$N$3:$O$260,2,0),"")</f>
        <v/>
      </c>
      <c r="S903" s="193">
        <f>SUM(Tabella1[[#This Row],[Gf]],Tabella1[[#This Row],[Rf]])</f>
        <v>0</v>
      </c>
      <c r="T903" s="193"/>
      <c r="U903" s="285" t="str">
        <f>IF(Tabella1[[#This Row],[N° FantaTit]]="","",Tabella1[[#This Row],[fanta voto]])</f>
        <v/>
      </c>
      <c r="V903" s="193">
        <f>SUM(Tabella1[[#This Row],[Voto]],(G903*3),Q903,P903,O903,-(N903),(-M903/2),(-L903*2),(-H903),(I903*3),(-J903*3),(K903*3))</f>
        <v>6</v>
      </c>
      <c r="W903" s="193"/>
      <c r="X903" s="193" t="str">
        <f>IF(Tabella1[[#This Row],[Best 11]]=1,Tabella1[[#This Row],[fanta voto]],"")</f>
        <v/>
      </c>
      <c r="Z903" s="193" t="str">
        <f>IF(Tabella1[[#This Row],[Best 11 MOD]]=1,Tabella1[[#This Row],[fanta voto]],"")</f>
        <v/>
      </c>
      <c r="AA903" t="str">
        <f>CONCATENATE(Tabella1[[#This Row],[GG]],Tabella1[[#This Row],[Nome]])</f>
        <v>4Obert</v>
      </c>
      <c r="AB903" t="str">
        <f t="shared" si="39"/>
        <v>4</v>
      </c>
      <c r="AC903" t="str">
        <f>_xlfn.CONCAT(Tabella1[[#This Row],[Ruolo]],Tabella1[[#This Row],[Gs]])</f>
        <v>D0</v>
      </c>
    </row>
    <row r="904" spans="1:29" hidden="1" x14ac:dyDescent="0.3">
      <c r="A904" s="14">
        <v>46277</v>
      </c>
      <c r="B904" s="15">
        <v>4</v>
      </c>
      <c r="C904" s="321" t="str">
        <f>_xlfn.XLOOKUP(Tabella1[[#This Row],[Nome]],Tabella4[NOME],Tabella4[SQUADRA],"")</f>
        <v>Cagliari</v>
      </c>
      <c r="D904" t="s">
        <v>161</v>
      </c>
      <c r="E904" t="s">
        <v>669</v>
      </c>
      <c r="F904" s="194">
        <v>6.5</v>
      </c>
      <c r="G904" s="402">
        <v>0</v>
      </c>
      <c r="H904" s="402">
        <v>0</v>
      </c>
      <c r="I904" s="402">
        <v>0</v>
      </c>
      <c r="J904" s="402">
        <v>0</v>
      </c>
      <c r="K904" s="402">
        <v>0</v>
      </c>
      <c r="L904" s="402">
        <v>0</v>
      </c>
      <c r="M904" s="402">
        <v>0</v>
      </c>
      <c r="N904" s="402">
        <v>0</v>
      </c>
      <c r="O904" s="402">
        <v>0</v>
      </c>
      <c r="P904" s="401"/>
      <c r="Q904" s="401">
        <f t="shared" si="38"/>
        <v>0</v>
      </c>
      <c r="R904" s="3" t="str">
        <f>_xlfn.IFNA(VLOOKUP(Tabella1[[#This Row],[Nome]],'ROSE SQUADRE'!$N$3:$O$260,2,0),"")</f>
        <v/>
      </c>
      <c r="S904" s="193">
        <f>SUM(Tabella1[[#This Row],[Gf]],Tabella1[[#This Row],[Rf]])</f>
        <v>0</v>
      </c>
      <c r="T904" s="193"/>
      <c r="U904" s="285" t="str">
        <f>IF(Tabella1[[#This Row],[N° FantaTit]]="","",Tabella1[[#This Row],[fanta voto]])</f>
        <v/>
      </c>
      <c r="V904" s="193">
        <f>SUM(Tabella1[[#This Row],[Voto]],(G904*3),Q904,P904,O904,-(N904),(-M904/2),(-L904*2),(-H904),(I904*3),(-J904*3),(K904*3))</f>
        <v>6.5</v>
      </c>
      <c r="W904" s="193"/>
      <c r="X904" s="193" t="str">
        <f>IF(Tabella1[[#This Row],[Best 11]]=1,Tabella1[[#This Row],[fanta voto]],"")</f>
        <v/>
      </c>
      <c r="Z904" s="193" t="str">
        <f>IF(Tabella1[[#This Row],[Best 11 MOD]]=1,Tabella1[[#This Row],[fanta voto]],"")</f>
        <v/>
      </c>
      <c r="AA904" t="str">
        <f>CONCATENATE(Tabella1[[#This Row],[GG]],Tabella1[[#This Row],[Nome]])</f>
        <v>4Rodriguez Ju.</v>
      </c>
      <c r="AB904" t="str">
        <f t="shared" si="39"/>
        <v>4</v>
      </c>
      <c r="AC904" t="str">
        <f>_xlfn.CONCAT(Tabella1[[#This Row],[Ruolo]],Tabella1[[#This Row],[Gs]])</f>
        <v>D0</v>
      </c>
    </row>
    <row r="905" spans="1:29" hidden="1" x14ac:dyDescent="0.3">
      <c r="A905" s="14">
        <v>46277</v>
      </c>
      <c r="B905" s="15">
        <v>4</v>
      </c>
      <c r="C905" s="321" t="str">
        <f>_xlfn.XLOOKUP(Tabella1[[#This Row],[Nome]],Tabella4[NOME],Tabella4[SQUADRA],"")</f>
        <v>Udinese</v>
      </c>
      <c r="D905" s="330" t="s">
        <v>5</v>
      </c>
      <c r="E905" s="330" t="s">
        <v>575</v>
      </c>
      <c r="F905" s="331">
        <v>7</v>
      </c>
      <c r="G905" s="404">
        <v>0</v>
      </c>
      <c r="H905" s="405">
        <v>5</v>
      </c>
      <c r="I905" s="404">
        <v>0</v>
      </c>
      <c r="J905" s="404">
        <v>0</v>
      </c>
      <c r="K905" s="404">
        <v>0</v>
      </c>
      <c r="L905" s="404">
        <v>0</v>
      </c>
      <c r="M905" s="404">
        <v>0</v>
      </c>
      <c r="N905" s="404">
        <v>0</v>
      </c>
      <c r="O905" s="404">
        <v>0</v>
      </c>
      <c r="P905" s="401"/>
      <c r="Q905" s="401">
        <f t="shared" si="38"/>
        <v>0</v>
      </c>
      <c r="R905" s="3" t="str">
        <f>_xlfn.IFNA(VLOOKUP(Tabella1[[#This Row],[Nome]],'ROSE SQUADRE'!$N$3:$O$260,2,0),"")</f>
        <v>ATL. IMPROVVISATO</v>
      </c>
      <c r="S905" s="193">
        <f>SUM(Tabella1[[#This Row],[Gf]],Tabella1[[#This Row],[Rf]])</f>
        <v>0</v>
      </c>
      <c r="T905" s="193">
        <v>1</v>
      </c>
      <c r="U905" s="285">
        <f>IF(Tabella1[[#This Row],[N° FantaTit]]="","",Tabella1[[#This Row],[fanta voto]])</f>
        <v>2</v>
      </c>
      <c r="V905" s="193">
        <f>SUM(Tabella1[[#This Row],[Voto]],(G905*3),Q905,P905,O905,-(N905),(-M905/2),(-L905*2),(-H905),(I905*3),(-J905*3),(K905*3))</f>
        <v>2</v>
      </c>
      <c r="W905" s="193">
        <v>1</v>
      </c>
      <c r="X905" s="193">
        <f>IF(Tabella1[[#This Row],[Best 11]]=1,Tabella1[[#This Row],[fanta voto]],"")</f>
        <v>2</v>
      </c>
      <c r="Y905">
        <v>1</v>
      </c>
      <c r="Z905" s="193">
        <f>IF(Tabella1[[#This Row],[Best 11 MOD]]=1,Tabella1[[#This Row],[fanta voto]],"")</f>
        <v>2</v>
      </c>
      <c r="AA905" t="str">
        <f>CONCATENATE(Tabella1[[#This Row],[GG]],Tabella1[[#This Row],[Nome]])</f>
        <v>4Okoye</v>
      </c>
      <c r="AB905" t="str">
        <f t="shared" si="39"/>
        <v>4ATL. IMPROVVISATO1</v>
      </c>
      <c r="AC905" t="str">
        <f>_xlfn.CONCAT(Tabella1[[#This Row],[Ruolo]],Tabella1[[#This Row],[Gs]])</f>
        <v>P5</v>
      </c>
    </row>
    <row r="906" spans="1:29" hidden="1" x14ac:dyDescent="0.3">
      <c r="A906" s="14">
        <v>46277</v>
      </c>
      <c r="B906" s="15">
        <v>4</v>
      </c>
      <c r="C906" s="321" t="str">
        <f>_xlfn.XLOOKUP(Tabella1[[#This Row],[Nome]],Tabella4[NOME],Tabella4[SQUADRA],"")</f>
        <v>Cagliari</v>
      </c>
      <c r="D906" s="330" t="s">
        <v>161</v>
      </c>
      <c r="E906" s="330" t="s">
        <v>1086</v>
      </c>
      <c r="F906" s="331">
        <v>6</v>
      </c>
      <c r="G906" s="404">
        <v>0</v>
      </c>
      <c r="H906" s="404">
        <v>0</v>
      </c>
      <c r="I906" s="404">
        <v>0</v>
      </c>
      <c r="J906" s="404">
        <v>0</v>
      </c>
      <c r="K906" s="404">
        <v>0</v>
      </c>
      <c r="L906" s="404">
        <v>0</v>
      </c>
      <c r="M906" s="404">
        <v>0</v>
      </c>
      <c r="N906" s="404">
        <v>0</v>
      </c>
      <c r="O906" s="404">
        <v>0</v>
      </c>
      <c r="P906" s="401"/>
      <c r="Q906" s="401">
        <f t="shared" si="38"/>
        <v>0</v>
      </c>
      <c r="R906" s="3" t="str">
        <f>_xlfn.IFNA(VLOOKUP(Tabella1[[#This Row],[Nome]],'ROSE SQUADRE'!$N$3:$O$260,2,0),"")</f>
        <v/>
      </c>
      <c r="S906" s="193">
        <f>SUM(Tabella1[[#This Row],[Gf]],Tabella1[[#This Row],[Rf]])</f>
        <v>0</v>
      </c>
      <c r="T906" s="193"/>
      <c r="U906" s="285" t="str">
        <f>IF(Tabella1[[#This Row],[N° FantaTit]]="","",Tabella1[[#This Row],[fanta voto]])</f>
        <v/>
      </c>
      <c r="V906" s="193">
        <f>SUM(Tabella1[[#This Row],[Voto]],(G906*3),Q906,P906,O906,-(N906),(-M906/2),(-L906*2),(-H906),(I906*3),(-J906*3),(K906*3))</f>
        <v>6</v>
      </c>
      <c r="W906" s="193"/>
      <c r="X906" s="193" t="str">
        <f>IF(Tabella1[[#This Row],[Best 11]]=1,Tabella1[[#This Row],[fanta voto]],"")</f>
        <v/>
      </c>
      <c r="Z906" s="193" t="str">
        <f>IF(Tabella1[[#This Row],[Best 11 MOD]]=1,Tabella1[[#This Row],[fanta voto]],"")</f>
        <v/>
      </c>
      <c r="AA906" t="str">
        <f>CONCATENATE(Tabella1[[#This Row],[GG]],Tabella1[[#This Row],[Nome]])</f>
        <v>4Sugawara</v>
      </c>
      <c r="AB906" t="str">
        <f t="shared" si="39"/>
        <v>4</v>
      </c>
      <c r="AC906" t="str">
        <f>_xlfn.CONCAT(Tabella1[[#This Row],[Ruolo]],Tabella1[[#This Row],[Gs]])</f>
        <v>D0</v>
      </c>
    </row>
    <row r="907" spans="1:29" hidden="1" x14ac:dyDescent="0.3">
      <c r="A907" s="14">
        <v>46277</v>
      </c>
      <c r="B907" s="15">
        <v>4</v>
      </c>
      <c r="C907" s="321" t="str">
        <f>_xlfn.XLOOKUP(Tabella1[[#This Row],[Nome]],Tabella4[NOME],Tabella4[SQUADRA],"")</f>
        <v>Cagliari</v>
      </c>
      <c r="D907" t="s">
        <v>162</v>
      </c>
      <c r="E907" t="s">
        <v>433</v>
      </c>
      <c r="F907" s="194">
        <v>7</v>
      </c>
      <c r="G907" s="402">
        <v>0</v>
      </c>
      <c r="H907" s="402">
        <v>0</v>
      </c>
      <c r="I907" s="402">
        <v>0</v>
      </c>
      <c r="J907" s="402">
        <v>0</v>
      </c>
      <c r="K907" s="402">
        <v>0</v>
      </c>
      <c r="L907" s="402">
        <v>0</v>
      </c>
      <c r="M907" s="402">
        <v>0</v>
      </c>
      <c r="N907" s="402">
        <v>0</v>
      </c>
      <c r="O907" s="402">
        <v>0</v>
      </c>
      <c r="P907" s="401"/>
      <c r="Q907" s="401">
        <f t="shared" si="38"/>
        <v>0</v>
      </c>
      <c r="R907" s="3" t="str">
        <f>_xlfn.IFNA(VLOOKUP(Tabella1[[#This Row],[Nome]],'ROSE SQUADRE'!$N$3:$O$260,2,0),"")</f>
        <v/>
      </c>
      <c r="S907" s="193">
        <f>SUM(Tabella1[[#This Row],[Gf]],Tabella1[[#This Row],[Rf]])</f>
        <v>0</v>
      </c>
      <c r="T907" s="193"/>
      <c r="U907" s="285" t="str">
        <f>IF(Tabella1[[#This Row],[N° FantaTit]]="","",Tabella1[[#This Row],[fanta voto]])</f>
        <v/>
      </c>
      <c r="V907" s="193">
        <f>SUM(Tabella1[[#This Row],[Voto]],(G907*3),Q907,P907,O907,-(N907),(-M907/2),(-L907*2),(-H907),(I907*3),(-J907*3),(K907*3))</f>
        <v>7</v>
      </c>
      <c r="W907" s="193"/>
      <c r="X907" s="193" t="str">
        <f>IF(Tabella1[[#This Row],[Best 11]]=1,Tabella1[[#This Row],[fanta voto]],"")</f>
        <v/>
      </c>
      <c r="Z907" s="193" t="str">
        <f>IF(Tabella1[[#This Row],[Best 11 MOD]]=1,Tabella1[[#This Row],[fanta voto]],"")</f>
        <v/>
      </c>
      <c r="AA907" t="str">
        <f>CONCATENATE(Tabella1[[#This Row],[GG]],Tabella1[[#This Row],[Nome]])</f>
        <v>4Deiola</v>
      </c>
      <c r="AB907" t="str">
        <f t="shared" si="39"/>
        <v>4</v>
      </c>
      <c r="AC907" t="str">
        <f>_xlfn.CONCAT(Tabella1[[#This Row],[Ruolo]],Tabella1[[#This Row],[Gs]])</f>
        <v>C0</v>
      </c>
    </row>
    <row r="908" spans="1:29" hidden="1" x14ac:dyDescent="0.3">
      <c r="A908" s="14">
        <v>46277</v>
      </c>
      <c r="B908" s="15">
        <v>4</v>
      </c>
      <c r="C908" s="321" t="str">
        <f>_xlfn.XLOOKUP(Tabella1[[#This Row],[Nome]],Tabella4[NOME],Tabella4[SQUADRA],"")</f>
        <v>Cagliari</v>
      </c>
      <c r="D908" s="330" t="s">
        <v>162</v>
      </c>
      <c r="E908" s="330" t="s">
        <v>674</v>
      </c>
      <c r="F908" s="331">
        <v>7</v>
      </c>
      <c r="G908" s="404">
        <v>0</v>
      </c>
      <c r="H908" s="404">
        <v>0</v>
      </c>
      <c r="I908" s="404">
        <v>0</v>
      </c>
      <c r="J908" s="404">
        <v>0</v>
      </c>
      <c r="K908" s="404">
        <v>0</v>
      </c>
      <c r="L908" s="404">
        <v>0</v>
      </c>
      <c r="M908" s="404">
        <v>0</v>
      </c>
      <c r="N908" s="404">
        <v>0</v>
      </c>
      <c r="O908" s="404">
        <v>0</v>
      </c>
      <c r="P908" s="401"/>
      <c r="Q908" s="401">
        <f t="shared" si="38"/>
        <v>0</v>
      </c>
      <c r="R908" s="3" t="str">
        <f>_xlfn.IFNA(VLOOKUP(Tabella1[[#This Row],[Nome]],'ROSE SQUADRE'!$N$3:$O$260,2,0),"")</f>
        <v/>
      </c>
      <c r="S908" s="193">
        <f>SUM(Tabella1[[#This Row],[Gf]],Tabella1[[#This Row],[Rf]])</f>
        <v>0</v>
      </c>
      <c r="T908" s="193"/>
      <c r="U908" s="285" t="str">
        <f>IF(Tabella1[[#This Row],[N° FantaTit]]="","",Tabella1[[#This Row],[fanta voto]])</f>
        <v/>
      </c>
      <c r="V908" s="193">
        <f>SUM(Tabella1[[#This Row],[Voto]],(G908*3),Q908,P908,O908,-(N908),(-M908/2),(-L908*2),(-H908),(I908*3),(-J908*3),(K908*3))</f>
        <v>7</v>
      </c>
      <c r="W908" s="193"/>
      <c r="X908" s="193" t="str">
        <f>IF(Tabella1[[#This Row],[Best 11]]=1,Tabella1[[#This Row],[fanta voto]],"")</f>
        <v/>
      </c>
      <c r="Z908" s="193" t="str">
        <f>IF(Tabella1[[#This Row],[Best 11 MOD]]=1,Tabella1[[#This Row],[fanta voto]],"")</f>
        <v/>
      </c>
      <c r="AA908" t="str">
        <f>CONCATENATE(Tabella1[[#This Row],[GG]],Tabella1[[#This Row],[Nome]])</f>
        <v>4Winks</v>
      </c>
      <c r="AB908" t="str">
        <f t="shared" si="39"/>
        <v>4</v>
      </c>
      <c r="AC908" t="str">
        <f>_xlfn.CONCAT(Tabella1[[#This Row],[Ruolo]],Tabella1[[#This Row],[Gs]])</f>
        <v>C0</v>
      </c>
    </row>
    <row r="909" spans="1:29" hidden="1" x14ac:dyDescent="0.3">
      <c r="A909" s="14">
        <v>46277</v>
      </c>
      <c r="B909" s="15">
        <v>4</v>
      </c>
      <c r="C909" s="321" t="str">
        <f>_xlfn.XLOOKUP(Tabella1[[#This Row],[Nome]],Tabella4[NOME],Tabella4[SQUADRA],"")</f>
        <v>Cagliari</v>
      </c>
      <c r="D909" t="s">
        <v>162</v>
      </c>
      <c r="E909" t="s">
        <v>231</v>
      </c>
      <c r="F909" s="194">
        <v>6.5</v>
      </c>
      <c r="G909" s="402">
        <v>0</v>
      </c>
      <c r="H909" s="402">
        <v>0</v>
      </c>
      <c r="I909" s="402">
        <v>0</v>
      </c>
      <c r="J909" s="402">
        <v>0</v>
      </c>
      <c r="K909" s="402">
        <v>0</v>
      </c>
      <c r="L909" s="402">
        <v>0</v>
      </c>
      <c r="M909" s="402">
        <v>0</v>
      </c>
      <c r="N909" s="402">
        <v>0</v>
      </c>
      <c r="O909" s="403">
        <v>1</v>
      </c>
      <c r="P909" s="401"/>
      <c r="Q909" s="401">
        <f t="shared" si="38"/>
        <v>0</v>
      </c>
      <c r="R909" s="3" t="str">
        <f>_xlfn.IFNA(VLOOKUP(Tabella1[[#This Row],[Nome]],'ROSE SQUADRE'!$N$3:$O$260,2,0),"")</f>
        <v/>
      </c>
      <c r="S909" s="193">
        <f>SUM(Tabella1[[#This Row],[Gf]],Tabella1[[#This Row],[Rf]])</f>
        <v>0</v>
      </c>
      <c r="T909" s="193"/>
      <c r="U909" s="285" t="str">
        <f>IF(Tabella1[[#This Row],[N° FantaTit]]="","",Tabella1[[#This Row],[fanta voto]])</f>
        <v/>
      </c>
      <c r="V909" s="193">
        <f>SUM(Tabella1[[#This Row],[Voto]],(G909*3),Q909,P909,O909,-(N909),(-M909/2),(-L909*2),(-H909),(I909*3),(-J909*3),(K909*3))</f>
        <v>7.5</v>
      </c>
      <c r="W909" s="193"/>
      <c r="X909" s="193" t="str">
        <f>IF(Tabella1[[#This Row],[Best 11]]=1,Tabella1[[#This Row],[fanta voto]],"")</f>
        <v/>
      </c>
      <c r="Z909" s="193" t="str">
        <f>IF(Tabella1[[#This Row],[Best 11 MOD]]=1,Tabella1[[#This Row],[fanta voto]],"")</f>
        <v/>
      </c>
      <c r="AA909" t="str">
        <f>CONCATENATE(Tabella1[[#This Row],[GG]],Tabella1[[#This Row],[Nome]])</f>
        <v>4Adopo</v>
      </c>
      <c r="AB909" t="str">
        <f t="shared" si="39"/>
        <v>4</v>
      </c>
      <c r="AC909" t="str">
        <f>_xlfn.CONCAT(Tabella1[[#This Row],[Ruolo]],Tabella1[[#This Row],[Gs]])</f>
        <v>C0</v>
      </c>
    </row>
    <row r="910" spans="1:29" hidden="1" x14ac:dyDescent="0.3">
      <c r="A910" s="14">
        <v>46277</v>
      </c>
      <c r="B910" s="15">
        <v>4</v>
      </c>
      <c r="C910" s="321" t="str">
        <f>_xlfn.XLOOKUP(Tabella1[[#This Row],[Nome]],Tabella4[NOME],Tabella4[SQUADRA],"")</f>
        <v>Bologna</v>
      </c>
      <c r="D910" s="330" t="s">
        <v>161</v>
      </c>
      <c r="E910" s="330" t="s">
        <v>506</v>
      </c>
      <c r="F910" s="331">
        <v>5.5</v>
      </c>
      <c r="G910" s="404">
        <v>0</v>
      </c>
      <c r="H910" s="404">
        <v>0</v>
      </c>
      <c r="I910" s="404">
        <v>0</v>
      </c>
      <c r="J910" s="404">
        <v>0</v>
      </c>
      <c r="K910" s="404">
        <v>0</v>
      </c>
      <c r="L910" s="404">
        <v>0</v>
      </c>
      <c r="M910" s="404">
        <v>0</v>
      </c>
      <c r="N910" s="404">
        <v>0</v>
      </c>
      <c r="O910" s="404">
        <v>0</v>
      </c>
      <c r="P910" s="401"/>
      <c r="Q910" s="401">
        <f t="shared" si="38"/>
        <v>0</v>
      </c>
      <c r="R910" s="3" t="str">
        <f>_xlfn.IFNA(VLOOKUP(Tabella1[[#This Row],[Nome]],'ROSE SQUADRE'!$N$3:$O$260,2,0),"")</f>
        <v>FC INTERNAZIOANALE</v>
      </c>
      <c r="S910" s="193">
        <f>SUM(Tabella1[[#This Row],[Gf]],Tabella1[[#This Row],[Rf]])</f>
        <v>0</v>
      </c>
      <c r="T910" s="193">
        <v>1</v>
      </c>
      <c r="U910" s="285">
        <f>IF(Tabella1[[#This Row],[N° FantaTit]]="","",Tabella1[[#This Row],[fanta voto]])</f>
        <v>5.5</v>
      </c>
      <c r="V910" s="193">
        <f>SUM(Tabella1[[#This Row],[Voto]],(G910*3),Q910,P910,O910,-(N910),(-M910/2),(-L910*2),(-H910),(I910*3),(-J910*3),(K910*3))</f>
        <v>5.5</v>
      </c>
      <c r="W910" s="193">
        <v>1</v>
      </c>
      <c r="X910" s="193">
        <f>IF(Tabella1[[#This Row],[Best 11]]=1,Tabella1[[#This Row],[fanta voto]],"")</f>
        <v>5.5</v>
      </c>
      <c r="Y910">
        <v>1</v>
      </c>
      <c r="Z910" s="193">
        <f>IF(Tabella1[[#This Row],[Best 11 MOD]]=1,Tabella1[[#This Row],[fanta voto]],"")</f>
        <v>5.5</v>
      </c>
      <c r="AA910" t="str">
        <f>CONCATENATE(Tabella1[[#This Row],[GG]],Tabella1[[#This Row],[Nome]])</f>
        <v>4Miranda J.</v>
      </c>
      <c r="AB910" t="str">
        <f t="shared" si="39"/>
        <v>4FC INTERNAZIOANALE1</v>
      </c>
      <c r="AC910" t="str">
        <f>_xlfn.CONCAT(Tabella1[[#This Row],[Ruolo]],Tabella1[[#This Row],[Gs]])</f>
        <v>D0</v>
      </c>
    </row>
    <row r="911" spans="1:29" hidden="1" x14ac:dyDescent="0.3">
      <c r="A911" s="14">
        <v>46277</v>
      </c>
      <c r="B911" s="15">
        <v>4</v>
      </c>
      <c r="C911" s="321" t="str">
        <f>_xlfn.XLOOKUP(Tabella1[[#This Row],[Nome]],Tabella4[NOME],Tabella4[SQUADRA],"")</f>
        <v>Cagliari</v>
      </c>
      <c r="D911" t="s">
        <v>162</v>
      </c>
      <c r="E911" t="s">
        <v>695</v>
      </c>
      <c r="F911" s="194">
        <v>6</v>
      </c>
      <c r="G911" s="402">
        <v>0</v>
      </c>
      <c r="H911" s="402">
        <v>0</v>
      </c>
      <c r="I911" s="402">
        <v>0</v>
      </c>
      <c r="J911" s="402">
        <v>0</v>
      </c>
      <c r="K911" s="402">
        <v>0</v>
      </c>
      <c r="L911" s="402">
        <v>0</v>
      </c>
      <c r="M911" s="402">
        <v>0</v>
      </c>
      <c r="N911" s="402">
        <v>0</v>
      </c>
      <c r="O911" s="402">
        <v>0</v>
      </c>
      <c r="P911" s="401"/>
      <c r="Q911" s="401">
        <f t="shared" si="38"/>
        <v>0</v>
      </c>
      <c r="R911" s="3" t="str">
        <f>_xlfn.IFNA(VLOOKUP(Tabella1[[#This Row],[Nome]],'ROSE SQUADRE'!$N$3:$O$260,2,0),"")</f>
        <v/>
      </c>
      <c r="S911" s="193">
        <f>SUM(Tabella1[[#This Row],[Gf]],Tabella1[[#This Row],[Rf]])</f>
        <v>0</v>
      </c>
      <c r="T911" s="193"/>
      <c r="U911" s="285" t="str">
        <f>IF(Tabella1[[#This Row],[N° FantaTit]]="","",Tabella1[[#This Row],[fanta voto]])</f>
        <v/>
      </c>
      <c r="V911" s="193">
        <f>SUM(Tabella1[[#This Row],[Voto]],(G911*3),Q911,P911,O911,-(N911),(-M911/2),(-L911*2),(-H911),(I911*3),(-J911*3),(K911*3))</f>
        <v>6</v>
      </c>
      <c r="W911" s="193"/>
      <c r="X911" s="193" t="str">
        <f>IF(Tabella1[[#This Row],[Best 11]]=1,Tabella1[[#This Row],[fanta voto]],"")</f>
        <v/>
      </c>
      <c r="Z911" s="193" t="str">
        <f>IF(Tabella1[[#This Row],[Best 11 MOD]]=1,Tabella1[[#This Row],[fanta voto]],"")</f>
        <v/>
      </c>
      <c r="AA911" t="str">
        <f>CONCATENATE(Tabella1[[#This Row],[GG]],Tabella1[[#This Row],[Nome]])</f>
        <v>4Fadera</v>
      </c>
      <c r="AB911" t="str">
        <f t="shared" si="39"/>
        <v>4</v>
      </c>
      <c r="AC911" t="str">
        <f>_xlfn.CONCAT(Tabella1[[#This Row],[Ruolo]],Tabella1[[#This Row],[Gs]])</f>
        <v>C0</v>
      </c>
    </row>
    <row r="912" spans="1:29" hidden="1" x14ac:dyDescent="0.3">
      <c r="A912" s="14">
        <v>46277</v>
      </c>
      <c r="B912" s="15">
        <v>4</v>
      </c>
      <c r="C912" s="321" t="str">
        <f>_xlfn.XLOOKUP(Tabella1[[#This Row],[Nome]],Tabella4[NOME],Tabella4[SQUADRA],"")</f>
        <v>Parma</v>
      </c>
      <c r="D912" s="330" t="s">
        <v>5</v>
      </c>
      <c r="E912" s="330" t="s">
        <v>873</v>
      </c>
      <c r="F912" s="331">
        <v>6</v>
      </c>
      <c r="G912" s="404">
        <v>0</v>
      </c>
      <c r="H912" s="405">
        <v>2</v>
      </c>
      <c r="I912" s="404">
        <v>0</v>
      </c>
      <c r="J912" s="404">
        <v>0</v>
      </c>
      <c r="K912" s="404">
        <v>0</v>
      </c>
      <c r="L912" s="404">
        <v>0</v>
      </c>
      <c r="M912" s="404">
        <v>0</v>
      </c>
      <c r="N912" s="404">
        <v>0</v>
      </c>
      <c r="O912" s="404">
        <v>0</v>
      </c>
      <c r="P912" s="401"/>
      <c r="Q912" s="401">
        <f t="shared" si="38"/>
        <v>0</v>
      </c>
      <c r="R912" s="3" t="str">
        <f>_xlfn.IFNA(VLOOKUP(Tabella1[[#This Row],[Nome]],'ROSE SQUADRE'!$N$3:$O$260,2,0),"")</f>
        <v>PARTIZAN DEGRADO</v>
      </c>
      <c r="S912" s="193">
        <f>SUM(Tabella1[[#This Row],[Gf]],Tabella1[[#This Row],[Rf]])</f>
        <v>0</v>
      </c>
      <c r="T912" s="193"/>
      <c r="U912" s="285" t="str">
        <f>IF(Tabella1[[#This Row],[N° FantaTit]]="","",Tabella1[[#This Row],[fanta voto]])</f>
        <v/>
      </c>
      <c r="V912" s="193">
        <f>SUM(Tabella1[[#This Row],[Voto]],(G912*3),Q912,P912,O912,-(N912),(-M912/2),(-L912*2),(-H912),(I912*3),(-J912*3),(K912*3))</f>
        <v>4</v>
      </c>
      <c r="W912" s="193"/>
      <c r="X912" s="193" t="str">
        <f>IF(Tabella1[[#This Row],[Best 11]]=1,Tabella1[[#This Row],[fanta voto]],"")</f>
        <v/>
      </c>
      <c r="Z912" s="193" t="str">
        <f>IF(Tabella1[[#This Row],[Best 11 MOD]]=1,Tabella1[[#This Row],[fanta voto]],"")</f>
        <v/>
      </c>
      <c r="AA912" t="str">
        <f>CONCATENATE(Tabella1[[#This Row],[GG]],Tabella1[[#This Row],[Nome]])</f>
        <v>4Corvi</v>
      </c>
      <c r="AB912" t="str">
        <f t="shared" si="39"/>
        <v>4PARTIZAN DEGRADO</v>
      </c>
      <c r="AC912" t="str">
        <f>_xlfn.CONCAT(Tabella1[[#This Row],[Ruolo]],Tabella1[[#This Row],[Gs]])</f>
        <v>P2</v>
      </c>
    </row>
    <row r="913" spans="1:29" hidden="1" x14ac:dyDescent="0.3">
      <c r="A913" s="14">
        <v>46277</v>
      </c>
      <c r="B913" s="15">
        <v>4</v>
      </c>
      <c r="C913" s="321" t="str">
        <f>_xlfn.XLOOKUP(Tabella1[[#This Row],[Nome]],Tabella4[NOME],Tabella4[SQUADRA],"")</f>
        <v>Cagliari</v>
      </c>
      <c r="D913" s="330" t="s">
        <v>161</v>
      </c>
      <c r="E913" s="330" t="s">
        <v>670</v>
      </c>
      <c r="F913" s="331">
        <v>7</v>
      </c>
      <c r="G913" s="404">
        <v>0</v>
      </c>
      <c r="H913" s="404">
        <v>0</v>
      </c>
      <c r="I913" s="404">
        <v>0</v>
      </c>
      <c r="J913" s="404">
        <v>0</v>
      </c>
      <c r="K913" s="404">
        <v>0</v>
      </c>
      <c r="L913" s="404">
        <v>0</v>
      </c>
      <c r="M913" s="404">
        <v>0</v>
      </c>
      <c r="N913" s="404">
        <v>0</v>
      </c>
      <c r="O913" s="404">
        <v>0</v>
      </c>
      <c r="P913" s="401"/>
      <c r="Q913" s="401">
        <f t="shared" si="38"/>
        <v>0</v>
      </c>
      <c r="R913" s="3" t="str">
        <f>_xlfn.IFNA(VLOOKUP(Tabella1[[#This Row],[Nome]],'ROSE SQUADRE'!$N$3:$O$260,2,0),"")</f>
        <v>ATL. IMPROVVISATO</v>
      </c>
      <c r="S913" s="193">
        <f>SUM(Tabella1[[#This Row],[Gf]],Tabella1[[#This Row],[Rf]])</f>
        <v>0</v>
      </c>
      <c r="T913" s="193">
        <v>1</v>
      </c>
      <c r="U913" s="285">
        <f>IF(Tabella1[[#This Row],[N° FantaTit]]="","",Tabella1[[#This Row],[fanta voto]])</f>
        <v>7</v>
      </c>
      <c r="V913" s="193">
        <f>SUM(Tabella1[[#This Row],[Voto]],(G913*3),Q913,P913,O913,-(N913),(-M913/2),(-L913*2),(-H913),(I913*3),(-J913*3),(K913*3))</f>
        <v>7</v>
      </c>
      <c r="W913" s="193">
        <v>1</v>
      </c>
      <c r="X913" s="193">
        <f>IF(Tabella1[[#This Row],[Best 11]]=1,Tabella1[[#This Row],[fanta voto]],"")</f>
        <v>7</v>
      </c>
      <c r="Y913">
        <v>1</v>
      </c>
      <c r="Z913" s="193">
        <f>IF(Tabella1[[#This Row],[Best 11 MOD]]=1,Tabella1[[#This Row],[fanta voto]],"")</f>
        <v>7</v>
      </c>
      <c r="AA913" t="str">
        <f>CONCATENATE(Tabella1[[#This Row],[GG]],Tabella1[[#This Row],[Nome]])</f>
        <v>4Zè Pedro</v>
      </c>
      <c r="AB913" t="str">
        <f t="shared" si="39"/>
        <v>4ATL. IMPROVVISATO1</v>
      </c>
      <c r="AC913" t="str">
        <f>_xlfn.CONCAT(Tabella1[[#This Row],[Ruolo]],Tabella1[[#This Row],[Gs]])</f>
        <v>D0</v>
      </c>
    </row>
    <row r="914" spans="1:29" hidden="1" x14ac:dyDescent="0.3">
      <c r="A914" s="14">
        <v>46277</v>
      </c>
      <c r="B914" s="15">
        <v>4</v>
      </c>
      <c r="C914" s="321" t="str">
        <f>_xlfn.XLOOKUP(Tabella1[[#This Row],[Nome]],Tabella4[NOME],Tabella4[SQUADRA],"")</f>
        <v>Cagliari</v>
      </c>
      <c r="D914" s="330" t="s">
        <v>163</v>
      </c>
      <c r="E914" s="330" t="s">
        <v>677</v>
      </c>
      <c r="F914" s="331">
        <v>7</v>
      </c>
      <c r="G914" s="405">
        <v>1</v>
      </c>
      <c r="H914" s="404">
        <v>0</v>
      </c>
      <c r="I914" s="404">
        <v>0</v>
      </c>
      <c r="J914" s="404">
        <v>0</v>
      </c>
      <c r="K914" s="404">
        <v>0</v>
      </c>
      <c r="L914" s="404">
        <v>0</v>
      </c>
      <c r="M914" s="404">
        <v>0</v>
      </c>
      <c r="N914" s="404">
        <v>0</v>
      </c>
      <c r="O914" s="404">
        <v>0</v>
      </c>
      <c r="P914" s="401"/>
      <c r="Q914" s="401">
        <f t="shared" si="38"/>
        <v>0</v>
      </c>
      <c r="R914" s="3" t="str">
        <f>_xlfn.IFNA(VLOOKUP(Tabella1[[#This Row],[Nome]],'ROSE SQUADRE'!$N$3:$O$260,2,0),"")</f>
        <v/>
      </c>
      <c r="S914" s="193">
        <f>SUM(Tabella1[[#This Row],[Gf]],Tabella1[[#This Row],[Rf]])</f>
        <v>1</v>
      </c>
      <c r="T914" s="193"/>
      <c r="U914" s="285" t="str">
        <f>IF(Tabella1[[#This Row],[N° FantaTit]]="","",Tabella1[[#This Row],[fanta voto]])</f>
        <v/>
      </c>
      <c r="V914" s="193">
        <f>SUM(Tabella1[[#This Row],[Voto]],(G914*3),Q914,P914,O914,-(N914),(-M914/2),(-L914*2),(-H914),(I914*3),(-J914*3),(K914*3))</f>
        <v>10</v>
      </c>
      <c r="W914" s="193"/>
      <c r="X914" s="193" t="str">
        <f>IF(Tabella1[[#This Row],[Best 11]]=1,Tabella1[[#This Row],[fanta voto]],"")</f>
        <v/>
      </c>
      <c r="Z914" s="193" t="str">
        <f>IF(Tabella1[[#This Row],[Best 11 MOD]]=1,Tabella1[[#This Row],[fanta voto]],"")</f>
        <v/>
      </c>
      <c r="AA914" t="str">
        <f>CONCATENATE(Tabella1[[#This Row],[GG]],Tabella1[[#This Row],[Nome]])</f>
        <v>4Mendy P.</v>
      </c>
      <c r="AB914" t="str">
        <f t="shared" si="39"/>
        <v>4</v>
      </c>
      <c r="AC914" t="str">
        <f>_xlfn.CONCAT(Tabella1[[#This Row],[Ruolo]],Tabella1[[#This Row],[Gs]])</f>
        <v>A0</v>
      </c>
    </row>
    <row r="915" spans="1:29" hidden="1" x14ac:dyDescent="0.3">
      <c r="A915" s="14">
        <v>46277</v>
      </c>
      <c r="B915" s="15">
        <v>4</v>
      </c>
      <c r="C915" s="321" t="str">
        <f>_xlfn.XLOOKUP(Tabella1[[#This Row],[Nome]],Tabella4[NOME],Tabella4[SQUADRA],"")</f>
        <v>Milan</v>
      </c>
      <c r="D915" t="s">
        <v>161</v>
      </c>
      <c r="E915" t="s">
        <v>830</v>
      </c>
      <c r="F915" s="194">
        <v>5</v>
      </c>
      <c r="G915" s="402">
        <v>0</v>
      </c>
      <c r="H915" s="402">
        <v>0</v>
      </c>
      <c r="I915" s="402">
        <v>0</v>
      </c>
      <c r="J915" s="402">
        <v>0</v>
      </c>
      <c r="K915" s="402">
        <v>0</v>
      </c>
      <c r="L915" s="402">
        <v>0</v>
      </c>
      <c r="M915" s="402">
        <v>0</v>
      </c>
      <c r="N915" s="402">
        <v>0</v>
      </c>
      <c r="O915" s="402">
        <v>0</v>
      </c>
      <c r="P915" s="401"/>
      <c r="Q915" s="401">
        <f t="shared" si="38"/>
        <v>0</v>
      </c>
      <c r="R915" s="3" t="str">
        <f>_xlfn.IFNA(VLOOKUP(Tabella1[[#This Row],[Nome]],'ROSE SQUADRE'!$N$3:$O$260,2,0),"")</f>
        <v>PESCICULINI</v>
      </c>
      <c r="S915" s="193">
        <f>SUM(Tabella1[[#This Row],[Gf]],Tabella1[[#This Row],[Rf]])</f>
        <v>0</v>
      </c>
      <c r="T915" s="193"/>
      <c r="U915" s="285" t="str">
        <f>IF(Tabella1[[#This Row],[N° FantaTit]]="","",Tabella1[[#This Row],[fanta voto]])</f>
        <v/>
      </c>
      <c r="V915" s="193">
        <f>SUM(Tabella1[[#This Row],[Voto]],(G915*3),Q915,P915,O915,-(N915),(-M915/2),(-L915*2),(-H915),(I915*3),(-J915*3),(K915*3))</f>
        <v>5</v>
      </c>
      <c r="W915" s="193"/>
      <c r="X915" s="193" t="str">
        <f>IF(Tabella1[[#This Row],[Best 11]]=1,Tabella1[[#This Row],[fanta voto]],"")</f>
        <v/>
      </c>
      <c r="Y915">
        <v>1</v>
      </c>
      <c r="Z915" s="193">
        <f>IF(Tabella1[[#This Row],[Best 11 MOD]]=1,Tabella1[[#This Row],[fanta voto]],"")</f>
        <v>5</v>
      </c>
      <c r="AA915" t="str">
        <f>CONCATENATE(Tabella1[[#This Row],[GG]],Tabella1[[#This Row],[Nome]])</f>
        <v>4Estupinan</v>
      </c>
      <c r="AB915" t="str">
        <f t="shared" si="39"/>
        <v>4PESCICULINI</v>
      </c>
      <c r="AC915" t="str">
        <f>_xlfn.CONCAT(Tabella1[[#This Row],[Ruolo]],Tabella1[[#This Row],[Gs]])</f>
        <v>D0</v>
      </c>
    </row>
    <row r="916" spans="1:29" hidden="1" x14ac:dyDescent="0.3">
      <c r="A916" s="14">
        <v>46277</v>
      </c>
      <c r="B916" s="15">
        <v>4</v>
      </c>
      <c r="C916" s="321" t="str">
        <f>_xlfn.XLOOKUP(Tabella1[[#This Row],[Nome]],Tabella4[NOME],Tabella4[SQUADRA],"")</f>
        <v>Fiorentina</v>
      </c>
      <c r="D916" s="330" t="s">
        <v>161</v>
      </c>
      <c r="E916" s="330" t="s">
        <v>610</v>
      </c>
      <c r="F916" s="331">
        <v>6</v>
      </c>
      <c r="G916" s="404">
        <v>0</v>
      </c>
      <c r="H916" s="404">
        <v>0</v>
      </c>
      <c r="I916" s="404">
        <v>0</v>
      </c>
      <c r="J916" s="404">
        <v>0</v>
      </c>
      <c r="K916" s="404">
        <v>0</v>
      </c>
      <c r="L916" s="404">
        <v>0</v>
      </c>
      <c r="M916" s="404">
        <v>0</v>
      </c>
      <c r="N916" s="404">
        <v>0</v>
      </c>
      <c r="O916" s="404">
        <v>0</v>
      </c>
      <c r="P916" s="401"/>
      <c r="Q916" s="401">
        <f t="shared" si="38"/>
        <v>0</v>
      </c>
      <c r="R916" s="3" t="str">
        <f>_xlfn.IFNA(VLOOKUP(Tabella1[[#This Row],[Nome]],'ROSE SQUADRE'!$N$3:$O$260,2,0),"")</f>
        <v/>
      </c>
      <c r="S916" s="193">
        <f>SUM(Tabella1[[#This Row],[Gf]],Tabella1[[#This Row],[Rf]])</f>
        <v>0</v>
      </c>
      <c r="T916" s="193"/>
      <c r="U916" s="285" t="str">
        <f>IF(Tabella1[[#This Row],[N° FantaTit]]="","",Tabella1[[#This Row],[fanta voto]])</f>
        <v/>
      </c>
      <c r="V916" s="193">
        <f>SUM(Tabella1[[#This Row],[Voto]],(G916*3),Q916,P916,O916,-(N916),(-M916/2),(-L916*2),(-H916),(I916*3),(-J916*3),(K916*3))</f>
        <v>6</v>
      </c>
      <c r="W916" s="193"/>
      <c r="X916" s="193" t="str">
        <f>IF(Tabella1[[#This Row],[Best 11]]=1,Tabella1[[#This Row],[fanta voto]],"")</f>
        <v/>
      </c>
      <c r="Z916" s="193" t="str">
        <f>IF(Tabella1[[#This Row],[Best 11 MOD]]=1,Tabella1[[#This Row],[fanta voto]],"")</f>
        <v/>
      </c>
      <c r="AA916" t="str">
        <f>CONCATENATE(Tabella1[[#This Row],[GG]],Tabella1[[#This Row],[Nome]])</f>
        <v>4Ranieri L.</v>
      </c>
      <c r="AB916" t="str">
        <f t="shared" si="39"/>
        <v>4</v>
      </c>
      <c r="AC916" t="str">
        <f>_xlfn.CONCAT(Tabella1[[#This Row],[Ruolo]],Tabella1[[#This Row],[Gs]])</f>
        <v>D0</v>
      </c>
    </row>
    <row r="917" spans="1:29" hidden="1" x14ac:dyDescent="0.3">
      <c r="A917" s="14">
        <v>46277</v>
      </c>
      <c r="B917" s="15">
        <v>4</v>
      </c>
      <c r="C917" s="321" t="str">
        <f>_xlfn.XLOOKUP(Tabella1[[#This Row],[Nome]],Tabella4[NOME],Tabella4[SQUADRA],"")</f>
        <v>Fiorentina</v>
      </c>
      <c r="D917" t="s">
        <v>161</v>
      </c>
      <c r="E917" t="s">
        <v>709</v>
      </c>
      <c r="F917" s="194">
        <v>6.5</v>
      </c>
      <c r="G917" s="402">
        <v>0</v>
      </c>
      <c r="H917" s="402">
        <v>0</v>
      </c>
      <c r="I917" s="402">
        <v>0</v>
      </c>
      <c r="J917" s="402">
        <v>0</v>
      </c>
      <c r="K917" s="402">
        <v>0</v>
      </c>
      <c r="L917" s="402">
        <v>0</v>
      </c>
      <c r="M917" s="402">
        <v>0</v>
      </c>
      <c r="N917" s="402">
        <v>0</v>
      </c>
      <c r="O917" s="402">
        <v>0</v>
      </c>
      <c r="P917" s="401"/>
      <c r="Q917" s="401">
        <f t="shared" si="38"/>
        <v>0</v>
      </c>
      <c r="R917" s="3" t="str">
        <f>_xlfn.IFNA(VLOOKUP(Tabella1[[#This Row],[Nome]],'ROSE SQUADRE'!$N$3:$O$260,2,0),"")</f>
        <v/>
      </c>
      <c r="S917" s="193">
        <f>SUM(Tabella1[[#This Row],[Gf]],Tabella1[[#This Row],[Rf]])</f>
        <v>0</v>
      </c>
      <c r="T917" s="193"/>
      <c r="U917" s="285" t="str">
        <f>IF(Tabella1[[#This Row],[N° FantaTit]]="","",Tabella1[[#This Row],[fanta voto]])</f>
        <v/>
      </c>
      <c r="V917" s="193">
        <f>SUM(Tabella1[[#This Row],[Voto]],(G917*3),Q917,P917,O917,-(N917),(-M917/2),(-L917*2),(-H917),(I917*3),(-J917*3),(K917*3))</f>
        <v>6.5</v>
      </c>
      <c r="W917" s="193"/>
      <c r="X917" s="193" t="str">
        <f>IF(Tabella1[[#This Row],[Best 11]]=1,Tabella1[[#This Row],[fanta voto]],"")</f>
        <v/>
      </c>
      <c r="Z917" s="193" t="str">
        <f>IF(Tabella1[[#This Row],[Best 11 MOD]]=1,Tabella1[[#This Row],[fanta voto]],"")</f>
        <v/>
      </c>
      <c r="AA917" t="str">
        <f>CONCATENATE(Tabella1[[#This Row],[GG]],Tabella1[[#This Row],[Nome]])</f>
        <v>4Dragusin</v>
      </c>
      <c r="AB917" t="str">
        <f t="shared" si="39"/>
        <v>4</v>
      </c>
      <c r="AC917" t="str">
        <f>_xlfn.CONCAT(Tabella1[[#This Row],[Ruolo]],Tabella1[[#This Row],[Gs]])</f>
        <v>D0</v>
      </c>
    </row>
    <row r="918" spans="1:29" hidden="1" x14ac:dyDescent="0.3">
      <c r="A918" s="14">
        <v>46277</v>
      </c>
      <c r="B918" s="15">
        <v>4</v>
      </c>
      <c r="C918" s="321" t="str">
        <f>_xlfn.XLOOKUP(Tabella1[[#This Row],[Nome]],Tabella4[NOME],Tabella4[SQUADRA],"")</f>
        <v>Lazio</v>
      </c>
      <c r="D918" s="330" t="s">
        <v>5</v>
      </c>
      <c r="E918" s="330" t="s">
        <v>795</v>
      </c>
      <c r="F918" s="331">
        <v>6.5</v>
      </c>
      <c r="G918" s="404">
        <v>0</v>
      </c>
      <c r="H918" s="405">
        <v>2</v>
      </c>
      <c r="I918" s="404">
        <v>0</v>
      </c>
      <c r="J918" s="404">
        <v>0</v>
      </c>
      <c r="K918" s="404">
        <v>0</v>
      </c>
      <c r="L918" s="404">
        <v>0</v>
      </c>
      <c r="M918" s="404">
        <v>0</v>
      </c>
      <c r="N918" s="404">
        <v>0</v>
      </c>
      <c r="O918" s="404">
        <v>0</v>
      </c>
      <c r="P918" s="401"/>
      <c r="Q918" s="401">
        <f t="shared" si="38"/>
        <v>0</v>
      </c>
      <c r="R918" s="3" t="str">
        <f>_xlfn.IFNA(VLOOKUP(Tabella1[[#This Row],[Nome]],'ROSE SQUADRE'!$N$3:$O$260,2,0),"")</f>
        <v>AS PIPPERIA</v>
      </c>
      <c r="S918" s="193">
        <f>SUM(Tabella1[[#This Row],[Gf]],Tabella1[[#This Row],[Rf]])</f>
        <v>0</v>
      </c>
      <c r="T918" s="193"/>
      <c r="U918" s="285" t="str">
        <f>IF(Tabella1[[#This Row],[N° FantaTit]]="","",Tabella1[[#This Row],[fanta voto]])</f>
        <v/>
      </c>
      <c r="V918" s="193">
        <f>SUM(Tabella1[[#This Row],[Voto]],(G918*3),Q918,P918,O918,-(N918),(-M918/2),(-L918*2),(-H918),(I918*3),(-J918*3),(K918*3))</f>
        <v>4.5</v>
      </c>
      <c r="W918" s="193"/>
      <c r="X918" s="193" t="str">
        <f>IF(Tabella1[[#This Row],[Best 11]]=1,Tabella1[[#This Row],[fanta voto]],"")</f>
        <v/>
      </c>
      <c r="Z918" s="193" t="str">
        <f>IF(Tabella1[[#This Row],[Best 11 MOD]]=1,Tabella1[[#This Row],[fanta voto]],"")</f>
        <v/>
      </c>
      <c r="AA918" t="str">
        <f>CONCATENATE(Tabella1[[#This Row],[GG]],Tabella1[[#This Row],[Nome]])</f>
        <v>4Mandas</v>
      </c>
      <c r="AB918" t="str">
        <f t="shared" si="39"/>
        <v>4AS PIPPERIA</v>
      </c>
      <c r="AC918" t="str">
        <f>_xlfn.CONCAT(Tabella1[[#This Row],[Ruolo]],Tabella1[[#This Row],[Gs]])</f>
        <v>P2</v>
      </c>
    </row>
    <row r="919" spans="1:29" hidden="1" x14ac:dyDescent="0.3">
      <c r="A919" s="14">
        <v>46277</v>
      </c>
      <c r="B919" s="15">
        <v>4</v>
      </c>
      <c r="C919" s="321" t="str">
        <f>_xlfn.XLOOKUP(Tabella1[[#This Row],[Nome]],Tabella4[NOME],Tabella4[SQUADRA],"")</f>
        <v>Roma</v>
      </c>
      <c r="D919" t="s">
        <v>5</v>
      </c>
      <c r="E919" t="s">
        <v>421</v>
      </c>
      <c r="F919" s="194">
        <v>6.5</v>
      </c>
      <c r="G919" s="402">
        <v>0</v>
      </c>
      <c r="H919" s="402">
        <v>0</v>
      </c>
      <c r="I919" s="402">
        <v>0</v>
      </c>
      <c r="J919" s="402">
        <v>0</v>
      </c>
      <c r="K919" s="402">
        <v>0</v>
      </c>
      <c r="L919" s="402">
        <v>0</v>
      </c>
      <c r="M919" s="402">
        <v>0</v>
      </c>
      <c r="N919" s="402">
        <v>0</v>
      </c>
      <c r="O919" s="402">
        <v>0</v>
      </c>
      <c r="P919" s="401"/>
      <c r="Q919" s="401">
        <f t="shared" si="38"/>
        <v>1</v>
      </c>
      <c r="R919" s="3" t="str">
        <f>_xlfn.IFNA(VLOOKUP(Tabella1[[#This Row],[Nome]],'ROSE SQUADRE'!$N$3:$O$260,2,0),"")</f>
        <v>SAN GRIA</v>
      </c>
      <c r="S919" s="193">
        <f>SUM(Tabella1[[#This Row],[Gf]],Tabella1[[#This Row],[Rf]])</f>
        <v>0</v>
      </c>
      <c r="T919" s="193">
        <v>1</v>
      </c>
      <c r="U919" s="285">
        <f>IF(Tabella1[[#This Row],[N° FantaTit]]="","",Tabella1[[#This Row],[fanta voto]])</f>
        <v>7.5</v>
      </c>
      <c r="V919" s="193">
        <f>SUM(Tabella1[[#This Row],[Voto]],(G919*3),Q919,P919,O919,-(N919),(-M919/2),(-L919*2),(-H919),(I919*3),(-J919*3),(K919*3))</f>
        <v>7.5</v>
      </c>
      <c r="W919" s="193">
        <v>1</v>
      </c>
      <c r="X919" s="193">
        <f>IF(Tabella1[[#This Row],[Best 11]]=1,Tabella1[[#This Row],[fanta voto]],"")</f>
        <v>7.5</v>
      </c>
      <c r="Y919">
        <v>1</v>
      </c>
      <c r="Z919" s="193">
        <f>IF(Tabella1[[#This Row],[Best 11 MOD]]=1,Tabella1[[#This Row],[fanta voto]],"")</f>
        <v>7.5</v>
      </c>
      <c r="AA919" t="str">
        <f>CONCATENATE(Tabella1[[#This Row],[GG]],Tabella1[[#This Row],[Nome]])</f>
        <v>4Svilar</v>
      </c>
      <c r="AB919" t="str">
        <f t="shared" si="39"/>
        <v>4SAN GRIA1</v>
      </c>
      <c r="AC919" t="str">
        <f>_xlfn.CONCAT(Tabella1[[#This Row],[Ruolo]],Tabella1[[#This Row],[Gs]])</f>
        <v>P0</v>
      </c>
    </row>
    <row r="920" spans="1:29" hidden="1" x14ac:dyDescent="0.3">
      <c r="A920" s="14">
        <v>46277</v>
      </c>
      <c r="B920" s="15">
        <v>4</v>
      </c>
      <c r="C920" s="321" t="str">
        <f>_xlfn.XLOOKUP(Tabella1[[#This Row],[Nome]],Tabella4[NOME],Tabella4[SQUADRA],"")</f>
        <v>Fiorentina</v>
      </c>
      <c r="D920" t="s">
        <v>162</v>
      </c>
      <c r="E920" t="s">
        <v>342</v>
      </c>
      <c r="F920" s="194">
        <v>7</v>
      </c>
      <c r="G920" s="402">
        <v>0</v>
      </c>
      <c r="H920" s="402">
        <v>0</v>
      </c>
      <c r="I920" s="402">
        <v>0</v>
      </c>
      <c r="J920" s="402">
        <v>0</v>
      </c>
      <c r="K920" s="402">
        <v>0</v>
      </c>
      <c r="L920" s="402">
        <v>0</v>
      </c>
      <c r="M920" s="402">
        <v>0</v>
      </c>
      <c r="N920" s="402">
        <v>0</v>
      </c>
      <c r="O920" s="403">
        <v>1</v>
      </c>
      <c r="P920" s="401"/>
      <c r="Q920" s="401">
        <f t="shared" si="38"/>
        <v>0</v>
      </c>
      <c r="R920" s="3" t="str">
        <f>_xlfn.IFNA(VLOOKUP(Tabella1[[#This Row],[Nome]],'ROSE SQUADRE'!$N$3:$O$260,2,0),"")</f>
        <v/>
      </c>
      <c r="S920" s="193">
        <f>SUM(Tabella1[[#This Row],[Gf]],Tabella1[[#This Row],[Rf]])</f>
        <v>0</v>
      </c>
      <c r="T920" s="193"/>
      <c r="U920" s="285" t="str">
        <f>IF(Tabella1[[#This Row],[N° FantaTit]]="","",Tabella1[[#This Row],[fanta voto]])</f>
        <v/>
      </c>
      <c r="V920" s="193">
        <f>SUM(Tabella1[[#This Row],[Voto]],(G920*3),Q920,P920,O920,-(N920),(-M920/2),(-L920*2),(-H920),(I920*3),(-J920*3),(K920*3))</f>
        <v>8</v>
      </c>
      <c r="W920" s="193"/>
      <c r="X920" s="193" t="str">
        <f>IF(Tabella1[[#This Row],[Best 11]]=1,Tabella1[[#This Row],[fanta voto]],"")</f>
        <v/>
      </c>
      <c r="Z920" s="193" t="str">
        <f>IF(Tabella1[[#This Row],[Best 11 MOD]]=1,Tabella1[[#This Row],[fanta voto]],"")</f>
        <v/>
      </c>
      <c r="AA920" t="str">
        <f>CONCATENATE(Tabella1[[#This Row],[GG]],Tabella1[[#This Row],[Nome]])</f>
        <v>4Fagioli</v>
      </c>
      <c r="AB920" t="str">
        <f t="shared" si="39"/>
        <v>4</v>
      </c>
      <c r="AC920" t="str">
        <f>_xlfn.CONCAT(Tabella1[[#This Row],[Ruolo]],Tabella1[[#This Row],[Gs]])</f>
        <v>C0</v>
      </c>
    </row>
    <row r="921" spans="1:29" hidden="1" x14ac:dyDescent="0.3">
      <c r="A921" s="14">
        <v>46277</v>
      </c>
      <c r="B921" s="15">
        <v>4</v>
      </c>
      <c r="C921" s="321" t="str">
        <f>_xlfn.XLOOKUP(Tabella1[[#This Row],[Nome]],Tabella4[NOME],Tabella4[SQUADRA],"")</f>
        <v>Bologna</v>
      </c>
      <c r="D921" t="s">
        <v>161</v>
      </c>
      <c r="E921" t="s">
        <v>1047</v>
      </c>
      <c r="F921" s="194">
        <v>6</v>
      </c>
      <c r="G921" s="402">
        <v>0</v>
      </c>
      <c r="H921" s="402">
        <v>0</v>
      </c>
      <c r="I921" s="402">
        <v>0</v>
      </c>
      <c r="J921" s="402">
        <v>0</v>
      </c>
      <c r="K921" s="402">
        <v>0</v>
      </c>
      <c r="L921" s="402">
        <v>0</v>
      </c>
      <c r="M921" s="402">
        <v>0</v>
      </c>
      <c r="N921" s="402">
        <v>0</v>
      </c>
      <c r="O921" s="402">
        <v>0</v>
      </c>
      <c r="P921" s="401"/>
      <c r="Q921" s="401">
        <f t="shared" si="38"/>
        <v>0</v>
      </c>
      <c r="R921" s="3" t="str">
        <f>_xlfn.IFNA(VLOOKUP(Tabella1[[#This Row],[Nome]],'ROSE SQUADRE'!$N$3:$O$260,2,0),"")</f>
        <v>FC INTERNAZIOANALE</v>
      </c>
      <c r="S921" s="193">
        <f>SUM(Tabella1[[#This Row],[Gf]],Tabella1[[#This Row],[Rf]])</f>
        <v>0</v>
      </c>
      <c r="T921" s="193"/>
      <c r="U921" s="285" t="str">
        <f>IF(Tabella1[[#This Row],[N° FantaTit]]="","",Tabella1[[#This Row],[fanta voto]])</f>
        <v/>
      </c>
      <c r="V921" s="193">
        <f>SUM(Tabella1[[#This Row],[Voto]],(G921*3),Q921,P921,O921,-(N921),(-M921/2),(-L921*2),(-H921),(I921*3),(-J921*3),(K921*3))</f>
        <v>6</v>
      </c>
      <c r="W921" s="193">
        <v>1</v>
      </c>
      <c r="X921" s="193">
        <f>IF(Tabella1[[#This Row],[Best 11]]=1,Tabella1[[#This Row],[fanta voto]],"")</f>
        <v>6</v>
      </c>
      <c r="Y921">
        <v>1</v>
      </c>
      <c r="Z921" s="193">
        <f>IF(Tabella1[[#This Row],[Best 11 MOD]]=1,Tabella1[[#This Row],[fanta voto]],"")</f>
        <v>6</v>
      </c>
      <c r="AA921" t="str">
        <f>CONCATENATE(Tabella1[[#This Row],[GG]],Tabella1[[#This Row],[Nome]])</f>
        <v>4Theate</v>
      </c>
      <c r="AB921" t="str">
        <f t="shared" si="39"/>
        <v>4FC INTERNAZIOANALE</v>
      </c>
      <c r="AC921" t="str">
        <f>_xlfn.CONCAT(Tabella1[[#This Row],[Ruolo]],Tabella1[[#This Row],[Gs]])</f>
        <v>D0</v>
      </c>
    </row>
    <row r="922" spans="1:29" x14ac:dyDescent="0.3">
      <c r="A922" s="14">
        <v>46277</v>
      </c>
      <c r="B922" s="15">
        <v>4</v>
      </c>
      <c r="C922" s="321" t="str">
        <f>_xlfn.XLOOKUP(Tabella1[[#This Row],[Nome]],Tabella4[NOME],Tabella4[SQUADRA],"")</f>
        <v>Inter</v>
      </c>
      <c r="D922" s="330" t="s">
        <v>161</v>
      </c>
      <c r="E922" s="330" t="s">
        <v>251</v>
      </c>
      <c r="F922" s="331">
        <v>7.5</v>
      </c>
      <c r="G922" s="405">
        <v>1</v>
      </c>
      <c r="H922" s="404">
        <v>0</v>
      </c>
      <c r="I922" s="404">
        <v>0</v>
      </c>
      <c r="J922" s="404">
        <v>0</v>
      </c>
      <c r="K922" s="404">
        <v>0</v>
      </c>
      <c r="L922" s="404">
        <v>0</v>
      </c>
      <c r="M922" s="404">
        <v>0</v>
      </c>
      <c r="N922" s="404">
        <v>0</v>
      </c>
      <c r="O922" s="404">
        <v>0</v>
      </c>
      <c r="P922" s="401"/>
      <c r="Q922" s="401">
        <f t="shared" si="38"/>
        <v>0</v>
      </c>
      <c r="R922" s="3" t="str">
        <f>_xlfn.IFNA(VLOOKUP(Tabella1[[#This Row],[Nome]],'ROSE SQUADRE'!$N$3:$O$260,2,0),"")</f>
        <v>PESCICULINI</v>
      </c>
      <c r="S922" s="193">
        <f>SUM(Tabella1[[#This Row],[Gf]],Tabella1[[#This Row],[Rf]])</f>
        <v>1</v>
      </c>
      <c r="T922" s="193">
        <v>1</v>
      </c>
      <c r="U922" s="285">
        <f>IF(Tabella1[[#This Row],[N° FantaTit]]="","",Tabella1[[#This Row],[fanta voto]])</f>
        <v>10.5</v>
      </c>
      <c r="V922" s="193">
        <f>SUM(Tabella1[[#This Row],[Voto]],(G922*3),Q922,P922,O922,-(N922),(-M922/2),(-L922*2),(-H922),(I922*3),(-J922*3),(K922*3))</f>
        <v>10.5</v>
      </c>
      <c r="W922" s="193">
        <v>1</v>
      </c>
      <c r="X922" s="193">
        <f>IF(Tabella1[[#This Row],[Best 11]]=1,Tabella1[[#This Row],[fanta voto]],"")</f>
        <v>10.5</v>
      </c>
      <c r="Y922">
        <v>1</v>
      </c>
      <c r="Z922" s="193">
        <f>IF(Tabella1[[#This Row],[Best 11 MOD]]=1,Tabella1[[#This Row],[fanta voto]],"")</f>
        <v>10.5</v>
      </c>
      <c r="AA922" t="str">
        <f>CONCATENATE(Tabella1[[#This Row],[GG]],Tabella1[[#This Row],[Nome]])</f>
        <v>4Carlos Augusto</v>
      </c>
      <c r="AB922" t="str">
        <f t="shared" si="39"/>
        <v>4PESCICULINI1</v>
      </c>
      <c r="AC922" t="str">
        <f>_xlfn.CONCAT(Tabella1[[#This Row],[Ruolo]],Tabella1[[#This Row],[Gs]])</f>
        <v>D0</v>
      </c>
    </row>
    <row r="923" spans="1:29" hidden="1" x14ac:dyDescent="0.3">
      <c r="A923" s="14">
        <v>46277</v>
      </c>
      <c r="B923" s="15">
        <v>4</v>
      </c>
      <c r="C923" s="321" t="str">
        <f>_xlfn.XLOOKUP(Tabella1[[#This Row],[Nome]],Tabella4[NOME],Tabella4[SQUADRA],"")</f>
        <v>Sassuolo</v>
      </c>
      <c r="D923" s="330" t="s">
        <v>5</v>
      </c>
      <c r="E923" s="330" t="s">
        <v>909</v>
      </c>
      <c r="F923" s="331">
        <v>5.5</v>
      </c>
      <c r="G923" s="404">
        <v>0</v>
      </c>
      <c r="H923" s="405">
        <v>2</v>
      </c>
      <c r="I923" s="404">
        <v>0</v>
      </c>
      <c r="J923" s="404">
        <v>0</v>
      </c>
      <c r="K923" s="404">
        <v>0</v>
      </c>
      <c r="L923" s="404">
        <v>0</v>
      </c>
      <c r="M923" s="404">
        <v>0</v>
      </c>
      <c r="N923" s="404">
        <v>0</v>
      </c>
      <c r="O923" s="404">
        <v>0</v>
      </c>
      <c r="P923" s="401"/>
      <c r="Q923" s="401">
        <f t="shared" si="38"/>
        <v>0</v>
      </c>
      <c r="R923" s="3" t="str">
        <f>_xlfn.IFNA(VLOOKUP(Tabella1[[#This Row],[Nome]],'ROSE SQUADRE'!$N$3:$O$260,2,0),"")</f>
        <v>AC ASPARAGHESE</v>
      </c>
      <c r="S923" s="193">
        <f>SUM(Tabella1[[#This Row],[Gf]],Tabella1[[#This Row],[Rf]])</f>
        <v>0</v>
      </c>
      <c r="T923" s="193"/>
      <c r="U923" s="285" t="str">
        <f>IF(Tabella1[[#This Row],[N° FantaTit]]="","",Tabella1[[#This Row],[fanta voto]])</f>
        <v/>
      </c>
      <c r="V923" s="193">
        <f>SUM(Tabella1[[#This Row],[Voto]],(G923*3),Q923,P923,O923,-(N923),(-M923/2),(-L923*2),(-H923),(I923*3),(-J923*3),(K923*3))</f>
        <v>3.5</v>
      </c>
      <c r="W923" s="193"/>
      <c r="X923" s="193" t="str">
        <f>IF(Tabella1[[#This Row],[Best 11]]=1,Tabella1[[#This Row],[fanta voto]],"")</f>
        <v/>
      </c>
      <c r="Z923" s="193" t="str">
        <f>IF(Tabella1[[#This Row],[Best 11 MOD]]=1,Tabella1[[#This Row],[fanta voto]],"")</f>
        <v/>
      </c>
      <c r="AA923" t="str">
        <f>CONCATENATE(Tabella1[[#This Row],[GG]],Tabella1[[#This Row],[Nome]])</f>
        <v>4Muric</v>
      </c>
      <c r="AB923" t="str">
        <f t="shared" si="39"/>
        <v>4AC ASPARAGHESE</v>
      </c>
      <c r="AC923" t="str">
        <f>_xlfn.CONCAT(Tabella1[[#This Row],[Ruolo]],Tabella1[[#This Row],[Gs]])</f>
        <v>P2</v>
      </c>
    </row>
    <row r="924" spans="1:29" x14ac:dyDescent="0.3">
      <c r="A924" s="14">
        <v>46277</v>
      </c>
      <c r="B924" s="15">
        <v>4</v>
      </c>
      <c r="C924" s="321" t="str">
        <f>_xlfn.XLOOKUP(Tabella1[[#This Row],[Nome]],Tabella4[NOME],Tabella4[SQUADRA],"")</f>
        <v>Genoa</v>
      </c>
      <c r="D924" s="330" t="s">
        <v>161</v>
      </c>
      <c r="E924" s="330" t="s">
        <v>213</v>
      </c>
      <c r="F924" s="331">
        <v>6</v>
      </c>
      <c r="G924" s="405">
        <v>1</v>
      </c>
      <c r="H924" s="404">
        <v>0</v>
      </c>
      <c r="I924" s="404">
        <v>0</v>
      </c>
      <c r="J924" s="404">
        <v>0</v>
      </c>
      <c r="K924" s="404">
        <v>0</v>
      </c>
      <c r="L924" s="404">
        <v>0</v>
      </c>
      <c r="M924" s="404">
        <v>0</v>
      </c>
      <c r="N924" s="405">
        <v>1</v>
      </c>
      <c r="O924" s="404">
        <v>0</v>
      </c>
      <c r="P924" s="401"/>
      <c r="Q924" s="401">
        <f t="shared" si="38"/>
        <v>0</v>
      </c>
      <c r="R924" s="3" t="str">
        <f>_xlfn.IFNA(VLOOKUP(Tabella1[[#This Row],[Nome]],'ROSE SQUADRE'!$N$3:$O$260,2,0),"")</f>
        <v>AC ASPARAGHESE</v>
      </c>
      <c r="S924" s="193">
        <f>SUM(Tabella1[[#This Row],[Gf]],Tabella1[[#This Row],[Rf]])</f>
        <v>1</v>
      </c>
      <c r="T924" s="193">
        <v>1</v>
      </c>
      <c r="U924" s="285">
        <f>IF(Tabella1[[#This Row],[N° FantaTit]]="","",Tabella1[[#This Row],[fanta voto]])</f>
        <v>8</v>
      </c>
      <c r="V924" s="193">
        <f>SUM(Tabella1[[#This Row],[Voto]],(G924*3),Q924,P924,O924,-(N924),(-M924/2),(-L924*2),(-H924),(I924*3),(-J924*3),(K924*3))</f>
        <v>8</v>
      </c>
      <c r="W924" s="193">
        <v>1</v>
      </c>
      <c r="X924" s="193">
        <f>IF(Tabella1[[#This Row],[Best 11]]=1,Tabella1[[#This Row],[fanta voto]],"")</f>
        <v>8</v>
      </c>
      <c r="Y924">
        <v>1</v>
      </c>
      <c r="Z924" s="193">
        <f>IF(Tabella1[[#This Row],[Best 11 MOD]]=1,Tabella1[[#This Row],[fanta voto]],"")</f>
        <v>8</v>
      </c>
      <c r="AA924" t="str">
        <f>CONCATENATE(Tabella1[[#This Row],[GG]],Tabella1[[#This Row],[Nome]])</f>
        <v>4Vasquez</v>
      </c>
      <c r="AB924" t="str">
        <f t="shared" si="39"/>
        <v>4AC ASPARAGHESE1</v>
      </c>
      <c r="AC924" t="str">
        <f>_xlfn.CONCAT(Tabella1[[#This Row],[Ruolo]],Tabella1[[#This Row],[Gs]])</f>
        <v>D0</v>
      </c>
    </row>
    <row r="925" spans="1:29" hidden="1" x14ac:dyDescent="0.3">
      <c r="A925" s="14">
        <v>46277</v>
      </c>
      <c r="B925" s="15">
        <v>4</v>
      </c>
      <c r="C925" s="321" t="str">
        <f>_xlfn.XLOOKUP(Tabella1[[#This Row],[Nome]],Tabella4[NOME],Tabella4[SQUADRA],"")</f>
        <v>Fiorentina</v>
      </c>
      <c r="D925" s="330" t="s">
        <v>161</v>
      </c>
      <c r="E925" s="330" t="s">
        <v>713</v>
      </c>
      <c r="F925" s="331">
        <v>6</v>
      </c>
      <c r="G925" s="404">
        <v>0</v>
      </c>
      <c r="H925" s="404">
        <v>0</v>
      </c>
      <c r="I925" s="404">
        <v>0</v>
      </c>
      <c r="J925" s="404">
        <v>0</v>
      </c>
      <c r="K925" s="404">
        <v>0</v>
      </c>
      <c r="L925" s="404">
        <v>0</v>
      </c>
      <c r="M925" s="404">
        <v>0</v>
      </c>
      <c r="N925" s="404">
        <v>0</v>
      </c>
      <c r="O925" s="404">
        <v>0</v>
      </c>
      <c r="P925" s="401"/>
      <c r="Q925" s="401">
        <f t="shared" si="38"/>
        <v>0</v>
      </c>
      <c r="R925" s="3" t="str">
        <f>_xlfn.IFNA(VLOOKUP(Tabella1[[#This Row],[Nome]],'ROSE SQUADRE'!$N$3:$O$260,2,0),"")</f>
        <v>SAN GRIA</v>
      </c>
      <c r="S925" s="193">
        <f>SUM(Tabella1[[#This Row],[Gf]],Tabella1[[#This Row],[Rf]])</f>
        <v>0</v>
      </c>
      <c r="T925" s="193"/>
      <c r="U925" s="285" t="str">
        <f>IF(Tabella1[[#This Row],[N° FantaTit]]="","",Tabella1[[#This Row],[fanta voto]])</f>
        <v/>
      </c>
      <c r="V925" s="193">
        <f>SUM(Tabella1[[#This Row],[Voto]],(G925*3),Q925,P925,O925,-(N925),(-M925/2),(-L925*2),(-H925),(I925*3),(-J925*3),(K925*3))</f>
        <v>6</v>
      </c>
      <c r="W925" s="193">
        <v>1</v>
      </c>
      <c r="X925" s="193">
        <f>IF(Tabella1[[#This Row],[Best 11]]=1,Tabella1[[#This Row],[fanta voto]],"")</f>
        <v>6</v>
      </c>
      <c r="Y925">
        <v>1</v>
      </c>
      <c r="Z925" s="193">
        <f>IF(Tabella1[[#This Row],[Best 11 MOD]]=1,Tabella1[[#This Row],[fanta voto]],"")</f>
        <v>6</v>
      </c>
      <c r="AA925" t="str">
        <f>CONCATENATE(Tabella1[[#This Row],[GG]],Tabella1[[#This Row],[Nome]])</f>
        <v>4Viery</v>
      </c>
      <c r="AB925" t="str">
        <f t="shared" si="39"/>
        <v>4SAN GRIA</v>
      </c>
      <c r="AC925" t="str">
        <f>_xlfn.CONCAT(Tabella1[[#This Row],[Ruolo]],Tabella1[[#This Row],[Gs]])</f>
        <v>D0</v>
      </c>
    </row>
    <row r="926" spans="1:29" hidden="1" x14ac:dyDescent="0.3">
      <c r="A926" s="14">
        <v>46277</v>
      </c>
      <c r="B926" s="15">
        <v>4</v>
      </c>
      <c r="C926" s="321" t="str">
        <f>_xlfn.XLOOKUP(Tabella1[[#This Row],[Nome]],Tabella4[NOME],Tabella4[SQUADRA],"")</f>
        <v>Venezia</v>
      </c>
      <c r="D926" s="330" t="s">
        <v>5</v>
      </c>
      <c r="E926" s="330" t="s">
        <v>970</v>
      </c>
      <c r="F926" s="331">
        <v>6</v>
      </c>
      <c r="G926" s="404">
        <v>0</v>
      </c>
      <c r="H926" s="405">
        <v>4</v>
      </c>
      <c r="I926" s="404">
        <v>0</v>
      </c>
      <c r="J926" s="404">
        <v>0</v>
      </c>
      <c r="K926" s="404">
        <v>0</v>
      </c>
      <c r="L926" s="404">
        <v>0</v>
      </c>
      <c r="M926" s="404">
        <v>0</v>
      </c>
      <c r="N926" s="404">
        <v>0</v>
      </c>
      <c r="O926" s="404">
        <v>0</v>
      </c>
      <c r="P926" s="401"/>
      <c r="Q926" s="401">
        <f t="shared" si="38"/>
        <v>0</v>
      </c>
      <c r="R926" s="3" t="str">
        <f>_xlfn.IFNA(VLOOKUP(Tabella1[[#This Row],[Nome]],'ROSE SQUADRE'!$N$3:$O$260,2,0),"")</f>
        <v>SHARK</v>
      </c>
      <c r="S926" s="193">
        <f>SUM(Tabella1[[#This Row],[Gf]],Tabella1[[#This Row],[Rf]])</f>
        <v>0</v>
      </c>
      <c r="T926" s="193">
        <v>1</v>
      </c>
      <c r="U926" s="285">
        <f>IF(Tabella1[[#This Row],[N° FantaTit]]="","",Tabella1[[#This Row],[fanta voto]])</f>
        <v>2</v>
      </c>
      <c r="V926" s="193">
        <f>SUM(Tabella1[[#This Row],[Voto]],(G926*3),Q926,P926,O926,-(N926),(-M926/2),(-L926*2),(-H926),(I926*3),(-J926*3),(K926*3))</f>
        <v>2</v>
      </c>
      <c r="W926" s="193">
        <v>1</v>
      </c>
      <c r="X926" s="193">
        <f>IF(Tabella1[[#This Row],[Best 11]]=1,Tabella1[[#This Row],[fanta voto]],"")</f>
        <v>2</v>
      </c>
      <c r="Y926">
        <v>1</v>
      </c>
      <c r="Z926" s="193">
        <f>IF(Tabella1[[#This Row],[Best 11 MOD]]=1,Tabella1[[#This Row],[fanta voto]],"")</f>
        <v>2</v>
      </c>
      <c r="AA926" t="str">
        <f>CONCATENATE(Tabella1[[#This Row],[GG]],Tabella1[[#This Row],[Nome]])</f>
        <v>4Stankovic F.</v>
      </c>
      <c r="AB926" t="str">
        <f t="shared" si="39"/>
        <v>4SHARK1</v>
      </c>
      <c r="AC926" t="str">
        <f>_xlfn.CONCAT(Tabella1[[#This Row],[Ruolo]],Tabella1[[#This Row],[Gs]])</f>
        <v>P4</v>
      </c>
    </row>
    <row r="927" spans="1:29" hidden="1" x14ac:dyDescent="0.3">
      <c r="A927" s="14">
        <v>46277</v>
      </c>
      <c r="B927" s="15">
        <v>4</v>
      </c>
      <c r="C927" s="321" t="str">
        <f>_xlfn.XLOOKUP(Tabella1[[#This Row],[Nome]],Tabella4[NOME],Tabella4[SQUADRA],"")</f>
        <v>Frosinone</v>
      </c>
      <c r="D927" t="s">
        <v>161</v>
      </c>
      <c r="E927" t="s">
        <v>727</v>
      </c>
      <c r="F927" s="194">
        <v>6</v>
      </c>
      <c r="G927" s="402">
        <v>0</v>
      </c>
      <c r="H927" s="402">
        <v>0</v>
      </c>
      <c r="I927" s="402">
        <v>0</v>
      </c>
      <c r="J927" s="402">
        <v>0</v>
      </c>
      <c r="K927" s="402">
        <v>0</v>
      </c>
      <c r="L927" s="402">
        <v>0</v>
      </c>
      <c r="M927" s="403">
        <v>1</v>
      </c>
      <c r="N927" s="402">
        <v>0</v>
      </c>
      <c r="O927" s="402">
        <v>0</v>
      </c>
      <c r="P927" s="401"/>
      <c r="Q927" s="401">
        <f t="shared" si="38"/>
        <v>0</v>
      </c>
      <c r="R927" s="3" t="str">
        <f>_xlfn.IFNA(VLOOKUP(Tabella1[[#This Row],[Nome]],'ROSE SQUADRE'!$N$3:$O$260,2,0),"")</f>
        <v>SAN GRIA</v>
      </c>
      <c r="S927" s="193">
        <f>SUM(Tabella1[[#This Row],[Gf]],Tabella1[[#This Row],[Rf]])</f>
        <v>0</v>
      </c>
      <c r="T927" s="193"/>
      <c r="U927" s="285" t="str">
        <f>IF(Tabella1[[#This Row],[N° FantaTit]]="","",Tabella1[[#This Row],[fanta voto]])</f>
        <v/>
      </c>
      <c r="V927" s="193">
        <f>SUM(Tabella1[[#This Row],[Voto]],(G927*3),Q927,P927,O927,-(N927),(-M927/2),(-L927*2),(-H927),(I927*3),(-J927*3),(K927*3))</f>
        <v>5.5</v>
      </c>
      <c r="W927" s="193"/>
      <c r="X927" s="193" t="str">
        <f>IF(Tabella1[[#This Row],[Best 11]]=1,Tabella1[[#This Row],[fanta voto]],"")</f>
        <v/>
      </c>
      <c r="Z927" s="193" t="str">
        <f>IF(Tabella1[[#This Row],[Best 11 MOD]]=1,Tabella1[[#This Row],[fanta voto]],"")</f>
        <v/>
      </c>
      <c r="AA927" t="str">
        <f>CONCATENATE(Tabella1[[#This Row],[GG]],Tabella1[[#This Row],[Nome]])</f>
        <v>4Bracaglia</v>
      </c>
      <c r="AB927" t="str">
        <f t="shared" si="39"/>
        <v>4SAN GRIA</v>
      </c>
      <c r="AC927" t="str">
        <f>_xlfn.CONCAT(Tabella1[[#This Row],[Ruolo]],Tabella1[[#This Row],[Gs]])</f>
        <v>D0</v>
      </c>
    </row>
    <row r="928" spans="1:29" x14ac:dyDescent="0.3">
      <c r="A928" s="14">
        <v>46277</v>
      </c>
      <c r="B928" s="15">
        <v>4</v>
      </c>
      <c r="C928" s="321" t="str">
        <f>_xlfn.XLOOKUP(Tabella1[[#This Row],[Nome]],Tabella4[NOME],Tabella4[SQUADRA],"")</f>
        <v>Como</v>
      </c>
      <c r="D928" s="330" t="s">
        <v>161</v>
      </c>
      <c r="E928" s="330" t="s">
        <v>686</v>
      </c>
      <c r="F928" s="331">
        <v>6.5</v>
      </c>
      <c r="G928" s="405">
        <v>1</v>
      </c>
      <c r="H928" s="404">
        <v>0</v>
      </c>
      <c r="I928" s="404">
        <v>0</v>
      </c>
      <c r="J928" s="404">
        <v>0</v>
      </c>
      <c r="K928" s="404">
        <v>0</v>
      </c>
      <c r="L928" s="404">
        <v>0</v>
      </c>
      <c r="M928" s="404">
        <v>0</v>
      </c>
      <c r="N928" s="404">
        <v>0</v>
      </c>
      <c r="O928" s="404">
        <v>0</v>
      </c>
      <c r="P928" s="401">
        <v>1</v>
      </c>
      <c r="Q928" s="401">
        <f t="shared" si="38"/>
        <v>0</v>
      </c>
      <c r="R928" s="3" t="str">
        <f>_xlfn.IFNA(VLOOKUP(Tabella1[[#This Row],[Nome]],'ROSE SQUADRE'!$N$3:$O$260,2,0),"")</f>
        <v>TRICCHETRACHT</v>
      </c>
      <c r="S928" s="193">
        <f>SUM(Tabella1[[#This Row],[Gf]],Tabella1[[#This Row],[Rf]])</f>
        <v>1</v>
      </c>
      <c r="T928" s="193">
        <v>1</v>
      </c>
      <c r="U928" s="285">
        <f>IF(Tabella1[[#This Row],[N° FantaTit]]="","",Tabella1[[#This Row],[fanta voto]])</f>
        <v>10.5</v>
      </c>
      <c r="V928" s="193">
        <f>SUM(Tabella1[[#This Row],[Voto]],(G928*3),Q928,P928,O928,-(N928),(-M928/2),(-L928*2),(-H928),(I928*3),(-J928*3),(K928*3))</f>
        <v>10.5</v>
      </c>
      <c r="W928" s="193">
        <v>1</v>
      </c>
      <c r="X928" s="193">
        <f>IF(Tabella1[[#This Row],[Best 11]]=1,Tabella1[[#This Row],[fanta voto]],"")</f>
        <v>10.5</v>
      </c>
      <c r="Y928">
        <v>1</v>
      </c>
      <c r="Z928" s="193">
        <f>IF(Tabella1[[#This Row],[Best 11 MOD]]=1,Tabella1[[#This Row],[fanta voto]],"")</f>
        <v>10.5</v>
      </c>
      <c r="AA928" t="str">
        <f>CONCATENATE(Tabella1[[#This Row],[GG]],Tabella1[[#This Row],[Nome]])</f>
        <v>4Kaiki</v>
      </c>
      <c r="AB928" t="str">
        <f t="shared" si="39"/>
        <v>4TRICCHETRACHT1</v>
      </c>
      <c r="AC928" t="str">
        <f>_xlfn.CONCAT(Tabella1[[#This Row],[Ruolo]],Tabella1[[#This Row],[Gs]])</f>
        <v>D0</v>
      </c>
    </row>
    <row r="929" spans="1:29" hidden="1" x14ac:dyDescent="0.3">
      <c r="A929" s="14">
        <v>46277</v>
      </c>
      <c r="B929" s="15">
        <v>4</v>
      </c>
      <c r="C929" s="321" t="str">
        <f>_xlfn.XLOOKUP(Tabella1[[#This Row],[Nome]],Tabella4[NOME],Tabella4[SQUADRA],"")</f>
        <v>Frosinone</v>
      </c>
      <c r="D929" t="s">
        <v>161</v>
      </c>
      <c r="E929" t="s">
        <v>730</v>
      </c>
      <c r="F929" s="194">
        <v>5.5</v>
      </c>
      <c r="G929" s="402">
        <v>0</v>
      </c>
      <c r="H929" s="402">
        <v>0</v>
      </c>
      <c r="I929" s="402">
        <v>0</v>
      </c>
      <c r="J929" s="402">
        <v>0</v>
      </c>
      <c r="K929" s="402">
        <v>0</v>
      </c>
      <c r="L929" s="402">
        <v>0</v>
      </c>
      <c r="M929" s="402">
        <v>0</v>
      </c>
      <c r="N929" s="402">
        <v>0</v>
      </c>
      <c r="O929" s="402">
        <v>0</v>
      </c>
      <c r="P929" s="401"/>
      <c r="Q929" s="401">
        <f t="shared" si="38"/>
        <v>0</v>
      </c>
      <c r="R929" s="3" t="str">
        <f>_xlfn.IFNA(VLOOKUP(Tabella1[[#This Row],[Nome]],'ROSE SQUADRE'!$N$3:$O$260,2,0),"")</f>
        <v/>
      </c>
      <c r="S929" s="193">
        <f>SUM(Tabella1[[#This Row],[Gf]],Tabella1[[#This Row],[Rf]])</f>
        <v>0</v>
      </c>
      <c r="T929" s="193"/>
      <c r="U929" s="285" t="str">
        <f>IF(Tabella1[[#This Row],[N° FantaTit]]="","",Tabella1[[#This Row],[fanta voto]])</f>
        <v/>
      </c>
      <c r="V929" s="193">
        <f>SUM(Tabella1[[#This Row],[Voto]],(G929*3),Q929,P929,O929,-(N929),(-M929/2),(-L929*2),(-H929),(I929*3),(-J929*3),(K929*3))</f>
        <v>5.5</v>
      </c>
      <c r="W929" s="193"/>
      <c r="X929" s="193" t="str">
        <f>IF(Tabella1[[#This Row],[Best 11]]=1,Tabella1[[#This Row],[fanta voto]],"")</f>
        <v/>
      </c>
      <c r="Z929" s="193" t="str">
        <f>IF(Tabella1[[#This Row],[Best 11 MOD]]=1,Tabella1[[#This Row],[fanta voto]],"")</f>
        <v/>
      </c>
      <c r="AA929" t="str">
        <f>CONCATENATE(Tabella1[[#This Row],[GG]],Tabella1[[#This Row],[Nome]])</f>
        <v>4Monterisi</v>
      </c>
      <c r="AB929" t="str">
        <f t="shared" si="39"/>
        <v>4</v>
      </c>
      <c r="AC929" t="str">
        <f>_xlfn.CONCAT(Tabella1[[#This Row],[Ruolo]],Tabella1[[#This Row],[Gs]])</f>
        <v>D0</v>
      </c>
    </row>
    <row r="930" spans="1:29" hidden="1" x14ac:dyDescent="0.3">
      <c r="A930" s="14">
        <v>46277</v>
      </c>
      <c r="B930" s="15">
        <v>4</v>
      </c>
      <c r="C930" s="321" t="str">
        <f>_xlfn.XLOOKUP(Tabella1[[#This Row],[Nome]],Tabella4[NOME],Tabella4[SQUADRA],"")</f>
        <v>Frosinone</v>
      </c>
      <c r="D930" s="330" t="s">
        <v>161</v>
      </c>
      <c r="E930" s="330" t="s">
        <v>729</v>
      </c>
      <c r="F930" s="331">
        <v>5.5</v>
      </c>
      <c r="G930" s="404">
        <v>0</v>
      </c>
      <c r="H930" s="404">
        <v>0</v>
      </c>
      <c r="I930" s="404">
        <v>0</v>
      </c>
      <c r="J930" s="404">
        <v>0</v>
      </c>
      <c r="K930" s="404">
        <v>0</v>
      </c>
      <c r="L930" s="404">
        <v>0</v>
      </c>
      <c r="M930" s="405">
        <v>1</v>
      </c>
      <c r="N930" s="404">
        <v>0</v>
      </c>
      <c r="O930" s="404">
        <v>0</v>
      </c>
      <c r="P930" s="401"/>
      <c r="Q930" s="401">
        <f t="shared" si="38"/>
        <v>0</v>
      </c>
      <c r="R930" s="3" t="str">
        <f>_xlfn.IFNA(VLOOKUP(Tabella1[[#This Row],[Nome]],'ROSE SQUADRE'!$N$3:$O$260,2,0),"")</f>
        <v/>
      </c>
      <c r="S930" s="193">
        <f>SUM(Tabella1[[#This Row],[Gf]],Tabella1[[#This Row],[Rf]])</f>
        <v>0</v>
      </c>
      <c r="T930" s="193"/>
      <c r="U930" s="285" t="str">
        <f>IF(Tabella1[[#This Row],[N° FantaTit]]="","",Tabella1[[#This Row],[fanta voto]])</f>
        <v/>
      </c>
      <c r="V930" s="193">
        <f>SUM(Tabella1[[#This Row],[Voto]],(G930*3),Q930,P930,O930,-(N930),(-M930/2),(-L930*2),(-H930),(I930*3),(-J930*3),(K930*3))</f>
        <v>5</v>
      </c>
      <c r="W930" s="193"/>
      <c r="X930" s="193" t="str">
        <f>IF(Tabella1[[#This Row],[Best 11]]=1,Tabella1[[#This Row],[fanta voto]],"")</f>
        <v/>
      </c>
      <c r="Z930" s="193" t="str">
        <f>IF(Tabella1[[#This Row],[Best 11 MOD]]=1,Tabella1[[#This Row],[fanta voto]],"")</f>
        <v/>
      </c>
      <c r="AA930" t="str">
        <f>CONCATENATE(Tabella1[[#This Row],[GG]],Tabella1[[#This Row],[Nome]])</f>
        <v>4Cittadini</v>
      </c>
      <c r="AB930" t="str">
        <f t="shared" si="39"/>
        <v>4</v>
      </c>
      <c r="AC930" t="str">
        <f>_xlfn.CONCAT(Tabella1[[#This Row],[Ruolo]],Tabella1[[#This Row],[Gs]])</f>
        <v>D0</v>
      </c>
    </row>
    <row r="931" spans="1:29" hidden="1" x14ac:dyDescent="0.3">
      <c r="A931" s="14">
        <v>46277</v>
      </c>
      <c r="B931" s="15">
        <v>4</v>
      </c>
      <c r="C931" s="321" t="str">
        <f>_xlfn.XLOOKUP(Tabella1[[#This Row],[Nome]],Tabella4[NOME],Tabella4[SQUADRA],"")</f>
        <v>Frosinone</v>
      </c>
      <c r="D931" t="s">
        <v>161</v>
      </c>
      <c r="E931" t="s">
        <v>732</v>
      </c>
      <c r="F931" s="194">
        <v>6</v>
      </c>
      <c r="G931" s="402">
        <v>0</v>
      </c>
      <c r="H931" s="402">
        <v>0</v>
      </c>
      <c r="I931" s="402">
        <v>0</v>
      </c>
      <c r="J931" s="402">
        <v>0</v>
      </c>
      <c r="K931" s="402">
        <v>0</v>
      </c>
      <c r="L931" s="402">
        <v>0</v>
      </c>
      <c r="M931" s="402">
        <v>0</v>
      </c>
      <c r="N931" s="402">
        <v>0</v>
      </c>
      <c r="O931" s="402">
        <v>0</v>
      </c>
      <c r="P931" s="401"/>
      <c r="Q931" s="401">
        <f t="shared" si="38"/>
        <v>0</v>
      </c>
      <c r="R931" s="3" t="str">
        <f>_xlfn.IFNA(VLOOKUP(Tabella1[[#This Row],[Nome]],'ROSE SQUADRE'!$N$3:$O$260,2,0),"")</f>
        <v/>
      </c>
      <c r="S931" s="193">
        <f>SUM(Tabella1[[#This Row],[Gf]],Tabella1[[#This Row],[Rf]])</f>
        <v>0</v>
      </c>
      <c r="T931" s="193"/>
      <c r="U931" s="285" t="str">
        <f>IF(Tabella1[[#This Row],[N° FantaTit]]="","",Tabella1[[#This Row],[fanta voto]])</f>
        <v/>
      </c>
      <c r="V931" s="193">
        <f>SUM(Tabella1[[#This Row],[Voto]],(G931*3),Q931,P931,O931,-(N931),(-M931/2),(-L931*2),(-H931),(I931*3),(-J931*3),(K931*3))</f>
        <v>6</v>
      </c>
      <c r="W931" s="193"/>
      <c r="X931" s="193" t="str">
        <f>IF(Tabella1[[#This Row],[Best 11]]=1,Tabella1[[#This Row],[fanta voto]],"")</f>
        <v/>
      </c>
      <c r="Z931" s="193" t="str">
        <f>IF(Tabella1[[#This Row],[Best 11 MOD]]=1,Tabella1[[#This Row],[fanta voto]],"")</f>
        <v/>
      </c>
      <c r="AA931" t="str">
        <f>CONCATENATE(Tabella1[[#This Row],[GG]],Tabella1[[#This Row],[Nome]])</f>
        <v>4Oyono A.</v>
      </c>
      <c r="AB931" t="str">
        <f t="shared" si="39"/>
        <v>4</v>
      </c>
      <c r="AC931" t="str">
        <f>_xlfn.CONCAT(Tabella1[[#This Row],[Ruolo]],Tabella1[[#This Row],[Gs]])</f>
        <v>D0</v>
      </c>
    </row>
    <row r="932" spans="1:29" hidden="1" x14ac:dyDescent="0.3">
      <c r="A932" s="14">
        <v>46277</v>
      </c>
      <c r="B932" s="15">
        <v>4</v>
      </c>
      <c r="C932" s="321" t="str">
        <f>_xlfn.XLOOKUP(Tabella1[[#This Row],[Nome]],Tabella4[NOME],Tabella4[SQUADRA],"")</f>
        <v>Frosinone</v>
      </c>
      <c r="D932" s="330" t="s">
        <v>161</v>
      </c>
      <c r="E932" s="330" t="s">
        <v>728</v>
      </c>
      <c r="F932" s="331">
        <v>6</v>
      </c>
      <c r="G932" s="404">
        <v>0</v>
      </c>
      <c r="H932" s="404">
        <v>0</v>
      </c>
      <c r="I932" s="404">
        <v>0</v>
      </c>
      <c r="J932" s="404">
        <v>0</v>
      </c>
      <c r="K932" s="404">
        <v>0</v>
      </c>
      <c r="L932" s="404">
        <v>0</v>
      </c>
      <c r="M932" s="404">
        <v>0</v>
      </c>
      <c r="N932" s="404">
        <v>0</v>
      </c>
      <c r="O932" s="404">
        <v>0</v>
      </c>
      <c r="P932" s="401"/>
      <c r="Q932" s="401">
        <f t="shared" si="38"/>
        <v>0</v>
      </c>
      <c r="R932" s="3" t="str">
        <f>_xlfn.IFNA(VLOOKUP(Tabella1[[#This Row],[Nome]],'ROSE SQUADRE'!$N$3:$O$260,2,0),"")</f>
        <v/>
      </c>
      <c r="S932" s="193">
        <f>SUM(Tabella1[[#This Row],[Gf]],Tabella1[[#This Row],[Rf]])</f>
        <v>0</v>
      </c>
      <c r="T932" s="193"/>
      <c r="U932" s="285" t="str">
        <f>IF(Tabella1[[#This Row],[N° FantaTit]]="","",Tabella1[[#This Row],[fanta voto]])</f>
        <v/>
      </c>
      <c r="V932" s="193">
        <f>SUM(Tabella1[[#This Row],[Voto]],(G932*3),Q932,P932,O932,-(N932),(-M932/2),(-L932*2),(-H932),(I932*3),(-J932*3),(K932*3))</f>
        <v>6</v>
      </c>
      <c r="W932" s="193"/>
      <c r="X932" s="193" t="str">
        <f>IF(Tabella1[[#This Row],[Best 11]]=1,Tabella1[[#This Row],[fanta voto]],"")</f>
        <v/>
      </c>
      <c r="Z932" s="193" t="str">
        <f>IF(Tabella1[[#This Row],[Best 11 MOD]]=1,Tabella1[[#This Row],[fanta voto]],"")</f>
        <v/>
      </c>
      <c r="AA932" t="str">
        <f>CONCATENATE(Tabella1[[#This Row],[GG]],Tabella1[[#This Row],[Nome]])</f>
        <v>4Calvani</v>
      </c>
      <c r="AB932" t="str">
        <f t="shared" si="39"/>
        <v>4</v>
      </c>
      <c r="AC932" t="str">
        <f>_xlfn.CONCAT(Tabella1[[#This Row],[Ruolo]],Tabella1[[#This Row],[Gs]])</f>
        <v>D0</v>
      </c>
    </row>
    <row r="933" spans="1:29" hidden="1" x14ac:dyDescent="0.3">
      <c r="A933" s="14">
        <v>46277</v>
      </c>
      <c r="B933" s="15">
        <v>4</v>
      </c>
      <c r="C933" s="321" t="str">
        <f>_xlfn.XLOOKUP(Tabella1[[#This Row],[Nome]],Tabella4[NOME],Tabella4[SQUADRA],"")</f>
        <v>Lazio</v>
      </c>
      <c r="D933" s="330" t="s">
        <v>161</v>
      </c>
      <c r="E933" s="330" t="s">
        <v>804</v>
      </c>
      <c r="F933" s="331">
        <v>6</v>
      </c>
      <c r="G933" s="404">
        <v>0</v>
      </c>
      <c r="H933" s="404">
        <v>0</v>
      </c>
      <c r="I933" s="404">
        <v>0</v>
      </c>
      <c r="J933" s="404">
        <v>0</v>
      </c>
      <c r="K933" s="404">
        <v>0</v>
      </c>
      <c r="L933" s="404">
        <v>0</v>
      </c>
      <c r="M933" s="404">
        <v>0</v>
      </c>
      <c r="N933" s="404">
        <v>0</v>
      </c>
      <c r="O933" s="404">
        <v>0</v>
      </c>
      <c r="P933" s="401"/>
      <c r="Q933" s="401">
        <f t="shared" si="38"/>
        <v>0</v>
      </c>
      <c r="R933" s="3" t="str">
        <f>_xlfn.IFNA(VLOOKUP(Tabella1[[#This Row],[Nome]],'ROSE SQUADRE'!$N$3:$O$260,2,0),"")</f>
        <v>SAN GRIA</v>
      </c>
      <c r="S933" s="193">
        <f>SUM(Tabella1[[#This Row],[Gf]],Tabella1[[#This Row],[Rf]])</f>
        <v>0</v>
      </c>
      <c r="T933" s="193">
        <v>1</v>
      </c>
      <c r="U933" s="285">
        <f>IF(Tabella1[[#This Row],[N° FantaTit]]="","",Tabella1[[#This Row],[fanta voto]])</f>
        <v>6</v>
      </c>
      <c r="V933" s="193">
        <f>SUM(Tabella1[[#This Row],[Voto]],(G933*3),Q933,P933,O933,-(N933),(-M933/2),(-L933*2),(-H933),(I933*3),(-J933*3),(K933*3))</f>
        <v>6</v>
      </c>
      <c r="W933" s="193">
        <v>1</v>
      </c>
      <c r="X933" s="193">
        <f>IF(Tabella1[[#This Row],[Best 11]]=1,Tabella1[[#This Row],[fanta voto]],"")</f>
        <v>6</v>
      </c>
      <c r="Y933">
        <v>1</v>
      </c>
      <c r="Z933" s="193">
        <f>IF(Tabella1[[#This Row],[Best 11 MOD]]=1,Tabella1[[#This Row],[fanta voto]],"")</f>
        <v>6</v>
      </c>
      <c r="AA933" t="str">
        <f>CONCATENATE(Tabella1[[#This Row],[GG]],Tabella1[[#This Row],[Nome]])</f>
        <v>4Tavares N.</v>
      </c>
      <c r="AB933" t="str">
        <f t="shared" si="39"/>
        <v>4SAN GRIA1</v>
      </c>
      <c r="AC933" t="str">
        <f>_xlfn.CONCAT(Tabella1[[#This Row],[Ruolo]],Tabella1[[#This Row],[Gs]])</f>
        <v>D0</v>
      </c>
    </row>
    <row r="934" spans="1:29" hidden="1" x14ac:dyDescent="0.3">
      <c r="A934" s="14">
        <v>46277</v>
      </c>
      <c r="B934" s="15">
        <v>4</v>
      </c>
      <c r="C934" s="321" t="str">
        <f>_xlfn.XLOOKUP(Tabella1[[#This Row],[Nome]],Tabella4[NOME],Tabella4[SQUADRA],"")</f>
        <v>Frosinone</v>
      </c>
      <c r="D934" t="s">
        <v>162</v>
      </c>
      <c r="E934" t="s">
        <v>737</v>
      </c>
      <c r="F934" s="194">
        <v>6.5</v>
      </c>
      <c r="G934" s="402">
        <v>0</v>
      </c>
      <c r="H934" s="402">
        <v>0</v>
      </c>
      <c r="I934" s="402">
        <v>0</v>
      </c>
      <c r="J934" s="402">
        <v>0</v>
      </c>
      <c r="K934" s="402">
        <v>0</v>
      </c>
      <c r="L934" s="402">
        <v>0</v>
      </c>
      <c r="M934" s="402">
        <v>0</v>
      </c>
      <c r="N934" s="402">
        <v>0</v>
      </c>
      <c r="O934" s="402">
        <v>0</v>
      </c>
      <c r="P934" s="401"/>
      <c r="Q934" s="401">
        <f t="shared" si="38"/>
        <v>0</v>
      </c>
      <c r="R934" s="3" t="str">
        <f>_xlfn.IFNA(VLOOKUP(Tabella1[[#This Row],[Nome]],'ROSE SQUADRE'!$N$3:$O$260,2,0),"")</f>
        <v/>
      </c>
      <c r="S934" s="193">
        <f>SUM(Tabella1[[#This Row],[Gf]],Tabella1[[#This Row],[Rf]])</f>
        <v>0</v>
      </c>
      <c r="T934" s="193"/>
      <c r="U934" s="285" t="str">
        <f>IF(Tabella1[[#This Row],[N° FantaTit]]="","",Tabella1[[#This Row],[fanta voto]])</f>
        <v/>
      </c>
      <c r="V934" s="193">
        <f>SUM(Tabella1[[#This Row],[Voto]],(G934*3),Q934,P934,O934,-(N934),(-M934/2),(-L934*2),(-H934),(I934*3),(-J934*3),(K934*3))</f>
        <v>6.5</v>
      </c>
      <c r="W934" s="193"/>
      <c r="X934" s="193" t="str">
        <f>IF(Tabella1[[#This Row],[Best 11]]=1,Tabella1[[#This Row],[fanta voto]],"")</f>
        <v/>
      </c>
      <c r="Z934" s="193" t="str">
        <f>IF(Tabella1[[#This Row],[Best 11 MOD]]=1,Tabella1[[#This Row],[fanta voto]],"")</f>
        <v/>
      </c>
      <c r="AA934" t="str">
        <f>CONCATENATE(Tabella1[[#This Row],[GG]],Tabella1[[#This Row],[Nome]])</f>
        <v xml:space="preserve">4Fini </v>
      </c>
      <c r="AB934" t="str">
        <f t="shared" si="39"/>
        <v>4</v>
      </c>
      <c r="AC934" t="str">
        <f>_xlfn.CONCAT(Tabella1[[#This Row],[Ruolo]],Tabella1[[#This Row],[Gs]])</f>
        <v>C0</v>
      </c>
    </row>
    <row r="935" spans="1:29" hidden="1" x14ac:dyDescent="0.3">
      <c r="A935" s="14">
        <v>46277</v>
      </c>
      <c r="B935" s="15">
        <v>4</v>
      </c>
      <c r="C935" s="321" t="str">
        <f>_xlfn.XLOOKUP(Tabella1[[#This Row],[Nome]],Tabella4[NOME],Tabella4[SQUADRA],"")</f>
        <v>Frosinone</v>
      </c>
      <c r="D935" s="330" t="s">
        <v>162</v>
      </c>
      <c r="E935" s="330" t="s">
        <v>740</v>
      </c>
      <c r="F935" s="331">
        <v>6</v>
      </c>
      <c r="G935" s="404">
        <v>0</v>
      </c>
      <c r="H935" s="404">
        <v>0</v>
      </c>
      <c r="I935" s="404">
        <v>0</v>
      </c>
      <c r="J935" s="404">
        <v>0</v>
      </c>
      <c r="K935" s="404">
        <v>0</v>
      </c>
      <c r="L935" s="404">
        <v>0</v>
      </c>
      <c r="M935" s="404">
        <v>0</v>
      </c>
      <c r="N935" s="404">
        <v>0</v>
      </c>
      <c r="O935" s="404">
        <v>0</v>
      </c>
      <c r="P935" s="401"/>
      <c r="Q935" s="401">
        <f t="shared" si="38"/>
        <v>0</v>
      </c>
      <c r="R935" s="3" t="str">
        <f>_xlfn.IFNA(VLOOKUP(Tabella1[[#This Row],[Nome]],'ROSE SQUADRE'!$N$3:$O$260,2,0),"")</f>
        <v/>
      </c>
      <c r="S935" s="193">
        <f>SUM(Tabella1[[#This Row],[Gf]],Tabella1[[#This Row],[Rf]])</f>
        <v>0</v>
      </c>
      <c r="T935" s="193"/>
      <c r="U935" s="285" t="str">
        <f>IF(Tabella1[[#This Row],[N° FantaTit]]="","",Tabella1[[#This Row],[fanta voto]])</f>
        <v/>
      </c>
      <c r="V935" s="193">
        <f>SUM(Tabella1[[#This Row],[Voto]],(G935*3),Q935,P935,O935,-(N935),(-M935/2),(-L935*2),(-H935),(I935*3),(-J935*3),(K935*3))</f>
        <v>6</v>
      </c>
      <c r="W935" s="193"/>
      <c r="X935" s="193" t="str">
        <f>IF(Tabella1[[#This Row],[Best 11]]=1,Tabella1[[#This Row],[fanta voto]],"")</f>
        <v/>
      </c>
      <c r="Z935" s="193" t="str">
        <f>IF(Tabella1[[#This Row],[Best 11 MOD]]=1,Tabella1[[#This Row],[fanta voto]],"")</f>
        <v/>
      </c>
      <c r="AA935" t="str">
        <f>CONCATENATE(Tabella1[[#This Row],[GG]],Tabella1[[#This Row],[Nome]])</f>
        <v>4Hasa</v>
      </c>
      <c r="AB935" t="str">
        <f t="shared" si="39"/>
        <v>4</v>
      </c>
      <c r="AC935" t="str">
        <f>_xlfn.CONCAT(Tabella1[[#This Row],[Ruolo]],Tabella1[[#This Row],[Gs]])</f>
        <v>C0</v>
      </c>
    </row>
    <row r="936" spans="1:29" hidden="1" x14ac:dyDescent="0.3">
      <c r="A936" s="14">
        <v>46277</v>
      </c>
      <c r="B936" s="15">
        <v>4</v>
      </c>
      <c r="C936" s="321" t="str">
        <f>_xlfn.XLOOKUP(Tabella1[[#This Row],[Nome]],Tabella4[NOME],Tabella4[SQUADRA],"")</f>
        <v>Frosinone</v>
      </c>
      <c r="D936" t="s">
        <v>162</v>
      </c>
      <c r="E936" t="s">
        <v>743</v>
      </c>
      <c r="F936" s="194">
        <v>6.5</v>
      </c>
      <c r="G936" s="402">
        <v>0</v>
      </c>
      <c r="H936" s="402">
        <v>0</v>
      </c>
      <c r="I936" s="402">
        <v>0</v>
      </c>
      <c r="J936" s="402">
        <v>0</v>
      </c>
      <c r="K936" s="402">
        <v>0</v>
      </c>
      <c r="L936" s="402">
        <v>0</v>
      </c>
      <c r="M936" s="402">
        <v>0</v>
      </c>
      <c r="N936" s="402">
        <v>0</v>
      </c>
      <c r="O936" s="402">
        <v>0</v>
      </c>
      <c r="P936" s="401"/>
      <c r="Q936" s="401">
        <f t="shared" si="38"/>
        <v>0</v>
      </c>
      <c r="R936" s="3" t="str">
        <f>_xlfn.IFNA(VLOOKUP(Tabella1[[#This Row],[Nome]],'ROSE SQUADRE'!$N$3:$O$260,2,0),"")</f>
        <v/>
      </c>
      <c r="S936" s="193">
        <f>SUM(Tabella1[[#This Row],[Gf]],Tabella1[[#This Row],[Rf]])</f>
        <v>0</v>
      </c>
      <c r="T936" s="193"/>
      <c r="U936" s="285" t="str">
        <f>IF(Tabella1[[#This Row],[N° FantaTit]]="","",Tabella1[[#This Row],[fanta voto]])</f>
        <v/>
      </c>
      <c r="V936" s="193">
        <f>SUM(Tabella1[[#This Row],[Voto]],(G936*3),Q936,P936,O936,-(N936),(-M936/2),(-L936*2),(-H936),(I936*3),(-J936*3),(K936*3))</f>
        <v>6.5</v>
      </c>
      <c r="W936" s="193"/>
      <c r="X936" s="193" t="str">
        <f>IF(Tabella1[[#This Row],[Best 11]]=1,Tabella1[[#This Row],[fanta voto]],"")</f>
        <v/>
      </c>
      <c r="Z936" s="193" t="str">
        <f>IF(Tabella1[[#This Row],[Best 11 MOD]]=1,Tabella1[[#This Row],[fanta voto]],"")</f>
        <v/>
      </c>
      <c r="AA936" t="str">
        <f>CONCATENATE(Tabella1[[#This Row],[GG]],Tabella1[[#This Row],[Nome]])</f>
        <v>4Masini</v>
      </c>
      <c r="AB936" t="str">
        <f t="shared" si="39"/>
        <v>4</v>
      </c>
      <c r="AC936" t="str">
        <f>_xlfn.CONCAT(Tabella1[[#This Row],[Ruolo]],Tabella1[[#This Row],[Gs]])</f>
        <v>C0</v>
      </c>
    </row>
    <row r="937" spans="1:29" hidden="1" x14ac:dyDescent="0.3">
      <c r="A937" s="14">
        <v>46277</v>
      </c>
      <c r="B937" s="15">
        <v>4</v>
      </c>
      <c r="C937" s="321" t="str">
        <f>_xlfn.XLOOKUP(Tabella1[[#This Row],[Nome]],Tabella4[NOME],Tabella4[SQUADRA],"")</f>
        <v>Inter</v>
      </c>
      <c r="D937" t="s">
        <v>161</v>
      </c>
      <c r="E937" t="s">
        <v>275</v>
      </c>
      <c r="F937" s="194">
        <v>6</v>
      </c>
      <c r="G937" s="402">
        <v>0</v>
      </c>
      <c r="H937" s="402">
        <v>0</v>
      </c>
      <c r="I937" s="402">
        <v>0</v>
      </c>
      <c r="J937" s="402">
        <v>0</v>
      </c>
      <c r="K937" s="402">
        <v>0</v>
      </c>
      <c r="L937" s="402">
        <v>0</v>
      </c>
      <c r="M937" s="402">
        <v>0</v>
      </c>
      <c r="N937" s="402">
        <v>0</v>
      </c>
      <c r="O937" s="402">
        <v>0</v>
      </c>
      <c r="P937" s="401"/>
      <c r="Q937" s="401">
        <f t="shared" si="38"/>
        <v>0</v>
      </c>
      <c r="R937" s="3" t="str">
        <f>_xlfn.IFNA(VLOOKUP(Tabella1[[#This Row],[Nome]],'ROSE SQUADRE'!$N$3:$O$260,2,0),"")</f>
        <v>TRICCHETRACHT</v>
      </c>
      <c r="S937" s="193">
        <f>SUM(Tabella1[[#This Row],[Gf]],Tabella1[[#This Row],[Rf]])</f>
        <v>0</v>
      </c>
      <c r="T937" s="193">
        <v>1</v>
      </c>
      <c r="U937" s="285">
        <f>IF(Tabella1[[#This Row],[N° FantaTit]]="","",Tabella1[[#This Row],[fanta voto]])</f>
        <v>6</v>
      </c>
      <c r="V937" s="193">
        <f>SUM(Tabella1[[#This Row],[Voto]],(G937*3),Q937,P937,O937,-(N937),(-M937/2),(-L937*2),(-H937),(I937*3),(-J937*3),(K937*3))</f>
        <v>6</v>
      </c>
      <c r="W937" s="193">
        <v>1</v>
      </c>
      <c r="X937" s="193">
        <f>IF(Tabella1[[#This Row],[Best 11]]=1,Tabella1[[#This Row],[fanta voto]],"")</f>
        <v>6</v>
      </c>
      <c r="Y937">
        <v>1</v>
      </c>
      <c r="Z937" s="193">
        <f>IF(Tabella1[[#This Row],[Best 11 MOD]]=1,Tabella1[[#This Row],[fanta voto]],"")</f>
        <v>6</v>
      </c>
      <c r="AA937" t="str">
        <f>CONCATENATE(Tabella1[[#This Row],[GG]],Tabella1[[#This Row],[Nome]])</f>
        <v>4Dimarco</v>
      </c>
      <c r="AB937" t="str">
        <f t="shared" si="39"/>
        <v>4TRICCHETRACHT1</v>
      </c>
      <c r="AC937" t="str">
        <f>_xlfn.CONCAT(Tabella1[[#This Row],[Ruolo]],Tabella1[[#This Row],[Gs]])</f>
        <v>D0</v>
      </c>
    </row>
    <row r="938" spans="1:29" hidden="1" x14ac:dyDescent="0.3">
      <c r="A938" s="14">
        <v>46277</v>
      </c>
      <c r="B938" s="15">
        <v>4</v>
      </c>
      <c r="C938" s="321" t="str">
        <f>_xlfn.XLOOKUP(Tabella1[[#This Row],[Nome]],Tabella4[NOME],Tabella4[SQUADRA],"")</f>
        <v>Frosinone</v>
      </c>
      <c r="D938" t="s">
        <v>162</v>
      </c>
      <c r="E938" t="s">
        <v>744</v>
      </c>
      <c r="F938" s="194">
        <v>6.5</v>
      </c>
      <c r="G938" s="402">
        <v>0</v>
      </c>
      <c r="H938" s="402">
        <v>0</v>
      </c>
      <c r="I938" s="402">
        <v>0</v>
      </c>
      <c r="J938" s="402">
        <v>0</v>
      </c>
      <c r="K938" s="402">
        <v>0</v>
      </c>
      <c r="L938" s="402">
        <v>0</v>
      </c>
      <c r="M938" s="402">
        <v>0</v>
      </c>
      <c r="N938" s="402">
        <v>0</v>
      </c>
      <c r="O938" s="403">
        <v>1</v>
      </c>
      <c r="P938" s="401"/>
      <c r="Q938" s="401">
        <f t="shared" si="38"/>
        <v>0</v>
      </c>
      <c r="R938" s="3" t="str">
        <f>_xlfn.IFNA(VLOOKUP(Tabella1[[#This Row],[Nome]],'ROSE SQUADRE'!$N$3:$O$260,2,0),"")</f>
        <v/>
      </c>
      <c r="S938" s="193">
        <f>SUM(Tabella1[[#This Row],[Gf]],Tabella1[[#This Row],[Rf]])</f>
        <v>0</v>
      </c>
      <c r="T938" s="193"/>
      <c r="U938" s="285" t="str">
        <f>IF(Tabella1[[#This Row],[N° FantaTit]]="","",Tabella1[[#This Row],[fanta voto]])</f>
        <v/>
      </c>
      <c r="V938" s="193">
        <f>SUM(Tabella1[[#This Row],[Voto]],(G938*3),Q938,P938,O938,-(N938),(-M938/2),(-L938*2),(-H938),(I938*3),(-J938*3),(K938*3))</f>
        <v>7.5</v>
      </c>
      <c r="W938" s="193"/>
      <c r="X938" s="193" t="str">
        <f>IF(Tabella1[[#This Row],[Best 11]]=1,Tabella1[[#This Row],[fanta voto]],"")</f>
        <v/>
      </c>
      <c r="Z938" s="193" t="str">
        <f>IF(Tabella1[[#This Row],[Best 11 MOD]]=1,Tabella1[[#This Row],[fanta voto]],"")</f>
        <v/>
      </c>
      <c r="AA938" t="str">
        <f>CONCATENATE(Tabella1[[#This Row],[GG]],Tabella1[[#This Row],[Nome]])</f>
        <v>4Schmid</v>
      </c>
      <c r="AB938" t="str">
        <f t="shared" si="39"/>
        <v>4</v>
      </c>
      <c r="AC938" t="str">
        <f>_xlfn.CONCAT(Tabella1[[#This Row],[Ruolo]],Tabella1[[#This Row],[Gs]])</f>
        <v>C0</v>
      </c>
    </row>
    <row r="939" spans="1:29" hidden="1" x14ac:dyDescent="0.3">
      <c r="A939" s="14">
        <v>46277</v>
      </c>
      <c r="B939" s="15">
        <v>4</v>
      </c>
      <c r="C939" s="321" t="str">
        <f>_xlfn.XLOOKUP(Tabella1[[#This Row],[Nome]],Tabella4[NOME],Tabella4[SQUADRA],"")</f>
        <v>Atalanta</v>
      </c>
      <c r="D939" s="330" t="s">
        <v>161</v>
      </c>
      <c r="E939" s="330" t="s">
        <v>636</v>
      </c>
      <c r="F939" s="331">
        <v>5.5</v>
      </c>
      <c r="G939" s="404">
        <v>0</v>
      </c>
      <c r="H939" s="404">
        <v>0</v>
      </c>
      <c r="I939" s="404">
        <v>0</v>
      </c>
      <c r="J939" s="404">
        <v>0</v>
      </c>
      <c r="K939" s="404">
        <v>0</v>
      </c>
      <c r="L939" s="404">
        <v>0</v>
      </c>
      <c r="M939" s="404">
        <v>0</v>
      </c>
      <c r="N939" s="404">
        <v>0</v>
      </c>
      <c r="O939" s="404">
        <v>0</v>
      </c>
      <c r="P939" s="284"/>
      <c r="Q939" s="284">
        <f t="shared" si="38"/>
        <v>0</v>
      </c>
      <c r="R939" s="3" t="str">
        <f>_xlfn.IFNA(VLOOKUP(Tabella1[[#This Row],[Nome]],'ROSE SQUADRE'!$N$3:$O$260,2,0),"")</f>
        <v>SESTO ASENSIO</v>
      </c>
      <c r="S939" s="193">
        <f>SUM(Tabella1[[#This Row],[Gf]],Tabella1[[#This Row],[Rf]])</f>
        <v>0</v>
      </c>
      <c r="T939" s="193">
        <v>1</v>
      </c>
      <c r="U939" s="285">
        <f>IF(Tabella1[[#This Row],[N° FantaTit]]="","",Tabella1[[#This Row],[fanta voto]])</f>
        <v>5.5</v>
      </c>
      <c r="V939" s="193">
        <f>SUM(Tabella1[[#This Row],[Voto]],(G939*3),Q939,P939,O939,-(N939),(-M939/2),(-L939*2),(-H939),(I939*3),(-J939*3),(K939*3))</f>
        <v>5.5</v>
      </c>
      <c r="W939" s="193">
        <v>1</v>
      </c>
      <c r="X939" s="193">
        <f>IF(Tabella1[[#This Row],[Best 11]]=1,Tabella1[[#This Row],[fanta voto]],"")</f>
        <v>5.5</v>
      </c>
      <c r="Y939">
        <v>1</v>
      </c>
      <c r="Z939" s="193">
        <f>IF(Tabella1[[#This Row],[Best 11 MOD]]=1,Tabella1[[#This Row],[fanta voto]],"")</f>
        <v>5.5</v>
      </c>
      <c r="AA939" t="str">
        <f>CONCATENATE(Tabella1[[#This Row],[GG]],Tabella1[[#This Row],[Nome]])</f>
        <v>4Scalvini</v>
      </c>
      <c r="AB939" t="str">
        <f t="shared" si="39"/>
        <v>4SESTO ASENSIO1</v>
      </c>
      <c r="AC939" t="str">
        <f>_xlfn.CONCAT(Tabella1[[#This Row],[Ruolo]],Tabella1[[#This Row],[Gs]])</f>
        <v>D0</v>
      </c>
    </row>
    <row r="940" spans="1:29" hidden="1" x14ac:dyDescent="0.3">
      <c r="A940" s="14">
        <v>46277</v>
      </c>
      <c r="B940" s="15">
        <v>4</v>
      </c>
      <c r="C940" s="321" t="str">
        <f>_xlfn.XLOOKUP(Tabella1[[#This Row],[Nome]],Tabella4[NOME],Tabella4[SQUADRA],"")</f>
        <v>Atalanta</v>
      </c>
      <c r="D940" s="330" t="s">
        <v>161</v>
      </c>
      <c r="E940" s="330" t="s">
        <v>638</v>
      </c>
      <c r="F940" s="331">
        <v>6</v>
      </c>
      <c r="G940" s="404">
        <v>0</v>
      </c>
      <c r="H940" s="404">
        <v>0</v>
      </c>
      <c r="I940" s="404">
        <v>0</v>
      </c>
      <c r="J940" s="404">
        <v>0</v>
      </c>
      <c r="K940" s="404">
        <v>0</v>
      </c>
      <c r="L940" s="404">
        <v>0</v>
      </c>
      <c r="M940" s="404">
        <v>0</v>
      </c>
      <c r="N940" s="404">
        <v>0</v>
      </c>
      <c r="O940" s="404">
        <v>0</v>
      </c>
      <c r="P940" s="284"/>
      <c r="Q940" s="284">
        <f t="shared" si="38"/>
        <v>0</v>
      </c>
      <c r="R940" s="3" t="str">
        <f>_xlfn.IFNA(VLOOKUP(Tabella1[[#This Row],[Nome]],'ROSE SQUADRE'!$N$3:$O$260,2,0),"")</f>
        <v>PARTIZAN DEGRADO</v>
      </c>
      <c r="S940" s="193">
        <f>SUM(Tabella1[[#This Row],[Gf]],Tabella1[[#This Row],[Rf]])</f>
        <v>0</v>
      </c>
      <c r="T940" s="193">
        <v>1</v>
      </c>
      <c r="U940" s="285">
        <f>IF(Tabella1[[#This Row],[N° FantaTit]]="","",Tabella1[[#This Row],[fanta voto]])</f>
        <v>6</v>
      </c>
      <c r="V940" s="193">
        <f>SUM(Tabella1[[#This Row],[Voto]],(G940*3),Q940,P940,O940,-(N940),(-M940/2),(-L940*2),(-H940),(I940*3),(-J940*3),(K940*3))</f>
        <v>6</v>
      </c>
      <c r="W940" s="193">
        <v>1</v>
      </c>
      <c r="X940" s="193">
        <f>IF(Tabella1[[#This Row],[Best 11]]=1,Tabella1[[#This Row],[fanta voto]],"")</f>
        <v>6</v>
      </c>
      <c r="Y940">
        <v>1</v>
      </c>
      <c r="Z940" s="193">
        <f>IF(Tabella1[[#This Row],[Best 11 MOD]]=1,Tabella1[[#This Row],[fanta voto]],"")</f>
        <v>6</v>
      </c>
      <c r="AA940" t="str">
        <f>CONCATENATE(Tabella1[[#This Row],[GG]],Tabella1[[#This Row],[Nome]])</f>
        <v>4Bernasconi</v>
      </c>
      <c r="AB940" t="str">
        <f t="shared" si="39"/>
        <v>4PARTIZAN DEGRADO1</v>
      </c>
      <c r="AC940" t="str">
        <f>_xlfn.CONCAT(Tabella1[[#This Row],[Ruolo]],Tabella1[[#This Row],[Gs]])</f>
        <v>D0</v>
      </c>
    </row>
    <row r="941" spans="1:29" hidden="1" x14ac:dyDescent="0.3">
      <c r="A941" s="14">
        <v>46277</v>
      </c>
      <c r="B941" s="15">
        <v>4</v>
      </c>
      <c r="C941" s="321" t="str">
        <f>_xlfn.XLOOKUP(Tabella1[[#This Row],[Nome]],Tabella4[NOME],Tabella4[SQUADRA],"")</f>
        <v>Frosinone</v>
      </c>
      <c r="D941" s="330" t="s">
        <v>163</v>
      </c>
      <c r="E941" s="330" t="s">
        <v>746</v>
      </c>
      <c r="F941" s="331">
        <v>6.5</v>
      </c>
      <c r="G941" s="404">
        <v>0</v>
      </c>
      <c r="H941" s="404">
        <v>0</v>
      </c>
      <c r="I941" s="404">
        <v>0</v>
      </c>
      <c r="J941" s="404">
        <v>0</v>
      </c>
      <c r="K941" s="404">
        <v>0</v>
      </c>
      <c r="L941" s="404">
        <v>0</v>
      </c>
      <c r="M941" s="404">
        <v>0</v>
      </c>
      <c r="N941" s="404">
        <v>0</v>
      </c>
      <c r="O941" s="404">
        <v>0</v>
      </c>
      <c r="P941" s="401"/>
      <c r="Q941" s="401">
        <f t="shared" si="38"/>
        <v>0</v>
      </c>
      <c r="R941" s="3" t="str">
        <f>_xlfn.IFNA(VLOOKUP(Tabella1[[#This Row],[Nome]],'ROSE SQUADRE'!$N$3:$O$260,2,0),"")</f>
        <v/>
      </c>
      <c r="S941" s="193">
        <f>SUM(Tabella1[[#This Row],[Gf]],Tabella1[[#This Row],[Rf]])</f>
        <v>0</v>
      </c>
      <c r="T941" s="193"/>
      <c r="U941" s="285" t="str">
        <f>IF(Tabella1[[#This Row],[N° FantaTit]]="","",Tabella1[[#This Row],[fanta voto]])</f>
        <v/>
      </c>
      <c r="V941" s="193">
        <f>SUM(Tabella1[[#This Row],[Voto]],(G941*3),Q941,P941,O941,-(N941),(-M941/2),(-L941*2),(-H941),(I941*3),(-J941*3),(K941*3))</f>
        <v>6.5</v>
      </c>
      <c r="W941" s="193"/>
      <c r="X941" s="193" t="str">
        <f>IF(Tabella1[[#This Row],[Best 11]]=1,Tabella1[[#This Row],[fanta voto]],"")</f>
        <v/>
      </c>
      <c r="Z941" s="193" t="str">
        <f>IF(Tabella1[[#This Row],[Best 11 MOD]]=1,Tabella1[[#This Row],[fanta voto]],"")</f>
        <v/>
      </c>
      <c r="AA941" t="str">
        <f>CONCATENATE(Tabella1[[#This Row],[GG]],Tabella1[[#This Row],[Nome]])</f>
        <v>4Ghedjemis</v>
      </c>
      <c r="AB941" t="str">
        <f t="shared" si="39"/>
        <v>4</v>
      </c>
      <c r="AC941" t="str">
        <f>_xlfn.CONCAT(Tabella1[[#This Row],[Ruolo]],Tabella1[[#This Row],[Gs]])</f>
        <v>A0</v>
      </c>
    </row>
    <row r="942" spans="1:29" hidden="1" x14ac:dyDescent="0.3">
      <c r="A942" s="14">
        <v>46277</v>
      </c>
      <c r="B942" s="15">
        <v>4</v>
      </c>
      <c r="C942" s="321" t="str">
        <f>_xlfn.XLOOKUP(Tabella1[[#This Row],[Nome]],Tabella4[NOME],Tabella4[SQUADRA],"")</f>
        <v>Frosinone</v>
      </c>
      <c r="D942" t="s">
        <v>163</v>
      </c>
      <c r="E942" t="s">
        <v>1087</v>
      </c>
      <c r="F942" s="194">
        <v>6</v>
      </c>
      <c r="G942" s="402">
        <v>0</v>
      </c>
      <c r="H942" s="402">
        <v>0</v>
      </c>
      <c r="I942" s="402">
        <v>0</v>
      </c>
      <c r="J942" s="402">
        <v>0</v>
      </c>
      <c r="K942" s="402">
        <v>0</v>
      </c>
      <c r="L942" s="402">
        <v>0</v>
      </c>
      <c r="M942" s="402">
        <v>0</v>
      </c>
      <c r="N942" s="402">
        <v>0</v>
      </c>
      <c r="O942" s="402">
        <v>0</v>
      </c>
      <c r="P942" s="401"/>
      <c r="Q942" s="401">
        <f t="shared" si="38"/>
        <v>0</v>
      </c>
      <c r="R942" s="3" t="str">
        <f>_xlfn.IFNA(VLOOKUP(Tabella1[[#This Row],[Nome]],'ROSE SQUADRE'!$N$3:$O$260,2,0),"")</f>
        <v/>
      </c>
      <c r="S942" s="193">
        <f>SUM(Tabella1[[#This Row],[Gf]],Tabella1[[#This Row],[Rf]])</f>
        <v>0</v>
      </c>
      <c r="T942" s="193"/>
      <c r="U942" s="285" t="str">
        <f>IF(Tabella1[[#This Row],[N° FantaTit]]="","",Tabella1[[#This Row],[fanta voto]])</f>
        <v/>
      </c>
      <c r="V942" s="193">
        <f>SUM(Tabella1[[#This Row],[Voto]],(G942*3),Q942,P942,O942,-(N942),(-M942/2),(-L942*2),(-H942),(I942*3),(-J942*3),(K942*3))</f>
        <v>6</v>
      </c>
      <c r="W942" s="193"/>
      <c r="X942" s="193" t="str">
        <f>IF(Tabella1[[#This Row],[Best 11]]=1,Tabella1[[#This Row],[fanta voto]],"")</f>
        <v/>
      </c>
      <c r="Z942" s="193" t="str">
        <f>IF(Tabella1[[#This Row],[Best 11 MOD]]=1,Tabella1[[#This Row],[fanta voto]],"")</f>
        <v/>
      </c>
      <c r="AA942" t="str">
        <f>CONCATENATE(Tabella1[[#This Row],[GG]],Tabella1[[#This Row],[Nome]])</f>
        <v>4Bobcek</v>
      </c>
      <c r="AB942" t="str">
        <f t="shared" si="39"/>
        <v>4</v>
      </c>
      <c r="AC942" t="str">
        <f>_xlfn.CONCAT(Tabella1[[#This Row],[Ruolo]],Tabella1[[#This Row],[Gs]])</f>
        <v>A0</v>
      </c>
    </row>
    <row r="943" spans="1:29" hidden="1" x14ac:dyDescent="0.3">
      <c r="A943" s="14">
        <v>46277</v>
      </c>
      <c r="B943" s="15">
        <v>4</v>
      </c>
      <c r="C943" s="321" t="str">
        <f>_xlfn.XLOOKUP(Tabella1[[#This Row],[Nome]],Tabella4[NOME],Tabella4[SQUADRA],"")</f>
        <v>Torino</v>
      </c>
      <c r="D943" t="s">
        <v>5</v>
      </c>
      <c r="E943" t="s">
        <v>1046</v>
      </c>
      <c r="F943" s="194">
        <v>5.5</v>
      </c>
      <c r="G943" s="402">
        <v>0</v>
      </c>
      <c r="H943" s="403">
        <v>2</v>
      </c>
      <c r="I943" s="402">
        <v>0</v>
      </c>
      <c r="J943" s="402">
        <v>0</v>
      </c>
      <c r="K943" s="402">
        <v>0</v>
      </c>
      <c r="L943" s="402">
        <v>0</v>
      </c>
      <c r="M943" s="402">
        <v>0</v>
      </c>
      <c r="N943" s="402">
        <v>0</v>
      </c>
      <c r="O943" s="402">
        <v>0</v>
      </c>
      <c r="P943" s="401"/>
      <c r="Q943" s="401">
        <f t="shared" si="38"/>
        <v>0</v>
      </c>
      <c r="R943" s="3" t="str">
        <f>_xlfn.IFNA(VLOOKUP(Tabella1[[#This Row],[Nome]],'ROSE SQUADRE'!$N$3:$O$260,2,0),"")</f>
        <v>AS PIPPERIA</v>
      </c>
      <c r="S943" s="193">
        <f>SUM(Tabella1[[#This Row],[Gf]],Tabella1[[#This Row],[Rf]])</f>
        <v>0</v>
      </c>
      <c r="T943" s="193"/>
      <c r="U943" s="285" t="str">
        <f>IF(Tabella1[[#This Row],[N° FantaTit]]="","",Tabella1[[#This Row],[fanta voto]])</f>
        <v/>
      </c>
      <c r="V943" s="193">
        <f>SUM(Tabella1[[#This Row],[Voto]],(G943*3),Q943,P943,O943,-(N943),(-M943/2),(-L943*2),(-H943),(I943*3),(-J943*3),(K943*3))</f>
        <v>3.5</v>
      </c>
      <c r="W943" s="193"/>
      <c r="X943" s="193" t="str">
        <f>IF(Tabella1[[#This Row],[Best 11]]=1,Tabella1[[#This Row],[fanta voto]],"")</f>
        <v/>
      </c>
      <c r="Z943" s="193" t="str">
        <f>IF(Tabella1[[#This Row],[Best 11 MOD]]=1,Tabella1[[#This Row],[fanta voto]],"")</f>
        <v/>
      </c>
      <c r="AA943" t="str">
        <f>CONCATENATE(Tabella1[[#This Row],[GG]],Tabella1[[#This Row],[Nome]])</f>
        <v>4Perri</v>
      </c>
      <c r="AB943" t="str">
        <f t="shared" si="39"/>
        <v>4AS PIPPERIA</v>
      </c>
      <c r="AC943" t="str">
        <f>_xlfn.CONCAT(Tabella1[[#This Row],[Ruolo]],Tabella1[[#This Row],[Gs]])</f>
        <v>P2</v>
      </c>
    </row>
    <row r="944" spans="1:29" hidden="1" x14ac:dyDescent="0.3">
      <c r="A944" s="14">
        <v>46277</v>
      </c>
      <c r="B944" s="15">
        <v>4</v>
      </c>
      <c r="C944" s="321" t="str">
        <f>_xlfn.XLOOKUP(Tabella1[[#This Row],[Nome]],Tabella4[NOME],Tabella4[SQUADRA],"")</f>
        <v>Juventus</v>
      </c>
      <c r="D944" s="330" t="s">
        <v>161</v>
      </c>
      <c r="E944" s="330" t="s">
        <v>781</v>
      </c>
      <c r="F944" s="331">
        <v>5</v>
      </c>
      <c r="G944" s="404">
        <v>0</v>
      </c>
      <c r="H944" s="404">
        <v>0</v>
      </c>
      <c r="I944" s="404">
        <v>0</v>
      </c>
      <c r="J944" s="404">
        <v>0</v>
      </c>
      <c r="K944" s="404">
        <v>0</v>
      </c>
      <c r="L944" s="404">
        <v>0</v>
      </c>
      <c r="M944" s="404">
        <v>0</v>
      </c>
      <c r="N944" s="404">
        <v>0</v>
      </c>
      <c r="O944" s="404">
        <v>0</v>
      </c>
      <c r="P944" s="401"/>
      <c r="Q944" s="401">
        <f t="shared" si="38"/>
        <v>0</v>
      </c>
      <c r="R944" s="3" t="str">
        <f>_xlfn.IFNA(VLOOKUP(Tabella1[[#This Row],[Nome]],'ROSE SQUADRE'!$N$3:$O$260,2,0),"")</f>
        <v>AC ASPARAGHESE</v>
      </c>
      <c r="S944" s="193">
        <f>SUM(Tabella1[[#This Row],[Gf]],Tabella1[[#This Row],[Rf]])</f>
        <v>0</v>
      </c>
      <c r="T944" s="193">
        <v>1</v>
      </c>
      <c r="U944" s="285">
        <f>IF(Tabella1[[#This Row],[N° FantaTit]]="","",Tabella1[[#This Row],[fanta voto]])</f>
        <v>5</v>
      </c>
      <c r="V944" s="193">
        <f>SUM(Tabella1[[#This Row],[Voto]],(G944*3),Q944,P944,O944,-(N944),(-M944/2),(-L944*2),(-H944),(I944*3),(-J944*3),(K944*3))</f>
        <v>5</v>
      </c>
      <c r="W944" s="193">
        <v>1</v>
      </c>
      <c r="X944" s="193">
        <f>IF(Tabella1[[#This Row],[Best 11]]=1,Tabella1[[#This Row],[fanta voto]],"")</f>
        <v>5</v>
      </c>
      <c r="Y944">
        <v>1</v>
      </c>
      <c r="Z944" s="193">
        <f>IF(Tabella1[[#This Row],[Best 11 MOD]]=1,Tabella1[[#This Row],[fanta voto]],"")</f>
        <v>5</v>
      </c>
      <c r="AA944" t="str">
        <f>CONCATENATE(Tabella1[[#This Row],[GG]],Tabella1[[#This Row],[Nome]])</f>
        <v>4Kalulu</v>
      </c>
      <c r="AB944" t="str">
        <f t="shared" si="39"/>
        <v>4AC ASPARAGHESE1</v>
      </c>
      <c r="AC944" t="str">
        <f>_xlfn.CONCAT(Tabella1[[#This Row],[Ruolo]],Tabella1[[#This Row],[Gs]])</f>
        <v>D0</v>
      </c>
    </row>
    <row r="945" spans="1:29" hidden="1" x14ac:dyDescent="0.3">
      <c r="A945" s="14">
        <v>46277</v>
      </c>
      <c r="B945" s="15">
        <v>4</v>
      </c>
      <c r="C945" s="321" t="str">
        <f>_xlfn.XLOOKUP(Tabella1[[#This Row],[Nome]],Tabella4[NOME],Tabella4[SQUADRA],"")</f>
        <v>Genoa</v>
      </c>
      <c r="D945" t="s">
        <v>161</v>
      </c>
      <c r="E945" t="s">
        <v>756</v>
      </c>
      <c r="F945" s="194">
        <v>6</v>
      </c>
      <c r="G945" s="402">
        <v>0</v>
      </c>
      <c r="H945" s="402">
        <v>0</v>
      </c>
      <c r="I945" s="402">
        <v>0</v>
      </c>
      <c r="J945" s="402">
        <v>0</v>
      </c>
      <c r="K945" s="402">
        <v>0</v>
      </c>
      <c r="L945" s="402">
        <v>0</v>
      </c>
      <c r="M945" s="402">
        <v>0</v>
      </c>
      <c r="N945" s="402">
        <v>0</v>
      </c>
      <c r="O945" s="402">
        <v>0</v>
      </c>
      <c r="P945" s="401"/>
      <c r="Q945" s="401">
        <f t="shared" si="38"/>
        <v>0</v>
      </c>
      <c r="R945" s="3" t="str">
        <f>_xlfn.IFNA(VLOOKUP(Tabella1[[#This Row],[Nome]],'ROSE SQUADRE'!$N$3:$O$260,2,0),"")</f>
        <v>SHARK</v>
      </c>
      <c r="S945" s="193">
        <f>SUM(Tabella1[[#This Row],[Gf]],Tabella1[[#This Row],[Rf]])</f>
        <v>0</v>
      </c>
      <c r="T945" s="193">
        <v>1</v>
      </c>
      <c r="U945" s="285">
        <f>IF(Tabella1[[#This Row],[N° FantaTit]]="","",Tabella1[[#This Row],[fanta voto]])</f>
        <v>6</v>
      </c>
      <c r="V945" s="193">
        <f>SUM(Tabella1[[#This Row],[Voto]],(G945*3),Q945,P945,O945,-(N945),(-M945/2),(-L945*2),(-H945),(I945*3),(-J945*3),(K945*3))</f>
        <v>6</v>
      </c>
      <c r="W945" s="193">
        <v>1</v>
      </c>
      <c r="X945" s="193">
        <f>IF(Tabella1[[#This Row],[Best 11]]=1,Tabella1[[#This Row],[fanta voto]],"")</f>
        <v>6</v>
      </c>
      <c r="Y945">
        <v>1</v>
      </c>
      <c r="Z945" s="193">
        <f>IF(Tabella1[[#This Row],[Best 11 MOD]]=1,Tabella1[[#This Row],[fanta voto]],"")</f>
        <v>6</v>
      </c>
      <c r="AA945" t="str">
        <f>CONCATENATE(Tabella1[[#This Row],[GG]],Tabella1[[#This Row],[Nome]])</f>
        <v>4Ostigard</v>
      </c>
      <c r="AB945" t="str">
        <f t="shared" si="39"/>
        <v>4SHARK1</v>
      </c>
      <c r="AC945" t="str">
        <f>_xlfn.CONCAT(Tabella1[[#This Row],[Ruolo]],Tabella1[[#This Row],[Gs]])</f>
        <v>D0</v>
      </c>
    </row>
    <row r="946" spans="1:29" hidden="1" x14ac:dyDescent="0.3">
      <c r="A946" s="14">
        <v>46277</v>
      </c>
      <c r="B946" s="15">
        <v>4</v>
      </c>
      <c r="C946" s="321" t="str">
        <f>_xlfn.XLOOKUP(Tabella1[[#This Row],[Nome]],Tabella4[NOME],Tabella4[SQUADRA],"")</f>
        <v>Genoa</v>
      </c>
      <c r="D946" s="330" t="s">
        <v>161</v>
      </c>
      <c r="E946" s="330" t="s">
        <v>343</v>
      </c>
      <c r="F946" s="331">
        <v>6</v>
      </c>
      <c r="G946" s="404">
        <v>0</v>
      </c>
      <c r="H946" s="404">
        <v>0</v>
      </c>
      <c r="I946" s="404">
        <v>0</v>
      </c>
      <c r="J946" s="404">
        <v>0</v>
      </c>
      <c r="K946" s="404">
        <v>0</v>
      </c>
      <c r="L946" s="404">
        <v>0</v>
      </c>
      <c r="M946" s="405">
        <v>1</v>
      </c>
      <c r="N946" s="404">
        <v>0</v>
      </c>
      <c r="O946" s="404">
        <v>0</v>
      </c>
      <c r="P946" s="401"/>
      <c r="Q946" s="401">
        <f t="shared" si="38"/>
        <v>0</v>
      </c>
      <c r="R946" s="3" t="str">
        <f>_xlfn.IFNA(VLOOKUP(Tabella1[[#This Row],[Nome]],'ROSE SQUADRE'!$N$3:$O$260,2,0),"")</f>
        <v/>
      </c>
      <c r="S946" s="193">
        <f>SUM(Tabella1[[#This Row],[Gf]],Tabella1[[#This Row],[Rf]])</f>
        <v>0</v>
      </c>
      <c r="T946" s="193"/>
      <c r="U946" s="285" t="str">
        <f>IF(Tabella1[[#This Row],[N° FantaTit]]="","",Tabella1[[#This Row],[fanta voto]])</f>
        <v/>
      </c>
      <c r="V946" s="193">
        <f>SUM(Tabella1[[#This Row],[Voto]],(G946*3),Q946,P946,O946,-(N946),(-M946/2),(-L946*2),(-H946),(I946*3),(-J946*3),(K946*3))</f>
        <v>5.5</v>
      </c>
      <c r="W946" s="193"/>
      <c r="X946" s="193" t="str">
        <f>IF(Tabella1[[#This Row],[Best 11]]=1,Tabella1[[#This Row],[fanta voto]],"")</f>
        <v/>
      </c>
      <c r="Z946" s="193" t="str">
        <f>IF(Tabella1[[#This Row],[Best 11 MOD]]=1,Tabella1[[#This Row],[fanta voto]],"")</f>
        <v/>
      </c>
      <c r="AA946" t="str">
        <f>CONCATENATE(Tabella1[[#This Row],[GG]],Tabella1[[#This Row],[Nome]])</f>
        <v>4Ehizibue</v>
      </c>
      <c r="AB946" t="str">
        <f t="shared" si="39"/>
        <v>4</v>
      </c>
      <c r="AC946" t="str">
        <f>_xlfn.CONCAT(Tabella1[[#This Row],[Ruolo]],Tabella1[[#This Row],[Gs]])</f>
        <v>D0</v>
      </c>
    </row>
    <row r="947" spans="1:29" hidden="1" x14ac:dyDescent="0.3">
      <c r="A947" s="14">
        <v>46277</v>
      </c>
      <c r="B947" s="15">
        <v>4</v>
      </c>
      <c r="C947" s="321" t="str">
        <f>_xlfn.XLOOKUP(Tabella1[[#This Row],[Nome]],Tabella4[NOME],Tabella4[SQUADRA],"")</f>
        <v>Fiorentina</v>
      </c>
      <c r="D947" t="s">
        <v>161</v>
      </c>
      <c r="E947" t="s">
        <v>710</v>
      </c>
      <c r="F947" s="194">
        <v>6.5</v>
      </c>
      <c r="G947" s="402">
        <v>0</v>
      </c>
      <c r="H947" s="402">
        <v>0</v>
      </c>
      <c r="I947" s="402">
        <v>0</v>
      </c>
      <c r="J947" s="402">
        <v>0</v>
      </c>
      <c r="K947" s="402">
        <v>0</v>
      </c>
      <c r="L947" s="402">
        <v>0</v>
      </c>
      <c r="M947" s="402">
        <v>0</v>
      </c>
      <c r="N947" s="402">
        <v>0</v>
      </c>
      <c r="O947" s="403">
        <v>1</v>
      </c>
      <c r="P947" s="401"/>
      <c r="Q947" s="401">
        <f t="shared" si="38"/>
        <v>0</v>
      </c>
      <c r="R947" s="3" t="str">
        <f>_xlfn.IFNA(VLOOKUP(Tabella1[[#This Row],[Nome]],'ROSE SQUADRE'!$N$3:$O$260,2,0),"")</f>
        <v>AS PIPPERIA</v>
      </c>
      <c r="S947" s="193">
        <f>SUM(Tabella1[[#This Row],[Gf]],Tabella1[[#This Row],[Rf]])</f>
        <v>0</v>
      </c>
      <c r="T947" s="193"/>
      <c r="U947" s="285" t="str">
        <f>IF(Tabella1[[#This Row],[N° FantaTit]]="","",Tabella1[[#This Row],[fanta voto]])</f>
        <v/>
      </c>
      <c r="V947" s="193">
        <f>SUM(Tabella1[[#This Row],[Voto]],(G947*3),Q947,P947,O947,-(N947),(-M947/2),(-L947*2),(-H947),(I947*3),(-J947*3),(K947*3))</f>
        <v>7.5</v>
      </c>
      <c r="W947" s="193">
        <v>1</v>
      </c>
      <c r="X947" s="193">
        <f>IF(Tabella1[[#This Row],[Best 11]]=1,Tabella1[[#This Row],[fanta voto]],"")</f>
        <v>7.5</v>
      </c>
      <c r="Y947">
        <v>1</v>
      </c>
      <c r="Z947" s="193">
        <f>IF(Tabella1[[#This Row],[Best 11 MOD]]=1,Tabella1[[#This Row],[fanta voto]],"")</f>
        <v>7.5</v>
      </c>
      <c r="AA947" t="str">
        <f>CONCATENATE(Tabella1[[#This Row],[GG]],Tabella1[[#This Row],[Nome]])</f>
        <v>4Jimenez A.</v>
      </c>
      <c r="AB947" t="str">
        <f t="shared" si="39"/>
        <v>4AS PIPPERIA</v>
      </c>
      <c r="AC947" t="str">
        <f>_xlfn.CONCAT(Tabella1[[#This Row],[Ruolo]],Tabella1[[#This Row],[Gs]])</f>
        <v>D0</v>
      </c>
    </row>
    <row r="948" spans="1:29" hidden="1" x14ac:dyDescent="0.3">
      <c r="A948" s="14">
        <v>46277</v>
      </c>
      <c r="B948" s="15">
        <v>4</v>
      </c>
      <c r="C948" s="321" t="str">
        <f>_xlfn.XLOOKUP(Tabella1[[#This Row],[Nome]],Tabella4[NOME],Tabella4[SQUADRA],"")</f>
        <v>Genoa</v>
      </c>
      <c r="D948" s="330" t="s">
        <v>162</v>
      </c>
      <c r="E948" s="330" t="s">
        <v>314</v>
      </c>
      <c r="F948" s="331">
        <v>6</v>
      </c>
      <c r="G948" s="404">
        <v>0</v>
      </c>
      <c r="H948" s="404">
        <v>0</v>
      </c>
      <c r="I948" s="404">
        <v>0</v>
      </c>
      <c r="J948" s="404">
        <v>0</v>
      </c>
      <c r="K948" s="404">
        <v>0</v>
      </c>
      <c r="L948" s="404">
        <v>0</v>
      </c>
      <c r="M948" s="404">
        <v>0</v>
      </c>
      <c r="N948" s="404">
        <v>0</v>
      </c>
      <c r="O948" s="404">
        <v>0</v>
      </c>
      <c r="P948" s="401"/>
      <c r="Q948" s="401">
        <f t="shared" si="38"/>
        <v>0</v>
      </c>
      <c r="R948" s="3" t="str">
        <f>_xlfn.IFNA(VLOOKUP(Tabella1[[#This Row],[Nome]],'ROSE SQUADRE'!$N$3:$O$260,2,0),"")</f>
        <v/>
      </c>
      <c r="S948" s="193">
        <f>SUM(Tabella1[[#This Row],[Gf]],Tabella1[[#This Row],[Rf]])</f>
        <v>0</v>
      </c>
      <c r="T948" s="193"/>
      <c r="U948" s="285" t="str">
        <f>IF(Tabella1[[#This Row],[N° FantaTit]]="","",Tabella1[[#This Row],[fanta voto]])</f>
        <v/>
      </c>
      <c r="V948" s="193">
        <f>SUM(Tabella1[[#This Row],[Voto]],(G948*3),Q948,P948,O948,-(N948),(-M948/2),(-L948*2),(-H948),(I948*3),(-J948*3),(K948*3))</f>
        <v>6</v>
      </c>
      <c r="W948" s="193"/>
      <c r="X948" s="193" t="str">
        <f>IF(Tabella1[[#This Row],[Best 11]]=1,Tabella1[[#This Row],[fanta voto]],"")</f>
        <v/>
      </c>
      <c r="Z948" s="193" t="str">
        <f>IF(Tabella1[[#This Row],[Best 11 MOD]]=1,Tabella1[[#This Row],[fanta voto]],"")</f>
        <v/>
      </c>
      <c r="AA948" t="str">
        <f>CONCATENATE(Tabella1[[#This Row],[GG]],Tabella1[[#This Row],[Nome]])</f>
        <v>4El Shaarawy</v>
      </c>
      <c r="AB948" t="str">
        <f t="shared" si="39"/>
        <v>4</v>
      </c>
      <c r="AC948" t="str">
        <f>_xlfn.CONCAT(Tabella1[[#This Row],[Ruolo]],Tabella1[[#This Row],[Gs]])</f>
        <v>C0</v>
      </c>
    </row>
    <row r="949" spans="1:29" hidden="1" x14ac:dyDescent="0.3">
      <c r="A949" s="14">
        <v>46277</v>
      </c>
      <c r="B949" s="15">
        <v>4</v>
      </c>
      <c r="C949" s="321" t="str">
        <f>_xlfn.XLOOKUP(Tabella1[[#This Row],[Nome]],Tabella4[NOME],Tabella4[SQUADRA],"")</f>
        <v>Genoa</v>
      </c>
      <c r="D949" t="s">
        <v>162</v>
      </c>
      <c r="E949" t="s">
        <v>206</v>
      </c>
      <c r="F949" s="194">
        <v>6.5</v>
      </c>
      <c r="G949" s="402">
        <v>0</v>
      </c>
      <c r="H949" s="402">
        <v>0</v>
      </c>
      <c r="I949" s="402">
        <v>0</v>
      </c>
      <c r="J949" s="402">
        <v>0</v>
      </c>
      <c r="K949" s="402">
        <v>0</v>
      </c>
      <c r="L949" s="402">
        <v>0</v>
      </c>
      <c r="M949" s="402">
        <v>0</v>
      </c>
      <c r="N949" s="402">
        <v>0</v>
      </c>
      <c r="O949" s="402">
        <v>0</v>
      </c>
      <c r="P949" s="401"/>
      <c r="Q949" s="401">
        <f t="shared" si="38"/>
        <v>0</v>
      </c>
      <c r="R949" s="3" t="str">
        <f>_xlfn.IFNA(VLOOKUP(Tabella1[[#This Row],[Nome]],'ROSE SQUADRE'!$N$3:$O$260,2,0),"")</f>
        <v/>
      </c>
      <c r="S949" s="193">
        <f>SUM(Tabella1[[#This Row],[Gf]],Tabella1[[#This Row],[Rf]])</f>
        <v>0</v>
      </c>
      <c r="T949" s="193"/>
      <c r="U949" s="285" t="str">
        <f>IF(Tabella1[[#This Row],[N° FantaTit]]="","",Tabella1[[#This Row],[fanta voto]])</f>
        <v/>
      </c>
      <c r="V949" s="193">
        <f>SUM(Tabella1[[#This Row],[Voto]],(G949*3),Q949,P949,O949,-(N949),(-M949/2),(-L949*2),(-H949),(I949*3),(-J949*3),(K949*3))</f>
        <v>6.5</v>
      </c>
      <c r="W949" s="193"/>
      <c r="X949" s="193" t="str">
        <f>IF(Tabella1[[#This Row],[Best 11]]=1,Tabella1[[#This Row],[fanta voto]],"")</f>
        <v/>
      </c>
      <c r="Z949" s="193" t="str">
        <f>IF(Tabella1[[#This Row],[Best 11 MOD]]=1,Tabella1[[#This Row],[fanta voto]],"")</f>
        <v/>
      </c>
      <c r="AA949" t="str">
        <f>CONCATENATE(Tabella1[[#This Row],[GG]],Tabella1[[#This Row],[Nome]])</f>
        <v>4Messias</v>
      </c>
      <c r="AB949" t="str">
        <f t="shared" si="39"/>
        <v>4</v>
      </c>
      <c r="AC949" t="str">
        <f>_xlfn.CONCAT(Tabella1[[#This Row],[Ruolo]],Tabella1[[#This Row],[Gs]])</f>
        <v>C0</v>
      </c>
    </row>
    <row r="950" spans="1:29" hidden="1" x14ac:dyDescent="0.3">
      <c r="A950" s="14">
        <v>46277</v>
      </c>
      <c r="B950" s="15">
        <v>4</v>
      </c>
      <c r="C950" s="321" t="str">
        <f>_xlfn.XLOOKUP(Tabella1[[#This Row],[Nome]],Tabella4[NOME],Tabella4[SQUADRA],"")</f>
        <v>Milan</v>
      </c>
      <c r="D950" t="s">
        <v>161</v>
      </c>
      <c r="E950" t="s">
        <v>832</v>
      </c>
      <c r="F950" s="194">
        <v>5.5</v>
      </c>
      <c r="G950" s="402">
        <v>0</v>
      </c>
      <c r="H950" s="402">
        <v>0</v>
      </c>
      <c r="I950" s="402">
        <v>0</v>
      </c>
      <c r="J950" s="402">
        <v>0</v>
      </c>
      <c r="K950" s="402">
        <v>0</v>
      </c>
      <c r="L950" s="402">
        <v>0</v>
      </c>
      <c r="M950" s="403">
        <v>1</v>
      </c>
      <c r="N950" s="402">
        <v>0</v>
      </c>
      <c r="O950" s="402">
        <v>0</v>
      </c>
      <c r="P950" s="401"/>
      <c r="Q950" s="401">
        <f t="shared" si="38"/>
        <v>0</v>
      </c>
      <c r="R950" s="3" t="str">
        <f>_xlfn.IFNA(VLOOKUP(Tabella1[[#This Row],[Nome]],'ROSE SQUADRE'!$N$3:$O$260,2,0),"")</f>
        <v>SAN GRIA</v>
      </c>
      <c r="S950" s="193">
        <f>SUM(Tabella1[[#This Row],[Gf]],Tabella1[[#This Row],[Rf]])</f>
        <v>0</v>
      </c>
      <c r="T950" s="193">
        <v>1</v>
      </c>
      <c r="U950" s="285">
        <f>IF(Tabella1[[#This Row],[N° FantaTit]]="","",Tabella1[[#This Row],[fanta voto]])</f>
        <v>5</v>
      </c>
      <c r="V950" s="193">
        <f>SUM(Tabella1[[#This Row],[Voto]],(G950*3),Q950,P950,O950,-(N950),(-M950/2),(-L950*2),(-H950),(I950*3),(-J950*3),(K950*3))</f>
        <v>5</v>
      </c>
      <c r="W950" s="193"/>
      <c r="X950" s="193" t="str">
        <f>IF(Tabella1[[#This Row],[Best 11]]=1,Tabella1[[#This Row],[fanta voto]],"")</f>
        <v/>
      </c>
      <c r="Z950" s="193" t="str">
        <f>IF(Tabella1[[#This Row],[Best 11 MOD]]=1,Tabella1[[#This Row],[fanta voto]],"")</f>
        <v/>
      </c>
      <c r="AA950" t="str">
        <f>CONCATENATE(Tabella1[[#This Row],[GG]],Tabella1[[#This Row],[Nome]])</f>
        <v>4Gila</v>
      </c>
      <c r="AB950" t="str">
        <f t="shared" si="39"/>
        <v>4SAN GRIA1</v>
      </c>
      <c r="AC950" t="str">
        <f>_xlfn.CONCAT(Tabella1[[#This Row],[Ruolo]],Tabella1[[#This Row],[Gs]])</f>
        <v>D0</v>
      </c>
    </row>
    <row r="951" spans="1:29" x14ac:dyDescent="0.3">
      <c r="A951" s="14">
        <v>46277</v>
      </c>
      <c r="B951" s="15">
        <v>4</v>
      </c>
      <c r="C951" s="321" t="str">
        <f>_xlfn.XLOOKUP(Tabella1[[#This Row],[Nome]],Tabella4[NOME],Tabella4[SQUADRA],"")</f>
        <v>Como</v>
      </c>
      <c r="D951" s="330" t="s">
        <v>161</v>
      </c>
      <c r="E951" s="330" t="s">
        <v>688</v>
      </c>
      <c r="F951" s="331">
        <v>7</v>
      </c>
      <c r="G951" s="405">
        <v>1</v>
      </c>
      <c r="H951" s="404">
        <v>0</v>
      </c>
      <c r="I951" s="404">
        <v>0</v>
      </c>
      <c r="J951" s="404">
        <v>0</v>
      </c>
      <c r="K951" s="404">
        <v>0</v>
      </c>
      <c r="L951" s="404">
        <v>0</v>
      </c>
      <c r="M951" s="404">
        <v>0</v>
      </c>
      <c r="N951" s="404">
        <v>0</v>
      </c>
      <c r="O951" s="404">
        <v>0</v>
      </c>
      <c r="P951" s="401"/>
      <c r="Q951" s="401">
        <f t="shared" si="38"/>
        <v>0</v>
      </c>
      <c r="R951" s="3" t="str">
        <f>_xlfn.IFNA(VLOOKUP(Tabella1[[#This Row],[Nome]],'ROSE SQUADRE'!$N$3:$O$260,2,0),"")</f>
        <v>PARTIZAN DEGRADO</v>
      </c>
      <c r="S951" s="193">
        <f>SUM(Tabella1[[#This Row],[Gf]],Tabella1[[#This Row],[Rf]])</f>
        <v>1</v>
      </c>
      <c r="T951" s="193">
        <v>1</v>
      </c>
      <c r="U951" s="285">
        <f>IF(Tabella1[[#This Row],[N° FantaTit]]="","",Tabella1[[#This Row],[fanta voto]])</f>
        <v>10</v>
      </c>
      <c r="V951" s="193">
        <f>SUM(Tabella1[[#This Row],[Voto]],(G951*3),Q951,P951,O951,-(N951),(-M951/2),(-L951*2),(-H951),(I951*3),(-J951*3),(K951*3))</f>
        <v>10</v>
      </c>
      <c r="W951" s="193">
        <v>1</v>
      </c>
      <c r="X951" s="193">
        <f>IF(Tabella1[[#This Row],[Best 11]]=1,Tabella1[[#This Row],[fanta voto]],"")</f>
        <v>10</v>
      </c>
      <c r="Y951">
        <v>1</v>
      </c>
      <c r="Z951" s="193">
        <f>IF(Tabella1[[#This Row],[Best 11 MOD]]=1,Tabella1[[#This Row],[fanta voto]],"")</f>
        <v>10</v>
      </c>
      <c r="AA951" t="str">
        <f>CONCATENATE(Tabella1[[#This Row],[GG]],Tabella1[[#This Row],[Nome]])</f>
        <v>4Ramon</v>
      </c>
      <c r="AB951" t="str">
        <f t="shared" si="39"/>
        <v>4PARTIZAN DEGRADO1</v>
      </c>
      <c r="AC951" t="str">
        <f>_xlfn.CONCAT(Tabella1[[#This Row],[Ruolo]],Tabella1[[#This Row],[Gs]])</f>
        <v>D0</v>
      </c>
    </row>
    <row r="952" spans="1:29" hidden="1" x14ac:dyDescent="0.3">
      <c r="A952" s="14">
        <v>46277</v>
      </c>
      <c r="B952" s="15">
        <v>4</v>
      </c>
      <c r="C952" s="321" t="str">
        <f>_xlfn.XLOOKUP(Tabella1[[#This Row],[Nome]],Tabella4[NOME],Tabella4[SQUADRA],"")</f>
        <v>Genoa</v>
      </c>
      <c r="D952" s="330" t="s">
        <v>162</v>
      </c>
      <c r="E952" s="330" t="s">
        <v>761</v>
      </c>
      <c r="F952" s="331">
        <v>6</v>
      </c>
      <c r="G952" s="404">
        <v>0</v>
      </c>
      <c r="H952" s="404">
        <v>0</v>
      </c>
      <c r="I952" s="404">
        <v>0</v>
      </c>
      <c r="J952" s="404">
        <v>0</v>
      </c>
      <c r="K952" s="404">
        <v>0</v>
      </c>
      <c r="L952" s="404">
        <v>0</v>
      </c>
      <c r="M952" s="404">
        <v>0</v>
      </c>
      <c r="N952" s="404">
        <v>0</v>
      </c>
      <c r="O952" s="405">
        <v>1</v>
      </c>
      <c r="P952" s="401"/>
      <c r="Q952" s="401">
        <f t="shared" ref="Q952:Q1015" si="40">IF(AC952="P0",1,0)</f>
        <v>0</v>
      </c>
      <c r="R952" s="3" t="str">
        <f>_xlfn.IFNA(VLOOKUP(Tabella1[[#This Row],[Nome]],'ROSE SQUADRE'!$N$3:$O$260,2,0),"")</f>
        <v/>
      </c>
      <c r="S952" s="193">
        <f>SUM(Tabella1[[#This Row],[Gf]],Tabella1[[#This Row],[Rf]])</f>
        <v>0</v>
      </c>
      <c r="T952" s="193"/>
      <c r="U952" s="285" t="str">
        <f>IF(Tabella1[[#This Row],[N° FantaTit]]="","",Tabella1[[#This Row],[fanta voto]])</f>
        <v/>
      </c>
      <c r="V952" s="193">
        <f>SUM(Tabella1[[#This Row],[Voto]],(G952*3),Q952,P952,O952,-(N952),(-M952/2),(-L952*2),(-H952),(I952*3),(-J952*3),(K952*3))</f>
        <v>7</v>
      </c>
      <c r="W952" s="193"/>
      <c r="X952" s="193" t="str">
        <f>IF(Tabella1[[#This Row],[Best 11]]=1,Tabella1[[#This Row],[fanta voto]],"")</f>
        <v/>
      </c>
      <c r="Z952" s="193" t="str">
        <f>IF(Tabella1[[#This Row],[Best 11 MOD]]=1,Tabella1[[#This Row],[fanta voto]],"")</f>
        <v/>
      </c>
      <c r="AA952" t="str">
        <f>CONCATENATE(Tabella1[[#This Row],[GG]],Tabella1[[#This Row],[Nome]])</f>
        <v>4Sow</v>
      </c>
      <c r="AB952" t="str">
        <f t="shared" ref="AB952:AB1015" si="41">CONCATENATE(B952,R952,T952)</f>
        <v>4</v>
      </c>
      <c r="AC952" t="str">
        <f>_xlfn.CONCAT(Tabella1[[#This Row],[Ruolo]],Tabella1[[#This Row],[Gs]])</f>
        <v>C0</v>
      </c>
    </row>
    <row r="953" spans="1:29" hidden="1" x14ac:dyDescent="0.3">
      <c r="A953" s="14">
        <v>46277</v>
      </c>
      <c r="B953" s="15">
        <v>4</v>
      </c>
      <c r="C953" s="321" t="str">
        <f>_xlfn.XLOOKUP(Tabella1[[#This Row],[Nome]],Tabella4[NOME],Tabella4[SQUADRA],"")</f>
        <v>Genoa</v>
      </c>
      <c r="D953" t="s">
        <v>162</v>
      </c>
      <c r="E953" t="s">
        <v>588</v>
      </c>
      <c r="F953" s="194">
        <v>6</v>
      </c>
      <c r="G953" s="402">
        <v>0</v>
      </c>
      <c r="H953" s="402">
        <v>0</v>
      </c>
      <c r="I953" s="402">
        <v>0</v>
      </c>
      <c r="J953" s="402">
        <v>0</v>
      </c>
      <c r="K953" s="402">
        <v>0</v>
      </c>
      <c r="L953" s="402">
        <v>0</v>
      </c>
      <c r="M953" s="402">
        <v>0</v>
      </c>
      <c r="N953" s="402">
        <v>0</v>
      </c>
      <c r="O953" s="402">
        <v>0</v>
      </c>
      <c r="P953" s="401"/>
      <c r="Q953" s="401">
        <f t="shared" si="40"/>
        <v>0</v>
      </c>
      <c r="R953" s="3" t="str">
        <f>_xlfn.IFNA(VLOOKUP(Tabella1[[#This Row],[Nome]],'ROSE SQUADRE'!$N$3:$O$260,2,0),"")</f>
        <v/>
      </c>
      <c r="S953" s="193">
        <f>SUM(Tabella1[[#This Row],[Gf]],Tabella1[[#This Row],[Rf]])</f>
        <v>0</v>
      </c>
      <c r="T953" s="193"/>
      <c r="U953" s="285" t="str">
        <f>IF(Tabella1[[#This Row],[N° FantaTit]]="","",Tabella1[[#This Row],[fanta voto]])</f>
        <v/>
      </c>
      <c r="V953" s="193">
        <f>SUM(Tabella1[[#This Row],[Voto]],(G953*3),Q953,P953,O953,-(N953),(-M953/2),(-L953*2),(-H953),(I953*3),(-J953*3),(K953*3))</f>
        <v>6</v>
      </c>
      <c r="W953" s="193"/>
      <c r="X953" s="193" t="str">
        <f>IF(Tabella1[[#This Row],[Best 11]]=1,Tabella1[[#This Row],[fanta voto]],"")</f>
        <v/>
      </c>
      <c r="Z953" s="193" t="str">
        <f>IF(Tabella1[[#This Row],[Best 11 MOD]]=1,Tabella1[[#This Row],[fanta voto]],"")</f>
        <v/>
      </c>
      <c r="AA953" t="str">
        <f>CONCATENATE(Tabella1[[#This Row],[GG]],Tabella1[[#This Row],[Nome]])</f>
        <v>4Ellertsson</v>
      </c>
      <c r="AB953" t="str">
        <f t="shared" si="41"/>
        <v>4</v>
      </c>
      <c r="AC953" t="str">
        <f>_xlfn.CONCAT(Tabella1[[#This Row],[Ruolo]],Tabella1[[#This Row],[Gs]])</f>
        <v>C0</v>
      </c>
    </row>
    <row r="954" spans="1:29" hidden="1" x14ac:dyDescent="0.3">
      <c r="A954" s="14">
        <v>46277</v>
      </c>
      <c r="B954" s="15">
        <v>4</v>
      </c>
      <c r="C954" s="321" t="str">
        <f>_xlfn.XLOOKUP(Tabella1[[#This Row],[Nome]],Tabella4[NOME],Tabella4[SQUADRA],"")</f>
        <v>Lecce</v>
      </c>
      <c r="D954" t="s">
        <v>161</v>
      </c>
      <c r="E954" t="s">
        <v>815</v>
      </c>
      <c r="F954" s="194">
        <v>7</v>
      </c>
      <c r="G954" s="403">
        <v>1</v>
      </c>
      <c r="H954" s="402">
        <v>0</v>
      </c>
      <c r="I954" s="402">
        <v>0</v>
      </c>
      <c r="J954" s="402">
        <v>0</v>
      </c>
      <c r="K954" s="402">
        <v>0</v>
      </c>
      <c r="L954" s="402">
        <v>0</v>
      </c>
      <c r="M954" s="402">
        <v>0</v>
      </c>
      <c r="N954" s="402">
        <v>0</v>
      </c>
      <c r="O954" s="402">
        <v>0</v>
      </c>
      <c r="P954" s="401"/>
      <c r="Q954" s="401">
        <f t="shared" si="40"/>
        <v>0</v>
      </c>
      <c r="R954" s="3" t="str">
        <f>_xlfn.IFNA(VLOOKUP(Tabella1[[#This Row],[Nome]],'ROSE SQUADRE'!$N$3:$O$260,2,0),"")</f>
        <v>PARTIZAN DEGRADO</v>
      </c>
      <c r="S954" s="193">
        <f>SUM(Tabella1[[#This Row],[Gf]],Tabella1[[#This Row],[Rf]])</f>
        <v>1</v>
      </c>
      <c r="T954" s="193"/>
      <c r="U954" s="285" t="str">
        <f>IF(Tabella1[[#This Row],[N° FantaTit]]="","",Tabella1[[#This Row],[fanta voto]])</f>
        <v/>
      </c>
      <c r="V954" s="193">
        <f>SUM(Tabella1[[#This Row],[Voto]],(G954*3),Q954,P954,O954,-(N954),(-M954/2),(-L954*2),(-H954),(I954*3),(-J954*3),(K954*3))</f>
        <v>10</v>
      </c>
      <c r="W954" s="193">
        <v>1</v>
      </c>
      <c r="X954" s="193">
        <f>IF(Tabella1[[#This Row],[Best 11]]=1,Tabella1[[#This Row],[fanta voto]],"")</f>
        <v>10</v>
      </c>
      <c r="Y954">
        <v>1</v>
      </c>
      <c r="Z954" s="193">
        <f>IF(Tabella1[[#This Row],[Best 11 MOD]]=1,Tabella1[[#This Row],[fanta voto]],"")</f>
        <v>10</v>
      </c>
      <c r="AA954" t="str">
        <f>CONCATENATE(Tabella1[[#This Row],[GG]],Tabella1[[#This Row],[Nome]])</f>
        <v>4Tiago Gabriel</v>
      </c>
      <c r="AB954" t="str">
        <f t="shared" si="41"/>
        <v>4PARTIZAN DEGRADO</v>
      </c>
      <c r="AC954" t="str">
        <f>_xlfn.CONCAT(Tabella1[[#This Row],[Ruolo]],Tabella1[[#This Row],[Gs]])</f>
        <v>D0</v>
      </c>
    </row>
    <row r="955" spans="1:29" hidden="1" x14ac:dyDescent="0.3">
      <c r="A955" s="14">
        <v>46277</v>
      </c>
      <c r="B955" s="15">
        <v>4</v>
      </c>
      <c r="C955" s="321" t="str">
        <f>_xlfn.XLOOKUP(Tabella1[[#This Row],[Nome]],Tabella4[NOME],Tabella4[SQUADRA],"")</f>
        <v>Genoa</v>
      </c>
      <c r="D955" t="s">
        <v>163</v>
      </c>
      <c r="E955" t="s">
        <v>529</v>
      </c>
      <c r="F955" s="194">
        <v>6</v>
      </c>
      <c r="G955" s="402">
        <v>0</v>
      </c>
      <c r="H955" s="402">
        <v>0</v>
      </c>
      <c r="I955" s="402">
        <v>0</v>
      </c>
      <c r="J955" s="402">
        <v>0</v>
      </c>
      <c r="K955" s="402">
        <v>0</v>
      </c>
      <c r="L955" s="402">
        <v>0</v>
      </c>
      <c r="M955" s="402">
        <v>0</v>
      </c>
      <c r="N955" s="402">
        <v>0</v>
      </c>
      <c r="O955" s="402">
        <v>0</v>
      </c>
      <c r="P955" s="401"/>
      <c r="Q955" s="401">
        <f t="shared" si="40"/>
        <v>0</v>
      </c>
      <c r="R955" s="3" t="str">
        <f>_xlfn.IFNA(VLOOKUP(Tabella1[[#This Row],[Nome]],'ROSE SQUADRE'!$N$3:$O$260,2,0),"")</f>
        <v/>
      </c>
      <c r="S955" s="193">
        <f>SUM(Tabella1[[#This Row],[Gf]],Tabella1[[#This Row],[Rf]])</f>
        <v>0</v>
      </c>
      <c r="T955" s="193"/>
      <c r="U955" s="285" t="str">
        <f>IF(Tabella1[[#This Row],[N° FantaTit]]="","",Tabella1[[#This Row],[fanta voto]])</f>
        <v/>
      </c>
      <c r="V955" s="193">
        <f>SUM(Tabella1[[#This Row],[Voto]],(G955*3),Q955,P955,O955,-(N955),(-M955/2),(-L955*2),(-H955),(I955*3),(-J955*3),(K955*3))</f>
        <v>6</v>
      </c>
      <c r="W955" s="193"/>
      <c r="X955" s="193" t="str">
        <f>IF(Tabella1[[#This Row],[Best 11]]=1,Tabella1[[#This Row],[fanta voto]],"")</f>
        <v/>
      </c>
      <c r="Z955" s="193" t="str">
        <f>IF(Tabella1[[#This Row],[Best 11 MOD]]=1,Tabella1[[#This Row],[fanta voto]],"")</f>
        <v/>
      </c>
      <c r="AA955" t="str">
        <f>CONCATENATE(Tabella1[[#This Row],[GG]],Tabella1[[#This Row],[Nome]])</f>
        <v>4Vitinha O.</v>
      </c>
      <c r="AB955" t="str">
        <f t="shared" si="41"/>
        <v>4</v>
      </c>
      <c r="AC955" t="str">
        <f>_xlfn.CONCAT(Tabella1[[#This Row],[Ruolo]],Tabella1[[#This Row],[Gs]])</f>
        <v>A0</v>
      </c>
    </row>
    <row r="956" spans="1:29" hidden="1" x14ac:dyDescent="0.3">
      <c r="A956" s="14">
        <v>46277</v>
      </c>
      <c r="B956" s="15">
        <v>4</v>
      </c>
      <c r="C956" s="321" t="str">
        <f>_xlfn.XLOOKUP(Tabella1[[#This Row],[Nome]],Tabella4[NOME],Tabella4[SQUADRA],"")</f>
        <v>Inter</v>
      </c>
      <c r="D956" s="330" t="s">
        <v>161</v>
      </c>
      <c r="E956" s="330" t="s">
        <v>243</v>
      </c>
      <c r="F956" s="331">
        <v>6.5</v>
      </c>
      <c r="G956" s="404">
        <v>0</v>
      </c>
      <c r="H956" s="404">
        <v>0</v>
      </c>
      <c r="I956" s="404">
        <v>0</v>
      </c>
      <c r="J956" s="404">
        <v>0</v>
      </c>
      <c r="K956" s="404">
        <v>0</v>
      </c>
      <c r="L956" s="404">
        <v>0</v>
      </c>
      <c r="M956" s="404">
        <v>0</v>
      </c>
      <c r="N956" s="404">
        <v>0</v>
      </c>
      <c r="O956" s="404">
        <v>0</v>
      </c>
      <c r="P956" s="401"/>
      <c r="Q956" s="401">
        <f t="shared" si="40"/>
        <v>0</v>
      </c>
      <c r="R956" s="3" t="str">
        <f>_xlfn.IFNA(VLOOKUP(Tabella1[[#This Row],[Nome]],'ROSE SQUADRE'!$N$3:$O$260,2,0),"")</f>
        <v>SAN GRIA</v>
      </c>
      <c r="S956" s="193">
        <f>SUM(Tabella1[[#This Row],[Gf]],Tabella1[[#This Row],[Rf]])</f>
        <v>0</v>
      </c>
      <c r="T956" s="193">
        <v>1</v>
      </c>
      <c r="U956" s="285">
        <f>IF(Tabella1[[#This Row],[N° FantaTit]]="","",Tabella1[[#This Row],[fanta voto]])</f>
        <v>6.5</v>
      </c>
      <c r="V956" s="193">
        <f>SUM(Tabella1[[#This Row],[Voto]],(G956*3),Q956,P956,O956,-(N956),(-M956/2),(-L956*2),(-H956),(I956*3),(-J956*3),(K956*3))</f>
        <v>6.5</v>
      </c>
      <c r="W956" s="193">
        <v>1</v>
      </c>
      <c r="X956" s="193">
        <f>IF(Tabella1[[#This Row],[Best 11]]=1,Tabella1[[#This Row],[fanta voto]],"")</f>
        <v>6.5</v>
      </c>
      <c r="Y956">
        <v>1</v>
      </c>
      <c r="Z956" s="193">
        <f>IF(Tabella1[[#This Row],[Best 11 MOD]]=1,Tabella1[[#This Row],[fanta voto]],"")</f>
        <v>6.5</v>
      </c>
      <c r="AA956" t="str">
        <f>CONCATENATE(Tabella1[[#This Row],[GG]],Tabella1[[#This Row],[Nome]])</f>
        <v>4Bastoni</v>
      </c>
      <c r="AB956" t="str">
        <f t="shared" si="41"/>
        <v>4SAN GRIA1</v>
      </c>
      <c r="AC956" t="str">
        <f>_xlfn.CONCAT(Tabella1[[#This Row],[Ruolo]],Tabella1[[#This Row],[Gs]])</f>
        <v>D0</v>
      </c>
    </row>
    <row r="957" spans="1:29" hidden="1" x14ac:dyDescent="0.3">
      <c r="A957" s="14">
        <v>46277</v>
      </c>
      <c r="B957" s="15">
        <v>4</v>
      </c>
      <c r="C957" s="321" t="str">
        <f>_xlfn.XLOOKUP(Tabella1[[#This Row],[Nome]],Tabella4[NOME],Tabella4[SQUADRA],"")</f>
        <v>Genoa</v>
      </c>
      <c r="D957" t="s">
        <v>161</v>
      </c>
      <c r="E957" t="s">
        <v>752</v>
      </c>
      <c r="F957" s="194">
        <v>5.5</v>
      </c>
      <c r="G957" s="402">
        <v>0</v>
      </c>
      <c r="H957" s="402">
        <v>0</v>
      </c>
      <c r="I957" s="402">
        <v>0</v>
      </c>
      <c r="J957" s="402">
        <v>0</v>
      </c>
      <c r="K957" s="402">
        <v>0</v>
      </c>
      <c r="L957" s="402">
        <v>0</v>
      </c>
      <c r="M957" s="402">
        <v>0</v>
      </c>
      <c r="N957" s="402">
        <v>0</v>
      </c>
      <c r="O957" s="402">
        <v>0</v>
      </c>
      <c r="P957" s="401"/>
      <c r="Q957" s="401">
        <f t="shared" si="40"/>
        <v>0</v>
      </c>
      <c r="R957" s="3" t="str">
        <f>_xlfn.IFNA(VLOOKUP(Tabella1[[#This Row],[Nome]],'ROSE SQUADRE'!$N$3:$O$260,2,0),"")</f>
        <v>AS PIPPERIA</v>
      </c>
      <c r="S957" s="193">
        <f>SUM(Tabella1[[#This Row],[Gf]],Tabella1[[#This Row],[Rf]])</f>
        <v>0</v>
      </c>
      <c r="T957" s="193">
        <v>1</v>
      </c>
      <c r="U957" s="285">
        <f>IF(Tabella1[[#This Row],[N° FantaTit]]="","",Tabella1[[#This Row],[fanta voto]])</f>
        <v>5.5</v>
      </c>
      <c r="V957" s="193">
        <f>SUM(Tabella1[[#This Row],[Voto]],(G957*3),Q957,P957,O957,-(N957),(-M957/2),(-L957*2),(-H957),(I957*3),(-J957*3),(K957*3))</f>
        <v>5.5</v>
      </c>
      <c r="W957" s="193"/>
      <c r="X957" s="193" t="str">
        <f>IF(Tabella1[[#This Row],[Best 11]]=1,Tabella1[[#This Row],[fanta voto]],"")</f>
        <v/>
      </c>
      <c r="Z957" s="193" t="str">
        <f>IF(Tabella1[[#This Row],[Best 11 MOD]]=1,Tabella1[[#This Row],[fanta voto]],"")</f>
        <v/>
      </c>
      <c r="AA957" t="str">
        <f>CONCATENATE(Tabella1[[#This Row],[GG]],Tabella1[[#This Row],[Nome]])</f>
        <v>4Marcandalli</v>
      </c>
      <c r="AB957" t="str">
        <f t="shared" si="41"/>
        <v>4AS PIPPERIA1</v>
      </c>
      <c r="AC957" t="str">
        <f>_xlfn.CONCAT(Tabella1[[#This Row],[Ruolo]],Tabella1[[#This Row],[Gs]])</f>
        <v>D0</v>
      </c>
    </row>
    <row r="958" spans="1:29" hidden="1" x14ac:dyDescent="0.3">
      <c r="A958" s="14">
        <v>46277</v>
      </c>
      <c r="B958" s="15">
        <v>4</v>
      </c>
      <c r="C958" s="321" t="str">
        <f>_xlfn.XLOOKUP(Tabella1[[#This Row],[Nome]],Tabella4[NOME],Tabella4[SQUADRA],"")</f>
        <v>Sassuolo</v>
      </c>
      <c r="D958" s="330" t="s">
        <v>161</v>
      </c>
      <c r="E958" s="330" t="s">
        <v>996</v>
      </c>
      <c r="F958" s="331">
        <v>6.5</v>
      </c>
      <c r="G958" s="404">
        <v>0</v>
      </c>
      <c r="H958" s="404">
        <v>0</v>
      </c>
      <c r="I958" s="404">
        <v>0</v>
      </c>
      <c r="J958" s="404">
        <v>0</v>
      </c>
      <c r="K958" s="404">
        <v>0</v>
      </c>
      <c r="L958" s="404">
        <v>0</v>
      </c>
      <c r="M958" s="405">
        <v>1</v>
      </c>
      <c r="N958" s="404">
        <v>0</v>
      </c>
      <c r="O958" s="404">
        <v>0</v>
      </c>
      <c r="P958" s="401"/>
      <c r="Q958" s="401">
        <f t="shared" si="40"/>
        <v>0</v>
      </c>
      <c r="R958" s="3" t="str">
        <f>_xlfn.IFNA(VLOOKUP(Tabella1[[#This Row],[Nome]],'ROSE SQUADRE'!$N$3:$O$260,2,0),"")</f>
        <v>SAN GRIA</v>
      </c>
      <c r="S958" s="193">
        <f>SUM(Tabella1[[#This Row],[Gf]],Tabella1[[#This Row],[Rf]])</f>
        <v>0</v>
      </c>
      <c r="T958" s="193"/>
      <c r="U958" s="285" t="str">
        <f>IF(Tabella1[[#This Row],[N° FantaTit]]="","",Tabella1[[#This Row],[fanta voto]])</f>
        <v/>
      </c>
      <c r="V958" s="193">
        <f>SUM(Tabella1[[#This Row],[Voto]],(G958*3),Q958,P958,O958,-(N958),(-M958/2),(-L958*2),(-H958),(I958*3),(-J958*3),(K958*3))</f>
        <v>6</v>
      </c>
      <c r="W958" s="193">
        <v>1</v>
      </c>
      <c r="X958" s="193">
        <f>IF(Tabella1[[#This Row],[Best 11]]=1,Tabella1[[#This Row],[fanta voto]],"")</f>
        <v>6</v>
      </c>
      <c r="Y958">
        <v>1</v>
      </c>
      <c r="Z958" s="193">
        <f>IF(Tabella1[[#This Row],[Best 11 MOD]]=1,Tabella1[[#This Row],[fanta voto]],"")</f>
        <v>6</v>
      </c>
      <c r="AA958" t="str">
        <f>CONCATENATE(Tabella1[[#This Row],[GG]],Tabella1[[#This Row],[Nome]])</f>
        <v>4Leysen F.</v>
      </c>
      <c r="AB958" t="str">
        <f t="shared" si="41"/>
        <v>4SAN GRIA</v>
      </c>
      <c r="AC958" t="str">
        <f>_xlfn.CONCAT(Tabella1[[#This Row],[Ruolo]],Tabella1[[#This Row],[Gs]])</f>
        <v>D0</v>
      </c>
    </row>
    <row r="959" spans="1:29" hidden="1" x14ac:dyDescent="0.3">
      <c r="A959" s="14">
        <v>46277</v>
      </c>
      <c r="B959" s="15">
        <v>4</v>
      </c>
      <c r="C959" s="321" t="str">
        <f>_xlfn.XLOOKUP(Tabella1[[#This Row],[Nome]],Tabella4[NOME],Tabella4[SQUADRA],"")</f>
        <v>Lazio</v>
      </c>
      <c r="D959" s="330" t="s">
        <v>161</v>
      </c>
      <c r="E959" s="330" t="s">
        <v>803</v>
      </c>
      <c r="F959" s="331">
        <v>6</v>
      </c>
      <c r="G959" s="404">
        <v>0</v>
      </c>
      <c r="H959" s="404">
        <v>0</v>
      </c>
      <c r="I959" s="404">
        <v>0</v>
      </c>
      <c r="J959" s="404">
        <v>0</v>
      </c>
      <c r="K959" s="404">
        <v>0</v>
      </c>
      <c r="L959" s="404">
        <v>0</v>
      </c>
      <c r="M959" s="404">
        <v>0</v>
      </c>
      <c r="N959" s="404">
        <v>0</v>
      </c>
      <c r="O959" s="404">
        <v>0</v>
      </c>
      <c r="P959" s="401"/>
      <c r="Q959" s="401">
        <f t="shared" si="40"/>
        <v>0</v>
      </c>
      <c r="R959" s="3" t="str">
        <f>_xlfn.IFNA(VLOOKUP(Tabella1[[#This Row],[Nome]],'ROSE SQUADRE'!$N$3:$O$260,2,0),"")</f>
        <v/>
      </c>
      <c r="S959" s="193">
        <f>SUM(Tabella1[[#This Row],[Gf]],Tabella1[[#This Row],[Rf]])</f>
        <v>0</v>
      </c>
      <c r="T959" s="193"/>
      <c r="U959" s="285" t="str">
        <f>IF(Tabella1[[#This Row],[N° FantaTit]]="","",Tabella1[[#This Row],[fanta voto]])</f>
        <v/>
      </c>
      <c r="V959" s="193">
        <f>SUM(Tabella1[[#This Row],[Voto]],(G959*3),Q959,P959,O959,-(N959),(-M959/2),(-L959*2),(-H959),(I959*3),(-J959*3),(K959*3))</f>
        <v>6</v>
      </c>
      <c r="W959" s="193"/>
      <c r="X959" s="193" t="str">
        <f>IF(Tabella1[[#This Row],[Best 11]]=1,Tabella1[[#This Row],[fanta voto]],"")</f>
        <v/>
      </c>
      <c r="Z959" s="193" t="str">
        <f>IF(Tabella1[[#This Row],[Best 11 MOD]]=1,Tabella1[[#This Row],[fanta voto]],"")</f>
        <v/>
      </c>
      <c r="AA959" t="str">
        <f>CONCATENATE(Tabella1[[#This Row],[GG]],Tabella1[[#This Row],[Nome]])</f>
        <v>4Provstgaard</v>
      </c>
      <c r="AB959" t="str">
        <f t="shared" si="41"/>
        <v>4</v>
      </c>
      <c r="AC959" t="str">
        <f>_xlfn.CONCAT(Tabella1[[#This Row],[Ruolo]],Tabella1[[#This Row],[Gs]])</f>
        <v>D0</v>
      </c>
    </row>
    <row r="960" spans="1:29" hidden="1" x14ac:dyDescent="0.3">
      <c r="A960" s="14">
        <v>46277</v>
      </c>
      <c r="B960" s="15">
        <v>4</v>
      </c>
      <c r="C960" s="321" t="str">
        <f>_xlfn.XLOOKUP(Tabella1[[#This Row],[Nome]],Tabella4[NOME],Tabella4[SQUADRA],"")</f>
        <v>Lazio</v>
      </c>
      <c r="D960" t="s">
        <v>161</v>
      </c>
      <c r="E960" t="s">
        <v>800</v>
      </c>
      <c r="F960" s="194">
        <v>5.5</v>
      </c>
      <c r="G960" s="402">
        <v>0</v>
      </c>
      <c r="H960" s="402">
        <v>0</v>
      </c>
      <c r="I960" s="402">
        <v>0</v>
      </c>
      <c r="J960" s="402">
        <v>0</v>
      </c>
      <c r="K960" s="402">
        <v>0</v>
      </c>
      <c r="L960" s="402">
        <v>0</v>
      </c>
      <c r="M960" s="402">
        <v>0</v>
      </c>
      <c r="N960" s="402">
        <v>0</v>
      </c>
      <c r="O960" s="402">
        <v>0</v>
      </c>
      <c r="P960" s="401"/>
      <c r="Q960" s="401">
        <f t="shared" si="40"/>
        <v>0</v>
      </c>
      <c r="R960" s="3" t="str">
        <f>_xlfn.IFNA(VLOOKUP(Tabella1[[#This Row],[Nome]],'ROSE SQUADRE'!$N$3:$O$260,2,0),"")</f>
        <v/>
      </c>
      <c r="S960" s="193">
        <f>SUM(Tabella1[[#This Row],[Gf]],Tabella1[[#This Row],[Rf]])</f>
        <v>0</v>
      </c>
      <c r="T960" s="193"/>
      <c r="U960" s="285" t="str">
        <f>IF(Tabella1[[#This Row],[N° FantaTit]]="","",Tabella1[[#This Row],[fanta voto]])</f>
        <v/>
      </c>
      <c r="V960" s="193">
        <f>SUM(Tabella1[[#This Row],[Voto]],(G960*3),Q960,P960,O960,-(N960),(-M960/2),(-L960*2),(-H960),(I960*3),(-J960*3),(K960*3))</f>
        <v>5.5</v>
      </c>
      <c r="W960" s="193"/>
      <c r="X960" s="193" t="str">
        <f>IF(Tabella1[[#This Row],[Best 11]]=1,Tabella1[[#This Row],[fanta voto]],"")</f>
        <v/>
      </c>
      <c r="Z960" s="193" t="str">
        <f>IF(Tabella1[[#This Row],[Best 11 MOD]]=1,Tabella1[[#This Row],[fanta voto]],"")</f>
        <v/>
      </c>
      <c r="AA960" t="str">
        <f>CONCATENATE(Tabella1[[#This Row],[GG]],Tabella1[[#This Row],[Nome]])</f>
        <v>4Floriani Mussolini</v>
      </c>
      <c r="AB960" t="str">
        <f t="shared" si="41"/>
        <v>4</v>
      </c>
      <c r="AC960" t="str">
        <f>_xlfn.CONCAT(Tabella1[[#This Row],[Ruolo]],Tabella1[[#This Row],[Gs]])</f>
        <v>D0</v>
      </c>
    </row>
    <row r="961" spans="1:29" hidden="1" x14ac:dyDescent="0.3">
      <c r="A961" s="14">
        <v>46277</v>
      </c>
      <c r="B961" s="15">
        <v>4</v>
      </c>
      <c r="C961" s="321" t="str">
        <f>_xlfn.XLOOKUP(Tabella1[[#This Row],[Nome]],Tabella4[NOME],Tabella4[SQUADRA],"")</f>
        <v>Lazio</v>
      </c>
      <c r="D961" s="330" t="s">
        <v>161</v>
      </c>
      <c r="E961" s="330" t="s">
        <v>1088</v>
      </c>
      <c r="F961" s="331">
        <v>5.5</v>
      </c>
      <c r="G961" s="404">
        <v>0</v>
      </c>
      <c r="H961" s="404">
        <v>0</v>
      </c>
      <c r="I961" s="404">
        <v>0</v>
      </c>
      <c r="J961" s="404">
        <v>0</v>
      </c>
      <c r="K961" s="404">
        <v>0</v>
      </c>
      <c r="L961" s="404">
        <v>0</v>
      </c>
      <c r="M961" s="404">
        <v>0</v>
      </c>
      <c r="N961" s="404">
        <v>0</v>
      </c>
      <c r="O961" s="404">
        <v>0</v>
      </c>
      <c r="P961" s="401"/>
      <c r="Q961" s="401">
        <f t="shared" si="40"/>
        <v>0</v>
      </c>
      <c r="R961" s="3" t="str">
        <f>_xlfn.IFNA(VLOOKUP(Tabella1[[#This Row],[Nome]],'ROSE SQUADRE'!$N$3:$O$260,2,0),"")</f>
        <v/>
      </c>
      <c r="S961" s="193">
        <f>SUM(Tabella1[[#This Row],[Gf]],Tabella1[[#This Row],[Rf]])</f>
        <v>0</v>
      </c>
      <c r="T961" s="193"/>
      <c r="U961" s="285" t="str">
        <f>IF(Tabella1[[#This Row],[N° FantaTit]]="","",Tabella1[[#This Row],[fanta voto]])</f>
        <v/>
      </c>
      <c r="V961" s="193">
        <f>SUM(Tabella1[[#This Row],[Voto]],(G961*3),Q961,P961,O961,-(N961),(-M961/2),(-L961*2),(-H961),(I961*3),(-J961*3),(K961*3))</f>
        <v>5.5</v>
      </c>
      <c r="W961" s="193"/>
      <c r="X961" s="193" t="str">
        <f>IF(Tabella1[[#This Row],[Best 11]]=1,Tabella1[[#This Row],[fanta voto]],"")</f>
        <v/>
      </c>
      <c r="Z961" s="193" t="str">
        <f>IF(Tabella1[[#This Row],[Best 11 MOD]]=1,Tabella1[[#This Row],[fanta voto]],"")</f>
        <v/>
      </c>
      <c r="AA961" t="str">
        <f>CONCATENATE(Tabella1[[#This Row],[GG]],Tabella1[[#This Row],[Nome]])</f>
        <v>4Sutalo J.</v>
      </c>
      <c r="AB961" t="str">
        <f t="shared" si="41"/>
        <v>4</v>
      </c>
      <c r="AC961" t="str">
        <f>_xlfn.CONCAT(Tabella1[[#This Row],[Ruolo]],Tabella1[[#This Row],[Gs]])</f>
        <v>D0</v>
      </c>
    </row>
    <row r="962" spans="1:29" hidden="1" x14ac:dyDescent="0.3">
      <c r="A962" s="14">
        <v>46277</v>
      </c>
      <c r="B962" s="15">
        <v>4</v>
      </c>
      <c r="C962" s="321" t="str">
        <f>_xlfn.XLOOKUP(Tabella1[[#This Row],[Nome]],Tabella4[NOME],Tabella4[SQUADRA],"")</f>
        <v>Como</v>
      </c>
      <c r="D962" t="s">
        <v>161</v>
      </c>
      <c r="E962" t="s">
        <v>685</v>
      </c>
      <c r="F962" s="194">
        <v>6</v>
      </c>
      <c r="G962" s="402">
        <v>0</v>
      </c>
      <c r="H962" s="402">
        <v>0</v>
      </c>
      <c r="I962" s="402">
        <v>0</v>
      </c>
      <c r="J962" s="402">
        <v>0</v>
      </c>
      <c r="K962" s="402">
        <v>0</v>
      </c>
      <c r="L962" s="402">
        <v>0</v>
      </c>
      <c r="M962" s="402">
        <v>0</v>
      </c>
      <c r="N962" s="402">
        <v>0</v>
      </c>
      <c r="O962" s="402">
        <v>0</v>
      </c>
      <c r="P962" s="401"/>
      <c r="Q962" s="401">
        <f t="shared" si="40"/>
        <v>0</v>
      </c>
      <c r="R962" s="3" t="str">
        <f>_xlfn.IFNA(VLOOKUP(Tabella1[[#This Row],[Nome]],'ROSE SQUADRE'!$N$3:$O$260,2,0),"")</f>
        <v>AS PIPPERIA</v>
      </c>
      <c r="S962" s="193">
        <f>SUM(Tabella1[[#This Row],[Gf]],Tabella1[[#This Row],[Rf]])</f>
        <v>0</v>
      </c>
      <c r="T962" s="193">
        <v>1</v>
      </c>
      <c r="U962" s="285">
        <f>IF(Tabella1[[#This Row],[N° FantaTit]]="","",Tabella1[[#This Row],[fanta voto]])</f>
        <v>6</v>
      </c>
      <c r="V962" s="193">
        <f>SUM(Tabella1[[#This Row],[Voto]],(G962*3),Q962,P962,O962,-(N962),(-M962/2),(-L962*2),(-H962),(I962*3),(-J962*3),(K962*3))</f>
        <v>6</v>
      </c>
      <c r="W962" s="193">
        <v>1</v>
      </c>
      <c r="X962" s="193">
        <f>IF(Tabella1[[#This Row],[Best 11]]=1,Tabella1[[#This Row],[fanta voto]],"")</f>
        <v>6</v>
      </c>
      <c r="Y962">
        <v>1</v>
      </c>
      <c r="Z962" s="193">
        <f>IF(Tabella1[[#This Row],[Best 11 MOD]]=1,Tabella1[[#This Row],[fanta voto]],"")</f>
        <v>6</v>
      </c>
      <c r="AA962" t="str">
        <f>CONCATENATE(Tabella1[[#This Row],[GG]],Tabella1[[#This Row],[Nome]])</f>
        <v>4Couto</v>
      </c>
      <c r="AB962" t="str">
        <f t="shared" si="41"/>
        <v>4AS PIPPERIA1</v>
      </c>
      <c r="AC962" t="str">
        <f>_xlfn.CONCAT(Tabella1[[#This Row],[Ruolo]],Tabella1[[#This Row],[Gs]])</f>
        <v>D0</v>
      </c>
    </row>
    <row r="963" spans="1:29" hidden="1" x14ac:dyDescent="0.3">
      <c r="A963" s="14">
        <v>46277</v>
      </c>
      <c r="B963" s="15">
        <v>4</v>
      </c>
      <c r="C963" s="321" t="str">
        <f>_xlfn.XLOOKUP(Tabella1[[#This Row],[Nome]],Tabella4[NOME],Tabella4[SQUADRA],"")</f>
        <v>Lecce</v>
      </c>
      <c r="D963" s="330" t="s">
        <v>161</v>
      </c>
      <c r="E963" s="330" t="s">
        <v>816</v>
      </c>
      <c r="F963" s="331">
        <v>6.5</v>
      </c>
      <c r="G963" s="404">
        <v>0</v>
      </c>
      <c r="H963" s="404">
        <v>0</v>
      </c>
      <c r="I963" s="404">
        <v>0</v>
      </c>
      <c r="J963" s="404">
        <v>0</v>
      </c>
      <c r="K963" s="404">
        <v>0</v>
      </c>
      <c r="L963" s="404">
        <v>0</v>
      </c>
      <c r="M963" s="405">
        <v>1</v>
      </c>
      <c r="N963" s="404">
        <v>0</v>
      </c>
      <c r="O963" s="405">
        <v>1</v>
      </c>
      <c r="P963" s="401"/>
      <c r="Q963" s="401">
        <f t="shared" si="40"/>
        <v>0</v>
      </c>
      <c r="R963" s="3" t="str">
        <f>_xlfn.IFNA(VLOOKUP(Tabella1[[#This Row],[Nome]],'ROSE SQUADRE'!$N$3:$O$260,2,0),"")</f>
        <v>TRICCHETRACHT</v>
      </c>
      <c r="S963" s="193">
        <f>SUM(Tabella1[[#This Row],[Gf]],Tabella1[[#This Row],[Rf]])</f>
        <v>0</v>
      </c>
      <c r="T963" s="193"/>
      <c r="U963" s="285" t="str">
        <f>IF(Tabella1[[#This Row],[N° FantaTit]]="","",Tabella1[[#This Row],[fanta voto]])</f>
        <v/>
      </c>
      <c r="V963" s="193">
        <f>SUM(Tabella1[[#This Row],[Voto]],(G963*3),Q963,P963,O963,-(N963),(-M963/2),(-L963*2),(-H963),(I963*3),(-J963*3),(K963*3))</f>
        <v>7</v>
      </c>
      <c r="W963" s="193">
        <v>1</v>
      </c>
      <c r="X963" s="193">
        <f>IF(Tabella1[[#This Row],[Best 11]]=1,Tabella1[[#This Row],[fanta voto]],"")</f>
        <v>7</v>
      </c>
      <c r="Y963">
        <v>1</v>
      </c>
      <c r="Z963" s="193">
        <f>IF(Tabella1[[#This Row],[Best 11 MOD]]=1,Tabella1[[#This Row],[fanta voto]],"")</f>
        <v>7</v>
      </c>
      <c r="AA963" t="str">
        <f>CONCATENATE(Tabella1[[#This Row],[GG]],Tabella1[[#This Row],[Nome]])</f>
        <v>4Veiga D.</v>
      </c>
      <c r="AB963" t="str">
        <f t="shared" si="41"/>
        <v>4TRICCHETRACHT</v>
      </c>
      <c r="AC963" t="str">
        <f>_xlfn.CONCAT(Tabella1[[#This Row],[Ruolo]],Tabella1[[#This Row],[Gs]])</f>
        <v>D0</v>
      </c>
    </row>
    <row r="964" spans="1:29" hidden="1" x14ac:dyDescent="0.3">
      <c r="A964" s="14">
        <v>46277</v>
      </c>
      <c r="B964" s="15">
        <v>4</v>
      </c>
      <c r="C964" s="321" t="str">
        <f>_xlfn.XLOOKUP(Tabella1[[#This Row],[Nome]],Tabella4[NOME],Tabella4[SQUADRA],"")</f>
        <v>Inter</v>
      </c>
      <c r="D964" t="s">
        <v>161</v>
      </c>
      <c r="E964" t="s">
        <v>612</v>
      </c>
      <c r="F964" s="194">
        <v>5.5</v>
      </c>
      <c r="G964" s="402">
        <v>0</v>
      </c>
      <c r="H964" s="402">
        <v>0</v>
      </c>
      <c r="I964" s="402">
        <v>0</v>
      </c>
      <c r="J964" s="402">
        <v>0</v>
      </c>
      <c r="K964" s="402">
        <v>0</v>
      </c>
      <c r="L964" s="402">
        <v>0</v>
      </c>
      <c r="M964" s="402">
        <v>0</v>
      </c>
      <c r="N964" s="402">
        <v>0</v>
      </c>
      <c r="O964" s="402">
        <v>0</v>
      </c>
      <c r="P964" s="401"/>
      <c r="Q964" s="401">
        <f t="shared" si="40"/>
        <v>0</v>
      </c>
      <c r="R964" s="3" t="str">
        <f>_xlfn.IFNA(VLOOKUP(Tabella1[[#This Row],[Nome]],'ROSE SQUADRE'!$N$3:$O$260,2,0),"")</f>
        <v>ATL. IMPROVVISATO</v>
      </c>
      <c r="S964" s="193">
        <f>SUM(Tabella1[[#This Row],[Gf]],Tabella1[[#This Row],[Rf]])</f>
        <v>0</v>
      </c>
      <c r="T964" s="193">
        <v>1</v>
      </c>
      <c r="U964" s="285">
        <f>IF(Tabella1[[#This Row],[N° FantaTit]]="","",Tabella1[[#This Row],[fanta voto]])</f>
        <v>5.5</v>
      </c>
      <c r="V964" s="193">
        <f>SUM(Tabella1[[#This Row],[Voto]],(G964*3),Q964,P964,O964,-(N964),(-M964/2),(-L964*2),(-H964),(I964*3),(-J964*3),(K964*3))</f>
        <v>5.5</v>
      </c>
      <c r="W964" s="193">
        <v>1</v>
      </c>
      <c r="X964" s="193">
        <f>IF(Tabella1[[#This Row],[Best 11]]=1,Tabella1[[#This Row],[fanta voto]],"")</f>
        <v>5.5</v>
      </c>
      <c r="Y964">
        <v>1</v>
      </c>
      <c r="Z964" s="193">
        <f>IF(Tabella1[[#This Row],[Best 11 MOD]]=1,Tabella1[[#This Row],[fanta voto]],"")</f>
        <v>5.5</v>
      </c>
      <c r="AA964" t="str">
        <f>CONCATENATE(Tabella1[[#This Row],[GG]],Tabella1[[#This Row],[Nome]])</f>
        <v>4Pavard</v>
      </c>
      <c r="AB964" t="str">
        <f t="shared" si="41"/>
        <v>4ATL. IMPROVVISATO1</v>
      </c>
      <c r="AC964" t="str">
        <f>_xlfn.CONCAT(Tabella1[[#This Row],[Ruolo]],Tabella1[[#This Row],[Gs]])</f>
        <v>D0</v>
      </c>
    </row>
    <row r="965" spans="1:29" hidden="1" x14ac:dyDescent="0.3">
      <c r="A965" s="14">
        <v>46277</v>
      </c>
      <c r="B965" s="15">
        <v>4</v>
      </c>
      <c r="C965" s="321" t="str">
        <f>_xlfn.XLOOKUP(Tabella1[[#This Row],[Nome]],Tabella4[NOME],Tabella4[SQUADRA],"")</f>
        <v>Parma</v>
      </c>
      <c r="D965" s="330" t="s">
        <v>161</v>
      </c>
      <c r="E965" s="330" t="s">
        <v>554</v>
      </c>
      <c r="F965" s="331">
        <v>6</v>
      </c>
      <c r="G965" s="404">
        <v>0</v>
      </c>
      <c r="H965" s="404">
        <v>0</v>
      </c>
      <c r="I965" s="404">
        <v>0</v>
      </c>
      <c r="J965" s="404">
        <v>0</v>
      </c>
      <c r="K965" s="404">
        <v>0</v>
      </c>
      <c r="L965" s="404">
        <v>0</v>
      </c>
      <c r="M965" s="404">
        <v>0</v>
      </c>
      <c r="N965" s="404">
        <v>0</v>
      </c>
      <c r="O965" s="404">
        <v>0</v>
      </c>
      <c r="P965" s="401"/>
      <c r="Q965" s="401">
        <f t="shared" si="40"/>
        <v>0</v>
      </c>
      <c r="R965" s="3" t="str">
        <f>_xlfn.IFNA(VLOOKUP(Tabella1[[#This Row],[Nome]],'ROSE SQUADRE'!$N$3:$O$260,2,0),"")</f>
        <v>TRICCHETRACHT</v>
      </c>
      <c r="S965" s="193">
        <f>SUM(Tabella1[[#This Row],[Gf]],Tabella1[[#This Row],[Rf]])</f>
        <v>0</v>
      </c>
      <c r="T965" s="193"/>
      <c r="U965" s="285" t="str">
        <f>IF(Tabella1[[#This Row],[N° FantaTit]]="","",Tabella1[[#This Row],[fanta voto]])</f>
        <v/>
      </c>
      <c r="V965" s="193">
        <f>SUM(Tabella1[[#This Row],[Voto]],(G965*3),Q965,P965,O965,-(N965),(-M965/2),(-L965*2),(-H965),(I965*3),(-J965*3),(K965*3))</f>
        <v>6</v>
      </c>
      <c r="W965" s="193">
        <v>1</v>
      </c>
      <c r="X965" s="193">
        <f>IF(Tabella1[[#This Row],[Best 11]]=1,Tabella1[[#This Row],[fanta voto]],"")</f>
        <v>6</v>
      </c>
      <c r="Y965">
        <v>1</v>
      </c>
      <c r="Z965" s="193">
        <f>IF(Tabella1[[#This Row],[Best 11 MOD]]=1,Tabella1[[#This Row],[fanta voto]],"")</f>
        <v>6</v>
      </c>
      <c r="AA965" t="str">
        <f>CONCATENATE(Tabella1[[#This Row],[GG]],Tabella1[[#This Row],[Nome]])</f>
        <v>4Valeri</v>
      </c>
      <c r="AB965" t="str">
        <f t="shared" si="41"/>
        <v>4TRICCHETRACHT</v>
      </c>
      <c r="AC965" t="str">
        <f>_xlfn.CONCAT(Tabella1[[#This Row],[Ruolo]],Tabella1[[#This Row],[Gs]])</f>
        <v>D0</v>
      </c>
    </row>
    <row r="966" spans="1:29" hidden="1" x14ac:dyDescent="0.3">
      <c r="A966" s="14">
        <v>46277</v>
      </c>
      <c r="B966" s="15">
        <v>4</v>
      </c>
      <c r="C966" s="321" t="str">
        <f>_xlfn.XLOOKUP(Tabella1[[#This Row],[Nome]],Tabella4[NOME],Tabella4[SQUADRA],"")</f>
        <v>Lazio</v>
      </c>
      <c r="D966" t="s">
        <v>162</v>
      </c>
      <c r="E966" t="s">
        <v>595</v>
      </c>
      <c r="F966" s="194">
        <v>6.5</v>
      </c>
      <c r="G966" s="402">
        <v>0</v>
      </c>
      <c r="H966" s="402">
        <v>0</v>
      </c>
      <c r="I966" s="402">
        <v>0</v>
      </c>
      <c r="J966" s="402">
        <v>0</v>
      </c>
      <c r="K966" s="402">
        <v>0</v>
      </c>
      <c r="L966" s="402">
        <v>0</v>
      </c>
      <c r="M966" s="403">
        <v>1</v>
      </c>
      <c r="N966" s="402">
        <v>0</v>
      </c>
      <c r="O966" s="402">
        <v>0</v>
      </c>
      <c r="P966" s="401"/>
      <c r="Q966" s="401">
        <f t="shared" si="40"/>
        <v>0</v>
      </c>
      <c r="R966" s="3" t="str">
        <f>_xlfn.IFNA(VLOOKUP(Tabella1[[#This Row],[Nome]],'ROSE SQUADRE'!$N$3:$O$260,2,0),"")</f>
        <v/>
      </c>
      <c r="S966" s="193">
        <f>SUM(Tabella1[[#This Row],[Gf]],Tabella1[[#This Row],[Rf]])</f>
        <v>0</v>
      </c>
      <c r="T966" s="193"/>
      <c r="U966" s="285" t="str">
        <f>IF(Tabella1[[#This Row],[N° FantaTit]]="","",Tabella1[[#This Row],[fanta voto]])</f>
        <v/>
      </c>
      <c r="V966" s="193">
        <f>SUM(Tabella1[[#This Row],[Voto]],(G966*3),Q966,P966,O966,-(N966),(-M966/2),(-L966*2),(-H966),(I966*3),(-J966*3),(K966*3))</f>
        <v>6</v>
      </c>
      <c r="W966" s="193"/>
      <c r="X966" s="193" t="str">
        <f>IF(Tabella1[[#This Row],[Best 11]]=1,Tabella1[[#This Row],[fanta voto]],"")</f>
        <v/>
      </c>
      <c r="Z966" s="193" t="str">
        <f>IF(Tabella1[[#This Row],[Best 11 MOD]]=1,Tabella1[[#This Row],[fanta voto]],"")</f>
        <v/>
      </c>
      <c r="AA966" t="str">
        <f>CONCATENATE(Tabella1[[#This Row],[GG]],Tabella1[[#This Row],[Nome]])</f>
        <v>4Belahyane</v>
      </c>
      <c r="AB966" t="str">
        <f t="shared" si="41"/>
        <v>4</v>
      </c>
      <c r="AC966" t="str">
        <f>_xlfn.CONCAT(Tabella1[[#This Row],[Ruolo]],Tabella1[[#This Row],[Gs]])</f>
        <v>C0</v>
      </c>
    </row>
    <row r="967" spans="1:29" hidden="1" x14ac:dyDescent="0.3">
      <c r="A967" s="14">
        <v>46277</v>
      </c>
      <c r="B967" s="15">
        <v>4</v>
      </c>
      <c r="C967" s="321" t="str">
        <f>_xlfn.XLOOKUP(Tabella1[[#This Row],[Nome]],Tabella4[NOME],Tabella4[SQUADRA],"")</f>
        <v>Roma</v>
      </c>
      <c r="D967" s="330" t="s">
        <v>161</v>
      </c>
      <c r="E967" s="330" t="s">
        <v>277</v>
      </c>
      <c r="F967" s="331">
        <v>7</v>
      </c>
      <c r="G967" s="404">
        <v>0</v>
      </c>
      <c r="H967" s="404">
        <v>0</v>
      </c>
      <c r="I967" s="404">
        <v>0</v>
      </c>
      <c r="J967" s="404">
        <v>0</v>
      </c>
      <c r="K967" s="404">
        <v>0</v>
      </c>
      <c r="L967" s="404">
        <v>0</v>
      </c>
      <c r="M967" s="404">
        <v>0</v>
      </c>
      <c r="N967" s="404">
        <v>0</v>
      </c>
      <c r="O967" s="404">
        <v>0</v>
      </c>
      <c r="P967" s="401"/>
      <c r="Q967" s="401">
        <f t="shared" si="40"/>
        <v>0</v>
      </c>
      <c r="R967" s="3" t="str">
        <f>_xlfn.IFNA(VLOOKUP(Tabella1[[#This Row],[Nome]],'ROSE SQUADRE'!$N$3:$O$260,2,0),"")</f>
        <v>PESCICULINI</v>
      </c>
      <c r="S967" s="193">
        <f>SUM(Tabella1[[#This Row],[Gf]],Tabella1[[#This Row],[Rf]])</f>
        <v>0</v>
      </c>
      <c r="T967" s="193">
        <v>1</v>
      </c>
      <c r="U967" s="285">
        <f>IF(Tabella1[[#This Row],[N° FantaTit]]="","",Tabella1[[#This Row],[fanta voto]])</f>
        <v>7</v>
      </c>
      <c r="V967" s="193">
        <f>SUM(Tabella1[[#This Row],[Voto]],(G967*3),Q967,P967,O967,-(N967),(-M967/2),(-L967*2),(-H967),(I967*3),(-J967*3),(K967*3))</f>
        <v>7</v>
      </c>
      <c r="W967" s="193">
        <v>1</v>
      </c>
      <c r="X967" s="193">
        <f>IF(Tabella1[[#This Row],[Best 11]]=1,Tabella1[[#This Row],[fanta voto]],"")</f>
        <v>7</v>
      </c>
      <c r="Y967">
        <v>1</v>
      </c>
      <c r="Z967" s="193">
        <f>IF(Tabella1[[#This Row],[Best 11 MOD]]=1,Tabella1[[#This Row],[fanta voto]],"")</f>
        <v>7</v>
      </c>
      <c r="AA967" t="str">
        <f>CONCATENATE(Tabella1[[#This Row],[GG]],Tabella1[[#This Row],[Nome]])</f>
        <v>4Mancini</v>
      </c>
      <c r="AB967" t="str">
        <f t="shared" si="41"/>
        <v>4PESCICULINI1</v>
      </c>
      <c r="AC967" t="str">
        <f>_xlfn.CONCAT(Tabella1[[#This Row],[Ruolo]],Tabella1[[#This Row],[Gs]])</f>
        <v>D0</v>
      </c>
    </row>
    <row r="968" spans="1:29" hidden="1" x14ac:dyDescent="0.3">
      <c r="A968" s="14">
        <v>46277</v>
      </c>
      <c r="B968" s="15">
        <v>4</v>
      </c>
      <c r="C968" s="321" t="str">
        <f>_xlfn.XLOOKUP(Tabella1[[#This Row],[Nome]],Tabella4[NOME],Tabella4[SQUADRA],"")</f>
        <v>Venezia</v>
      </c>
      <c r="D968" s="330" t="s">
        <v>161</v>
      </c>
      <c r="E968" s="330" t="s">
        <v>972</v>
      </c>
      <c r="F968" s="331">
        <v>6</v>
      </c>
      <c r="G968" s="404">
        <v>0</v>
      </c>
      <c r="H968" s="404">
        <v>0</v>
      </c>
      <c r="I968" s="404">
        <v>0</v>
      </c>
      <c r="J968" s="404">
        <v>0</v>
      </c>
      <c r="K968" s="404">
        <v>0</v>
      </c>
      <c r="L968" s="404">
        <v>0</v>
      </c>
      <c r="M968" s="404">
        <v>0</v>
      </c>
      <c r="N968" s="404">
        <v>0</v>
      </c>
      <c r="O968" s="404">
        <v>0</v>
      </c>
      <c r="P968" s="401"/>
      <c r="Q968" s="401">
        <f t="shared" si="40"/>
        <v>0</v>
      </c>
      <c r="R968" s="3" t="str">
        <f>_xlfn.IFNA(VLOOKUP(Tabella1[[#This Row],[Nome]],'ROSE SQUADRE'!$N$3:$O$260,2,0),"")</f>
        <v>SHARK</v>
      </c>
      <c r="S968" s="193">
        <f>SUM(Tabella1[[#This Row],[Gf]],Tabella1[[#This Row],[Rf]])</f>
        <v>0</v>
      </c>
      <c r="T968" s="193"/>
      <c r="U968" s="285" t="str">
        <f>IF(Tabella1[[#This Row],[N° FantaTit]]="","",Tabella1[[#This Row],[fanta voto]])</f>
        <v/>
      </c>
      <c r="V968" s="193">
        <f>SUM(Tabella1[[#This Row],[Voto]],(G968*3),Q968,P968,O968,-(N968),(-M968/2),(-L968*2),(-H968),(I968*3),(-J968*3),(K968*3))</f>
        <v>6</v>
      </c>
      <c r="W968" s="193">
        <v>1</v>
      </c>
      <c r="X968" s="193">
        <f>IF(Tabella1[[#This Row],[Best 11]]=1,Tabella1[[#This Row],[fanta voto]],"")</f>
        <v>6</v>
      </c>
      <c r="Y968">
        <v>1</v>
      </c>
      <c r="Z968" s="193">
        <f>IF(Tabella1[[#This Row],[Best 11 MOD]]=1,Tabella1[[#This Row],[fanta voto]],"")</f>
        <v>6</v>
      </c>
      <c r="AA968" t="str">
        <f>CONCATENATE(Tabella1[[#This Row],[GG]],Tabella1[[#This Row],[Nome]])</f>
        <v>4Correia T.</v>
      </c>
      <c r="AB968" t="str">
        <f t="shared" si="41"/>
        <v>4SHARK</v>
      </c>
      <c r="AC968" t="str">
        <f>_xlfn.CONCAT(Tabella1[[#This Row],[Ruolo]],Tabella1[[#This Row],[Gs]])</f>
        <v>D0</v>
      </c>
    </row>
    <row r="969" spans="1:29" hidden="1" x14ac:dyDescent="0.3">
      <c r="A969" s="14">
        <v>46277</v>
      </c>
      <c r="B969" s="15">
        <v>4</v>
      </c>
      <c r="C969" s="321" t="str">
        <f>_xlfn.XLOOKUP(Tabella1[[#This Row],[Nome]],Tabella4[NOME],Tabella4[SQUADRA],"")</f>
        <v>Napoli</v>
      </c>
      <c r="D969" s="330" t="s">
        <v>161</v>
      </c>
      <c r="E969" s="330" t="s">
        <v>270</v>
      </c>
      <c r="F969" s="331">
        <v>6</v>
      </c>
      <c r="G969" s="404">
        <v>0</v>
      </c>
      <c r="H969" s="404">
        <v>0</v>
      </c>
      <c r="I969" s="404">
        <v>0</v>
      </c>
      <c r="J969" s="404">
        <v>0</v>
      </c>
      <c r="K969" s="404">
        <v>0</v>
      </c>
      <c r="L969" s="404">
        <v>0</v>
      </c>
      <c r="M969" s="404">
        <v>0</v>
      </c>
      <c r="N969" s="404">
        <v>0</v>
      </c>
      <c r="O969" s="404">
        <v>0</v>
      </c>
      <c r="P969" s="401"/>
      <c r="Q969" s="401">
        <f t="shared" si="40"/>
        <v>0</v>
      </c>
      <c r="R969" s="3" t="str">
        <f>_xlfn.IFNA(VLOOKUP(Tabella1[[#This Row],[Nome]],'ROSE SQUADRE'!$N$3:$O$260,2,0),"")</f>
        <v>AS PIPPERIA</v>
      </c>
      <c r="S969" s="193">
        <f>SUM(Tabella1[[#This Row],[Gf]],Tabella1[[#This Row],[Rf]])</f>
        <v>0</v>
      </c>
      <c r="T969" s="193">
        <v>1</v>
      </c>
      <c r="U969" s="285">
        <f>IF(Tabella1[[#This Row],[N° FantaTit]]="","",Tabella1[[#This Row],[fanta voto]])</f>
        <v>6</v>
      </c>
      <c r="V969" s="193">
        <f>SUM(Tabella1[[#This Row],[Voto]],(G969*3),Q969,P969,O969,-(N969),(-M969/2),(-L969*2),(-H969),(I969*3),(-J969*3),(K969*3))</f>
        <v>6</v>
      </c>
      <c r="W969" s="193">
        <v>1</v>
      </c>
      <c r="X969" s="193">
        <f>IF(Tabella1[[#This Row],[Best 11]]=1,Tabella1[[#This Row],[fanta voto]],"")</f>
        <v>6</v>
      </c>
      <c r="Y969">
        <v>1</v>
      </c>
      <c r="Z969" s="193">
        <f>IF(Tabella1[[#This Row],[Best 11 MOD]]=1,Tabella1[[#This Row],[fanta voto]],"")</f>
        <v>6</v>
      </c>
      <c r="AA969" t="str">
        <f>CONCATENATE(Tabella1[[#This Row],[GG]],Tabella1[[#This Row],[Nome]])</f>
        <v>4Di Lorenzo</v>
      </c>
      <c r="AB969" t="str">
        <f t="shared" si="41"/>
        <v>4AS PIPPERIA1</v>
      </c>
      <c r="AC969" t="str">
        <f>_xlfn.CONCAT(Tabella1[[#This Row],[Ruolo]],Tabella1[[#This Row],[Gs]])</f>
        <v>D0</v>
      </c>
    </row>
    <row r="970" spans="1:29" hidden="1" x14ac:dyDescent="0.3">
      <c r="A970" s="14">
        <v>46277</v>
      </c>
      <c r="B970" s="15">
        <v>4</v>
      </c>
      <c r="C970" s="321" t="str">
        <f>_xlfn.XLOOKUP(Tabella1[[#This Row],[Nome]],Tabella4[NOME],Tabella4[SQUADRA],"")</f>
        <v>Juventus</v>
      </c>
      <c r="D970" t="s">
        <v>161</v>
      </c>
      <c r="E970" t="s">
        <v>321</v>
      </c>
      <c r="F970" s="194">
        <v>5.5</v>
      </c>
      <c r="G970" s="402">
        <v>0</v>
      </c>
      <c r="H970" s="402">
        <v>0</v>
      </c>
      <c r="I970" s="402">
        <v>0</v>
      </c>
      <c r="J970" s="402">
        <v>0</v>
      </c>
      <c r="K970" s="402">
        <v>0</v>
      </c>
      <c r="L970" s="402">
        <v>0</v>
      </c>
      <c r="M970" s="402">
        <v>0</v>
      </c>
      <c r="N970" s="402">
        <v>0</v>
      </c>
      <c r="O970" s="402">
        <v>0</v>
      </c>
      <c r="P970" s="401"/>
      <c r="Q970" s="401">
        <f t="shared" si="40"/>
        <v>0</v>
      </c>
      <c r="R970" s="3" t="str">
        <f>_xlfn.IFNA(VLOOKUP(Tabella1[[#This Row],[Nome]],'ROSE SQUADRE'!$N$3:$O$260,2,0),"")</f>
        <v>FC INTERNAZIOANALE</v>
      </c>
      <c r="S970" s="193">
        <f>SUM(Tabella1[[#This Row],[Gf]],Tabella1[[#This Row],[Rf]])</f>
        <v>0</v>
      </c>
      <c r="T970" s="193">
        <v>1</v>
      </c>
      <c r="U970" s="285">
        <f>IF(Tabella1[[#This Row],[N° FantaTit]]="","",Tabella1[[#This Row],[fanta voto]])</f>
        <v>5.5</v>
      </c>
      <c r="V970" s="193">
        <f>SUM(Tabella1[[#This Row],[Voto]],(G970*3),Q970,P970,O970,-(N970),(-M970/2),(-L970*2),(-H970),(I970*3),(-J970*3),(K970*3))</f>
        <v>5.5</v>
      </c>
      <c r="W970" s="193">
        <v>1</v>
      </c>
      <c r="X970" s="193">
        <f>IF(Tabella1[[#This Row],[Best 11]]=1,Tabella1[[#This Row],[fanta voto]],"")</f>
        <v>5.5</v>
      </c>
      <c r="Y970">
        <v>1</v>
      </c>
      <c r="Z970" s="193">
        <f>IF(Tabella1[[#This Row],[Best 11 MOD]]=1,Tabella1[[#This Row],[fanta voto]],"")</f>
        <v>5.5</v>
      </c>
      <c r="AA970" t="str">
        <f>CONCATENATE(Tabella1[[#This Row],[GG]],Tabella1[[#This Row],[Nome]])</f>
        <v>4Celik</v>
      </c>
      <c r="AB970" t="str">
        <f t="shared" si="41"/>
        <v>4FC INTERNAZIOANALE1</v>
      </c>
      <c r="AC970" t="str">
        <f>_xlfn.CONCAT(Tabella1[[#This Row],[Ruolo]],Tabella1[[#This Row],[Gs]])</f>
        <v>D0</v>
      </c>
    </row>
    <row r="971" spans="1:29" hidden="1" x14ac:dyDescent="0.3">
      <c r="A971" s="14">
        <v>46277</v>
      </c>
      <c r="B971" s="15">
        <v>4</v>
      </c>
      <c r="C971" s="321" t="str">
        <f>_xlfn.XLOOKUP(Tabella1[[#This Row],[Nome]],Tabella4[NOME],Tabella4[SQUADRA],"")</f>
        <v>Milan</v>
      </c>
      <c r="D971" s="330" t="s">
        <v>161</v>
      </c>
      <c r="E971" s="330" t="s">
        <v>615</v>
      </c>
      <c r="F971" s="331">
        <v>5.5</v>
      </c>
      <c r="G971" s="404">
        <v>0</v>
      </c>
      <c r="H971" s="404">
        <v>0</v>
      </c>
      <c r="I971" s="404">
        <v>0</v>
      </c>
      <c r="J971" s="404">
        <v>0</v>
      </c>
      <c r="K971" s="404">
        <v>0</v>
      </c>
      <c r="L971" s="404">
        <v>0</v>
      </c>
      <c r="M971" s="405">
        <v>1</v>
      </c>
      <c r="N971" s="404">
        <v>0</v>
      </c>
      <c r="O971" s="404">
        <v>0</v>
      </c>
      <c r="P971" s="401"/>
      <c r="Q971" s="401">
        <f t="shared" si="40"/>
        <v>0</v>
      </c>
      <c r="R971" s="3" t="str">
        <f>_xlfn.IFNA(VLOOKUP(Tabella1[[#This Row],[Nome]],'ROSE SQUADRE'!$N$3:$O$260,2,0),"")</f>
        <v>SESTO ASENSIO</v>
      </c>
      <c r="S971" s="193">
        <f>SUM(Tabella1[[#This Row],[Gf]],Tabella1[[#This Row],[Rf]])</f>
        <v>0</v>
      </c>
      <c r="T971" s="193">
        <v>1</v>
      </c>
      <c r="U971" s="285">
        <f>IF(Tabella1[[#This Row],[N° FantaTit]]="","",Tabella1[[#This Row],[fanta voto]])</f>
        <v>5</v>
      </c>
      <c r="V971" s="193">
        <f>SUM(Tabella1[[#This Row],[Voto]],(G971*3),Q971,P971,O971,-(N971),(-M971/2),(-L971*2),(-H971),(I971*3),(-J971*3),(K971*3))</f>
        <v>5</v>
      </c>
      <c r="W971" s="193"/>
      <c r="X971" s="193" t="str">
        <f>IF(Tabella1[[#This Row],[Best 11]]=1,Tabella1[[#This Row],[fanta voto]],"")</f>
        <v/>
      </c>
      <c r="Z971" s="193" t="str">
        <f>IF(Tabella1[[#This Row],[Best 11 MOD]]=1,Tabella1[[#This Row],[fanta voto]],"")</f>
        <v/>
      </c>
      <c r="AA971" t="str">
        <f>CONCATENATE(Tabella1[[#This Row],[GG]],Tabella1[[#This Row],[Nome]])</f>
        <v>4Pavlovic</v>
      </c>
      <c r="AB971" t="str">
        <f t="shared" si="41"/>
        <v>4SESTO ASENSIO1</v>
      </c>
      <c r="AC971" t="str">
        <f>_xlfn.CONCAT(Tabella1[[#This Row],[Ruolo]],Tabella1[[#This Row],[Gs]])</f>
        <v>D0</v>
      </c>
    </row>
    <row r="972" spans="1:29" hidden="1" x14ac:dyDescent="0.3">
      <c r="A972" s="14">
        <v>46277</v>
      </c>
      <c r="B972" s="15">
        <v>4</v>
      </c>
      <c r="C972" s="321" t="str">
        <f>_xlfn.XLOOKUP(Tabella1[[#This Row],[Nome]],Tabella4[NOME],Tabella4[SQUADRA],"")</f>
        <v>Milan</v>
      </c>
      <c r="D972" s="330" t="s">
        <v>161</v>
      </c>
      <c r="E972" s="330" t="s">
        <v>307</v>
      </c>
      <c r="F972" s="331">
        <v>5.5</v>
      </c>
      <c r="G972" s="404">
        <v>0</v>
      </c>
      <c r="H972" s="404">
        <v>0</v>
      </c>
      <c r="I972" s="404">
        <v>0</v>
      </c>
      <c r="J972" s="404">
        <v>0</v>
      </c>
      <c r="K972" s="404">
        <v>0</v>
      </c>
      <c r="L972" s="404">
        <v>0</v>
      </c>
      <c r="M972" s="404">
        <v>0</v>
      </c>
      <c r="N972" s="404">
        <v>0</v>
      </c>
      <c r="O972" s="404">
        <v>0</v>
      </c>
      <c r="P972" s="401"/>
      <c r="Q972" s="401">
        <f t="shared" si="40"/>
        <v>0</v>
      </c>
      <c r="R972" s="3" t="str">
        <f>_xlfn.IFNA(VLOOKUP(Tabella1[[#This Row],[Nome]],'ROSE SQUADRE'!$N$3:$O$260,2,0),"")</f>
        <v>SESTO ASENSIO</v>
      </c>
      <c r="S972" s="193">
        <f>SUM(Tabella1[[#This Row],[Gf]],Tabella1[[#This Row],[Rf]])</f>
        <v>0</v>
      </c>
      <c r="T972" s="193"/>
      <c r="U972" s="285" t="str">
        <f>IF(Tabella1[[#This Row],[N° FantaTit]]="","",Tabella1[[#This Row],[fanta voto]])</f>
        <v/>
      </c>
      <c r="V972" s="193">
        <f>SUM(Tabella1[[#This Row],[Voto]],(G972*3),Q972,P972,O972,-(N972),(-M972/2),(-L972*2),(-H972),(I972*3),(-J972*3),(K972*3))</f>
        <v>5.5</v>
      </c>
      <c r="W972" s="193"/>
      <c r="X972" s="193" t="str">
        <f>IF(Tabella1[[#This Row],[Best 11]]=1,Tabella1[[#This Row],[fanta voto]],"")</f>
        <v/>
      </c>
      <c r="Y972">
        <v>1</v>
      </c>
      <c r="Z972" s="193">
        <f>IF(Tabella1[[#This Row],[Best 11 MOD]]=1,Tabella1[[#This Row],[fanta voto]],"")</f>
        <v>5.5</v>
      </c>
      <c r="AA972" t="str">
        <f>CONCATENATE(Tabella1[[#This Row],[GG]],Tabella1[[#This Row],[Nome]])</f>
        <v>4De Winter</v>
      </c>
      <c r="AB972" t="str">
        <f t="shared" si="41"/>
        <v>4SESTO ASENSIO</v>
      </c>
      <c r="AC972" t="str">
        <f>_xlfn.CONCAT(Tabella1[[#This Row],[Ruolo]],Tabella1[[#This Row],[Gs]])</f>
        <v>D0</v>
      </c>
    </row>
    <row r="973" spans="1:29" hidden="1" x14ac:dyDescent="0.3">
      <c r="A973" s="14">
        <v>46277</v>
      </c>
      <c r="B973" s="15">
        <v>4</v>
      </c>
      <c r="C973" s="321" t="str">
        <f>_xlfn.XLOOKUP(Tabella1[[#This Row],[Nome]],Tabella4[NOME],Tabella4[SQUADRA],"")</f>
        <v>Fiorentina</v>
      </c>
      <c r="D973" s="330" t="s">
        <v>162</v>
      </c>
      <c r="E973" s="330" t="s">
        <v>947</v>
      </c>
      <c r="F973" s="331">
        <v>6.5</v>
      </c>
      <c r="G973" s="404">
        <v>0</v>
      </c>
      <c r="H973" s="404">
        <v>0</v>
      </c>
      <c r="I973" s="404">
        <v>0</v>
      </c>
      <c r="J973" s="404">
        <v>0</v>
      </c>
      <c r="K973" s="404">
        <v>0</v>
      </c>
      <c r="L973" s="404">
        <v>0</v>
      </c>
      <c r="M973" s="405">
        <v>1</v>
      </c>
      <c r="N973" s="404">
        <v>0</v>
      </c>
      <c r="O973" s="404">
        <v>0</v>
      </c>
      <c r="P973" s="401"/>
      <c r="Q973" s="401">
        <f t="shared" si="40"/>
        <v>0</v>
      </c>
      <c r="R973" s="3" t="str">
        <f>_xlfn.IFNA(VLOOKUP(Tabella1[[#This Row],[Nome]],'ROSE SQUADRE'!$N$3:$O$260,2,0),"")</f>
        <v>PESCICULINI</v>
      </c>
      <c r="S973" s="193">
        <f>SUM(Tabella1[[#This Row],[Gf]],Tabella1[[#This Row],[Rf]])</f>
        <v>0</v>
      </c>
      <c r="T973" s="193">
        <v>1</v>
      </c>
      <c r="U973" s="285">
        <f>IF(Tabella1[[#This Row],[N° FantaTit]]="","",Tabella1[[#This Row],[fanta voto]])</f>
        <v>6</v>
      </c>
      <c r="V973" s="193">
        <f>SUM(Tabella1[[#This Row],[Voto]],(G973*3),Q973,P973,O973,-(N973),(-M973/2),(-L973*2),(-H973),(I973*3),(-J973*3),(K973*3))</f>
        <v>6</v>
      </c>
      <c r="W973" s="193">
        <v>1</v>
      </c>
      <c r="X973" s="193">
        <f>IF(Tabella1[[#This Row],[Best 11]]=1,Tabella1[[#This Row],[fanta voto]],"")</f>
        <v>6</v>
      </c>
      <c r="Y973">
        <v>1</v>
      </c>
      <c r="Z973" s="193">
        <f>IF(Tabella1[[#This Row],[Best 11 MOD]]=1,Tabella1[[#This Row],[fanta voto]],"")</f>
        <v>6</v>
      </c>
      <c r="AA973" t="str">
        <f>CONCATENATE(Tabella1[[#This Row],[GG]],Tabella1[[#This Row],[Nome]])</f>
        <v>4Njie</v>
      </c>
      <c r="AB973" t="str">
        <f t="shared" si="41"/>
        <v>4PESCICULINI1</v>
      </c>
      <c r="AC973" t="str">
        <f>_xlfn.CONCAT(Tabella1[[#This Row],[Ruolo]],Tabella1[[#This Row],[Gs]])</f>
        <v>C0</v>
      </c>
    </row>
    <row r="974" spans="1:29" hidden="1" x14ac:dyDescent="0.3">
      <c r="A974" s="14">
        <v>46277</v>
      </c>
      <c r="B974" s="15">
        <v>4</v>
      </c>
      <c r="C974" s="321" t="str">
        <f>_xlfn.XLOOKUP(Tabella1[[#This Row],[Nome]],Tabella4[NOME],Tabella4[SQUADRA],"")</f>
        <v>Bologna</v>
      </c>
      <c r="D974" s="330" t="s">
        <v>161</v>
      </c>
      <c r="E974" s="330" t="s">
        <v>652</v>
      </c>
      <c r="F974" s="331">
        <v>6</v>
      </c>
      <c r="G974" s="404">
        <v>0</v>
      </c>
      <c r="H974" s="404">
        <v>0</v>
      </c>
      <c r="I974" s="404">
        <v>0</v>
      </c>
      <c r="J974" s="404">
        <v>0</v>
      </c>
      <c r="K974" s="404">
        <v>0</v>
      </c>
      <c r="L974" s="404">
        <v>0</v>
      </c>
      <c r="M974" s="404">
        <v>0</v>
      </c>
      <c r="N974" s="404">
        <v>0</v>
      </c>
      <c r="O974" s="404">
        <v>0</v>
      </c>
      <c r="P974" s="401"/>
      <c r="Q974" s="401">
        <f t="shared" si="40"/>
        <v>0</v>
      </c>
      <c r="R974" s="3" t="str">
        <f>_xlfn.IFNA(VLOOKUP(Tabella1[[#This Row],[Nome]],'ROSE SQUADRE'!$N$3:$O$260,2,0),"")</f>
        <v>SESTO ASENSIO</v>
      </c>
      <c r="S974" s="193">
        <f>SUM(Tabella1[[#This Row],[Gf]],Tabella1[[#This Row],[Rf]])</f>
        <v>0</v>
      </c>
      <c r="T974" s="193"/>
      <c r="U974" s="285" t="str">
        <f>IF(Tabella1[[#This Row],[N° FantaTit]]="","",Tabella1[[#This Row],[fanta voto]])</f>
        <v/>
      </c>
      <c r="V974" s="193">
        <f>SUM(Tabella1[[#This Row],[Voto]],(G974*3),Q974,P974,O974,-(N974),(-M974/2),(-L974*2),(-H974),(I974*3),(-J974*3),(K974*3))</f>
        <v>6</v>
      </c>
      <c r="W974" s="193">
        <v>1</v>
      </c>
      <c r="X974" s="193">
        <f>IF(Tabella1[[#This Row],[Best 11]]=1,Tabella1[[#This Row],[fanta voto]],"")</f>
        <v>6</v>
      </c>
      <c r="Y974">
        <v>1</v>
      </c>
      <c r="Z974" s="193">
        <f>IF(Tabella1[[#This Row],[Best 11 MOD]]=1,Tabella1[[#This Row],[fanta voto]],"")</f>
        <v>6</v>
      </c>
      <c r="AA974" t="str">
        <f>CONCATENATE(Tabella1[[#This Row],[GG]],Tabella1[[#This Row],[Nome]])</f>
        <v>4Holm</v>
      </c>
      <c r="AB974" t="str">
        <f t="shared" si="41"/>
        <v>4SESTO ASENSIO</v>
      </c>
      <c r="AC974" t="str">
        <f>_xlfn.CONCAT(Tabella1[[#This Row],[Ruolo]],Tabella1[[#This Row],[Gs]])</f>
        <v>D0</v>
      </c>
    </row>
    <row r="975" spans="1:29" hidden="1" x14ac:dyDescent="0.3">
      <c r="A975" s="14">
        <v>46277</v>
      </c>
      <c r="B975" s="15">
        <v>4</v>
      </c>
      <c r="C975" s="321" t="str">
        <f>_xlfn.XLOOKUP(Tabella1[[#This Row],[Nome]],Tabella4[NOME],Tabella4[SQUADRA],"")</f>
        <v>Genoa</v>
      </c>
      <c r="D975" s="330" t="s">
        <v>162</v>
      </c>
      <c r="E975" s="330" t="s">
        <v>448</v>
      </c>
      <c r="F975" s="331">
        <v>5.5</v>
      </c>
      <c r="G975" s="404">
        <v>0</v>
      </c>
      <c r="H975" s="404">
        <v>0</v>
      </c>
      <c r="I975" s="404">
        <v>0</v>
      </c>
      <c r="J975" s="404">
        <v>0</v>
      </c>
      <c r="K975" s="404">
        <v>0</v>
      </c>
      <c r="L975" s="404">
        <v>0</v>
      </c>
      <c r="M975" s="404">
        <v>0</v>
      </c>
      <c r="N975" s="404">
        <v>0</v>
      </c>
      <c r="O975" s="404">
        <v>0</v>
      </c>
      <c r="P975" s="401"/>
      <c r="Q975" s="401">
        <f t="shared" si="40"/>
        <v>0</v>
      </c>
      <c r="R975" s="3" t="str">
        <f>_xlfn.IFNA(VLOOKUP(Tabella1[[#This Row],[Nome]],'ROSE SQUADRE'!$N$3:$O$260,2,0),"")</f>
        <v>SAN GRIA</v>
      </c>
      <c r="S975" s="193">
        <f>SUM(Tabella1[[#This Row],[Gf]],Tabella1[[#This Row],[Rf]])</f>
        <v>0</v>
      </c>
      <c r="T975" s="193"/>
      <c r="U975" s="285" t="str">
        <f>IF(Tabella1[[#This Row],[N° FantaTit]]="","",Tabella1[[#This Row],[fanta voto]])</f>
        <v/>
      </c>
      <c r="V975" s="193">
        <f>SUM(Tabella1[[#This Row],[Voto]],(G975*3),Q975,P975,O975,-(N975),(-M975/2),(-L975*2),(-H975),(I975*3),(-J975*3),(K975*3))</f>
        <v>5.5</v>
      </c>
      <c r="W975" s="193"/>
      <c r="X975" s="193" t="str">
        <f>IF(Tabella1[[#This Row],[Best 11]]=1,Tabella1[[#This Row],[fanta voto]],"")</f>
        <v/>
      </c>
      <c r="Z975" s="193" t="str">
        <f>IF(Tabella1[[#This Row],[Best 11 MOD]]=1,Tabella1[[#This Row],[fanta voto]],"")</f>
        <v/>
      </c>
      <c r="AA975" t="str">
        <f>CONCATENATE(Tabella1[[#This Row],[GG]],Tabella1[[#This Row],[Nome]])</f>
        <v>4Frendrup</v>
      </c>
      <c r="AB975" t="str">
        <f t="shared" si="41"/>
        <v>4SAN GRIA</v>
      </c>
      <c r="AC975" t="str">
        <f>_xlfn.CONCAT(Tabella1[[#This Row],[Ruolo]],Tabella1[[#This Row],[Gs]])</f>
        <v>C0</v>
      </c>
    </row>
    <row r="976" spans="1:29" hidden="1" x14ac:dyDescent="0.3">
      <c r="A976" s="14">
        <v>46277</v>
      </c>
      <c r="B976" s="15">
        <v>4</v>
      </c>
      <c r="C976" s="321" t="str">
        <f>_xlfn.XLOOKUP(Tabella1[[#This Row],[Nome]],Tabella4[NOME],Tabella4[SQUADRA],"")</f>
        <v>Milan</v>
      </c>
      <c r="D976" s="330" t="s">
        <v>162</v>
      </c>
      <c r="E976" s="330" t="s">
        <v>838</v>
      </c>
      <c r="F976" s="331">
        <v>6.5</v>
      </c>
      <c r="G976" s="404">
        <v>0</v>
      </c>
      <c r="H976" s="404">
        <v>0</v>
      </c>
      <c r="I976" s="404">
        <v>0</v>
      </c>
      <c r="J976" s="404">
        <v>0</v>
      </c>
      <c r="K976" s="404">
        <v>0</v>
      </c>
      <c r="L976" s="404">
        <v>0</v>
      </c>
      <c r="M976" s="404">
        <v>0</v>
      </c>
      <c r="N976" s="404">
        <v>0</v>
      </c>
      <c r="O976" s="405">
        <v>1</v>
      </c>
      <c r="P976" s="401"/>
      <c r="Q976" s="401">
        <f t="shared" si="40"/>
        <v>0</v>
      </c>
      <c r="R976" s="3" t="str">
        <f>_xlfn.IFNA(VLOOKUP(Tabella1[[#This Row],[Nome]],'ROSE SQUADRE'!$N$3:$O$260,2,0),"")</f>
        <v>SAN GRIA</v>
      </c>
      <c r="S976" s="193">
        <f>SUM(Tabella1[[#This Row],[Gf]],Tabella1[[#This Row],[Rf]])</f>
        <v>0</v>
      </c>
      <c r="T976" s="193">
        <v>1</v>
      </c>
      <c r="U976" s="285">
        <f>IF(Tabella1[[#This Row],[N° FantaTit]]="","",Tabella1[[#This Row],[fanta voto]])</f>
        <v>7.5</v>
      </c>
      <c r="V976" s="193">
        <f>SUM(Tabella1[[#This Row],[Voto]],(G976*3),Q976,P976,O976,-(N976),(-M976/2),(-L976*2),(-H976),(I976*3),(-J976*3),(K976*3))</f>
        <v>7.5</v>
      </c>
      <c r="W976" s="193">
        <v>1</v>
      </c>
      <c r="X976" s="193">
        <f>IF(Tabella1[[#This Row],[Best 11]]=1,Tabella1[[#This Row],[fanta voto]],"")</f>
        <v>7.5</v>
      </c>
      <c r="Y976">
        <v>1</v>
      </c>
      <c r="Z976" s="193">
        <f>IF(Tabella1[[#This Row],[Best 11 MOD]]=1,Tabella1[[#This Row],[fanta voto]],"")</f>
        <v>7.5</v>
      </c>
      <c r="AA976" t="str">
        <f>CONCATENATE(Tabella1[[#This Row],[GG]],Tabella1[[#This Row],[Nome]])</f>
        <v>4Rabiot</v>
      </c>
      <c r="AB976" t="str">
        <f t="shared" si="41"/>
        <v>4SAN GRIA1</v>
      </c>
      <c r="AC976" t="str">
        <f>_xlfn.CONCAT(Tabella1[[#This Row],[Ruolo]],Tabella1[[#This Row],[Gs]])</f>
        <v>C0</v>
      </c>
    </row>
    <row r="977" spans="1:29" hidden="1" x14ac:dyDescent="0.3">
      <c r="A977" s="14">
        <v>46277</v>
      </c>
      <c r="B977" s="15">
        <v>4</v>
      </c>
      <c r="C977" s="321" t="str">
        <f>_xlfn.XLOOKUP(Tabella1[[#This Row],[Nome]],Tabella4[NOME],Tabella4[SQUADRA],"")</f>
        <v>Cagliari</v>
      </c>
      <c r="D977" s="330" t="s">
        <v>161</v>
      </c>
      <c r="E977" s="330" t="s">
        <v>667</v>
      </c>
      <c r="F977" s="412">
        <v>6</v>
      </c>
      <c r="G977" s="404">
        <v>0</v>
      </c>
      <c r="H977" s="404">
        <v>0</v>
      </c>
      <c r="I977" s="404">
        <v>0</v>
      </c>
      <c r="J977" s="404">
        <v>0</v>
      </c>
      <c r="K977" s="404">
        <v>0</v>
      </c>
      <c r="L977" s="404">
        <v>0</v>
      </c>
      <c r="M977" s="404">
        <v>0</v>
      </c>
      <c r="N977" s="404">
        <v>0</v>
      </c>
      <c r="O977" s="404">
        <v>0</v>
      </c>
      <c r="P977" s="401"/>
      <c r="Q977" s="401">
        <f t="shared" si="40"/>
        <v>0</v>
      </c>
      <c r="R977" s="3" t="str">
        <f>_xlfn.IFNA(VLOOKUP(Tabella1[[#This Row],[Nome]],'ROSE SQUADRE'!$N$3:$O$260,2,0),"")</f>
        <v>AC ASPARAGHESE</v>
      </c>
      <c r="S977" s="193">
        <f>SUM(Tabella1[[#This Row],[Gf]],Tabella1[[#This Row],[Rf]])</f>
        <v>0</v>
      </c>
      <c r="T977" s="193">
        <v>1</v>
      </c>
      <c r="U977" s="285">
        <f>IF(Tabella1[[#This Row],[N° FantaTit]]="","",Tabella1[[#This Row],[fanta voto]])</f>
        <v>6</v>
      </c>
      <c r="V977" s="193">
        <f>SUM(Tabella1[[#This Row],[Voto]],(G977*3),Q977,P977,O977,-(N977),(-M977/2),(-L977*2),(-H977),(I977*3),(-J977*3),(K977*3))</f>
        <v>6</v>
      </c>
      <c r="W977" s="193">
        <v>1</v>
      </c>
      <c r="X977" s="193">
        <f>IF(Tabella1[[#This Row],[Best 11]]=1,Tabella1[[#This Row],[fanta voto]],"")</f>
        <v>6</v>
      </c>
      <c r="Y977">
        <v>1</v>
      </c>
      <c r="Z977" s="193">
        <f>IF(Tabella1[[#This Row],[Best 11 MOD]]=1,Tabella1[[#This Row],[fanta voto]],"")</f>
        <v>6</v>
      </c>
      <c r="AA977" t="str">
        <f>CONCATENATE(Tabella1[[#This Row],[GG]],Tabella1[[#This Row],[Nome]])</f>
        <v>4Kofler</v>
      </c>
      <c r="AB977" t="str">
        <f t="shared" si="41"/>
        <v>4AC ASPARAGHESE1</v>
      </c>
      <c r="AC977" t="str">
        <f>_xlfn.CONCAT(Tabella1[[#This Row],[Ruolo]],Tabella1[[#This Row],[Gs]])</f>
        <v>D0</v>
      </c>
    </row>
    <row r="978" spans="1:29" hidden="1" x14ac:dyDescent="0.3">
      <c r="A978" s="14">
        <v>46277</v>
      </c>
      <c r="B978" s="15">
        <v>4</v>
      </c>
      <c r="C978" s="321" t="str">
        <f>_xlfn.XLOOKUP(Tabella1[[#This Row],[Nome]],Tabella4[NOME],Tabella4[SQUADRA],"")</f>
        <v>Juventus</v>
      </c>
      <c r="D978" s="330" t="s">
        <v>161</v>
      </c>
      <c r="E978" s="330" t="s">
        <v>244</v>
      </c>
      <c r="F978" s="331">
        <v>5</v>
      </c>
      <c r="G978" s="404">
        <v>0</v>
      </c>
      <c r="H978" s="404">
        <v>0</v>
      </c>
      <c r="I978" s="404">
        <v>0</v>
      </c>
      <c r="J978" s="404">
        <v>0</v>
      </c>
      <c r="K978" s="404">
        <v>0</v>
      </c>
      <c r="L978" s="404">
        <v>0</v>
      </c>
      <c r="M978" s="404">
        <v>0</v>
      </c>
      <c r="N978" s="404">
        <v>0</v>
      </c>
      <c r="O978" s="404">
        <v>0</v>
      </c>
      <c r="P978" s="401"/>
      <c r="Q978" s="401">
        <f t="shared" si="40"/>
        <v>0</v>
      </c>
      <c r="R978" s="3" t="str">
        <f>_xlfn.IFNA(VLOOKUP(Tabella1[[#This Row],[Nome]],'ROSE SQUADRE'!$N$3:$O$260,2,0),"")</f>
        <v>SESTO ASENSIO</v>
      </c>
      <c r="S978" s="193">
        <f>SUM(Tabella1[[#This Row],[Gf]],Tabella1[[#This Row],[Rf]])</f>
        <v>0</v>
      </c>
      <c r="T978" s="193">
        <v>1</v>
      </c>
      <c r="U978" s="285">
        <f>IF(Tabella1[[#This Row],[N° FantaTit]]="","",Tabella1[[#This Row],[fanta voto]])</f>
        <v>5</v>
      </c>
      <c r="V978" s="193">
        <f>SUM(Tabella1[[#This Row],[Voto]],(G978*3),Q978,P978,O978,-(N978),(-M978/2),(-L978*2),(-H978),(I978*3),(-J978*3),(K978*3))</f>
        <v>5</v>
      </c>
      <c r="W978" s="193"/>
      <c r="X978" s="193" t="str">
        <f>IF(Tabella1[[#This Row],[Best 11]]=1,Tabella1[[#This Row],[fanta voto]],"")</f>
        <v/>
      </c>
      <c r="Z978" s="193" t="str">
        <f>IF(Tabella1[[#This Row],[Best 11 MOD]]=1,Tabella1[[#This Row],[fanta voto]],"")</f>
        <v/>
      </c>
      <c r="AA978" t="str">
        <f>CONCATENATE(Tabella1[[#This Row],[GG]],Tabella1[[#This Row],[Nome]])</f>
        <v>4Bremer</v>
      </c>
      <c r="AB978" t="str">
        <f t="shared" si="41"/>
        <v>4SESTO ASENSIO1</v>
      </c>
      <c r="AC978" t="str">
        <f>_xlfn.CONCAT(Tabella1[[#This Row],[Ruolo]],Tabella1[[#This Row],[Gs]])</f>
        <v>D0</v>
      </c>
    </row>
    <row r="979" spans="1:29" hidden="1" x14ac:dyDescent="0.3">
      <c r="A979" s="14">
        <v>46277</v>
      </c>
      <c r="B979" s="15">
        <v>4</v>
      </c>
      <c r="C979" s="321" t="str">
        <f>_xlfn.XLOOKUP(Tabella1[[#This Row],[Nome]],Tabella4[NOME],Tabella4[SQUADRA],"")</f>
        <v>Inter</v>
      </c>
      <c r="D979" t="s">
        <v>161</v>
      </c>
      <c r="E979" t="s">
        <v>770</v>
      </c>
      <c r="F979" s="194">
        <v>5.5</v>
      </c>
      <c r="G979" s="402">
        <v>0</v>
      </c>
      <c r="H979" s="402">
        <v>0</v>
      </c>
      <c r="I979" s="402">
        <v>0</v>
      </c>
      <c r="J979" s="402">
        <v>0</v>
      </c>
      <c r="K979" s="402">
        <v>0</v>
      </c>
      <c r="L979" s="402">
        <v>0</v>
      </c>
      <c r="M979" s="402">
        <v>0</v>
      </c>
      <c r="N979" s="402">
        <v>0</v>
      </c>
      <c r="O979" s="402">
        <v>0</v>
      </c>
      <c r="P979" s="401"/>
      <c r="Q979" s="401">
        <f t="shared" si="40"/>
        <v>0</v>
      </c>
      <c r="R979" s="3" t="str">
        <f>_xlfn.IFNA(VLOOKUP(Tabella1[[#This Row],[Nome]],'ROSE SQUADRE'!$N$3:$O$260,2,0),"")</f>
        <v>SHARK</v>
      </c>
      <c r="S979" s="193">
        <f>SUM(Tabella1[[#This Row],[Gf]],Tabella1[[#This Row],[Rf]])</f>
        <v>0</v>
      </c>
      <c r="T979" s="193"/>
      <c r="U979" s="285" t="str">
        <f>IF(Tabella1[[#This Row],[N° FantaTit]]="","",Tabella1[[#This Row],[fanta voto]])</f>
        <v/>
      </c>
      <c r="V979" s="193">
        <f>SUM(Tabella1[[#This Row],[Voto]],(G979*3),Q979,P979,O979,-(N979),(-M979/2),(-L979*2),(-H979),(I979*3),(-J979*3),(K979*3))</f>
        <v>5.5</v>
      </c>
      <c r="W979" s="193"/>
      <c r="X979" s="193" t="str">
        <f>IF(Tabella1[[#This Row],[Best 11]]=1,Tabella1[[#This Row],[fanta voto]],"")</f>
        <v/>
      </c>
      <c r="Z979" s="193" t="str">
        <f>IF(Tabella1[[#This Row],[Best 11 MOD]]=1,Tabella1[[#This Row],[fanta voto]],"")</f>
        <v/>
      </c>
      <c r="AA979" t="str">
        <f>CONCATENATE(Tabella1[[#This Row],[GG]],Tabella1[[#This Row],[Nome]])</f>
        <v>4Stones</v>
      </c>
      <c r="AB979" t="str">
        <f t="shared" si="41"/>
        <v>4SHARK</v>
      </c>
      <c r="AC979" t="str">
        <f>_xlfn.CONCAT(Tabella1[[#This Row],[Ruolo]],Tabella1[[#This Row],[Gs]])</f>
        <v>D0</v>
      </c>
    </row>
    <row r="980" spans="1:29" hidden="1" x14ac:dyDescent="0.3">
      <c r="A980" s="14">
        <v>46277</v>
      </c>
      <c r="B980" s="15">
        <v>4</v>
      </c>
      <c r="C980" s="321" t="str">
        <f>_xlfn.XLOOKUP(Tabella1[[#This Row],[Nome]],Tabella4[NOME],Tabella4[SQUADRA],"")</f>
        <v>Milan</v>
      </c>
      <c r="D980" s="330" t="s">
        <v>162</v>
      </c>
      <c r="E980" s="330" t="s">
        <v>462</v>
      </c>
      <c r="F980" s="331">
        <v>6</v>
      </c>
      <c r="G980" s="404">
        <v>0</v>
      </c>
      <c r="H980" s="404">
        <v>0</v>
      </c>
      <c r="I980" s="404">
        <v>0</v>
      </c>
      <c r="J980" s="404">
        <v>0</v>
      </c>
      <c r="K980" s="404">
        <v>0</v>
      </c>
      <c r="L980" s="404">
        <v>0</v>
      </c>
      <c r="M980" s="404">
        <v>0</v>
      </c>
      <c r="N980" s="404">
        <v>0</v>
      </c>
      <c r="O980" s="404">
        <v>0</v>
      </c>
      <c r="P980" s="401"/>
      <c r="Q980" s="401">
        <f t="shared" si="40"/>
        <v>0</v>
      </c>
      <c r="R980" s="3" t="str">
        <f>_xlfn.IFNA(VLOOKUP(Tabella1[[#This Row],[Nome]],'ROSE SQUADRE'!$N$3:$O$260,2,0),"")</f>
        <v>SAN GRIA</v>
      </c>
      <c r="S980" s="193">
        <f>SUM(Tabella1[[#This Row],[Gf]],Tabella1[[#This Row],[Rf]])</f>
        <v>0</v>
      </c>
      <c r="T980" s="193"/>
      <c r="U980" s="285" t="str">
        <f>IF(Tabella1[[#This Row],[N° FantaTit]]="","",Tabella1[[#This Row],[fanta voto]])</f>
        <v/>
      </c>
      <c r="V980" s="193">
        <f>SUM(Tabella1[[#This Row],[Voto]],(G980*3),Q980,P980,O980,-(N980),(-M980/2),(-L980*2),(-H980),(I980*3),(-J980*3),(K980*3))</f>
        <v>6</v>
      </c>
      <c r="W980" s="193">
        <v>1</v>
      </c>
      <c r="X980" s="193">
        <f>IF(Tabella1[[#This Row],[Best 11]]=1,Tabella1[[#This Row],[fanta voto]],"")</f>
        <v>6</v>
      </c>
      <c r="Y980">
        <v>1</v>
      </c>
      <c r="Z980" s="193">
        <f>IF(Tabella1[[#This Row],[Best 11 MOD]]=1,Tabella1[[#This Row],[fanta voto]],"")</f>
        <v>6</v>
      </c>
      <c r="AA980" t="str">
        <f>CONCATENATE(Tabella1[[#This Row],[GG]],Tabella1[[#This Row],[Nome]])</f>
        <v>4Chukwueze</v>
      </c>
      <c r="AB980" t="str">
        <f t="shared" si="41"/>
        <v>4SAN GRIA</v>
      </c>
      <c r="AC980" t="str">
        <f>_xlfn.CONCAT(Tabella1[[#This Row],[Ruolo]],Tabella1[[#This Row],[Gs]])</f>
        <v>C0</v>
      </c>
    </row>
    <row r="981" spans="1:29" hidden="1" x14ac:dyDescent="0.3">
      <c r="A981" s="14">
        <v>46277</v>
      </c>
      <c r="B981" s="15">
        <v>4</v>
      </c>
      <c r="C981" s="321" t="str">
        <f>_xlfn.XLOOKUP(Tabella1[[#This Row],[Nome]],Tabella4[NOME],Tabella4[SQUADRA],"")</f>
        <v>Inter</v>
      </c>
      <c r="D981" s="330" t="s">
        <v>161</v>
      </c>
      <c r="E981" s="330" t="s">
        <v>768</v>
      </c>
      <c r="F981" s="331">
        <v>5.5</v>
      </c>
      <c r="G981" s="404">
        <v>0</v>
      </c>
      <c r="H981" s="404">
        <v>0</v>
      </c>
      <c r="I981" s="404">
        <v>0</v>
      </c>
      <c r="J981" s="404">
        <v>0</v>
      </c>
      <c r="K981" s="404">
        <v>0</v>
      </c>
      <c r="L981" s="404">
        <v>0</v>
      </c>
      <c r="M981" s="404">
        <v>0</v>
      </c>
      <c r="N981" s="404">
        <v>0</v>
      </c>
      <c r="O981" s="404">
        <v>0</v>
      </c>
      <c r="P981" s="401"/>
      <c r="Q981" s="401">
        <f t="shared" si="40"/>
        <v>0</v>
      </c>
      <c r="R981" s="3" t="str">
        <f>_xlfn.IFNA(VLOOKUP(Tabella1[[#This Row],[Nome]],'ROSE SQUADRE'!$N$3:$O$260,2,0),"")</f>
        <v>SHARK</v>
      </c>
      <c r="S981" s="193">
        <f>SUM(Tabella1[[#This Row],[Gf]],Tabella1[[#This Row],[Rf]])</f>
        <v>0</v>
      </c>
      <c r="T981" s="193">
        <v>1</v>
      </c>
      <c r="U981" s="285">
        <f>IF(Tabella1[[#This Row],[N° FantaTit]]="","",Tabella1[[#This Row],[fanta voto]])</f>
        <v>5.5</v>
      </c>
      <c r="V981" s="193">
        <f>SUM(Tabella1[[#This Row],[Voto]],(G981*3),Q981,P981,O981,-(N981),(-M981/2),(-L981*2),(-H981),(I981*3),(-J981*3),(K981*3))</f>
        <v>5.5</v>
      </c>
      <c r="W981" s="193"/>
      <c r="X981" s="193" t="str">
        <f>IF(Tabella1[[#This Row],[Best 11]]=1,Tabella1[[#This Row],[fanta voto]],"")</f>
        <v/>
      </c>
      <c r="Z981" s="193" t="str">
        <f>IF(Tabella1[[#This Row],[Best 11 MOD]]=1,Tabella1[[#This Row],[fanta voto]],"")</f>
        <v/>
      </c>
      <c r="AA981" t="str">
        <f>CONCATENATE(Tabella1[[#This Row],[GG]],Tabella1[[#This Row],[Nome]])</f>
        <v>4Akanji</v>
      </c>
      <c r="AB981" t="str">
        <f t="shared" si="41"/>
        <v>4SHARK1</v>
      </c>
      <c r="AC981" t="str">
        <f>_xlfn.CONCAT(Tabella1[[#This Row],[Ruolo]],Tabella1[[#This Row],[Gs]])</f>
        <v>D0</v>
      </c>
    </row>
    <row r="982" spans="1:29" hidden="1" x14ac:dyDescent="0.3">
      <c r="A982" s="14">
        <v>46277</v>
      </c>
      <c r="B982" s="15">
        <v>4</v>
      </c>
      <c r="C982" s="321" t="str">
        <f>_xlfn.XLOOKUP(Tabella1[[#This Row],[Nome]],Tabella4[NOME],Tabella4[SQUADRA],"")</f>
        <v>Parma</v>
      </c>
      <c r="D982" t="s">
        <v>161</v>
      </c>
      <c r="E982" t="s">
        <v>619</v>
      </c>
      <c r="F982" s="194">
        <v>6</v>
      </c>
      <c r="G982" s="402">
        <v>0</v>
      </c>
      <c r="H982" s="402">
        <v>0</v>
      </c>
      <c r="I982" s="402">
        <v>0</v>
      </c>
      <c r="J982" s="402">
        <v>0</v>
      </c>
      <c r="K982" s="402">
        <v>0</v>
      </c>
      <c r="L982" s="402">
        <v>0</v>
      </c>
      <c r="M982" s="402">
        <v>0</v>
      </c>
      <c r="N982" s="402">
        <v>0</v>
      </c>
      <c r="O982" s="402">
        <v>0</v>
      </c>
      <c r="P982" s="401"/>
      <c r="Q982" s="401">
        <f t="shared" si="40"/>
        <v>0</v>
      </c>
      <c r="R982" s="3" t="str">
        <f>_xlfn.IFNA(VLOOKUP(Tabella1[[#This Row],[Nome]],'ROSE SQUADRE'!$N$3:$O$260,2,0),"")</f>
        <v>AS PIPPERIA</v>
      </c>
      <c r="S982" s="193">
        <f>SUM(Tabella1[[#This Row],[Gf]],Tabella1[[#This Row],[Rf]])</f>
        <v>0</v>
      </c>
      <c r="T982" s="193"/>
      <c r="U982" s="285" t="str">
        <f>IF(Tabella1[[#This Row],[N° FantaTit]]="","",Tabella1[[#This Row],[fanta voto]])</f>
        <v/>
      </c>
      <c r="V982" s="193">
        <f>SUM(Tabella1[[#This Row],[Voto]],(G982*3),Q982,P982,O982,-(N982),(-M982/2),(-L982*2),(-H982),(I982*3),(-J982*3),(K982*3))</f>
        <v>6</v>
      </c>
      <c r="W982" s="193">
        <v>1</v>
      </c>
      <c r="X982" s="193">
        <f>IF(Tabella1[[#This Row],[Best 11]]=1,Tabella1[[#This Row],[fanta voto]],"")</f>
        <v>6</v>
      </c>
      <c r="Y982">
        <v>1</v>
      </c>
      <c r="Z982" s="193">
        <f>IF(Tabella1[[#This Row],[Best 11 MOD]]=1,Tabella1[[#This Row],[fanta voto]],"")</f>
        <v>6</v>
      </c>
      <c r="AA982" t="str">
        <f>CONCATENATE(Tabella1[[#This Row],[GG]],Tabella1[[#This Row],[Nome]])</f>
        <v>4Delprato</v>
      </c>
      <c r="AB982" t="str">
        <f t="shared" si="41"/>
        <v>4AS PIPPERIA</v>
      </c>
      <c r="AC982" t="str">
        <f>_xlfn.CONCAT(Tabella1[[#This Row],[Ruolo]],Tabella1[[#This Row],[Gs]])</f>
        <v>D0</v>
      </c>
    </row>
    <row r="983" spans="1:29" hidden="1" x14ac:dyDescent="0.3">
      <c r="A983" s="14">
        <v>46277</v>
      </c>
      <c r="B983" s="15">
        <v>4</v>
      </c>
      <c r="C983" s="321" t="str">
        <f>_xlfn.XLOOKUP(Tabella1[[#This Row],[Nome]],Tabella4[NOME],Tabella4[SQUADRA],"")</f>
        <v>Juventus</v>
      </c>
      <c r="D983" t="s">
        <v>161</v>
      </c>
      <c r="E983" t="s">
        <v>783</v>
      </c>
      <c r="F983" s="194">
        <v>6</v>
      </c>
      <c r="G983" s="402">
        <v>0</v>
      </c>
      <c r="H983" s="402">
        <v>0</v>
      </c>
      <c r="I983" s="402">
        <v>0</v>
      </c>
      <c r="J983" s="402">
        <v>0</v>
      </c>
      <c r="K983" s="402">
        <v>0</v>
      </c>
      <c r="L983" s="402">
        <v>0</v>
      </c>
      <c r="M983" s="403">
        <v>1</v>
      </c>
      <c r="N983" s="402">
        <v>0</v>
      </c>
      <c r="O983" s="402">
        <v>0</v>
      </c>
      <c r="P983" s="401"/>
      <c r="Q983" s="401">
        <f t="shared" si="40"/>
        <v>0</v>
      </c>
      <c r="R983" s="3" t="str">
        <f>_xlfn.IFNA(VLOOKUP(Tabella1[[#This Row],[Nome]],'ROSE SQUADRE'!$N$3:$O$260,2,0),"")</f>
        <v>SESTO ASENSIO</v>
      </c>
      <c r="S983" s="193">
        <f>SUM(Tabella1[[#This Row],[Gf]],Tabella1[[#This Row],[Rf]])</f>
        <v>0</v>
      </c>
      <c r="T983" s="193"/>
      <c r="U983" s="285" t="str">
        <f>IF(Tabella1[[#This Row],[N° FantaTit]]="","",Tabella1[[#This Row],[fanta voto]])</f>
        <v/>
      </c>
      <c r="V983" s="193">
        <f>SUM(Tabella1[[#This Row],[Voto]],(G983*3),Q983,P983,O983,-(N983),(-M983/2),(-L983*2),(-H983),(I983*3),(-J983*3),(K983*3))</f>
        <v>5.5</v>
      </c>
      <c r="W983" s="193">
        <v>1</v>
      </c>
      <c r="X983" s="193">
        <f>IF(Tabella1[[#This Row],[Best 11]]=1,Tabella1[[#This Row],[fanta voto]],"")</f>
        <v>5.5</v>
      </c>
      <c r="Y983">
        <v>1</v>
      </c>
      <c r="Z983" s="193">
        <f>IF(Tabella1[[#This Row],[Best 11 MOD]]=1,Tabella1[[#This Row],[fanta voto]],"")</f>
        <v>5.5</v>
      </c>
      <c r="AA983" t="str">
        <f>CONCATENATE(Tabella1[[#This Row],[GG]],Tabella1[[#This Row],[Nome]])</f>
        <v>4Lucumì</v>
      </c>
      <c r="AB983" t="str">
        <f t="shared" si="41"/>
        <v>4SESTO ASENSIO</v>
      </c>
      <c r="AC983" t="str">
        <f>_xlfn.CONCAT(Tabella1[[#This Row],[Ruolo]],Tabella1[[#This Row],[Gs]])</f>
        <v>D0</v>
      </c>
    </row>
    <row r="984" spans="1:29" hidden="1" x14ac:dyDescent="0.3">
      <c r="A984" s="14">
        <v>46277</v>
      </c>
      <c r="B984" s="15">
        <v>4</v>
      </c>
      <c r="C984" s="321" t="str">
        <f>_xlfn.XLOOKUP(Tabella1[[#This Row],[Nome]],Tabella4[NOME],Tabella4[SQUADRA],"")</f>
        <v>Atalanta</v>
      </c>
      <c r="D984" t="s">
        <v>162</v>
      </c>
      <c r="E984" t="s">
        <v>606</v>
      </c>
      <c r="F984" s="194">
        <v>5</v>
      </c>
      <c r="G984" s="402">
        <v>0</v>
      </c>
      <c r="H984" s="402">
        <v>0</v>
      </c>
      <c r="I984" s="402">
        <v>0</v>
      </c>
      <c r="J984" s="402">
        <v>0</v>
      </c>
      <c r="K984" s="402">
        <v>0</v>
      </c>
      <c r="L984" s="402">
        <v>0</v>
      </c>
      <c r="M984" s="402">
        <v>0</v>
      </c>
      <c r="N984" s="402">
        <v>0</v>
      </c>
      <c r="O984" s="402">
        <v>0</v>
      </c>
      <c r="P984" s="284"/>
      <c r="Q984" s="284">
        <f t="shared" si="40"/>
        <v>0</v>
      </c>
      <c r="R984" s="3" t="str">
        <f>_xlfn.IFNA(VLOOKUP(Tabella1[[#This Row],[Nome]],'ROSE SQUADRE'!$N$3:$O$260,2,0),"")</f>
        <v>AS PIPPERIA</v>
      </c>
      <c r="S984" s="193">
        <f>SUM(Tabella1[[#This Row],[Gf]],Tabella1[[#This Row],[Rf]])</f>
        <v>0</v>
      </c>
      <c r="T984" s="193">
        <v>1</v>
      </c>
      <c r="U984" s="285">
        <f>IF(Tabella1[[#This Row],[N° FantaTit]]="","",Tabella1[[#This Row],[fanta voto]])</f>
        <v>5</v>
      </c>
      <c r="V984" s="193">
        <f>SUM(Tabella1[[#This Row],[Voto]],(G984*3),Q984,P984,O984,-(N984),(-M984/2),(-L984*2),(-H984),(I984*3),(-J984*3),(K984*3))</f>
        <v>5</v>
      </c>
      <c r="W984" s="193"/>
      <c r="X984" s="193" t="str">
        <f>IF(Tabella1[[#This Row],[Best 11]]=1,Tabella1[[#This Row],[fanta voto]],"")</f>
        <v/>
      </c>
      <c r="Z984" s="193" t="str">
        <f>IF(Tabella1[[#This Row],[Best 11 MOD]]=1,Tabella1[[#This Row],[fanta voto]],"")</f>
        <v/>
      </c>
      <c r="AA984" t="str">
        <f>CONCATENATE(Tabella1[[#This Row],[GG]],Tabella1[[#This Row],[Nome]])</f>
        <v>4Samardzic</v>
      </c>
      <c r="AB984" t="str">
        <f t="shared" si="41"/>
        <v>4AS PIPPERIA1</v>
      </c>
      <c r="AC984" t="str">
        <f>_xlfn.CONCAT(Tabella1[[#This Row],[Ruolo]],Tabella1[[#This Row],[Gs]])</f>
        <v>C0</v>
      </c>
    </row>
    <row r="985" spans="1:29" hidden="1" x14ac:dyDescent="0.3">
      <c r="A985" s="14">
        <v>46277</v>
      </c>
      <c r="B985" s="15">
        <v>4</v>
      </c>
      <c r="C985" s="321" t="str">
        <f>_xlfn.XLOOKUP(Tabella1[[#This Row],[Nome]],Tabella4[NOME],Tabella4[SQUADRA],"")</f>
        <v>Napoli</v>
      </c>
      <c r="D985" t="s">
        <v>161</v>
      </c>
      <c r="E985" t="s">
        <v>253</v>
      </c>
      <c r="F985" s="194">
        <v>6.5</v>
      </c>
      <c r="G985" s="402">
        <v>0</v>
      </c>
      <c r="H985" s="402">
        <v>0</v>
      </c>
      <c r="I985" s="402">
        <v>0</v>
      </c>
      <c r="J985" s="402">
        <v>0</v>
      </c>
      <c r="K985" s="402">
        <v>0</v>
      </c>
      <c r="L985" s="402">
        <v>0</v>
      </c>
      <c r="M985" s="402">
        <v>0</v>
      </c>
      <c r="N985" s="402">
        <v>0</v>
      </c>
      <c r="O985" s="402">
        <v>0</v>
      </c>
      <c r="P985" s="401"/>
      <c r="Q985" s="401">
        <f t="shared" si="40"/>
        <v>0</v>
      </c>
      <c r="R985" s="3" t="str">
        <f>_xlfn.IFNA(VLOOKUP(Tabella1[[#This Row],[Nome]],'ROSE SQUADRE'!$N$3:$O$260,2,0),"")</f>
        <v>SHARK</v>
      </c>
      <c r="S985" s="193">
        <f>SUM(Tabella1[[#This Row],[Gf]],Tabella1[[#This Row],[Rf]])</f>
        <v>0</v>
      </c>
      <c r="T985" s="193">
        <v>1</v>
      </c>
      <c r="U985" s="285">
        <f>IF(Tabella1[[#This Row],[N° FantaTit]]="","",Tabella1[[#This Row],[fanta voto]])</f>
        <v>6.5</v>
      </c>
      <c r="V985" s="193">
        <f>SUM(Tabella1[[#This Row],[Voto]],(G985*3),Q985,P985,O985,-(N985),(-M985/2),(-L985*2),(-H985),(I985*3),(-J985*3),(K985*3))</f>
        <v>6.5</v>
      </c>
      <c r="W985" s="193">
        <v>1</v>
      </c>
      <c r="X985" s="193">
        <f>IF(Tabella1[[#This Row],[Best 11]]=1,Tabella1[[#This Row],[fanta voto]],"")</f>
        <v>6.5</v>
      </c>
      <c r="Y985">
        <v>1</v>
      </c>
      <c r="Z985" s="193">
        <f>IF(Tabella1[[#This Row],[Best 11 MOD]]=1,Tabella1[[#This Row],[fanta voto]],"")</f>
        <v>6.5</v>
      </c>
      <c r="AA985" t="str">
        <f>CONCATENATE(Tabella1[[#This Row],[GG]],Tabella1[[#This Row],[Nome]])</f>
        <v>4Rrahmani</v>
      </c>
      <c r="AB985" t="str">
        <f t="shared" si="41"/>
        <v>4SHARK1</v>
      </c>
      <c r="AC985" t="str">
        <f>_xlfn.CONCAT(Tabella1[[#This Row],[Ruolo]],Tabella1[[#This Row],[Gs]])</f>
        <v>D0</v>
      </c>
    </row>
    <row r="986" spans="1:29" hidden="1" x14ac:dyDescent="0.3">
      <c r="A986" s="14">
        <v>46277</v>
      </c>
      <c r="B986" s="15">
        <v>4</v>
      </c>
      <c r="C986" s="321" t="str">
        <f>_xlfn.XLOOKUP(Tabella1[[#This Row],[Nome]],Tabella4[NOME],Tabella4[SQUADRA],"")</f>
        <v>Venezia</v>
      </c>
      <c r="D986" t="s">
        <v>161</v>
      </c>
      <c r="E986" t="s">
        <v>349</v>
      </c>
      <c r="F986" s="194">
        <v>6</v>
      </c>
      <c r="G986" s="402">
        <v>0</v>
      </c>
      <c r="H986" s="402">
        <v>0</v>
      </c>
      <c r="I986" s="402">
        <v>0</v>
      </c>
      <c r="J986" s="402">
        <v>0</v>
      </c>
      <c r="K986" s="402">
        <v>0</v>
      </c>
      <c r="L986" s="402">
        <v>0</v>
      </c>
      <c r="M986" s="402">
        <v>0</v>
      </c>
      <c r="N986" s="402">
        <v>0</v>
      </c>
      <c r="O986" s="402">
        <v>0</v>
      </c>
      <c r="P986" s="401"/>
      <c r="Q986" s="401">
        <f t="shared" si="40"/>
        <v>0</v>
      </c>
      <c r="R986" s="3" t="str">
        <f>_xlfn.IFNA(VLOOKUP(Tabella1[[#This Row],[Nome]],'ROSE SQUADRE'!$N$3:$O$260,2,0),"")</f>
        <v/>
      </c>
      <c r="S986" s="193">
        <f>SUM(Tabella1[[#This Row],[Gf]],Tabella1[[#This Row],[Rf]])</f>
        <v>0</v>
      </c>
      <c r="T986" s="193"/>
      <c r="U986" s="285" t="str">
        <f>IF(Tabella1[[#This Row],[N° FantaTit]]="","",Tabella1[[#This Row],[fanta voto]])</f>
        <v/>
      </c>
      <c r="V986" s="193">
        <f>SUM(Tabella1[[#This Row],[Voto]],(G986*3),Q986,P986,O986,-(N986),(-M986/2),(-L986*2),(-H986),(I986*3),(-J986*3),(K986*3))</f>
        <v>6</v>
      </c>
      <c r="W986" s="193"/>
      <c r="X986" s="193" t="str">
        <f>IF(Tabella1[[#This Row],[Best 11]]=1,Tabella1[[#This Row],[fanta voto]],"")</f>
        <v/>
      </c>
      <c r="Z986" s="193" t="str">
        <f>IF(Tabella1[[#This Row],[Best 11 MOD]]=1,Tabella1[[#This Row],[fanta voto]],"")</f>
        <v/>
      </c>
      <c r="AA986" t="str">
        <f>CONCATENATE(Tabella1[[#This Row],[GG]],Tabella1[[#This Row],[Nome]])</f>
        <v>4Juan Jesus</v>
      </c>
      <c r="AB986" t="str">
        <f t="shared" si="41"/>
        <v>4</v>
      </c>
      <c r="AC986" t="str">
        <f>_xlfn.CONCAT(Tabella1[[#This Row],[Ruolo]],Tabella1[[#This Row],[Gs]])</f>
        <v>D0</v>
      </c>
    </row>
    <row r="987" spans="1:29" hidden="1" x14ac:dyDescent="0.3">
      <c r="A987" s="14">
        <v>46277</v>
      </c>
      <c r="B987" s="15">
        <v>4</v>
      </c>
      <c r="C987" s="321" t="str">
        <f>_xlfn.XLOOKUP(Tabella1[[#This Row],[Nome]],Tabella4[NOME],Tabella4[SQUADRA],"")</f>
        <v>Parma</v>
      </c>
      <c r="D987" s="330" t="s">
        <v>161</v>
      </c>
      <c r="E987" s="330" t="s">
        <v>879</v>
      </c>
      <c r="F987" s="331">
        <v>6</v>
      </c>
      <c r="G987" s="404">
        <v>0</v>
      </c>
      <c r="H987" s="404">
        <v>0</v>
      </c>
      <c r="I987" s="404">
        <v>0</v>
      </c>
      <c r="J987" s="404">
        <v>0</v>
      </c>
      <c r="K987" s="404">
        <v>0</v>
      </c>
      <c r="L987" s="404">
        <v>0</v>
      </c>
      <c r="M987" s="404">
        <v>0</v>
      </c>
      <c r="N987" s="404">
        <v>0</v>
      </c>
      <c r="O987" s="404">
        <v>0</v>
      </c>
      <c r="P987" s="401"/>
      <c r="Q987" s="401">
        <f t="shared" si="40"/>
        <v>0</v>
      </c>
      <c r="R987" s="3" t="str">
        <f>_xlfn.IFNA(VLOOKUP(Tabella1[[#This Row],[Nome]],'ROSE SQUADRE'!$N$3:$O$260,2,0),"")</f>
        <v>SHARK</v>
      </c>
      <c r="S987" s="193">
        <f>SUM(Tabella1[[#This Row],[Gf]],Tabella1[[#This Row],[Rf]])</f>
        <v>0</v>
      </c>
      <c r="T987" s="193"/>
      <c r="U987" s="285" t="str">
        <f>IF(Tabella1[[#This Row],[N° FantaTit]]="","",Tabella1[[#This Row],[fanta voto]])</f>
        <v/>
      </c>
      <c r="V987" s="193">
        <f>SUM(Tabella1[[#This Row],[Voto]],(G987*3),Q987,P987,O987,-(N987),(-M987/2),(-L987*2),(-H987),(I987*3),(-J987*3),(K987*3))</f>
        <v>6</v>
      </c>
      <c r="W987" s="193">
        <v>1</v>
      </c>
      <c r="X987" s="193">
        <f>IF(Tabella1[[#This Row],[Best 11]]=1,Tabella1[[#This Row],[fanta voto]],"")</f>
        <v>6</v>
      </c>
      <c r="Y987">
        <v>1</v>
      </c>
      <c r="Z987" s="193">
        <f>IF(Tabella1[[#This Row],[Best 11 MOD]]=1,Tabella1[[#This Row],[fanta voto]],"")</f>
        <v>6</v>
      </c>
      <c r="AA987" t="str">
        <f>CONCATENATE(Tabella1[[#This Row],[GG]],Tabella1[[#This Row],[Nome]])</f>
        <v>4Troilo</v>
      </c>
      <c r="AB987" t="str">
        <f t="shared" si="41"/>
        <v>4SHARK</v>
      </c>
      <c r="AC987" t="str">
        <f>_xlfn.CONCAT(Tabella1[[#This Row],[Ruolo]],Tabella1[[#This Row],[Gs]])</f>
        <v>D0</v>
      </c>
    </row>
    <row r="988" spans="1:29" hidden="1" x14ac:dyDescent="0.3">
      <c r="A988" s="14">
        <v>46277</v>
      </c>
      <c r="B988" s="15">
        <v>4</v>
      </c>
      <c r="C988" s="321" t="str">
        <f>_xlfn.XLOOKUP(Tabella1[[#This Row],[Nome]],Tabella4[NOME],Tabella4[SQUADRA],"")</f>
        <v>Torino</v>
      </c>
      <c r="D988" t="s">
        <v>161</v>
      </c>
      <c r="E988" t="s">
        <v>938</v>
      </c>
      <c r="F988" s="194">
        <v>6</v>
      </c>
      <c r="G988" s="402">
        <v>0</v>
      </c>
      <c r="H988" s="402">
        <v>0</v>
      </c>
      <c r="I988" s="402">
        <v>0</v>
      </c>
      <c r="J988" s="402">
        <v>0</v>
      </c>
      <c r="K988" s="402">
        <v>0</v>
      </c>
      <c r="L988" s="402">
        <v>0</v>
      </c>
      <c r="M988" s="402">
        <v>0</v>
      </c>
      <c r="N988" s="402">
        <v>0</v>
      </c>
      <c r="O988" s="402">
        <v>0</v>
      </c>
      <c r="P988" s="401"/>
      <c r="Q988" s="401">
        <f t="shared" si="40"/>
        <v>0</v>
      </c>
      <c r="R988" s="3" t="str">
        <f>_xlfn.IFNA(VLOOKUP(Tabella1[[#This Row],[Nome]],'ROSE SQUADRE'!$N$3:$O$260,2,0),"")</f>
        <v>FC INTERNAZIOANALE</v>
      </c>
      <c r="S988" s="193">
        <f>SUM(Tabella1[[#This Row],[Gf]],Tabella1[[#This Row],[Rf]])</f>
        <v>0</v>
      </c>
      <c r="T988" s="193">
        <v>1</v>
      </c>
      <c r="U988" s="285">
        <f>IF(Tabella1[[#This Row],[N° FantaTit]]="","",Tabella1[[#This Row],[fanta voto]])</f>
        <v>6</v>
      </c>
      <c r="V988" s="193">
        <f>SUM(Tabella1[[#This Row],[Voto]],(G988*3),Q988,P988,O988,-(N988),(-M988/2),(-L988*2),(-H988),(I988*3),(-J988*3),(K988*3))</f>
        <v>6</v>
      </c>
      <c r="W988" s="193">
        <v>1</v>
      </c>
      <c r="X988" s="193">
        <f>IF(Tabella1[[#This Row],[Best 11]]=1,Tabella1[[#This Row],[fanta voto]],"")</f>
        <v>6</v>
      </c>
      <c r="Y988">
        <v>1</v>
      </c>
      <c r="Z988" s="193">
        <f>IF(Tabella1[[#This Row],[Best 11 MOD]]=1,Tabella1[[#This Row],[fanta voto]],"")</f>
        <v>6</v>
      </c>
      <c r="AA988" t="str">
        <f>CONCATENATE(Tabella1[[#This Row],[GG]],Tabella1[[#This Row],[Nome]])</f>
        <v>4Fortini</v>
      </c>
      <c r="AB988" t="str">
        <f t="shared" si="41"/>
        <v>4FC INTERNAZIOANALE1</v>
      </c>
      <c r="AC988" t="str">
        <f>_xlfn.CONCAT(Tabella1[[#This Row],[Ruolo]],Tabella1[[#This Row],[Gs]])</f>
        <v>D0</v>
      </c>
    </row>
    <row r="989" spans="1:29" hidden="1" x14ac:dyDescent="0.3">
      <c r="A989" s="14">
        <v>46277</v>
      </c>
      <c r="B989" s="15">
        <v>4</v>
      </c>
      <c r="C989" s="321" t="str">
        <f>_xlfn.XLOOKUP(Tabella1[[#This Row],[Nome]],Tabella4[NOME],Tabella4[SQUADRA],"")</f>
        <v>Venezia</v>
      </c>
      <c r="D989" s="330" t="s">
        <v>161</v>
      </c>
      <c r="E989" s="330" t="s">
        <v>586</v>
      </c>
      <c r="F989" s="331">
        <v>5</v>
      </c>
      <c r="G989" s="404">
        <v>0</v>
      </c>
      <c r="H989" s="404">
        <v>0</v>
      </c>
      <c r="I989" s="404">
        <v>0</v>
      </c>
      <c r="J989" s="404">
        <v>0</v>
      </c>
      <c r="K989" s="404">
        <v>0</v>
      </c>
      <c r="L989" s="404">
        <v>0</v>
      </c>
      <c r="M989" s="404">
        <v>0</v>
      </c>
      <c r="N989" s="404">
        <v>0</v>
      </c>
      <c r="O989" s="404">
        <v>0</v>
      </c>
      <c r="P989" s="401"/>
      <c r="Q989" s="401">
        <f t="shared" si="40"/>
        <v>0</v>
      </c>
      <c r="R989" s="3" t="str">
        <f>_xlfn.IFNA(VLOOKUP(Tabella1[[#This Row],[Nome]],'ROSE SQUADRE'!$N$3:$O$260,2,0),"")</f>
        <v/>
      </c>
      <c r="S989" s="193">
        <f>SUM(Tabella1[[#This Row],[Gf]],Tabella1[[#This Row],[Rf]])</f>
        <v>0</v>
      </c>
      <c r="T989" s="193"/>
      <c r="U989" s="285" t="str">
        <f>IF(Tabella1[[#This Row],[N° FantaTit]]="","",Tabella1[[#This Row],[fanta voto]])</f>
        <v/>
      </c>
      <c r="V989" s="193">
        <f>SUM(Tabella1[[#This Row],[Voto]],(G989*3),Q989,P989,O989,-(N989),(-M989/2),(-L989*2),(-H989),(I989*3),(-J989*3),(K989*3))</f>
        <v>5</v>
      </c>
      <c r="W989" s="193"/>
      <c r="X989" s="193" t="str">
        <f>IF(Tabella1[[#This Row],[Best 11]]=1,Tabella1[[#This Row],[fanta voto]],"")</f>
        <v/>
      </c>
      <c r="Z989" s="193" t="str">
        <f>IF(Tabella1[[#This Row],[Best 11 MOD]]=1,Tabella1[[#This Row],[fanta voto]],"")</f>
        <v/>
      </c>
      <c r="AA989" t="str">
        <f>CONCATENATE(Tabella1[[#This Row],[GG]],Tabella1[[#This Row],[Nome]])</f>
        <v>4Sagrado</v>
      </c>
      <c r="AB989" t="str">
        <f t="shared" si="41"/>
        <v>4</v>
      </c>
      <c r="AC989" t="str">
        <f>_xlfn.CONCAT(Tabella1[[#This Row],[Ruolo]],Tabella1[[#This Row],[Gs]])</f>
        <v>D0</v>
      </c>
    </row>
    <row r="990" spans="1:29" hidden="1" x14ac:dyDescent="0.3">
      <c r="A990" s="14">
        <v>46277</v>
      </c>
      <c r="B990" s="15">
        <v>4</v>
      </c>
      <c r="C990" s="321" t="str">
        <f>_xlfn.XLOOKUP(Tabella1[[#This Row],[Nome]],Tabella4[NOME],Tabella4[SQUADRA],"")</f>
        <v>Venezia</v>
      </c>
      <c r="D990" t="s">
        <v>161</v>
      </c>
      <c r="E990" t="s">
        <v>563</v>
      </c>
      <c r="F990" s="194">
        <v>6.5</v>
      </c>
      <c r="G990" s="403">
        <v>1</v>
      </c>
      <c r="H990" s="402">
        <v>0</v>
      </c>
      <c r="I990" s="402">
        <v>0</v>
      </c>
      <c r="J990" s="402">
        <v>0</v>
      </c>
      <c r="K990" s="402">
        <v>0</v>
      </c>
      <c r="L990" s="402">
        <v>0</v>
      </c>
      <c r="M990" s="402">
        <v>0</v>
      </c>
      <c r="N990" s="402">
        <v>0</v>
      </c>
      <c r="O990" s="402">
        <v>0</v>
      </c>
      <c r="P990" s="401"/>
      <c r="Q990" s="401">
        <f t="shared" si="40"/>
        <v>0</v>
      </c>
      <c r="R990" s="3" t="str">
        <f>_xlfn.IFNA(VLOOKUP(Tabella1[[#This Row],[Nome]],'ROSE SQUADRE'!$N$3:$O$260,2,0),"")</f>
        <v/>
      </c>
      <c r="S990" s="193">
        <f>SUM(Tabella1[[#This Row],[Gf]],Tabella1[[#This Row],[Rf]])</f>
        <v>1</v>
      </c>
      <c r="T990" s="193"/>
      <c r="U990" s="285" t="str">
        <f>IF(Tabella1[[#This Row],[N° FantaTit]]="","",Tabella1[[#This Row],[fanta voto]])</f>
        <v/>
      </c>
      <c r="V990" s="193">
        <f>SUM(Tabella1[[#This Row],[Voto]],(G990*3),Q990,P990,O990,-(N990),(-M990/2),(-L990*2),(-H990),(I990*3),(-J990*3),(K990*3))</f>
        <v>9.5</v>
      </c>
      <c r="W990" s="193"/>
      <c r="X990" s="193" t="str">
        <f>IF(Tabella1[[#This Row],[Best 11]]=1,Tabella1[[#This Row],[fanta voto]],"")</f>
        <v/>
      </c>
      <c r="Z990" s="193" t="str">
        <f>IF(Tabella1[[#This Row],[Best 11 MOD]]=1,Tabella1[[#This Row],[fanta voto]],"")</f>
        <v/>
      </c>
      <c r="AA990" t="str">
        <f>CONCATENATE(Tabella1[[#This Row],[GG]],Tabella1[[#This Row],[Nome]])</f>
        <v>4Hainaut</v>
      </c>
      <c r="AB990" t="str">
        <f t="shared" si="41"/>
        <v>4</v>
      </c>
      <c r="AC990" t="str">
        <f>_xlfn.CONCAT(Tabella1[[#This Row],[Ruolo]],Tabella1[[#This Row],[Gs]])</f>
        <v>D0</v>
      </c>
    </row>
    <row r="991" spans="1:29" hidden="1" x14ac:dyDescent="0.3">
      <c r="A991" s="14">
        <v>46277</v>
      </c>
      <c r="B991" s="15">
        <v>4</v>
      </c>
      <c r="C991" s="321" t="str">
        <f>_xlfn.XLOOKUP(Tabella1[[#This Row],[Nome]],Tabella4[NOME],Tabella4[SQUADRA],"")</f>
        <v>Venezia</v>
      </c>
      <c r="D991" s="330" t="s">
        <v>161</v>
      </c>
      <c r="E991" s="330" t="s">
        <v>976</v>
      </c>
      <c r="F991" s="331">
        <v>5</v>
      </c>
      <c r="G991" s="404">
        <v>0</v>
      </c>
      <c r="H991" s="404">
        <v>0</v>
      </c>
      <c r="I991" s="404">
        <v>0</v>
      </c>
      <c r="J991" s="404">
        <v>0</v>
      </c>
      <c r="K991" s="404">
        <v>0</v>
      </c>
      <c r="L991" s="404">
        <v>0</v>
      </c>
      <c r="M991" s="404">
        <v>0</v>
      </c>
      <c r="N991" s="404">
        <v>0</v>
      </c>
      <c r="O991" s="404">
        <v>0</v>
      </c>
      <c r="P991" s="401"/>
      <c r="Q991" s="401">
        <f t="shared" si="40"/>
        <v>0</v>
      </c>
      <c r="R991" s="3" t="str">
        <f>_xlfn.IFNA(VLOOKUP(Tabella1[[#This Row],[Nome]],'ROSE SQUADRE'!$N$3:$O$260,2,0),"")</f>
        <v/>
      </c>
      <c r="S991" s="193">
        <f>SUM(Tabella1[[#This Row],[Gf]],Tabella1[[#This Row],[Rf]])</f>
        <v>0</v>
      </c>
      <c r="T991" s="193"/>
      <c r="U991" s="285" t="str">
        <f>IF(Tabella1[[#This Row],[N° FantaTit]]="","",Tabella1[[#This Row],[fanta voto]])</f>
        <v/>
      </c>
      <c r="V991" s="193">
        <f>SUM(Tabella1[[#This Row],[Voto]],(G991*3),Q991,P991,O991,-(N991),(-M991/2),(-L991*2),(-H991),(I991*3),(-J991*3),(K991*3))</f>
        <v>5</v>
      </c>
      <c r="W991" s="193"/>
      <c r="X991" s="193" t="str">
        <f>IF(Tabella1[[#This Row],[Best 11]]=1,Tabella1[[#This Row],[fanta voto]],"")</f>
        <v/>
      </c>
      <c r="Z991" s="193" t="str">
        <f>IF(Tabella1[[#This Row],[Best 11 MOD]]=1,Tabella1[[#This Row],[fanta voto]],"")</f>
        <v/>
      </c>
      <c r="AA991" t="str">
        <f>CONCATENATE(Tabella1[[#This Row],[GG]],Tabella1[[#This Row],[Nome]])</f>
        <v>4Moreno M.</v>
      </c>
      <c r="AB991" t="str">
        <f t="shared" si="41"/>
        <v>4</v>
      </c>
      <c r="AC991" t="str">
        <f>_xlfn.CONCAT(Tabella1[[#This Row],[Ruolo]],Tabella1[[#This Row],[Gs]])</f>
        <v>D0</v>
      </c>
    </row>
    <row r="992" spans="1:29" hidden="1" x14ac:dyDescent="0.3">
      <c r="A992" s="14">
        <v>46277</v>
      </c>
      <c r="B992" s="15">
        <v>4</v>
      </c>
      <c r="C992" s="321" t="str">
        <f>_xlfn.XLOOKUP(Tabella1[[#This Row],[Nome]],Tabella4[NOME],Tabella4[SQUADRA],"")</f>
        <v>Venezia</v>
      </c>
      <c r="D992" t="s">
        <v>161</v>
      </c>
      <c r="E992" t="s">
        <v>977</v>
      </c>
      <c r="F992" s="194">
        <v>5.5</v>
      </c>
      <c r="G992" s="402">
        <v>0</v>
      </c>
      <c r="H992" s="402">
        <v>0</v>
      </c>
      <c r="I992" s="402">
        <v>0</v>
      </c>
      <c r="J992" s="402">
        <v>0</v>
      </c>
      <c r="K992" s="402">
        <v>0</v>
      </c>
      <c r="L992" s="402">
        <v>0</v>
      </c>
      <c r="M992" s="403">
        <v>1</v>
      </c>
      <c r="N992" s="402">
        <v>0</v>
      </c>
      <c r="O992" s="402">
        <v>0</v>
      </c>
      <c r="P992" s="401"/>
      <c r="Q992" s="401">
        <f t="shared" si="40"/>
        <v>0</v>
      </c>
      <c r="R992" s="3" t="str">
        <f>_xlfn.IFNA(VLOOKUP(Tabella1[[#This Row],[Nome]],'ROSE SQUADRE'!$N$3:$O$260,2,0),"")</f>
        <v/>
      </c>
      <c r="S992" s="193">
        <f>SUM(Tabella1[[#This Row],[Gf]],Tabella1[[#This Row],[Rf]])</f>
        <v>0</v>
      </c>
      <c r="T992" s="193"/>
      <c r="U992" s="285" t="str">
        <f>IF(Tabella1[[#This Row],[N° FantaTit]]="","",Tabella1[[#This Row],[fanta voto]])</f>
        <v/>
      </c>
      <c r="V992" s="193">
        <f>SUM(Tabella1[[#This Row],[Voto]],(G992*3),Q992,P992,O992,-(N992),(-M992/2),(-L992*2),(-H992),(I992*3),(-J992*3),(K992*3))</f>
        <v>5</v>
      </c>
      <c r="W992" s="193"/>
      <c r="X992" s="193" t="str">
        <f>IF(Tabella1[[#This Row],[Best 11]]=1,Tabella1[[#This Row],[fanta voto]],"")</f>
        <v/>
      </c>
      <c r="Z992" s="193" t="str">
        <f>IF(Tabella1[[#This Row],[Best 11 MOD]]=1,Tabella1[[#This Row],[fanta voto]],"")</f>
        <v/>
      </c>
      <c r="AA992" t="str">
        <f>CONCATENATE(Tabella1[[#This Row],[GG]],Tabella1[[#This Row],[Nome]])</f>
        <v>4Schingtienne</v>
      </c>
      <c r="AB992" t="str">
        <f t="shared" si="41"/>
        <v>4</v>
      </c>
      <c r="AC992" t="str">
        <f>_xlfn.CONCAT(Tabella1[[#This Row],[Ruolo]],Tabella1[[#This Row],[Gs]])</f>
        <v>D0</v>
      </c>
    </row>
    <row r="993" spans="1:29" hidden="1" x14ac:dyDescent="0.3">
      <c r="A993" s="14">
        <v>46277</v>
      </c>
      <c r="B993" s="15">
        <v>4</v>
      </c>
      <c r="C993" s="321" t="str">
        <f>_xlfn.XLOOKUP(Tabella1[[#This Row],[Nome]],Tabella4[NOME],Tabella4[SQUADRA],"")</f>
        <v>Venezia</v>
      </c>
      <c r="D993" s="330" t="s">
        <v>162</v>
      </c>
      <c r="E993" s="330" t="s">
        <v>559</v>
      </c>
      <c r="F993" s="331">
        <v>5</v>
      </c>
      <c r="G993" s="404">
        <v>0</v>
      </c>
      <c r="H993" s="404">
        <v>0</v>
      </c>
      <c r="I993" s="404">
        <v>0</v>
      </c>
      <c r="J993" s="404">
        <v>0</v>
      </c>
      <c r="K993" s="404">
        <v>0</v>
      </c>
      <c r="L993" s="404">
        <v>0</v>
      </c>
      <c r="M993" s="405">
        <v>1</v>
      </c>
      <c r="N993" s="404">
        <v>0</v>
      </c>
      <c r="O993" s="404">
        <v>0</v>
      </c>
      <c r="P993" s="401"/>
      <c r="Q993" s="401">
        <f t="shared" si="40"/>
        <v>0</v>
      </c>
      <c r="R993" s="3" t="str">
        <f>_xlfn.IFNA(VLOOKUP(Tabella1[[#This Row],[Nome]],'ROSE SQUADRE'!$N$3:$O$260,2,0),"")</f>
        <v/>
      </c>
      <c r="S993" s="193">
        <f>SUM(Tabella1[[#This Row],[Gf]],Tabella1[[#This Row],[Rf]])</f>
        <v>0</v>
      </c>
      <c r="T993" s="193"/>
      <c r="U993" s="285" t="str">
        <f>IF(Tabella1[[#This Row],[N° FantaTit]]="","",Tabella1[[#This Row],[fanta voto]])</f>
        <v/>
      </c>
      <c r="V993" s="193">
        <f>SUM(Tabella1[[#This Row],[Voto]],(G993*3),Q993,P993,O993,-(N993),(-M993/2),(-L993*2),(-H993),(I993*3),(-J993*3),(K993*3))</f>
        <v>4.5</v>
      </c>
      <c r="W993" s="193"/>
      <c r="X993" s="193" t="str">
        <f>IF(Tabella1[[#This Row],[Best 11]]=1,Tabella1[[#This Row],[fanta voto]],"")</f>
        <v/>
      </c>
      <c r="Z993" s="193" t="str">
        <f>IF(Tabella1[[#This Row],[Best 11 MOD]]=1,Tabella1[[#This Row],[fanta voto]],"")</f>
        <v/>
      </c>
      <c r="AA993" t="str">
        <f>CONCATENATE(Tabella1[[#This Row],[GG]],Tabella1[[#This Row],[Nome]])</f>
        <v>4Sohm</v>
      </c>
      <c r="AB993" t="str">
        <f t="shared" si="41"/>
        <v>4</v>
      </c>
      <c r="AC993" t="str">
        <f>_xlfn.CONCAT(Tabella1[[#This Row],[Ruolo]],Tabella1[[#This Row],[Gs]])</f>
        <v>C0</v>
      </c>
    </row>
    <row r="994" spans="1:29" hidden="1" x14ac:dyDescent="0.3">
      <c r="A994" s="14">
        <v>46277</v>
      </c>
      <c r="B994" s="15">
        <v>4</v>
      </c>
      <c r="C994" s="321" t="str">
        <f>_xlfn.XLOOKUP(Tabella1[[#This Row],[Nome]],Tabella4[NOME],Tabella4[SQUADRA],"")</f>
        <v>Venezia</v>
      </c>
      <c r="D994" t="s">
        <v>162</v>
      </c>
      <c r="E994" t="s">
        <v>979</v>
      </c>
      <c r="F994" s="194">
        <v>6.5</v>
      </c>
      <c r="G994" s="402">
        <v>0</v>
      </c>
      <c r="H994" s="402">
        <v>0</v>
      </c>
      <c r="I994" s="402">
        <v>0</v>
      </c>
      <c r="J994" s="402">
        <v>0</v>
      </c>
      <c r="K994" s="402">
        <v>0</v>
      </c>
      <c r="L994" s="402">
        <v>0</v>
      </c>
      <c r="M994" s="402">
        <v>0</v>
      </c>
      <c r="N994" s="402">
        <v>0</v>
      </c>
      <c r="O994" s="403">
        <v>1</v>
      </c>
      <c r="P994" s="401"/>
      <c r="Q994" s="401">
        <f t="shared" si="40"/>
        <v>0</v>
      </c>
      <c r="R994" s="3" t="str">
        <f>_xlfn.IFNA(VLOOKUP(Tabella1[[#This Row],[Nome]],'ROSE SQUADRE'!$N$3:$O$260,2,0),"")</f>
        <v/>
      </c>
      <c r="S994" s="193">
        <f>SUM(Tabella1[[#This Row],[Gf]],Tabella1[[#This Row],[Rf]])</f>
        <v>0</v>
      </c>
      <c r="T994" s="193"/>
      <c r="U994" s="285" t="str">
        <f>IF(Tabella1[[#This Row],[N° FantaTit]]="","",Tabella1[[#This Row],[fanta voto]])</f>
        <v/>
      </c>
      <c r="V994" s="193">
        <f>SUM(Tabella1[[#This Row],[Voto]],(G994*3),Q994,P994,O994,-(N994),(-M994/2),(-L994*2),(-H994),(I994*3),(-J994*3),(K994*3))</f>
        <v>7.5</v>
      </c>
      <c r="W994" s="193"/>
      <c r="X994" s="193" t="str">
        <f>IF(Tabella1[[#This Row],[Best 11]]=1,Tabella1[[#This Row],[fanta voto]],"")</f>
        <v/>
      </c>
      <c r="Z994" s="193" t="str">
        <f>IF(Tabella1[[#This Row],[Best 11 MOD]]=1,Tabella1[[#This Row],[fanta voto]],"")</f>
        <v/>
      </c>
      <c r="AA994" t="str">
        <f>CONCATENATE(Tabella1[[#This Row],[GG]],Tabella1[[#This Row],[Nome]])</f>
        <v>4Busio</v>
      </c>
      <c r="AB994" t="str">
        <f t="shared" si="41"/>
        <v>4</v>
      </c>
      <c r="AC994" t="str">
        <f>_xlfn.CONCAT(Tabella1[[#This Row],[Ruolo]],Tabella1[[#This Row],[Gs]])</f>
        <v>C0</v>
      </c>
    </row>
    <row r="995" spans="1:29" hidden="1" x14ac:dyDescent="0.3">
      <c r="A995" s="14">
        <v>46277</v>
      </c>
      <c r="B995" s="15">
        <v>4</v>
      </c>
      <c r="C995" s="321" t="str">
        <f>_xlfn.XLOOKUP(Tabella1[[#This Row],[Nome]],Tabella4[NOME],Tabella4[SQUADRA],"")</f>
        <v>Venezia</v>
      </c>
      <c r="D995" s="330" t="s">
        <v>162</v>
      </c>
      <c r="E995" s="330" t="s">
        <v>981</v>
      </c>
      <c r="F995" s="331">
        <v>5.5</v>
      </c>
      <c r="G995" s="404">
        <v>0</v>
      </c>
      <c r="H995" s="404">
        <v>0</v>
      </c>
      <c r="I995" s="404">
        <v>0</v>
      </c>
      <c r="J995" s="404">
        <v>0</v>
      </c>
      <c r="K995" s="404">
        <v>0</v>
      </c>
      <c r="L995" s="404">
        <v>0</v>
      </c>
      <c r="M995" s="404">
        <v>0</v>
      </c>
      <c r="N995" s="404">
        <v>0</v>
      </c>
      <c r="O995" s="404">
        <v>0</v>
      </c>
      <c r="P995" s="401"/>
      <c r="Q995" s="401">
        <f t="shared" si="40"/>
        <v>0</v>
      </c>
      <c r="R995" s="3" t="str">
        <f>_xlfn.IFNA(VLOOKUP(Tabella1[[#This Row],[Nome]],'ROSE SQUADRE'!$N$3:$O$260,2,0),"")</f>
        <v/>
      </c>
      <c r="S995" s="193">
        <f>SUM(Tabella1[[#This Row],[Gf]],Tabella1[[#This Row],[Rf]])</f>
        <v>0</v>
      </c>
      <c r="T995" s="193"/>
      <c r="U995" s="285" t="str">
        <f>IF(Tabella1[[#This Row],[N° FantaTit]]="","",Tabella1[[#This Row],[fanta voto]])</f>
        <v/>
      </c>
      <c r="V995" s="193">
        <f>SUM(Tabella1[[#This Row],[Voto]],(G995*3),Q995,P995,O995,-(N995),(-M995/2),(-L995*2),(-H995),(I995*3),(-J995*3),(K995*3))</f>
        <v>5.5</v>
      </c>
      <c r="W995" s="193"/>
      <c r="X995" s="193" t="str">
        <f>IF(Tabella1[[#This Row],[Best 11]]=1,Tabella1[[#This Row],[fanta voto]],"")</f>
        <v/>
      </c>
      <c r="Z995" s="193" t="str">
        <f>IF(Tabella1[[#This Row],[Best 11 MOD]]=1,Tabella1[[#This Row],[fanta voto]],"")</f>
        <v/>
      </c>
      <c r="AA995" t="str">
        <f>CONCATENATE(Tabella1[[#This Row],[GG]],Tabella1[[#This Row],[Nome]])</f>
        <v>4Helgason</v>
      </c>
      <c r="AB995" t="str">
        <f t="shared" si="41"/>
        <v>4</v>
      </c>
      <c r="AC995" t="str">
        <f>_xlfn.CONCAT(Tabella1[[#This Row],[Ruolo]],Tabella1[[#This Row],[Gs]])</f>
        <v>C0</v>
      </c>
    </row>
    <row r="996" spans="1:29" hidden="1" x14ac:dyDescent="0.3">
      <c r="A996" s="14">
        <v>46277</v>
      </c>
      <c r="B996" s="15">
        <v>4</v>
      </c>
      <c r="C996" s="321" t="str">
        <f>_xlfn.XLOOKUP(Tabella1[[#This Row],[Nome]],Tabella4[NOME],Tabella4[SQUADRA],"")</f>
        <v>Venezia</v>
      </c>
      <c r="D996" t="s">
        <v>162</v>
      </c>
      <c r="E996" t="s">
        <v>982</v>
      </c>
      <c r="F996" s="194">
        <v>6</v>
      </c>
      <c r="G996" s="402">
        <v>0</v>
      </c>
      <c r="H996" s="402">
        <v>0</v>
      </c>
      <c r="I996" s="402">
        <v>0</v>
      </c>
      <c r="J996" s="402">
        <v>0</v>
      </c>
      <c r="K996" s="402">
        <v>0</v>
      </c>
      <c r="L996" s="402">
        <v>0</v>
      </c>
      <c r="M996" s="402">
        <v>0</v>
      </c>
      <c r="N996" s="402">
        <v>0</v>
      </c>
      <c r="O996" s="402">
        <v>0</v>
      </c>
      <c r="P996" s="401"/>
      <c r="Q996" s="401">
        <f t="shared" si="40"/>
        <v>0</v>
      </c>
      <c r="R996" s="3" t="str">
        <f>_xlfn.IFNA(VLOOKUP(Tabella1[[#This Row],[Nome]],'ROSE SQUADRE'!$N$3:$O$260,2,0),"")</f>
        <v/>
      </c>
      <c r="S996" s="193">
        <f>SUM(Tabella1[[#This Row],[Gf]],Tabella1[[#This Row],[Rf]])</f>
        <v>0</v>
      </c>
      <c r="T996" s="193"/>
      <c r="U996" s="285" t="str">
        <f>IF(Tabella1[[#This Row],[N° FantaTit]]="","",Tabella1[[#This Row],[fanta voto]])</f>
        <v/>
      </c>
      <c r="V996" s="193">
        <f>SUM(Tabella1[[#This Row],[Voto]],(G996*3),Q996,P996,O996,-(N996),(-M996/2),(-L996*2),(-H996),(I996*3),(-J996*3),(K996*3))</f>
        <v>6</v>
      </c>
      <c r="W996" s="193"/>
      <c r="X996" s="193" t="str">
        <f>IF(Tabella1[[#This Row],[Best 11]]=1,Tabella1[[#This Row],[fanta voto]],"")</f>
        <v/>
      </c>
      <c r="Z996" s="193" t="str">
        <f>IF(Tabella1[[#This Row],[Best 11 MOD]]=1,Tabella1[[#This Row],[fanta voto]],"")</f>
        <v/>
      </c>
      <c r="AA996" t="str">
        <f>CONCATENATE(Tabella1[[#This Row],[GG]],Tabella1[[#This Row],[Nome]])</f>
        <v>4Perez K.</v>
      </c>
      <c r="AB996" t="str">
        <f t="shared" si="41"/>
        <v>4</v>
      </c>
      <c r="AC996" t="str">
        <f>_xlfn.CONCAT(Tabella1[[#This Row],[Ruolo]],Tabella1[[#This Row],[Gs]])</f>
        <v>C0</v>
      </c>
    </row>
    <row r="997" spans="1:29" hidden="1" x14ac:dyDescent="0.3">
      <c r="A997" s="14">
        <v>46277</v>
      </c>
      <c r="B997" s="15">
        <v>4</v>
      </c>
      <c r="C997" s="321" t="str">
        <f>_xlfn.XLOOKUP(Tabella1[[#This Row],[Nome]],Tabella4[NOME],Tabella4[SQUADRA],"")</f>
        <v>Roma</v>
      </c>
      <c r="D997" t="s">
        <v>161</v>
      </c>
      <c r="E997" t="s">
        <v>898</v>
      </c>
      <c r="F997" s="194">
        <v>6</v>
      </c>
      <c r="G997" s="402">
        <v>0</v>
      </c>
      <c r="H997" s="402">
        <v>0</v>
      </c>
      <c r="I997" s="402">
        <v>0</v>
      </c>
      <c r="J997" s="402">
        <v>0</v>
      </c>
      <c r="K997" s="402">
        <v>0</v>
      </c>
      <c r="L997" s="402">
        <v>0</v>
      </c>
      <c r="M997" s="402">
        <v>0</v>
      </c>
      <c r="N997" s="402">
        <v>0</v>
      </c>
      <c r="O997" s="402">
        <v>0</v>
      </c>
      <c r="P997" s="401"/>
      <c r="Q997" s="401">
        <f t="shared" si="40"/>
        <v>0</v>
      </c>
      <c r="R997" s="3" t="str">
        <f>_xlfn.IFNA(VLOOKUP(Tabella1[[#This Row],[Nome]],'ROSE SQUADRE'!$N$3:$O$260,2,0),"")</f>
        <v>TRICCHETRACHT</v>
      </c>
      <c r="S997" s="193">
        <f>SUM(Tabella1[[#This Row],[Gf]],Tabella1[[#This Row],[Rf]])</f>
        <v>0</v>
      </c>
      <c r="T997" s="193">
        <v>1</v>
      </c>
      <c r="U997" s="285">
        <f>IF(Tabella1[[#This Row],[N° FantaTit]]="","",Tabella1[[#This Row],[fanta voto]])</f>
        <v>6</v>
      </c>
      <c r="V997" s="193">
        <f>SUM(Tabella1[[#This Row],[Voto]],(G997*3),Q997,P997,O997,-(N997),(-M997/2),(-L997*2),(-H997),(I997*3),(-J997*3),(K997*3))</f>
        <v>6</v>
      </c>
      <c r="W997" s="193">
        <v>1</v>
      </c>
      <c r="X997" s="193">
        <f>IF(Tabella1[[#This Row],[Best 11]]=1,Tabella1[[#This Row],[fanta voto]],"")</f>
        <v>6</v>
      </c>
      <c r="Y997">
        <v>1</v>
      </c>
      <c r="Z997" s="193">
        <f>IF(Tabella1[[#This Row],[Best 11 MOD]]=1,Tabella1[[#This Row],[fanta voto]],"")</f>
        <v>6</v>
      </c>
      <c r="AA997" t="str">
        <f>CONCATENATE(Tabella1[[#This Row],[GG]],Tabella1[[#This Row],[Nome]])</f>
        <v>4Molina N.</v>
      </c>
      <c r="AB997" t="str">
        <f t="shared" si="41"/>
        <v>4TRICCHETRACHT1</v>
      </c>
      <c r="AC997" t="str">
        <f>_xlfn.CONCAT(Tabella1[[#This Row],[Ruolo]],Tabella1[[#This Row],[Gs]])</f>
        <v>D0</v>
      </c>
    </row>
    <row r="998" spans="1:29" hidden="1" x14ac:dyDescent="0.3">
      <c r="A998" s="14">
        <v>46277</v>
      </c>
      <c r="B998" s="15">
        <v>4</v>
      </c>
      <c r="C998" s="321" t="str">
        <f>_xlfn.XLOOKUP(Tabella1[[#This Row],[Nome]],Tabella4[NOME],Tabella4[SQUADRA],"")</f>
        <v>Lazio</v>
      </c>
      <c r="D998" t="s">
        <v>162</v>
      </c>
      <c r="E998" t="s">
        <v>302</v>
      </c>
      <c r="F998" s="194">
        <v>6.5</v>
      </c>
      <c r="G998" s="402">
        <v>0</v>
      </c>
      <c r="H998" s="402">
        <v>0</v>
      </c>
      <c r="I998" s="402">
        <v>0</v>
      </c>
      <c r="J998" s="402">
        <v>0</v>
      </c>
      <c r="K998" s="402">
        <v>0</v>
      </c>
      <c r="L998" s="402">
        <v>0</v>
      </c>
      <c r="M998" s="403">
        <v>1</v>
      </c>
      <c r="N998" s="402">
        <v>0</v>
      </c>
      <c r="O998" s="403">
        <v>1</v>
      </c>
      <c r="P998" s="401"/>
      <c r="Q998" s="401">
        <f t="shared" si="40"/>
        <v>0</v>
      </c>
      <c r="R998" s="3" t="str">
        <f>_xlfn.IFNA(VLOOKUP(Tabella1[[#This Row],[Nome]],'ROSE SQUADRE'!$N$3:$O$260,2,0),"")</f>
        <v>AS PIPPERIA</v>
      </c>
      <c r="S998" s="193">
        <f>SUM(Tabella1[[#This Row],[Gf]],Tabella1[[#This Row],[Rf]])</f>
        <v>0</v>
      </c>
      <c r="T998" s="193">
        <v>1</v>
      </c>
      <c r="U998" s="285">
        <f>IF(Tabella1[[#This Row],[N° FantaTit]]="","",Tabella1[[#This Row],[fanta voto]])</f>
        <v>7</v>
      </c>
      <c r="V998" s="193">
        <f>SUM(Tabella1[[#This Row],[Voto]],(G998*3),Q998,P998,O998,-(N998),(-M998/2),(-L998*2),(-H998),(I998*3),(-J998*3),(K998*3))</f>
        <v>7</v>
      </c>
      <c r="W998" s="193">
        <v>1</v>
      </c>
      <c r="X998" s="193">
        <f>IF(Tabella1[[#This Row],[Best 11]]=1,Tabella1[[#This Row],[fanta voto]],"")</f>
        <v>7</v>
      </c>
      <c r="Y998">
        <v>1</v>
      </c>
      <c r="Z998" s="193">
        <f>IF(Tabella1[[#This Row],[Best 11 MOD]]=1,Tabella1[[#This Row],[fanta voto]],"")</f>
        <v>7</v>
      </c>
      <c r="AA998" t="str">
        <f>CONCATENATE(Tabella1[[#This Row],[GG]],Tabella1[[#This Row],[Nome]])</f>
        <v>4Zaccagni</v>
      </c>
      <c r="AB998" t="str">
        <f t="shared" si="41"/>
        <v>4AS PIPPERIA1</v>
      </c>
      <c r="AC998" t="str">
        <f>_xlfn.CONCAT(Tabella1[[#This Row],[Ruolo]],Tabella1[[#This Row],[Gs]])</f>
        <v>C0</v>
      </c>
    </row>
    <row r="999" spans="1:29" hidden="1" x14ac:dyDescent="0.3">
      <c r="A999" s="286">
        <v>46277</v>
      </c>
      <c r="B999" s="15">
        <v>4</v>
      </c>
      <c r="C999" s="283" t="str">
        <f>_xlfn.XLOOKUP(Tabella1[[#This Row],[Nome]],Tabella4[NOME],Tabella4[SQUADRA],"")</f>
        <v>Bologna</v>
      </c>
      <c r="D999" t="s">
        <v>5</v>
      </c>
      <c r="E999" t="s">
        <v>647</v>
      </c>
      <c r="F999" s="194">
        <v>6</v>
      </c>
      <c r="G999" s="402">
        <v>0</v>
      </c>
      <c r="H999" s="403">
        <v>1</v>
      </c>
      <c r="I999" s="402">
        <v>0</v>
      </c>
      <c r="J999" s="402">
        <v>0</v>
      </c>
      <c r="K999" s="402">
        <v>0</v>
      </c>
      <c r="L999" s="402">
        <v>0</v>
      </c>
      <c r="M999" s="402">
        <v>0</v>
      </c>
      <c r="N999" s="402">
        <v>0</v>
      </c>
      <c r="O999" s="402">
        <v>0</v>
      </c>
      <c r="P999" s="401"/>
      <c r="Q999" s="401">
        <f t="shared" si="40"/>
        <v>0</v>
      </c>
      <c r="R999" s="3" t="str">
        <f>_xlfn.IFNA(VLOOKUP(Tabella1[[#This Row],[Nome]],'ROSE SQUADRE'!$N$3:$O$260,2,0),"")</f>
        <v/>
      </c>
      <c r="S999" s="193">
        <f>SUM(Tabella1[[#This Row],[Gf]],Tabella1[[#This Row],[Rf]])</f>
        <v>0</v>
      </c>
      <c r="T999" s="193"/>
      <c r="U999" s="285" t="str">
        <f>IF(Tabella1[[#This Row],[N° FantaTit]]="","",Tabella1[[#This Row],[fanta voto]])</f>
        <v/>
      </c>
      <c r="V999" s="195">
        <f>SUM(Tabella1[[#This Row],[Voto]],(G999*3),Q999,P999,O999,-(N999),(-M999/2),(-L999*2),(-H999),(I999*3),(-J999*3),(K999*3))</f>
        <v>5</v>
      </c>
      <c r="W999" s="193"/>
      <c r="X999" s="193" t="str">
        <f>IF(Tabella1[[#This Row],[Best 11]]=1,Tabella1[[#This Row],[fanta voto]],"")</f>
        <v/>
      </c>
      <c r="Z999" s="193" t="str">
        <f>IF(Tabella1[[#This Row],[Best 11 MOD]]=1,Tabella1[[#This Row],[fanta voto]],"")</f>
        <v/>
      </c>
      <c r="AA999" t="str">
        <f>CONCATENATE(Tabella1[[#This Row],[GG]],Tabella1[[#This Row],[Nome]])</f>
        <v>4Pessina Mas.</v>
      </c>
      <c r="AB999" t="str">
        <f t="shared" si="41"/>
        <v>4</v>
      </c>
      <c r="AC999" t="str">
        <f>_xlfn.CONCAT(Tabella1[[#This Row],[Ruolo]],Tabella1[[#This Row],[Gs]])</f>
        <v>P1</v>
      </c>
    </row>
    <row r="1000" spans="1:29" hidden="1" x14ac:dyDescent="0.3">
      <c r="A1000" s="14">
        <v>46277</v>
      </c>
      <c r="B1000" s="15">
        <v>4</v>
      </c>
      <c r="C1000" s="321" t="str">
        <f>_xlfn.XLOOKUP(Tabella1[[#This Row],[Nome]],Tabella4[NOME],Tabella4[SQUADRA],"")</f>
        <v>Torino</v>
      </c>
      <c r="D1000" s="330" t="s">
        <v>161</v>
      </c>
      <c r="E1000" s="330" t="s">
        <v>1049</v>
      </c>
      <c r="F1000" s="331">
        <v>5.5</v>
      </c>
      <c r="G1000" s="404">
        <v>0</v>
      </c>
      <c r="H1000" s="404">
        <v>0</v>
      </c>
      <c r="I1000" s="404">
        <v>0</v>
      </c>
      <c r="J1000" s="404">
        <v>0</v>
      </c>
      <c r="K1000" s="404">
        <v>0</v>
      </c>
      <c r="L1000" s="404">
        <v>0</v>
      </c>
      <c r="M1000" s="404">
        <v>0</v>
      </c>
      <c r="N1000" s="404">
        <v>0</v>
      </c>
      <c r="O1000" s="404">
        <v>0</v>
      </c>
      <c r="P1000" s="401"/>
      <c r="Q1000" s="401">
        <f t="shared" si="40"/>
        <v>0</v>
      </c>
      <c r="R1000" s="3" t="str">
        <f>_xlfn.IFNA(VLOOKUP(Tabella1[[#This Row],[Nome]],'ROSE SQUADRE'!$N$3:$O$260,2,0),"")</f>
        <v>FC INTERNAZIOANALE</v>
      </c>
      <c r="S1000" s="193">
        <f>SUM(Tabella1[[#This Row],[Gf]],Tabella1[[#This Row],[Rf]])</f>
        <v>0</v>
      </c>
      <c r="T1000" s="193"/>
      <c r="U1000" s="285" t="str">
        <f>IF(Tabella1[[#This Row],[N° FantaTit]]="","",Tabella1[[#This Row],[fanta voto]])</f>
        <v/>
      </c>
      <c r="V1000" s="193">
        <f>SUM(Tabella1[[#This Row],[Voto]],(G1000*3),Q1000,P1000,O1000,-(N1000),(-M1000/2),(-L1000*2),(-H1000),(I1000*3),(-J1000*3),(K1000*3))</f>
        <v>5.5</v>
      </c>
      <c r="W1000" s="193"/>
      <c r="X1000" s="193" t="str">
        <f>IF(Tabella1[[#This Row],[Best 11]]=1,Tabella1[[#This Row],[fanta voto]],"")</f>
        <v/>
      </c>
      <c r="Z1000" s="193" t="str">
        <f>IF(Tabella1[[#This Row],[Best 11 MOD]]=1,Tabella1[[#This Row],[fanta voto]],"")</f>
        <v/>
      </c>
      <c r="AA1000" t="str">
        <f>CONCATENATE(Tabella1[[#This Row],[GG]],Tabella1[[#This Row],[Nome]])</f>
        <v>4Belghali</v>
      </c>
      <c r="AB1000" t="str">
        <f t="shared" si="41"/>
        <v>4FC INTERNAZIOANALE</v>
      </c>
      <c r="AC1000" t="str">
        <f>_xlfn.CONCAT(Tabella1[[#This Row],[Ruolo]],Tabella1[[#This Row],[Gs]])</f>
        <v>D0</v>
      </c>
    </row>
    <row r="1001" spans="1:29" hidden="1" x14ac:dyDescent="0.3">
      <c r="A1001" s="14">
        <v>46277</v>
      </c>
      <c r="B1001" s="15">
        <v>4</v>
      </c>
      <c r="C1001" s="321" t="str">
        <f>_xlfn.XLOOKUP(Tabella1[[#This Row],[Nome]],Tabella4[NOME],Tabella4[SQUADRA],"")</f>
        <v>Atalanta</v>
      </c>
      <c r="D1001" s="330" t="s">
        <v>162</v>
      </c>
      <c r="E1001" s="330" t="s">
        <v>640</v>
      </c>
      <c r="F1001" s="331">
        <v>5.5</v>
      </c>
      <c r="G1001" s="404">
        <v>0</v>
      </c>
      <c r="H1001" s="404">
        <v>0</v>
      </c>
      <c r="I1001" s="404">
        <v>0</v>
      </c>
      <c r="J1001" s="404">
        <v>0</v>
      </c>
      <c r="K1001" s="404">
        <v>0</v>
      </c>
      <c r="L1001" s="404">
        <v>0</v>
      </c>
      <c r="M1001" s="404">
        <v>0</v>
      </c>
      <c r="N1001" s="404">
        <v>0</v>
      </c>
      <c r="O1001" s="404">
        <v>0</v>
      </c>
      <c r="P1001" s="401"/>
      <c r="Q1001" s="401">
        <f t="shared" si="40"/>
        <v>0</v>
      </c>
      <c r="R1001" s="3" t="str">
        <f>_xlfn.IFNA(VLOOKUP(Tabella1[[#This Row],[Nome]],'ROSE SQUADRE'!$N$3:$O$260,2,0),"")</f>
        <v>FC INTERNAZIOANALE</v>
      </c>
      <c r="S1001" s="193">
        <f>SUM(Tabella1[[#This Row],[Gf]],Tabella1[[#This Row],[Rf]])</f>
        <v>0</v>
      </c>
      <c r="T1001" s="193">
        <v>1</v>
      </c>
      <c r="U1001" s="285">
        <f>IF(Tabella1[[#This Row],[N° FantaTit]]="","",Tabella1[[#This Row],[fanta voto]])</f>
        <v>5.5</v>
      </c>
      <c r="V1001" s="193">
        <f>SUM(Tabella1[[#This Row],[Voto]],(G1001*3),Q1001,P1001,O1001,-(N1001),(-M1001/2),(-L1001*2),(-H1001),(I1001*3),(-J1001*3),(K1001*3))</f>
        <v>5.5</v>
      </c>
      <c r="W1001" s="193">
        <v>1</v>
      </c>
      <c r="X1001" s="193">
        <f>IF(Tabella1[[#This Row],[Best 11]]=1,Tabella1[[#This Row],[fanta voto]],"")</f>
        <v>5.5</v>
      </c>
      <c r="Y1001">
        <v>1</v>
      </c>
      <c r="Z1001" s="193">
        <f>IF(Tabella1[[#This Row],[Best 11 MOD]]=1,Tabella1[[#This Row],[fanta voto]],"")</f>
        <v>5.5</v>
      </c>
      <c r="AA1001" t="str">
        <f>CONCATENATE(Tabella1[[#This Row],[GG]],Tabella1[[#This Row],[Nome]])</f>
        <v>4Ederson D.S.</v>
      </c>
      <c r="AB1001" t="str">
        <f t="shared" si="41"/>
        <v>4FC INTERNAZIOANALE1</v>
      </c>
      <c r="AC1001" t="str">
        <f>_xlfn.CONCAT(Tabella1[[#This Row],[Ruolo]],Tabella1[[#This Row],[Gs]])</f>
        <v>C0</v>
      </c>
    </row>
    <row r="1002" spans="1:29" hidden="1" x14ac:dyDescent="0.3">
      <c r="A1002" s="14">
        <v>46277</v>
      </c>
      <c r="B1002" s="15">
        <v>4</v>
      </c>
      <c r="C1002" s="321" t="str">
        <f>_xlfn.XLOOKUP(Tabella1[[#This Row],[Nome]],Tabella4[NOME],Tabella4[SQUADRA],"")</f>
        <v>Torino</v>
      </c>
      <c r="D1002" t="s">
        <v>161</v>
      </c>
      <c r="E1002" t="s">
        <v>526</v>
      </c>
      <c r="F1002" s="194">
        <v>5.5</v>
      </c>
      <c r="G1002" s="402">
        <v>0</v>
      </c>
      <c r="H1002" s="402">
        <v>0</v>
      </c>
      <c r="I1002" s="402">
        <v>0</v>
      </c>
      <c r="J1002" s="402">
        <v>0</v>
      </c>
      <c r="K1002" s="402">
        <v>0</v>
      </c>
      <c r="L1002" s="402">
        <v>0</v>
      </c>
      <c r="M1002" s="402">
        <v>0</v>
      </c>
      <c r="N1002" s="402">
        <v>0</v>
      </c>
      <c r="O1002" s="402">
        <v>0</v>
      </c>
      <c r="P1002" s="401"/>
      <c r="Q1002" s="401">
        <f t="shared" si="40"/>
        <v>0</v>
      </c>
      <c r="R1002" s="3" t="str">
        <f>_xlfn.IFNA(VLOOKUP(Tabella1[[#This Row],[Nome]],'ROSE SQUADRE'!$N$3:$O$260,2,0),"")</f>
        <v>SESTO ASENSIO</v>
      </c>
      <c r="S1002" s="193">
        <f>SUM(Tabella1[[#This Row],[Gf]],Tabella1[[#This Row],[Rf]])</f>
        <v>0</v>
      </c>
      <c r="T1002" s="193"/>
      <c r="U1002" s="285" t="str">
        <f>IF(Tabella1[[#This Row],[N° FantaTit]]="","",Tabella1[[#This Row],[fanta voto]])</f>
        <v/>
      </c>
      <c r="V1002" s="193">
        <f>SUM(Tabella1[[#This Row],[Voto]],(G1002*3),Q1002,P1002,O1002,-(N1002),(-M1002/2),(-L1002*2),(-H1002),(I1002*3),(-J1002*3),(K1002*3))</f>
        <v>5.5</v>
      </c>
      <c r="W1002" s="193"/>
      <c r="X1002" s="193" t="str">
        <f>IF(Tabella1[[#This Row],[Best 11]]=1,Tabella1[[#This Row],[fanta voto]],"")</f>
        <v/>
      </c>
      <c r="Z1002" s="193" t="str">
        <f>IF(Tabella1[[#This Row],[Best 11 MOD]]=1,Tabella1[[#This Row],[fanta voto]],"")</f>
        <v/>
      </c>
      <c r="AA1002" t="str">
        <f>CONCATENATE(Tabella1[[#This Row],[GG]],Tabella1[[#This Row],[Nome]])</f>
        <v>4Comuzzo</v>
      </c>
      <c r="AB1002" t="str">
        <f t="shared" si="41"/>
        <v>4SESTO ASENSIO</v>
      </c>
      <c r="AC1002" t="str">
        <f>_xlfn.CONCAT(Tabella1[[#This Row],[Ruolo]],Tabella1[[#This Row],[Gs]])</f>
        <v>D0</v>
      </c>
    </row>
    <row r="1003" spans="1:29" hidden="1" x14ac:dyDescent="0.3">
      <c r="A1003" s="14">
        <v>46277</v>
      </c>
      <c r="B1003" s="15">
        <v>4</v>
      </c>
      <c r="C1003" s="321" t="str">
        <f>_xlfn.XLOOKUP(Tabella1[[#This Row],[Nome]],Tabella4[NOME],Tabella4[SQUADRA],"")</f>
        <v>Bologna</v>
      </c>
      <c r="D1003" t="s">
        <v>161</v>
      </c>
      <c r="E1003" t="s">
        <v>650</v>
      </c>
      <c r="F1003" s="194">
        <v>6.5</v>
      </c>
      <c r="G1003" s="402">
        <v>0</v>
      </c>
      <c r="H1003" s="402">
        <v>0</v>
      </c>
      <c r="I1003" s="402">
        <v>0</v>
      </c>
      <c r="J1003" s="402">
        <v>0</v>
      </c>
      <c r="K1003" s="402">
        <v>0</v>
      </c>
      <c r="L1003" s="402">
        <v>0</v>
      </c>
      <c r="M1003" s="402">
        <v>0</v>
      </c>
      <c r="N1003" s="402">
        <v>0</v>
      </c>
      <c r="O1003" s="402">
        <v>0</v>
      </c>
      <c r="P1003" s="401"/>
      <c r="Q1003" s="401">
        <f t="shared" si="40"/>
        <v>0</v>
      </c>
      <c r="R1003" s="3" t="str">
        <f>_xlfn.IFNA(VLOOKUP(Tabella1[[#This Row],[Nome]],'ROSE SQUADRE'!$N$3:$O$260,2,0),"")</f>
        <v/>
      </c>
      <c r="S1003" s="193">
        <f>SUM(Tabella1[[#This Row],[Gf]],Tabella1[[#This Row],[Rf]])</f>
        <v>0</v>
      </c>
      <c r="T1003" s="193"/>
      <c r="U1003" s="285" t="str">
        <f>IF(Tabella1[[#This Row],[N° FantaTit]]="","",Tabella1[[#This Row],[fanta voto]])</f>
        <v/>
      </c>
      <c r="V1003" s="193">
        <f>SUM(Tabella1[[#This Row],[Voto]],(G1003*3),Q1003,P1003,O1003,-(N1003),(-M1003/2),(-L1003*2),(-H1003),(I1003*3),(-J1003*3),(K1003*3))</f>
        <v>6.5</v>
      </c>
      <c r="W1003" s="193"/>
      <c r="X1003" s="193" t="str">
        <f>IF(Tabella1[[#This Row],[Best 11]]=1,Tabella1[[#This Row],[fanta voto]],"")</f>
        <v/>
      </c>
      <c r="Z1003" s="193" t="str">
        <f>IF(Tabella1[[#This Row],[Best 11 MOD]]=1,Tabella1[[#This Row],[fanta voto]],"")</f>
        <v/>
      </c>
      <c r="AA1003" t="str">
        <f>CONCATENATE(Tabella1[[#This Row],[GG]],Tabella1[[#This Row],[Nome]])</f>
        <v>4Heggem</v>
      </c>
      <c r="AB1003" t="str">
        <f t="shared" si="41"/>
        <v>4</v>
      </c>
      <c r="AC1003" t="str">
        <f>_xlfn.CONCAT(Tabella1[[#This Row],[Ruolo]],Tabella1[[#This Row],[Gs]])</f>
        <v>D0</v>
      </c>
    </row>
    <row r="1004" spans="1:29" hidden="1" x14ac:dyDescent="0.3">
      <c r="A1004" s="14">
        <v>46277</v>
      </c>
      <c r="B1004" s="15">
        <v>4</v>
      </c>
      <c r="C1004" s="321" t="str">
        <f>_xlfn.XLOOKUP(Tabella1[[#This Row],[Nome]],Tabella4[NOME],Tabella4[SQUADRA],"")</f>
        <v>Atalanta</v>
      </c>
      <c r="D1004" t="s">
        <v>162</v>
      </c>
      <c r="E1004" t="s">
        <v>1039</v>
      </c>
      <c r="F1004" s="194">
        <v>5.5</v>
      </c>
      <c r="G1004" s="402">
        <v>0</v>
      </c>
      <c r="H1004" s="402">
        <v>0</v>
      </c>
      <c r="I1004" s="402">
        <v>0</v>
      </c>
      <c r="J1004" s="402">
        <v>0</v>
      </c>
      <c r="K1004" s="402">
        <v>0</v>
      </c>
      <c r="L1004" s="402">
        <v>0</v>
      </c>
      <c r="M1004" s="402">
        <v>0</v>
      </c>
      <c r="N1004" s="402">
        <v>0</v>
      </c>
      <c r="O1004" s="402">
        <v>0</v>
      </c>
      <c r="P1004" s="284"/>
      <c r="Q1004" s="284">
        <f t="shared" si="40"/>
        <v>0</v>
      </c>
      <c r="R1004" s="3" t="str">
        <f>_xlfn.IFNA(VLOOKUP(Tabella1[[#This Row],[Nome]],'ROSE SQUADRE'!$N$3:$O$260,2,0),"")</f>
        <v>AC ASPARAGHESE</v>
      </c>
      <c r="S1004" s="193">
        <f>SUM(Tabella1[[#This Row],[Gf]],Tabella1[[#This Row],[Rf]])</f>
        <v>0</v>
      </c>
      <c r="T1004" s="193"/>
      <c r="U1004" s="285" t="str">
        <f>IF(Tabella1[[#This Row],[N° FantaTit]]="","",Tabella1[[#This Row],[fanta voto]])</f>
        <v/>
      </c>
      <c r="V1004" s="193">
        <f>SUM(Tabella1[[#This Row],[Voto]],(G1004*3),Q1004,P1004,O1004,-(N1004),(-M1004/2),(-L1004*2),(-H1004),(I1004*3),(-J1004*3),(K1004*3))</f>
        <v>5.5</v>
      </c>
      <c r="W1004" s="193"/>
      <c r="X1004" s="193" t="str">
        <f>IF(Tabella1[[#This Row],[Best 11]]=1,Tabella1[[#This Row],[fanta voto]],"")</f>
        <v/>
      </c>
      <c r="Z1004" s="193" t="str">
        <f>IF(Tabella1[[#This Row],[Best 11 MOD]]=1,Tabella1[[#This Row],[fanta voto]],"")</f>
        <v/>
      </c>
      <c r="AA1004" t="str">
        <f>CONCATENATE(Tabella1[[#This Row],[GG]],Tabella1[[#This Row],[Nome]])</f>
        <v>4Kessiè</v>
      </c>
      <c r="AB1004" t="str">
        <f t="shared" si="41"/>
        <v>4AC ASPARAGHESE</v>
      </c>
      <c r="AC1004" t="str">
        <f>_xlfn.CONCAT(Tabella1[[#This Row],[Ruolo]],Tabella1[[#This Row],[Gs]])</f>
        <v>C0</v>
      </c>
    </row>
    <row r="1005" spans="1:29" hidden="1" x14ac:dyDescent="0.3">
      <c r="A1005" s="14">
        <v>46277</v>
      </c>
      <c r="B1005" s="15">
        <v>4</v>
      </c>
      <c r="C1005" s="321" t="str">
        <f>_xlfn.XLOOKUP(Tabella1[[#This Row],[Nome]],Tabella4[NOME],Tabella4[SQUADRA],"")</f>
        <v>Milan</v>
      </c>
      <c r="D1005" s="330" t="s">
        <v>162</v>
      </c>
      <c r="E1005" s="330" t="s">
        <v>837</v>
      </c>
      <c r="F1005" s="331">
        <v>8</v>
      </c>
      <c r="G1005" s="405">
        <v>2</v>
      </c>
      <c r="H1005" s="404">
        <v>0</v>
      </c>
      <c r="I1005" s="404">
        <v>0</v>
      </c>
      <c r="J1005" s="404">
        <v>0</v>
      </c>
      <c r="K1005" s="404">
        <v>0</v>
      </c>
      <c r="L1005" s="404">
        <v>0</v>
      </c>
      <c r="M1005" s="404">
        <v>0</v>
      </c>
      <c r="N1005" s="404">
        <v>0</v>
      </c>
      <c r="O1005" s="404">
        <v>0</v>
      </c>
      <c r="P1005" s="401"/>
      <c r="Q1005" s="401">
        <f t="shared" si="40"/>
        <v>0</v>
      </c>
      <c r="R1005" s="3" t="str">
        <f>_xlfn.IFNA(VLOOKUP(Tabella1[[#This Row],[Nome]],'ROSE SQUADRE'!$N$3:$O$260,2,0),"")</f>
        <v>AS PIPPERIA</v>
      </c>
      <c r="S1005" s="193">
        <f>SUM(Tabella1[[#This Row],[Gf]],Tabella1[[#This Row],[Rf]])</f>
        <v>2</v>
      </c>
      <c r="T1005" s="193"/>
      <c r="U1005" s="285" t="str">
        <f>IF(Tabella1[[#This Row],[N° FantaTit]]="","",Tabella1[[#This Row],[fanta voto]])</f>
        <v/>
      </c>
      <c r="V1005" s="193">
        <f>SUM(Tabella1[[#This Row],[Voto]],(G1005*3),Q1005,P1005,O1005,-(N1005),(-M1005/2),(-L1005*2),(-H1005),(I1005*3),(-J1005*3),(K1005*3))</f>
        <v>14</v>
      </c>
      <c r="W1005" s="193">
        <v>1</v>
      </c>
      <c r="X1005" s="193">
        <f>IF(Tabella1[[#This Row],[Best 11]]=1,Tabella1[[#This Row],[fanta voto]],"")</f>
        <v>14</v>
      </c>
      <c r="Y1005">
        <v>1</v>
      </c>
      <c r="Z1005" s="193">
        <f>IF(Tabella1[[#This Row],[Best 11 MOD]]=1,Tabella1[[#This Row],[fanta voto]],"")</f>
        <v>14</v>
      </c>
      <c r="AA1005" t="str">
        <f>CONCATENATE(Tabella1[[#This Row],[GG]],Tabella1[[#This Row],[Nome]])</f>
        <v>4Moreira</v>
      </c>
      <c r="AB1005" t="str">
        <f t="shared" si="41"/>
        <v>4AS PIPPERIA</v>
      </c>
      <c r="AC1005" t="str">
        <f>_xlfn.CONCAT(Tabella1[[#This Row],[Ruolo]],Tabella1[[#This Row],[Gs]])</f>
        <v>C0</v>
      </c>
    </row>
    <row r="1006" spans="1:29" hidden="1" x14ac:dyDescent="0.3">
      <c r="A1006" s="14">
        <v>46277</v>
      </c>
      <c r="B1006" s="15">
        <v>4</v>
      </c>
      <c r="C1006" s="321" t="str">
        <f>_xlfn.XLOOKUP(Tabella1[[#This Row],[Nome]],Tabella4[NOME],Tabella4[SQUADRA],"")</f>
        <v>Bologna</v>
      </c>
      <c r="D1006" s="330" t="s">
        <v>162</v>
      </c>
      <c r="E1006" s="330" t="s">
        <v>239</v>
      </c>
      <c r="F1006" s="331">
        <v>5.5</v>
      </c>
      <c r="G1006" s="404">
        <v>0</v>
      </c>
      <c r="H1006" s="404">
        <v>0</v>
      </c>
      <c r="I1006" s="404">
        <v>0</v>
      </c>
      <c r="J1006" s="404">
        <v>0</v>
      </c>
      <c r="K1006" s="404">
        <v>0</v>
      </c>
      <c r="L1006" s="404">
        <v>0</v>
      </c>
      <c r="M1006" s="404">
        <v>0</v>
      </c>
      <c r="N1006" s="404">
        <v>0</v>
      </c>
      <c r="O1006" s="404">
        <v>0</v>
      </c>
      <c r="P1006" s="401"/>
      <c r="Q1006" s="401">
        <f t="shared" si="40"/>
        <v>0</v>
      </c>
      <c r="R1006" s="3" t="str">
        <f>_xlfn.IFNA(VLOOKUP(Tabella1[[#This Row],[Nome]],'ROSE SQUADRE'!$N$3:$O$260,2,0),"")</f>
        <v/>
      </c>
      <c r="S1006" s="193">
        <f>SUM(Tabella1[[#This Row],[Gf]],Tabella1[[#This Row],[Rf]])</f>
        <v>0</v>
      </c>
      <c r="T1006" s="193"/>
      <c r="U1006" s="285" t="str">
        <f>IF(Tabella1[[#This Row],[N° FantaTit]]="","",Tabella1[[#This Row],[fanta voto]])</f>
        <v/>
      </c>
      <c r="V1006" s="193">
        <f>SUM(Tabella1[[#This Row],[Voto]],(G1006*3),Q1006,P1006,O1006,-(N1006),(-M1006/2),(-L1006*2),(-H1006),(I1006*3),(-J1006*3),(K1006*3))</f>
        <v>5.5</v>
      </c>
      <c r="W1006" s="193"/>
      <c r="X1006" s="193" t="str">
        <f>IF(Tabella1[[#This Row],[Best 11]]=1,Tabella1[[#This Row],[fanta voto]],"")</f>
        <v/>
      </c>
      <c r="Z1006" s="193" t="str">
        <f>IF(Tabella1[[#This Row],[Best 11 MOD]]=1,Tabella1[[#This Row],[fanta voto]],"")</f>
        <v/>
      </c>
      <c r="AA1006" t="str">
        <f>CONCATENATE(Tabella1[[#This Row],[GG]],Tabella1[[#This Row],[Nome]])</f>
        <v>4Cambiaghi</v>
      </c>
      <c r="AB1006" t="str">
        <f t="shared" si="41"/>
        <v>4</v>
      </c>
      <c r="AC1006" t="str">
        <f>_xlfn.CONCAT(Tabella1[[#This Row],[Ruolo]],Tabella1[[#This Row],[Gs]])</f>
        <v>C0</v>
      </c>
    </row>
    <row r="1007" spans="1:29" hidden="1" x14ac:dyDescent="0.3">
      <c r="A1007" s="14">
        <v>46277</v>
      </c>
      <c r="B1007" s="15">
        <v>4</v>
      </c>
      <c r="C1007" s="321" t="str">
        <f>_xlfn.XLOOKUP(Tabella1[[#This Row],[Nome]],Tabella4[NOME],Tabella4[SQUADRA],"")</f>
        <v>Bologna</v>
      </c>
      <c r="D1007" t="s">
        <v>162</v>
      </c>
      <c r="E1007" t="s">
        <v>659</v>
      </c>
      <c r="F1007" s="194">
        <v>6</v>
      </c>
      <c r="G1007" s="402">
        <v>0</v>
      </c>
      <c r="H1007" s="402">
        <v>0</v>
      </c>
      <c r="I1007" s="402">
        <v>0</v>
      </c>
      <c r="J1007" s="402">
        <v>0</v>
      </c>
      <c r="K1007" s="402">
        <v>0</v>
      </c>
      <c r="L1007" s="402">
        <v>0</v>
      </c>
      <c r="M1007" s="402">
        <v>0</v>
      </c>
      <c r="N1007" s="402">
        <v>0</v>
      </c>
      <c r="O1007" s="402">
        <v>0</v>
      </c>
      <c r="P1007" s="401"/>
      <c r="Q1007" s="401">
        <f t="shared" si="40"/>
        <v>0</v>
      </c>
      <c r="R1007" s="3" t="str">
        <f>_xlfn.IFNA(VLOOKUP(Tabella1[[#This Row],[Nome]],'ROSE SQUADRE'!$N$3:$O$260,2,0),"")</f>
        <v/>
      </c>
      <c r="S1007" s="193">
        <f>SUM(Tabella1[[#This Row],[Gf]],Tabella1[[#This Row],[Rf]])</f>
        <v>0</v>
      </c>
      <c r="T1007" s="193"/>
      <c r="U1007" s="285" t="str">
        <f>IF(Tabella1[[#This Row],[N° FantaTit]]="","",Tabella1[[#This Row],[fanta voto]])</f>
        <v/>
      </c>
      <c r="V1007" s="193">
        <f>SUM(Tabella1[[#This Row],[Voto]],(G1007*3),Q1007,P1007,O1007,-(N1007),(-M1007/2),(-L1007*2),(-H1007),(I1007*3),(-J1007*3),(K1007*3))</f>
        <v>6</v>
      </c>
      <c r="W1007" s="193"/>
      <c r="X1007" s="193" t="str">
        <f>IF(Tabella1[[#This Row],[Best 11]]=1,Tabella1[[#This Row],[fanta voto]],"")</f>
        <v/>
      </c>
      <c r="Z1007" s="193" t="str">
        <f>IF(Tabella1[[#This Row],[Best 11 MOD]]=1,Tabella1[[#This Row],[fanta voto]],"")</f>
        <v/>
      </c>
      <c r="AA1007" t="str">
        <f>CONCATENATE(Tabella1[[#This Row],[GG]],Tabella1[[#This Row],[Nome]])</f>
        <v>4Pobega</v>
      </c>
      <c r="AB1007" t="str">
        <f t="shared" si="41"/>
        <v>4</v>
      </c>
      <c r="AC1007" t="str">
        <f>_xlfn.CONCAT(Tabella1[[#This Row],[Ruolo]],Tabella1[[#This Row],[Gs]])</f>
        <v>C0</v>
      </c>
    </row>
    <row r="1008" spans="1:29" hidden="1" x14ac:dyDescent="0.3">
      <c r="A1008" s="14">
        <v>46277</v>
      </c>
      <c r="B1008" s="15">
        <v>4</v>
      </c>
      <c r="C1008" s="321" t="str">
        <f>_xlfn.XLOOKUP(Tabella1[[#This Row],[Nome]],Tabella4[NOME],Tabella4[SQUADRA],"")</f>
        <v>Bologna</v>
      </c>
      <c r="D1008" s="330" t="s">
        <v>162</v>
      </c>
      <c r="E1008" s="330" t="s">
        <v>658</v>
      </c>
      <c r="F1008" s="331">
        <v>6.5</v>
      </c>
      <c r="G1008" s="404">
        <v>0</v>
      </c>
      <c r="H1008" s="404">
        <v>0</v>
      </c>
      <c r="I1008" s="404">
        <v>0</v>
      </c>
      <c r="J1008" s="404">
        <v>0</v>
      </c>
      <c r="K1008" s="404">
        <v>0</v>
      </c>
      <c r="L1008" s="404">
        <v>0</v>
      </c>
      <c r="M1008" s="404">
        <v>0</v>
      </c>
      <c r="N1008" s="404">
        <v>0</v>
      </c>
      <c r="O1008" s="404">
        <v>0</v>
      </c>
      <c r="P1008" s="401"/>
      <c r="Q1008" s="401">
        <f t="shared" si="40"/>
        <v>0</v>
      </c>
      <c r="R1008" s="3" t="str">
        <f>_xlfn.IFNA(VLOOKUP(Tabella1[[#This Row],[Nome]],'ROSE SQUADRE'!$N$3:$O$260,2,0),"")</f>
        <v/>
      </c>
      <c r="S1008" s="193">
        <f>SUM(Tabella1[[#This Row],[Gf]],Tabella1[[#This Row],[Rf]])</f>
        <v>0</v>
      </c>
      <c r="T1008" s="193"/>
      <c r="U1008" s="285" t="str">
        <f>IF(Tabella1[[#This Row],[N° FantaTit]]="","",Tabella1[[#This Row],[fanta voto]])</f>
        <v/>
      </c>
      <c r="V1008" s="193">
        <f>SUM(Tabella1[[#This Row],[Voto]],(G1008*3),Q1008,P1008,O1008,-(N1008),(-M1008/2),(-L1008*2),(-H1008),(I1008*3),(-J1008*3),(K1008*3))</f>
        <v>6.5</v>
      </c>
      <c r="W1008" s="193"/>
      <c r="X1008" s="193" t="str">
        <f>IF(Tabella1[[#This Row],[Best 11]]=1,Tabella1[[#This Row],[fanta voto]],"")</f>
        <v/>
      </c>
      <c r="Z1008" s="193" t="str">
        <f>IF(Tabella1[[#This Row],[Best 11 MOD]]=1,Tabella1[[#This Row],[fanta voto]],"")</f>
        <v/>
      </c>
      <c r="AA1008" t="str">
        <f>CONCATENATE(Tabella1[[#This Row],[GG]],Tabella1[[#This Row],[Nome]])</f>
        <v>4Ferguson</v>
      </c>
      <c r="AB1008" t="str">
        <f t="shared" si="41"/>
        <v>4</v>
      </c>
      <c r="AC1008" t="str">
        <f>_xlfn.CONCAT(Tabella1[[#This Row],[Ruolo]],Tabella1[[#This Row],[Gs]])</f>
        <v>C0</v>
      </c>
    </row>
    <row r="1009" spans="1:29" hidden="1" x14ac:dyDescent="0.3">
      <c r="A1009" s="14">
        <v>46277</v>
      </c>
      <c r="B1009" s="15">
        <v>4</v>
      </c>
      <c r="C1009" s="321" t="str">
        <f>_xlfn.XLOOKUP(Tabella1[[#This Row],[Nome]],Tabella4[NOME],Tabella4[SQUADRA],"")</f>
        <v>Bologna</v>
      </c>
      <c r="D1009" t="s">
        <v>162</v>
      </c>
      <c r="E1009" t="s">
        <v>336</v>
      </c>
      <c r="F1009" s="194">
        <v>6</v>
      </c>
      <c r="G1009" s="402">
        <v>0</v>
      </c>
      <c r="H1009" s="402">
        <v>0</v>
      </c>
      <c r="I1009" s="402">
        <v>0</v>
      </c>
      <c r="J1009" s="402">
        <v>0</v>
      </c>
      <c r="K1009" s="402">
        <v>0</v>
      </c>
      <c r="L1009" s="402">
        <v>0</v>
      </c>
      <c r="M1009" s="402">
        <v>0</v>
      </c>
      <c r="N1009" s="402">
        <v>0</v>
      </c>
      <c r="O1009" s="402">
        <v>0</v>
      </c>
      <c r="P1009" s="401"/>
      <c r="Q1009" s="401">
        <f t="shared" si="40"/>
        <v>0</v>
      </c>
      <c r="R1009" s="3" t="str">
        <f>_xlfn.IFNA(VLOOKUP(Tabella1[[#This Row],[Nome]],'ROSE SQUADRE'!$N$3:$O$260,2,0),"")</f>
        <v/>
      </c>
      <c r="S1009" s="193">
        <f>SUM(Tabella1[[#This Row],[Gf]],Tabella1[[#This Row],[Rf]])</f>
        <v>0</v>
      </c>
      <c r="T1009" s="193"/>
      <c r="U1009" s="285" t="str">
        <f>IF(Tabella1[[#This Row],[N° FantaTit]]="","",Tabella1[[#This Row],[fanta voto]])</f>
        <v/>
      </c>
      <c r="V1009" s="193">
        <f>SUM(Tabella1[[#This Row],[Voto]],(G1009*3),Q1009,P1009,O1009,-(N1009),(-M1009/2),(-L1009*2),(-H1009),(I1009*3),(-J1009*3),(K1009*3))</f>
        <v>6</v>
      </c>
      <c r="W1009" s="193"/>
      <c r="X1009" s="193" t="str">
        <f>IF(Tabella1[[#This Row],[Best 11]]=1,Tabella1[[#This Row],[fanta voto]],"")</f>
        <v/>
      </c>
      <c r="Z1009" s="193" t="str">
        <f>IF(Tabella1[[#This Row],[Best 11 MOD]]=1,Tabella1[[#This Row],[fanta voto]],"")</f>
        <v/>
      </c>
      <c r="AA1009" t="str">
        <f>CONCATENATE(Tabella1[[#This Row],[GG]],Tabella1[[#This Row],[Nome]])</f>
        <v>4Moro N.</v>
      </c>
      <c r="AB1009" t="str">
        <f t="shared" si="41"/>
        <v>4</v>
      </c>
      <c r="AC1009" t="str">
        <f>_xlfn.CONCAT(Tabella1[[#This Row],[Ruolo]],Tabella1[[#This Row],[Gs]])</f>
        <v>C0</v>
      </c>
    </row>
    <row r="1010" spans="1:29" hidden="1" x14ac:dyDescent="0.3">
      <c r="A1010" s="14">
        <v>46277</v>
      </c>
      <c r="B1010" s="15">
        <v>4</v>
      </c>
      <c r="C1010" s="321" t="str">
        <f>_xlfn.XLOOKUP(Tabella1[[#This Row],[Nome]],Tabella4[NOME],Tabella4[SQUADRA],"")</f>
        <v>Bologna</v>
      </c>
      <c r="D1010" t="s">
        <v>162</v>
      </c>
      <c r="E1010" t="s">
        <v>655</v>
      </c>
      <c r="F1010" s="194">
        <v>5.5</v>
      </c>
      <c r="G1010" s="402">
        <v>0</v>
      </c>
      <c r="H1010" s="402">
        <v>0</v>
      </c>
      <c r="I1010" s="402">
        <v>0</v>
      </c>
      <c r="J1010" s="402">
        <v>0</v>
      </c>
      <c r="K1010" s="402">
        <v>0</v>
      </c>
      <c r="L1010" s="402">
        <v>0</v>
      </c>
      <c r="M1010" s="403">
        <v>1</v>
      </c>
      <c r="N1010" s="402">
        <v>0</v>
      </c>
      <c r="O1010" s="402">
        <v>0</v>
      </c>
      <c r="P1010" s="401"/>
      <c r="Q1010" s="401">
        <f t="shared" si="40"/>
        <v>0</v>
      </c>
      <c r="R1010" s="3" t="str">
        <f>_xlfn.IFNA(VLOOKUP(Tabella1[[#This Row],[Nome]],'ROSE SQUADRE'!$N$3:$O$260,2,0),"")</f>
        <v/>
      </c>
      <c r="S1010" s="193">
        <f>SUM(Tabella1[[#This Row],[Gf]],Tabella1[[#This Row],[Rf]])</f>
        <v>0</v>
      </c>
      <c r="T1010" s="193"/>
      <c r="U1010" s="285" t="str">
        <f>IF(Tabella1[[#This Row],[N° FantaTit]]="","",Tabella1[[#This Row],[fanta voto]])</f>
        <v/>
      </c>
      <c r="V1010" s="193">
        <f>SUM(Tabella1[[#This Row],[Voto]],(G1010*3),Q1010,P1010,O1010,-(N1010),(-M1010/2),(-L1010*2),(-H1010),(I1010*3),(-J1010*3),(K1010*3))</f>
        <v>5</v>
      </c>
      <c r="W1010" s="193"/>
      <c r="X1010" s="193" t="str">
        <f>IF(Tabella1[[#This Row],[Best 11]]=1,Tabella1[[#This Row],[fanta voto]],"")</f>
        <v/>
      </c>
      <c r="Z1010" s="193" t="str">
        <f>IF(Tabella1[[#This Row],[Best 11 MOD]]=1,Tabella1[[#This Row],[fanta voto]],"")</f>
        <v/>
      </c>
      <c r="AA1010" t="str">
        <f>CONCATENATE(Tabella1[[#This Row],[GG]],Tabella1[[#This Row],[Nome]])</f>
        <v>4Amondarain</v>
      </c>
      <c r="AB1010" t="str">
        <f t="shared" si="41"/>
        <v>4</v>
      </c>
      <c r="AC1010" t="str">
        <f>_xlfn.CONCAT(Tabella1[[#This Row],[Ruolo]],Tabella1[[#This Row],[Gs]])</f>
        <v>C0</v>
      </c>
    </row>
    <row r="1011" spans="1:29" hidden="1" x14ac:dyDescent="0.3">
      <c r="A1011" s="14">
        <v>46277</v>
      </c>
      <c r="B1011" s="15">
        <v>4</v>
      </c>
      <c r="C1011" s="321" t="str">
        <f>_xlfn.XLOOKUP(Tabella1[[#This Row],[Nome]],Tabella4[NOME],Tabella4[SQUADRA],"")</f>
        <v>Bologna</v>
      </c>
      <c r="D1011" s="330" t="s">
        <v>162</v>
      </c>
      <c r="E1011" s="330" t="s">
        <v>1051</v>
      </c>
      <c r="F1011" s="331">
        <v>5</v>
      </c>
      <c r="G1011" s="404">
        <v>0</v>
      </c>
      <c r="H1011" s="404">
        <v>0</v>
      </c>
      <c r="I1011" s="404">
        <v>0</v>
      </c>
      <c r="J1011" s="404">
        <v>0</v>
      </c>
      <c r="K1011" s="404">
        <v>0</v>
      </c>
      <c r="L1011" s="404">
        <v>0</v>
      </c>
      <c r="M1011" s="404">
        <v>0</v>
      </c>
      <c r="N1011" s="404">
        <v>0</v>
      </c>
      <c r="O1011" s="404">
        <v>0</v>
      </c>
      <c r="P1011" s="401"/>
      <c r="Q1011" s="401">
        <f t="shared" si="40"/>
        <v>0</v>
      </c>
      <c r="R1011" s="3" t="str">
        <f>_xlfn.IFNA(VLOOKUP(Tabella1[[#This Row],[Nome]],'ROSE SQUADRE'!$N$3:$O$260,2,0),"")</f>
        <v/>
      </c>
      <c r="S1011" s="193">
        <f>SUM(Tabella1[[#This Row],[Gf]],Tabella1[[#This Row],[Rf]])</f>
        <v>0</v>
      </c>
      <c r="T1011" s="193"/>
      <c r="U1011" s="285" t="str">
        <f>IF(Tabella1[[#This Row],[N° FantaTit]]="","",Tabella1[[#This Row],[fanta voto]])</f>
        <v/>
      </c>
      <c r="V1011" s="193">
        <f>SUM(Tabella1[[#This Row],[Voto]],(G1011*3),Q1011,P1011,O1011,-(N1011),(-M1011/2),(-L1011*2),(-H1011),(I1011*3),(-J1011*3),(K1011*3))</f>
        <v>5</v>
      </c>
      <c r="W1011" s="193"/>
      <c r="X1011" s="193" t="str">
        <f>IF(Tabella1[[#This Row],[Best 11]]=1,Tabella1[[#This Row],[fanta voto]],"")</f>
        <v/>
      </c>
      <c r="Z1011" s="193" t="str">
        <f>IF(Tabella1[[#This Row],[Best 11 MOD]]=1,Tabella1[[#This Row],[fanta voto]],"")</f>
        <v/>
      </c>
      <c r="AA1011" t="str">
        <f>CONCATENATE(Tabella1[[#This Row],[GG]],Tabella1[[#This Row],[Nome]])</f>
        <v>4Libra</v>
      </c>
      <c r="AB1011" t="str">
        <f t="shared" si="41"/>
        <v>4</v>
      </c>
      <c r="AC1011" t="str">
        <f>_xlfn.CONCAT(Tabella1[[#This Row],[Ruolo]],Tabella1[[#This Row],[Gs]])</f>
        <v>C0</v>
      </c>
    </row>
    <row r="1012" spans="1:29" hidden="1" x14ac:dyDescent="0.3">
      <c r="A1012" s="14">
        <v>46277</v>
      </c>
      <c r="B1012" s="15">
        <v>4</v>
      </c>
      <c r="C1012" s="321" t="str">
        <f>_xlfn.XLOOKUP(Tabella1[[#This Row],[Nome]],Tabella4[NOME],Tabella4[SQUADRA],"")</f>
        <v>Lazio</v>
      </c>
      <c r="D1012" t="s">
        <v>162</v>
      </c>
      <c r="E1012" t="s">
        <v>807</v>
      </c>
      <c r="F1012" s="194">
        <v>6</v>
      </c>
      <c r="G1012" s="402">
        <v>0</v>
      </c>
      <c r="H1012" s="402">
        <v>0</v>
      </c>
      <c r="I1012" s="402">
        <v>0</v>
      </c>
      <c r="J1012" s="402">
        <v>0</v>
      </c>
      <c r="K1012" s="402">
        <v>0</v>
      </c>
      <c r="L1012" s="402">
        <v>0</v>
      </c>
      <c r="M1012" s="402">
        <v>0</v>
      </c>
      <c r="N1012" s="402">
        <v>0</v>
      </c>
      <c r="O1012" s="402">
        <v>0</v>
      </c>
      <c r="P1012" s="401"/>
      <c r="Q1012" s="401">
        <f t="shared" si="40"/>
        <v>0</v>
      </c>
      <c r="R1012" s="3" t="str">
        <f>_xlfn.IFNA(VLOOKUP(Tabella1[[#This Row],[Nome]],'ROSE SQUADRE'!$N$3:$O$260,2,0),"")</f>
        <v>SHARK</v>
      </c>
      <c r="S1012" s="193">
        <f>SUM(Tabella1[[#This Row],[Gf]],Tabella1[[#This Row],[Rf]])</f>
        <v>0</v>
      </c>
      <c r="T1012" s="193">
        <v>1</v>
      </c>
      <c r="U1012" s="285">
        <f>IF(Tabella1[[#This Row],[N° FantaTit]]="","",Tabella1[[#This Row],[fanta voto]])</f>
        <v>6</v>
      </c>
      <c r="V1012" s="193">
        <f>SUM(Tabella1[[#This Row],[Voto]],(G1012*3),Q1012,P1012,O1012,-(N1012),(-M1012/2),(-L1012*2),(-H1012),(I1012*3),(-J1012*3),(K1012*3))</f>
        <v>6</v>
      </c>
      <c r="W1012" s="193"/>
      <c r="X1012" s="193" t="str">
        <f>IF(Tabella1[[#This Row],[Best 11]]=1,Tabella1[[#This Row],[fanta voto]],"")</f>
        <v/>
      </c>
      <c r="Z1012" s="193" t="str">
        <f>IF(Tabella1[[#This Row],[Best 11 MOD]]=1,Tabella1[[#This Row],[fanta voto]],"")</f>
        <v/>
      </c>
      <c r="AA1012" t="str">
        <f>CONCATENATE(Tabella1[[#This Row],[GG]],Tabella1[[#This Row],[Nome]])</f>
        <v>4Taylor K.</v>
      </c>
      <c r="AB1012" t="str">
        <f t="shared" si="41"/>
        <v>4SHARK1</v>
      </c>
      <c r="AC1012" t="str">
        <f>_xlfn.CONCAT(Tabella1[[#This Row],[Ruolo]],Tabella1[[#This Row],[Gs]])</f>
        <v>C0</v>
      </c>
    </row>
    <row r="1013" spans="1:29" hidden="1" x14ac:dyDescent="0.3">
      <c r="A1013" s="14">
        <v>46277</v>
      </c>
      <c r="B1013" s="15">
        <v>4</v>
      </c>
      <c r="C1013" s="321" t="str">
        <f>_xlfn.XLOOKUP(Tabella1[[#This Row],[Nome]],Tabella4[NOME],Tabella4[SQUADRA],"")</f>
        <v/>
      </c>
      <c r="D1013" s="330" t="s">
        <v>5</v>
      </c>
      <c r="E1013" s="330" t="s">
        <v>1090</v>
      </c>
      <c r="F1013" s="331">
        <v>6</v>
      </c>
      <c r="G1013" s="404">
        <v>0</v>
      </c>
      <c r="H1013" s="405">
        <v>1</v>
      </c>
      <c r="I1013" s="404">
        <v>0</v>
      </c>
      <c r="J1013" s="404">
        <v>0</v>
      </c>
      <c r="K1013" s="404">
        <v>0</v>
      </c>
      <c r="L1013" s="404">
        <v>0</v>
      </c>
      <c r="M1013" s="404">
        <v>0</v>
      </c>
      <c r="N1013" s="404">
        <v>0</v>
      </c>
      <c r="O1013" s="404">
        <v>0</v>
      </c>
      <c r="P1013" s="401"/>
      <c r="Q1013" s="401">
        <f t="shared" si="40"/>
        <v>0</v>
      </c>
      <c r="R1013" s="3" t="str">
        <f>_xlfn.IFNA(VLOOKUP(Tabella1[[#This Row],[Nome]],'ROSE SQUADRE'!$N$3:$O$260,2,0),"")</f>
        <v/>
      </c>
      <c r="S1013" s="193">
        <f>SUM(Tabella1[[#This Row],[Gf]],Tabella1[[#This Row],[Rf]])</f>
        <v>0</v>
      </c>
      <c r="T1013" s="193"/>
      <c r="U1013" s="285" t="str">
        <f>IF(Tabella1[[#This Row],[N° FantaTit]]="","",Tabella1[[#This Row],[fanta voto]])</f>
        <v/>
      </c>
      <c r="V1013" s="193">
        <f>SUM(Tabella1[[#This Row],[Voto]],(G1013*3),Q1013,P1013,O1013,-(N1013),(-M1013/2),(-L1013*2),(-H1013),(I1013*3),(-J1013*3),(K1013*3))</f>
        <v>5</v>
      </c>
      <c r="W1013" s="193"/>
      <c r="X1013" s="193" t="str">
        <f>IF(Tabella1[[#This Row],[Best 11]]=1,Tabella1[[#This Row],[fanta voto]],"")</f>
        <v/>
      </c>
      <c r="Z1013" s="193" t="str">
        <f>IF(Tabella1[[#This Row],[Best 11 MOD]]=1,Tabella1[[#This Row],[fanta voto]],"")</f>
        <v/>
      </c>
      <c r="AA1013" t="str">
        <f>CONCATENATE(Tabella1[[#This Row],[GG]],Tabella1[[#This Row],[Nome]])</f>
        <v>4Sanchez Ro.</v>
      </c>
      <c r="AB1013" t="str">
        <f t="shared" si="41"/>
        <v>4</v>
      </c>
      <c r="AC1013" t="str">
        <f>_xlfn.CONCAT(Tabella1[[#This Row],[Ruolo]],Tabella1[[#This Row],[Gs]])</f>
        <v>P1</v>
      </c>
    </row>
    <row r="1014" spans="1:29" hidden="1" x14ac:dyDescent="0.3">
      <c r="A1014" s="14">
        <v>46277</v>
      </c>
      <c r="B1014" s="15">
        <v>4</v>
      </c>
      <c r="C1014" s="321" t="str">
        <f>_xlfn.XLOOKUP(Tabella1[[#This Row],[Nome]],Tabella4[NOME],Tabella4[SQUADRA],"")</f>
        <v>Bologna</v>
      </c>
      <c r="D1014" t="s">
        <v>162</v>
      </c>
      <c r="E1014" t="s">
        <v>508</v>
      </c>
      <c r="F1014" s="194">
        <v>5.5</v>
      </c>
      <c r="G1014" s="402">
        <v>0</v>
      </c>
      <c r="H1014" s="402">
        <v>0</v>
      </c>
      <c r="I1014" s="402">
        <v>0</v>
      </c>
      <c r="J1014" s="402">
        <v>0</v>
      </c>
      <c r="K1014" s="402">
        <v>0</v>
      </c>
      <c r="L1014" s="402">
        <v>0</v>
      </c>
      <c r="M1014" s="402">
        <v>0</v>
      </c>
      <c r="N1014" s="402">
        <v>0</v>
      </c>
      <c r="O1014" s="402">
        <v>0</v>
      </c>
      <c r="P1014" s="401"/>
      <c r="Q1014" s="401">
        <f t="shared" si="40"/>
        <v>0</v>
      </c>
      <c r="R1014" s="3" t="str">
        <f>_xlfn.IFNA(VLOOKUP(Tabella1[[#This Row],[Nome]],'ROSE SQUADRE'!$N$3:$O$260,2,0),"")</f>
        <v>AS PIPPERIA</v>
      </c>
      <c r="S1014" s="193">
        <f>SUM(Tabella1[[#This Row],[Gf]],Tabella1[[#This Row],[Rf]])</f>
        <v>0</v>
      </c>
      <c r="T1014" s="193"/>
      <c r="U1014" s="285" t="str">
        <f>IF(Tabella1[[#This Row],[N° FantaTit]]="","",Tabella1[[#This Row],[fanta voto]])</f>
        <v/>
      </c>
      <c r="V1014" s="193">
        <f>SUM(Tabella1[[#This Row],[Voto]],(G1014*3),Q1014,P1014,O1014,-(N1014),(-M1014/2),(-L1014*2),(-H1014),(I1014*3),(-J1014*3),(K1014*3))</f>
        <v>5.5</v>
      </c>
      <c r="W1014" s="193"/>
      <c r="X1014" s="193" t="str">
        <f>IF(Tabella1[[#This Row],[Best 11]]=1,Tabella1[[#This Row],[fanta voto]],"")</f>
        <v/>
      </c>
      <c r="Z1014" s="193" t="str">
        <f>IF(Tabella1[[#This Row],[Best 11 MOD]]=1,Tabella1[[#This Row],[fanta voto]],"")</f>
        <v/>
      </c>
      <c r="AA1014" t="str">
        <f>CONCATENATE(Tabella1[[#This Row],[GG]],Tabella1[[#This Row],[Nome]])</f>
        <v>4Odgaard</v>
      </c>
      <c r="AB1014" t="str">
        <f t="shared" si="41"/>
        <v>4AS PIPPERIA</v>
      </c>
      <c r="AC1014" t="str">
        <f>_xlfn.CONCAT(Tabella1[[#This Row],[Ruolo]],Tabella1[[#This Row],[Gs]])</f>
        <v>C0</v>
      </c>
    </row>
    <row r="1015" spans="1:29" hidden="1" x14ac:dyDescent="0.3">
      <c r="A1015" s="14">
        <v>46277</v>
      </c>
      <c r="B1015" s="15">
        <v>4</v>
      </c>
      <c r="C1015" s="321" t="str">
        <f>_xlfn.XLOOKUP(Tabella1[[#This Row],[Nome]],Tabella4[NOME],Tabella4[SQUADRA],"")</f>
        <v>Roma</v>
      </c>
      <c r="D1015" s="330" t="s">
        <v>161</v>
      </c>
      <c r="E1015" s="330" t="s">
        <v>896</v>
      </c>
      <c r="F1015" s="331">
        <v>6</v>
      </c>
      <c r="G1015" s="404">
        <v>0</v>
      </c>
      <c r="H1015" s="404">
        <v>0</v>
      </c>
      <c r="I1015" s="404">
        <v>0</v>
      </c>
      <c r="J1015" s="404">
        <v>0</v>
      </c>
      <c r="K1015" s="404">
        <v>0</v>
      </c>
      <c r="L1015" s="404">
        <v>0</v>
      </c>
      <c r="M1015" s="405">
        <v>1</v>
      </c>
      <c r="N1015" s="404">
        <v>0</v>
      </c>
      <c r="O1015" s="404">
        <v>0</v>
      </c>
      <c r="P1015" s="401"/>
      <c r="Q1015" s="401">
        <f t="shared" si="40"/>
        <v>0</v>
      </c>
      <c r="R1015" s="3" t="str">
        <f>_xlfn.IFNA(VLOOKUP(Tabella1[[#This Row],[Nome]],'ROSE SQUADRE'!$N$3:$O$260,2,0),"")</f>
        <v>PARTIZAN DEGRADO</v>
      </c>
      <c r="S1015" s="193">
        <f>SUM(Tabella1[[#This Row],[Gf]],Tabella1[[#This Row],[Rf]])</f>
        <v>0</v>
      </c>
      <c r="T1015" s="193">
        <v>1</v>
      </c>
      <c r="U1015" s="285">
        <f>IF(Tabella1[[#This Row],[N° FantaTit]]="","",Tabella1[[#This Row],[fanta voto]])</f>
        <v>5.5</v>
      </c>
      <c r="V1015" s="193">
        <f>SUM(Tabella1[[#This Row],[Voto]],(G1015*3),Q1015,P1015,O1015,-(N1015),(-M1015/2),(-L1015*2),(-H1015),(I1015*3),(-J1015*3),(K1015*3))</f>
        <v>5.5</v>
      </c>
      <c r="W1015" s="193"/>
      <c r="X1015" s="193" t="str">
        <f>IF(Tabella1[[#This Row],[Best 11]]=1,Tabella1[[#This Row],[fanta voto]],"")</f>
        <v/>
      </c>
      <c r="Z1015" s="193" t="str">
        <f>IF(Tabella1[[#This Row],[Best 11 MOD]]=1,Tabella1[[#This Row],[fanta voto]],"")</f>
        <v/>
      </c>
      <c r="AA1015" t="str">
        <f>CONCATENATE(Tabella1[[#This Row],[GG]],Tabella1[[#This Row],[Nome]])</f>
        <v>4Hermoso</v>
      </c>
      <c r="AB1015" t="str">
        <f t="shared" si="41"/>
        <v>4PARTIZAN DEGRADO1</v>
      </c>
      <c r="AC1015" t="str">
        <f>_xlfn.CONCAT(Tabella1[[#This Row],[Ruolo]],Tabella1[[#This Row],[Gs]])</f>
        <v>D0</v>
      </c>
    </row>
    <row r="1016" spans="1:29" hidden="1" x14ac:dyDescent="0.3">
      <c r="A1016" s="14">
        <v>46277</v>
      </c>
      <c r="B1016" s="15">
        <v>4</v>
      </c>
      <c r="C1016" s="321" t="str">
        <f>_xlfn.XLOOKUP(Tabella1[[#This Row],[Nome]],Tabella4[NOME],Tabella4[SQUADRA],"")</f>
        <v>Como</v>
      </c>
      <c r="D1016" t="s">
        <v>161</v>
      </c>
      <c r="E1016" t="s">
        <v>687</v>
      </c>
      <c r="F1016" s="194">
        <v>6</v>
      </c>
      <c r="G1016" s="402">
        <v>0</v>
      </c>
      <c r="H1016" s="402">
        <v>0</v>
      </c>
      <c r="I1016" s="402">
        <v>0</v>
      </c>
      <c r="J1016" s="402">
        <v>0</v>
      </c>
      <c r="K1016" s="402">
        <v>0</v>
      </c>
      <c r="L1016" s="402">
        <v>0</v>
      </c>
      <c r="M1016" s="402">
        <v>0</v>
      </c>
      <c r="N1016" s="402">
        <v>0</v>
      </c>
      <c r="O1016" s="402">
        <v>0</v>
      </c>
      <c r="P1016" s="401"/>
      <c r="Q1016" s="401">
        <f t="shared" ref="Q1016:Q1079" si="42">IF(AC1016="P0",1,0)</f>
        <v>0</v>
      </c>
      <c r="R1016" s="3" t="str">
        <f>_xlfn.IFNA(VLOOKUP(Tabella1[[#This Row],[Nome]],'ROSE SQUADRE'!$N$3:$O$260,2,0),"")</f>
        <v/>
      </c>
      <c r="S1016" s="193">
        <f>SUM(Tabella1[[#This Row],[Gf]],Tabella1[[#This Row],[Rf]])</f>
        <v>0</v>
      </c>
      <c r="T1016" s="193"/>
      <c r="U1016" s="285" t="str">
        <f>IF(Tabella1[[#This Row],[N° FantaTit]]="","",Tabella1[[#This Row],[fanta voto]])</f>
        <v/>
      </c>
      <c r="V1016" s="193">
        <f>SUM(Tabella1[[#This Row],[Voto]],(G1016*3),Q1016,P1016,O1016,-(N1016),(-M1016/2),(-L1016*2),(-H1016),(I1016*3),(-J1016*3),(K1016*3))</f>
        <v>6</v>
      </c>
      <c r="W1016" s="193"/>
      <c r="X1016" s="193" t="str">
        <f>IF(Tabella1[[#This Row],[Best 11]]=1,Tabella1[[#This Row],[fanta voto]],"")</f>
        <v/>
      </c>
      <c r="Z1016" s="193" t="str">
        <f>IF(Tabella1[[#This Row],[Best 11 MOD]]=1,Tabella1[[#This Row],[fanta voto]],"")</f>
        <v/>
      </c>
      <c r="AA1016" t="str">
        <f>CONCATENATE(Tabella1[[#This Row],[GG]],Tabella1[[#This Row],[Nome]])</f>
        <v>4Kempf</v>
      </c>
      <c r="AB1016" t="str">
        <f t="shared" ref="AB1016:AB1079" si="43">CONCATENATE(B1016,R1016,T1016)</f>
        <v>4</v>
      </c>
      <c r="AC1016" t="str">
        <f>_xlfn.CONCAT(Tabella1[[#This Row],[Ruolo]],Tabella1[[#This Row],[Gs]])</f>
        <v>D0</v>
      </c>
    </row>
    <row r="1017" spans="1:29" hidden="1" x14ac:dyDescent="0.3">
      <c r="A1017" s="14">
        <v>46277</v>
      </c>
      <c r="B1017" s="15">
        <v>4</v>
      </c>
      <c r="C1017" s="321" t="str">
        <f>_xlfn.XLOOKUP(Tabella1[[#This Row],[Nome]],Tabella4[NOME],Tabella4[SQUADRA],"")</f>
        <v>Udinese</v>
      </c>
      <c r="D1017" t="s">
        <v>161</v>
      </c>
      <c r="E1017" t="s">
        <v>469</v>
      </c>
      <c r="F1017" s="194">
        <v>5</v>
      </c>
      <c r="G1017" s="402">
        <v>0</v>
      </c>
      <c r="H1017" s="402">
        <v>0</v>
      </c>
      <c r="I1017" s="402">
        <v>0</v>
      </c>
      <c r="J1017" s="402">
        <v>0</v>
      </c>
      <c r="K1017" s="402">
        <v>0</v>
      </c>
      <c r="L1017" s="402">
        <v>0</v>
      </c>
      <c r="M1017" s="402">
        <v>0</v>
      </c>
      <c r="N1017" s="402">
        <v>0</v>
      </c>
      <c r="O1017" s="402">
        <v>0</v>
      </c>
      <c r="P1017" s="401"/>
      <c r="Q1017" s="401">
        <f t="shared" si="42"/>
        <v>0</v>
      </c>
      <c r="R1017" s="3" t="str">
        <f>_xlfn.IFNA(VLOOKUP(Tabella1[[#This Row],[Nome]],'ROSE SQUADRE'!$N$3:$O$260,2,0),"")</f>
        <v>TRICCHETRACHT</v>
      </c>
      <c r="S1017" s="193">
        <f>SUM(Tabella1[[#This Row],[Gf]],Tabella1[[#This Row],[Rf]])</f>
        <v>0</v>
      </c>
      <c r="T1017" s="193">
        <v>1</v>
      </c>
      <c r="U1017" s="285">
        <f>IF(Tabella1[[#This Row],[N° FantaTit]]="","",Tabella1[[#This Row],[fanta voto]])</f>
        <v>5</v>
      </c>
      <c r="V1017" s="193">
        <f>SUM(Tabella1[[#This Row],[Voto]],(G1017*3),Q1017,P1017,O1017,-(N1017),(-M1017/2),(-L1017*2),(-H1017),(I1017*3),(-J1017*3),(K1017*3))</f>
        <v>5</v>
      </c>
      <c r="W1017" s="193"/>
      <c r="X1017" s="193" t="str">
        <f>IF(Tabella1[[#This Row],[Best 11]]=1,Tabella1[[#This Row],[fanta voto]],"")</f>
        <v/>
      </c>
      <c r="Z1017" s="193" t="str">
        <f>IF(Tabella1[[#This Row],[Best 11 MOD]]=1,Tabella1[[#This Row],[fanta voto]],"")</f>
        <v/>
      </c>
      <c r="AA1017" t="str">
        <f>CONCATENATE(Tabella1[[#This Row],[GG]],Tabella1[[#This Row],[Nome]])</f>
        <v>4Kamara H.</v>
      </c>
      <c r="AB1017" t="str">
        <f t="shared" si="43"/>
        <v>4TRICCHETRACHT1</v>
      </c>
      <c r="AC1017" t="str">
        <f>_xlfn.CONCAT(Tabella1[[#This Row],[Ruolo]],Tabella1[[#This Row],[Gs]])</f>
        <v>D0</v>
      </c>
    </row>
    <row r="1018" spans="1:29" hidden="1" x14ac:dyDescent="0.3">
      <c r="A1018" s="14">
        <v>46277</v>
      </c>
      <c r="B1018" s="15">
        <v>4</v>
      </c>
      <c r="C1018" s="321" t="str">
        <f>_xlfn.XLOOKUP(Tabella1[[#This Row],[Nome]],Tabella4[NOME],Tabella4[SQUADRA],"")</f>
        <v>Como</v>
      </c>
      <c r="D1018" t="s">
        <v>162</v>
      </c>
      <c r="E1018" t="s">
        <v>694</v>
      </c>
      <c r="F1018" s="194">
        <v>6</v>
      </c>
      <c r="G1018" s="402">
        <v>0</v>
      </c>
      <c r="H1018" s="402">
        <v>0</v>
      </c>
      <c r="I1018" s="402">
        <v>0</v>
      </c>
      <c r="J1018" s="402">
        <v>0</v>
      </c>
      <c r="K1018" s="402">
        <v>0</v>
      </c>
      <c r="L1018" s="402">
        <v>0</v>
      </c>
      <c r="M1018" s="403">
        <v>1</v>
      </c>
      <c r="N1018" s="402">
        <v>0</v>
      </c>
      <c r="O1018" s="402">
        <v>0</v>
      </c>
      <c r="P1018" s="401"/>
      <c r="Q1018" s="401">
        <f t="shared" si="42"/>
        <v>0</v>
      </c>
      <c r="R1018" s="3" t="str">
        <f>_xlfn.IFNA(VLOOKUP(Tabella1[[#This Row],[Nome]],'ROSE SQUADRE'!$N$3:$O$260,2,0),"")</f>
        <v/>
      </c>
      <c r="S1018" s="193">
        <f>SUM(Tabella1[[#This Row],[Gf]],Tabella1[[#This Row],[Rf]])</f>
        <v>0</v>
      </c>
      <c r="T1018" s="193"/>
      <c r="U1018" s="285" t="str">
        <f>IF(Tabella1[[#This Row],[N° FantaTit]]="","",Tabella1[[#This Row],[fanta voto]])</f>
        <v/>
      </c>
      <c r="V1018" s="193">
        <f>SUM(Tabella1[[#This Row],[Voto]],(G1018*3),Q1018,P1018,O1018,-(N1018),(-M1018/2),(-L1018*2),(-H1018),(I1018*3),(-J1018*3),(K1018*3))</f>
        <v>5.5</v>
      </c>
      <c r="W1018" s="193"/>
      <c r="X1018" s="193" t="str">
        <f>IF(Tabella1[[#This Row],[Best 11]]=1,Tabella1[[#This Row],[fanta voto]],"")</f>
        <v/>
      </c>
      <c r="Z1018" s="193" t="str">
        <f>IF(Tabella1[[#This Row],[Best 11 MOD]]=1,Tabella1[[#This Row],[fanta voto]],"")</f>
        <v/>
      </c>
      <c r="AA1018" t="str">
        <f>CONCATENATE(Tabella1[[#This Row],[GG]],Tabella1[[#This Row],[Nome]])</f>
        <v>4Caqueret</v>
      </c>
      <c r="AB1018" t="str">
        <f t="shared" si="43"/>
        <v>4</v>
      </c>
      <c r="AC1018" t="str">
        <f>_xlfn.CONCAT(Tabella1[[#This Row],[Ruolo]],Tabella1[[#This Row],[Gs]])</f>
        <v>C0</v>
      </c>
    </row>
    <row r="1019" spans="1:29" hidden="1" x14ac:dyDescent="0.3">
      <c r="A1019" s="14">
        <v>46277</v>
      </c>
      <c r="B1019" s="15">
        <v>4</v>
      </c>
      <c r="C1019" s="321" t="str">
        <f>_xlfn.XLOOKUP(Tabella1[[#This Row],[Nome]],Tabella4[NOME],Tabella4[SQUADRA],"")</f>
        <v>Roma</v>
      </c>
      <c r="D1019" t="s">
        <v>161</v>
      </c>
      <c r="E1019" t="s">
        <v>994</v>
      </c>
      <c r="F1019" s="194">
        <v>6</v>
      </c>
      <c r="G1019" s="402">
        <v>0</v>
      </c>
      <c r="H1019" s="402">
        <v>0</v>
      </c>
      <c r="I1019" s="402">
        <v>0</v>
      </c>
      <c r="J1019" s="402">
        <v>0</v>
      </c>
      <c r="K1019" s="402">
        <v>0</v>
      </c>
      <c r="L1019" s="402">
        <v>0</v>
      </c>
      <c r="M1019" s="402">
        <v>0</v>
      </c>
      <c r="N1019" s="402">
        <v>0</v>
      </c>
      <c r="O1019" s="402">
        <v>0</v>
      </c>
      <c r="P1019" s="401"/>
      <c r="Q1019" s="401">
        <f t="shared" si="42"/>
        <v>0</v>
      </c>
      <c r="R1019" s="3" t="str">
        <f>_xlfn.IFNA(VLOOKUP(Tabella1[[#This Row],[Nome]],'ROSE SQUADRE'!$N$3:$O$260,2,0),"")</f>
        <v>PARTIZAN DEGRADO</v>
      </c>
      <c r="S1019" s="193">
        <f>SUM(Tabella1[[#This Row],[Gf]],Tabella1[[#This Row],[Rf]])</f>
        <v>0</v>
      </c>
      <c r="T1019" s="193">
        <v>1</v>
      </c>
      <c r="U1019" s="285">
        <f>IF(Tabella1[[#This Row],[N° FantaTit]]="","",Tabella1[[#This Row],[fanta voto]])</f>
        <v>6</v>
      </c>
      <c r="V1019" s="193">
        <f>SUM(Tabella1[[#This Row],[Voto]],(G1019*3),Q1019,P1019,O1019,-(N1019),(-M1019/2),(-L1019*2),(-H1019),(I1019*3),(-J1019*3),(K1019*3))</f>
        <v>6</v>
      </c>
      <c r="W1019" s="193"/>
      <c r="X1019" s="193" t="str">
        <f>IF(Tabella1[[#This Row],[Best 11]]=1,Tabella1[[#This Row],[fanta voto]],"")</f>
        <v/>
      </c>
      <c r="Y1019">
        <v>1</v>
      </c>
      <c r="Z1019" s="193">
        <f>IF(Tabella1[[#This Row],[Best 11 MOD]]=1,Tabella1[[#This Row],[fanta voto]],"")</f>
        <v>6</v>
      </c>
      <c r="AA1019" t="str">
        <f>CONCATENATE(Tabella1[[#This Row],[GG]],Tabella1[[#This Row],[Nome]])</f>
        <v>4Lulli</v>
      </c>
      <c r="AB1019" t="str">
        <f t="shared" si="43"/>
        <v>4PARTIZAN DEGRADO1</v>
      </c>
      <c r="AC1019" t="str">
        <f>_xlfn.CONCAT(Tabella1[[#This Row],[Ruolo]],Tabella1[[#This Row],[Gs]])</f>
        <v>D0</v>
      </c>
    </row>
    <row r="1020" spans="1:29" hidden="1" x14ac:dyDescent="0.3">
      <c r="A1020" s="14">
        <v>46277</v>
      </c>
      <c r="B1020" s="15">
        <v>4</v>
      </c>
      <c r="C1020" s="321" t="str">
        <f>_xlfn.XLOOKUP(Tabella1[[#This Row],[Nome]],Tabella4[NOME],Tabella4[SQUADRA],"")</f>
        <v>Como</v>
      </c>
      <c r="D1020" s="330" t="s">
        <v>162</v>
      </c>
      <c r="E1020" s="330" t="s">
        <v>608</v>
      </c>
      <c r="F1020" s="331">
        <v>6.5</v>
      </c>
      <c r="G1020" s="404">
        <v>0</v>
      </c>
      <c r="H1020" s="404">
        <v>0</v>
      </c>
      <c r="I1020" s="404">
        <v>0</v>
      </c>
      <c r="J1020" s="404">
        <v>0</v>
      </c>
      <c r="K1020" s="404">
        <v>0</v>
      </c>
      <c r="L1020" s="404">
        <v>0</v>
      </c>
      <c r="M1020" s="404">
        <v>0</v>
      </c>
      <c r="N1020" s="404">
        <v>0</v>
      </c>
      <c r="O1020" s="404">
        <v>0</v>
      </c>
      <c r="P1020" s="401"/>
      <c r="Q1020" s="401">
        <f t="shared" si="42"/>
        <v>0</v>
      </c>
      <c r="R1020" s="3" t="str">
        <f>_xlfn.IFNA(VLOOKUP(Tabella1[[#This Row],[Nome]],'ROSE SQUADRE'!$N$3:$O$260,2,0),"")</f>
        <v>SAN GRIA</v>
      </c>
      <c r="S1020" s="193">
        <f>SUM(Tabella1[[#This Row],[Gf]],Tabella1[[#This Row],[Rf]])</f>
        <v>0</v>
      </c>
      <c r="T1020" s="193">
        <v>1</v>
      </c>
      <c r="U1020" s="285">
        <f>IF(Tabella1[[#This Row],[N° FantaTit]]="","",Tabella1[[#This Row],[fanta voto]])</f>
        <v>6.5</v>
      </c>
      <c r="V1020" s="193">
        <f>SUM(Tabella1[[#This Row],[Voto]],(G1020*3),Q1020,P1020,O1020,-(N1020),(-M1020/2),(-L1020*2),(-H1020),(I1020*3),(-J1020*3),(K1020*3))</f>
        <v>6.5</v>
      </c>
      <c r="W1020" s="193">
        <v>1</v>
      </c>
      <c r="X1020" s="193">
        <f>IF(Tabella1[[#This Row],[Best 11]]=1,Tabella1[[#This Row],[fanta voto]],"")</f>
        <v>6.5</v>
      </c>
      <c r="Y1020">
        <v>1</v>
      </c>
      <c r="Z1020" s="193">
        <f>IF(Tabella1[[#This Row],[Best 11 MOD]]=1,Tabella1[[#This Row],[fanta voto]],"")</f>
        <v>6.5</v>
      </c>
      <c r="AA1020" t="str">
        <f>CONCATENATE(Tabella1[[#This Row],[GG]],Tabella1[[#This Row],[Nome]])</f>
        <v>4Perrone</v>
      </c>
      <c r="AB1020" t="str">
        <f t="shared" si="43"/>
        <v>4SAN GRIA1</v>
      </c>
      <c r="AC1020" t="str">
        <f>_xlfn.CONCAT(Tabella1[[#This Row],[Ruolo]],Tabella1[[#This Row],[Gs]])</f>
        <v>C0</v>
      </c>
    </row>
    <row r="1021" spans="1:29" hidden="1" x14ac:dyDescent="0.3">
      <c r="A1021" s="14">
        <v>46277</v>
      </c>
      <c r="B1021" s="15">
        <v>4</v>
      </c>
      <c r="C1021" s="321" t="str">
        <f>_xlfn.XLOOKUP(Tabella1[[#This Row],[Nome]],Tabella4[NOME],Tabella4[SQUADRA],"")</f>
        <v>Como</v>
      </c>
      <c r="D1021" t="s">
        <v>162</v>
      </c>
      <c r="E1021" t="s">
        <v>609</v>
      </c>
      <c r="F1021" s="194">
        <v>6.5</v>
      </c>
      <c r="G1021" s="402">
        <v>0</v>
      </c>
      <c r="H1021" s="402">
        <v>0</v>
      </c>
      <c r="I1021" s="402">
        <v>0</v>
      </c>
      <c r="J1021" s="402">
        <v>0</v>
      </c>
      <c r="K1021" s="402">
        <v>0</v>
      </c>
      <c r="L1021" s="402">
        <v>0</v>
      </c>
      <c r="M1021" s="402">
        <v>0</v>
      </c>
      <c r="N1021" s="402">
        <v>0</v>
      </c>
      <c r="O1021" s="403">
        <v>1</v>
      </c>
      <c r="P1021" s="401"/>
      <c r="Q1021" s="401">
        <f t="shared" si="42"/>
        <v>0</v>
      </c>
      <c r="R1021" s="3" t="str">
        <f>_xlfn.IFNA(VLOOKUP(Tabella1[[#This Row],[Nome]],'ROSE SQUADRE'!$N$3:$O$260,2,0),"")</f>
        <v>AS PIPPERIA</v>
      </c>
      <c r="S1021" s="193">
        <f>SUM(Tabella1[[#This Row],[Gf]],Tabella1[[#This Row],[Rf]])</f>
        <v>0</v>
      </c>
      <c r="T1021" s="193">
        <v>1</v>
      </c>
      <c r="U1021" s="285">
        <f>IF(Tabella1[[#This Row],[N° FantaTit]]="","",Tabella1[[#This Row],[fanta voto]])</f>
        <v>7.5</v>
      </c>
      <c r="V1021" s="193">
        <f>SUM(Tabella1[[#This Row],[Voto]],(G1021*3),Q1021,P1021,O1021,-(N1021),(-M1021/2),(-L1021*2),(-H1021),(I1021*3),(-J1021*3),(K1021*3))</f>
        <v>7.5</v>
      </c>
      <c r="W1021" s="193">
        <v>1</v>
      </c>
      <c r="X1021" s="193">
        <f>IF(Tabella1[[#This Row],[Best 11]]=1,Tabella1[[#This Row],[fanta voto]],"")</f>
        <v>7.5</v>
      </c>
      <c r="Y1021">
        <v>1</v>
      </c>
      <c r="Z1021" s="193">
        <f>IF(Tabella1[[#This Row],[Best 11 MOD]]=1,Tabella1[[#This Row],[fanta voto]],"")</f>
        <v>7.5</v>
      </c>
      <c r="AA1021" t="str">
        <f>CONCATENATE(Tabella1[[#This Row],[GG]],Tabella1[[#This Row],[Nome]])</f>
        <v>4Paz N.</v>
      </c>
      <c r="AB1021" t="str">
        <f t="shared" si="43"/>
        <v>4AS PIPPERIA1</v>
      </c>
      <c r="AC1021" t="str">
        <f>_xlfn.CONCAT(Tabella1[[#This Row],[Ruolo]],Tabella1[[#This Row],[Gs]])</f>
        <v>C0</v>
      </c>
    </row>
    <row r="1022" spans="1:29" hidden="1" x14ac:dyDescent="0.3">
      <c r="A1022" s="14">
        <v>46277</v>
      </c>
      <c r="B1022" s="15">
        <v>4</v>
      </c>
      <c r="C1022" s="321" t="str">
        <f>_xlfn.XLOOKUP(Tabella1[[#This Row],[Nome]],Tabella4[NOME],Tabella4[SQUADRA],"")</f>
        <v>Milan</v>
      </c>
      <c r="D1022" s="330" t="s">
        <v>162</v>
      </c>
      <c r="E1022" s="330" t="s">
        <v>836</v>
      </c>
      <c r="F1022" s="331">
        <v>5.5</v>
      </c>
      <c r="G1022" s="404">
        <v>0</v>
      </c>
      <c r="H1022" s="404">
        <v>0</v>
      </c>
      <c r="I1022" s="404">
        <v>0</v>
      </c>
      <c r="J1022" s="404">
        <v>0</v>
      </c>
      <c r="K1022" s="404">
        <v>0</v>
      </c>
      <c r="L1022" s="404">
        <v>0</v>
      </c>
      <c r="M1022" s="404">
        <v>0</v>
      </c>
      <c r="N1022" s="404">
        <v>0</v>
      </c>
      <c r="O1022" s="404">
        <v>0</v>
      </c>
      <c r="P1022" s="401"/>
      <c r="Q1022" s="401">
        <f t="shared" si="42"/>
        <v>0</v>
      </c>
      <c r="R1022" s="3" t="str">
        <f>_xlfn.IFNA(VLOOKUP(Tabella1[[#This Row],[Nome]],'ROSE SQUADRE'!$N$3:$O$260,2,0),"")</f>
        <v>SESTO ASENSIO</v>
      </c>
      <c r="S1022" s="193">
        <f>SUM(Tabella1[[#This Row],[Gf]],Tabella1[[#This Row],[Rf]])</f>
        <v>0</v>
      </c>
      <c r="T1022" s="193">
        <v>1</v>
      </c>
      <c r="U1022" s="285">
        <f>IF(Tabella1[[#This Row],[N° FantaTit]]="","",Tabella1[[#This Row],[fanta voto]])</f>
        <v>5.5</v>
      </c>
      <c r="V1022" s="193">
        <f>SUM(Tabella1[[#This Row],[Voto]],(G1022*3),Q1022,P1022,O1022,-(N1022),(-M1022/2),(-L1022*2),(-H1022),(I1022*3),(-J1022*3),(K1022*3))</f>
        <v>5.5</v>
      </c>
      <c r="W1022" s="193"/>
      <c r="X1022" s="193" t="str">
        <f>IF(Tabella1[[#This Row],[Best 11]]=1,Tabella1[[#This Row],[fanta voto]],"")</f>
        <v/>
      </c>
      <c r="Z1022" s="193" t="str">
        <f>IF(Tabella1[[#This Row],[Best 11 MOD]]=1,Tabella1[[#This Row],[fanta voto]],"")</f>
        <v/>
      </c>
      <c r="AA1022" t="str">
        <f>CONCATENATE(Tabella1[[#This Row],[GG]],Tabella1[[#This Row],[Nome]])</f>
        <v>4Modric</v>
      </c>
      <c r="AB1022" t="str">
        <f t="shared" si="43"/>
        <v>4SESTO ASENSIO1</v>
      </c>
      <c r="AC1022" t="str">
        <f>_xlfn.CONCAT(Tabella1[[#This Row],[Ruolo]],Tabella1[[#This Row],[Gs]])</f>
        <v>C0</v>
      </c>
    </row>
    <row r="1023" spans="1:29" hidden="1" x14ac:dyDescent="0.3">
      <c r="A1023" s="14">
        <v>46277</v>
      </c>
      <c r="B1023" s="15">
        <v>4</v>
      </c>
      <c r="C1023" s="321" t="str">
        <f>_xlfn.XLOOKUP(Tabella1[[#This Row],[Nome]],Tabella4[NOME],Tabella4[SQUADRA],"")</f>
        <v>Como</v>
      </c>
      <c r="D1023" t="s">
        <v>162</v>
      </c>
      <c r="E1023" t="s">
        <v>699</v>
      </c>
      <c r="F1023" s="194">
        <v>6</v>
      </c>
      <c r="G1023" s="402">
        <v>0</v>
      </c>
      <c r="H1023" s="402">
        <v>0</v>
      </c>
      <c r="I1023" s="402">
        <v>0</v>
      </c>
      <c r="J1023" s="402">
        <v>0</v>
      </c>
      <c r="K1023" s="402">
        <v>0</v>
      </c>
      <c r="L1023" s="402">
        <v>0</v>
      </c>
      <c r="M1023" s="402">
        <v>0</v>
      </c>
      <c r="N1023" s="402">
        <v>0</v>
      </c>
      <c r="O1023" s="402">
        <v>0</v>
      </c>
      <c r="P1023" s="401"/>
      <c r="Q1023" s="401">
        <f t="shared" si="42"/>
        <v>0</v>
      </c>
      <c r="R1023" s="3" t="str">
        <f>_xlfn.IFNA(VLOOKUP(Tabella1[[#This Row],[Nome]],'ROSE SQUADRE'!$N$3:$O$260,2,0),"")</f>
        <v/>
      </c>
      <c r="S1023" s="193">
        <f>SUM(Tabella1[[#This Row],[Gf]],Tabella1[[#This Row],[Rf]])</f>
        <v>0</v>
      </c>
      <c r="T1023" s="193"/>
      <c r="U1023" s="285" t="str">
        <f>IF(Tabella1[[#This Row],[N° FantaTit]]="","",Tabella1[[#This Row],[fanta voto]])</f>
        <v/>
      </c>
      <c r="V1023" s="193">
        <f>SUM(Tabella1[[#This Row],[Voto]],(G1023*3),Q1023,P1023,O1023,-(N1023),(-M1023/2),(-L1023*2),(-H1023),(I1023*3),(-J1023*3),(K1023*3))</f>
        <v>6</v>
      </c>
      <c r="W1023" s="193"/>
      <c r="X1023" s="193" t="str">
        <f>IF(Tabella1[[#This Row],[Best 11]]=1,Tabella1[[#This Row],[fanta voto]],"")</f>
        <v/>
      </c>
      <c r="Z1023" s="193" t="str">
        <f>IF(Tabella1[[#This Row],[Best 11 MOD]]=1,Tabella1[[#This Row],[fanta voto]],"")</f>
        <v/>
      </c>
      <c r="AA1023" t="str">
        <f>CONCATENATE(Tabella1[[#This Row],[GG]],Tabella1[[#This Row],[Nome]])</f>
        <v>4Rodriguez Je.</v>
      </c>
      <c r="AB1023" t="str">
        <f t="shared" si="43"/>
        <v>4</v>
      </c>
      <c r="AC1023" t="str">
        <f>_xlfn.CONCAT(Tabella1[[#This Row],[Ruolo]],Tabella1[[#This Row],[Gs]])</f>
        <v>C0</v>
      </c>
    </row>
    <row r="1024" spans="1:29" hidden="1" x14ac:dyDescent="0.3">
      <c r="A1024" s="14">
        <v>46277</v>
      </c>
      <c r="B1024" s="15">
        <v>4</v>
      </c>
      <c r="C1024" s="321" t="str">
        <f>_xlfn.XLOOKUP(Tabella1[[#This Row],[Nome]],Tabella4[NOME],Tabella4[SQUADRA],"")</f>
        <v>Lazio</v>
      </c>
      <c r="D1024" s="330" t="s">
        <v>162</v>
      </c>
      <c r="E1024" s="330" t="s">
        <v>457</v>
      </c>
      <c r="F1024" s="331">
        <v>5.5</v>
      </c>
      <c r="G1024" s="404">
        <v>0</v>
      </c>
      <c r="H1024" s="404">
        <v>0</v>
      </c>
      <c r="I1024" s="404">
        <v>0</v>
      </c>
      <c r="J1024" s="404">
        <v>0</v>
      </c>
      <c r="K1024" s="404">
        <v>0</v>
      </c>
      <c r="L1024" s="404">
        <v>0</v>
      </c>
      <c r="M1024" s="404">
        <v>0</v>
      </c>
      <c r="N1024" s="404">
        <v>0</v>
      </c>
      <c r="O1024" s="404">
        <v>0</v>
      </c>
      <c r="P1024" s="401"/>
      <c r="Q1024" s="401">
        <f t="shared" si="42"/>
        <v>0</v>
      </c>
      <c r="R1024" s="3" t="str">
        <f>_xlfn.IFNA(VLOOKUP(Tabella1[[#This Row],[Nome]],'ROSE SQUADRE'!$N$3:$O$260,2,0),"")</f>
        <v>PESCICULINI</v>
      </c>
      <c r="S1024" s="193">
        <f>SUM(Tabella1[[#This Row],[Gf]],Tabella1[[#This Row],[Rf]])</f>
        <v>0</v>
      </c>
      <c r="T1024" s="193">
        <v>1</v>
      </c>
      <c r="U1024" s="285">
        <f>IF(Tabella1[[#This Row],[N° FantaTit]]="","",Tabella1[[#This Row],[fanta voto]])</f>
        <v>5.5</v>
      </c>
      <c r="V1024" s="193">
        <f>SUM(Tabella1[[#This Row],[Voto]],(G1024*3),Q1024,P1024,O1024,-(N1024),(-M1024/2),(-L1024*2),(-H1024),(I1024*3),(-J1024*3),(K1024*3))</f>
        <v>5.5</v>
      </c>
      <c r="W1024" s="193">
        <v>1</v>
      </c>
      <c r="X1024" s="193">
        <f>IF(Tabella1[[#This Row],[Best 11]]=1,Tabella1[[#This Row],[fanta voto]],"")</f>
        <v>5.5</v>
      </c>
      <c r="Z1024" s="193" t="str">
        <f>IF(Tabella1[[#This Row],[Best 11 MOD]]=1,Tabella1[[#This Row],[fanta voto]],"")</f>
        <v/>
      </c>
      <c r="AA1024" t="str">
        <f>CONCATENATE(Tabella1[[#This Row],[GG]],Tabella1[[#This Row],[Nome]])</f>
        <v>4Isaksen</v>
      </c>
      <c r="AB1024" t="str">
        <f t="shared" si="43"/>
        <v>4PESCICULINI1</v>
      </c>
      <c r="AC1024" t="str">
        <f>_xlfn.CONCAT(Tabella1[[#This Row],[Ruolo]],Tabella1[[#This Row],[Gs]])</f>
        <v>C0</v>
      </c>
    </row>
    <row r="1025" spans="1:29" x14ac:dyDescent="0.3">
      <c r="A1025" s="14">
        <v>46277</v>
      </c>
      <c r="B1025" s="15">
        <v>4</v>
      </c>
      <c r="C1025" s="321" t="str">
        <f>_xlfn.XLOOKUP(Tabella1[[#This Row],[Nome]],Tabella4[NOME],Tabella4[SQUADRA],"")</f>
        <v>Inter</v>
      </c>
      <c r="D1025" s="330" t="s">
        <v>162</v>
      </c>
      <c r="E1025" s="330" t="s">
        <v>276</v>
      </c>
      <c r="F1025" s="331">
        <v>7.5</v>
      </c>
      <c r="G1025" s="405">
        <v>1</v>
      </c>
      <c r="H1025" s="404">
        <v>0</v>
      </c>
      <c r="I1025" s="404">
        <v>0</v>
      </c>
      <c r="J1025" s="404">
        <v>0</v>
      </c>
      <c r="K1025" s="404">
        <v>0</v>
      </c>
      <c r="L1025" s="404">
        <v>0</v>
      </c>
      <c r="M1025" s="404">
        <v>0</v>
      </c>
      <c r="N1025" s="404">
        <v>0</v>
      </c>
      <c r="O1025" s="404">
        <v>0</v>
      </c>
      <c r="P1025" s="401"/>
      <c r="Q1025" s="401">
        <f t="shared" si="42"/>
        <v>0</v>
      </c>
      <c r="R1025" s="3" t="str">
        <f>_xlfn.IFNA(VLOOKUP(Tabella1[[#This Row],[Nome]],'ROSE SQUADRE'!$N$3:$O$260,2,0),"")</f>
        <v>PESCICULINI</v>
      </c>
      <c r="S1025" s="193">
        <f>SUM(Tabella1[[#This Row],[Gf]],Tabella1[[#This Row],[Rf]])</f>
        <v>1</v>
      </c>
      <c r="T1025" s="193">
        <v>1</v>
      </c>
      <c r="U1025" s="285">
        <f>IF(Tabella1[[#This Row],[N° FantaTit]]="","",Tabella1[[#This Row],[fanta voto]])</f>
        <v>10.5</v>
      </c>
      <c r="V1025" s="193">
        <f>SUM(Tabella1[[#This Row],[Voto]],(G1025*3),Q1025,P1025,O1025,-(N1025),(-M1025/2),(-L1025*2),(-H1025),(I1025*3),(-J1025*3),(K1025*3))</f>
        <v>10.5</v>
      </c>
      <c r="W1025" s="193">
        <v>1</v>
      </c>
      <c r="X1025" s="193">
        <f>IF(Tabella1[[#This Row],[Best 11]]=1,Tabella1[[#This Row],[fanta voto]],"")</f>
        <v>10.5</v>
      </c>
      <c r="Y1025">
        <v>1</v>
      </c>
      <c r="Z1025" s="193">
        <f>IF(Tabella1[[#This Row],[Best 11 MOD]]=1,Tabella1[[#This Row],[fanta voto]],"")</f>
        <v>10.5</v>
      </c>
      <c r="AA1025" t="str">
        <f>CONCATENATE(Tabella1[[#This Row],[GG]],Tabella1[[#This Row],[Nome]])</f>
        <v>4Barella</v>
      </c>
      <c r="AB1025" t="str">
        <f t="shared" si="43"/>
        <v>4PESCICULINI1</v>
      </c>
      <c r="AC1025" t="str">
        <f>_xlfn.CONCAT(Tabella1[[#This Row],[Ruolo]],Tabella1[[#This Row],[Gs]])</f>
        <v>C0</v>
      </c>
    </row>
    <row r="1026" spans="1:29" hidden="1" x14ac:dyDescent="0.3">
      <c r="A1026" s="14">
        <v>46277</v>
      </c>
      <c r="B1026" s="15">
        <v>4</v>
      </c>
      <c r="C1026" s="321" t="str">
        <f>_xlfn.XLOOKUP(Tabella1[[#This Row],[Nome]],Tabella4[NOME],Tabella4[SQUADRA],"")</f>
        <v>Milan</v>
      </c>
      <c r="D1026" t="s">
        <v>162</v>
      </c>
      <c r="E1026" t="s">
        <v>833</v>
      </c>
      <c r="F1026" s="194">
        <v>5.5</v>
      </c>
      <c r="G1026" s="402">
        <v>0</v>
      </c>
      <c r="H1026" s="402">
        <v>0</v>
      </c>
      <c r="I1026" s="402">
        <v>0</v>
      </c>
      <c r="J1026" s="402">
        <v>0</v>
      </c>
      <c r="K1026" s="402">
        <v>0</v>
      </c>
      <c r="L1026" s="402">
        <v>0</v>
      </c>
      <c r="M1026" s="402">
        <v>0</v>
      </c>
      <c r="N1026" s="402">
        <v>0</v>
      </c>
      <c r="O1026" s="402">
        <v>0</v>
      </c>
      <c r="P1026" s="401"/>
      <c r="Q1026" s="401">
        <f t="shared" si="42"/>
        <v>0</v>
      </c>
      <c r="R1026" s="3" t="str">
        <f>_xlfn.IFNA(VLOOKUP(Tabella1[[#This Row],[Nome]],'ROSE SQUADRE'!$N$3:$O$260,2,0),"")</f>
        <v>SESTO ASENSIO</v>
      </c>
      <c r="S1026" s="193">
        <f>SUM(Tabella1[[#This Row],[Gf]],Tabella1[[#This Row],[Rf]])</f>
        <v>0</v>
      </c>
      <c r="T1026" s="193">
        <v>1</v>
      </c>
      <c r="U1026" s="285">
        <f>IF(Tabella1[[#This Row],[N° FantaTit]]="","",Tabella1[[#This Row],[fanta voto]])</f>
        <v>5.5</v>
      </c>
      <c r="V1026" s="193">
        <f>SUM(Tabella1[[#This Row],[Voto]],(G1026*3),Q1026,P1026,O1026,-(N1026),(-M1026/2),(-L1026*2),(-H1026),(I1026*3),(-J1026*3),(K1026*3))</f>
        <v>5.5</v>
      </c>
      <c r="W1026" s="193"/>
      <c r="X1026" s="193" t="str">
        <f>IF(Tabella1[[#This Row],[Best 11]]=1,Tabella1[[#This Row],[fanta voto]],"")</f>
        <v/>
      </c>
      <c r="Z1026" s="193" t="str">
        <f>IF(Tabella1[[#This Row],[Best 11 MOD]]=1,Tabella1[[#This Row],[fanta voto]],"")</f>
        <v/>
      </c>
      <c r="AA1026" t="str">
        <f>CONCATENATE(Tabella1[[#This Row],[GG]],Tabella1[[#This Row],[Nome]])</f>
        <v>4Cissè A.</v>
      </c>
      <c r="AB1026" t="str">
        <f t="shared" si="43"/>
        <v>4SESTO ASENSIO1</v>
      </c>
      <c r="AC1026" t="str">
        <f>_xlfn.CONCAT(Tabella1[[#This Row],[Ruolo]],Tabella1[[#This Row],[Gs]])</f>
        <v>C0</v>
      </c>
    </row>
    <row r="1027" spans="1:29" hidden="1" x14ac:dyDescent="0.3">
      <c r="A1027" s="14">
        <v>46277</v>
      </c>
      <c r="B1027" s="15">
        <v>4</v>
      </c>
      <c r="C1027" s="321" t="str">
        <f>_xlfn.XLOOKUP(Tabella1[[#This Row],[Nome]],Tabella4[NOME],Tabella4[SQUADRA],"")</f>
        <v>Cagliari</v>
      </c>
      <c r="D1027" s="330" t="s">
        <v>162</v>
      </c>
      <c r="E1027" s="330" t="s">
        <v>352</v>
      </c>
      <c r="F1027" s="331">
        <v>5.5</v>
      </c>
      <c r="G1027" s="404">
        <v>0</v>
      </c>
      <c r="H1027" s="404">
        <v>0</v>
      </c>
      <c r="I1027" s="404">
        <v>0</v>
      </c>
      <c r="J1027" s="404">
        <v>0</v>
      </c>
      <c r="K1027" s="404">
        <v>0</v>
      </c>
      <c r="L1027" s="404">
        <v>0</v>
      </c>
      <c r="M1027" s="404">
        <v>0</v>
      </c>
      <c r="N1027" s="404">
        <v>0</v>
      </c>
      <c r="O1027" s="404">
        <v>0</v>
      </c>
      <c r="P1027" s="401"/>
      <c r="Q1027" s="401">
        <f t="shared" si="42"/>
        <v>0</v>
      </c>
      <c r="R1027" s="3" t="str">
        <f>_xlfn.IFNA(VLOOKUP(Tabella1[[#This Row],[Nome]],'ROSE SQUADRE'!$N$3:$O$260,2,0),"")</f>
        <v>FC INTERNAZIOANALE</v>
      </c>
      <c r="S1027" s="193">
        <f>SUM(Tabella1[[#This Row],[Gf]],Tabella1[[#This Row],[Rf]])</f>
        <v>0</v>
      </c>
      <c r="T1027" s="193">
        <v>1</v>
      </c>
      <c r="U1027" s="285">
        <f>IF(Tabella1[[#This Row],[N° FantaTit]]="","",Tabella1[[#This Row],[fanta voto]])</f>
        <v>5.5</v>
      </c>
      <c r="V1027" s="193">
        <f>SUM(Tabella1[[#This Row],[Voto]],(G1027*3),Q1027,P1027,O1027,-(N1027),(-M1027/2),(-L1027*2),(-H1027),(I1027*3),(-J1027*3),(K1027*3))</f>
        <v>5.5</v>
      </c>
      <c r="W1027" s="193"/>
      <c r="X1027" s="193" t="str">
        <f>IF(Tabella1[[#This Row],[Best 11]]=1,Tabella1[[#This Row],[fanta voto]],"")</f>
        <v/>
      </c>
      <c r="Z1027" s="193" t="str">
        <f>IF(Tabella1[[#This Row],[Best 11 MOD]]=1,Tabella1[[#This Row],[fanta voto]],"")</f>
        <v/>
      </c>
      <c r="AA1027" t="str">
        <f>CONCATENATE(Tabella1[[#This Row],[GG]],Tabella1[[#This Row],[Nome]])</f>
        <v>4Fazzini</v>
      </c>
      <c r="AB1027" t="str">
        <f t="shared" si="43"/>
        <v>4FC INTERNAZIOANALE1</v>
      </c>
      <c r="AC1027" t="str">
        <f>_xlfn.CONCAT(Tabella1[[#This Row],[Ruolo]],Tabella1[[#This Row],[Gs]])</f>
        <v>C0</v>
      </c>
    </row>
    <row r="1028" spans="1:29" hidden="1" x14ac:dyDescent="0.3">
      <c r="A1028" s="14">
        <v>46277</v>
      </c>
      <c r="B1028" s="15">
        <v>4</v>
      </c>
      <c r="C1028" s="321" t="str">
        <f>_xlfn.XLOOKUP(Tabella1[[#This Row],[Nome]],Tabella4[NOME],Tabella4[SQUADRA],"")</f>
        <v>Bologna</v>
      </c>
      <c r="D1028" t="s">
        <v>162</v>
      </c>
      <c r="E1028" t="s">
        <v>660</v>
      </c>
      <c r="F1028" s="194">
        <v>5.5</v>
      </c>
      <c r="G1028" s="402">
        <v>0</v>
      </c>
      <c r="H1028" s="402">
        <v>0</v>
      </c>
      <c r="I1028" s="402">
        <v>0</v>
      </c>
      <c r="J1028" s="402">
        <v>0</v>
      </c>
      <c r="K1028" s="402">
        <v>0</v>
      </c>
      <c r="L1028" s="402">
        <v>0</v>
      </c>
      <c r="M1028" s="402">
        <v>0</v>
      </c>
      <c r="N1028" s="402">
        <v>0</v>
      </c>
      <c r="O1028" s="402">
        <v>0</v>
      </c>
      <c r="P1028" s="401"/>
      <c r="Q1028" s="401">
        <f t="shared" si="42"/>
        <v>0</v>
      </c>
      <c r="R1028" s="3" t="str">
        <f>_xlfn.IFNA(VLOOKUP(Tabella1[[#This Row],[Nome]],'ROSE SQUADRE'!$N$3:$O$260,2,0),"")</f>
        <v>TRICCHETRACHT</v>
      </c>
      <c r="S1028" s="193">
        <f>SUM(Tabella1[[#This Row],[Gf]],Tabella1[[#This Row],[Rf]])</f>
        <v>0</v>
      </c>
      <c r="T1028" s="193">
        <v>1</v>
      </c>
      <c r="U1028" s="285">
        <f>IF(Tabella1[[#This Row],[N° FantaTit]]="","",Tabella1[[#This Row],[fanta voto]])</f>
        <v>5.5</v>
      </c>
      <c r="V1028" s="193">
        <f>SUM(Tabella1[[#This Row],[Voto]],(G1028*3),Q1028,P1028,O1028,-(N1028),(-M1028/2),(-L1028*2),(-H1028),(I1028*3),(-J1028*3),(K1028*3))</f>
        <v>5.5</v>
      </c>
      <c r="W1028" s="193"/>
      <c r="X1028" s="193" t="str">
        <f>IF(Tabella1[[#This Row],[Best 11]]=1,Tabella1[[#This Row],[fanta voto]],"")</f>
        <v/>
      </c>
      <c r="Z1028" s="193" t="str">
        <f>IF(Tabella1[[#This Row],[Best 11 MOD]]=1,Tabella1[[#This Row],[fanta voto]],"")</f>
        <v/>
      </c>
      <c r="AA1028" t="str">
        <f>CONCATENATE(Tabella1[[#This Row],[GG]],Tabella1[[#This Row],[Nome]])</f>
        <v>4Rowe</v>
      </c>
      <c r="AB1028" t="str">
        <f t="shared" si="43"/>
        <v>4TRICCHETRACHT1</v>
      </c>
      <c r="AC1028" t="str">
        <f>_xlfn.CONCAT(Tabella1[[#This Row],[Ruolo]],Tabella1[[#This Row],[Gs]])</f>
        <v>C0</v>
      </c>
    </row>
    <row r="1029" spans="1:29" hidden="1" x14ac:dyDescent="0.3">
      <c r="A1029" s="14">
        <v>46277</v>
      </c>
      <c r="B1029" s="15">
        <v>4</v>
      </c>
      <c r="C1029" s="321" t="str">
        <f>_xlfn.XLOOKUP(Tabella1[[#This Row],[Nome]],Tabella4[NOME],Tabella4[SQUADRA],"")</f>
        <v>Juventus</v>
      </c>
      <c r="D1029" s="330" t="s">
        <v>162</v>
      </c>
      <c r="E1029" s="330" t="s">
        <v>786</v>
      </c>
      <c r="F1029" s="331">
        <v>5.5</v>
      </c>
      <c r="G1029" s="404">
        <v>0</v>
      </c>
      <c r="H1029" s="404">
        <v>0</v>
      </c>
      <c r="I1029" s="404">
        <v>0</v>
      </c>
      <c r="J1029" s="404">
        <v>0</v>
      </c>
      <c r="K1029" s="404">
        <v>0</v>
      </c>
      <c r="L1029" s="404">
        <v>0</v>
      </c>
      <c r="M1029" s="404">
        <v>0</v>
      </c>
      <c r="N1029" s="404">
        <v>0</v>
      </c>
      <c r="O1029" s="404">
        <v>0</v>
      </c>
      <c r="P1029" s="401"/>
      <c r="Q1029" s="401">
        <f t="shared" si="42"/>
        <v>0</v>
      </c>
      <c r="R1029" s="3" t="str">
        <f>_xlfn.IFNA(VLOOKUP(Tabella1[[#This Row],[Nome]],'ROSE SQUADRE'!$N$3:$O$260,2,0),"")</f>
        <v>SAN GRIA</v>
      </c>
      <c r="S1029" s="193">
        <f>SUM(Tabella1[[#This Row],[Gf]],Tabella1[[#This Row],[Rf]])</f>
        <v>0</v>
      </c>
      <c r="T1029" s="193">
        <v>1</v>
      </c>
      <c r="U1029" s="285">
        <f>IF(Tabella1[[#This Row],[N° FantaTit]]="","",Tabella1[[#This Row],[fanta voto]])</f>
        <v>5.5</v>
      </c>
      <c r="V1029" s="193">
        <f>SUM(Tabella1[[#This Row],[Voto]],(G1029*3),Q1029,P1029,O1029,-(N1029),(-M1029/2),(-L1029*2),(-H1029),(I1029*3),(-J1029*3),(K1029*3))</f>
        <v>5.5</v>
      </c>
      <c r="W1029" s="193"/>
      <c r="X1029" s="193" t="str">
        <f>IF(Tabella1[[#This Row],[Best 11]]=1,Tabella1[[#This Row],[fanta voto]],"")</f>
        <v/>
      </c>
      <c r="Z1029" s="193" t="str">
        <f>IF(Tabella1[[#This Row],[Best 11 MOD]]=1,Tabella1[[#This Row],[fanta voto]],"")</f>
        <v/>
      </c>
      <c r="AA1029" t="str">
        <f>CONCATENATE(Tabella1[[#This Row],[GG]],Tabella1[[#This Row],[Nome]])</f>
        <v>4Conceicao</v>
      </c>
      <c r="AB1029" t="str">
        <f t="shared" si="43"/>
        <v>4SAN GRIA1</v>
      </c>
      <c r="AC1029" t="str">
        <f>_xlfn.CONCAT(Tabella1[[#This Row],[Ruolo]],Tabella1[[#This Row],[Gs]])</f>
        <v>C0</v>
      </c>
    </row>
    <row r="1030" spans="1:29" hidden="1" x14ac:dyDescent="0.3">
      <c r="A1030" s="14">
        <v>46277</v>
      </c>
      <c r="B1030" s="15">
        <v>4</v>
      </c>
      <c r="C1030" s="321" t="str">
        <f>_xlfn.XLOOKUP(Tabella1[[#This Row],[Nome]],Tabella4[NOME],Tabella4[SQUADRA],"")</f>
        <v>Milan</v>
      </c>
      <c r="D1030" t="s">
        <v>162</v>
      </c>
      <c r="E1030" t="s">
        <v>464</v>
      </c>
      <c r="F1030" s="194">
        <v>5.5</v>
      </c>
      <c r="G1030" s="402">
        <v>0</v>
      </c>
      <c r="H1030" s="402">
        <v>0</v>
      </c>
      <c r="I1030" s="402">
        <v>0</v>
      </c>
      <c r="J1030" s="402">
        <v>0</v>
      </c>
      <c r="K1030" s="402">
        <v>0</v>
      </c>
      <c r="L1030" s="402">
        <v>0</v>
      </c>
      <c r="M1030" s="402">
        <v>0</v>
      </c>
      <c r="N1030" s="402">
        <v>0</v>
      </c>
      <c r="O1030" s="402">
        <v>0</v>
      </c>
      <c r="P1030" s="401"/>
      <c r="Q1030" s="401">
        <f t="shared" si="42"/>
        <v>0</v>
      </c>
      <c r="R1030" s="3" t="str">
        <f>_xlfn.IFNA(VLOOKUP(Tabella1[[#This Row],[Nome]],'ROSE SQUADRE'!$N$3:$O$260,2,0),"")</f>
        <v>SHARK</v>
      </c>
      <c r="S1030" s="193">
        <f>SUM(Tabella1[[#This Row],[Gf]],Tabella1[[#This Row],[Rf]])</f>
        <v>0</v>
      </c>
      <c r="T1030" s="193"/>
      <c r="U1030" s="285" t="str">
        <f>IF(Tabella1[[#This Row],[N° FantaTit]]="","",Tabella1[[#This Row],[fanta voto]])</f>
        <v/>
      </c>
      <c r="V1030" s="193">
        <f>SUM(Tabella1[[#This Row],[Voto]],(G1030*3),Q1030,P1030,O1030,-(N1030),(-M1030/2),(-L1030*2),(-H1030),(I1030*3),(-J1030*3),(K1030*3))</f>
        <v>5.5</v>
      </c>
      <c r="W1030" s="193"/>
      <c r="X1030" s="193" t="str">
        <f>IF(Tabella1[[#This Row],[Best 11]]=1,Tabella1[[#This Row],[fanta voto]],"")</f>
        <v/>
      </c>
      <c r="Z1030" s="193" t="str">
        <f>IF(Tabella1[[#This Row],[Best 11 MOD]]=1,Tabella1[[#This Row],[fanta voto]],"")</f>
        <v/>
      </c>
      <c r="AA1030" t="str">
        <f>CONCATENATE(Tabella1[[#This Row],[GG]],Tabella1[[#This Row],[Nome]])</f>
        <v>4Loftus-Cheek</v>
      </c>
      <c r="AB1030" t="str">
        <f t="shared" si="43"/>
        <v>4SHARK</v>
      </c>
      <c r="AC1030" t="str">
        <f>_xlfn.CONCAT(Tabella1[[#This Row],[Ruolo]],Tabella1[[#This Row],[Gs]])</f>
        <v>C0</v>
      </c>
    </row>
    <row r="1031" spans="1:29" hidden="1" x14ac:dyDescent="0.3">
      <c r="A1031" s="14">
        <v>46277</v>
      </c>
      <c r="B1031" s="15">
        <v>4</v>
      </c>
      <c r="C1031" s="321" t="str">
        <f>_xlfn.XLOOKUP(Tabella1[[#This Row],[Nome]],Tabella4[NOME],Tabella4[SQUADRA],"")</f>
        <v>Milan</v>
      </c>
      <c r="D1031" t="s">
        <v>162</v>
      </c>
      <c r="E1031" t="s">
        <v>466</v>
      </c>
      <c r="F1031" s="194">
        <v>6.5</v>
      </c>
      <c r="G1031" s="402">
        <v>0</v>
      </c>
      <c r="H1031" s="402">
        <v>0</v>
      </c>
      <c r="I1031" s="402">
        <v>0</v>
      </c>
      <c r="J1031" s="402">
        <v>0</v>
      </c>
      <c r="K1031" s="402">
        <v>0</v>
      </c>
      <c r="L1031" s="402">
        <v>0</v>
      </c>
      <c r="M1031" s="402">
        <v>0</v>
      </c>
      <c r="N1031" s="402">
        <v>0</v>
      </c>
      <c r="O1031" s="402">
        <v>0</v>
      </c>
      <c r="P1031" s="401"/>
      <c r="Q1031" s="401">
        <f t="shared" si="42"/>
        <v>0</v>
      </c>
      <c r="R1031" s="3" t="str">
        <f>_xlfn.IFNA(VLOOKUP(Tabella1[[#This Row],[Nome]],'ROSE SQUADRE'!$N$3:$O$260,2,0),"")</f>
        <v>SHARK</v>
      </c>
      <c r="S1031" s="193">
        <f>SUM(Tabella1[[#This Row],[Gf]],Tabella1[[#This Row],[Rf]])</f>
        <v>0</v>
      </c>
      <c r="T1031" s="193">
        <v>1</v>
      </c>
      <c r="U1031" s="285">
        <f>IF(Tabella1[[#This Row],[N° FantaTit]]="","",Tabella1[[#This Row],[fanta voto]])</f>
        <v>6.5</v>
      </c>
      <c r="V1031" s="193">
        <f>SUM(Tabella1[[#This Row],[Voto]],(G1031*3),Q1031,P1031,O1031,-(N1031),(-M1031/2),(-L1031*2),(-H1031),(I1031*3),(-J1031*3),(K1031*3))</f>
        <v>6.5</v>
      </c>
      <c r="W1031" s="193">
        <v>1</v>
      </c>
      <c r="X1031" s="193">
        <f>IF(Tabella1[[#This Row],[Best 11]]=1,Tabella1[[#This Row],[fanta voto]],"")</f>
        <v>6.5</v>
      </c>
      <c r="Y1031">
        <v>1</v>
      </c>
      <c r="Z1031" s="193">
        <f>IF(Tabella1[[#This Row],[Best 11 MOD]]=1,Tabella1[[#This Row],[fanta voto]],"")</f>
        <v>6.5</v>
      </c>
      <c r="AA1031" t="str">
        <f>CONCATENATE(Tabella1[[#This Row],[GG]],Tabella1[[#This Row],[Nome]])</f>
        <v>4Musah</v>
      </c>
      <c r="AB1031" t="str">
        <f t="shared" si="43"/>
        <v>4SHARK1</v>
      </c>
      <c r="AC1031" t="str">
        <f>_xlfn.CONCAT(Tabella1[[#This Row],[Ruolo]],Tabella1[[#This Row],[Gs]])</f>
        <v>C0</v>
      </c>
    </row>
    <row r="1032" spans="1:29" hidden="1" x14ac:dyDescent="0.3">
      <c r="A1032" s="14">
        <v>46277</v>
      </c>
      <c r="B1032" s="15">
        <v>4</v>
      </c>
      <c r="C1032" s="321" t="str">
        <f>_xlfn.XLOOKUP(Tabella1[[#This Row],[Nome]],Tabella4[NOME],Tabella4[SQUADRA],"")</f>
        <v>Lecce</v>
      </c>
      <c r="D1032" s="330" t="s">
        <v>161</v>
      </c>
      <c r="E1032" s="330" t="s">
        <v>212</v>
      </c>
      <c r="F1032" s="331">
        <v>6.5</v>
      </c>
      <c r="G1032" s="404">
        <v>0</v>
      </c>
      <c r="H1032" s="404">
        <v>0</v>
      </c>
      <c r="I1032" s="404">
        <v>0</v>
      </c>
      <c r="J1032" s="404">
        <v>0</v>
      </c>
      <c r="K1032" s="404">
        <v>0</v>
      </c>
      <c r="L1032" s="404">
        <v>0</v>
      </c>
      <c r="M1032" s="404">
        <v>0</v>
      </c>
      <c r="N1032" s="404">
        <v>0</v>
      </c>
      <c r="O1032" s="404">
        <v>0</v>
      </c>
      <c r="P1032" s="401"/>
      <c r="Q1032" s="401">
        <f t="shared" si="42"/>
        <v>0</v>
      </c>
      <c r="R1032" s="3" t="str">
        <f>_xlfn.IFNA(VLOOKUP(Tabella1[[#This Row],[Nome]],'ROSE SQUADRE'!$N$3:$O$260,2,0),"")</f>
        <v>ATL. IMPROVVISATO</v>
      </c>
      <c r="S1032" s="193">
        <f>SUM(Tabella1[[#This Row],[Gf]],Tabella1[[#This Row],[Rf]])</f>
        <v>0</v>
      </c>
      <c r="T1032" s="193">
        <v>1</v>
      </c>
      <c r="U1032" s="285">
        <f>IF(Tabella1[[#This Row],[N° FantaTit]]="","",Tabella1[[#This Row],[fanta voto]])</f>
        <v>6.5</v>
      </c>
      <c r="V1032" s="193">
        <f>SUM(Tabella1[[#This Row],[Voto]],(G1032*3),Q1032,P1032,O1032,-(N1032),(-M1032/2),(-L1032*2),(-H1032),(I1032*3),(-J1032*3),(K1032*3))</f>
        <v>6.5</v>
      </c>
      <c r="W1032" s="193">
        <v>1</v>
      </c>
      <c r="X1032" s="193">
        <f>IF(Tabella1[[#This Row],[Best 11]]=1,Tabella1[[#This Row],[fanta voto]],"")</f>
        <v>6.5</v>
      </c>
      <c r="Y1032">
        <v>1</v>
      </c>
      <c r="Z1032" s="193">
        <f>IF(Tabella1[[#This Row],[Best 11 MOD]]=1,Tabella1[[#This Row],[fanta voto]],"")</f>
        <v>6.5</v>
      </c>
      <c r="AA1032" t="str">
        <f>CONCATENATE(Tabella1[[#This Row],[GG]],Tabella1[[#This Row],[Nome]])</f>
        <v>4Gallo</v>
      </c>
      <c r="AB1032" t="str">
        <f t="shared" si="43"/>
        <v>4ATL. IMPROVVISATO1</v>
      </c>
      <c r="AC1032" t="str">
        <f>_xlfn.CONCAT(Tabella1[[#This Row],[Ruolo]],Tabella1[[#This Row],[Gs]])</f>
        <v>D0</v>
      </c>
    </row>
    <row r="1033" spans="1:29" hidden="1" x14ac:dyDescent="0.3">
      <c r="A1033" s="14">
        <v>46277</v>
      </c>
      <c r="B1033" s="15">
        <v>4</v>
      </c>
      <c r="C1033" s="321" t="str">
        <f>_xlfn.XLOOKUP(Tabella1[[#This Row],[Nome]],Tabella4[NOME],Tabella4[SQUADRA],"")</f>
        <v>Napoli</v>
      </c>
      <c r="D1033" t="s">
        <v>162</v>
      </c>
      <c r="E1033" t="s">
        <v>268</v>
      </c>
      <c r="F1033" s="194">
        <v>5.5</v>
      </c>
      <c r="G1033" s="402">
        <v>0</v>
      </c>
      <c r="H1033" s="402">
        <v>0</v>
      </c>
      <c r="I1033" s="402">
        <v>0</v>
      </c>
      <c r="J1033" s="402">
        <v>0</v>
      </c>
      <c r="K1033" s="402">
        <v>0</v>
      </c>
      <c r="L1033" s="402">
        <v>0</v>
      </c>
      <c r="M1033" s="402">
        <v>0</v>
      </c>
      <c r="N1033" s="402">
        <v>0</v>
      </c>
      <c r="O1033" s="402">
        <v>0</v>
      </c>
      <c r="P1033" s="401"/>
      <c r="Q1033" s="401">
        <f t="shared" si="42"/>
        <v>0</v>
      </c>
      <c r="R1033" s="3" t="str">
        <f>_xlfn.IFNA(VLOOKUP(Tabella1[[#This Row],[Nome]],'ROSE SQUADRE'!$N$3:$O$260,2,0),"")</f>
        <v>PESCICULINI</v>
      </c>
      <c r="S1033" s="193">
        <f>SUM(Tabella1[[#This Row],[Gf]],Tabella1[[#This Row],[Rf]])</f>
        <v>0</v>
      </c>
      <c r="T1033" s="193">
        <v>1</v>
      </c>
      <c r="U1033" s="285">
        <f>IF(Tabella1[[#This Row],[N° FantaTit]]="","",Tabella1[[#This Row],[fanta voto]])</f>
        <v>5.5</v>
      </c>
      <c r="V1033" s="193">
        <f>SUM(Tabella1[[#This Row],[Voto]],(G1033*3),Q1033,P1033,O1033,-(N1033),(-M1033/2),(-L1033*2),(-H1033),(I1033*3),(-J1033*3),(K1033*3))</f>
        <v>5.5</v>
      </c>
      <c r="W1033" s="193"/>
      <c r="X1033" s="193" t="str">
        <f>IF(Tabella1[[#This Row],[Best 11]]=1,Tabella1[[#This Row],[fanta voto]],"")</f>
        <v/>
      </c>
      <c r="Z1033" s="193" t="str">
        <f>IF(Tabella1[[#This Row],[Best 11 MOD]]=1,Tabella1[[#This Row],[fanta voto]],"")</f>
        <v/>
      </c>
      <c r="AA1033" t="str">
        <f>CONCATENATE(Tabella1[[#This Row],[GG]],Tabella1[[#This Row],[Nome]])</f>
        <v>4Politano</v>
      </c>
      <c r="AB1033" t="str">
        <f t="shared" si="43"/>
        <v>4PESCICULINI1</v>
      </c>
      <c r="AC1033" t="str">
        <f>_xlfn.CONCAT(Tabella1[[#This Row],[Ruolo]],Tabella1[[#This Row],[Gs]])</f>
        <v>C0</v>
      </c>
    </row>
    <row r="1034" spans="1:29" hidden="1" x14ac:dyDescent="0.3">
      <c r="A1034" s="14">
        <v>46277</v>
      </c>
      <c r="B1034" s="15">
        <v>4</v>
      </c>
      <c r="C1034" s="321" t="str">
        <f>_xlfn.XLOOKUP(Tabella1[[#This Row],[Nome]],Tabella4[NOME],Tabella4[SQUADRA],"")</f>
        <v>Napoli</v>
      </c>
      <c r="D1034" t="s">
        <v>161</v>
      </c>
      <c r="E1034" t="s">
        <v>298</v>
      </c>
      <c r="F1034" s="194">
        <v>6.5</v>
      </c>
      <c r="G1034" s="402">
        <v>0</v>
      </c>
      <c r="H1034" s="402">
        <v>0</v>
      </c>
      <c r="I1034" s="402">
        <v>0</v>
      </c>
      <c r="J1034" s="402">
        <v>0</v>
      </c>
      <c r="K1034" s="402">
        <v>0</v>
      </c>
      <c r="L1034" s="402">
        <v>0</v>
      </c>
      <c r="M1034" s="402">
        <v>0</v>
      </c>
      <c r="N1034" s="402">
        <v>0</v>
      </c>
      <c r="O1034" s="402">
        <v>0</v>
      </c>
      <c r="P1034" s="401"/>
      <c r="Q1034" s="401">
        <f t="shared" si="42"/>
        <v>0</v>
      </c>
      <c r="R1034" s="3" t="str">
        <f>_xlfn.IFNA(VLOOKUP(Tabella1[[#This Row],[Nome]],'ROSE SQUADRE'!$N$3:$O$260,2,0),"")</f>
        <v>ATL. IMPROVVISATO</v>
      </c>
      <c r="S1034" s="193">
        <f>SUM(Tabella1[[#This Row],[Gf]],Tabella1[[#This Row],[Rf]])</f>
        <v>0</v>
      </c>
      <c r="T1034" s="193">
        <v>1</v>
      </c>
      <c r="U1034" s="285">
        <f>IF(Tabella1[[#This Row],[N° FantaTit]]="","",Tabella1[[#This Row],[fanta voto]])</f>
        <v>6.5</v>
      </c>
      <c r="V1034" s="193">
        <f>SUM(Tabella1[[#This Row],[Voto]],(G1034*3),Q1034,P1034,O1034,-(N1034),(-M1034/2),(-L1034*2),(-H1034),(I1034*3),(-J1034*3),(K1034*3))</f>
        <v>6.5</v>
      </c>
      <c r="W1034" s="193">
        <v>1</v>
      </c>
      <c r="X1034" s="193">
        <f>IF(Tabella1[[#This Row],[Best 11]]=1,Tabella1[[#This Row],[fanta voto]],"")</f>
        <v>6.5</v>
      </c>
      <c r="Y1034">
        <v>1</v>
      </c>
      <c r="Z1034" s="193">
        <f>IF(Tabella1[[#This Row],[Best 11 MOD]]=1,Tabella1[[#This Row],[fanta voto]],"")</f>
        <v>6.5</v>
      </c>
      <c r="AA1034" t="str">
        <f>CONCATENATE(Tabella1[[#This Row],[GG]],Tabella1[[#This Row],[Nome]])</f>
        <v>4Spinazzola</v>
      </c>
      <c r="AB1034" t="str">
        <f t="shared" si="43"/>
        <v>4ATL. IMPROVVISATO1</v>
      </c>
      <c r="AC1034" t="str">
        <f>_xlfn.CONCAT(Tabella1[[#This Row],[Ruolo]],Tabella1[[#This Row],[Gs]])</f>
        <v>D0</v>
      </c>
    </row>
    <row r="1035" spans="1:29" hidden="1" x14ac:dyDescent="0.3">
      <c r="A1035" s="14">
        <v>46277</v>
      </c>
      <c r="B1035" s="15">
        <v>4</v>
      </c>
      <c r="C1035" s="321" t="str">
        <f>_xlfn.XLOOKUP(Tabella1[[#This Row],[Nome]],Tabella4[NOME],Tabella4[SQUADRA],"")</f>
        <v>Atalanta</v>
      </c>
      <c r="D1035" s="330" t="s">
        <v>162</v>
      </c>
      <c r="E1035" s="330" t="s">
        <v>261</v>
      </c>
      <c r="F1035" s="331">
        <v>6.5</v>
      </c>
      <c r="G1035" s="404">
        <v>0</v>
      </c>
      <c r="H1035" s="404">
        <v>0</v>
      </c>
      <c r="I1035" s="404">
        <v>0</v>
      </c>
      <c r="J1035" s="404">
        <v>0</v>
      </c>
      <c r="K1035" s="404">
        <v>0</v>
      </c>
      <c r="L1035" s="404">
        <v>0</v>
      </c>
      <c r="M1035" s="404">
        <v>0</v>
      </c>
      <c r="N1035" s="404">
        <v>0</v>
      </c>
      <c r="O1035" s="404">
        <v>0</v>
      </c>
      <c r="P1035" s="401"/>
      <c r="Q1035" s="401">
        <f t="shared" si="42"/>
        <v>0</v>
      </c>
      <c r="R1035" s="3" t="str">
        <f>_xlfn.IFNA(VLOOKUP(Tabella1[[#This Row],[Nome]],'ROSE SQUADRE'!$N$3:$O$260,2,0),"")</f>
        <v>PESCICULINI</v>
      </c>
      <c r="S1035" s="193">
        <f>SUM(Tabella1[[#This Row],[Gf]],Tabella1[[#This Row],[Rf]])</f>
        <v>0</v>
      </c>
      <c r="T1035" s="193"/>
      <c r="U1035" s="285" t="str">
        <f>IF(Tabella1[[#This Row],[N° FantaTit]]="","",Tabella1[[#This Row],[fanta voto]])</f>
        <v/>
      </c>
      <c r="V1035" s="193">
        <f>SUM(Tabella1[[#This Row],[Voto]],(G1035*3),Q1035,P1035,O1035,-(N1035),(-M1035/2),(-L1035*2),(-H1035),(I1035*3),(-J1035*3),(K1035*3))</f>
        <v>6.5</v>
      </c>
      <c r="W1035" s="193">
        <v>1</v>
      </c>
      <c r="X1035" s="193">
        <f>IF(Tabella1[[#This Row],[Best 11]]=1,Tabella1[[#This Row],[fanta voto]],"")</f>
        <v>6.5</v>
      </c>
      <c r="Y1035">
        <v>1</v>
      </c>
      <c r="Z1035" s="193">
        <f>IF(Tabella1[[#This Row],[Best 11 MOD]]=1,Tabella1[[#This Row],[fanta voto]],"")</f>
        <v>6.5</v>
      </c>
      <c r="AA1035" t="str">
        <f>CONCATENATE(Tabella1[[#This Row],[GG]],Tabella1[[#This Row],[Nome]])</f>
        <v>4De Roon</v>
      </c>
      <c r="AB1035" t="str">
        <f t="shared" si="43"/>
        <v>4PESCICULINI</v>
      </c>
      <c r="AC1035" t="str">
        <f>_xlfn.CONCAT(Tabella1[[#This Row],[Ruolo]],Tabella1[[#This Row],[Gs]])</f>
        <v>C0</v>
      </c>
    </row>
    <row r="1036" spans="1:29" hidden="1" x14ac:dyDescent="0.3">
      <c r="A1036" s="14">
        <v>46277</v>
      </c>
      <c r="B1036" s="15">
        <v>4</v>
      </c>
      <c r="C1036" s="321" t="str">
        <f>_xlfn.XLOOKUP(Tabella1[[#This Row],[Nome]],Tabella4[NOME],Tabella4[SQUADRA],"")</f>
        <v>Inter</v>
      </c>
      <c r="D1036" t="s">
        <v>162</v>
      </c>
      <c r="E1036" t="s">
        <v>219</v>
      </c>
      <c r="F1036" s="194">
        <v>6</v>
      </c>
      <c r="G1036" s="402">
        <v>0</v>
      </c>
      <c r="H1036" s="402">
        <v>0</v>
      </c>
      <c r="I1036" s="402">
        <v>0</v>
      </c>
      <c r="J1036" s="402">
        <v>0</v>
      </c>
      <c r="K1036" s="402">
        <v>0</v>
      </c>
      <c r="L1036" s="402">
        <v>0</v>
      </c>
      <c r="M1036" s="403">
        <v>1</v>
      </c>
      <c r="N1036" s="402">
        <v>0</v>
      </c>
      <c r="O1036" s="402">
        <v>0</v>
      </c>
      <c r="P1036" s="401"/>
      <c r="Q1036" s="401">
        <f t="shared" si="42"/>
        <v>0</v>
      </c>
      <c r="R1036" s="3" t="str">
        <f>_xlfn.IFNA(VLOOKUP(Tabella1[[#This Row],[Nome]],'ROSE SQUADRE'!$N$3:$O$260,2,0),"")</f>
        <v/>
      </c>
      <c r="S1036" s="193">
        <f>SUM(Tabella1[[#This Row],[Gf]],Tabella1[[#This Row],[Rf]])</f>
        <v>0</v>
      </c>
      <c r="T1036" s="193"/>
      <c r="U1036" s="285" t="str">
        <f>IF(Tabella1[[#This Row],[N° FantaTit]]="","",Tabella1[[#This Row],[fanta voto]])</f>
        <v/>
      </c>
      <c r="V1036" s="193">
        <f>SUM(Tabella1[[#This Row],[Voto]],(G1036*3),Q1036,P1036,O1036,-(N1036),(-M1036/2),(-L1036*2),(-H1036),(I1036*3),(-J1036*3),(K1036*3))</f>
        <v>5.5</v>
      </c>
      <c r="W1036" s="193"/>
      <c r="X1036" s="193" t="str">
        <f>IF(Tabella1[[#This Row],[Best 11]]=1,Tabella1[[#This Row],[fanta voto]],"")</f>
        <v/>
      </c>
      <c r="Z1036" s="193" t="str">
        <f>IF(Tabella1[[#This Row],[Best 11 MOD]]=1,Tabella1[[#This Row],[fanta voto]],"")</f>
        <v/>
      </c>
      <c r="AA1036" t="str">
        <f>CONCATENATE(Tabella1[[#This Row],[GG]],Tabella1[[#This Row],[Nome]])</f>
        <v>4Mkhitaryan</v>
      </c>
      <c r="AB1036" t="str">
        <f t="shared" si="43"/>
        <v>4</v>
      </c>
      <c r="AC1036" t="str">
        <f>_xlfn.CONCAT(Tabella1[[#This Row],[Ruolo]],Tabella1[[#This Row],[Gs]])</f>
        <v>C0</v>
      </c>
    </row>
    <row r="1037" spans="1:29" hidden="1" x14ac:dyDescent="0.3">
      <c r="A1037" s="14">
        <v>46277</v>
      </c>
      <c r="B1037" s="15">
        <v>4</v>
      </c>
      <c r="C1037" s="321" t="str">
        <f>_xlfn.XLOOKUP(Tabella1[[#This Row],[Nome]],Tabella4[NOME],Tabella4[SQUADRA],"")</f>
        <v>Udinese</v>
      </c>
      <c r="D1037" s="330" t="s">
        <v>161</v>
      </c>
      <c r="E1037" s="330" t="s">
        <v>326</v>
      </c>
      <c r="F1037" s="331">
        <v>5.5</v>
      </c>
      <c r="G1037" s="404">
        <v>0</v>
      </c>
      <c r="H1037" s="404">
        <v>0</v>
      </c>
      <c r="I1037" s="404">
        <v>0</v>
      </c>
      <c r="J1037" s="404">
        <v>0</v>
      </c>
      <c r="K1037" s="404">
        <v>0</v>
      </c>
      <c r="L1037" s="404">
        <v>0</v>
      </c>
      <c r="M1037" s="404">
        <v>0</v>
      </c>
      <c r="N1037" s="404">
        <v>0</v>
      </c>
      <c r="O1037" s="404">
        <v>0</v>
      </c>
      <c r="P1037" s="401"/>
      <c r="Q1037" s="401">
        <f t="shared" si="42"/>
        <v>0</v>
      </c>
      <c r="R1037" s="3" t="str">
        <f>_xlfn.IFNA(VLOOKUP(Tabella1[[#This Row],[Nome]],'ROSE SQUADRE'!$N$3:$O$260,2,0),"")</f>
        <v>PARTIZAN DEGRADO</v>
      </c>
      <c r="S1037" s="193">
        <f>SUM(Tabella1[[#This Row],[Gf]],Tabella1[[#This Row],[Rf]])</f>
        <v>0</v>
      </c>
      <c r="T1037" s="193"/>
      <c r="U1037" s="285" t="str">
        <f>IF(Tabella1[[#This Row],[N° FantaTit]]="","",Tabella1[[#This Row],[fanta voto]])</f>
        <v/>
      </c>
      <c r="V1037" s="193">
        <f>SUM(Tabella1[[#This Row],[Voto]],(G1037*3),Q1037,P1037,O1037,-(N1037),(-M1037/2),(-L1037*2),(-H1037),(I1037*3),(-J1037*3),(K1037*3))</f>
        <v>5.5</v>
      </c>
      <c r="W1037" s="193"/>
      <c r="X1037" s="193" t="str">
        <f>IF(Tabella1[[#This Row],[Best 11]]=1,Tabella1[[#This Row],[fanta voto]],"")</f>
        <v/>
      </c>
      <c r="Z1037" s="193" t="str">
        <f>IF(Tabella1[[#This Row],[Best 11 MOD]]=1,Tabella1[[#This Row],[fanta voto]],"")</f>
        <v/>
      </c>
      <c r="AA1037" t="str">
        <f>CONCATENATE(Tabella1[[#This Row],[GG]],Tabella1[[#This Row],[Nome]])</f>
        <v>4Vojvoda</v>
      </c>
      <c r="AB1037" t="str">
        <f t="shared" si="43"/>
        <v>4PARTIZAN DEGRADO</v>
      </c>
      <c r="AC1037" t="str">
        <f>_xlfn.CONCAT(Tabella1[[#This Row],[Ruolo]],Tabella1[[#This Row],[Gs]])</f>
        <v>D0</v>
      </c>
    </row>
    <row r="1038" spans="1:29" hidden="1" x14ac:dyDescent="0.3">
      <c r="A1038" s="14">
        <v>46277</v>
      </c>
      <c r="B1038" s="15">
        <v>4</v>
      </c>
      <c r="C1038" s="321" t="str">
        <f>_xlfn.XLOOKUP(Tabella1[[#This Row],[Nome]],Tabella4[NOME],Tabella4[SQUADRA],"")</f>
        <v>Cagliari</v>
      </c>
      <c r="D1038" s="330" t="s">
        <v>162</v>
      </c>
      <c r="E1038" s="330" t="s">
        <v>673</v>
      </c>
      <c r="F1038" s="331">
        <v>7</v>
      </c>
      <c r="G1038" s="404">
        <v>0</v>
      </c>
      <c r="H1038" s="404">
        <v>0</v>
      </c>
      <c r="I1038" s="404">
        <v>0</v>
      </c>
      <c r="J1038" s="404">
        <v>0</v>
      </c>
      <c r="K1038" s="404">
        <v>0</v>
      </c>
      <c r="L1038" s="404">
        <v>0</v>
      </c>
      <c r="M1038" s="404">
        <v>0</v>
      </c>
      <c r="N1038" s="404">
        <v>0</v>
      </c>
      <c r="O1038" s="404">
        <v>0</v>
      </c>
      <c r="P1038" s="401"/>
      <c r="Q1038" s="401">
        <f t="shared" si="42"/>
        <v>0</v>
      </c>
      <c r="R1038" s="3" t="str">
        <f>_xlfn.IFNA(VLOOKUP(Tabella1[[#This Row],[Nome]],'ROSE SQUADRE'!$N$3:$O$260,2,0),"")</f>
        <v>PARTIZAN DEGRADO</v>
      </c>
      <c r="S1038" s="193">
        <f>SUM(Tabella1[[#This Row],[Gf]],Tabella1[[#This Row],[Rf]])</f>
        <v>0</v>
      </c>
      <c r="T1038" s="193"/>
      <c r="U1038" s="285" t="str">
        <f>IF(Tabella1[[#This Row],[N° FantaTit]]="","",Tabella1[[#This Row],[fanta voto]])</f>
        <v/>
      </c>
      <c r="V1038" s="193">
        <f>SUM(Tabella1[[#This Row],[Voto]],(G1038*3),Q1038,P1038,O1038,-(N1038),(-M1038/2),(-L1038*2),(-H1038),(I1038*3),(-J1038*3),(K1038*3))</f>
        <v>7</v>
      </c>
      <c r="W1038" s="193">
        <v>1</v>
      </c>
      <c r="X1038" s="193">
        <f>IF(Tabella1[[#This Row],[Best 11]]=1,Tabella1[[#This Row],[fanta voto]],"")</f>
        <v>7</v>
      </c>
      <c r="Y1038">
        <v>1</v>
      </c>
      <c r="Z1038" s="193">
        <f>IF(Tabella1[[#This Row],[Best 11 MOD]]=1,Tabella1[[#This Row],[fanta voto]],"")</f>
        <v>7</v>
      </c>
      <c r="AA1038" t="str">
        <f>CONCATENATE(Tabella1[[#This Row],[GG]],Tabella1[[#This Row],[Nome]])</f>
        <v>4Romano</v>
      </c>
      <c r="AB1038" t="str">
        <f t="shared" si="43"/>
        <v>4PARTIZAN DEGRADO</v>
      </c>
      <c r="AC1038" t="str">
        <f>_xlfn.CONCAT(Tabella1[[#This Row],[Ruolo]],Tabella1[[#This Row],[Gs]])</f>
        <v>C0</v>
      </c>
    </row>
    <row r="1039" spans="1:29" hidden="1" x14ac:dyDescent="0.3">
      <c r="A1039" s="14">
        <v>46277</v>
      </c>
      <c r="B1039" s="15">
        <v>4</v>
      </c>
      <c r="C1039" s="321" t="str">
        <f>_xlfn.XLOOKUP(Tabella1[[#This Row],[Nome]],Tabella4[NOME],Tabella4[SQUADRA],"")</f>
        <v>Fiorentina</v>
      </c>
      <c r="D1039" t="s">
        <v>162</v>
      </c>
      <c r="E1039" t="s">
        <v>717</v>
      </c>
      <c r="F1039" s="194">
        <v>6.5</v>
      </c>
      <c r="G1039" s="402">
        <v>0</v>
      </c>
      <c r="H1039" s="402">
        <v>0</v>
      </c>
      <c r="I1039" s="402">
        <v>0</v>
      </c>
      <c r="J1039" s="402">
        <v>0</v>
      </c>
      <c r="K1039" s="402">
        <v>0</v>
      </c>
      <c r="L1039" s="402">
        <v>0</v>
      </c>
      <c r="M1039" s="402">
        <v>0</v>
      </c>
      <c r="N1039" s="402">
        <v>0</v>
      </c>
      <c r="O1039" s="402">
        <v>0</v>
      </c>
      <c r="P1039" s="401"/>
      <c r="Q1039" s="401">
        <f t="shared" si="42"/>
        <v>0</v>
      </c>
      <c r="R1039" s="3" t="str">
        <f>_xlfn.IFNA(VLOOKUP(Tabella1[[#This Row],[Nome]],'ROSE SQUADRE'!$N$3:$O$260,2,0),"")</f>
        <v>FC INTERNAZIOANALE</v>
      </c>
      <c r="S1039" s="193">
        <f>SUM(Tabella1[[#This Row],[Gf]],Tabella1[[#This Row],[Rf]])</f>
        <v>0</v>
      </c>
      <c r="T1039" s="193">
        <v>1</v>
      </c>
      <c r="U1039" s="285">
        <f>IF(Tabella1[[#This Row],[N° FantaTit]]="","",Tabella1[[#This Row],[fanta voto]])</f>
        <v>6.5</v>
      </c>
      <c r="V1039" s="193">
        <f>SUM(Tabella1[[#This Row],[Voto]],(G1039*3),Q1039,P1039,O1039,-(N1039),(-M1039/2),(-L1039*2),(-H1039),(I1039*3),(-J1039*3),(K1039*3))</f>
        <v>6.5</v>
      </c>
      <c r="W1039" s="193">
        <v>1</v>
      </c>
      <c r="X1039" s="193">
        <f>IF(Tabella1[[#This Row],[Best 11]]=1,Tabella1[[#This Row],[fanta voto]],"")</f>
        <v>6.5</v>
      </c>
      <c r="Y1039">
        <v>1</v>
      </c>
      <c r="Z1039" s="193">
        <f>IF(Tabella1[[#This Row],[Best 11 MOD]]=1,Tabella1[[#This Row],[fanta voto]],"")</f>
        <v>6.5</v>
      </c>
      <c r="AA1039" t="str">
        <f>CONCATENATE(Tabella1[[#This Row],[GG]],Tabella1[[#This Row],[Nome]])</f>
        <v>4Ndour</v>
      </c>
      <c r="AB1039" t="str">
        <f t="shared" si="43"/>
        <v>4FC INTERNAZIOANALE1</v>
      </c>
      <c r="AC1039" t="str">
        <f>_xlfn.CONCAT(Tabella1[[#This Row],[Ruolo]],Tabella1[[#This Row],[Gs]])</f>
        <v>C0</v>
      </c>
    </row>
    <row r="1040" spans="1:29" x14ac:dyDescent="0.3">
      <c r="A1040" s="14">
        <v>46277</v>
      </c>
      <c r="B1040" s="15">
        <v>4</v>
      </c>
      <c r="C1040" s="321" t="str">
        <f>_xlfn.XLOOKUP(Tabella1[[#This Row],[Nome]],Tabella4[NOME],Tabella4[SQUADRA],"")</f>
        <v>Lazio</v>
      </c>
      <c r="D1040" t="s">
        <v>162</v>
      </c>
      <c r="E1040" t="s">
        <v>330</v>
      </c>
      <c r="F1040" s="194">
        <v>7</v>
      </c>
      <c r="G1040" s="403">
        <v>1</v>
      </c>
      <c r="H1040" s="402">
        <v>0</v>
      </c>
      <c r="I1040" s="402">
        <v>0</v>
      </c>
      <c r="J1040" s="402">
        <v>0</v>
      </c>
      <c r="K1040" s="402">
        <v>0</v>
      </c>
      <c r="L1040" s="402">
        <v>0</v>
      </c>
      <c r="M1040" s="402">
        <v>0</v>
      </c>
      <c r="N1040" s="402">
        <v>0</v>
      </c>
      <c r="O1040" s="402">
        <v>0</v>
      </c>
      <c r="P1040" s="401"/>
      <c r="Q1040" s="401">
        <f t="shared" si="42"/>
        <v>0</v>
      </c>
      <c r="R1040" s="3" t="str">
        <f>_xlfn.IFNA(VLOOKUP(Tabella1[[#This Row],[Nome]],'ROSE SQUADRE'!$N$3:$O$260,2,0),"")</f>
        <v>ATL. IMPROVVISATO</v>
      </c>
      <c r="S1040" s="193">
        <f>SUM(Tabella1[[#This Row],[Gf]],Tabella1[[#This Row],[Rf]])</f>
        <v>1</v>
      </c>
      <c r="T1040" s="193">
        <v>1</v>
      </c>
      <c r="U1040" s="285">
        <f>IF(Tabella1[[#This Row],[N° FantaTit]]="","",Tabella1[[#This Row],[fanta voto]])</f>
        <v>10</v>
      </c>
      <c r="V1040" s="193">
        <f>SUM(Tabella1[[#This Row],[Voto]],(G1040*3),Q1040,P1040,O1040,-(N1040),(-M1040/2),(-L1040*2),(-H1040),(I1040*3),(-J1040*3),(K1040*3))</f>
        <v>10</v>
      </c>
      <c r="W1040" s="193">
        <v>1</v>
      </c>
      <c r="X1040" s="193">
        <f>IF(Tabella1[[#This Row],[Best 11]]=1,Tabella1[[#This Row],[fanta voto]],"")</f>
        <v>10</v>
      </c>
      <c r="Y1040">
        <v>1</v>
      </c>
      <c r="Z1040" s="193">
        <f>IF(Tabella1[[#This Row],[Best 11 MOD]]=1,Tabella1[[#This Row],[fanta voto]],"")</f>
        <v>10</v>
      </c>
      <c r="AA1040" t="str">
        <f>CONCATENATE(Tabella1[[#This Row],[GG]],Tabella1[[#This Row],[Nome]])</f>
        <v>4Cancellieri</v>
      </c>
      <c r="AB1040" t="str">
        <f t="shared" si="43"/>
        <v>4ATL. IMPROVVISATO1</v>
      </c>
      <c r="AC1040" t="str">
        <f>_xlfn.CONCAT(Tabella1[[#This Row],[Ruolo]],Tabella1[[#This Row],[Gs]])</f>
        <v>C0</v>
      </c>
    </row>
    <row r="1041" spans="1:29" hidden="1" x14ac:dyDescent="0.3">
      <c r="A1041" s="14">
        <v>46277</v>
      </c>
      <c r="B1041" s="15">
        <v>4</v>
      </c>
      <c r="C1041" s="321" t="str">
        <f>_xlfn.XLOOKUP(Tabella1[[#This Row],[Nome]],Tabella4[NOME],Tabella4[SQUADRA],"")</f>
        <v>Inter</v>
      </c>
      <c r="D1041" t="s">
        <v>162</v>
      </c>
      <c r="E1041" t="s">
        <v>775</v>
      </c>
      <c r="F1041" s="194">
        <v>7</v>
      </c>
      <c r="G1041" s="402">
        <v>0</v>
      </c>
      <c r="H1041" s="402">
        <v>0</v>
      </c>
      <c r="I1041" s="402">
        <v>0</v>
      </c>
      <c r="J1041" s="402">
        <v>0</v>
      </c>
      <c r="K1041" s="402">
        <v>0</v>
      </c>
      <c r="L1041" s="402">
        <v>0</v>
      </c>
      <c r="M1041" s="402">
        <v>0</v>
      </c>
      <c r="N1041" s="402">
        <v>0</v>
      </c>
      <c r="O1041" s="403">
        <v>1</v>
      </c>
      <c r="P1041" s="401"/>
      <c r="Q1041" s="401">
        <f t="shared" si="42"/>
        <v>0</v>
      </c>
      <c r="R1041" s="3" t="str">
        <f>_xlfn.IFNA(VLOOKUP(Tabella1[[#This Row],[Nome]],'ROSE SQUADRE'!$N$3:$O$260,2,0),"")</f>
        <v>ATL. IMPROVVISATO</v>
      </c>
      <c r="S1041" s="193">
        <f>SUM(Tabella1[[#This Row],[Gf]],Tabella1[[#This Row],[Rf]])</f>
        <v>0</v>
      </c>
      <c r="T1041" s="193">
        <v>1</v>
      </c>
      <c r="U1041" s="285">
        <f>IF(Tabella1[[#This Row],[N° FantaTit]]="","",Tabella1[[#This Row],[fanta voto]])</f>
        <v>8</v>
      </c>
      <c r="V1041" s="193">
        <f>SUM(Tabella1[[#This Row],[Voto]],(G1041*3),Q1041,P1041,O1041,-(N1041),(-M1041/2),(-L1041*2),(-H1041),(I1041*3),(-J1041*3),(K1041*3))</f>
        <v>8</v>
      </c>
      <c r="W1041" s="193">
        <v>1</v>
      </c>
      <c r="X1041" s="193">
        <f>IF(Tabella1[[#This Row],[Best 11]]=1,Tabella1[[#This Row],[fanta voto]],"")</f>
        <v>8</v>
      </c>
      <c r="Y1041">
        <v>1</v>
      </c>
      <c r="Z1041" s="193">
        <f>IF(Tabella1[[#This Row],[Best 11 MOD]]=1,Tabella1[[#This Row],[fanta voto]],"")</f>
        <v>8</v>
      </c>
      <c r="AA1041" t="str">
        <f>CONCATENATE(Tabella1[[#This Row],[GG]],Tabella1[[#This Row],[Nome]])</f>
        <v>4Zielinski</v>
      </c>
      <c r="AB1041" t="str">
        <f t="shared" si="43"/>
        <v>4ATL. IMPROVVISATO1</v>
      </c>
      <c r="AC1041" t="str">
        <f>_xlfn.CONCAT(Tabella1[[#This Row],[Ruolo]],Tabella1[[#This Row],[Gs]])</f>
        <v>C0</v>
      </c>
    </row>
    <row r="1042" spans="1:29" hidden="1" x14ac:dyDescent="0.3">
      <c r="A1042" s="14">
        <v>46277</v>
      </c>
      <c r="B1042" s="15">
        <v>4</v>
      </c>
      <c r="C1042" s="321" t="str">
        <f>_xlfn.XLOOKUP(Tabella1[[#This Row],[Nome]],Tabella4[NOME],Tabella4[SQUADRA],"")</f>
        <v>Frosinone</v>
      </c>
      <c r="D1042" s="330" t="s">
        <v>162</v>
      </c>
      <c r="E1042" s="330" t="s">
        <v>734</v>
      </c>
      <c r="F1042" s="331">
        <v>6.5</v>
      </c>
      <c r="G1042" s="404">
        <v>0</v>
      </c>
      <c r="H1042" s="404">
        <v>0</v>
      </c>
      <c r="I1042" s="404">
        <v>0</v>
      </c>
      <c r="J1042" s="404">
        <v>0</v>
      </c>
      <c r="K1042" s="404">
        <v>0</v>
      </c>
      <c r="L1042" s="404">
        <v>0</v>
      </c>
      <c r="M1042" s="404">
        <v>0</v>
      </c>
      <c r="N1042" s="404">
        <v>0</v>
      </c>
      <c r="O1042" s="404">
        <v>0</v>
      </c>
      <c r="P1042" s="401"/>
      <c r="Q1042" s="401">
        <f t="shared" si="42"/>
        <v>0</v>
      </c>
      <c r="R1042" s="3" t="str">
        <f>_xlfn.IFNA(VLOOKUP(Tabella1[[#This Row],[Nome]],'ROSE SQUADRE'!$N$3:$O$260,2,0),"")</f>
        <v>TRICCHETRACHT</v>
      </c>
      <c r="S1042" s="193">
        <f>SUM(Tabella1[[#This Row],[Gf]],Tabella1[[#This Row],[Rf]])</f>
        <v>0</v>
      </c>
      <c r="T1042" s="193">
        <v>1</v>
      </c>
      <c r="U1042" s="285">
        <f>IF(Tabella1[[#This Row],[N° FantaTit]]="","",Tabella1[[#This Row],[fanta voto]])</f>
        <v>6.5</v>
      </c>
      <c r="V1042" s="193">
        <f>SUM(Tabella1[[#This Row],[Voto]],(G1042*3),Q1042,P1042,O1042,-(N1042),(-M1042/2),(-L1042*2),(-H1042),(I1042*3),(-J1042*3),(K1042*3))</f>
        <v>6.5</v>
      </c>
      <c r="W1042" s="193">
        <v>1</v>
      </c>
      <c r="X1042" s="193">
        <f>IF(Tabella1[[#This Row],[Best 11]]=1,Tabella1[[#This Row],[fanta voto]],"")</f>
        <v>6.5</v>
      </c>
      <c r="Y1042">
        <v>1</v>
      </c>
      <c r="Z1042" s="193">
        <f>IF(Tabella1[[#This Row],[Best 11 MOD]]=1,Tabella1[[#This Row],[fanta voto]],"")</f>
        <v>6.5</v>
      </c>
      <c r="AA1042" t="str">
        <f>CONCATENATE(Tabella1[[#This Row],[GG]],Tabella1[[#This Row],[Nome]])</f>
        <v>4Calò</v>
      </c>
      <c r="AB1042" t="str">
        <f t="shared" si="43"/>
        <v>4TRICCHETRACHT1</v>
      </c>
      <c r="AC1042" t="str">
        <f>_xlfn.CONCAT(Tabella1[[#This Row],[Ruolo]],Tabella1[[#This Row],[Gs]])</f>
        <v>C0</v>
      </c>
    </row>
    <row r="1043" spans="1:29" hidden="1" x14ac:dyDescent="0.3">
      <c r="A1043" s="14">
        <v>46277</v>
      </c>
      <c r="B1043" s="15">
        <v>4</v>
      </c>
      <c r="C1043" s="321" t="str">
        <f>_xlfn.XLOOKUP(Tabella1[[#This Row],[Nome]],Tabella4[NOME],Tabella4[SQUADRA],"")</f>
        <v>Como</v>
      </c>
      <c r="D1043" s="330" t="s">
        <v>162</v>
      </c>
      <c r="E1043" s="330" t="s">
        <v>693</v>
      </c>
      <c r="F1043" s="331">
        <v>6</v>
      </c>
      <c r="G1043" s="404">
        <v>0</v>
      </c>
      <c r="H1043" s="404">
        <v>0</v>
      </c>
      <c r="I1043" s="404">
        <v>0</v>
      </c>
      <c r="J1043" s="404">
        <v>0</v>
      </c>
      <c r="K1043" s="404">
        <v>0</v>
      </c>
      <c r="L1043" s="404">
        <v>0</v>
      </c>
      <c r="M1043" s="404">
        <v>0</v>
      </c>
      <c r="N1043" s="404">
        <v>0</v>
      </c>
      <c r="O1043" s="404">
        <v>0</v>
      </c>
      <c r="P1043" s="401"/>
      <c r="Q1043" s="401">
        <f t="shared" si="42"/>
        <v>0</v>
      </c>
      <c r="R1043" s="3" t="str">
        <f>_xlfn.IFNA(VLOOKUP(Tabella1[[#This Row],[Nome]],'ROSE SQUADRE'!$N$3:$O$260,2,0),"")</f>
        <v>SESTO ASENSIO</v>
      </c>
      <c r="S1043" s="193">
        <f>SUM(Tabella1[[#This Row],[Gf]],Tabella1[[#This Row],[Rf]])</f>
        <v>0</v>
      </c>
      <c r="T1043" s="193">
        <v>1</v>
      </c>
      <c r="U1043" s="285">
        <f>IF(Tabella1[[#This Row],[N° FantaTit]]="","",Tabella1[[#This Row],[fanta voto]])</f>
        <v>6</v>
      </c>
      <c r="V1043" s="193">
        <f>SUM(Tabella1[[#This Row],[Voto]],(G1043*3),Q1043,P1043,O1043,-(N1043),(-M1043/2),(-L1043*2),(-H1043),(I1043*3),(-J1043*3),(K1043*3))</f>
        <v>6</v>
      </c>
      <c r="W1043" s="193">
        <v>1</v>
      </c>
      <c r="X1043" s="193">
        <f>IF(Tabella1[[#This Row],[Best 11]]=1,Tabella1[[#This Row],[fanta voto]],"")</f>
        <v>6</v>
      </c>
      <c r="Y1043">
        <v>1</v>
      </c>
      <c r="Z1043" s="193">
        <f>IF(Tabella1[[#This Row],[Best 11 MOD]]=1,Tabella1[[#This Row],[fanta voto]],"")</f>
        <v>6</v>
      </c>
      <c r="AA1043" t="str">
        <f>CONCATENATE(Tabella1[[#This Row],[GG]],Tabella1[[#This Row],[Nome]])</f>
        <v>4Baturina</v>
      </c>
      <c r="AB1043" t="str">
        <f t="shared" si="43"/>
        <v>4SESTO ASENSIO1</v>
      </c>
      <c r="AC1043" t="str">
        <f>_xlfn.CONCAT(Tabella1[[#This Row],[Ruolo]],Tabella1[[#This Row],[Gs]])</f>
        <v>C0</v>
      </c>
    </row>
    <row r="1044" spans="1:29" hidden="1" x14ac:dyDescent="0.3">
      <c r="A1044" s="14">
        <v>46277</v>
      </c>
      <c r="B1044" s="15">
        <v>4</v>
      </c>
      <c r="C1044" s="321" t="str">
        <f>_xlfn.XLOOKUP(Tabella1[[#This Row],[Nome]],Tabella4[NOME],Tabella4[SQUADRA],"")</f>
        <v>Napoli</v>
      </c>
      <c r="D1044" s="330" t="s">
        <v>162</v>
      </c>
      <c r="E1044" s="330" t="s">
        <v>864</v>
      </c>
      <c r="F1044" s="331">
        <v>6.5</v>
      </c>
      <c r="G1044" s="404">
        <v>0</v>
      </c>
      <c r="H1044" s="404">
        <v>0</v>
      </c>
      <c r="I1044" s="404">
        <v>0</v>
      </c>
      <c r="J1044" s="404">
        <v>0</v>
      </c>
      <c r="K1044" s="404">
        <v>0</v>
      </c>
      <c r="L1044" s="404">
        <v>0</v>
      </c>
      <c r="M1044" s="404">
        <v>0</v>
      </c>
      <c r="N1044" s="404">
        <v>0</v>
      </c>
      <c r="O1044" s="404">
        <v>0</v>
      </c>
      <c r="P1044" s="401"/>
      <c r="Q1044" s="401">
        <f t="shared" si="42"/>
        <v>0</v>
      </c>
      <c r="R1044" s="3" t="str">
        <f>_xlfn.IFNA(VLOOKUP(Tabella1[[#This Row],[Nome]],'ROSE SQUADRE'!$N$3:$O$260,2,0),"")</f>
        <v>FC INTERNAZIOANALE</v>
      </c>
      <c r="S1044" s="193">
        <f>SUM(Tabella1[[#This Row],[Gf]],Tabella1[[#This Row],[Rf]])</f>
        <v>0</v>
      </c>
      <c r="T1044" s="193"/>
      <c r="U1044" s="285" t="str">
        <f>IF(Tabella1[[#This Row],[N° FantaTit]]="","",Tabella1[[#This Row],[fanta voto]])</f>
        <v/>
      </c>
      <c r="V1044" s="193">
        <f>SUM(Tabella1[[#This Row],[Voto]],(G1044*3),Q1044,P1044,O1044,-(N1044),(-M1044/2),(-L1044*2),(-H1044),(I1044*3),(-J1044*3),(K1044*3))</f>
        <v>6.5</v>
      </c>
      <c r="W1044" s="193">
        <v>1</v>
      </c>
      <c r="X1044" s="193">
        <f>IF(Tabella1[[#This Row],[Best 11]]=1,Tabella1[[#This Row],[fanta voto]],"")</f>
        <v>6.5</v>
      </c>
      <c r="Y1044">
        <v>1</v>
      </c>
      <c r="Z1044" s="193">
        <f>IF(Tabella1[[#This Row],[Best 11 MOD]]=1,Tabella1[[#This Row],[fanta voto]],"")</f>
        <v>6.5</v>
      </c>
      <c r="AA1044" t="str">
        <f>CONCATENATE(Tabella1[[#This Row],[GG]],Tabella1[[#This Row],[Nome]])</f>
        <v>4De Bruyne</v>
      </c>
      <c r="AB1044" t="str">
        <f t="shared" si="43"/>
        <v>4FC INTERNAZIOANALE</v>
      </c>
      <c r="AC1044" t="str">
        <f>_xlfn.CONCAT(Tabella1[[#This Row],[Ruolo]],Tabella1[[#This Row],[Gs]])</f>
        <v>C0</v>
      </c>
    </row>
    <row r="1045" spans="1:29" hidden="1" x14ac:dyDescent="0.3">
      <c r="A1045" s="14">
        <v>46277</v>
      </c>
      <c r="B1045" s="15">
        <v>4</v>
      </c>
      <c r="C1045" s="321" t="str">
        <f>_xlfn.XLOOKUP(Tabella1[[#This Row],[Nome]],Tabella4[NOME],Tabella4[SQUADRA],"")</f>
        <v>Fiorentina</v>
      </c>
      <c r="D1045" t="s">
        <v>162</v>
      </c>
      <c r="E1045" t="s">
        <v>714</v>
      </c>
      <c r="F1045" s="194">
        <v>6.5</v>
      </c>
      <c r="G1045" s="402">
        <v>0</v>
      </c>
      <c r="H1045" s="402">
        <v>0</v>
      </c>
      <c r="I1045" s="402">
        <v>0</v>
      </c>
      <c r="J1045" s="402">
        <v>0</v>
      </c>
      <c r="K1045" s="402">
        <v>0</v>
      </c>
      <c r="L1045" s="402">
        <v>0</v>
      </c>
      <c r="M1045" s="402">
        <v>0</v>
      </c>
      <c r="N1045" s="402">
        <v>0</v>
      </c>
      <c r="O1045" s="402">
        <v>0</v>
      </c>
      <c r="P1045" s="401"/>
      <c r="Q1045" s="401">
        <f t="shared" si="42"/>
        <v>0</v>
      </c>
      <c r="R1045" s="3" t="str">
        <f>_xlfn.IFNA(VLOOKUP(Tabella1[[#This Row],[Nome]],'ROSE SQUADRE'!$N$3:$O$260,2,0),"")</f>
        <v>AC ASPARAGHESE</v>
      </c>
      <c r="S1045" s="193">
        <f>SUM(Tabella1[[#This Row],[Gf]],Tabella1[[#This Row],[Rf]])</f>
        <v>0</v>
      </c>
      <c r="T1045" s="193">
        <v>1</v>
      </c>
      <c r="U1045" s="285">
        <f>IF(Tabella1[[#This Row],[N° FantaTit]]="","",Tabella1[[#This Row],[fanta voto]])</f>
        <v>6.5</v>
      </c>
      <c r="V1045" s="193">
        <f>SUM(Tabella1[[#This Row],[Voto]],(G1045*3),Q1045,P1045,O1045,-(N1045),(-M1045/2),(-L1045*2),(-H1045),(I1045*3),(-J1045*3),(K1045*3))</f>
        <v>6.5</v>
      </c>
      <c r="W1045" s="193">
        <v>1</v>
      </c>
      <c r="X1045" s="193">
        <f>IF(Tabella1[[#This Row],[Best 11]]=1,Tabella1[[#This Row],[fanta voto]],"")</f>
        <v>6.5</v>
      </c>
      <c r="Y1045">
        <v>1</v>
      </c>
      <c r="Z1045" s="193">
        <f>IF(Tabella1[[#This Row],[Best 11 MOD]]=1,Tabella1[[#This Row],[fanta voto]],"")</f>
        <v>6.5</v>
      </c>
      <c r="AA1045" t="str">
        <f>CONCATENATE(Tabella1[[#This Row],[GG]],Tabella1[[#This Row],[Nome]])</f>
        <v>4Atta</v>
      </c>
      <c r="AB1045" t="str">
        <f t="shared" si="43"/>
        <v>4AC ASPARAGHESE1</v>
      </c>
      <c r="AC1045" t="str">
        <f>_xlfn.CONCAT(Tabella1[[#This Row],[Ruolo]],Tabella1[[#This Row],[Gs]])</f>
        <v>C0</v>
      </c>
    </row>
    <row r="1046" spans="1:29" hidden="1" x14ac:dyDescent="0.3">
      <c r="A1046" s="14">
        <v>46277</v>
      </c>
      <c r="B1046" s="15">
        <v>4</v>
      </c>
      <c r="C1046" s="321" t="str">
        <f>_xlfn.XLOOKUP(Tabella1[[#This Row],[Nome]],Tabella4[NOME],Tabella4[SQUADRA],"")</f>
        <v>Juventus</v>
      </c>
      <c r="D1046" t="s">
        <v>162</v>
      </c>
      <c r="E1046" t="s">
        <v>1016</v>
      </c>
      <c r="F1046" s="194">
        <v>6.5</v>
      </c>
      <c r="G1046" s="402">
        <v>0</v>
      </c>
      <c r="H1046" s="402">
        <v>0</v>
      </c>
      <c r="I1046" s="402">
        <v>0</v>
      </c>
      <c r="J1046" s="402">
        <v>0</v>
      </c>
      <c r="K1046" s="402">
        <v>0</v>
      </c>
      <c r="L1046" s="402">
        <v>0</v>
      </c>
      <c r="M1046" s="402">
        <v>0</v>
      </c>
      <c r="N1046" s="402">
        <v>0</v>
      </c>
      <c r="O1046" s="402">
        <v>0</v>
      </c>
      <c r="P1046" s="401"/>
      <c r="Q1046" s="401">
        <f t="shared" si="42"/>
        <v>0</v>
      </c>
      <c r="R1046" s="3" t="str">
        <f>_xlfn.IFNA(VLOOKUP(Tabella1[[#This Row],[Nome]],'ROSE SQUADRE'!$N$3:$O$260,2,0),"")</f>
        <v>SESTO ASENSIO</v>
      </c>
      <c r="S1046" s="193">
        <f>SUM(Tabella1[[#This Row],[Gf]],Tabella1[[#This Row],[Rf]])</f>
        <v>0</v>
      </c>
      <c r="T1046" s="193">
        <v>1</v>
      </c>
      <c r="U1046" s="285">
        <f>IF(Tabella1[[#This Row],[N° FantaTit]]="","",Tabella1[[#This Row],[fanta voto]])</f>
        <v>6.5</v>
      </c>
      <c r="V1046" s="193">
        <f>SUM(Tabella1[[#This Row],[Voto]],(G1046*3),Q1046,P1046,O1046,-(N1046),(-M1046/2),(-L1046*2),(-H1046),(I1046*3),(-J1046*3),(K1046*3))</f>
        <v>6.5</v>
      </c>
      <c r="W1046" s="193">
        <v>1</v>
      </c>
      <c r="X1046" s="193">
        <f>IF(Tabella1[[#This Row],[Best 11]]=1,Tabella1[[#This Row],[fanta voto]],"")</f>
        <v>6.5</v>
      </c>
      <c r="Y1046">
        <v>1</v>
      </c>
      <c r="Z1046" s="193">
        <f>IF(Tabella1[[#This Row],[Best 11 MOD]]=1,Tabella1[[#This Row],[fanta voto]],"")</f>
        <v>6.5</v>
      </c>
      <c r="AA1046" t="str">
        <f>CONCATENATE(Tabella1[[#This Row],[GG]],Tabella1[[#This Row],[Nome]])</f>
        <v>4Gonzalez N.</v>
      </c>
      <c r="AB1046" t="str">
        <f t="shared" si="43"/>
        <v>4SESTO ASENSIO1</v>
      </c>
      <c r="AC1046" t="str">
        <f>_xlfn.CONCAT(Tabella1[[#This Row],[Ruolo]],Tabella1[[#This Row],[Gs]])</f>
        <v>C0</v>
      </c>
    </row>
    <row r="1047" spans="1:29" hidden="1" x14ac:dyDescent="0.3">
      <c r="A1047" s="14">
        <v>46277</v>
      </c>
      <c r="B1047" s="15">
        <v>4</v>
      </c>
      <c r="C1047" s="321" t="str">
        <f>_xlfn.XLOOKUP(Tabella1[[#This Row],[Nome]],Tabella4[NOME],Tabella4[SQUADRA],"")</f>
        <v>Juventus</v>
      </c>
      <c r="D1047" s="330" t="s">
        <v>161</v>
      </c>
      <c r="E1047" s="330" t="s">
        <v>782</v>
      </c>
      <c r="F1047" s="331">
        <v>5</v>
      </c>
      <c r="G1047" s="404">
        <v>0</v>
      </c>
      <c r="H1047" s="404">
        <v>0</v>
      </c>
      <c r="I1047" s="404">
        <v>0</v>
      </c>
      <c r="J1047" s="404">
        <v>0</v>
      </c>
      <c r="K1047" s="404">
        <v>0</v>
      </c>
      <c r="L1047" s="404">
        <v>0</v>
      </c>
      <c r="M1047" s="404">
        <v>0</v>
      </c>
      <c r="N1047" s="404">
        <v>0</v>
      </c>
      <c r="O1047" s="404">
        <v>0</v>
      </c>
      <c r="P1047" s="401"/>
      <c r="Q1047" s="401">
        <f t="shared" si="42"/>
        <v>0</v>
      </c>
      <c r="R1047" s="3" t="str">
        <f>_xlfn.IFNA(VLOOKUP(Tabella1[[#This Row],[Nome]],'ROSE SQUADRE'!$N$3:$O$260,2,0),"")</f>
        <v/>
      </c>
      <c r="S1047" s="193">
        <f>SUM(Tabella1[[#This Row],[Gf]],Tabella1[[#This Row],[Rf]])</f>
        <v>0</v>
      </c>
      <c r="T1047" s="193"/>
      <c r="U1047" s="285" t="str">
        <f>IF(Tabella1[[#This Row],[N° FantaTit]]="","",Tabella1[[#This Row],[fanta voto]])</f>
        <v/>
      </c>
      <c r="V1047" s="193">
        <f>SUM(Tabella1[[#This Row],[Voto]],(G1047*3),Q1047,P1047,O1047,-(N1047),(-M1047/2),(-L1047*2),(-H1047),(I1047*3),(-J1047*3),(K1047*3))</f>
        <v>5</v>
      </c>
      <c r="W1047" s="193"/>
      <c r="X1047" s="193" t="str">
        <f>IF(Tabella1[[#This Row],[Best 11]]=1,Tabella1[[#This Row],[fanta voto]],"")</f>
        <v/>
      </c>
      <c r="Z1047" s="193" t="str">
        <f>IF(Tabella1[[#This Row],[Best 11 MOD]]=1,Tabella1[[#This Row],[fanta voto]],"")</f>
        <v/>
      </c>
      <c r="AA1047" t="str">
        <f>CONCATENATE(Tabella1[[#This Row],[GG]],Tabella1[[#This Row],[Nome]])</f>
        <v>4Kelly L.</v>
      </c>
      <c r="AB1047" t="str">
        <f t="shared" si="43"/>
        <v>4</v>
      </c>
      <c r="AC1047" t="str">
        <f>_xlfn.CONCAT(Tabella1[[#This Row],[Ruolo]],Tabella1[[#This Row],[Gs]])</f>
        <v>D0</v>
      </c>
    </row>
    <row r="1048" spans="1:29" hidden="1" x14ac:dyDescent="0.3">
      <c r="A1048" s="14">
        <v>46277</v>
      </c>
      <c r="B1048" s="15">
        <v>4</v>
      </c>
      <c r="C1048" s="321" t="str">
        <f>_xlfn.XLOOKUP(Tabella1[[#This Row],[Nome]],Tabella4[NOME],Tabella4[SQUADRA],"")</f>
        <v>Juventus</v>
      </c>
      <c r="D1048" s="330" t="s">
        <v>162</v>
      </c>
      <c r="E1048" s="330" t="s">
        <v>787</v>
      </c>
      <c r="F1048" s="331">
        <v>5.5</v>
      </c>
      <c r="G1048" s="404">
        <v>0</v>
      </c>
      <c r="H1048" s="404">
        <v>0</v>
      </c>
      <c r="I1048" s="404">
        <v>0</v>
      </c>
      <c r="J1048" s="404">
        <v>0</v>
      </c>
      <c r="K1048" s="404">
        <v>0</v>
      </c>
      <c r="L1048" s="404">
        <v>0</v>
      </c>
      <c r="M1048" s="404">
        <v>0</v>
      </c>
      <c r="N1048" s="404">
        <v>0</v>
      </c>
      <c r="O1048" s="404">
        <v>0</v>
      </c>
      <c r="P1048" s="401"/>
      <c r="Q1048" s="401">
        <f t="shared" si="42"/>
        <v>0</v>
      </c>
      <c r="R1048" s="3" t="str">
        <f>_xlfn.IFNA(VLOOKUP(Tabella1[[#This Row],[Nome]],'ROSE SQUADRE'!$N$3:$O$260,2,0),"")</f>
        <v>SESTO ASENSIO</v>
      </c>
      <c r="S1048" s="193">
        <f>SUM(Tabella1[[#This Row],[Gf]],Tabella1[[#This Row],[Rf]])</f>
        <v>0</v>
      </c>
      <c r="T1048" s="193"/>
      <c r="U1048" s="285" t="str">
        <f>IF(Tabella1[[#This Row],[N° FantaTit]]="","",Tabella1[[#This Row],[fanta voto]])</f>
        <v/>
      </c>
      <c r="V1048" s="193">
        <f>SUM(Tabella1[[#This Row],[Voto]],(G1048*3),Q1048,P1048,O1048,-(N1048),(-M1048/2),(-L1048*2),(-H1048),(I1048*3),(-J1048*3),(K1048*3))</f>
        <v>5.5</v>
      </c>
      <c r="W1048" s="193"/>
      <c r="X1048" s="193" t="str">
        <f>IF(Tabella1[[#This Row],[Best 11]]=1,Tabella1[[#This Row],[fanta voto]],"")</f>
        <v/>
      </c>
      <c r="Z1048" s="193" t="str">
        <f>IF(Tabella1[[#This Row],[Best 11 MOD]]=1,Tabella1[[#This Row],[fanta voto]],"")</f>
        <v/>
      </c>
      <c r="AA1048" t="str">
        <f>CONCATENATE(Tabella1[[#This Row],[GG]],Tabella1[[#This Row],[Nome]])</f>
        <v>4Koopmeiners</v>
      </c>
      <c r="AB1048" t="str">
        <f t="shared" si="43"/>
        <v>4SESTO ASENSIO</v>
      </c>
      <c r="AC1048" t="str">
        <f>_xlfn.CONCAT(Tabella1[[#This Row],[Ruolo]],Tabella1[[#This Row],[Gs]])</f>
        <v>C0</v>
      </c>
    </row>
    <row r="1049" spans="1:29" hidden="1" x14ac:dyDescent="0.3">
      <c r="A1049" s="14">
        <v>46277</v>
      </c>
      <c r="B1049" s="15">
        <v>4</v>
      </c>
      <c r="C1049" s="321" t="str">
        <f>_xlfn.XLOOKUP(Tabella1[[#This Row],[Nome]],Tabella4[NOME],Tabella4[SQUADRA],"")</f>
        <v>Juventus</v>
      </c>
      <c r="D1049" s="330" t="s">
        <v>162</v>
      </c>
      <c r="E1049" s="330" t="s">
        <v>533</v>
      </c>
      <c r="F1049" s="331">
        <v>4.5</v>
      </c>
      <c r="G1049" s="404">
        <v>0</v>
      </c>
      <c r="H1049" s="404">
        <v>0</v>
      </c>
      <c r="I1049" s="404">
        <v>0</v>
      </c>
      <c r="J1049" s="404">
        <v>0</v>
      </c>
      <c r="K1049" s="404">
        <v>0</v>
      </c>
      <c r="L1049" s="404">
        <v>0</v>
      </c>
      <c r="M1049" s="405">
        <v>1</v>
      </c>
      <c r="N1049" s="404">
        <v>0</v>
      </c>
      <c r="O1049" s="404">
        <v>0</v>
      </c>
      <c r="P1049" s="401"/>
      <c r="Q1049" s="401">
        <f t="shared" si="42"/>
        <v>0</v>
      </c>
      <c r="R1049" s="3" t="str">
        <f>_xlfn.IFNA(VLOOKUP(Tabella1[[#This Row],[Nome]],'ROSE SQUADRE'!$N$3:$O$260,2,0),"")</f>
        <v>AS PIPPERIA</v>
      </c>
      <c r="S1049" s="193">
        <f>SUM(Tabella1[[#This Row],[Gf]],Tabella1[[#This Row],[Rf]])</f>
        <v>0</v>
      </c>
      <c r="T1049" s="193"/>
      <c r="U1049" s="285" t="str">
        <f>IF(Tabella1[[#This Row],[N° FantaTit]]="","",Tabella1[[#This Row],[fanta voto]])</f>
        <v/>
      </c>
      <c r="V1049" s="193">
        <f>SUM(Tabella1[[#This Row],[Voto]],(G1049*3),Q1049,P1049,O1049,-(N1049),(-M1049/2),(-L1049*2),(-H1049),(I1049*3),(-J1049*3),(K1049*3))</f>
        <v>4</v>
      </c>
      <c r="W1049" s="193"/>
      <c r="X1049" s="193" t="str">
        <f>IF(Tabella1[[#This Row],[Best 11]]=1,Tabella1[[#This Row],[fanta voto]],"")</f>
        <v/>
      </c>
      <c r="Z1049" s="193" t="str">
        <f>IF(Tabella1[[#This Row],[Best 11 MOD]]=1,Tabella1[[#This Row],[fanta voto]],"")</f>
        <v/>
      </c>
      <c r="AA1049" t="str">
        <f>CONCATENATE(Tabella1[[#This Row],[GG]],Tabella1[[#This Row],[Nome]])</f>
        <v>4Douglas Luiz</v>
      </c>
      <c r="AB1049" t="str">
        <f t="shared" si="43"/>
        <v>4AS PIPPERIA</v>
      </c>
      <c r="AC1049" t="str">
        <f>_xlfn.CONCAT(Tabella1[[#This Row],[Ruolo]],Tabella1[[#This Row],[Gs]])</f>
        <v>C0</v>
      </c>
    </row>
    <row r="1050" spans="1:29" hidden="1" x14ac:dyDescent="0.3">
      <c r="A1050" s="14">
        <v>46277</v>
      </c>
      <c r="B1050" s="15">
        <v>4</v>
      </c>
      <c r="C1050" s="321" t="str">
        <f>_xlfn.XLOOKUP(Tabella1[[#This Row],[Nome]],Tabella4[NOME],Tabella4[SQUADRA],"")</f>
        <v/>
      </c>
      <c r="D1050" t="s">
        <v>162</v>
      </c>
      <c r="E1050" t="s">
        <v>1091</v>
      </c>
      <c r="F1050" s="194">
        <v>5.5</v>
      </c>
      <c r="G1050" s="402">
        <v>0</v>
      </c>
      <c r="H1050" s="402">
        <v>0</v>
      </c>
      <c r="I1050" s="402">
        <v>0</v>
      </c>
      <c r="J1050" s="402">
        <v>0</v>
      </c>
      <c r="K1050" s="402">
        <v>0</v>
      </c>
      <c r="L1050" s="402">
        <v>0</v>
      </c>
      <c r="M1050" s="402">
        <v>0</v>
      </c>
      <c r="N1050" s="402">
        <v>0</v>
      </c>
      <c r="O1050" s="402">
        <v>0</v>
      </c>
      <c r="P1050" s="401"/>
      <c r="Q1050" s="401">
        <f t="shared" si="42"/>
        <v>0</v>
      </c>
      <c r="R1050" s="3" t="str">
        <f>_xlfn.IFNA(VLOOKUP(Tabella1[[#This Row],[Nome]],'ROSE SQUADRE'!$N$3:$O$260,2,0),"")</f>
        <v/>
      </c>
      <c r="S1050" s="193">
        <f>SUM(Tabella1[[#This Row],[Gf]],Tabella1[[#This Row],[Rf]])</f>
        <v>0</v>
      </c>
      <c r="T1050" s="193"/>
      <c r="U1050" s="285" t="str">
        <f>IF(Tabella1[[#This Row],[N° FantaTit]]="","",Tabella1[[#This Row],[fanta voto]])</f>
        <v/>
      </c>
      <c r="V1050" s="193">
        <f>SUM(Tabella1[[#This Row],[Voto]],(G1050*3),Q1050,P1050,O1050,-(N1050),(-M1050/2),(-L1050*2),(-H1050),(I1050*3),(-J1050*3),(K1050*3))</f>
        <v>5.5</v>
      </c>
      <c r="W1050" s="193"/>
      <c r="X1050" s="193" t="str">
        <f>IF(Tabella1[[#This Row],[Best 11]]=1,Tabella1[[#This Row],[fanta voto]],"")</f>
        <v/>
      </c>
      <c r="Z1050" s="193" t="str">
        <f>IF(Tabella1[[#This Row],[Best 11 MOD]]=1,Tabella1[[#This Row],[fanta voto]],"")</f>
        <v/>
      </c>
      <c r="AA1050" t="str">
        <f>CONCATENATE(Tabella1[[#This Row],[GG]],Tabella1[[#This Row],[Nome]])</f>
        <v>4Sarr P.</v>
      </c>
      <c r="AB1050" t="str">
        <f t="shared" si="43"/>
        <v>4</v>
      </c>
      <c r="AC1050" t="str">
        <f>_xlfn.CONCAT(Tabella1[[#This Row],[Ruolo]],Tabella1[[#This Row],[Gs]])</f>
        <v>C0</v>
      </c>
    </row>
    <row r="1051" spans="1:29" hidden="1" x14ac:dyDescent="0.3">
      <c r="A1051" s="14">
        <v>46277</v>
      </c>
      <c r="B1051" s="15">
        <v>4</v>
      </c>
      <c r="C1051" s="321" t="str">
        <f>_xlfn.XLOOKUP(Tabella1[[#This Row],[Nome]],Tabella4[NOME],Tabella4[SQUADRA],"")</f>
        <v>Napoli</v>
      </c>
      <c r="D1051" t="s">
        <v>162</v>
      </c>
      <c r="E1051" t="s">
        <v>868</v>
      </c>
      <c r="F1051" s="194">
        <v>6</v>
      </c>
      <c r="G1051" s="402">
        <v>0</v>
      </c>
      <c r="H1051" s="402">
        <v>0</v>
      </c>
      <c r="I1051" s="402">
        <v>0</v>
      </c>
      <c r="J1051" s="402">
        <v>0</v>
      </c>
      <c r="K1051" s="402">
        <v>0</v>
      </c>
      <c r="L1051" s="402">
        <v>0</v>
      </c>
      <c r="M1051" s="402">
        <v>0</v>
      </c>
      <c r="N1051" s="402">
        <v>0</v>
      </c>
      <c r="O1051" s="402">
        <v>0</v>
      </c>
      <c r="P1051" s="401"/>
      <c r="Q1051" s="401">
        <f t="shared" si="42"/>
        <v>0</v>
      </c>
      <c r="R1051" s="3" t="str">
        <f>_xlfn.IFNA(VLOOKUP(Tabella1[[#This Row],[Nome]],'ROSE SQUADRE'!$N$3:$O$260,2,0),"")</f>
        <v>SESTO ASENSIO</v>
      </c>
      <c r="S1051" s="193">
        <f>SUM(Tabella1[[#This Row],[Gf]],Tabella1[[#This Row],[Rf]])</f>
        <v>0</v>
      </c>
      <c r="T1051" s="193"/>
      <c r="U1051" s="285" t="str">
        <f>IF(Tabella1[[#This Row],[N° FantaTit]]="","",Tabella1[[#This Row],[fanta voto]])</f>
        <v/>
      </c>
      <c r="V1051" s="193">
        <f>SUM(Tabella1[[#This Row],[Voto]],(G1051*3),Q1051,P1051,O1051,-(N1051),(-M1051/2),(-L1051*2),(-H1051),(I1051*3),(-J1051*3),(K1051*3))</f>
        <v>6</v>
      </c>
      <c r="W1051" s="193">
        <v>1</v>
      </c>
      <c r="X1051" s="193">
        <f>IF(Tabella1[[#This Row],[Best 11]]=1,Tabella1[[#This Row],[fanta voto]],"")</f>
        <v>6</v>
      </c>
      <c r="Z1051" s="193" t="str">
        <f>IF(Tabella1[[#This Row],[Best 11 MOD]]=1,Tabella1[[#This Row],[fanta voto]],"")</f>
        <v/>
      </c>
      <c r="AA1051" t="str">
        <f>CONCATENATE(Tabella1[[#This Row],[GG]],Tabella1[[#This Row],[Nome]])</f>
        <v>4Vergara</v>
      </c>
      <c r="AB1051" t="str">
        <f t="shared" si="43"/>
        <v>4SESTO ASENSIO</v>
      </c>
      <c r="AC1051" t="str">
        <f>_xlfn.CONCAT(Tabella1[[#This Row],[Ruolo]],Tabella1[[#This Row],[Gs]])</f>
        <v>C0</v>
      </c>
    </row>
    <row r="1052" spans="1:29" hidden="1" x14ac:dyDescent="0.3">
      <c r="A1052" s="14">
        <v>46277</v>
      </c>
      <c r="B1052" s="15">
        <v>4</v>
      </c>
      <c r="C1052" s="321" t="str">
        <f>_xlfn.XLOOKUP(Tabella1[[#This Row],[Nome]],Tabella4[NOME],Tabella4[SQUADRA],"")</f>
        <v>Juventus</v>
      </c>
      <c r="D1052" t="s">
        <v>162</v>
      </c>
      <c r="E1052" t="s">
        <v>790</v>
      </c>
      <c r="F1052" s="194">
        <v>7.5</v>
      </c>
      <c r="G1052" s="403">
        <v>2</v>
      </c>
      <c r="H1052" s="402">
        <v>0</v>
      </c>
      <c r="I1052" s="402">
        <v>0</v>
      </c>
      <c r="J1052" s="402">
        <v>0</v>
      </c>
      <c r="K1052" s="402">
        <v>0</v>
      </c>
      <c r="L1052" s="402">
        <v>0</v>
      </c>
      <c r="M1052" s="402">
        <v>0</v>
      </c>
      <c r="N1052" s="402">
        <v>0</v>
      </c>
      <c r="O1052" s="402">
        <v>0</v>
      </c>
      <c r="P1052" s="401"/>
      <c r="Q1052" s="401">
        <f t="shared" si="42"/>
        <v>0</v>
      </c>
      <c r="R1052" s="3" t="str">
        <f>_xlfn.IFNA(VLOOKUP(Tabella1[[#This Row],[Nome]],'ROSE SQUADRE'!$N$3:$O$260,2,0),"")</f>
        <v/>
      </c>
      <c r="S1052" s="193">
        <f>SUM(Tabella1[[#This Row],[Gf]],Tabella1[[#This Row],[Rf]])</f>
        <v>2</v>
      </c>
      <c r="T1052" s="193"/>
      <c r="U1052" s="285" t="str">
        <f>IF(Tabella1[[#This Row],[N° FantaTit]]="","",Tabella1[[#This Row],[fanta voto]])</f>
        <v/>
      </c>
      <c r="V1052" s="193">
        <f>SUM(Tabella1[[#This Row],[Voto]],(G1052*3),Q1052,P1052,O1052,-(N1052),(-M1052/2),(-L1052*2),(-H1052),(I1052*3),(-J1052*3),(K1052*3))</f>
        <v>13.5</v>
      </c>
      <c r="W1052" s="193"/>
      <c r="X1052" s="193" t="str">
        <f>IF(Tabella1[[#This Row],[Best 11]]=1,Tabella1[[#This Row],[fanta voto]],"")</f>
        <v/>
      </c>
      <c r="Z1052" s="193" t="str">
        <f>IF(Tabella1[[#This Row],[Best 11 MOD]]=1,Tabella1[[#This Row],[fanta voto]],"")</f>
        <v/>
      </c>
      <c r="AA1052" t="str">
        <f>CONCATENATE(Tabella1[[#This Row],[GG]],Tabella1[[#This Row],[Nome]])</f>
        <v>4Zhegrova</v>
      </c>
      <c r="AB1052" t="str">
        <f t="shared" si="43"/>
        <v>4</v>
      </c>
      <c r="AC1052" t="str">
        <f>_xlfn.CONCAT(Tabella1[[#This Row],[Ruolo]],Tabella1[[#This Row],[Gs]])</f>
        <v>C0</v>
      </c>
    </row>
    <row r="1053" spans="1:29" hidden="1" x14ac:dyDescent="0.3">
      <c r="A1053" s="14">
        <v>46277</v>
      </c>
      <c r="B1053" s="15">
        <v>4</v>
      </c>
      <c r="C1053" s="321" t="str">
        <f>_xlfn.XLOOKUP(Tabella1[[#This Row],[Nome]],Tabella4[NOME],Tabella4[SQUADRA],"")</f>
        <v>Roma</v>
      </c>
      <c r="D1053" t="s">
        <v>162</v>
      </c>
      <c r="E1053" t="s">
        <v>281</v>
      </c>
      <c r="F1053" s="194">
        <v>6</v>
      </c>
      <c r="G1053" s="402">
        <v>0</v>
      </c>
      <c r="H1053" s="402">
        <v>0</v>
      </c>
      <c r="I1053" s="402">
        <v>0</v>
      </c>
      <c r="J1053" s="402">
        <v>0</v>
      </c>
      <c r="K1053" s="402">
        <v>0</v>
      </c>
      <c r="L1053" s="402">
        <v>0</v>
      </c>
      <c r="M1053" s="402">
        <v>0</v>
      </c>
      <c r="N1053" s="402">
        <v>0</v>
      </c>
      <c r="O1053" s="402">
        <v>0</v>
      </c>
      <c r="P1053" s="401"/>
      <c r="Q1053" s="401">
        <f t="shared" si="42"/>
        <v>0</v>
      </c>
      <c r="R1053" s="3" t="str">
        <f>_xlfn.IFNA(VLOOKUP(Tabella1[[#This Row],[Nome]],'ROSE SQUADRE'!$N$3:$O$260,2,0),"")</f>
        <v>SAN GRIA</v>
      </c>
      <c r="S1053" s="193">
        <f>SUM(Tabella1[[#This Row],[Gf]],Tabella1[[#This Row],[Rf]])</f>
        <v>0</v>
      </c>
      <c r="T1053" s="193">
        <v>1</v>
      </c>
      <c r="U1053" s="285">
        <f>IF(Tabella1[[#This Row],[N° FantaTit]]="","",Tabella1[[#This Row],[fanta voto]])</f>
        <v>6</v>
      </c>
      <c r="V1053" s="193">
        <f>SUM(Tabella1[[#This Row],[Voto]],(G1053*3),Q1053,P1053,O1053,-(N1053),(-M1053/2),(-L1053*2),(-H1053),(I1053*3),(-J1053*3),(K1053*3))</f>
        <v>6</v>
      </c>
      <c r="W1053" s="193">
        <v>1</v>
      </c>
      <c r="X1053" s="193">
        <f>IF(Tabella1[[#This Row],[Best 11]]=1,Tabella1[[#This Row],[fanta voto]],"")</f>
        <v>6</v>
      </c>
      <c r="Y1053">
        <v>1</v>
      </c>
      <c r="Z1053" s="193">
        <f>IF(Tabella1[[#This Row],[Best 11 MOD]]=1,Tabella1[[#This Row],[fanta voto]],"")</f>
        <v>6</v>
      </c>
      <c r="AA1053" t="str">
        <f>CONCATENATE(Tabella1[[#This Row],[GG]],Tabella1[[#This Row],[Nome]])</f>
        <v>4Cristante</v>
      </c>
      <c r="AB1053" t="str">
        <f t="shared" si="43"/>
        <v>4SAN GRIA1</v>
      </c>
      <c r="AC1053" t="str">
        <f>_xlfn.CONCAT(Tabella1[[#This Row],[Ruolo]],Tabella1[[#This Row],[Gs]])</f>
        <v>C0</v>
      </c>
    </row>
    <row r="1054" spans="1:29" hidden="1" x14ac:dyDescent="0.3">
      <c r="A1054" s="14">
        <v>46277</v>
      </c>
      <c r="B1054" s="15">
        <v>4</v>
      </c>
      <c r="C1054" s="321" t="str">
        <f>_xlfn.XLOOKUP(Tabella1[[#This Row],[Nome]],Tabella4[NOME],Tabella4[SQUADRA],"")</f>
        <v>Fiorentina</v>
      </c>
      <c r="D1054" s="330" t="s">
        <v>162</v>
      </c>
      <c r="E1054" s="330" t="s">
        <v>716</v>
      </c>
      <c r="F1054" s="331">
        <v>8.5</v>
      </c>
      <c r="G1054" s="405">
        <v>3</v>
      </c>
      <c r="H1054" s="404">
        <v>0</v>
      </c>
      <c r="I1054" s="404">
        <v>0</v>
      </c>
      <c r="J1054" s="404">
        <v>0</v>
      </c>
      <c r="K1054" s="404">
        <v>0</v>
      </c>
      <c r="L1054" s="404">
        <v>0</v>
      </c>
      <c r="M1054" s="404">
        <v>0</v>
      </c>
      <c r="N1054" s="404">
        <v>0</v>
      </c>
      <c r="O1054" s="404">
        <v>0</v>
      </c>
      <c r="P1054" s="401"/>
      <c r="Q1054" s="401">
        <f t="shared" si="42"/>
        <v>0</v>
      </c>
      <c r="R1054" s="3" t="str">
        <f>_xlfn.IFNA(VLOOKUP(Tabella1[[#This Row],[Nome]],'ROSE SQUADRE'!$N$3:$O$260,2,0),"")</f>
        <v>AC ASPARAGHESE</v>
      </c>
      <c r="S1054" s="193">
        <f>SUM(Tabella1[[#This Row],[Gf]],Tabella1[[#This Row],[Rf]])</f>
        <v>3</v>
      </c>
      <c r="T1054" s="193">
        <v>1</v>
      </c>
      <c r="U1054" s="285">
        <f>IF(Tabella1[[#This Row],[N° FantaTit]]="","",Tabella1[[#This Row],[fanta voto]])</f>
        <v>17.5</v>
      </c>
      <c r="V1054" s="193">
        <f>SUM(Tabella1[[#This Row],[Voto]],(G1054*3),Q1054,P1054,O1054,-(N1054),(-M1054/2),(-L1054*2),(-H1054),(I1054*3),(-J1054*3),(K1054*3))</f>
        <v>17.5</v>
      </c>
      <c r="W1054" s="193">
        <v>1</v>
      </c>
      <c r="X1054" s="193">
        <f>IF(Tabella1[[#This Row],[Best 11]]=1,Tabella1[[#This Row],[fanta voto]],"")</f>
        <v>17.5</v>
      </c>
      <c r="Y1054">
        <v>1</v>
      </c>
      <c r="Z1054" s="193">
        <f>IF(Tabella1[[#This Row],[Best 11 MOD]]=1,Tabella1[[#This Row],[fanta voto]],"")</f>
        <v>17.5</v>
      </c>
      <c r="AA1054" t="str">
        <f>CONCATENATE(Tabella1[[#This Row],[GG]],Tabella1[[#This Row],[Nome]])</f>
        <v>4Mastantuono</v>
      </c>
      <c r="AB1054" t="str">
        <f t="shared" si="43"/>
        <v>4AC ASPARAGHESE1</v>
      </c>
      <c r="AC1054" t="str">
        <f>_xlfn.CONCAT(Tabella1[[#This Row],[Ruolo]],Tabella1[[#This Row],[Gs]])</f>
        <v>C0</v>
      </c>
    </row>
    <row r="1055" spans="1:29" hidden="1" x14ac:dyDescent="0.3">
      <c r="A1055" s="14">
        <v>46277</v>
      </c>
      <c r="B1055" s="15">
        <v>4</v>
      </c>
      <c r="C1055" s="321" t="str">
        <f>_xlfn.XLOOKUP(Tabella1[[#This Row],[Nome]],Tabella4[NOME],Tabella4[SQUADRA],"")</f>
        <v>Fiorentina</v>
      </c>
      <c r="D1055" s="330" t="s">
        <v>163</v>
      </c>
      <c r="E1055" s="330" t="s">
        <v>1041</v>
      </c>
      <c r="F1055" s="331">
        <v>6</v>
      </c>
      <c r="G1055" s="404">
        <v>0</v>
      </c>
      <c r="H1055" s="404">
        <v>0</v>
      </c>
      <c r="I1055" s="404">
        <v>0</v>
      </c>
      <c r="J1055" s="404">
        <v>0</v>
      </c>
      <c r="K1055" s="404">
        <v>0</v>
      </c>
      <c r="L1055" s="404">
        <v>0</v>
      </c>
      <c r="M1055" s="404">
        <v>0</v>
      </c>
      <c r="N1055" s="404">
        <v>0</v>
      </c>
      <c r="O1055" s="404">
        <v>0</v>
      </c>
      <c r="P1055" s="401"/>
      <c r="Q1055" s="401">
        <f t="shared" si="42"/>
        <v>0</v>
      </c>
      <c r="R1055" s="3" t="str">
        <f>_xlfn.IFNA(VLOOKUP(Tabella1[[#This Row],[Nome]],'ROSE SQUADRE'!$N$3:$O$260,2,0),"")</f>
        <v>SAN GRIA</v>
      </c>
      <c r="S1055" s="193">
        <f>SUM(Tabella1[[#This Row],[Gf]],Tabella1[[#This Row],[Rf]])</f>
        <v>0</v>
      </c>
      <c r="T1055" s="193">
        <v>1</v>
      </c>
      <c r="U1055" s="285">
        <f>IF(Tabella1[[#This Row],[N° FantaTit]]="","",Tabella1[[#This Row],[fanta voto]])</f>
        <v>6</v>
      </c>
      <c r="V1055" s="193">
        <f>SUM(Tabella1[[#This Row],[Voto]],(G1055*3),Q1055,P1055,O1055,-(N1055),(-M1055/2),(-L1055*2),(-H1055),(I1055*3),(-J1055*3),(K1055*3))</f>
        <v>6</v>
      </c>
      <c r="W1055" s="193">
        <v>1</v>
      </c>
      <c r="X1055" s="193">
        <f>IF(Tabella1[[#This Row],[Best 11]]=1,Tabella1[[#This Row],[fanta voto]],"")</f>
        <v>6</v>
      </c>
      <c r="Y1055">
        <v>1</v>
      </c>
      <c r="Z1055" s="193">
        <f>IF(Tabella1[[#This Row],[Best 11 MOD]]=1,Tabella1[[#This Row],[fanta voto]],"")</f>
        <v>6</v>
      </c>
      <c r="AA1055" t="str">
        <f>CONCATENATE(Tabella1[[#This Row],[GG]],Tabella1[[#This Row],[Nome]])</f>
        <v>4Beto</v>
      </c>
      <c r="AB1055" t="str">
        <f t="shared" si="43"/>
        <v>4SAN GRIA1</v>
      </c>
      <c r="AC1055" t="str">
        <f>_xlfn.CONCAT(Tabella1[[#This Row],[Ruolo]],Tabella1[[#This Row],[Gs]])</f>
        <v>A0</v>
      </c>
    </row>
    <row r="1056" spans="1:29" hidden="1" x14ac:dyDescent="0.3">
      <c r="A1056" s="14">
        <v>46277</v>
      </c>
      <c r="B1056" s="15">
        <v>4</v>
      </c>
      <c r="C1056" s="321" t="str">
        <f>_xlfn.XLOOKUP(Tabella1[[#This Row],[Nome]],Tabella4[NOME],Tabella4[SQUADRA],"")</f>
        <v>Parma</v>
      </c>
      <c r="D1056" s="330" t="s">
        <v>162</v>
      </c>
      <c r="E1056" s="330" t="s">
        <v>881</v>
      </c>
      <c r="F1056" s="331">
        <v>6</v>
      </c>
      <c r="G1056" s="404">
        <v>0</v>
      </c>
      <c r="H1056" s="404">
        <v>0</v>
      </c>
      <c r="I1056" s="404">
        <v>0</v>
      </c>
      <c r="J1056" s="404">
        <v>0</v>
      </c>
      <c r="K1056" s="404">
        <v>0</v>
      </c>
      <c r="L1056" s="404">
        <v>0</v>
      </c>
      <c r="M1056" s="404">
        <v>0</v>
      </c>
      <c r="N1056" s="404">
        <v>0</v>
      </c>
      <c r="O1056" s="404">
        <v>0</v>
      </c>
      <c r="P1056" s="401"/>
      <c r="Q1056" s="401">
        <f t="shared" si="42"/>
        <v>0</v>
      </c>
      <c r="R1056" s="3" t="str">
        <f>_xlfn.IFNA(VLOOKUP(Tabella1[[#This Row],[Nome]],'ROSE SQUADRE'!$N$3:$O$260,2,0),"")</f>
        <v>ATL. IMPROVVISATO</v>
      </c>
      <c r="S1056" s="193">
        <f>SUM(Tabella1[[#This Row],[Gf]],Tabella1[[#This Row],[Rf]])</f>
        <v>0</v>
      </c>
      <c r="T1056" s="193">
        <v>1</v>
      </c>
      <c r="U1056" s="285">
        <f>IF(Tabella1[[#This Row],[N° FantaTit]]="","",Tabella1[[#This Row],[fanta voto]])</f>
        <v>6</v>
      </c>
      <c r="V1056" s="193">
        <f>SUM(Tabella1[[#This Row],[Voto]],(G1056*3),Q1056,P1056,O1056,-(N1056),(-M1056/2),(-L1056*2),(-H1056),(I1056*3),(-J1056*3),(K1056*3))</f>
        <v>6</v>
      </c>
      <c r="W1056" s="193">
        <v>1</v>
      </c>
      <c r="X1056" s="193">
        <f>IF(Tabella1[[#This Row],[Best 11]]=1,Tabella1[[#This Row],[fanta voto]],"")</f>
        <v>6</v>
      </c>
      <c r="Y1056">
        <v>1</v>
      </c>
      <c r="Z1056" s="193">
        <f>IF(Tabella1[[#This Row],[Best 11 MOD]]=1,Tabella1[[#This Row],[fanta voto]],"")</f>
        <v>6</v>
      </c>
      <c r="AA1056" t="str">
        <f>CONCATENATE(Tabella1[[#This Row],[GG]],Tabella1[[#This Row],[Nome]])</f>
        <v>4Bernabè</v>
      </c>
      <c r="AB1056" t="str">
        <f t="shared" si="43"/>
        <v>4ATL. IMPROVVISATO1</v>
      </c>
      <c r="AC1056" t="str">
        <f>_xlfn.CONCAT(Tabella1[[#This Row],[Ruolo]],Tabella1[[#This Row],[Gs]])</f>
        <v>C0</v>
      </c>
    </row>
    <row r="1057" spans="1:29" hidden="1" x14ac:dyDescent="0.3">
      <c r="A1057" s="14">
        <v>46277</v>
      </c>
      <c r="B1057" s="15">
        <v>4</v>
      </c>
      <c r="C1057" s="321" t="str">
        <f>_xlfn.XLOOKUP(Tabella1[[#This Row],[Nome]],Tabella4[NOME],Tabella4[SQUADRA],"")</f>
        <v>Genoa</v>
      </c>
      <c r="D1057" t="s">
        <v>162</v>
      </c>
      <c r="E1057" t="s">
        <v>320</v>
      </c>
      <c r="F1057" s="194">
        <v>6</v>
      </c>
      <c r="G1057" s="402">
        <v>0</v>
      </c>
      <c r="H1057" s="402">
        <v>0</v>
      </c>
      <c r="I1057" s="402">
        <v>0</v>
      </c>
      <c r="J1057" s="402">
        <v>0</v>
      </c>
      <c r="K1057" s="402">
        <v>0</v>
      </c>
      <c r="L1057" s="402">
        <v>0</v>
      </c>
      <c r="M1057" s="402">
        <v>0</v>
      </c>
      <c r="N1057" s="402">
        <v>0</v>
      </c>
      <c r="O1057" s="402">
        <v>0</v>
      </c>
      <c r="P1057" s="401"/>
      <c r="Q1057" s="401">
        <f t="shared" si="42"/>
        <v>0</v>
      </c>
      <c r="R1057" s="3" t="str">
        <f>_xlfn.IFNA(VLOOKUP(Tabella1[[#This Row],[Nome]],'ROSE SQUADRE'!$N$3:$O$260,2,0),"")</f>
        <v>PARTIZAN DEGRADO</v>
      </c>
      <c r="S1057" s="193">
        <f>SUM(Tabella1[[#This Row],[Gf]],Tabella1[[#This Row],[Rf]])</f>
        <v>0</v>
      </c>
      <c r="T1057" s="193">
        <v>1</v>
      </c>
      <c r="U1057" s="285">
        <f>IF(Tabella1[[#This Row],[N° FantaTit]]="","",Tabella1[[#This Row],[fanta voto]])</f>
        <v>6</v>
      </c>
      <c r="V1057" s="193">
        <f>SUM(Tabella1[[#This Row],[Voto]],(G1057*3),Q1057,P1057,O1057,-(N1057),(-M1057/2),(-L1057*2),(-H1057),(I1057*3),(-J1057*3),(K1057*3))</f>
        <v>6</v>
      </c>
      <c r="W1057" s="193"/>
      <c r="X1057" s="193" t="str">
        <f>IF(Tabella1[[#This Row],[Best 11]]=1,Tabella1[[#This Row],[fanta voto]],"")</f>
        <v/>
      </c>
      <c r="Z1057" s="193" t="str">
        <f>IF(Tabella1[[#This Row],[Best 11 MOD]]=1,Tabella1[[#This Row],[fanta voto]],"")</f>
        <v/>
      </c>
      <c r="AA1057" t="str">
        <f>CONCATENATE(Tabella1[[#This Row],[GG]],Tabella1[[#This Row],[Nome]])</f>
        <v>4Baldanzi</v>
      </c>
      <c r="AB1057" t="str">
        <f t="shared" si="43"/>
        <v>4PARTIZAN DEGRADO1</v>
      </c>
      <c r="AC1057" t="str">
        <f>_xlfn.CONCAT(Tabella1[[#This Row],[Ruolo]],Tabella1[[#This Row],[Gs]])</f>
        <v>C0</v>
      </c>
    </row>
    <row r="1058" spans="1:29" x14ac:dyDescent="0.3">
      <c r="A1058" s="14">
        <v>46277</v>
      </c>
      <c r="B1058" s="15">
        <v>4</v>
      </c>
      <c r="C1058" s="321" t="str">
        <f>_xlfn.XLOOKUP(Tabella1[[#This Row],[Nome]],Tabella4[NOME],Tabella4[SQUADRA],"")</f>
        <v>Cagliari</v>
      </c>
      <c r="D1058" t="s">
        <v>163</v>
      </c>
      <c r="E1058" t="s">
        <v>355</v>
      </c>
      <c r="F1058" s="194">
        <v>7</v>
      </c>
      <c r="G1058" s="402">
        <v>0</v>
      </c>
      <c r="H1058" s="402">
        <v>0</v>
      </c>
      <c r="I1058" s="402">
        <v>0</v>
      </c>
      <c r="J1058" s="402">
        <v>0</v>
      </c>
      <c r="K1058" s="403">
        <v>1</v>
      </c>
      <c r="L1058" s="402">
        <v>0</v>
      </c>
      <c r="M1058" s="402">
        <v>0</v>
      </c>
      <c r="N1058" s="402">
        <v>0</v>
      </c>
      <c r="O1058" s="402">
        <v>0</v>
      </c>
      <c r="P1058" s="401">
        <v>1</v>
      </c>
      <c r="Q1058" s="401">
        <f t="shared" si="42"/>
        <v>0</v>
      </c>
      <c r="R1058" s="3" t="str">
        <f>_xlfn.IFNA(VLOOKUP(Tabella1[[#This Row],[Nome]],'ROSE SQUADRE'!$N$3:$O$260,2,0),"")</f>
        <v>ATL. IMPROVVISATO</v>
      </c>
      <c r="S1058" s="193">
        <f>SUM(Tabella1[[#This Row],[Gf]],Tabella1[[#This Row],[Rf]])</f>
        <v>1</v>
      </c>
      <c r="T1058" s="193">
        <v>1</v>
      </c>
      <c r="U1058" s="285">
        <f>IF(Tabella1[[#This Row],[N° FantaTit]]="","",Tabella1[[#This Row],[fanta voto]])</f>
        <v>11</v>
      </c>
      <c r="V1058" s="193">
        <f>SUM(Tabella1[[#This Row],[Voto]],(G1058*3),Q1058,P1058,O1058,-(N1058),(-M1058/2),(-L1058*2),(-H1058),(I1058*3),(-J1058*3),(K1058*3))</f>
        <v>11</v>
      </c>
      <c r="W1058" s="193">
        <v>1</v>
      </c>
      <c r="X1058" s="193">
        <f>IF(Tabella1[[#This Row],[Best 11]]=1,Tabella1[[#This Row],[fanta voto]],"")</f>
        <v>11</v>
      </c>
      <c r="Y1058">
        <v>1</v>
      </c>
      <c r="Z1058" s="193">
        <f>IF(Tabella1[[#This Row],[Best 11 MOD]]=1,Tabella1[[#This Row],[fanta voto]],"")</f>
        <v>11</v>
      </c>
      <c r="AA1058" t="str">
        <f>CONCATENATE(Tabella1[[#This Row],[GG]],Tabella1[[#This Row],[Nome]])</f>
        <v>4Maldini</v>
      </c>
      <c r="AB1058" t="str">
        <f t="shared" si="43"/>
        <v>4ATL. IMPROVVISATO1</v>
      </c>
      <c r="AC1058" t="str">
        <f>_xlfn.CONCAT(Tabella1[[#This Row],[Ruolo]],Tabella1[[#This Row],[Gs]])</f>
        <v>A0</v>
      </c>
    </row>
    <row r="1059" spans="1:29" hidden="1" x14ac:dyDescent="0.3">
      <c r="A1059" s="14">
        <v>46277</v>
      </c>
      <c r="B1059" s="15">
        <v>4</v>
      </c>
      <c r="C1059" s="321" t="str">
        <f>_xlfn.XLOOKUP(Tabella1[[#This Row],[Nome]],Tabella4[NOME],Tabella4[SQUADRA],"")</f>
        <v>Como</v>
      </c>
      <c r="D1059" t="s">
        <v>162</v>
      </c>
      <c r="E1059" t="s">
        <v>517</v>
      </c>
      <c r="F1059" s="194">
        <v>6.5</v>
      </c>
      <c r="G1059" s="402">
        <v>0</v>
      </c>
      <c r="H1059" s="402">
        <v>0</v>
      </c>
      <c r="I1059" s="402">
        <v>0</v>
      </c>
      <c r="J1059" s="402">
        <v>0</v>
      </c>
      <c r="K1059" s="402">
        <v>0</v>
      </c>
      <c r="L1059" s="402">
        <v>0</v>
      </c>
      <c r="M1059" s="402">
        <v>0</v>
      </c>
      <c r="N1059" s="402">
        <v>0</v>
      </c>
      <c r="O1059" s="402">
        <v>0</v>
      </c>
      <c r="P1059" s="401"/>
      <c r="Q1059" s="401">
        <f t="shared" si="42"/>
        <v>0</v>
      </c>
      <c r="R1059" s="3" t="str">
        <f>_xlfn.IFNA(VLOOKUP(Tabella1[[#This Row],[Nome]],'ROSE SQUADRE'!$N$3:$O$260,2,0),"")</f>
        <v>PARTIZAN DEGRADO</v>
      </c>
      <c r="S1059" s="193">
        <f>SUM(Tabella1[[#This Row],[Gf]],Tabella1[[#This Row],[Rf]])</f>
        <v>0</v>
      </c>
      <c r="T1059" s="193">
        <v>1</v>
      </c>
      <c r="U1059" s="285">
        <f>IF(Tabella1[[#This Row],[N° FantaTit]]="","",Tabella1[[#This Row],[fanta voto]])</f>
        <v>6.5</v>
      </c>
      <c r="V1059" s="193">
        <f>SUM(Tabella1[[#This Row],[Voto]],(G1059*3),Q1059,P1059,O1059,-(N1059),(-M1059/2),(-L1059*2),(-H1059),(I1059*3),(-J1059*3),(K1059*3))</f>
        <v>6.5</v>
      </c>
      <c r="W1059" s="193">
        <v>1</v>
      </c>
      <c r="X1059" s="193">
        <f>IF(Tabella1[[#This Row],[Best 11]]=1,Tabella1[[#This Row],[fanta voto]],"")</f>
        <v>6.5</v>
      </c>
      <c r="Y1059">
        <v>1</v>
      </c>
      <c r="Z1059" s="193">
        <f>IF(Tabella1[[#This Row],[Best 11 MOD]]=1,Tabella1[[#This Row],[fanta voto]],"")</f>
        <v>6.5</v>
      </c>
      <c r="AA1059" t="str">
        <f>CONCATENATE(Tabella1[[#This Row],[GG]],Tabella1[[#This Row],[Nome]])</f>
        <v>4Da Cunha</v>
      </c>
      <c r="AB1059" t="str">
        <f t="shared" si="43"/>
        <v>4PARTIZAN DEGRADO1</v>
      </c>
      <c r="AC1059" t="str">
        <f>_xlfn.CONCAT(Tabella1[[#This Row],[Ruolo]],Tabella1[[#This Row],[Gs]])</f>
        <v>C0</v>
      </c>
    </row>
    <row r="1060" spans="1:29" hidden="1" x14ac:dyDescent="0.3">
      <c r="A1060" s="14">
        <v>46277</v>
      </c>
      <c r="B1060" s="15">
        <v>4</v>
      </c>
      <c r="C1060" s="321" t="str">
        <f>_xlfn.XLOOKUP(Tabella1[[#This Row],[Nome]],Tabella4[NOME],Tabella4[SQUADRA],"")</f>
        <v>Lazio</v>
      </c>
      <c r="D1060" s="330" t="s">
        <v>162</v>
      </c>
      <c r="E1060" s="330" t="s">
        <v>258</v>
      </c>
      <c r="F1060" s="331">
        <v>6</v>
      </c>
      <c r="G1060" s="404">
        <v>0</v>
      </c>
      <c r="H1060" s="404">
        <v>0</v>
      </c>
      <c r="I1060" s="404">
        <v>0</v>
      </c>
      <c r="J1060" s="404">
        <v>0</v>
      </c>
      <c r="K1060" s="404">
        <v>0</v>
      </c>
      <c r="L1060" s="404">
        <v>0</v>
      </c>
      <c r="M1060" s="404">
        <v>0</v>
      </c>
      <c r="N1060" s="404">
        <v>0</v>
      </c>
      <c r="O1060" s="404">
        <v>0</v>
      </c>
      <c r="P1060" s="401"/>
      <c r="Q1060" s="401">
        <f t="shared" si="42"/>
        <v>0</v>
      </c>
      <c r="R1060" s="3" t="str">
        <f>_xlfn.IFNA(VLOOKUP(Tabella1[[#This Row],[Nome]],'ROSE SQUADRE'!$N$3:$O$260,2,0),"")</f>
        <v>TRICCHETRACHT</v>
      </c>
      <c r="S1060" s="193">
        <f>SUM(Tabella1[[#This Row],[Gf]],Tabella1[[#This Row],[Rf]])</f>
        <v>0</v>
      </c>
      <c r="T1060" s="193">
        <v>1</v>
      </c>
      <c r="U1060" s="285">
        <f>IF(Tabella1[[#This Row],[N° FantaTit]]="","",Tabella1[[#This Row],[fanta voto]])</f>
        <v>6</v>
      </c>
      <c r="V1060" s="193">
        <f>SUM(Tabella1[[#This Row],[Voto]],(G1060*3),Q1060,P1060,O1060,-(N1060),(-M1060/2),(-L1060*2),(-H1060),(I1060*3),(-J1060*3),(K1060*3))</f>
        <v>6</v>
      </c>
      <c r="W1060" s="193">
        <v>1</v>
      </c>
      <c r="X1060" s="193">
        <f>IF(Tabella1[[#This Row],[Best 11]]=1,Tabella1[[#This Row],[fanta voto]],"")</f>
        <v>6</v>
      </c>
      <c r="Y1060">
        <v>1</v>
      </c>
      <c r="Z1060" s="193">
        <f>IF(Tabella1[[#This Row],[Best 11 MOD]]=1,Tabella1[[#This Row],[fanta voto]],"")</f>
        <v>6</v>
      </c>
      <c r="AA1060" t="str">
        <f>CONCATENATE(Tabella1[[#This Row],[GG]],Tabella1[[#This Row],[Nome]])</f>
        <v>4Frattesi</v>
      </c>
      <c r="AB1060" t="str">
        <f t="shared" si="43"/>
        <v>4TRICCHETRACHT1</v>
      </c>
      <c r="AC1060" t="str">
        <f>_xlfn.CONCAT(Tabella1[[#This Row],[Ruolo]],Tabella1[[#This Row],[Gs]])</f>
        <v>C0</v>
      </c>
    </row>
    <row r="1061" spans="1:29" hidden="1" x14ac:dyDescent="0.3">
      <c r="A1061" s="14">
        <v>46277</v>
      </c>
      <c r="B1061" s="15">
        <v>4</v>
      </c>
      <c r="C1061" s="321" t="str">
        <f>_xlfn.XLOOKUP(Tabella1[[#This Row],[Nome]],Tabella4[NOME],Tabella4[SQUADRA],"")</f>
        <v>Lecce</v>
      </c>
      <c r="D1061" t="s">
        <v>161</v>
      </c>
      <c r="E1061" t="s">
        <v>814</v>
      </c>
      <c r="F1061" s="194">
        <v>6</v>
      </c>
      <c r="G1061" s="402">
        <v>0</v>
      </c>
      <c r="H1061" s="402">
        <v>0</v>
      </c>
      <c r="I1061" s="402">
        <v>0</v>
      </c>
      <c r="J1061" s="402">
        <v>0</v>
      </c>
      <c r="K1061" s="402">
        <v>0</v>
      </c>
      <c r="L1061" s="402">
        <v>0</v>
      </c>
      <c r="M1061" s="402">
        <v>0</v>
      </c>
      <c r="N1061" s="402">
        <v>0</v>
      </c>
      <c r="O1061" s="402">
        <v>0</v>
      </c>
      <c r="P1061" s="401"/>
      <c r="Q1061" s="401">
        <f t="shared" si="42"/>
        <v>0</v>
      </c>
      <c r="R1061" s="3" t="str">
        <f>_xlfn.IFNA(VLOOKUP(Tabella1[[#This Row],[Nome]],'ROSE SQUADRE'!$N$3:$O$260,2,0),"")</f>
        <v/>
      </c>
      <c r="S1061" s="193">
        <f>SUM(Tabella1[[#This Row],[Gf]],Tabella1[[#This Row],[Rf]])</f>
        <v>0</v>
      </c>
      <c r="T1061" s="193"/>
      <c r="U1061" s="285" t="str">
        <f>IF(Tabella1[[#This Row],[N° FantaTit]]="","",Tabella1[[#This Row],[fanta voto]])</f>
        <v/>
      </c>
      <c r="V1061" s="193">
        <f>SUM(Tabella1[[#This Row],[Voto]],(G1061*3),Q1061,P1061,O1061,-(N1061),(-M1061/2),(-L1061*2),(-H1061),(I1061*3),(-J1061*3),(K1061*3))</f>
        <v>6</v>
      </c>
      <c r="W1061" s="193"/>
      <c r="X1061" s="193" t="str">
        <f>IF(Tabella1[[#This Row],[Best 11]]=1,Tabella1[[#This Row],[fanta voto]],"")</f>
        <v/>
      </c>
      <c r="Z1061" s="193" t="str">
        <f>IF(Tabella1[[#This Row],[Best 11 MOD]]=1,Tabella1[[#This Row],[fanta voto]],"")</f>
        <v/>
      </c>
      <c r="AA1061" t="str">
        <f>CONCATENATE(Tabella1[[#This Row],[GG]],Tabella1[[#This Row],[Nome]])</f>
        <v>4Siebert</v>
      </c>
      <c r="AB1061" t="str">
        <f t="shared" si="43"/>
        <v>4</v>
      </c>
      <c r="AC1061" t="str">
        <f>_xlfn.CONCAT(Tabella1[[#This Row],[Ruolo]],Tabella1[[#This Row],[Gs]])</f>
        <v>D0</v>
      </c>
    </row>
    <row r="1062" spans="1:29" hidden="1" x14ac:dyDescent="0.3">
      <c r="A1062" s="14">
        <v>46277</v>
      </c>
      <c r="B1062" s="15">
        <v>4</v>
      </c>
      <c r="C1062" s="321" t="str">
        <f>_xlfn.XLOOKUP(Tabella1[[#This Row],[Nome]],Tabella4[NOME],Tabella4[SQUADRA],"")</f>
        <v>Lecce</v>
      </c>
      <c r="D1062" s="330" t="s">
        <v>162</v>
      </c>
      <c r="E1062" s="330" t="s">
        <v>208</v>
      </c>
      <c r="F1062" s="331">
        <v>7</v>
      </c>
      <c r="G1062" s="404">
        <v>0</v>
      </c>
      <c r="H1062" s="404">
        <v>0</v>
      </c>
      <c r="I1062" s="404">
        <v>0</v>
      </c>
      <c r="J1062" s="404">
        <v>0</v>
      </c>
      <c r="K1062" s="404">
        <v>0</v>
      </c>
      <c r="L1062" s="404">
        <v>0</v>
      </c>
      <c r="M1062" s="404">
        <v>0</v>
      </c>
      <c r="N1062" s="404">
        <v>0</v>
      </c>
      <c r="O1062" s="405">
        <v>2</v>
      </c>
      <c r="P1062" s="401"/>
      <c r="Q1062" s="401">
        <f t="shared" si="42"/>
        <v>0</v>
      </c>
      <c r="R1062" s="3" t="str">
        <f>_xlfn.IFNA(VLOOKUP(Tabella1[[#This Row],[Nome]],'ROSE SQUADRE'!$N$3:$O$260,2,0),"")</f>
        <v/>
      </c>
      <c r="S1062" s="193">
        <f>SUM(Tabella1[[#This Row],[Gf]],Tabella1[[#This Row],[Rf]])</f>
        <v>0</v>
      </c>
      <c r="T1062" s="193"/>
      <c r="U1062" s="285" t="str">
        <f>IF(Tabella1[[#This Row],[N° FantaTit]]="","",Tabella1[[#This Row],[fanta voto]])</f>
        <v/>
      </c>
      <c r="V1062" s="193">
        <f>SUM(Tabella1[[#This Row],[Voto]],(G1062*3),Q1062,P1062,O1062,-(N1062),(-M1062/2),(-L1062*2),(-H1062),(I1062*3),(-J1062*3),(K1062*3))</f>
        <v>9</v>
      </c>
      <c r="W1062" s="193"/>
      <c r="X1062" s="193" t="str">
        <f>IF(Tabella1[[#This Row],[Best 11]]=1,Tabella1[[#This Row],[fanta voto]],"")</f>
        <v/>
      </c>
      <c r="Z1062" s="193" t="str">
        <f>IF(Tabella1[[#This Row],[Best 11 MOD]]=1,Tabella1[[#This Row],[fanta voto]],"")</f>
        <v/>
      </c>
      <c r="AA1062" t="str">
        <f>CONCATENATE(Tabella1[[#This Row],[GG]],Tabella1[[#This Row],[Nome]])</f>
        <v>4Ilic</v>
      </c>
      <c r="AB1062" t="str">
        <f t="shared" si="43"/>
        <v>4</v>
      </c>
      <c r="AC1062" t="str">
        <f>_xlfn.CONCAT(Tabella1[[#This Row],[Ruolo]],Tabella1[[#This Row],[Gs]])</f>
        <v>C0</v>
      </c>
    </row>
    <row r="1063" spans="1:29" hidden="1" x14ac:dyDescent="0.3">
      <c r="A1063" s="14">
        <v>46277</v>
      </c>
      <c r="B1063" s="15">
        <v>4</v>
      </c>
      <c r="C1063" s="321" t="str">
        <f>_xlfn.XLOOKUP(Tabella1[[#This Row],[Nome]],Tabella4[NOME],Tabella4[SQUADRA],"")</f>
        <v>Lecce</v>
      </c>
      <c r="D1063" t="s">
        <v>162</v>
      </c>
      <c r="E1063" t="s">
        <v>242</v>
      </c>
      <c r="F1063" s="194">
        <v>6.5</v>
      </c>
      <c r="G1063" s="402">
        <v>0</v>
      </c>
      <c r="H1063" s="402">
        <v>0</v>
      </c>
      <c r="I1063" s="402">
        <v>0</v>
      </c>
      <c r="J1063" s="402">
        <v>0</v>
      </c>
      <c r="K1063" s="402">
        <v>0</v>
      </c>
      <c r="L1063" s="402">
        <v>0</v>
      </c>
      <c r="M1063" s="402">
        <v>0</v>
      </c>
      <c r="N1063" s="402">
        <v>0</v>
      </c>
      <c r="O1063" s="402">
        <v>0</v>
      </c>
      <c r="P1063" s="401"/>
      <c r="Q1063" s="401">
        <f t="shared" si="42"/>
        <v>0</v>
      </c>
      <c r="R1063" s="3" t="str">
        <f>_xlfn.IFNA(VLOOKUP(Tabella1[[#This Row],[Nome]],'ROSE SQUADRE'!$N$3:$O$260,2,0),"")</f>
        <v>SHARK</v>
      </c>
      <c r="S1063" s="193">
        <f>SUM(Tabella1[[#This Row],[Gf]],Tabella1[[#This Row],[Rf]])</f>
        <v>0</v>
      </c>
      <c r="T1063" s="193"/>
      <c r="U1063" s="285" t="str">
        <f>IF(Tabella1[[#This Row],[N° FantaTit]]="","",Tabella1[[#This Row],[fanta voto]])</f>
        <v/>
      </c>
      <c r="V1063" s="193">
        <f>SUM(Tabella1[[#This Row],[Voto]],(G1063*3),Q1063,P1063,O1063,-(N1063),(-M1063/2),(-L1063*2),(-H1063),(I1063*3),(-J1063*3),(K1063*3))</f>
        <v>6.5</v>
      </c>
      <c r="W1063" s="193">
        <v>1</v>
      </c>
      <c r="X1063" s="193">
        <f>IF(Tabella1[[#This Row],[Best 11]]=1,Tabella1[[#This Row],[fanta voto]],"")</f>
        <v>6.5</v>
      </c>
      <c r="Y1063">
        <v>1</v>
      </c>
      <c r="Z1063" s="193">
        <f>IF(Tabella1[[#This Row],[Best 11 MOD]]=1,Tabella1[[#This Row],[fanta voto]],"")</f>
        <v>6.5</v>
      </c>
      <c r="AA1063" t="str">
        <f>CONCATENATE(Tabella1[[#This Row],[GG]],Tabella1[[#This Row],[Nome]])</f>
        <v>4Maleh</v>
      </c>
      <c r="AB1063" t="str">
        <f t="shared" si="43"/>
        <v>4SHARK</v>
      </c>
      <c r="AC1063" t="str">
        <f>_xlfn.CONCAT(Tabella1[[#This Row],[Ruolo]],Tabella1[[#This Row],[Gs]])</f>
        <v>C0</v>
      </c>
    </row>
    <row r="1064" spans="1:29" hidden="1" x14ac:dyDescent="0.3">
      <c r="A1064" s="14">
        <v>46277</v>
      </c>
      <c r="B1064" s="15">
        <v>4</v>
      </c>
      <c r="C1064" s="321" t="str">
        <f>_xlfn.XLOOKUP(Tabella1[[#This Row],[Nome]],Tabella4[NOME],Tabella4[SQUADRA],"")</f>
        <v>Lecce</v>
      </c>
      <c r="D1064" s="330" t="s">
        <v>162</v>
      </c>
      <c r="E1064" s="330" t="s">
        <v>209</v>
      </c>
      <c r="F1064" s="331">
        <v>7.5</v>
      </c>
      <c r="G1064" s="405">
        <v>2</v>
      </c>
      <c r="H1064" s="404">
        <v>0</v>
      </c>
      <c r="I1064" s="404">
        <v>0</v>
      </c>
      <c r="J1064" s="404">
        <v>0</v>
      </c>
      <c r="K1064" s="404">
        <v>0</v>
      </c>
      <c r="L1064" s="404">
        <v>0</v>
      </c>
      <c r="M1064" s="404">
        <v>0</v>
      </c>
      <c r="N1064" s="404">
        <v>0</v>
      </c>
      <c r="O1064" s="404">
        <v>0</v>
      </c>
      <c r="P1064" s="401">
        <v>1</v>
      </c>
      <c r="Q1064" s="401">
        <f t="shared" si="42"/>
        <v>0</v>
      </c>
      <c r="R1064" s="3" t="str">
        <f>_xlfn.IFNA(VLOOKUP(Tabella1[[#This Row],[Nome]],'ROSE SQUADRE'!$N$3:$O$260,2,0),"")</f>
        <v/>
      </c>
      <c r="S1064" s="193">
        <f>SUM(Tabella1[[#This Row],[Gf]],Tabella1[[#This Row],[Rf]])</f>
        <v>2</v>
      </c>
      <c r="T1064" s="193"/>
      <c r="U1064" s="285" t="str">
        <f>IF(Tabella1[[#This Row],[N° FantaTit]]="","",Tabella1[[#This Row],[fanta voto]])</f>
        <v/>
      </c>
      <c r="V1064" s="193">
        <f>SUM(Tabella1[[#This Row],[Voto]],(G1064*3),Q1064,P1064,O1064,-(N1064),(-M1064/2),(-L1064*2),(-H1064),(I1064*3),(-J1064*3),(K1064*3))</f>
        <v>14.5</v>
      </c>
      <c r="W1064" s="193"/>
      <c r="X1064" s="193" t="str">
        <f>IF(Tabella1[[#This Row],[Best 11]]=1,Tabella1[[#This Row],[fanta voto]],"")</f>
        <v/>
      </c>
      <c r="Z1064" s="193" t="str">
        <f>IF(Tabella1[[#This Row],[Best 11 MOD]]=1,Tabella1[[#This Row],[fanta voto]],"")</f>
        <v/>
      </c>
      <c r="AA1064" t="str">
        <f>CONCATENATE(Tabella1[[#This Row],[GG]],Tabella1[[#This Row],[Nome]])</f>
        <v>4Coulibaly L.</v>
      </c>
      <c r="AB1064" t="str">
        <f t="shared" si="43"/>
        <v>4</v>
      </c>
      <c r="AC1064" t="str">
        <f>_xlfn.CONCAT(Tabella1[[#This Row],[Ruolo]],Tabella1[[#This Row],[Gs]])</f>
        <v>C0</v>
      </c>
    </row>
    <row r="1065" spans="1:29" hidden="1" x14ac:dyDescent="0.3">
      <c r="A1065" s="14">
        <v>46277</v>
      </c>
      <c r="B1065" s="15">
        <v>4</v>
      </c>
      <c r="C1065" s="321" t="str">
        <f>_xlfn.XLOOKUP(Tabella1[[#This Row],[Nome]],Tabella4[NOME],Tabella4[SQUADRA],"")</f>
        <v>Lecce</v>
      </c>
      <c r="D1065" s="330" t="s">
        <v>162</v>
      </c>
      <c r="E1065" s="330" t="s">
        <v>546</v>
      </c>
      <c r="F1065" s="331">
        <v>6</v>
      </c>
      <c r="G1065" s="404">
        <v>0</v>
      </c>
      <c r="H1065" s="404">
        <v>0</v>
      </c>
      <c r="I1065" s="404">
        <v>0</v>
      </c>
      <c r="J1065" s="404">
        <v>0</v>
      </c>
      <c r="K1065" s="404">
        <v>0</v>
      </c>
      <c r="L1065" s="404">
        <v>0</v>
      </c>
      <c r="M1065" s="404">
        <v>0</v>
      </c>
      <c r="N1065" s="404">
        <v>0</v>
      </c>
      <c r="O1065" s="404">
        <v>0</v>
      </c>
      <c r="P1065" s="401"/>
      <c r="Q1065" s="401">
        <f t="shared" si="42"/>
        <v>0</v>
      </c>
      <c r="R1065" s="3" t="str">
        <f>_xlfn.IFNA(VLOOKUP(Tabella1[[#This Row],[Nome]],'ROSE SQUADRE'!$N$3:$O$260,2,0),"")</f>
        <v/>
      </c>
      <c r="S1065" s="193">
        <f>SUM(Tabella1[[#This Row],[Gf]],Tabella1[[#This Row],[Rf]])</f>
        <v>0</v>
      </c>
      <c r="T1065" s="193"/>
      <c r="U1065" s="285" t="str">
        <f>IF(Tabella1[[#This Row],[N° FantaTit]]="","",Tabella1[[#This Row],[fanta voto]])</f>
        <v/>
      </c>
      <c r="V1065" s="193">
        <f>SUM(Tabella1[[#This Row],[Voto]],(G1065*3),Q1065,P1065,O1065,-(N1065),(-M1065/2),(-L1065*2),(-H1065),(I1065*3),(-J1065*3),(K1065*3))</f>
        <v>6</v>
      </c>
      <c r="W1065" s="193"/>
      <c r="X1065" s="193" t="str">
        <f>IF(Tabella1[[#This Row],[Best 11]]=1,Tabella1[[#This Row],[fanta voto]],"")</f>
        <v/>
      </c>
      <c r="Z1065" s="193" t="str">
        <f>IF(Tabella1[[#This Row],[Best 11 MOD]]=1,Tabella1[[#This Row],[fanta voto]],"")</f>
        <v/>
      </c>
      <c r="AA1065" t="str">
        <f>CONCATENATE(Tabella1[[#This Row],[GG]],Tabella1[[#This Row],[Nome]])</f>
        <v>4Pierotti</v>
      </c>
      <c r="AB1065" t="str">
        <f t="shared" si="43"/>
        <v>4</v>
      </c>
      <c r="AC1065" t="str">
        <f>_xlfn.CONCAT(Tabella1[[#This Row],[Ruolo]],Tabella1[[#This Row],[Gs]])</f>
        <v>C0</v>
      </c>
    </row>
    <row r="1066" spans="1:29" hidden="1" x14ac:dyDescent="0.3">
      <c r="A1066" s="14">
        <v>46277</v>
      </c>
      <c r="B1066" s="15">
        <v>4</v>
      </c>
      <c r="C1066" s="321" t="str">
        <f>_xlfn.XLOOKUP(Tabella1[[#This Row],[Nome]],Tabella4[NOME],Tabella4[SQUADRA],"")</f>
        <v>Lecce</v>
      </c>
      <c r="D1066" t="s">
        <v>162</v>
      </c>
      <c r="E1066" t="s">
        <v>822</v>
      </c>
      <c r="F1066" s="194">
        <v>6</v>
      </c>
      <c r="G1066" s="402">
        <v>0</v>
      </c>
      <c r="H1066" s="402">
        <v>0</v>
      </c>
      <c r="I1066" s="402">
        <v>0</v>
      </c>
      <c r="J1066" s="402">
        <v>0</v>
      </c>
      <c r="K1066" s="402">
        <v>0</v>
      </c>
      <c r="L1066" s="402">
        <v>0</v>
      </c>
      <c r="M1066" s="402">
        <v>0</v>
      </c>
      <c r="N1066" s="402">
        <v>0</v>
      </c>
      <c r="O1066" s="402">
        <v>0</v>
      </c>
      <c r="P1066" s="401"/>
      <c r="Q1066" s="401">
        <f t="shared" si="42"/>
        <v>0</v>
      </c>
      <c r="R1066" s="3" t="str">
        <f>_xlfn.IFNA(VLOOKUP(Tabella1[[#This Row],[Nome]],'ROSE SQUADRE'!$N$3:$O$260,2,0),"")</f>
        <v/>
      </c>
      <c r="S1066" s="193">
        <f>SUM(Tabella1[[#This Row],[Gf]],Tabella1[[#This Row],[Rf]])</f>
        <v>0</v>
      </c>
      <c r="T1066" s="193"/>
      <c r="U1066" s="285" t="str">
        <f>IF(Tabella1[[#This Row],[N° FantaTit]]="","",Tabella1[[#This Row],[fanta voto]])</f>
        <v/>
      </c>
      <c r="V1066" s="193">
        <f>SUM(Tabella1[[#This Row],[Voto]],(G1066*3),Q1066,P1066,O1066,-(N1066),(-M1066/2),(-L1066*2),(-H1066),(I1066*3),(-J1066*3),(K1066*3))</f>
        <v>6</v>
      </c>
      <c r="W1066" s="193"/>
      <c r="X1066" s="193" t="str">
        <f>IF(Tabella1[[#This Row],[Best 11]]=1,Tabella1[[#This Row],[fanta voto]],"")</f>
        <v/>
      </c>
      <c r="Z1066" s="193" t="str">
        <f>IF(Tabella1[[#This Row],[Best 11 MOD]]=1,Tabella1[[#This Row],[fanta voto]],"")</f>
        <v/>
      </c>
      <c r="AA1066" t="str">
        <f>CONCATENATE(Tabella1[[#This Row],[GG]],Tabella1[[#This Row],[Nome]])</f>
        <v>4Ngom</v>
      </c>
      <c r="AB1066" t="str">
        <f t="shared" si="43"/>
        <v>4</v>
      </c>
      <c r="AC1066" t="str">
        <f>_xlfn.CONCAT(Tabella1[[#This Row],[Ruolo]],Tabella1[[#This Row],[Gs]])</f>
        <v>C0</v>
      </c>
    </row>
    <row r="1067" spans="1:29" hidden="1" x14ac:dyDescent="0.3">
      <c r="A1067" s="14">
        <v>46277</v>
      </c>
      <c r="B1067" s="15">
        <v>4</v>
      </c>
      <c r="C1067" s="321" t="str">
        <f>_xlfn.XLOOKUP(Tabella1[[#This Row],[Nome]],Tabella4[NOME],Tabella4[SQUADRA],"")</f>
        <v>Lecce</v>
      </c>
      <c r="D1067" s="330" t="s">
        <v>162</v>
      </c>
      <c r="E1067" s="330" t="s">
        <v>1053</v>
      </c>
      <c r="F1067" s="331">
        <v>5.5</v>
      </c>
      <c r="G1067" s="404">
        <v>0</v>
      </c>
      <c r="H1067" s="404">
        <v>0</v>
      </c>
      <c r="I1067" s="404">
        <v>0</v>
      </c>
      <c r="J1067" s="404">
        <v>0</v>
      </c>
      <c r="K1067" s="404">
        <v>0</v>
      </c>
      <c r="L1067" s="404">
        <v>0</v>
      </c>
      <c r="M1067" s="404">
        <v>0</v>
      </c>
      <c r="N1067" s="404">
        <v>0</v>
      </c>
      <c r="O1067" s="404">
        <v>0</v>
      </c>
      <c r="P1067" s="401"/>
      <c r="Q1067" s="401">
        <f t="shared" si="42"/>
        <v>0</v>
      </c>
      <c r="R1067" s="3" t="str">
        <f>_xlfn.IFNA(VLOOKUP(Tabella1[[#This Row],[Nome]],'ROSE SQUADRE'!$N$3:$O$260,2,0),"")</f>
        <v/>
      </c>
      <c r="S1067" s="193">
        <f>SUM(Tabella1[[#This Row],[Gf]],Tabella1[[#This Row],[Rf]])</f>
        <v>0</v>
      </c>
      <c r="T1067" s="193"/>
      <c r="U1067" s="285" t="str">
        <f>IF(Tabella1[[#This Row],[N° FantaTit]]="","",Tabella1[[#This Row],[fanta voto]])</f>
        <v/>
      </c>
      <c r="V1067" s="193">
        <f>SUM(Tabella1[[#This Row],[Voto]],(G1067*3),Q1067,P1067,O1067,-(N1067),(-M1067/2),(-L1067*2),(-H1067),(I1067*3),(-J1067*3),(K1067*3))</f>
        <v>5.5</v>
      </c>
      <c r="W1067" s="193"/>
      <c r="X1067" s="193" t="str">
        <f>IF(Tabella1[[#This Row],[Best 11]]=1,Tabella1[[#This Row],[fanta voto]],"")</f>
        <v/>
      </c>
      <c r="Z1067" s="193" t="str">
        <f>IF(Tabella1[[#This Row],[Best 11 MOD]]=1,Tabella1[[#This Row],[fanta voto]],"")</f>
        <v/>
      </c>
      <c r="AA1067" t="str">
        <f>CONCATENATE(Tabella1[[#This Row],[GG]],Tabella1[[#This Row],[Nome]])</f>
        <v>4Monteiro J.</v>
      </c>
      <c r="AB1067" t="str">
        <f t="shared" si="43"/>
        <v>4</v>
      </c>
      <c r="AC1067" t="str">
        <f>_xlfn.CONCAT(Tabella1[[#This Row],[Ruolo]],Tabella1[[#This Row],[Gs]])</f>
        <v>C0</v>
      </c>
    </row>
    <row r="1068" spans="1:29" hidden="1" x14ac:dyDescent="0.3">
      <c r="A1068" s="14">
        <v>46277</v>
      </c>
      <c r="B1068" s="15">
        <v>4</v>
      </c>
      <c r="C1068" s="321" t="str">
        <f>_xlfn.XLOOKUP(Tabella1[[#This Row],[Nome]],Tabella4[NOME],Tabella4[SQUADRA],"")</f>
        <v>Lecce</v>
      </c>
      <c r="D1068" t="s">
        <v>163</v>
      </c>
      <c r="E1068" t="s">
        <v>824</v>
      </c>
      <c r="F1068" s="194">
        <v>6</v>
      </c>
      <c r="G1068" s="402">
        <v>0</v>
      </c>
      <c r="H1068" s="402">
        <v>0</v>
      </c>
      <c r="I1068" s="402">
        <v>0</v>
      </c>
      <c r="J1068" s="402">
        <v>0</v>
      </c>
      <c r="K1068" s="402">
        <v>0</v>
      </c>
      <c r="L1068" s="402">
        <v>0</v>
      </c>
      <c r="M1068" s="403">
        <v>1</v>
      </c>
      <c r="N1068" s="402">
        <v>0</v>
      </c>
      <c r="O1068" s="402">
        <v>0</v>
      </c>
      <c r="P1068" s="401"/>
      <c r="Q1068" s="401">
        <f t="shared" si="42"/>
        <v>0</v>
      </c>
      <c r="R1068" s="3" t="str">
        <f>_xlfn.IFNA(VLOOKUP(Tabella1[[#This Row],[Nome]],'ROSE SQUADRE'!$N$3:$O$260,2,0),"")</f>
        <v/>
      </c>
      <c r="S1068" s="193">
        <f>SUM(Tabella1[[#This Row],[Gf]],Tabella1[[#This Row],[Rf]])</f>
        <v>0</v>
      </c>
      <c r="T1068" s="193"/>
      <c r="U1068" s="285" t="str">
        <f>IF(Tabella1[[#This Row],[N° FantaTit]]="","",Tabella1[[#This Row],[fanta voto]])</f>
        <v/>
      </c>
      <c r="V1068" s="193">
        <f>SUM(Tabella1[[#This Row],[Voto]],(G1068*3),Q1068,P1068,O1068,-(N1068),(-M1068/2),(-L1068*2),(-H1068),(I1068*3),(-J1068*3),(K1068*3))</f>
        <v>5.5</v>
      </c>
      <c r="W1068" s="193"/>
      <c r="X1068" s="193" t="str">
        <f>IF(Tabella1[[#This Row],[Best 11]]=1,Tabella1[[#This Row],[fanta voto]],"")</f>
        <v/>
      </c>
      <c r="Z1068" s="193" t="str">
        <f>IF(Tabella1[[#This Row],[Best 11 MOD]]=1,Tabella1[[#This Row],[fanta voto]],"")</f>
        <v/>
      </c>
      <c r="AA1068" t="str">
        <f>CONCATENATE(Tabella1[[#This Row],[GG]],Tabella1[[#This Row],[Nome]])</f>
        <v>4N'Dri</v>
      </c>
      <c r="AB1068" t="str">
        <f t="shared" si="43"/>
        <v>4</v>
      </c>
      <c r="AC1068" t="str">
        <f>_xlfn.CONCAT(Tabella1[[#This Row],[Ruolo]],Tabella1[[#This Row],[Gs]])</f>
        <v>A0</v>
      </c>
    </row>
    <row r="1069" spans="1:29" hidden="1" x14ac:dyDescent="0.3">
      <c r="A1069" s="14">
        <v>46277</v>
      </c>
      <c r="B1069" s="15">
        <v>4</v>
      </c>
      <c r="C1069" s="321" t="str">
        <f>_xlfn.XLOOKUP(Tabella1[[#This Row],[Nome]],Tabella4[NOME],Tabella4[SQUADRA],"")</f>
        <v>Lecce</v>
      </c>
      <c r="D1069" s="330" t="s">
        <v>163</v>
      </c>
      <c r="E1069" s="330" t="s">
        <v>825</v>
      </c>
      <c r="F1069" s="331">
        <v>6</v>
      </c>
      <c r="G1069" s="404">
        <v>0</v>
      </c>
      <c r="H1069" s="404">
        <v>0</v>
      </c>
      <c r="I1069" s="404">
        <v>0</v>
      </c>
      <c r="J1069" s="404">
        <v>0</v>
      </c>
      <c r="K1069" s="404">
        <v>0</v>
      </c>
      <c r="L1069" s="404">
        <v>0</v>
      </c>
      <c r="M1069" s="404">
        <v>0</v>
      </c>
      <c r="N1069" s="404">
        <v>0</v>
      </c>
      <c r="O1069" s="404">
        <v>0</v>
      </c>
      <c r="P1069" s="401"/>
      <c r="Q1069" s="401">
        <f t="shared" si="42"/>
        <v>0</v>
      </c>
      <c r="R1069" s="3" t="str">
        <f>_xlfn.IFNA(VLOOKUP(Tabella1[[#This Row],[Nome]],'ROSE SQUADRE'!$N$3:$O$260,2,0),"")</f>
        <v/>
      </c>
      <c r="S1069" s="193">
        <f>SUM(Tabella1[[#This Row],[Gf]],Tabella1[[#This Row],[Rf]])</f>
        <v>0</v>
      </c>
      <c r="T1069" s="193"/>
      <c r="U1069" s="285" t="str">
        <f>IF(Tabella1[[#This Row],[N° FantaTit]]="","",Tabella1[[#This Row],[fanta voto]])</f>
        <v/>
      </c>
      <c r="V1069" s="193">
        <f>SUM(Tabella1[[#This Row],[Voto]],(G1069*3),Q1069,P1069,O1069,-(N1069),(-M1069/2),(-L1069*2),(-H1069),(I1069*3),(-J1069*3),(K1069*3))</f>
        <v>6</v>
      </c>
      <c r="W1069" s="193"/>
      <c r="X1069" s="193" t="str">
        <f>IF(Tabella1[[#This Row],[Best 11]]=1,Tabella1[[#This Row],[fanta voto]],"")</f>
        <v/>
      </c>
      <c r="Z1069" s="193" t="str">
        <f>IF(Tabella1[[#This Row],[Best 11 MOD]]=1,Tabella1[[#This Row],[fanta voto]],"")</f>
        <v/>
      </c>
      <c r="AA1069" t="str">
        <f>CONCATENATE(Tabella1[[#This Row],[GG]],Tabella1[[#This Row],[Nome]])</f>
        <v>4Stulic</v>
      </c>
      <c r="AB1069" t="str">
        <f t="shared" si="43"/>
        <v>4</v>
      </c>
      <c r="AC1069" t="str">
        <f>_xlfn.CONCAT(Tabella1[[#This Row],[Ruolo]],Tabella1[[#This Row],[Gs]])</f>
        <v>A0</v>
      </c>
    </row>
    <row r="1070" spans="1:29" hidden="1" x14ac:dyDescent="0.3">
      <c r="A1070" s="14">
        <v>46277</v>
      </c>
      <c r="B1070" s="15">
        <v>4</v>
      </c>
      <c r="C1070" s="321" t="str">
        <f>_xlfn.XLOOKUP(Tabella1[[#This Row],[Nome]],Tabella4[NOME],Tabella4[SQUADRA],"")</f>
        <v>Lecce</v>
      </c>
      <c r="D1070" t="s">
        <v>163</v>
      </c>
      <c r="E1070" t="s">
        <v>1017</v>
      </c>
      <c r="F1070" s="194">
        <v>6</v>
      </c>
      <c r="G1070" s="402">
        <v>0</v>
      </c>
      <c r="H1070" s="402">
        <v>0</v>
      </c>
      <c r="I1070" s="402">
        <v>0</v>
      </c>
      <c r="J1070" s="402">
        <v>0</v>
      </c>
      <c r="K1070" s="402">
        <v>0</v>
      </c>
      <c r="L1070" s="402">
        <v>0</v>
      </c>
      <c r="M1070" s="402">
        <v>0</v>
      </c>
      <c r="N1070" s="402">
        <v>0</v>
      </c>
      <c r="O1070" s="402">
        <v>0</v>
      </c>
      <c r="P1070" s="401"/>
      <c r="Q1070" s="401">
        <f t="shared" si="42"/>
        <v>0</v>
      </c>
      <c r="R1070" s="3" t="str">
        <f>_xlfn.IFNA(VLOOKUP(Tabella1[[#This Row],[Nome]],'ROSE SQUADRE'!$N$3:$O$260,2,0),"")</f>
        <v/>
      </c>
      <c r="S1070" s="193">
        <f>SUM(Tabella1[[#This Row],[Gf]],Tabella1[[#This Row],[Rf]])</f>
        <v>0</v>
      </c>
      <c r="T1070" s="193"/>
      <c r="U1070" s="285" t="str">
        <f>IF(Tabella1[[#This Row],[N° FantaTit]]="","",Tabella1[[#This Row],[fanta voto]])</f>
        <v/>
      </c>
      <c r="V1070" s="193">
        <f>SUM(Tabella1[[#This Row],[Voto]],(G1070*3),Q1070,P1070,O1070,-(N1070),(-M1070/2),(-L1070*2),(-H1070),(I1070*3),(-J1070*3),(K1070*3))</f>
        <v>6</v>
      </c>
      <c r="W1070" s="193"/>
      <c r="X1070" s="193" t="str">
        <f>IF(Tabella1[[#This Row],[Best 11]]=1,Tabella1[[#This Row],[fanta voto]],"")</f>
        <v/>
      </c>
      <c r="Z1070" s="193" t="str">
        <f>IF(Tabella1[[#This Row],[Best 11 MOD]]=1,Tabella1[[#This Row],[fanta voto]],"")</f>
        <v/>
      </c>
      <c r="AA1070" t="str">
        <f>CONCATENATE(Tabella1[[#This Row],[GG]],Tabella1[[#This Row],[Nome]])</f>
        <v>4Fatah</v>
      </c>
      <c r="AB1070" t="str">
        <f t="shared" si="43"/>
        <v>4</v>
      </c>
      <c r="AC1070" t="str">
        <f>_xlfn.CONCAT(Tabella1[[#This Row],[Ruolo]],Tabella1[[#This Row],[Gs]])</f>
        <v>A0</v>
      </c>
    </row>
    <row r="1071" spans="1:29" hidden="1" x14ac:dyDescent="0.3">
      <c r="A1071" s="14">
        <v>46277</v>
      </c>
      <c r="B1071" s="15">
        <v>4</v>
      </c>
      <c r="C1071" s="321" t="str">
        <f>_xlfn.XLOOKUP(Tabella1[[#This Row],[Nome]],Tabella4[NOME],Tabella4[SQUADRA],"")</f>
        <v/>
      </c>
      <c r="D1071" s="330" t="s">
        <v>163</v>
      </c>
      <c r="E1071" s="330" t="s">
        <v>1092</v>
      </c>
      <c r="F1071" s="331">
        <v>6</v>
      </c>
      <c r="G1071" s="404">
        <v>0</v>
      </c>
      <c r="H1071" s="404">
        <v>0</v>
      </c>
      <c r="I1071" s="404">
        <v>0</v>
      </c>
      <c r="J1071" s="404">
        <v>0</v>
      </c>
      <c r="K1071" s="404">
        <v>0</v>
      </c>
      <c r="L1071" s="404">
        <v>0</v>
      </c>
      <c r="M1071" s="404">
        <v>0</v>
      </c>
      <c r="N1071" s="404">
        <v>0</v>
      </c>
      <c r="O1071" s="404">
        <v>0</v>
      </c>
      <c r="P1071" s="401"/>
      <c r="Q1071" s="401">
        <f t="shared" si="42"/>
        <v>0</v>
      </c>
      <c r="R1071" s="3" t="str">
        <f>_xlfn.IFNA(VLOOKUP(Tabella1[[#This Row],[Nome]],'ROSE SQUADRE'!$N$3:$O$260,2,0),"")</f>
        <v/>
      </c>
      <c r="S1071" s="193">
        <f>SUM(Tabella1[[#This Row],[Gf]],Tabella1[[#This Row],[Rf]])</f>
        <v>0</v>
      </c>
      <c r="T1071" s="193"/>
      <c r="U1071" s="285" t="str">
        <f>IF(Tabella1[[#This Row],[N° FantaTit]]="","",Tabella1[[#This Row],[fanta voto]])</f>
        <v/>
      </c>
      <c r="V1071" s="193">
        <f>SUM(Tabella1[[#This Row],[Voto]],(G1071*3),Q1071,P1071,O1071,-(N1071),(-M1071/2),(-L1071*2),(-H1071),(I1071*3),(-J1071*3),(K1071*3))</f>
        <v>6</v>
      </c>
      <c r="W1071" s="193"/>
      <c r="X1071" s="193" t="str">
        <f>IF(Tabella1[[#This Row],[Best 11]]=1,Tabella1[[#This Row],[fanta voto]],"")</f>
        <v/>
      </c>
      <c r="Z1071" s="193" t="str">
        <f>IF(Tabella1[[#This Row],[Best 11 MOD]]=1,Tabella1[[#This Row],[fanta voto]],"")</f>
        <v/>
      </c>
      <c r="AA1071" t="str">
        <f>CONCATENATE(Tabella1[[#This Row],[GG]],Tabella1[[#This Row],[Nome]])</f>
        <v>4Esteban</v>
      </c>
      <c r="AB1071" t="str">
        <f t="shared" si="43"/>
        <v>4</v>
      </c>
      <c r="AC1071" t="str">
        <f>_xlfn.CONCAT(Tabella1[[#This Row],[Ruolo]],Tabella1[[#This Row],[Gs]])</f>
        <v>A0</v>
      </c>
    </row>
    <row r="1072" spans="1:29" hidden="1" x14ac:dyDescent="0.3">
      <c r="A1072" s="14">
        <v>46277</v>
      </c>
      <c r="B1072" s="15">
        <v>4</v>
      </c>
      <c r="C1072" s="321" t="str">
        <f>_xlfn.XLOOKUP(Tabella1[[#This Row],[Nome]],Tabella4[NOME],Tabella4[SQUADRA],"")</f>
        <v>Milan</v>
      </c>
      <c r="D1072" t="s">
        <v>162</v>
      </c>
      <c r="E1072" t="s">
        <v>463</v>
      </c>
      <c r="F1072" s="194">
        <v>6.5</v>
      </c>
      <c r="G1072" s="402">
        <v>0</v>
      </c>
      <c r="H1072" s="402">
        <v>0</v>
      </c>
      <c r="I1072" s="402">
        <v>0</v>
      </c>
      <c r="J1072" s="402">
        <v>0</v>
      </c>
      <c r="K1072" s="402">
        <v>0</v>
      </c>
      <c r="L1072" s="402">
        <v>0</v>
      </c>
      <c r="M1072" s="403">
        <v>1</v>
      </c>
      <c r="N1072" s="402">
        <v>0</v>
      </c>
      <c r="O1072" s="403">
        <v>1</v>
      </c>
      <c r="P1072" s="401"/>
      <c r="Q1072" s="401">
        <f t="shared" si="42"/>
        <v>0</v>
      </c>
      <c r="R1072" s="3" t="str">
        <f>_xlfn.IFNA(VLOOKUP(Tabella1[[#This Row],[Nome]],'ROSE SQUADRE'!$N$3:$O$260,2,0),"")</f>
        <v>AC ASPARAGHESE</v>
      </c>
      <c r="S1072" s="193">
        <f>SUM(Tabella1[[#This Row],[Gf]],Tabella1[[#This Row],[Rf]])</f>
        <v>0</v>
      </c>
      <c r="T1072" s="193"/>
      <c r="U1072" s="285" t="str">
        <f>IF(Tabella1[[#This Row],[N° FantaTit]]="","",Tabella1[[#This Row],[fanta voto]])</f>
        <v/>
      </c>
      <c r="V1072" s="193">
        <f>SUM(Tabella1[[#This Row],[Voto]],(G1072*3),Q1072,P1072,O1072,-(N1072),(-M1072/2),(-L1072*2),(-H1072),(I1072*3),(-J1072*3),(K1072*3))</f>
        <v>7</v>
      </c>
      <c r="W1072" s="193">
        <v>1</v>
      </c>
      <c r="X1072" s="193">
        <f>IF(Tabella1[[#This Row],[Best 11]]=1,Tabella1[[#This Row],[fanta voto]],"")</f>
        <v>7</v>
      </c>
      <c r="Y1072">
        <v>1</v>
      </c>
      <c r="Z1072" s="193">
        <f>IF(Tabella1[[#This Row],[Best 11 MOD]]=1,Tabella1[[#This Row],[fanta voto]],"")</f>
        <v>7</v>
      </c>
      <c r="AA1072" t="str">
        <f>CONCATENATE(Tabella1[[#This Row],[GG]],Tabella1[[#This Row],[Nome]])</f>
        <v>4Pulisic</v>
      </c>
      <c r="AB1072" t="str">
        <f t="shared" si="43"/>
        <v>4AC ASPARAGHESE</v>
      </c>
      <c r="AC1072" t="str">
        <f>_xlfn.CONCAT(Tabella1[[#This Row],[Ruolo]],Tabella1[[#This Row],[Gs]])</f>
        <v>C0</v>
      </c>
    </row>
    <row r="1073" spans="1:29" hidden="1" x14ac:dyDescent="0.3">
      <c r="A1073" s="14">
        <v>46277</v>
      </c>
      <c r="B1073" s="15">
        <v>4</v>
      </c>
      <c r="C1073" s="321" t="str">
        <f>_xlfn.XLOOKUP(Tabella1[[#This Row],[Nome]],Tabella4[NOME],Tabella4[SQUADRA],"")</f>
        <v>Monza</v>
      </c>
      <c r="D1073" s="330" t="s">
        <v>161</v>
      </c>
      <c r="E1073" s="330" t="s">
        <v>847</v>
      </c>
      <c r="F1073" s="331">
        <v>5.5</v>
      </c>
      <c r="G1073" s="404">
        <v>0</v>
      </c>
      <c r="H1073" s="404">
        <v>0</v>
      </c>
      <c r="I1073" s="404">
        <v>0</v>
      </c>
      <c r="J1073" s="404">
        <v>0</v>
      </c>
      <c r="K1073" s="404">
        <v>0</v>
      </c>
      <c r="L1073" s="404">
        <v>0</v>
      </c>
      <c r="M1073" s="404">
        <v>0</v>
      </c>
      <c r="N1073" s="404">
        <v>0</v>
      </c>
      <c r="O1073" s="404">
        <v>0</v>
      </c>
      <c r="P1073" s="401"/>
      <c r="Q1073" s="401">
        <f t="shared" si="42"/>
        <v>0</v>
      </c>
      <c r="R1073" s="3" t="str">
        <f>_xlfn.IFNA(VLOOKUP(Tabella1[[#This Row],[Nome]],'ROSE SQUADRE'!$N$3:$O$260,2,0),"")</f>
        <v/>
      </c>
      <c r="S1073" s="193">
        <f>SUM(Tabella1[[#This Row],[Gf]],Tabella1[[#This Row],[Rf]])</f>
        <v>0</v>
      </c>
      <c r="T1073" s="193"/>
      <c r="U1073" s="285" t="str">
        <f>IF(Tabella1[[#This Row],[N° FantaTit]]="","",Tabella1[[#This Row],[fanta voto]])</f>
        <v/>
      </c>
      <c r="V1073" s="193">
        <f>SUM(Tabella1[[#This Row],[Voto]],(G1073*3),Q1073,P1073,O1073,-(N1073),(-M1073/2),(-L1073*2),(-H1073),(I1073*3),(-J1073*3),(K1073*3))</f>
        <v>5.5</v>
      </c>
      <c r="W1073" s="193"/>
      <c r="X1073" s="193" t="str">
        <f>IF(Tabella1[[#This Row],[Best 11]]=1,Tabella1[[#This Row],[fanta voto]],"")</f>
        <v/>
      </c>
      <c r="Z1073" s="193" t="str">
        <f>IF(Tabella1[[#This Row],[Best 11 MOD]]=1,Tabella1[[#This Row],[fanta voto]],"")</f>
        <v/>
      </c>
      <c r="AA1073" t="str">
        <f>CONCATENATE(Tabella1[[#This Row],[GG]],Tabella1[[#This Row],[Nome]])</f>
        <v>4Carboni A.</v>
      </c>
      <c r="AB1073" t="str">
        <f t="shared" si="43"/>
        <v>4</v>
      </c>
      <c r="AC1073" t="str">
        <f>_xlfn.CONCAT(Tabella1[[#This Row],[Ruolo]],Tabella1[[#This Row],[Gs]])</f>
        <v>D0</v>
      </c>
    </row>
    <row r="1074" spans="1:29" hidden="1" x14ac:dyDescent="0.3">
      <c r="A1074" s="14">
        <v>46277</v>
      </c>
      <c r="B1074" s="15">
        <v>4</v>
      </c>
      <c r="C1074" s="321" t="str">
        <f>_xlfn.XLOOKUP(Tabella1[[#This Row],[Nome]],Tabella4[NOME],Tabella4[SQUADRA],"")</f>
        <v>Monza</v>
      </c>
      <c r="D1074" t="s">
        <v>161</v>
      </c>
      <c r="E1074" t="s">
        <v>250</v>
      </c>
      <c r="F1074" s="194">
        <v>6</v>
      </c>
      <c r="G1074" s="402">
        <v>0</v>
      </c>
      <c r="H1074" s="402">
        <v>0</v>
      </c>
      <c r="I1074" s="402">
        <v>0</v>
      </c>
      <c r="J1074" s="402">
        <v>0</v>
      </c>
      <c r="K1074" s="402">
        <v>0</v>
      </c>
      <c r="L1074" s="402">
        <v>0</v>
      </c>
      <c r="M1074" s="402">
        <v>0</v>
      </c>
      <c r="N1074" s="402">
        <v>0</v>
      </c>
      <c r="O1074" s="403">
        <v>1</v>
      </c>
      <c r="P1074" s="401"/>
      <c r="Q1074" s="401">
        <f t="shared" si="42"/>
        <v>0</v>
      </c>
      <c r="R1074" s="3" t="str">
        <f>_xlfn.IFNA(VLOOKUP(Tabella1[[#This Row],[Nome]],'ROSE SQUADRE'!$N$3:$O$260,2,0),"")</f>
        <v/>
      </c>
      <c r="S1074" s="193">
        <f>SUM(Tabella1[[#This Row],[Gf]],Tabella1[[#This Row],[Rf]])</f>
        <v>0</v>
      </c>
      <c r="T1074" s="193"/>
      <c r="U1074" s="285" t="str">
        <f>IF(Tabella1[[#This Row],[N° FantaTit]]="","",Tabella1[[#This Row],[fanta voto]])</f>
        <v/>
      </c>
      <c r="V1074" s="193">
        <f>SUM(Tabella1[[#This Row],[Voto]],(G1074*3),Q1074,P1074,O1074,-(N1074),(-M1074/2),(-L1074*2),(-H1074),(I1074*3),(-J1074*3),(K1074*3))</f>
        <v>7</v>
      </c>
      <c r="W1074" s="193"/>
      <c r="X1074" s="193" t="str">
        <f>IF(Tabella1[[#This Row],[Best 11]]=1,Tabella1[[#This Row],[fanta voto]],"")</f>
        <v/>
      </c>
      <c r="Z1074" s="193" t="str">
        <f>IF(Tabella1[[#This Row],[Best 11 MOD]]=1,Tabella1[[#This Row],[fanta voto]],"")</f>
        <v/>
      </c>
      <c r="AA1074" t="str">
        <f>CONCATENATE(Tabella1[[#This Row],[GG]],Tabella1[[#This Row],[Nome]])</f>
        <v>4Birindelli</v>
      </c>
      <c r="AB1074" t="str">
        <f t="shared" si="43"/>
        <v>4</v>
      </c>
      <c r="AC1074" t="str">
        <f>_xlfn.CONCAT(Tabella1[[#This Row],[Ruolo]],Tabella1[[#This Row],[Gs]])</f>
        <v>D0</v>
      </c>
    </row>
    <row r="1075" spans="1:29" hidden="1" x14ac:dyDescent="0.3">
      <c r="A1075" s="14">
        <v>46277</v>
      </c>
      <c r="B1075" s="15">
        <v>4</v>
      </c>
      <c r="C1075" s="321" t="str">
        <f>_xlfn.XLOOKUP(Tabella1[[#This Row],[Nome]],Tabella4[NOME],Tabella4[SQUADRA],"")</f>
        <v>Monza</v>
      </c>
      <c r="D1075" s="330" t="s">
        <v>161</v>
      </c>
      <c r="E1075" s="330" t="s">
        <v>850</v>
      </c>
      <c r="F1075" s="331">
        <v>5</v>
      </c>
      <c r="G1075" s="404">
        <v>0</v>
      </c>
      <c r="H1075" s="404">
        <v>0</v>
      </c>
      <c r="I1075" s="404">
        <v>0</v>
      </c>
      <c r="J1075" s="404">
        <v>0</v>
      </c>
      <c r="K1075" s="404">
        <v>0</v>
      </c>
      <c r="L1075" s="404">
        <v>0</v>
      </c>
      <c r="M1075" s="404">
        <v>0</v>
      </c>
      <c r="N1075" s="404">
        <v>0</v>
      </c>
      <c r="O1075" s="404">
        <v>0</v>
      </c>
      <c r="P1075" s="401"/>
      <c r="Q1075" s="401">
        <f t="shared" si="42"/>
        <v>0</v>
      </c>
      <c r="R1075" s="3" t="str">
        <f>_xlfn.IFNA(VLOOKUP(Tabella1[[#This Row],[Nome]],'ROSE SQUADRE'!$N$3:$O$260,2,0),"")</f>
        <v/>
      </c>
      <c r="S1075" s="193">
        <f>SUM(Tabella1[[#This Row],[Gf]],Tabella1[[#This Row],[Rf]])</f>
        <v>0</v>
      </c>
      <c r="T1075" s="193"/>
      <c r="U1075" s="285" t="str">
        <f>IF(Tabella1[[#This Row],[N° FantaTit]]="","",Tabella1[[#This Row],[fanta voto]])</f>
        <v/>
      </c>
      <c r="V1075" s="193">
        <f>SUM(Tabella1[[#This Row],[Voto]],(G1075*3),Q1075,P1075,O1075,-(N1075),(-M1075/2),(-L1075*2),(-H1075),(I1075*3),(-J1075*3),(K1075*3))</f>
        <v>5</v>
      </c>
      <c r="W1075" s="193"/>
      <c r="X1075" s="193" t="str">
        <f>IF(Tabella1[[#This Row],[Best 11]]=1,Tabella1[[#This Row],[fanta voto]],"")</f>
        <v/>
      </c>
      <c r="Z1075" s="193" t="str">
        <f>IF(Tabella1[[#This Row],[Best 11 MOD]]=1,Tabella1[[#This Row],[fanta voto]],"")</f>
        <v/>
      </c>
      <c r="AA1075" t="str">
        <f>CONCATENATE(Tabella1[[#This Row],[GG]],Tabella1[[#This Row],[Nome]])</f>
        <v>4Lucchesi</v>
      </c>
      <c r="AB1075" t="str">
        <f t="shared" si="43"/>
        <v>4</v>
      </c>
      <c r="AC1075" t="str">
        <f>_xlfn.CONCAT(Tabella1[[#This Row],[Ruolo]],Tabella1[[#This Row],[Gs]])</f>
        <v>D0</v>
      </c>
    </row>
    <row r="1076" spans="1:29" hidden="1" x14ac:dyDescent="0.3">
      <c r="A1076" s="14">
        <v>46277</v>
      </c>
      <c r="B1076" s="15">
        <v>4</v>
      </c>
      <c r="C1076" s="321" t="str">
        <f>_xlfn.XLOOKUP(Tabella1[[#This Row],[Nome]],Tabella4[NOME],Tabella4[SQUADRA],"")</f>
        <v>Monza</v>
      </c>
      <c r="D1076" t="s">
        <v>161</v>
      </c>
      <c r="E1076" t="s">
        <v>849</v>
      </c>
      <c r="F1076" s="194">
        <v>5</v>
      </c>
      <c r="G1076" s="402">
        <v>0</v>
      </c>
      <c r="H1076" s="402">
        <v>0</v>
      </c>
      <c r="I1076" s="402">
        <v>0</v>
      </c>
      <c r="J1076" s="402">
        <v>0</v>
      </c>
      <c r="K1076" s="402">
        <v>0</v>
      </c>
      <c r="L1076" s="402">
        <v>0</v>
      </c>
      <c r="M1076" s="402">
        <v>0</v>
      </c>
      <c r="N1076" s="402">
        <v>0</v>
      </c>
      <c r="O1076" s="402">
        <v>0</v>
      </c>
      <c r="P1076" s="401"/>
      <c r="Q1076" s="401">
        <f t="shared" si="42"/>
        <v>0</v>
      </c>
      <c r="R1076" s="3" t="str">
        <f>_xlfn.IFNA(VLOOKUP(Tabella1[[#This Row],[Nome]],'ROSE SQUADRE'!$N$3:$O$260,2,0),"")</f>
        <v/>
      </c>
      <c r="S1076" s="193">
        <f>SUM(Tabella1[[#This Row],[Gf]],Tabella1[[#This Row],[Rf]])</f>
        <v>0</v>
      </c>
      <c r="T1076" s="193"/>
      <c r="U1076" s="285" t="str">
        <f>IF(Tabella1[[#This Row],[N° FantaTit]]="","",Tabella1[[#This Row],[fanta voto]])</f>
        <v/>
      </c>
      <c r="V1076" s="193">
        <f>SUM(Tabella1[[#This Row],[Voto]],(G1076*3),Q1076,P1076,O1076,-(N1076),(-M1076/2),(-L1076*2),(-H1076),(I1076*3),(-J1076*3),(K1076*3))</f>
        <v>5</v>
      </c>
      <c r="W1076" s="193"/>
      <c r="X1076" s="193" t="str">
        <f>IF(Tabella1[[#This Row],[Best 11]]=1,Tabella1[[#This Row],[fanta voto]],"")</f>
        <v/>
      </c>
      <c r="Z1076" s="193" t="str">
        <f>IF(Tabella1[[#This Row],[Best 11 MOD]]=1,Tabella1[[#This Row],[fanta voto]],"")</f>
        <v/>
      </c>
      <c r="AA1076" t="str">
        <f>CONCATENATE(Tabella1[[#This Row],[GG]],Tabella1[[#This Row],[Nome]])</f>
        <v>4Kouadio</v>
      </c>
      <c r="AB1076" t="str">
        <f t="shared" si="43"/>
        <v>4</v>
      </c>
      <c r="AC1076" t="str">
        <f>_xlfn.CONCAT(Tabella1[[#This Row],[Ruolo]],Tabella1[[#This Row],[Gs]])</f>
        <v>D0</v>
      </c>
    </row>
    <row r="1077" spans="1:29" hidden="1" x14ac:dyDescent="0.3">
      <c r="A1077" s="14">
        <v>46277</v>
      </c>
      <c r="B1077" s="15">
        <v>4</v>
      </c>
      <c r="C1077" s="321" t="str">
        <f>_xlfn.XLOOKUP(Tabella1[[#This Row],[Nome]],Tabella4[NOME],Tabella4[SQUADRA],"")</f>
        <v>Monza</v>
      </c>
      <c r="D1077" s="330" t="s">
        <v>161</v>
      </c>
      <c r="E1077" s="330" t="s">
        <v>846</v>
      </c>
      <c r="F1077" s="331">
        <v>5.5</v>
      </c>
      <c r="G1077" s="404">
        <v>0</v>
      </c>
      <c r="H1077" s="404">
        <v>0</v>
      </c>
      <c r="I1077" s="404">
        <v>0</v>
      </c>
      <c r="J1077" s="404">
        <v>0</v>
      </c>
      <c r="K1077" s="404">
        <v>0</v>
      </c>
      <c r="L1077" s="404">
        <v>0</v>
      </c>
      <c r="M1077" s="404">
        <v>0</v>
      </c>
      <c r="N1077" s="404">
        <v>0</v>
      </c>
      <c r="O1077" s="404">
        <v>0</v>
      </c>
      <c r="P1077" s="401"/>
      <c r="Q1077" s="401">
        <f t="shared" si="42"/>
        <v>0</v>
      </c>
      <c r="R1077" s="3" t="str">
        <f>_xlfn.IFNA(VLOOKUP(Tabella1[[#This Row],[Nome]],'ROSE SQUADRE'!$N$3:$O$260,2,0),"")</f>
        <v/>
      </c>
      <c r="S1077" s="193">
        <f>SUM(Tabella1[[#This Row],[Gf]],Tabella1[[#This Row],[Rf]])</f>
        <v>0</v>
      </c>
      <c r="T1077" s="193"/>
      <c r="U1077" s="285" t="str">
        <f>IF(Tabella1[[#This Row],[N° FantaTit]]="","",Tabella1[[#This Row],[fanta voto]])</f>
        <v/>
      </c>
      <c r="V1077" s="193">
        <f>SUM(Tabella1[[#This Row],[Voto]],(G1077*3),Q1077,P1077,O1077,-(N1077),(-M1077/2),(-L1077*2),(-H1077),(I1077*3),(-J1077*3),(K1077*3))</f>
        <v>5.5</v>
      </c>
      <c r="W1077" s="193"/>
      <c r="X1077" s="193" t="str">
        <f>IF(Tabella1[[#This Row],[Best 11]]=1,Tabella1[[#This Row],[fanta voto]],"")</f>
        <v/>
      </c>
      <c r="Z1077" s="193" t="str">
        <f>IF(Tabella1[[#This Row],[Best 11 MOD]]=1,Tabella1[[#This Row],[fanta voto]],"")</f>
        <v/>
      </c>
      <c r="AA1077" t="str">
        <f>CONCATENATE(Tabella1[[#This Row],[GG]],Tabella1[[#This Row],[Nome]])</f>
        <v>4Bakoune</v>
      </c>
      <c r="AB1077" t="str">
        <f t="shared" si="43"/>
        <v>4</v>
      </c>
      <c r="AC1077" t="str">
        <f>_xlfn.CONCAT(Tabella1[[#This Row],[Ruolo]],Tabella1[[#This Row],[Gs]])</f>
        <v>D0</v>
      </c>
    </row>
    <row r="1078" spans="1:29" hidden="1" x14ac:dyDescent="0.3">
      <c r="A1078" s="14">
        <v>46277</v>
      </c>
      <c r="B1078" s="15">
        <v>4</v>
      </c>
      <c r="C1078" s="321" t="str">
        <f>_xlfn.XLOOKUP(Tabella1[[#This Row],[Nome]],Tabella4[NOME],Tabella4[SQUADRA],"")</f>
        <v>Monza</v>
      </c>
      <c r="D1078" t="s">
        <v>161</v>
      </c>
      <c r="E1078" t="s">
        <v>851</v>
      </c>
      <c r="F1078" s="194">
        <v>7</v>
      </c>
      <c r="G1078" s="403">
        <v>1</v>
      </c>
      <c r="H1078" s="402">
        <v>0</v>
      </c>
      <c r="I1078" s="402">
        <v>0</v>
      </c>
      <c r="J1078" s="402">
        <v>0</v>
      </c>
      <c r="K1078" s="402">
        <v>0</v>
      </c>
      <c r="L1078" s="402">
        <v>0</v>
      </c>
      <c r="M1078" s="402">
        <v>0</v>
      </c>
      <c r="N1078" s="402">
        <v>0</v>
      </c>
      <c r="O1078" s="402">
        <v>0</v>
      </c>
      <c r="P1078" s="401"/>
      <c r="Q1078" s="401">
        <f t="shared" si="42"/>
        <v>0</v>
      </c>
      <c r="R1078" s="3" t="str">
        <f>_xlfn.IFNA(VLOOKUP(Tabella1[[#This Row],[Nome]],'ROSE SQUADRE'!$N$3:$O$260,2,0),"")</f>
        <v/>
      </c>
      <c r="S1078" s="193">
        <f>SUM(Tabella1[[#This Row],[Gf]],Tabella1[[#This Row],[Rf]])</f>
        <v>1</v>
      </c>
      <c r="T1078" s="193"/>
      <c r="U1078" s="285" t="str">
        <f>IF(Tabella1[[#This Row],[N° FantaTit]]="","",Tabella1[[#This Row],[fanta voto]])</f>
        <v/>
      </c>
      <c r="V1078" s="193">
        <f>SUM(Tabella1[[#This Row],[Voto]],(G1078*3),Q1078,P1078,O1078,-(N1078),(-M1078/2),(-L1078*2),(-H1078),(I1078*3),(-J1078*3),(K1078*3))</f>
        <v>10</v>
      </c>
      <c r="W1078" s="193"/>
      <c r="X1078" s="193" t="str">
        <f>IF(Tabella1[[#This Row],[Best 11]]=1,Tabella1[[#This Row],[fanta voto]],"")</f>
        <v/>
      </c>
      <c r="Z1078" s="193" t="str">
        <f>IF(Tabella1[[#This Row],[Best 11 MOD]]=1,Tabella1[[#This Row],[fanta voto]],"")</f>
        <v/>
      </c>
      <c r="AA1078" t="str">
        <f>CONCATENATE(Tabella1[[#This Row],[GG]],Tabella1[[#This Row],[Nome]])</f>
        <v>4Mangas</v>
      </c>
      <c r="AB1078" t="str">
        <f t="shared" si="43"/>
        <v>4</v>
      </c>
      <c r="AC1078" t="str">
        <f>_xlfn.CONCAT(Tabella1[[#This Row],[Ruolo]],Tabella1[[#This Row],[Gs]])</f>
        <v>D0</v>
      </c>
    </row>
    <row r="1079" spans="1:29" hidden="1" x14ac:dyDescent="0.3">
      <c r="A1079" s="14">
        <v>46277</v>
      </c>
      <c r="B1079" s="15">
        <v>4</v>
      </c>
      <c r="C1079" s="321" t="str">
        <f>_xlfn.XLOOKUP(Tabella1[[#This Row],[Nome]],Tabella4[NOME],Tabella4[SQUADRA],"")</f>
        <v>Monza</v>
      </c>
      <c r="D1079" s="330" t="s">
        <v>162</v>
      </c>
      <c r="E1079" s="330" t="s">
        <v>328</v>
      </c>
      <c r="F1079" s="331">
        <v>5.5</v>
      </c>
      <c r="G1079" s="404">
        <v>0</v>
      </c>
      <c r="H1079" s="404">
        <v>0</v>
      </c>
      <c r="I1079" s="404">
        <v>0</v>
      </c>
      <c r="J1079" s="404">
        <v>0</v>
      </c>
      <c r="K1079" s="404">
        <v>0</v>
      </c>
      <c r="L1079" s="404">
        <v>0</v>
      </c>
      <c r="M1079" s="404">
        <v>0</v>
      </c>
      <c r="N1079" s="404">
        <v>0</v>
      </c>
      <c r="O1079" s="404">
        <v>0</v>
      </c>
      <c r="P1079" s="401"/>
      <c r="Q1079" s="401">
        <f t="shared" si="42"/>
        <v>0</v>
      </c>
      <c r="R1079" s="3" t="str">
        <f>_xlfn.IFNA(VLOOKUP(Tabella1[[#This Row],[Nome]],'ROSE SQUADRE'!$N$3:$O$260,2,0),"")</f>
        <v>AS PIPPERIA</v>
      </c>
      <c r="S1079" s="193">
        <f>SUM(Tabella1[[#This Row],[Gf]],Tabella1[[#This Row],[Rf]])</f>
        <v>0</v>
      </c>
      <c r="T1079" s="193">
        <v>1</v>
      </c>
      <c r="U1079" s="285">
        <f>IF(Tabella1[[#This Row],[N° FantaTit]]="","",Tabella1[[#This Row],[fanta voto]])</f>
        <v>5.5</v>
      </c>
      <c r="V1079" s="193">
        <f>SUM(Tabella1[[#This Row],[Voto]],(G1079*3),Q1079,P1079,O1079,-(N1079),(-M1079/2),(-L1079*2),(-H1079),(I1079*3),(-J1079*3),(K1079*3))</f>
        <v>5.5</v>
      </c>
      <c r="W1079" s="193">
        <v>1</v>
      </c>
      <c r="X1079" s="193">
        <f>IF(Tabella1[[#This Row],[Best 11]]=1,Tabella1[[#This Row],[fanta voto]],"")</f>
        <v>5.5</v>
      </c>
      <c r="Y1079">
        <v>1</v>
      </c>
      <c r="Z1079" s="193">
        <f>IF(Tabella1[[#This Row],[Best 11 MOD]]=1,Tabella1[[#This Row],[fanta voto]],"")</f>
        <v>5.5</v>
      </c>
      <c r="AA1079" t="str">
        <f>CONCATENATE(Tabella1[[#This Row],[GG]],Tabella1[[#This Row],[Nome]])</f>
        <v>4Colpani</v>
      </c>
      <c r="AB1079" t="str">
        <f t="shared" si="43"/>
        <v>4AS PIPPERIA1</v>
      </c>
      <c r="AC1079" t="str">
        <f>_xlfn.CONCAT(Tabella1[[#This Row],[Ruolo]],Tabella1[[#This Row],[Gs]])</f>
        <v>C0</v>
      </c>
    </row>
    <row r="1080" spans="1:29" hidden="1" x14ac:dyDescent="0.3">
      <c r="A1080" s="14">
        <v>46277</v>
      </c>
      <c r="B1080" s="15">
        <v>4</v>
      </c>
      <c r="C1080" s="321" t="str">
        <f>_xlfn.XLOOKUP(Tabella1[[#This Row],[Nome]],Tabella4[NOME],Tabella4[SQUADRA],"")</f>
        <v>Monza</v>
      </c>
      <c r="D1080" t="s">
        <v>162</v>
      </c>
      <c r="E1080" t="s">
        <v>865</v>
      </c>
      <c r="F1080" s="194">
        <v>5</v>
      </c>
      <c r="G1080" s="402">
        <v>0</v>
      </c>
      <c r="H1080" s="402">
        <v>0</v>
      </c>
      <c r="I1080" s="402">
        <v>0</v>
      </c>
      <c r="J1080" s="402">
        <v>0</v>
      </c>
      <c r="K1080" s="402">
        <v>0</v>
      </c>
      <c r="L1080" s="402">
        <v>0</v>
      </c>
      <c r="M1080" s="402">
        <v>0</v>
      </c>
      <c r="N1080" s="402">
        <v>0</v>
      </c>
      <c r="O1080" s="402">
        <v>0</v>
      </c>
      <c r="P1080" s="401"/>
      <c r="Q1080" s="401">
        <f t="shared" ref="Q1080:Q1143" si="44">IF(AC1080="P0",1,0)</f>
        <v>0</v>
      </c>
      <c r="R1080" s="3" t="str">
        <f>_xlfn.IFNA(VLOOKUP(Tabella1[[#This Row],[Nome]],'ROSE SQUADRE'!$N$3:$O$260,2,0),"")</f>
        <v/>
      </c>
      <c r="S1080" s="193">
        <f>SUM(Tabella1[[#This Row],[Gf]],Tabella1[[#This Row],[Rf]])</f>
        <v>0</v>
      </c>
      <c r="T1080" s="193"/>
      <c r="U1080" s="285" t="str">
        <f>IF(Tabella1[[#This Row],[N° FantaTit]]="","",Tabella1[[#This Row],[fanta voto]])</f>
        <v/>
      </c>
      <c r="V1080" s="193">
        <f>SUM(Tabella1[[#This Row],[Voto]],(G1080*3),Q1080,P1080,O1080,-(N1080),(-M1080/2),(-L1080*2),(-H1080),(I1080*3),(-J1080*3),(K1080*3))</f>
        <v>5</v>
      </c>
      <c r="W1080" s="193"/>
      <c r="X1080" s="193" t="str">
        <f>IF(Tabella1[[#This Row],[Best 11]]=1,Tabella1[[#This Row],[fanta voto]],"")</f>
        <v/>
      </c>
      <c r="Z1080" s="193" t="str">
        <f>IF(Tabella1[[#This Row],[Best 11 MOD]]=1,Tabella1[[#This Row],[fanta voto]],"")</f>
        <v/>
      </c>
      <c r="AA1080" t="str">
        <f>CONCATENATE(Tabella1[[#This Row],[GG]],Tabella1[[#This Row],[Nome]])</f>
        <v>4Folorunsho</v>
      </c>
      <c r="AB1080" t="str">
        <f t="shared" ref="AB1080:AB1143" si="45">CONCATENATE(B1080,R1080,T1080)</f>
        <v>4</v>
      </c>
      <c r="AC1080" t="str">
        <f>_xlfn.CONCAT(Tabella1[[#This Row],[Ruolo]],Tabella1[[#This Row],[Gs]])</f>
        <v>C0</v>
      </c>
    </row>
    <row r="1081" spans="1:29" hidden="1" x14ac:dyDescent="0.3">
      <c r="A1081" s="14">
        <v>46277</v>
      </c>
      <c r="B1081" s="15">
        <v>4</v>
      </c>
      <c r="C1081" s="321" t="str">
        <f>_xlfn.XLOOKUP(Tabella1[[#This Row],[Nome]],Tabella4[NOME],Tabella4[SQUADRA],"")</f>
        <v>Monza</v>
      </c>
      <c r="D1081" s="330" t="s">
        <v>162</v>
      </c>
      <c r="E1081" s="330" t="s">
        <v>855</v>
      </c>
      <c r="F1081" s="331">
        <v>6</v>
      </c>
      <c r="G1081" s="404">
        <v>0</v>
      </c>
      <c r="H1081" s="404">
        <v>0</v>
      </c>
      <c r="I1081" s="404">
        <v>0</v>
      </c>
      <c r="J1081" s="404">
        <v>0</v>
      </c>
      <c r="K1081" s="404">
        <v>0</v>
      </c>
      <c r="L1081" s="404">
        <v>0</v>
      </c>
      <c r="M1081" s="404">
        <v>0</v>
      </c>
      <c r="N1081" s="404">
        <v>0</v>
      </c>
      <c r="O1081" s="404">
        <v>0</v>
      </c>
      <c r="P1081" s="401"/>
      <c r="Q1081" s="401">
        <f t="shared" si="44"/>
        <v>0</v>
      </c>
      <c r="R1081" s="3" t="str">
        <f>_xlfn.IFNA(VLOOKUP(Tabella1[[#This Row],[Nome]],'ROSE SQUADRE'!$N$3:$O$260,2,0),"")</f>
        <v/>
      </c>
      <c r="S1081" s="193">
        <f>SUM(Tabella1[[#This Row],[Gf]],Tabella1[[#This Row],[Rf]])</f>
        <v>0</v>
      </c>
      <c r="T1081" s="193"/>
      <c r="U1081" s="285" t="str">
        <f>IF(Tabella1[[#This Row],[N° FantaTit]]="","",Tabella1[[#This Row],[fanta voto]])</f>
        <v/>
      </c>
      <c r="V1081" s="193">
        <f>SUM(Tabella1[[#This Row],[Voto]],(G1081*3),Q1081,P1081,O1081,-(N1081),(-M1081/2),(-L1081*2),(-H1081),(I1081*3),(-J1081*3),(K1081*3))</f>
        <v>6</v>
      </c>
      <c r="W1081" s="193"/>
      <c r="X1081" s="193" t="str">
        <f>IF(Tabella1[[#This Row],[Best 11]]=1,Tabella1[[#This Row],[fanta voto]],"")</f>
        <v/>
      </c>
      <c r="Z1081" s="193" t="str">
        <f>IF(Tabella1[[#This Row],[Best 11 MOD]]=1,Tabella1[[#This Row],[fanta voto]],"")</f>
        <v/>
      </c>
      <c r="AA1081" t="str">
        <f>CONCATENATE(Tabella1[[#This Row],[GG]],Tabella1[[#This Row],[Nome]])</f>
        <v>4Forson O.</v>
      </c>
      <c r="AB1081" t="str">
        <f t="shared" si="45"/>
        <v>4</v>
      </c>
      <c r="AC1081" t="str">
        <f>_xlfn.CONCAT(Tabella1[[#This Row],[Ruolo]],Tabella1[[#This Row],[Gs]])</f>
        <v>C0</v>
      </c>
    </row>
    <row r="1082" spans="1:29" hidden="1" x14ac:dyDescent="0.3">
      <c r="A1082" s="14">
        <v>46277</v>
      </c>
      <c r="B1082" s="15">
        <v>4</v>
      </c>
      <c r="C1082" s="321" t="str">
        <f>_xlfn.XLOOKUP(Tabella1[[#This Row],[Nome]],Tabella4[NOME],Tabella4[SQUADRA],"")</f>
        <v>Monza</v>
      </c>
      <c r="D1082" t="s">
        <v>162</v>
      </c>
      <c r="E1082" t="s">
        <v>852</v>
      </c>
      <c r="F1082" s="194">
        <v>5.5</v>
      </c>
      <c r="G1082" s="402">
        <v>0</v>
      </c>
      <c r="H1082" s="402">
        <v>0</v>
      </c>
      <c r="I1082" s="402">
        <v>0</v>
      </c>
      <c r="J1082" s="402">
        <v>0</v>
      </c>
      <c r="K1082" s="402">
        <v>0</v>
      </c>
      <c r="L1082" s="402">
        <v>0</v>
      </c>
      <c r="M1082" s="402">
        <v>0</v>
      </c>
      <c r="N1082" s="402">
        <v>0</v>
      </c>
      <c r="O1082" s="402">
        <v>0</v>
      </c>
      <c r="P1082" s="401"/>
      <c r="Q1082" s="401">
        <f t="shared" si="44"/>
        <v>0</v>
      </c>
      <c r="R1082" s="3" t="str">
        <f>_xlfn.IFNA(VLOOKUP(Tabella1[[#This Row],[Nome]],'ROSE SQUADRE'!$N$3:$O$260,2,0),"")</f>
        <v/>
      </c>
      <c r="S1082" s="193">
        <f>SUM(Tabella1[[#This Row],[Gf]],Tabella1[[#This Row],[Rf]])</f>
        <v>0</v>
      </c>
      <c r="T1082" s="193"/>
      <c r="U1082" s="285" t="str">
        <f>IF(Tabella1[[#This Row],[N° FantaTit]]="","",Tabella1[[#This Row],[fanta voto]])</f>
        <v/>
      </c>
      <c r="V1082" s="193">
        <f>SUM(Tabella1[[#This Row],[Voto]],(G1082*3),Q1082,P1082,O1082,-(N1082),(-M1082/2),(-L1082*2),(-H1082),(I1082*3),(-J1082*3),(K1082*3))</f>
        <v>5.5</v>
      </c>
      <c r="W1082" s="193"/>
      <c r="X1082" s="193" t="str">
        <f>IF(Tabella1[[#This Row],[Best 11]]=1,Tabella1[[#This Row],[fanta voto]],"")</f>
        <v/>
      </c>
      <c r="Z1082" s="193" t="str">
        <f>IF(Tabella1[[#This Row],[Best 11 MOD]]=1,Tabella1[[#This Row],[fanta voto]],"")</f>
        <v/>
      </c>
      <c r="AA1082" t="str">
        <f>CONCATENATE(Tabella1[[#This Row],[GG]],Tabella1[[#This Row],[Nome]])</f>
        <v>4Akinsanmiro</v>
      </c>
      <c r="AB1082" t="str">
        <f t="shared" si="45"/>
        <v>4</v>
      </c>
      <c r="AC1082" t="str">
        <f>_xlfn.CONCAT(Tabella1[[#This Row],[Ruolo]],Tabella1[[#This Row],[Gs]])</f>
        <v>C0</v>
      </c>
    </row>
    <row r="1083" spans="1:29" x14ac:dyDescent="0.3">
      <c r="A1083" s="14">
        <v>46277</v>
      </c>
      <c r="B1083" s="15">
        <v>4</v>
      </c>
      <c r="C1083" s="321" t="str">
        <f>_xlfn.XLOOKUP(Tabella1[[#This Row],[Nome]],Tabella4[NOME],Tabella4[SQUADRA],"")</f>
        <v>Napoli</v>
      </c>
      <c r="D1083" t="s">
        <v>162</v>
      </c>
      <c r="E1083" t="s">
        <v>295</v>
      </c>
      <c r="F1083" s="194">
        <v>7.5</v>
      </c>
      <c r="G1083" s="403">
        <v>1</v>
      </c>
      <c r="H1083" s="402">
        <v>0</v>
      </c>
      <c r="I1083" s="402">
        <v>0</v>
      </c>
      <c r="J1083" s="402">
        <v>0</v>
      </c>
      <c r="K1083" s="402">
        <v>0</v>
      </c>
      <c r="L1083" s="402">
        <v>0</v>
      </c>
      <c r="M1083" s="402">
        <v>0</v>
      </c>
      <c r="N1083" s="402">
        <v>0</v>
      </c>
      <c r="O1083" s="402">
        <v>0</v>
      </c>
      <c r="P1083" s="401">
        <v>1</v>
      </c>
      <c r="Q1083" s="401">
        <f t="shared" si="44"/>
        <v>0</v>
      </c>
      <c r="R1083" s="3" t="str">
        <f>_xlfn.IFNA(VLOOKUP(Tabella1[[#This Row],[Nome]],'ROSE SQUADRE'!$N$3:$O$260,2,0),"")</f>
        <v>SHARK</v>
      </c>
      <c r="S1083" s="193">
        <f>SUM(Tabella1[[#This Row],[Gf]],Tabella1[[#This Row],[Rf]])</f>
        <v>1</v>
      </c>
      <c r="T1083" s="193">
        <v>1</v>
      </c>
      <c r="U1083" s="285">
        <f>IF(Tabella1[[#This Row],[N° FantaTit]]="","",Tabella1[[#This Row],[fanta voto]])</f>
        <v>11.5</v>
      </c>
      <c r="V1083" s="193">
        <f>SUM(Tabella1[[#This Row],[Voto]],(G1083*3),Q1083,P1083,O1083,-(N1083),(-M1083/2),(-L1083*2),(-H1083),(I1083*3),(-J1083*3),(K1083*3))</f>
        <v>11.5</v>
      </c>
      <c r="W1083" s="193">
        <v>1</v>
      </c>
      <c r="X1083" s="193">
        <f>IF(Tabella1[[#This Row],[Best 11]]=1,Tabella1[[#This Row],[fanta voto]],"")</f>
        <v>11.5</v>
      </c>
      <c r="Y1083">
        <v>1</v>
      </c>
      <c r="Z1083" s="193">
        <f>IF(Tabella1[[#This Row],[Best 11 MOD]]=1,Tabella1[[#This Row],[fanta voto]],"")</f>
        <v>11.5</v>
      </c>
      <c r="AA1083" t="str">
        <f>CONCATENATE(Tabella1[[#This Row],[GG]],Tabella1[[#This Row],[Nome]])</f>
        <v>4Lobotka</v>
      </c>
      <c r="AB1083" t="str">
        <f t="shared" si="45"/>
        <v>4SHARK1</v>
      </c>
      <c r="AC1083" t="str">
        <f>_xlfn.CONCAT(Tabella1[[#This Row],[Ruolo]],Tabella1[[#This Row],[Gs]])</f>
        <v>C0</v>
      </c>
    </row>
    <row r="1084" spans="1:29" hidden="1" x14ac:dyDescent="0.3">
      <c r="A1084" s="14">
        <v>46277</v>
      </c>
      <c r="B1084" s="15">
        <v>4</v>
      </c>
      <c r="C1084" s="321" t="str">
        <f>_xlfn.XLOOKUP(Tabella1[[#This Row],[Nome]],Tabella4[NOME],Tabella4[SQUADRA],"")</f>
        <v>Bologna</v>
      </c>
      <c r="D1084" s="330" t="s">
        <v>162</v>
      </c>
      <c r="E1084" s="330" t="s">
        <v>656</v>
      </c>
      <c r="F1084" s="331">
        <v>6</v>
      </c>
      <c r="G1084" s="404">
        <v>0</v>
      </c>
      <c r="H1084" s="404">
        <v>0</v>
      </c>
      <c r="I1084" s="404">
        <v>0</v>
      </c>
      <c r="J1084" s="404">
        <v>0</v>
      </c>
      <c r="K1084" s="404">
        <v>0</v>
      </c>
      <c r="L1084" s="404">
        <v>0</v>
      </c>
      <c r="M1084" s="404">
        <v>0</v>
      </c>
      <c r="N1084" s="404">
        <v>0</v>
      </c>
      <c r="O1084" s="404">
        <v>0</v>
      </c>
      <c r="P1084" s="401"/>
      <c r="Q1084" s="401">
        <f t="shared" si="44"/>
        <v>0</v>
      </c>
      <c r="R1084" s="3" t="str">
        <f>_xlfn.IFNA(VLOOKUP(Tabella1[[#This Row],[Nome]],'ROSE SQUADRE'!$N$3:$O$260,2,0),"")</f>
        <v>AC ASPARAGHESE</v>
      </c>
      <c r="S1084" s="193">
        <f>SUM(Tabella1[[#This Row],[Gf]],Tabella1[[#This Row],[Rf]])</f>
        <v>0</v>
      </c>
      <c r="T1084" s="193"/>
      <c r="U1084" s="285" t="str">
        <f>IF(Tabella1[[#This Row],[N° FantaTit]]="","",Tabella1[[#This Row],[fanta voto]])</f>
        <v/>
      </c>
      <c r="V1084" s="193">
        <f>SUM(Tabella1[[#This Row],[Voto]],(G1084*3),Q1084,P1084,O1084,-(N1084),(-M1084/2),(-L1084*2),(-H1084),(I1084*3),(-J1084*3),(K1084*3))</f>
        <v>6</v>
      </c>
      <c r="W1084" s="193"/>
      <c r="X1084" s="193" t="str">
        <f>IF(Tabella1[[#This Row],[Best 11]]=1,Tabella1[[#This Row],[fanta voto]],"")</f>
        <v/>
      </c>
      <c r="Z1084" s="193" t="str">
        <f>IF(Tabella1[[#This Row],[Best 11 MOD]]=1,Tabella1[[#This Row],[fanta voto]],"")</f>
        <v/>
      </c>
      <c r="AA1084" t="str">
        <f>CONCATENATE(Tabella1[[#This Row],[GG]],Tabella1[[#This Row],[Nome]])</f>
        <v>4Bernardeschi</v>
      </c>
      <c r="AB1084" t="str">
        <f t="shared" si="45"/>
        <v>4AC ASPARAGHESE</v>
      </c>
      <c r="AC1084" t="str">
        <f>_xlfn.CONCAT(Tabella1[[#This Row],[Ruolo]],Tabella1[[#This Row],[Gs]])</f>
        <v>C0</v>
      </c>
    </row>
    <row r="1085" spans="1:29" hidden="1" x14ac:dyDescent="0.3">
      <c r="A1085" s="14">
        <v>46277</v>
      </c>
      <c r="B1085" s="15">
        <v>4</v>
      </c>
      <c r="C1085" s="321" t="str">
        <f>_xlfn.XLOOKUP(Tabella1[[#This Row],[Nome]],Tabella4[NOME],Tabella4[SQUADRA],"")</f>
        <v>Monza</v>
      </c>
      <c r="D1085" t="s">
        <v>163</v>
      </c>
      <c r="E1085" t="s">
        <v>857</v>
      </c>
      <c r="F1085" s="194">
        <v>6.5</v>
      </c>
      <c r="G1085" s="402">
        <v>0</v>
      </c>
      <c r="H1085" s="402">
        <v>0</v>
      </c>
      <c r="I1085" s="402">
        <v>0</v>
      </c>
      <c r="J1085" s="402">
        <v>0</v>
      </c>
      <c r="K1085" s="402">
        <v>0</v>
      </c>
      <c r="L1085" s="402">
        <v>0</v>
      </c>
      <c r="M1085" s="402">
        <v>0</v>
      </c>
      <c r="N1085" s="402">
        <v>0</v>
      </c>
      <c r="O1085" s="402">
        <v>0</v>
      </c>
      <c r="P1085" s="401"/>
      <c r="Q1085" s="401">
        <f t="shared" si="44"/>
        <v>0</v>
      </c>
      <c r="R1085" s="3" t="str">
        <f>_xlfn.IFNA(VLOOKUP(Tabella1[[#This Row],[Nome]],'ROSE SQUADRE'!$N$3:$O$260,2,0),"")</f>
        <v/>
      </c>
      <c r="S1085" s="193">
        <f>SUM(Tabella1[[#This Row],[Gf]],Tabella1[[#This Row],[Rf]])</f>
        <v>0</v>
      </c>
      <c r="T1085" s="193"/>
      <c r="U1085" s="285" t="str">
        <f>IF(Tabella1[[#This Row],[N° FantaTit]]="","",Tabella1[[#This Row],[fanta voto]])</f>
        <v/>
      </c>
      <c r="V1085" s="193">
        <f>SUM(Tabella1[[#This Row],[Voto]],(G1085*3),Q1085,P1085,O1085,-(N1085),(-M1085/2),(-L1085*2),(-H1085),(I1085*3),(-J1085*3),(K1085*3))</f>
        <v>6.5</v>
      </c>
      <c r="W1085" s="193"/>
      <c r="X1085" s="193" t="str">
        <f>IF(Tabella1[[#This Row],[Best 11]]=1,Tabella1[[#This Row],[fanta voto]],"")</f>
        <v/>
      </c>
      <c r="Z1085" s="193" t="str">
        <f>IF(Tabella1[[#This Row],[Best 11 MOD]]=1,Tabella1[[#This Row],[fanta voto]],"")</f>
        <v/>
      </c>
      <c r="AA1085" t="str">
        <f>CONCATENATE(Tabella1[[#This Row],[GG]],Tabella1[[#This Row],[Nome]])</f>
        <v>4Robinson J.</v>
      </c>
      <c r="AB1085" t="str">
        <f t="shared" si="45"/>
        <v>4</v>
      </c>
      <c r="AC1085" t="str">
        <f>_xlfn.CONCAT(Tabella1[[#This Row],[Ruolo]],Tabella1[[#This Row],[Gs]])</f>
        <v>A0</v>
      </c>
    </row>
    <row r="1086" spans="1:29" hidden="1" x14ac:dyDescent="0.3">
      <c r="A1086" s="14">
        <v>46277</v>
      </c>
      <c r="B1086" s="15">
        <v>4</v>
      </c>
      <c r="C1086" s="321" t="str">
        <f>_xlfn.XLOOKUP(Tabella1[[#This Row],[Nome]],Tabella4[NOME],Tabella4[SQUADRA],"")</f>
        <v/>
      </c>
      <c r="D1086" s="330" t="s">
        <v>163</v>
      </c>
      <c r="E1086" s="330" t="s">
        <v>1093</v>
      </c>
      <c r="F1086" s="331">
        <v>6.5</v>
      </c>
      <c r="G1086" s="405">
        <v>1</v>
      </c>
      <c r="H1086" s="404">
        <v>0</v>
      </c>
      <c r="I1086" s="404">
        <v>0</v>
      </c>
      <c r="J1086" s="404">
        <v>0</v>
      </c>
      <c r="K1086" s="404">
        <v>0</v>
      </c>
      <c r="L1086" s="404">
        <v>0</v>
      </c>
      <c r="M1086" s="404">
        <v>0</v>
      </c>
      <c r="N1086" s="404">
        <v>0</v>
      </c>
      <c r="O1086" s="404">
        <v>0</v>
      </c>
      <c r="P1086" s="401"/>
      <c r="Q1086" s="401">
        <f t="shared" si="44"/>
        <v>0</v>
      </c>
      <c r="R1086" s="3" t="str">
        <f>_xlfn.IFNA(VLOOKUP(Tabella1[[#This Row],[Nome]],'ROSE SQUADRE'!$N$3:$O$260,2,0),"")</f>
        <v/>
      </c>
      <c r="S1086" s="193">
        <f>SUM(Tabella1[[#This Row],[Gf]],Tabella1[[#This Row],[Rf]])</f>
        <v>1</v>
      </c>
      <c r="T1086" s="193"/>
      <c r="U1086" s="285" t="str">
        <f>IF(Tabella1[[#This Row],[N° FantaTit]]="","",Tabella1[[#This Row],[fanta voto]])</f>
        <v/>
      </c>
      <c r="V1086" s="193">
        <f>SUM(Tabella1[[#This Row],[Voto]],(G1086*3),Q1086,P1086,O1086,-(N1086),(-M1086/2),(-L1086*2),(-H1086),(I1086*3),(-J1086*3),(K1086*3))</f>
        <v>9.5</v>
      </c>
      <c r="W1086" s="193"/>
      <c r="X1086" s="193" t="str">
        <f>IF(Tabella1[[#This Row],[Best 11]]=1,Tabella1[[#This Row],[fanta voto]],"")</f>
        <v/>
      </c>
      <c r="Z1086" s="193" t="str">
        <f>IF(Tabella1[[#This Row],[Best 11 MOD]]=1,Tabella1[[#This Row],[fanta voto]],"")</f>
        <v/>
      </c>
      <c r="AA1086" t="str">
        <f>CONCATENATE(Tabella1[[#This Row],[GG]],Tabella1[[#This Row],[Nome]])</f>
        <v>4Zeballos</v>
      </c>
      <c r="AB1086" t="str">
        <f t="shared" si="45"/>
        <v>4</v>
      </c>
      <c r="AC1086" t="str">
        <f>_xlfn.CONCAT(Tabella1[[#This Row],[Ruolo]],Tabella1[[#This Row],[Gs]])</f>
        <v>A0</v>
      </c>
    </row>
    <row r="1087" spans="1:29" hidden="1" x14ac:dyDescent="0.3">
      <c r="A1087" s="14">
        <v>46277</v>
      </c>
      <c r="B1087" s="15">
        <v>4</v>
      </c>
      <c r="C1087" s="321" t="str">
        <f>_xlfn.XLOOKUP(Tabella1[[#This Row],[Nome]],Tabella4[NOME],Tabella4[SQUADRA],"")</f>
        <v>Atalanta</v>
      </c>
      <c r="D1087" s="330" t="s">
        <v>163</v>
      </c>
      <c r="E1087" s="330" t="s">
        <v>248</v>
      </c>
      <c r="F1087" s="331">
        <v>5</v>
      </c>
      <c r="G1087" s="404">
        <v>0</v>
      </c>
      <c r="H1087" s="404">
        <v>0</v>
      </c>
      <c r="I1087" s="404">
        <v>0</v>
      </c>
      <c r="J1087" s="404">
        <v>0</v>
      </c>
      <c r="K1087" s="404">
        <v>0</v>
      </c>
      <c r="L1087" s="404">
        <v>0</v>
      </c>
      <c r="M1087" s="404">
        <v>0</v>
      </c>
      <c r="N1087" s="404">
        <v>0</v>
      </c>
      <c r="O1087" s="404">
        <v>0</v>
      </c>
      <c r="P1087" s="401"/>
      <c r="Q1087" s="401">
        <f t="shared" si="44"/>
        <v>0</v>
      </c>
      <c r="R1087" s="3" t="str">
        <f>_xlfn.IFNA(VLOOKUP(Tabella1[[#This Row],[Nome]],'ROSE SQUADRE'!$N$3:$O$260,2,0),"")</f>
        <v>PESCICULINI</v>
      </c>
      <c r="S1087" s="193">
        <f>SUM(Tabella1[[#This Row],[Gf]],Tabella1[[#This Row],[Rf]])</f>
        <v>0</v>
      </c>
      <c r="T1087" s="193">
        <v>1</v>
      </c>
      <c r="U1087" s="285">
        <f>IF(Tabella1[[#This Row],[N° FantaTit]]="","",Tabella1[[#This Row],[fanta voto]])</f>
        <v>5</v>
      </c>
      <c r="V1087" s="193">
        <f>SUM(Tabella1[[#This Row],[Voto]],(G1087*3),Q1087,P1087,O1087,-(N1087),(-M1087/2),(-L1087*2),(-H1087),(I1087*3),(-J1087*3),(K1087*3))</f>
        <v>5</v>
      </c>
      <c r="W1087" s="193"/>
      <c r="X1087" s="193" t="str">
        <f>IF(Tabella1[[#This Row],[Best 11]]=1,Tabella1[[#This Row],[fanta voto]],"")</f>
        <v/>
      </c>
      <c r="Z1087" s="193" t="str">
        <f>IF(Tabella1[[#This Row],[Best 11 MOD]]=1,Tabella1[[#This Row],[fanta voto]],"")</f>
        <v/>
      </c>
      <c r="AA1087" t="str">
        <f>CONCATENATE(Tabella1[[#This Row],[GG]],Tabella1[[#This Row],[Nome]])</f>
        <v>4De Ketelaere</v>
      </c>
      <c r="AB1087" t="str">
        <f t="shared" si="45"/>
        <v>4PESCICULINI1</v>
      </c>
      <c r="AC1087" t="str">
        <f>_xlfn.CONCAT(Tabella1[[#This Row],[Ruolo]],Tabella1[[#This Row],[Gs]])</f>
        <v>A0</v>
      </c>
    </row>
    <row r="1088" spans="1:29" x14ac:dyDescent="0.3">
      <c r="A1088" s="14">
        <v>46277</v>
      </c>
      <c r="B1088" s="15">
        <v>4</v>
      </c>
      <c r="C1088" s="321" t="str">
        <f>_xlfn.XLOOKUP(Tabella1[[#This Row],[Nome]],Tabella4[NOME],Tabella4[SQUADRA],"")</f>
        <v>Inter</v>
      </c>
      <c r="D1088" s="330" t="s">
        <v>163</v>
      </c>
      <c r="E1088" s="330" t="s">
        <v>565</v>
      </c>
      <c r="F1088" s="331">
        <v>7</v>
      </c>
      <c r="G1088" s="405">
        <v>1</v>
      </c>
      <c r="H1088" s="404">
        <v>0</v>
      </c>
      <c r="I1088" s="404">
        <v>0</v>
      </c>
      <c r="J1088" s="404">
        <v>0</v>
      </c>
      <c r="K1088" s="404">
        <v>0</v>
      </c>
      <c r="L1088" s="404">
        <v>0</v>
      </c>
      <c r="M1088" s="404">
        <v>0</v>
      </c>
      <c r="N1088" s="404">
        <v>0</v>
      </c>
      <c r="O1088" s="404">
        <v>0</v>
      </c>
      <c r="P1088" s="401"/>
      <c r="Q1088" s="401">
        <f t="shared" si="44"/>
        <v>0</v>
      </c>
      <c r="R1088" s="3" t="str">
        <f>_xlfn.IFNA(VLOOKUP(Tabella1[[#This Row],[Nome]],'ROSE SQUADRE'!$N$3:$O$260,2,0),"")</f>
        <v>ATL. IMPROVVISATO</v>
      </c>
      <c r="S1088" s="193">
        <f>SUM(Tabella1[[#This Row],[Gf]],Tabella1[[#This Row],[Rf]])</f>
        <v>1</v>
      </c>
      <c r="T1088" s="193">
        <v>1</v>
      </c>
      <c r="U1088" s="285">
        <f>IF(Tabella1[[#This Row],[N° FantaTit]]="","",Tabella1[[#This Row],[fanta voto]])</f>
        <v>10</v>
      </c>
      <c r="V1088" s="193">
        <f>SUM(Tabella1[[#This Row],[Voto]],(G1088*3),Q1088,P1088,O1088,-(N1088),(-M1088/2),(-L1088*2),(-H1088),(I1088*3),(-J1088*3),(K1088*3))</f>
        <v>10</v>
      </c>
      <c r="W1088" s="193">
        <v>1</v>
      </c>
      <c r="X1088" s="193">
        <f>IF(Tabella1[[#This Row],[Best 11]]=1,Tabella1[[#This Row],[fanta voto]],"")</f>
        <v>10</v>
      </c>
      <c r="Y1088">
        <v>1</v>
      </c>
      <c r="Z1088" s="193">
        <f>IF(Tabella1[[#This Row],[Best 11 MOD]]=1,Tabella1[[#This Row],[fanta voto]],"")</f>
        <v>10</v>
      </c>
      <c r="AA1088" t="str">
        <f>CONCATENATE(Tabella1[[#This Row],[GG]],Tabella1[[#This Row],[Nome]])</f>
        <v>4Bonny</v>
      </c>
      <c r="AB1088" t="str">
        <f t="shared" si="45"/>
        <v>4ATL. IMPROVVISATO1</v>
      </c>
      <c r="AC1088" t="str">
        <f>_xlfn.CONCAT(Tabella1[[#This Row],[Ruolo]],Tabella1[[#This Row],[Gs]])</f>
        <v>A0</v>
      </c>
    </row>
    <row r="1089" spans="1:29" hidden="1" x14ac:dyDescent="0.3">
      <c r="A1089" s="14">
        <v>46277</v>
      </c>
      <c r="B1089" s="15">
        <v>4</v>
      </c>
      <c r="C1089" s="321" t="str">
        <f>_xlfn.XLOOKUP(Tabella1[[#This Row],[Nome]],Tabella4[NOME],Tabella4[SQUADRA],"")</f>
        <v>Lazio</v>
      </c>
      <c r="D1089" s="330" t="s">
        <v>163</v>
      </c>
      <c r="E1089" s="330" t="s">
        <v>611</v>
      </c>
      <c r="F1089" s="331">
        <v>5.5</v>
      </c>
      <c r="G1089" s="404">
        <v>0</v>
      </c>
      <c r="H1089" s="404">
        <v>0</v>
      </c>
      <c r="I1089" s="404">
        <v>0</v>
      </c>
      <c r="J1089" s="404">
        <v>0</v>
      </c>
      <c r="K1089" s="404">
        <v>0</v>
      </c>
      <c r="L1089" s="404">
        <v>0</v>
      </c>
      <c r="M1089" s="404">
        <v>0</v>
      </c>
      <c r="N1089" s="404">
        <v>0</v>
      </c>
      <c r="O1089" s="404">
        <v>0</v>
      </c>
      <c r="P1089" s="401"/>
      <c r="Q1089" s="401">
        <f t="shared" si="44"/>
        <v>0</v>
      </c>
      <c r="R1089" s="3" t="str">
        <f>_xlfn.IFNA(VLOOKUP(Tabella1[[#This Row],[Nome]],'ROSE SQUADRE'!$N$3:$O$260,2,0),"")</f>
        <v>AS PIPPERIA</v>
      </c>
      <c r="S1089" s="193">
        <f>SUM(Tabella1[[#This Row],[Gf]],Tabella1[[#This Row],[Rf]])</f>
        <v>0</v>
      </c>
      <c r="T1089" s="193"/>
      <c r="U1089" s="285" t="str">
        <f>IF(Tabella1[[#This Row],[N° FantaTit]]="","",Tabella1[[#This Row],[fanta voto]])</f>
        <v/>
      </c>
      <c r="V1089" s="193">
        <f>SUM(Tabella1[[#This Row],[Voto]],(G1089*3),Q1089,P1089,O1089,-(N1089),(-M1089/2),(-L1089*2),(-H1089),(I1089*3),(-J1089*3),(K1089*3))</f>
        <v>5.5</v>
      </c>
      <c r="W1089" s="193"/>
      <c r="X1089" s="193" t="str">
        <f>IF(Tabella1[[#This Row],[Best 11]]=1,Tabella1[[#This Row],[fanta voto]],"")</f>
        <v/>
      </c>
      <c r="Z1089" s="193" t="str">
        <f>IF(Tabella1[[#This Row],[Best 11 MOD]]=1,Tabella1[[#This Row],[fanta voto]],"")</f>
        <v/>
      </c>
      <c r="AA1089" t="str">
        <f>CONCATENATE(Tabella1[[#This Row],[GG]],Tabella1[[#This Row],[Nome]])</f>
        <v>4Pinamonti</v>
      </c>
      <c r="AB1089" t="str">
        <f t="shared" si="45"/>
        <v>4AS PIPPERIA</v>
      </c>
      <c r="AC1089" t="str">
        <f>_xlfn.CONCAT(Tabella1[[#This Row],[Ruolo]],Tabella1[[#This Row],[Gs]])</f>
        <v>A0</v>
      </c>
    </row>
    <row r="1090" spans="1:29" hidden="1" x14ac:dyDescent="0.3">
      <c r="A1090" s="14">
        <v>46277</v>
      </c>
      <c r="B1090" s="15">
        <v>4</v>
      </c>
      <c r="C1090" s="321" t="str">
        <f>_xlfn.XLOOKUP(Tabella1[[#This Row],[Nome]],Tabella4[NOME],Tabella4[SQUADRA],"")</f>
        <v>Parma</v>
      </c>
      <c r="D1090" t="s">
        <v>162</v>
      </c>
      <c r="E1090" t="s">
        <v>884</v>
      </c>
      <c r="F1090" s="194">
        <v>6</v>
      </c>
      <c r="G1090" s="402">
        <v>0</v>
      </c>
      <c r="H1090" s="402">
        <v>0</v>
      </c>
      <c r="I1090" s="402">
        <v>0</v>
      </c>
      <c r="J1090" s="402">
        <v>0</v>
      </c>
      <c r="K1090" s="402">
        <v>0</v>
      </c>
      <c r="L1090" s="402">
        <v>0</v>
      </c>
      <c r="M1090" s="402">
        <v>0</v>
      </c>
      <c r="N1090" s="402">
        <v>0</v>
      </c>
      <c r="O1090" s="402">
        <v>0</v>
      </c>
      <c r="P1090" s="401"/>
      <c r="Q1090" s="401">
        <f t="shared" si="44"/>
        <v>0</v>
      </c>
      <c r="R1090" s="3" t="str">
        <f>_xlfn.IFNA(VLOOKUP(Tabella1[[#This Row],[Nome]],'ROSE SQUADRE'!$N$3:$O$260,2,0),"")</f>
        <v>SHARK</v>
      </c>
      <c r="S1090" s="193">
        <f>SUM(Tabella1[[#This Row],[Gf]],Tabella1[[#This Row],[Rf]])</f>
        <v>0</v>
      </c>
      <c r="T1090" s="193">
        <v>1</v>
      </c>
      <c r="U1090" s="285">
        <f>IF(Tabella1[[#This Row],[N° FantaTit]]="","",Tabella1[[#This Row],[fanta voto]])</f>
        <v>6</v>
      </c>
      <c r="V1090" s="193">
        <f>SUM(Tabella1[[#This Row],[Voto]],(G1090*3),Q1090,P1090,O1090,-(N1090),(-M1090/2),(-L1090*2),(-H1090),(I1090*3),(-J1090*3),(K1090*3))</f>
        <v>6</v>
      </c>
      <c r="W1090" s="193">
        <v>1</v>
      </c>
      <c r="X1090" s="193">
        <f>IF(Tabella1[[#This Row],[Best 11]]=1,Tabella1[[#This Row],[fanta voto]],"")</f>
        <v>6</v>
      </c>
      <c r="Y1090">
        <v>1</v>
      </c>
      <c r="Z1090" s="193">
        <f>IF(Tabella1[[#This Row],[Best 11 MOD]]=1,Tabella1[[#This Row],[fanta voto]],"")</f>
        <v>6</v>
      </c>
      <c r="AA1090" t="str">
        <f>CONCATENATE(Tabella1[[#This Row],[GG]],Tabella1[[#This Row],[Nome]])</f>
        <v>4Keita M.</v>
      </c>
      <c r="AB1090" t="str">
        <f t="shared" si="45"/>
        <v>4SHARK1</v>
      </c>
      <c r="AC1090" t="str">
        <f>_xlfn.CONCAT(Tabella1[[#This Row],[Ruolo]],Tabella1[[#This Row],[Gs]])</f>
        <v>C0</v>
      </c>
    </row>
    <row r="1091" spans="1:29" hidden="1" x14ac:dyDescent="0.3">
      <c r="A1091" s="14">
        <v>46277</v>
      </c>
      <c r="B1091" s="15">
        <v>4</v>
      </c>
      <c r="C1091" s="321" t="str">
        <f>_xlfn.XLOOKUP(Tabella1[[#This Row],[Nome]],Tabella4[NOME],Tabella4[SQUADRA],"")</f>
        <v>Napoli</v>
      </c>
      <c r="D1091" t="s">
        <v>161</v>
      </c>
      <c r="E1091" t="s">
        <v>863</v>
      </c>
      <c r="F1091" s="194">
        <v>6</v>
      </c>
      <c r="G1091" s="402">
        <v>0</v>
      </c>
      <c r="H1091" s="402">
        <v>0</v>
      </c>
      <c r="I1091" s="402">
        <v>0</v>
      </c>
      <c r="J1091" s="402">
        <v>0</v>
      </c>
      <c r="K1091" s="402">
        <v>0</v>
      </c>
      <c r="L1091" s="402">
        <v>0</v>
      </c>
      <c r="M1091" s="402">
        <v>0</v>
      </c>
      <c r="N1091" s="402">
        <v>0</v>
      </c>
      <c r="O1091" s="402">
        <v>0</v>
      </c>
      <c r="P1091" s="401"/>
      <c r="Q1091" s="401">
        <f t="shared" si="44"/>
        <v>0</v>
      </c>
      <c r="R1091" s="3" t="str">
        <f>_xlfn.IFNA(VLOOKUP(Tabella1[[#This Row],[Nome]],'ROSE SQUADRE'!$N$3:$O$260,2,0),"")</f>
        <v/>
      </c>
      <c r="S1091" s="193">
        <f>SUM(Tabella1[[#This Row],[Gf]],Tabella1[[#This Row],[Rf]])</f>
        <v>0</v>
      </c>
      <c r="T1091" s="193"/>
      <c r="U1091" s="285" t="str">
        <f>IF(Tabella1[[#This Row],[N° FantaTit]]="","",Tabella1[[#This Row],[fanta voto]])</f>
        <v/>
      </c>
      <c r="V1091" s="193">
        <f>SUM(Tabella1[[#This Row],[Voto]],(G1091*3),Q1091,P1091,O1091,-(N1091),(-M1091/2),(-L1091*2),(-H1091),(I1091*3),(-J1091*3),(K1091*3))</f>
        <v>6</v>
      </c>
      <c r="W1091" s="193"/>
      <c r="X1091" s="193" t="str">
        <f>IF(Tabella1[[#This Row],[Best 11]]=1,Tabella1[[#This Row],[fanta voto]],"")</f>
        <v/>
      </c>
      <c r="Z1091" s="193" t="str">
        <f>IF(Tabella1[[#This Row],[Best 11 MOD]]=1,Tabella1[[#This Row],[fanta voto]],"")</f>
        <v/>
      </c>
      <c r="AA1091" t="str">
        <f>CONCATENATE(Tabella1[[#This Row],[GG]],Tabella1[[#This Row],[Nome]])</f>
        <v>4Marin R.</v>
      </c>
      <c r="AB1091" t="str">
        <f t="shared" si="45"/>
        <v>4</v>
      </c>
      <c r="AC1091" t="str">
        <f>_xlfn.CONCAT(Tabella1[[#This Row],[Ruolo]],Tabella1[[#This Row],[Gs]])</f>
        <v>D0</v>
      </c>
    </row>
    <row r="1092" spans="1:29" hidden="1" x14ac:dyDescent="0.3">
      <c r="A1092" s="14">
        <v>46277</v>
      </c>
      <c r="B1092" s="15">
        <v>4</v>
      </c>
      <c r="C1092" s="321" t="str">
        <f>_xlfn.XLOOKUP(Tabella1[[#This Row],[Nome]],Tabella4[NOME],Tabella4[SQUADRA],"")</f>
        <v>Napoli</v>
      </c>
      <c r="D1092" s="330" t="s">
        <v>161</v>
      </c>
      <c r="E1092" s="330" t="s">
        <v>861</v>
      </c>
      <c r="F1092" s="331">
        <v>7</v>
      </c>
      <c r="G1092" s="404">
        <v>0</v>
      </c>
      <c r="H1092" s="404">
        <v>0</v>
      </c>
      <c r="I1092" s="404">
        <v>0</v>
      </c>
      <c r="J1092" s="404">
        <v>0</v>
      </c>
      <c r="K1092" s="404">
        <v>0</v>
      </c>
      <c r="L1092" s="404">
        <v>0</v>
      </c>
      <c r="M1092" s="404">
        <v>0</v>
      </c>
      <c r="N1092" s="404">
        <v>0</v>
      </c>
      <c r="O1092" s="405">
        <v>1</v>
      </c>
      <c r="P1092" s="401"/>
      <c r="Q1092" s="401">
        <f t="shared" si="44"/>
        <v>0</v>
      </c>
      <c r="R1092" s="3" t="str">
        <f>_xlfn.IFNA(VLOOKUP(Tabella1[[#This Row],[Nome]],'ROSE SQUADRE'!$N$3:$O$260,2,0),"")</f>
        <v/>
      </c>
      <c r="S1092" s="193">
        <f>SUM(Tabella1[[#This Row],[Gf]],Tabella1[[#This Row],[Rf]])</f>
        <v>0</v>
      </c>
      <c r="T1092" s="193"/>
      <c r="U1092" s="285" t="str">
        <f>IF(Tabella1[[#This Row],[N° FantaTit]]="","",Tabella1[[#This Row],[fanta voto]])</f>
        <v/>
      </c>
      <c r="V1092" s="193">
        <f>SUM(Tabella1[[#This Row],[Voto]],(G1092*3),Q1092,P1092,O1092,-(N1092),(-M1092/2),(-L1092*2),(-H1092),(I1092*3),(-J1092*3),(K1092*3))</f>
        <v>8</v>
      </c>
      <c r="W1092" s="193"/>
      <c r="X1092" s="193" t="str">
        <f>IF(Tabella1[[#This Row],[Best 11]]=1,Tabella1[[#This Row],[fanta voto]],"")</f>
        <v/>
      </c>
      <c r="Z1092" s="193" t="str">
        <f>IF(Tabella1[[#This Row],[Best 11 MOD]]=1,Tabella1[[#This Row],[fanta voto]],"")</f>
        <v/>
      </c>
      <c r="AA1092" t="str">
        <f>CONCATENATE(Tabella1[[#This Row],[GG]],Tabella1[[#This Row],[Nome]])</f>
        <v>4Favasuli</v>
      </c>
      <c r="AB1092" t="str">
        <f t="shared" si="45"/>
        <v>4</v>
      </c>
      <c r="AC1092" t="str">
        <f>_xlfn.CONCAT(Tabella1[[#This Row],[Ruolo]],Tabella1[[#This Row],[Gs]])</f>
        <v>D0</v>
      </c>
    </row>
    <row r="1093" spans="1:29" hidden="1" x14ac:dyDescent="0.3">
      <c r="A1093" s="14">
        <v>46277</v>
      </c>
      <c r="B1093" s="15">
        <v>4</v>
      </c>
      <c r="C1093" s="321" t="str">
        <f>_xlfn.XLOOKUP(Tabella1[[#This Row],[Nome]],Tabella4[NOME],Tabella4[SQUADRA],"")</f>
        <v>Atalanta</v>
      </c>
      <c r="D1093" t="s">
        <v>163</v>
      </c>
      <c r="E1093" t="s">
        <v>545</v>
      </c>
      <c r="F1093" s="194">
        <v>5.5</v>
      </c>
      <c r="G1093" s="402">
        <v>0</v>
      </c>
      <c r="H1093" s="402">
        <v>0</v>
      </c>
      <c r="I1093" s="402">
        <v>0</v>
      </c>
      <c r="J1093" s="402">
        <v>0</v>
      </c>
      <c r="K1093" s="402">
        <v>0</v>
      </c>
      <c r="L1093" s="402">
        <v>0</v>
      </c>
      <c r="M1093" s="402">
        <v>0</v>
      </c>
      <c r="N1093" s="402">
        <v>0</v>
      </c>
      <c r="O1093" s="402">
        <v>0</v>
      </c>
      <c r="P1093" s="401"/>
      <c r="Q1093" s="401">
        <f t="shared" si="44"/>
        <v>0</v>
      </c>
      <c r="R1093" s="3" t="str">
        <f>_xlfn.IFNA(VLOOKUP(Tabella1[[#This Row],[Nome]],'ROSE SQUADRE'!$N$3:$O$260,2,0),"")</f>
        <v>PESCICULINI</v>
      </c>
      <c r="S1093" s="193">
        <f>SUM(Tabella1[[#This Row],[Gf]],Tabella1[[#This Row],[Rf]])</f>
        <v>0</v>
      </c>
      <c r="T1093" s="193"/>
      <c r="U1093" s="285" t="str">
        <f>IF(Tabella1[[#This Row],[N° FantaTit]]="","",Tabella1[[#This Row],[fanta voto]])</f>
        <v/>
      </c>
      <c r="V1093" s="193">
        <f>SUM(Tabella1[[#This Row],[Voto]],(G1093*3),Q1093,P1093,O1093,-(N1093),(-M1093/2),(-L1093*2),(-H1093),(I1093*3),(-J1093*3),(K1093*3))</f>
        <v>5.5</v>
      </c>
      <c r="W1093" s="193"/>
      <c r="X1093" s="193" t="str">
        <f>IF(Tabella1[[#This Row],[Best 11]]=1,Tabella1[[#This Row],[fanta voto]],"")</f>
        <v/>
      </c>
      <c r="Z1093" s="193" t="str">
        <f>IF(Tabella1[[#This Row],[Best 11 MOD]]=1,Tabella1[[#This Row],[fanta voto]],"")</f>
        <v/>
      </c>
      <c r="AA1093" t="str">
        <f>CONCATENATE(Tabella1[[#This Row],[GG]],Tabella1[[#This Row],[Nome]])</f>
        <v>4Krstovic</v>
      </c>
      <c r="AB1093" t="str">
        <f t="shared" si="45"/>
        <v>4PESCICULINI</v>
      </c>
      <c r="AC1093" t="str">
        <f>_xlfn.CONCAT(Tabella1[[#This Row],[Ruolo]],Tabella1[[#This Row],[Gs]])</f>
        <v>A0</v>
      </c>
    </row>
    <row r="1094" spans="1:29" hidden="1" x14ac:dyDescent="0.3">
      <c r="A1094" s="14">
        <v>46277</v>
      </c>
      <c r="B1094" s="15">
        <v>4</v>
      </c>
      <c r="C1094" s="321" t="str">
        <f>_xlfn.XLOOKUP(Tabella1[[#This Row],[Nome]],Tabella4[NOME],Tabella4[SQUADRA],"")</f>
        <v>Sassuolo</v>
      </c>
      <c r="D1094" t="s">
        <v>162</v>
      </c>
      <c r="E1094" t="s">
        <v>928</v>
      </c>
      <c r="F1094" s="194">
        <v>5.5</v>
      </c>
      <c r="G1094" s="402">
        <v>0</v>
      </c>
      <c r="H1094" s="402">
        <v>0</v>
      </c>
      <c r="I1094" s="402">
        <v>0</v>
      </c>
      <c r="J1094" s="402">
        <v>0</v>
      </c>
      <c r="K1094" s="402">
        <v>0</v>
      </c>
      <c r="L1094" s="402">
        <v>0</v>
      </c>
      <c r="M1094" s="402">
        <v>0</v>
      </c>
      <c r="N1094" s="402">
        <v>0</v>
      </c>
      <c r="O1094" s="402">
        <v>0</v>
      </c>
      <c r="P1094" s="401"/>
      <c r="Q1094" s="401">
        <f t="shared" si="44"/>
        <v>0</v>
      </c>
      <c r="R1094" s="3" t="str">
        <f>_xlfn.IFNA(VLOOKUP(Tabella1[[#This Row],[Nome]],'ROSE SQUADRE'!$N$3:$O$260,2,0),"")</f>
        <v>FC INTERNAZIOANALE</v>
      </c>
      <c r="S1094" s="193">
        <f>SUM(Tabella1[[#This Row],[Gf]],Tabella1[[#This Row],[Rf]])</f>
        <v>0</v>
      </c>
      <c r="T1094" s="193"/>
      <c r="U1094" s="285" t="str">
        <f>IF(Tabella1[[#This Row],[N° FantaTit]]="","",Tabella1[[#This Row],[fanta voto]])</f>
        <v/>
      </c>
      <c r="V1094" s="193">
        <f>SUM(Tabella1[[#This Row],[Voto]],(G1094*3),Q1094,P1094,O1094,-(N1094),(-M1094/2),(-L1094*2),(-H1094),(I1094*3),(-J1094*3),(K1094*3))</f>
        <v>5.5</v>
      </c>
      <c r="W1094" s="193"/>
      <c r="X1094" s="193" t="str">
        <f>IF(Tabella1[[#This Row],[Best 11]]=1,Tabella1[[#This Row],[fanta voto]],"")</f>
        <v/>
      </c>
      <c r="Z1094" s="193" t="str">
        <f>IF(Tabella1[[#This Row],[Best 11 MOD]]=1,Tabella1[[#This Row],[fanta voto]],"")</f>
        <v/>
      </c>
      <c r="AA1094" t="str">
        <f>CONCATENATE(Tabella1[[#This Row],[GG]],Tabella1[[#This Row],[Nome]])</f>
        <v>4Thorstvedt</v>
      </c>
      <c r="AB1094" t="str">
        <f t="shared" si="45"/>
        <v>4FC INTERNAZIOANALE</v>
      </c>
      <c r="AC1094" t="str">
        <f>_xlfn.CONCAT(Tabella1[[#This Row],[Ruolo]],Tabella1[[#This Row],[Gs]])</f>
        <v>C0</v>
      </c>
    </row>
    <row r="1095" spans="1:29" hidden="1" x14ac:dyDescent="0.3">
      <c r="A1095" s="14">
        <v>46277</v>
      </c>
      <c r="B1095" s="15">
        <v>4</v>
      </c>
      <c r="C1095" s="321" t="str">
        <f>_xlfn.XLOOKUP(Tabella1[[#This Row],[Nome]],Tabella4[NOME],Tabella4[SQUADRA],"")</f>
        <v>Udinese</v>
      </c>
      <c r="D1095" s="330" t="s">
        <v>162</v>
      </c>
      <c r="E1095" s="330" t="s">
        <v>578</v>
      </c>
      <c r="F1095" s="331">
        <v>5</v>
      </c>
      <c r="G1095" s="404">
        <v>0</v>
      </c>
      <c r="H1095" s="404">
        <v>0</v>
      </c>
      <c r="I1095" s="404">
        <v>0</v>
      </c>
      <c r="J1095" s="404">
        <v>0</v>
      </c>
      <c r="K1095" s="404">
        <v>0</v>
      </c>
      <c r="L1095" s="404">
        <v>0</v>
      </c>
      <c r="M1095" s="404">
        <v>0</v>
      </c>
      <c r="N1095" s="404">
        <v>0</v>
      </c>
      <c r="O1095" s="404">
        <v>0</v>
      </c>
      <c r="P1095" s="401"/>
      <c r="Q1095" s="401">
        <f t="shared" si="44"/>
        <v>0</v>
      </c>
      <c r="R1095" s="3" t="str">
        <f>_xlfn.IFNA(VLOOKUP(Tabella1[[#This Row],[Nome]],'ROSE SQUADRE'!$N$3:$O$260,2,0),"")</f>
        <v>SHARK</v>
      </c>
      <c r="S1095" s="193">
        <f>SUM(Tabella1[[#This Row],[Gf]],Tabella1[[#This Row],[Rf]])</f>
        <v>0</v>
      </c>
      <c r="T1095" s="193"/>
      <c r="U1095" s="285" t="str">
        <f>IF(Tabella1[[#This Row],[N° FantaTit]]="","",Tabella1[[#This Row],[fanta voto]])</f>
        <v/>
      </c>
      <c r="V1095" s="193">
        <f>SUM(Tabella1[[#This Row],[Voto]],(G1095*3),Q1095,P1095,O1095,-(N1095),(-M1095/2),(-L1095*2),(-H1095),(I1095*3),(-J1095*3),(K1095*3))</f>
        <v>5</v>
      </c>
      <c r="W1095" s="193"/>
      <c r="X1095" s="193" t="str">
        <f>IF(Tabella1[[#This Row],[Best 11]]=1,Tabella1[[#This Row],[fanta voto]],"")</f>
        <v/>
      </c>
      <c r="Z1095" s="193" t="str">
        <f>IF(Tabella1[[#This Row],[Best 11 MOD]]=1,Tabella1[[#This Row],[fanta voto]],"")</f>
        <v/>
      </c>
      <c r="AA1095" t="str">
        <f>CONCATENATE(Tabella1[[#This Row],[GG]],Tabella1[[#This Row],[Nome]])</f>
        <v>4Karlstrom</v>
      </c>
      <c r="AB1095" t="str">
        <f t="shared" si="45"/>
        <v>4SHARK</v>
      </c>
      <c r="AC1095" t="str">
        <f>_xlfn.CONCAT(Tabella1[[#This Row],[Ruolo]],Tabella1[[#This Row],[Gs]])</f>
        <v>C0</v>
      </c>
    </row>
    <row r="1096" spans="1:29" hidden="1" x14ac:dyDescent="0.3">
      <c r="A1096" s="14">
        <v>46277</v>
      </c>
      <c r="B1096" s="15">
        <v>4</v>
      </c>
      <c r="C1096" s="321" t="str">
        <f>_xlfn.XLOOKUP(Tabella1[[#This Row],[Nome]],Tabella4[NOME],Tabella4[SQUADRA],"")</f>
        <v>Napoli</v>
      </c>
      <c r="D1096" s="330" t="s">
        <v>162</v>
      </c>
      <c r="E1096" s="330" t="s">
        <v>866</v>
      </c>
      <c r="F1096" s="331">
        <v>6</v>
      </c>
      <c r="G1096" s="404">
        <v>0</v>
      </c>
      <c r="H1096" s="404">
        <v>0</v>
      </c>
      <c r="I1096" s="404">
        <v>0</v>
      </c>
      <c r="J1096" s="404">
        <v>0</v>
      </c>
      <c r="K1096" s="404">
        <v>0</v>
      </c>
      <c r="L1096" s="404">
        <v>0</v>
      </c>
      <c r="M1096" s="404">
        <v>0</v>
      </c>
      <c r="N1096" s="404">
        <v>0</v>
      </c>
      <c r="O1096" s="404">
        <v>0</v>
      </c>
      <c r="P1096" s="401"/>
      <c r="Q1096" s="401">
        <f t="shared" si="44"/>
        <v>0</v>
      </c>
      <c r="R1096" s="3" t="str">
        <f>_xlfn.IFNA(VLOOKUP(Tabella1[[#This Row],[Nome]],'ROSE SQUADRE'!$N$3:$O$260,2,0),"")</f>
        <v/>
      </c>
      <c r="S1096" s="193">
        <f>SUM(Tabella1[[#This Row],[Gf]],Tabella1[[#This Row],[Rf]])</f>
        <v>0</v>
      </c>
      <c r="T1096" s="193"/>
      <c r="U1096" s="285" t="str">
        <f>IF(Tabella1[[#This Row],[N° FantaTit]]="","",Tabella1[[#This Row],[fanta voto]])</f>
        <v/>
      </c>
      <c r="V1096" s="193">
        <f>SUM(Tabella1[[#This Row],[Voto]],(G1096*3),Q1096,P1096,O1096,-(N1096),(-M1096/2),(-L1096*2),(-H1096),(I1096*3),(-J1096*3),(K1096*3))</f>
        <v>6</v>
      </c>
      <c r="W1096" s="193"/>
      <c r="X1096" s="193" t="str">
        <f>IF(Tabella1[[#This Row],[Best 11]]=1,Tabella1[[#This Row],[fanta voto]],"")</f>
        <v/>
      </c>
      <c r="Z1096" s="193" t="str">
        <f>IF(Tabella1[[#This Row],[Best 11 MOD]]=1,Tabella1[[#This Row],[fanta voto]],"")</f>
        <v/>
      </c>
      <c r="AA1096" t="str">
        <f>CONCATENATE(Tabella1[[#This Row],[GG]],Tabella1[[#This Row],[Nome]])</f>
        <v>4Gilmour</v>
      </c>
      <c r="AB1096" t="str">
        <f t="shared" si="45"/>
        <v>4</v>
      </c>
      <c r="AC1096" t="str">
        <f>_xlfn.CONCAT(Tabella1[[#This Row],[Ruolo]],Tabella1[[#This Row],[Gs]])</f>
        <v>C0</v>
      </c>
    </row>
    <row r="1097" spans="1:29" hidden="1" x14ac:dyDescent="0.3">
      <c r="A1097" s="14">
        <v>46277</v>
      </c>
      <c r="B1097" s="15">
        <v>4</v>
      </c>
      <c r="C1097" s="321" t="str">
        <f>_xlfn.XLOOKUP(Tabella1[[#This Row],[Nome]],Tabella4[NOME],Tabella4[SQUADRA],"")</f>
        <v>Roma</v>
      </c>
      <c r="D1097" s="330" t="s">
        <v>162</v>
      </c>
      <c r="E1097" s="330" t="s">
        <v>904</v>
      </c>
      <c r="F1097" s="331">
        <v>6</v>
      </c>
      <c r="G1097" s="404">
        <v>0</v>
      </c>
      <c r="H1097" s="404">
        <v>0</v>
      </c>
      <c r="I1097" s="404">
        <v>0</v>
      </c>
      <c r="J1097" s="404">
        <v>0</v>
      </c>
      <c r="K1097" s="404">
        <v>0</v>
      </c>
      <c r="L1097" s="404">
        <v>0</v>
      </c>
      <c r="M1097" s="404">
        <v>0</v>
      </c>
      <c r="N1097" s="404">
        <v>0</v>
      </c>
      <c r="O1097" s="404">
        <v>0</v>
      </c>
      <c r="P1097" s="401"/>
      <c r="Q1097" s="401">
        <f t="shared" si="44"/>
        <v>0</v>
      </c>
      <c r="R1097" s="3" t="str">
        <f>_xlfn.IFNA(VLOOKUP(Tabella1[[#This Row],[Nome]],'ROSE SQUADRE'!$N$3:$O$260,2,0),"")</f>
        <v>SESTO ASENSIO</v>
      </c>
      <c r="S1097" s="193">
        <f>SUM(Tabella1[[#This Row],[Gf]],Tabella1[[#This Row],[Rf]])</f>
        <v>0</v>
      </c>
      <c r="T1097" s="193"/>
      <c r="U1097" s="285" t="str">
        <f>IF(Tabella1[[#This Row],[N° FantaTit]]="","",Tabella1[[#This Row],[fanta voto]])</f>
        <v/>
      </c>
      <c r="V1097" s="193">
        <f>SUM(Tabella1[[#This Row],[Voto]],(G1097*3),Q1097,P1097,O1097,-(N1097),(-M1097/2),(-L1097*2),(-H1097),(I1097*3),(-J1097*3),(K1097*3))</f>
        <v>6</v>
      </c>
      <c r="W1097" s="193">
        <v>1</v>
      </c>
      <c r="X1097" s="193">
        <f>IF(Tabella1[[#This Row],[Best 11]]=1,Tabella1[[#This Row],[fanta voto]],"")</f>
        <v>6</v>
      </c>
      <c r="Y1097">
        <v>1</v>
      </c>
      <c r="Z1097" s="193">
        <f>IF(Tabella1[[#This Row],[Best 11 MOD]]=1,Tabella1[[#This Row],[fanta voto]],"")</f>
        <v>6</v>
      </c>
      <c r="AA1097" t="str">
        <f>CONCATENATE(Tabella1[[#This Row],[GG]],Tabella1[[#This Row],[Nome]])</f>
        <v>4Mora</v>
      </c>
      <c r="AB1097" t="str">
        <f t="shared" si="45"/>
        <v>4SESTO ASENSIO</v>
      </c>
      <c r="AC1097" t="str">
        <f>_xlfn.CONCAT(Tabella1[[#This Row],[Ruolo]],Tabella1[[#This Row],[Gs]])</f>
        <v>C0</v>
      </c>
    </row>
    <row r="1098" spans="1:29" hidden="1" x14ac:dyDescent="0.3">
      <c r="A1098" s="14">
        <v>46277</v>
      </c>
      <c r="B1098" s="15">
        <v>4</v>
      </c>
      <c r="C1098" s="321" t="str">
        <f>_xlfn.XLOOKUP(Tabella1[[#This Row],[Nome]],Tabella4[NOME],Tabella4[SQUADRA],"")</f>
        <v>Milan</v>
      </c>
      <c r="D1098" t="s">
        <v>163</v>
      </c>
      <c r="E1098" t="s">
        <v>841</v>
      </c>
      <c r="F1098" s="194">
        <v>5.5</v>
      </c>
      <c r="G1098" s="402">
        <v>0</v>
      </c>
      <c r="H1098" s="402">
        <v>0</v>
      </c>
      <c r="I1098" s="402">
        <v>0</v>
      </c>
      <c r="J1098" s="402">
        <v>0</v>
      </c>
      <c r="K1098" s="402">
        <v>0</v>
      </c>
      <c r="L1098" s="402">
        <v>0</v>
      </c>
      <c r="M1098" s="402">
        <v>0</v>
      </c>
      <c r="N1098" s="402">
        <v>0</v>
      </c>
      <c r="O1098" s="402">
        <v>0</v>
      </c>
      <c r="P1098" s="401"/>
      <c r="Q1098" s="401">
        <f t="shared" si="44"/>
        <v>0</v>
      </c>
      <c r="R1098" s="3" t="str">
        <f>_xlfn.IFNA(VLOOKUP(Tabella1[[#This Row],[Nome]],'ROSE SQUADRE'!$N$3:$O$260,2,0),"")</f>
        <v>AS PIPPERIA</v>
      </c>
      <c r="S1098" s="193">
        <f>SUM(Tabella1[[#This Row],[Gf]],Tabella1[[#This Row],[Rf]])</f>
        <v>0</v>
      </c>
      <c r="T1098" s="193">
        <v>1</v>
      </c>
      <c r="U1098" s="285">
        <f>IF(Tabella1[[#This Row],[N° FantaTit]]="","",Tabella1[[#This Row],[fanta voto]])</f>
        <v>5.5</v>
      </c>
      <c r="V1098" s="193">
        <f>SUM(Tabella1[[#This Row],[Voto]],(G1098*3),Q1098,P1098,O1098,-(N1098),(-M1098/2),(-L1098*2),(-H1098),(I1098*3),(-J1098*3),(K1098*3))</f>
        <v>5.5</v>
      </c>
      <c r="W1098" s="193"/>
      <c r="X1098" s="193" t="str">
        <f>IF(Tabella1[[#This Row],[Best 11]]=1,Tabella1[[#This Row],[fanta voto]],"")</f>
        <v/>
      </c>
      <c r="Z1098" s="193" t="str">
        <f>IF(Tabella1[[#This Row],[Best 11 MOD]]=1,Tabella1[[#This Row],[fanta voto]],"")</f>
        <v/>
      </c>
      <c r="AA1098" t="str">
        <f>CONCATENATE(Tabella1[[#This Row],[GG]],Tabella1[[#This Row],[Nome]])</f>
        <v>4Ramos G.</v>
      </c>
      <c r="AB1098" t="str">
        <f t="shared" si="45"/>
        <v>4AS PIPPERIA1</v>
      </c>
      <c r="AC1098" t="str">
        <f>_xlfn.CONCAT(Tabella1[[#This Row],[Ruolo]],Tabella1[[#This Row],[Gs]])</f>
        <v>A0</v>
      </c>
    </row>
    <row r="1099" spans="1:29" hidden="1" x14ac:dyDescent="0.3">
      <c r="A1099" s="14">
        <v>46277</v>
      </c>
      <c r="B1099" s="15">
        <v>4</v>
      </c>
      <c r="C1099" s="321" t="str">
        <f>_xlfn.XLOOKUP(Tabella1[[#This Row],[Nome]],Tabella4[NOME],Tabella4[SQUADRA],"")</f>
        <v>Como</v>
      </c>
      <c r="D1099" t="s">
        <v>163</v>
      </c>
      <c r="E1099" t="s">
        <v>305</v>
      </c>
      <c r="F1099" s="194">
        <v>5.5</v>
      </c>
      <c r="G1099" s="402">
        <v>0</v>
      </c>
      <c r="H1099" s="402">
        <v>0</v>
      </c>
      <c r="I1099" s="402">
        <v>0</v>
      </c>
      <c r="J1099" s="402">
        <v>0</v>
      </c>
      <c r="K1099" s="402">
        <v>0</v>
      </c>
      <c r="L1099" s="402">
        <v>0</v>
      </c>
      <c r="M1099" s="402">
        <v>0</v>
      </c>
      <c r="N1099" s="402">
        <v>0</v>
      </c>
      <c r="O1099" s="402">
        <v>0</v>
      </c>
      <c r="P1099" s="401"/>
      <c r="Q1099" s="401">
        <f t="shared" si="44"/>
        <v>0</v>
      </c>
      <c r="R1099" s="3" t="str">
        <f>_xlfn.IFNA(VLOOKUP(Tabella1[[#This Row],[Nome]],'ROSE SQUADRE'!$N$3:$O$260,2,0),"")</f>
        <v>PESCICULINI</v>
      </c>
      <c r="S1099" s="193">
        <f>SUM(Tabella1[[#This Row],[Gf]],Tabella1[[#This Row],[Rf]])</f>
        <v>0</v>
      </c>
      <c r="T1099" s="193">
        <v>1</v>
      </c>
      <c r="U1099" s="285">
        <f>IF(Tabella1[[#This Row],[N° FantaTit]]="","",Tabella1[[#This Row],[fanta voto]])</f>
        <v>5.5</v>
      </c>
      <c r="V1099" s="193">
        <f>SUM(Tabella1[[#This Row],[Voto]],(G1099*3),Q1099,P1099,O1099,-(N1099),(-M1099/2),(-L1099*2),(-H1099),(I1099*3),(-J1099*3),(K1099*3))</f>
        <v>5.5</v>
      </c>
      <c r="W1099" s="193">
        <v>1</v>
      </c>
      <c r="X1099" s="193">
        <f>IF(Tabella1[[#This Row],[Best 11]]=1,Tabella1[[#This Row],[fanta voto]],"")</f>
        <v>5.5</v>
      </c>
      <c r="Y1099">
        <v>1</v>
      </c>
      <c r="Z1099" s="193">
        <f>IF(Tabella1[[#This Row],[Best 11 MOD]]=1,Tabella1[[#This Row],[fanta voto]],"")</f>
        <v>5.5</v>
      </c>
      <c r="AA1099" t="str">
        <f>CONCATENATE(Tabella1[[#This Row],[GG]],Tabella1[[#This Row],[Nome]])</f>
        <v>4Kean</v>
      </c>
      <c r="AB1099" t="str">
        <f t="shared" si="45"/>
        <v>4PESCICULINI1</v>
      </c>
      <c r="AC1099" t="str">
        <f>_xlfn.CONCAT(Tabella1[[#This Row],[Ruolo]],Tabella1[[#This Row],[Gs]])</f>
        <v>A0</v>
      </c>
    </row>
    <row r="1100" spans="1:29" x14ac:dyDescent="0.3">
      <c r="A1100" s="14">
        <v>46277</v>
      </c>
      <c r="B1100" s="15">
        <v>4</v>
      </c>
      <c r="C1100" s="321" t="str">
        <f>_xlfn.XLOOKUP(Tabella1[[#This Row],[Nome]],Tabella4[NOME],Tabella4[SQUADRA],"")</f>
        <v>Inter</v>
      </c>
      <c r="D1100" t="s">
        <v>163</v>
      </c>
      <c r="E1100" t="s">
        <v>776</v>
      </c>
      <c r="F1100" s="194">
        <v>7</v>
      </c>
      <c r="G1100" s="403">
        <v>1</v>
      </c>
      <c r="H1100" s="402">
        <v>0</v>
      </c>
      <c r="I1100" s="402">
        <v>0</v>
      </c>
      <c r="J1100" s="402">
        <v>0</v>
      </c>
      <c r="K1100" s="402">
        <v>0</v>
      </c>
      <c r="L1100" s="402">
        <v>0</v>
      </c>
      <c r="M1100" s="402">
        <v>0</v>
      </c>
      <c r="N1100" s="402">
        <v>0</v>
      </c>
      <c r="O1100" s="402">
        <v>0</v>
      </c>
      <c r="P1100" s="401">
        <v>1</v>
      </c>
      <c r="Q1100" s="401">
        <f t="shared" si="44"/>
        <v>0</v>
      </c>
      <c r="R1100" s="3" t="str">
        <f>_xlfn.IFNA(VLOOKUP(Tabella1[[#This Row],[Nome]],'ROSE SQUADRE'!$N$3:$O$260,2,0),"")</f>
        <v>ATL. IMPROVVISATO</v>
      </c>
      <c r="S1100" s="193">
        <f>SUM(Tabella1[[#This Row],[Gf]],Tabella1[[#This Row],[Rf]])</f>
        <v>1</v>
      </c>
      <c r="T1100" s="193">
        <v>1</v>
      </c>
      <c r="U1100" s="285">
        <f>IF(Tabella1[[#This Row],[N° FantaTit]]="","",Tabella1[[#This Row],[fanta voto]])</f>
        <v>11</v>
      </c>
      <c r="V1100" s="193">
        <f>SUM(Tabella1[[#This Row],[Voto]],(G1100*3),Q1100,P1100,O1100,-(N1100),(-M1100/2),(-L1100*2),(-H1100),(I1100*3),(-J1100*3),(K1100*3))</f>
        <v>11</v>
      </c>
      <c r="W1100" s="193">
        <v>1</v>
      </c>
      <c r="X1100" s="193">
        <f>IF(Tabella1[[#This Row],[Best 11]]=1,Tabella1[[#This Row],[fanta voto]],"")</f>
        <v>11</v>
      </c>
      <c r="Y1100">
        <v>1</v>
      </c>
      <c r="Z1100" s="193">
        <f>IF(Tabella1[[#This Row],[Best 11 MOD]]=1,Tabella1[[#This Row],[fanta voto]],"")</f>
        <v>11</v>
      </c>
      <c r="AA1100" t="str">
        <f>CONCATENATE(Tabella1[[#This Row],[GG]],Tabella1[[#This Row],[Nome]])</f>
        <v>4Esposito F.P.</v>
      </c>
      <c r="AB1100" t="str">
        <f t="shared" si="45"/>
        <v>4ATL. IMPROVVISATO1</v>
      </c>
      <c r="AC1100" t="str">
        <f>_xlfn.CONCAT(Tabella1[[#This Row],[Ruolo]],Tabella1[[#This Row],[Gs]])</f>
        <v>A0</v>
      </c>
    </row>
    <row r="1101" spans="1:29" hidden="1" x14ac:dyDescent="0.3">
      <c r="A1101" s="14">
        <v>46277</v>
      </c>
      <c r="B1101" s="15">
        <v>4</v>
      </c>
      <c r="C1101" s="321" t="str">
        <f>_xlfn.XLOOKUP(Tabella1[[#This Row],[Nome]],Tabella4[NOME],Tabella4[SQUADRA],"")</f>
        <v>Inter</v>
      </c>
      <c r="D1101" s="330" t="s">
        <v>162</v>
      </c>
      <c r="E1101" s="330" t="s">
        <v>1015</v>
      </c>
      <c r="F1101" s="331">
        <v>6.5</v>
      </c>
      <c r="G1101" s="404">
        <v>0</v>
      </c>
      <c r="H1101" s="404">
        <v>0</v>
      </c>
      <c r="I1101" s="404">
        <v>0</v>
      </c>
      <c r="J1101" s="404">
        <v>0</v>
      </c>
      <c r="K1101" s="404">
        <v>0</v>
      </c>
      <c r="L1101" s="404">
        <v>0</v>
      </c>
      <c r="M1101" s="404">
        <v>0</v>
      </c>
      <c r="N1101" s="404">
        <v>0</v>
      </c>
      <c r="O1101" s="404">
        <v>0</v>
      </c>
      <c r="P1101" s="401"/>
      <c r="Q1101" s="401">
        <f t="shared" si="44"/>
        <v>0</v>
      </c>
      <c r="R1101" s="3" t="str">
        <f>_xlfn.IFNA(VLOOKUP(Tabella1[[#This Row],[Nome]],'ROSE SQUADRE'!$N$3:$O$260,2,0),"")</f>
        <v>PARTIZAN DEGRADO</v>
      </c>
      <c r="S1101" s="193">
        <f>SUM(Tabella1[[#This Row],[Gf]],Tabella1[[#This Row],[Rf]])</f>
        <v>0</v>
      </c>
      <c r="T1101" s="193"/>
      <c r="U1101" s="285" t="str">
        <f>IF(Tabella1[[#This Row],[N° FantaTit]]="","",Tabella1[[#This Row],[fanta voto]])</f>
        <v/>
      </c>
      <c r="V1101" s="193">
        <f>SUM(Tabella1[[#This Row],[Voto]],(G1101*3),Q1101,P1101,O1101,-(N1101),(-M1101/2),(-L1101*2),(-H1101),(I1101*3),(-J1101*3),(K1101*3))</f>
        <v>6.5</v>
      </c>
      <c r="W1101" s="193">
        <v>1</v>
      </c>
      <c r="X1101" s="193">
        <f>IF(Tabella1[[#This Row],[Best 11]]=1,Tabella1[[#This Row],[fanta voto]],"")</f>
        <v>6.5</v>
      </c>
      <c r="Y1101">
        <v>1</v>
      </c>
      <c r="Z1101" s="193">
        <f>IF(Tabella1[[#This Row],[Best 11 MOD]]=1,Tabella1[[#This Row],[fanta voto]],"")</f>
        <v>6.5</v>
      </c>
      <c r="AA1101" t="str">
        <f>CONCATENATE(Tabella1[[#This Row],[GG]],Tabella1[[#This Row],[Nome]])</f>
        <v>4Jones C.</v>
      </c>
      <c r="AB1101" t="str">
        <f t="shared" si="45"/>
        <v>4PARTIZAN DEGRADO</v>
      </c>
      <c r="AC1101" t="str">
        <f>_xlfn.CONCAT(Tabella1[[#This Row],[Ruolo]],Tabella1[[#This Row],[Gs]])</f>
        <v>C0</v>
      </c>
    </row>
    <row r="1102" spans="1:29" hidden="1" x14ac:dyDescent="0.3">
      <c r="A1102" s="14">
        <v>46277</v>
      </c>
      <c r="B1102" s="15">
        <v>4</v>
      </c>
      <c r="C1102" s="321" t="str">
        <f>_xlfn.XLOOKUP(Tabella1[[#This Row],[Nome]],Tabella4[NOME],Tabella4[SQUADRA],"")</f>
        <v>Parma</v>
      </c>
      <c r="D1102" t="s">
        <v>161</v>
      </c>
      <c r="E1102" t="s">
        <v>1054</v>
      </c>
      <c r="F1102" s="194">
        <v>5.5</v>
      </c>
      <c r="G1102" s="402">
        <v>0</v>
      </c>
      <c r="H1102" s="402">
        <v>0</v>
      </c>
      <c r="I1102" s="402">
        <v>0</v>
      </c>
      <c r="J1102" s="402">
        <v>0</v>
      </c>
      <c r="K1102" s="402">
        <v>0</v>
      </c>
      <c r="L1102" s="402">
        <v>0</v>
      </c>
      <c r="M1102" s="402">
        <v>0</v>
      </c>
      <c r="N1102" s="402">
        <v>0</v>
      </c>
      <c r="O1102" s="402">
        <v>0</v>
      </c>
      <c r="P1102" s="401"/>
      <c r="Q1102" s="401">
        <f t="shared" si="44"/>
        <v>0</v>
      </c>
      <c r="R1102" s="3" t="str">
        <f>_xlfn.IFNA(VLOOKUP(Tabella1[[#This Row],[Nome]],'ROSE SQUADRE'!$N$3:$O$260,2,0),"")</f>
        <v/>
      </c>
      <c r="S1102" s="193">
        <f>SUM(Tabella1[[#This Row],[Gf]],Tabella1[[#This Row],[Rf]])</f>
        <v>0</v>
      </c>
      <c r="T1102" s="193"/>
      <c r="U1102" s="285" t="str">
        <f>IF(Tabella1[[#This Row],[N° FantaTit]]="","",Tabella1[[#This Row],[fanta voto]])</f>
        <v/>
      </c>
      <c r="V1102" s="193">
        <f>SUM(Tabella1[[#This Row],[Voto]],(G1102*3),Q1102,P1102,O1102,-(N1102),(-M1102/2),(-L1102*2),(-H1102),(I1102*3),(-J1102*3),(K1102*3))</f>
        <v>5.5</v>
      </c>
      <c r="W1102" s="193"/>
      <c r="X1102" s="193" t="str">
        <f>IF(Tabella1[[#This Row],[Best 11]]=1,Tabella1[[#This Row],[fanta voto]],"")</f>
        <v/>
      </c>
      <c r="Z1102" s="193" t="str">
        <f>IF(Tabella1[[#This Row],[Best 11 MOD]]=1,Tabella1[[#This Row],[fanta voto]],"")</f>
        <v/>
      </c>
      <c r="AA1102" t="str">
        <f>CONCATENATE(Tabella1[[#This Row],[GG]],Tabella1[[#This Row],[Nome]])</f>
        <v>4Diego Carlos</v>
      </c>
      <c r="AB1102" t="str">
        <f t="shared" si="45"/>
        <v>4</v>
      </c>
      <c r="AC1102" t="str">
        <f>_xlfn.CONCAT(Tabella1[[#This Row],[Ruolo]],Tabella1[[#This Row],[Gs]])</f>
        <v>D0</v>
      </c>
    </row>
    <row r="1103" spans="1:29" hidden="1" x14ac:dyDescent="0.3">
      <c r="A1103" s="14">
        <v>46277</v>
      </c>
      <c r="B1103" s="15">
        <v>4</v>
      </c>
      <c r="C1103" s="321" t="str">
        <f>_xlfn.XLOOKUP(Tabella1[[#This Row],[Nome]],Tabella4[NOME],Tabella4[SQUADRA],"")</f>
        <v>Lazio</v>
      </c>
      <c r="D1103" s="330" t="s">
        <v>162</v>
      </c>
      <c r="E1103" s="330" t="s">
        <v>715</v>
      </c>
      <c r="F1103" s="331">
        <v>6</v>
      </c>
      <c r="G1103" s="404">
        <v>0</v>
      </c>
      <c r="H1103" s="404">
        <v>0</v>
      </c>
      <c r="I1103" s="404">
        <v>0</v>
      </c>
      <c r="J1103" s="404">
        <v>0</v>
      </c>
      <c r="K1103" s="404">
        <v>0</v>
      </c>
      <c r="L1103" s="404">
        <v>0</v>
      </c>
      <c r="M1103" s="404">
        <v>0</v>
      </c>
      <c r="N1103" s="404">
        <v>0</v>
      </c>
      <c r="O1103" s="404">
        <v>0</v>
      </c>
      <c r="P1103" s="401"/>
      <c r="Q1103" s="401">
        <f t="shared" si="44"/>
        <v>0</v>
      </c>
      <c r="R1103" s="3" t="str">
        <f>_xlfn.IFNA(VLOOKUP(Tabella1[[#This Row],[Nome]],'ROSE SQUADRE'!$N$3:$O$260,2,0),"")</f>
        <v>TRICCHETRACHT</v>
      </c>
      <c r="S1103" s="193">
        <f>SUM(Tabella1[[#This Row],[Gf]],Tabella1[[#This Row],[Rf]])</f>
        <v>0</v>
      </c>
      <c r="T1103" s="193">
        <v>1</v>
      </c>
      <c r="U1103" s="285">
        <f>IF(Tabella1[[#This Row],[N° FantaTit]]="","",Tabella1[[#This Row],[fanta voto]])</f>
        <v>6</v>
      </c>
      <c r="V1103" s="193">
        <f>SUM(Tabella1[[#This Row],[Voto]],(G1103*3),Q1103,P1103,O1103,-(N1103),(-M1103/2),(-L1103*2),(-H1103),(I1103*3),(-J1103*3),(K1103*3))</f>
        <v>6</v>
      </c>
      <c r="W1103" s="193">
        <v>1</v>
      </c>
      <c r="X1103" s="193">
        <f>IF(Tabella1[[#This Row],[Best 11]]=1,Tabella1[[#This Row],[fanta voto]],"")</f>
        <v>6</v>
      </c>
      <c r="Y1103">
        <v>1</v>
      </c>
      <c r="Z1103" s="193">
        <f>IF(Tabella1[[#This Row],[Best 11 MOD]]=1,Tabella1[[#This Row],[fanta voto]],"")</f>
        <v>6</v>
      </c>
      <c r="AA1103" t="str">
        <f>CONCATENATE(Tabella1[[#This Row],[GG]],Tabella1[[#This Row],[Nome]])</f>
        <v>4Gudmundsson A.</v>
      </c>
      <c r="AB1103" t="str">
        <f t="shared" si="45"/>
        <v>4TRICCHETRACHT1</v>
      </c>
      <c r="AC1103" t="str">
        <f>_xlfn.CONCAT(Tabella1[[#This Row],[Ruolo]],Tabella1[[#This Row],[Gs]])</f>
        <v>C0</v>
      </c>
    </row>
    <row r="1104" spans="1:29" hidden="1" x14ac:dyDescent="0.3">
      <c r="A1104" s="14">
        <v>46277</v>
      </c>
      <c r="B1104" s="15">
        <v>4</v>
      </c>
      <c r="C1104" s="321" t="str">
        <f>_xlfn.XLOOKUP(Tabella1[[#This Row],[Nome]],Tabella4[NOME],Tabella4[SQUADRA],"")</f>
        <v>Venezia</v>
      </c>
      <c r="D1104" t="s">
        <v>163</v>
      </c>
      <c r="E1104" t="s">
        <v>983</v>
      </c>
      <c r="F1104" s="194">
        <v>6.5</v>
      </c>
      <c r="G1104" s="403">
        <v>1</v>
      </c>
      <c r="H1104" s="402">
        <v>0</v>
      </c>
      <c r="I1104" s="402">
        <v>0</v>
      </c>
      <c r="J1104" s="402">
        <v>0</v>
      </c>
      <c r="K1104" s="402">
        <v>0</v>
      </c>
      <c r="L1104" s="402">
        <v>0</v>
      </c>
      <c r="M1104" s="402">
        <v>0</v>
      </c>
      <c r="N1104" s="402">
        <v>0</v>
      </c>
      <c r="O1104" s="402">
        <v>0</v>
      </c>
      <c r="P1104" s="401"/>
      <c r="Q1104" s="401">
        <f t="shared" si="44"/>
        <v>0</v>
      </c>
      <c r="R1104" s="3" t="str">
        <f>_xlfn.IFNA(VLOOKUP(Tabella1[[#This Row],[Nome]],'ROSE SQUADRE'!$N$3:$O$260,2,0),"")</f>
        <v>AS PIPPERIA</v>
      </c>
      <c r="S1104" s="193">
        <f>SUM(Tabella1[[#This Row],[Gf]],Tabella1[[#This Row],[Rf]])</f>
        <v>1</v>
      </c>
      <c r="T1104" s="193"/>
      <c r="U1104" s="285" t="str">
        <f>IF(Tabella1[[#This Row],[N° FantaTit]]="","",Tabella1[[#This Row],[fanta voto]])</f>
        <v/>
      </c>
      <c r="V1104" s="193">
        <f>SUM(Tabella1[[#This Row],[Voto]],(G1104*3),Q1104,P1104,O1104,-(N1104),(-M1104/2),(-L1104*2),(-H1104),(I1104*3),(-J1104*3),(K1104*3))</f>
        <v>9.5</v>
      </c>
      <c r="W1104" s="193">
        <v>1</v>
      </c>
      <c r="X1104" s="193">
        <f>IF(Tabella1[[#This Row],[Best 11]]=1,Tabella1[[#This Row],[fanta voto]],"")</f>
        <v>9.5</v>
      </c>
      <c r="Y1104">
        <v>1</v>
      </c>
      <c r="Z1104" s="193">
        <f>IF(Tabella1[[#This Row],[Best 11 MOD]]=1,Tabella1[[#This Row],[fanta voto]],"")</f>
        <v>9.5</v>
      </c>
      <c r="AA1104" t="str">
        <f>CONCATENATE(Tabella1[[#This Row],[GG]],Tabella1[[#This Row],[Nome]])</f>
        <v>4Adams A.</v>
      </c>
      <c r="AB1104" t="str">
        <f t="shared" si="45"/>
        <v>4AS PIPPERIA</v>
      </c>
      <c r="AC1104" t="str">
        <f>_xlfn.CONCAT(Tabella1[[#This Row],[Ruolo]],Tabella1[[#This Row],[Gs]])</f>
        <v>A0</v>
      </c>
    </row>
    <row r="1105" spans="1:29" x14ac:dyDescent="0.3">
      <c r="A1105" s="14">
        <v>46277</v>
      </c>
      <c r="B1105" s="15">
        <v>4</v>
      </c>
      <c r="C1105" s="321" t="str">
        <f>_xlfn.XLOOKUP(Tabella1[[#This Row],[Nome]],Tabella4[NOME],Tabella4[SQUADRA],"")</f>
        <v>Fiorentina</v>
      </c>
      <c r="D1105" t="s">
        <v>163</v>
      </c>
      <c r="E1105" t="s">
        <v>719</v>
      </c>
      <c r="F1105" s="194">
        <v>7</v>
      </c>
      <c r="G1105" s="403">
        <v>1</v>
      </c>
      <c r="H1105" s="402">
        <v>0</v>
      </c>
      <c r="I1105" s="402">
        <v>0</v>
      </c>
      <c r="J1105" s="402">
        <v>0</v>
      </c>
      <c r="K1105" s="402">
        <v>0</v>
      </c>
      <c r="L1105" s="402">
        <v>0</v>
      </c>
      <c r="M1105" s="402">
        <v>0</v>
      </c>
      <c r="N1105" s="402">
        <v>0</v>
      </c>
      <c r="O1105" s="402">
        <v>0</v>
      </c>
      <c r="P1105" s="401">
        <v>1</v>
      </c>
      <c r="Q1105" s="401">
        <f t="shared" si="44"/>
        <v>0</v>
      </c>
      <c r="R1105" s="3" t="str">
        <f>_xlfn.IFNA(VLOOKUP(Tabella1[[#This Row],[Nome]],'ROSE SQUADRE'!$N$3:$O$260,2,0),"")</f>
        <v>SHARK</v>
      </c>
      <c r="S1105" s="193">
        <f>SUM(Tabella1[[#This Row],[Gf]],Tabella1[[#This Row],[Rf]])</f>
        <v>1</v>
      </c>
      <c r="T1105" s="193">
        <v>1</v>
      </c>
      <c r="U1105" s="285">
        <f>IF(Tabella1[[#This Row],[N° FantaTit]]="","",Tabella1[[#This Row],[fanta voto]])</f>
        <v>11</v>
      </c>
      <c r="V1105" s="193">
        <f>SUM(Tabella1[[#This Row],[Voto]],(G1105*3),Q1105,P1105,O1105,-(N1105),(-M1105/2),(-L1105*2),(-H1105),(I1105*3),(-J1105*3),(K1105*3))</f>
        <v>11</v>
      </c>
      <c r="W1105" s="193">
        <v>1</v>
      </c>
      <c r="X1105" s="193">
        <f>IF(Tabella1[[#This Row],[Best 11]]=1,Tabella1[[#This Row],[fanta voto]],"")</f>
        <v>11</v>
      </c>
      <c r="Y1105">
        <v>1</v>
      </c>
      <c r="Z1105" s="193">
        <f>IF(Tabella1[[#This Row],[Best 11 MOD]]=1,Tabella1[[#This Row],[fanta voto]],"")</f>
        <v>11</v>
      </c>
      <c r="AA1105" t="str">
        <f>CONCATENATE(Tabella1[[#This Row],[GG]],Tabella1[[#This Row],[Nome]])</f>
        <v>4Pellegrino M.</v>
      </c>
      <c r="AB1105" t="str">
        <f t="shared" si="45"/>
        <v>4SHARK1</v>
      </c>
      <c r="AC1105" t="str">
        <f>_xlfn.CONCAT(Tabella1[[#This Row],[Ruolo]],Tabella1[[#This Row],[Gs]])</f>
        <v>A0</v>
      </c>
    </row>
    <row r="1106" spans="1:29" hidden="1" x14ac:dyDescent="0.3">
      <c r="A1106" s="14">
        <v>46277</v>
      </c>
      <c r="B1106" s="15">
        <v>4</v>
      </c>
      <c r="C1106" s="321" t="str">
        <f>_xlfn.XLOOKUP(Tabella1[[#This Row],[Nome]],Tabella4[NOME],Tabella4[SQUADRA],"")</f>
        <v>Parma</v>
      </c>
      <c r="D1106" t="s">
        <v>161</v>
      </c>
      <c r="E1106" t="s">
        <v>876</v>
      </c>
      <c r="F1106" s="194">
        <v>6</v>
      </c>
      <c r="G1106" s="402">
        <v>0</v>
      </c>
      <c r="H1106" s="402">
        <v>0</v>
      </c>
      <c r="I1106" s="402">
        <v>0</v>
      </c>
      <c r="J1106" s="402">
        <v>0</v>
      </c>
      <c r="K1106" s="402">
        <v>0</v>
      </c>
      <c r="L1106" s="402">
        <v>0</v>
      </c>
      <c r="M1106" s="402">
        <v>0</v>
      </c>
      <c r="N1106" s="402">
        <v>0</v>
      </c>
      <c r="O1106" s="402">
        <v>0</v>
      </c>
      <c r="P1106" s="401"/>
      <c r="Q1106" s="401">
        <f t="shared" si="44"/>
        <v>0</v>
      </c>
      <c r="R1106" s="3" t="str">
        <f>_xlfn.IFNA(VLOOKUP(Tabella1[[#This Row],[Nome]],'ROSE SQUADRE'!$N$3:$O$260,2,0),"")</f>
        <v/>
      </c>
      <c r="S1106" s="193">
        <f>SUM(Tabella1[[#This Row],[Gf]],Tabella1[[#This Row],[Rf]])</f>
        <v>0</v>
      </c>
      <c r="T1106" s="193"/>
      <c r="U1106" s="285" t="str">
        <f>IF(Tabella1[[#This Row],[N° FantaTit]]="","",Tabella1[[#This Row],[fanta voto]])</f>
        <v/>
      </c>
      <c r="V1106" s="193">
        <f>SUM(Tabella1[[#This Row],[Voto]],(G1106*3),Q1106,P1106,O1106,-(N1106),(-M1106/2),(-L1106*2),(-H1106),(I1106*3),(-J1106*3),(K1106*3))</f>
        <v>6</v>
      </c>
      <c r="W1106" s="193"/>
      <c r="X1106" s="193" t="str">
        <f>IF(Tabella1[[#This Row],[Best 11]]=1,Tabella1[[#This Row],[fanta voto]],"")</f>
        <v/>
      </c>
      <c r="Z1106" s="193" t="str">
        <f>IF(Tabella1[[#This Row],[Best 11 MOD]]=1,Tabella1[[#This Row],[fanta voto]],"")</f>
        <v/>
      </c>
      <c r="AA1106" t="str">
        <f>CONCATENATE(Tabella1[[#This Row],[GG]],Tabella1[[#This Row],[Nome]])</f>
        <v>4Britschgi</v>
      </c>
      <c r="AB1106" t="str">
        <f t="shared" si="45"/>
        <v>4</v>
      </c>
      <c r="AC1106" t="str">
        <f>_xlfn.CONCAT(Tabella1[[#This Row],[Ruolo]],Tabella1[[#This Row],[Gs]])</f>
        <v>D0</v>
      </c>
    </row>
    <row r="1107" spans="1:29" hidden="1" x14ac:dyDescent="0.3">
      <c r="A1107" s="14">
        <v>46277</v>
      </c>
      <c r="B1107" s="15">
        <v>4</v>
      </c>
      <c r="C1107" s="321" t="str">
        <f>_xlfn.XLOOKUP(Tabella1[[#This Row],[Nome]],Tabella4[NOME],Tabella4[SQUADRA],"")</f>
        <v>Parma</v>
      </c>
      <c r="D1107" t="s">
        <v>162</v>
      </c>
      <c r="E1107" t="s">
        <v>461</v>
      </c>
      <c r="F1107" s="194">
        <v>6.5</v>
      </c>
      <c r="G1107" s="402">
        <v>0</v>
      </c>
      <c r="H1107" s="402">
        <v>0</v>
      </c>
      <c r="I1107" s="402">
        <v>0</v>
      </c>
      <c r="J1107" s="402">
        <v>0</v>
      </c>
      <c r="K1107" s="402">
        <v>0</v>
      </c>
      <c r="L1107" s="402">
        <v>0</v>
      </c>
      <c r="M1107" s="402">
        <v>0</v>
      </c>
      <c r="N1107" s="402">
        <v>0</v>
      </c>
      <c r="O1107" s="403">
        <v>1</v>
      </c>
      <c r="P1107" s="401"/>
      <c r="Q1107" s="401">
        <f t="shared" si="44"/>
        <v>0</v>
      </c>
      <c r="R1107" s="3" t="str">
        <f>_xlfn.IFNA(VLOOKUP(Tabella1[[#This Row],[Nome]],'ROSE SQUADRE'!$N$3:$O$260,2,0),"")</f>
        <v/>
      </c>
      <c r="S1107" s="193">
        <f>SUM(Tabella1[[#This Row],[Gf]],Tabella1[[#This Row],[Rf]])</f>
        <v>0</v>
      </c>
      <c r="T1107" s="193"/>
      <c r="U1107" s="285" t="str">
        <f>IF(Tabella1[[#This Row],[N° FantaTit]]="","",Tabella1[[#This Row],[fanta voto]])</f>
        <v/>
      </c>
      <c r="V1107" s="193">
        <f>SUM(Tabella1[[#This Row],[Voto]],(G1107*3),Q1107,P1107,O1107,-(N1107),(-M1107/2),(-L1107*2),(-H1107),(I1107*3),(-J1107*3),(K1107*3))</f>
        <v>7.5</v>
      </c>
      <c r="W1107" s="193"/>
      <c r="X1107" s="193" t="str">
        <f>IF(Tabella1[[#This Row],[Best 11]]=1,Tabella1[[#This Row],[fanta voto]],"")</f>
        <v/>
      </c>
      <c r="Z1107" s="193" t="str">
        <f>IF(Tabella1[[#This Row],[Best 11 MOD]]=1,Tabella1[[#This Row],[fanta voto]],"")</f>
        <v/>
      </c>
      <c r="AA1107" t="str">
        <f>CONCATENATE(Tabella1[[#This Row],[GG]],Tabella1[[#This Row],[Nome]])</f>
        <v>4Almqvist</v>
      </c>
      <c r="AB1107" t="str">
        <f t="shared" si="45"/>
        <v>4</v>
      </c>
      <c r="AC1107" t="str">
        <f>_xlfn.CONCAT(Tabella1[[#This Row],[Ruolo]],Tabella1[[#This Row],[Gs]])</f>
        <v>C0</v>
      </c>
    </row>
    <row r="1108" spans="1:29" hidden="1" x14ac:dyDescent="0.3">
      <c r="A1108" s="14">
        <v>46277</v>
      </c>
      <c r="B1108" s="15">
        <v>4</v>
      </c>
      <c r="C1108" s="321" t="str">
        <f>_xlfn.XLOOKUP(Tabella1[[#This Row],[Nome]],Tabella4[NOME],Tabella4[SQUADRA],"")</f>
        <v>Juventus</v>
      </c>
      <c r="D1108" t="s">
        <v>163</v>
      </c>
      <c r="E1108" t="s">
        <v>1044</v>
      </c>
      <c r="F1108" s="194">
        <v>5.5</v>
      </c>
      <c r="G1108" s="402">
        <v>0</v>
      </c>
      <c r="H1108" s="402">
        <v>0</v>
      </c>
      <c r="I1108" s="402">
        <v>0</v>
      </c>
      <c r="J1108" s="402">
        <v>0</v>
      </c>
      <c r="K1108" s="402">
        <v>0</v>
      </c>
      <c r="L1108" s="402">
        <v>0</v>
      </c>
      <c r="M1108" s="402">
        <v>0</v>
      </c>
      <c r="N1108" s="402">
        <v>0</v>
      </c>
      <c r="O1108" s="402">
        <v>0</v>
      </c>
      <c r="P1108" s="401"/>
      <c r="Q1108" s="401">
        <f t="shared" si="44"/>
        <v>0</v>
      </c>
      <c r="R1108" s="3" t="str">
        <f>_xlfn.IFNA(VLOOKUP(Tabella1[[#This Row],[Nome]],'ROSE SQUADRE'!$N$3:$O$260,2,0),"")</f>
        <v>ATL. IMPROVVISATO</v>
      </c>
      <c r="S1108" s="193">
        <f>SUM(Tabella1[[#This Row],[Gf]],Tabella1[[#This Row],[Rf]])</f>
        <v>0</v>
      </c>
      <c r="T1108" s="193"/>
      <c r="U1108" s="285" t="str">
        <f>IF(Tabella1[[#This Row],[N° FantaTit]]="","",Tabella1[[#This Row],[fanta voto]])</f>
        <v/>
      </c>
      <c r="V1108" s="193">
        <f>SUM(Tabella1[[#This Row],[Voto]],(G1108*3),Q1108,P1108,O1108,-(N1108),(-M1108/2),(-L1108*2),(-H1108),(I1108*3),(-J1108*3),(K1108*3))</f>
        <v>5.5</v>
      </c>
      <c r="W1108" s="193"/>
      <c r="X1108" s="193" t="str">
        <f>IF(Tabella1[[#This Row],[Best 11]]=1,Tabella1[[#This Row],[fanta voto]],"")</f>
        <v/>
      </c>
      <c r="Z1108" s="193" t="str">
        <f>IF(Tabella1[[#This Row],[Best 11 MOD]]=1,Tabella1[[#This Row],[fanta voto]],"")</f>
        <v/>
      </c>
      <c r="AA1108" t="str">
        <f>CONCATENATE(Tabella1[[#This Row],[GG]],Tabella1[[#This Row],[Nome]])</f>
        <v>4Woltemade</v>
      </c>
      <c r="AB1108" t="str">
        <f t="shared" si="45"/>
        <v>4ATL. IMPROVVISATO</v>
      </c>
      <c r="AC1108" t="str">
        <f>_xlfn.CONCAT(Tabella1[[#This Row],[Ruolo]],Tabella1[[#This Row],[Gs]])</f>
        <v>A0</v>
      </c>
    </row>
    <row r="1109" spans="1:29" hidden="1" x14ac:dyDescent="0.3">
      <c r="A1109" s="14">
        <v>46277</v>
      </c>
      <c r="B1109" s="15">
        <v>4</v>
      </c>
      <c r="C1109" s="321" t="str">
        <f>_xlfn.XLOOKUP(Tabella1[[#This Row],[Nome]],Tabella4[NOME],Tabella4[SQUADRA],"")</f>
        <v>Bologna</v>
      </c>
      <c r="D1109" t="s">
        <v>163</v>
      </c>
      <c r="E1109" t="s">
        <v>260</v>
      </c>
      <c r="F1109" s="194">
        <v>5.5</v>
      </c>
      <c r="G1109" s="402">
        <v>0</v>
      </c>
      <c r="H1109" s="402">
        <v>0</v>
      </c>
      <c r="I1109" s="402">
        <v>0</v>
      </c>
      <c r="J1109" s="402">
        <v>0</v>
      </c>
      <c r="K1109" s="402">
        <v>0</v>
      </c>
      <c r="L1109" s="402">
        <v>0</v>
      </c>
      <c r="M1109" s="402">
        <v>0</v>
      </c>
      <c r="N1109" s="402">
        <v>0</v>
      </c>
      <c r="O1109" s="402">
        <v>0</v>
      </c>
      <c r="P1109" s="401"/>
      <c r="Q1109" s="401">
        <f t="shared" si="44"/>
        <v>0</v>
      </c>
      <c r="R1109" s="3" t="str">
        <f>_xlfn.IFNA(VLOOKUP(Tabella1[[#This Row],[Nome]],'ROSE SQUADRE'!$N$3:$O$260,2,0),"")</f>
        <v>SHARK</v>
      </c>
      <c r="S1109" s="193">
        <f>SUM(Tabella1[[#This Row],[Gf]],Tabella1[[#This Row],[Rf]])</f>
        <v>0</v>
      </c>
      <c r="T1109" s="193">
        <v>1</v>
      </c>
      <c r="U1109" s="285">
        <f>IF(Tabella1[[#This Row],[N° FantaTit]]="","",Tabella1[[#This Row],[fanta voto]])</f>
        <v>5.5</v>
      </c>
      <c r="V1109" s="193">
        <f>SUM(Tabella1[[#This Row],[Voto]],(G1109*3),Q1109,P1109,O1109,-(N1109),(-M1109/2),(-L1109*2),(-H1109),(I1109*3),(-J1109*3),(K1109*3))</f>
        <v>5.5</v>
      </c>
      <c r="W1109" s="193"/>
      <c r="X1109" s="193" t="str">
        <f>IF(Tabella1[[#This Row],[Best 11]]=1,Tabella1[[#This Row],[fanta voto]],"")</f>
        <v/>
      </c>
      <c r="Z1109" s="193" t="str">
        <f>IF(Tabella1[[#This Row],[Best 11 MOD]]=1,Tabella1[[#This Row],[fanta voto]],"")</f>
        <v/>
      </c>
      <c r="AA1109" t="str">
        <f>CONCATENATE(Tabella1[[#This Row],[GG]],Tabella1[[#This Row],[Nome]])</f>
        <v>4Piccoli</v>
      </c>
      <c r="AB1109" t="str">
        <f t="shared" si="45"/>
        <v>4SHARK1</v>
      </c>
      <c r="AC1109" t="str">
        <f>_xlfn.CONCAT(Tabella1[[#This Row],[Ruolo]],Tabella1[[#This Row],[Gs]])</f>
        <v>A0</v>
      </c>
    </row>
    <row r="1110" spans="1:29" hidden="1" x14ac:dyDescent="0.3">
      <c r="A1110" s="14">
        <v>46277</v>
      </c>
      <c r="B1110" s="15">
        <v>4</v>
      </c>
      <c r="C1110" s="321" t="str">
        <f>_xlfn.XLOOKUP(Tabella1[[#This Row],[Nome]],Tabella4[NOME],Tabella4[SQUADRA],"")</f>
        <v>Parma</v>
      </c>
      <c r="D1110" s="330" t="s">
        <v>162</v>
      </c>
      <c r="E1110" s="330" t="s">
        <v>1055</v>
      </c>
      <c r="F1110" s="331">
        <v>5.5</v>
      </c>
      <c r="G1110" s="404">
        <v>0</v>
      </c>
      <c r="H1110" s="404">
        <v>0</v>
      </c>
      <c r="I1110" s="404">
        <v>0</v>
      </c>
      <c r="J1110" s="404">
        <v>0</v>
      </c>
      <c r="K1110" s="404">
        <v>0</v>
      </c>
      <c r="L1110" s="404">
        <v>0</v>
      </c>
      <c r="M1110" s="404">
        <v>0</v>
      </c>
      <c r="N1110" s="404">
        <v>0</v>
      </c>
      <c r="O1110" s="404">
        <v>0</v>
      </c>
      <c r="P1110" s="401"/>
      <c r="Q1110" s="401">
        <f t="shared" si="44"/>
        <v>0</v>
      </c>
      <c r="R1110" s="3" t="str">
        <f>_xlfn.IFNA(VLOOKUP(Tabella1[[#This Row],[Nome]],'ROSE SQUADRE'!$N$3:$O$260,2,0),"")</f>
        <v/>
      </c>
      <c r="S1110" s="193">
        <f>SUM(Tabella1[[#This Row],[Gf]],Tabella1[[#This Row],[Rf]])</f>
        <v>0</v>
      </c>
      <c r="T1110" s="193"/>
      <c r="U1110" s="285" t="str">
        <f>IF(Tabella1[[#This Row],[N° FantaTit]]="","",Tabella1[[#This Row],[fanta voto]])</f>
        <v/>
      </c>
      <c r="V1110" s="193">
        <f>SUM(Tabella1[[#This Row],[Voto]],(G1110*3),Q1110,P1110,O1110,-(N1110),(-M1110/2),(-L1110*2),(-H1110),(I1110*3),(-J1110*3),(K1110*3))</f>
        <v>5.5</v>
      </c>
      <c r="W1110" s="193"/>
      <c r="X1110" s="193" t="str">
        <f>IF(Tabella1[[#This Row],[Best 11]]=1,Tabella1[[#This Row],[fanta voto]],"")</f>
        <v/>
      </c>
      <c r="Z1110" s="193" t="str">
        <f>IF(Tabella1[[#This Row],[Best 11 MOD]]=1,Tabella1[[#This Row],[fanta voto]],"")</f>
        <v/>
      </c>
      <c r="AA1110" t="str">
        <f>CONCATENATE(Tabella1[[#This Row],[GG]],Tabella1[[#This Row],[Nome]])</f>
        <v>4Sierro</v>
      </c>
      <c r="AB1110" t="str">
        <f t="shared" si="45"/>
        <v>4</v>
      </c>
      <c r="AC1110" t="str">
        <f>_xlfn.CONCAT(Tabella1[[#This Row],[Ruolo]],Tabella1[[#This Row],[Gs]])</f>
        <v>C0</v>
      </c>
    </row>
    <row r="1111" spans="1:29" hidden="1" x14ac:dyDescent="0.3">
      <c r="A1111" s="14">
        <v>46277</v>
      </c>
      <c r="B1111" s="15">
        <v>4</v>
      </c>
      <c r="C1111" s="321" t="str">
        <f>_xlfn.XLOOKUP(Tabella1[[#This Row],[Nome]],Tabella4[NOME],Tabella4[SQUADRA],"")</f>
        <v>Napoli</v>
      </c>
      <c r="D1111" s="330" t="s">
        <v>163</v>
      </c>
      <c r="E1111" s="330" t="s">
        <v>871</v>
      </c>
      <c r="F1111" s="331">
        <v>6</v>
      </c>
      <c r="G1111" s="404">
        <v>0</v>
      </c>
      <c r="H1111" s="404">
        <v>0</v>
      </c>
      <c r="I1111" s="404">
        <v>0</v>
      </c>
      <c r="J1111" s="404">
        <v>0</v>
      </c>
      <c r="K1111" s="404">
        <v>0</v>
      </c>
      <c r="L1111" s="404">
        <v>0</v>
      </c>
      <c r="M1111" s="404">
        <v>0</v>
      </c>
      <c r="N1111" s="404">
        <v>0</v>
      </c>
      <c r="O1111" s="404">
        <v>0</v>
      </c>
      <c r="P1111" s="401"/>
      <c r="Q1111" s="401">
        <f t="shared" si="44"/>
        <v>0</v>
      </c>
      <c r="R1111" s="3" t="str">
        <f>_xlfn.IFNA(VLOOKUP(Tabella1[[#This Row],[Nome]],'ROSE SQUADRE'!$N$3:$O$260,2,0),"")</f>
        <v>ATL. IMPROVVISATO</v>
      </c>
      <c r="S1111" s="193">
        <f>SUM(Tabella1[[#This Row],[Gf]],Tabella1[[#This Row],[Rf]])</f>
        <v>0</v>
      </c>
      <c r="T1111" s="193"/>
      <c r="U1111" s="285" t="str">
        <f>IF(Tabella1[[#This Row],[N° FantaTit]]="","",Tabella1[[#This Row],[fanta voto]])</f>
        <v/>
      </c>
      <c r="V1111" s="193">
        <f>SUM(Tabella1[[#This Row],[Voto]],(G1111*3),Q1111,P1111,O1111,-(N1111),(-M1111/2),(-L1111*2),(-H1111),(I1111*3),(-J1111*3),(K1111*3))</f>
        <v>6</v>
      </c>
      <c r="W1111" s="193"/>
      <c r="X1111" s="193" t="str">
        <f>IF(Tabella1[[#This Row],[Best 11]]=1,Tabella1[[#This Row],[fanta voto]],"")</f>
        <v/>
      </c>
      <c r="Z1111" s="193" t="str">
        <f>IF(Tabella1[[#This Row],[Best 11 MOD]]=1,Tabella1[[#This Row],[fanta voto]],"")</f>
        <v/>
      </c>
      <c r="AA1111" t="str">
        <f>CONCATENATE(Tabella1[[#This Row],[GG]],Tabella1[[#This Row],[Nome]])</f>
        <v>4Lang</v>
      </c>
      <c r="AB1111" t="str">
        <f t="shared" si="45"/>
        <v>4ATL. IMPROVVISATO</v>
      </c>
      <c r="AC1111" t="str">
        <f>_xlfn.CONCAT(Tabella1[[#This Row],[Ruolo]],Tabella1[[#This Row],[Gs]])</f>
        <v>A0</v>
      </c>
    </row>
    <row r="1112" spans="1:29" hidden="1" x14ac:dyDescent="0.3">
      <c r="A1112" s="14">
        <v>46277</v>
      </c>
      <c r="B1112" s="15">
        <v>4</v>
      </c>
      <c r="C1112" s="321" t="str">
        <f>_xlfn.XLOOKUP(Tabella1[[#This Row],[Nome]],Tabella4[NOME],Tabella4[SQUADRA],"")</f>
        <v>Parma</v>
      </c>
      <c r="D1112" s="330" t="s">
        <v>163</v>
      </c>
      <c r="E1112" s="330" t="s">
        <v>889</v>
      </c>
      <c r="F1112" s="331">
        <v>5.5</v>
      </c>
      <c r="G1112" s="404">
        <v>0</v>
      </c>
      <c r="H1112" s="404">
        <v>0</v>
      </c>
      <c r="I1112" s="404">
        <v>0</v>
      </c>
      <c r="J1112" s="404">
        <v>0</v>
      </c>
      <c r="K1112" s="404">
        <v>0</v>
      </c>
      <c r="L1112" s="404">
        <v>0</v>
      </c>
      <c r="M1112" s="404">
        <v>0</v>
      </c>
      <c r="N1112" s="404">
        <v>0</v>
      </c>
      <c r="O1112" s="404">
        <v>0</v>
      </c>
      <c r="P1112" s="401"/>
      <c r="Q1112" s="401">
        <f t="shared" si="44"/>
        <v>0</v>
      </c>
      <c r="R1112" s="3" t="str">
        <f>_xlfn.IFNA(VLOOKUP(Tabella1[[#This Row],[Nome]],'ROSE SQUADRE'!$N$3:$O$260,2,0),"")</f>
        <v/>
      </c>
      <c r="S1112" s="193">
        <f>SUM(Tabella1[[#This Row],[Gf]],Tabella1[[#This Row],[Rf]])</f>
        <v>0</v>
      </c>
      <c r="T1112" s="193"/>
      <c r="U1112" s="285" t="str">
        <f>IF(Tabella1[[#This Row],[N° FantaTit]]="","",Tabella1[[#This Row],[fanta voto]])</f>
        <v/>
      </c>
      <c r="V1112" s="193">
        <f>SUM(Tabella1[[#This Row],[Voto]],(G1112*3),Q1112,P1112,O1112,-(N1112),(-M1112/2),(-L1112*2),(-H1112),(I1112*3),(-J1112*3),(K1112*3))</f>
        <v>5.5</v>
      </c>
      <c r="W1112" s="193"/>
      <c r="X1112" s="193" t="str">
        <f>IF(Tabella1[[#This Row],[Best 11]]=1,Tabella1[[#This Row],[fanta voto]],"")</f>
        <v/>
      </c>
      <c r="Z1112" s="193" t="str">
        <f>IF(Tabella1[[#This Row],[Best 11 MOD]]=1,Tabella1[[#This Row],[fanta voto]],"")</f>
        <v/>
      </c>
      <c r="AA1112" t="str">
        <f>CONCATENATE(Tabella1[[#This Row],[GG]],Tabella1[[#This Row],[Nome]])</f>
        <v>4Frigan</v>
      </c>
      <c r="AB1112" t="str">
        <f t="shared" si="45"/>
        <v>4</v>
      </c>
      <c r="AC1112" t="str">
        <f>_xlfn.CONCAT(Tabella1[[#This Row],[Ruolo]],Tabella1[[#This Row],[Gs]])</f>
        <v>A0</v>
      </c>
    </row>
    <row r="1113" spans="1:29" x14ac:dyDescent="0.3">
      <c r="A1113" s="14">
        <v>46277</v>
      </c>
      <c r="B1113" s="15">
        <v>4</v>
      </c>
      <c r="C1113" s="321" t="str">
        <f>_xlfn.XLOOKUP(Tabella1[[#This Row],[Nome]],Tabella4[NOME],Tabella4[SQUADRA],"")</f>
        <v>Atalanta</v>
      </c>
      <c r="D1113" s="330" t="s">
        <v>163</v>
      </c>
      <c r="E1113" s="330" t="s">
        <v>641</v>
      </c>
      <c r="F1113" s="331">
        <v>7</v>
      </c>
      <c r="G1113" s="405">
        <v>1</v>
      </c>
      <c r="H1113" s="404">
        <v>0</v>
      </c>
      <c r="I1113" s="404">
        <v>0</v>
      </c>
      <c r="J1113" s="404">
        <v>0</v>
      </c>
      <c r="K1113" s="404">
        <v>0</v>
      </c>
      <c r="L1113" s="404">
        <v>0</v>
      </c>
      <c r="M1113" s="404">
        <v>0</v>
      </c>
      <c r="N1113" s="404">
        <v>0</v>
      </c>
      <c r="O1113" s="404">
        <v>0</v>
      </c>
      <c r="P1113" s="401"/>
      <c r="Q1113" s="401">
        <f t="shared" si="44"/>
        <v>0</v>
      </c>
      <c r="R1113" s="3" t="str">
        <f>_xlfn.IFNA(VLOOKUP(Tabella1[[#This Row],[Nome]],'ROSE SQUADRE'!$N$3:$O$260,2,0),"")</f>
        <v>TRICCHETRACHT</v>
      </c>
      <c r="S1113" s="193">
        <f>SUM(Tabella1[[#This Row],[Gf]],Tabella1[[#This Row],[Rf]])</f>
        <v>1</v>
      </c>
      <c r="T1113" s="193">
        <v>1</v>
      </c>
      <c r="U1113" s="285">
        <f>IF(Tabella1[[#This Row],[N° FantaTit]]="","",Tabella1[[#This Row],[fanta voto]])</f>
        <v>10</v>
      </c>
      <c r="V1113" s="193">
        <f>SUM(Tabella1[[#This Row],[Voto]],(G1113*3),Q1113,P1113,O1113,-(N1113),(-M1113/2),(-L1113*2),(-H1113),(I1113*3),(-J1113*3),(K1113*3))</f>
        <v>10</v>
      </c>
      <c r="W1113" s="193">
        <v>1</v>
      </c>
      <c r="X1113" s="193">
        <f>IF(Tabella1[[#This Row],[Best 11]]=1,Tabella1[[#This Row],[fanta voto]],"")</f>
        <v>10</v>
      </c>
      <c r="Y1113">
        <v>1</v>
      </c>
      <c r="Z1113" s="193">
        <f>IF(Tabella1[[#This Row],[Best 11 MOD]]=1,Tabella1[[#This Row],[fanta voto]],"")</f>
        <v>10</v>
      </c>
      <c r="AA1113" t="str">
        <f>CONCATENATE(Tabella1[[#This Row],[GG]],Tabella1[[#This Row],[Nome]])</f>
        <v>4Scamacca</v>
      </c>
      <c r="AB1113" t="str">
        <f t="shared" si="45"/>
        <v>4TRICCHETRACHT1</v>
      </c>
      <c r="AC1113" t="str">
        <f>_xlfn.CONCAT(Tabella1[[#This Row],[Ruolo]],Tabella1[[#This Row],[Gs]])</f>
        <v>A0</v>
      </c>
    </row>
    <row r="1114" spans="1:29" hidden="1" x14ac:dyDescent="0.3">
      <c r="A1114" s="14">
        <v>46277</v>
      </c>
      <c r="B1114" s="15">
        <v>4</v>
      </c>
      <c r="C1114" s="321" t="str">
        <f>_xlfn.XLOOKUP(Tabella1[[#This Row],[Nome]],Tabella4[NOME],Tabella4[SQUADRA],"")</f>
        <v>Juventus</v>
      </c>
      <c r="D1114" t="s">
        <v>162</v>
      </c>
      <c r="E1114" t="s">
        <v>785</v>
      </c>
      <c r="F1114" s="194">
        <v>6</v>
      </c>
      <c r="G1114" s="402">
        <v>0</v>
      </c>
      <c r="H1114" s="402">
        <v>0</v>
      </c>
      <c r="I1114" s="402">
        <v>0</v>
      </c>
      <c r="J1114" s="402">
        <v>0</v>
      </c>
      <c r="K1114" s="402">
        <v>0</v>
      </c>
      <c r="L1114" s="402">
        <v>0</v>
      </c>
      <c r="M1114" s="402">
        <v>0</v>
      </c>
      <c r="N1114" s="402">
        <v>0</v>
      </c>
      <c r="O1114" s="402">
        <v>0</v>
      </c>
      <c r="P1114" s="401"/>
      <c r="Q1114" s="401">
        <f t="shared" si="44"/>
        <v>0</v>
      </c>
      <c r="R1114" s="3" t="str">
        <f>_xlfn.IFNA(VLOOKUP(Tabella1[[#This Row],[Nome]],'ROSE SQUADRE'!$N$3:$O$260,2,0),"")</f>
        <v>AC ASPARAGHESE</v>
      </c>
      <c r="S1114" s="193">
        <f>SUM(Tabella1[[#This Row],[Gf]],Tabella1[[#This Row],[Rf]])</f>
        <v>0</v>
      </c>
      <c r="T1114" s="193">
        <v>1</v>
      </c>
      <c r="U1114" s="285">
        <f>IF(Tabella1[[#This Row],[N° FantaTit]]="","",Tabella1[[#This Row],[fanta voto]])</f>
        <v>6</v>
      </c>
      <c r="V1114" s="193">
        <f>SUM(Tabella1[[#This Row],[Voto]],(G1114*3),Q1114,P1114,O1114,-(N1114),(-M1114/2),(-L1114*2),(-H1114),(I1114*3),(-J1114*3),(K1114*3))</f>
        <v>6</v>
      </c>
      <c r="W1114" s="193">
        <v>1</v>
      </c>
      <c r="X1114" s="193">
        <f>IF(Tabella1[[#This Row],[Best 11]]=1,Tabella1[[#This Row],[fanta voto]],"")</f>
        <v>6</v>
      </c>
      <c r="Y1114">
        <v>1</v>
      </c>
      <c r="Z1114" s="193">
        <f>IF(Tabella1[[#This Row],[Best 11 MOD]]=1,Tabella1[[#This Row],[fanta voto]],"")</f>
        <v>6</v>
      </c>
      <c r="AA1114" t="str">
        <f>CONCATENATE(Tabella1[[#This Row],[GG]],Tabella1[[#This Row],[Nome]])</f>
        <v>4Alajbegovic</v>
      </c>
      <c r="AB1114" t="str">
        <f t="shared" si="45"/>
        <v>4AC ASPARAGHESE1</v>
      </c>
      <c r="AC1114" t="str">
        <f>_xlfn.CONCAT(Tabella1[[#This Row],[Ruolo]],Tabella1[[#This Row],[Gs]])</f>
        <v>C0</v>
      </c>
    </row>
    <row r="1115" spans="1:29" hidden="1" x14ac:dyDescent="0.3">
      <c r="A1115" s="14">
        <v>46277</v>
      </c>
      <c r="B1115" s="15">
        <v>4</v>
      </c>
      <c r="C1115" s="321" t="str">
        <f>_xlfn.XLOOKUP(Tabella1[[#This Row],[Nome]],Tabella4[NOME],Tabella4[SQUADRA],"")</f>
        <v>Como</v>
      </c>
      <c r="D1115" s="330" t="s">
        <v>163</v>
      </c>
      <c r="E1115" s="330" t="s">
        <v>701</v>
      </c>
      <c r="F1115" s="331">
        <v>6.5</v>
      </c>
      <c r="G1115" s="404">
        <v>0</v>
      </c>
      <c r="H1115" s="404">
        <v>0</v>
      </c>
      <c r="I1115" s="404">
        <v>0</v>
      </c>
      <c r="J1115" s="404">
        <v>0</v>
      </c>
      <c r="K1115" s="404">
        <v>0</v>
      </c>
      <c r="L1115" s="404">
        <v>0</v>
      </c>
      <c r="M1115" s="404">
        <v>0</v>
      </c>
      <c r="N1115" s="404">
        <v>0</v>
      </c>
      <c r="O1115" s="404">
        <v>0</v>
      </c>
      <c r="P1115" s="401"/>
      <c r="Q1115" s="401">
        <f t="shared" si="44"/>
        <v>0</v>
      </c>
      <c r="R1115" s="3" t="str">
        <f>_xlfn.IFNA(VLOOKUP(Tabella1[[#This Row],[Nome]],'ROSE SQUADRE'!$N$3:$O$260,2,0),"")</f>
        <v>PESCICULINI</v>
      </c>
      <c r="S1115" s="193">
        <f>SUM(Tabella1[[#This Row],[Gf]],Tabella1[[#This Row],[Rf]])</f>
        <v>0</v>
      </c>
      <c r="T1115" s="193">
        <v>1</v>
      </c>
      <c r="U1115" s="285">
        <f>IF(Tabella1[[#This Row],[N° FantaTit]]="","",Tabella1[[#This Row],[fanta voto]])</f>
        <v>6.5</v>
      </c>
      <c r="V1115" s="193">
        <f>SUM(Tabella1[[#This Row],[Voto]],(G1115*3),Q1115,P1115,O1115,-(N1115),(-M1115/2),(-L1115*2),(-H1115),(I1115*3),(-J1115*3),(K1115*3))</f>
        <v>6.5</v>
      </c>
      <c r="W1115" s="193">
        <v>1</v>
      </c>
      <c r="X1115" s="193">
        <f>IF(Tabella1[[#This Row],[Best 11]]=1,Tabella1[[#This Row],[fanta voto]],"")</f>
        <v>6.5</v>
      </c>
      <c r="Y1115">
        <v>1</v>
      </c>
      <c r="Z1115" s="193">
        <f>IF(Tabella1[[#This Row],[Best 11 MOD]]=1,Tabella1[[#This Row],[fanta voto]],"")</f>
        <v>6.5</v>
      </c>
      <c r="AA1115" t="str">
        <f>CONCATENATE(Tabella1[[#This Row],[GG]],Tabella1[[#This Row],[Nome]])</f>
        <v>4Diao</v>
      </c>
      <c r="AB1115" t="str">
        <f t="shared" si="45"/>
        <v>4PESCICULINI1</v>
      </c>
      <c r="AC1115" t="str">
        <f>_xlfn.CONCAT(Tabella1[[#This Row],[Ruolo]],Tabella1[[#This Row],[Gs]])</f>
        <v>A0</v>
      </c>
    </row>
    <row r="1116" spans="1:29" hidden="1" x14ac:dyDescent="0.3">
      <c r="A1116" s="14">
        <v>46277</v>
      </c>
      <c r="B1116" s="15">
        <v>4</v>
      </c>
      <c r="C1116" s="321" t="str">
        <f>_xlfn.XLOOKUP(Tabella1[[#This Row],[Nome]],Tabella4[NOME],Tabella4[SQUADRA],"")</f>
        <v>Fiorentina</v>
      </c>
      <c r="D1116" s="330" t="s">
        <v>163</v>
      </c>
      <c r="E1116" s="330" t="s">
        <v>1042</v>
      </c>
      <c r="F1116" s="331">
        <v>6</v>
      </c>
      <c r="G1116" s="404">
        <v>0</v>
      </c>
      <c r="H1116" s="404">
        <v>0</v>
      </c>
      <c r="I1116" s="404">
        <v>0</v>
      </c>
      <c r="J1116" s="404">
        <v>0</v>
      </c>
      <c r="K1116" s="404">
        <v>0</v>
      </c>
      <c r="L1116" s="404">
        <v>0</v>
      </c>
      <c r="M1116" s="404">
        <v>0</v>
      </c>
      <c r="N1116" s="404">
        <v>0</v>
      </c>
      <c r="O1116" s="404">
        <v>0</v>
      </c>
      <c r="P1116" s="401"/>
      <c r="Q1116" s="401">
        <f t="shared" si="44"/>
        <v>0</v>
      </c>
      <c r="R1116" s="3" t="str">
        <f>_xlfn.IFNA(VLOOKUP(Tabella1[[#This Row],[Nome]],'ROSE SQUADRE'!$N$3:$O$260,2,0),"")</f>
        <v>SAN GRIA</v>
      </c>
      <c r="S1116" s="193">
        <f>SUM(Tabella1[[#This Row],[Gf]],Tabella1[[#This Row],[Rf]])</f>
        <v>0</v>
      </c>
      <c r="T1116" s="193"/>
      <c r="U1116" s="285" t="str">
        <f>IF(Tabella1[[#This Row],[N° FantaTit]]="","",Tabella1[[#This Row],[fanta voto]])</f>
        <v/>
      </c>
      <c r="V1116" s="193">
        <f>SUM(Tabella1[[#This Row],[Voto]],(G1116*3),Q1116,P1116,O1116,-(N1116),(-M1116/2),(-L1116*2),(-H1116),(I1116*3),(-J1116*3),(K1116*3))</f>
        <v>6</v>
      </c>
      <c r="W1116" s="193"/>
      <c r="X1116" s="193" t="str">
        <f>IF(Tabella1[[#This Row],[Best 11]]=1,Tabella1[[#This Row],[fanta voto]],"")</f>
        <v/>
      </c>
      <c r="Z1116" s="193" t="str">
        <f>IF(Tabella1[[#This Row],[Best 11 MOD]]=1,Tabella1[[#This Row],[fanta voto]],"")</f>
        <v/>
      </c>
      <c r="AA1116" t="str">
        <f>CONCATENATE(Tabella1[[#This Row],[GG]],Tabella1[[#This Row],[Nome]])</f>
        <v>4Gnonto</v>
      </c>
      <c r="AB1116" t="str">
        <f t="shared" si="45"/>
        <v>4SAN GRIA</v>
      </c>
      <c r="AC1116" t="str">
        <f>_xlfn.CONCAT(Tabella1[[#This Row],[Ruolo]],Tabella1[[#This Row],[Gs]])</f>
        <v>A0</v>
      </c>
    </row>
    <row r="1117" spans="1:29" hidden="1" x14ac:dyDescent="0.3">
      <c r="A1117" s="14">
        <v>46277</v>
      </c>
      <c r="B1117" s="15">
        <v>4</v>
      </c>
      <c r="C1117" s="321" t="str">
        <f>_xlfn.XLOOKUP(Tabella1[[#This Row],[Nome]],Tabella4[NOME],Tabella4[SQUADRA],"")</f>
        <v>Napoli</v>
      </c>
      <c r="D1117" t="s">
        <v>163</v>
      </c>
      <c r="E1117" t="s">
        <v>472</v>
      </c>
      <c r="F1117" s="194">
        <v>5.5</v>
      </c>
      <c r="G1117" s="402">
        <v>0</v>
      </c>
      <c r="H1117" s="402">
        <v>0</v>
      </c>
      <c r="I1117" s="402">
        <v>0</v>
      </c>
      <c r="J1117" s="402">
        <v>0</v>
      </c>
      <c r="K1117" s="402">
        <v>0</v>
      </c>
      <c r="L1117" s="402">
        <v>0</v>
      </c>
      <c r="M1117" s="402">
        <v>0</v>
      </c>
      <c r="N1117" s="402">
        <v>0</v>
      </c>
      <c r="O1117" s="402">
        <v>0</v>
      </c>
      <c r="P1117" s="401"/>
      <c r="Q1117" s="401">
        <f t="shared" si="44"/>
        <v>0</v>
      </c>
      <c r="R1117" s="3" t="str">
        <f>_xlfn.IFNA(VLOOKUP(Tabella1[[#This Row],[Nome]],'ROSE SQUADRE'!$N$3:$O$260,2,0),"")</f>
        <v>PESCICULINI</v>
      </c>
      <c r="S1117" s="193">
        <f>SUM(Tabella1[[#This Row],[Gf]],Tabella1[[#This Row],[Rf]])</f>
        <v>0</v>
      </c>
      <c r="T1117" s="193"/>
      <c r="U1117" s="285" t="str">
        <f>IF(Tabella1[[#This Row],[N° FantaTit]]="","",Tabella1[[#This Row],[fanta voto]])</f>
        <v/>
      </c>
      <c r="V1117" s="193">
        <f>SUM(Tabella1[[#This Row],[Voto]],(G1117*3),Q1117,P1117,O1117,-(N1117),(-M1117/2),(-L1117*2),(-H1117),(I1117*3),(-J1117*3),(K1117*3))</f>
        <v>5.5</v>
      </c>
      <c r="W1117" s="193"/>
      <c r="X1117" s="193" t="str">
        <f>IF(Tabella1[[#This Row],[Best 11]]=1,Tabella1[[#This Row],[fanta voto]],"")</f>
        <v/>
      </c>
      <c r="Z1117" s="193" t="str">
        <f>IF(Tabella1[[#This Row],[Best 11 MOD]]=1,Tabella1[[#This Row],[fanta voto]],"")</f>
        <v/>
      </c>
      <c r="AA1117" t="str">
        <f>CONCATENATE(Tabella1[[#This Row],[GG]],Tabella1[[#This Row],[Nome]])</f>
        <v>4Lucca</v>
      </c>
      <c r="AB1117" t="str">
        <f t="shared" si="45"/>
        <v>4PESCICULINI</v>
      </c>
      <c r="AC1117" t="str">
        <f>_xlfn.CONCAT(Tabella1[[#This Row],[Ruolo]],Tabella1[[#This Row],[Gs]])</f>
        <v>A0</v>
      </c>
    </row>
    <row r="1118" spans="1:29" hidden="1" x14ac:dyDescent="0.3">
      <c r="A1118" s="14">
        <v>46277</v>
      </c>
      <c r="B1118" s="15">
        <v>4</v>
      </c>
      <c r="C1118" s="321" t="str">
        <f>_xlfn.XLOOKUP(Tabella1[[#This Row],[Nome]],Tabella4[NOME],Tabella4[SQUADRA],"")</f>
        <v>Roma</v>
      </c>
      <c r="D1118" t="s">
        <v>161</v>
      </c>
      <c r="E1118" t="s">
        <v>1056</v>
      </c>
      <c r="F1118" s="194">
        <v>7</v>
      </c>
      <c r="G1118" s="402">
        <v>0</v>
      </c>
      <c r="H1118" s="402">
        <v>0</v>
      </c>
      <c r="I1118" s="402">
        <v>0</v>
      </c>
      <c r="J1118" s="402">
        <v>0</v>
      </c>
      <c r="K1118" s="402">
        <v>0</v>
      </c>
      <c r="L1118" s="402">
        <v>0</v>
      </c>
      <c r="M1118" s="402">
        <v>0</v>
      </c>
      <c r="N1118" s="402">
        <v>0</v>
      </c>
      <c r="O1118" s="402">
        <v>0</v>
      </c>
      <c r="P1118" s="401"/>
      <c r="Q1118" s="401">
        <f t="shared" si="44"/>
        <v>0</v>
      </c>
      <c r="R1118" s="3" t="str">
        <f>_xlfn.IFNA(VLOOKUP(Tabella1[[#This Row],[Nome]],'ROSE SQUADRE'!$N$3:$O$260,2,0),"")</f>
        <v/>
      </c>
      <c r="S1118" s="193">
        <f>SUM(Tabella1[[#This Row],[Gf]],Tabella1[[#This Row],[Rf]])</f>
        <v>0</v>
      </c>
      <c r="T1118" s="193"/>
      <c r="U1118" s="285" t="str">
        <f>IF(Tabella1[[#This Row],[N° FantaTit]]="","",Tabella1[[#This Row],[fanta voto]])</f>
        <v/>
      </c>
      <c r="V1118" s="193">
        <f>SUM(Tabella1[[#This Row],[Voto]],(G1118*3),Q1118,P1118,O1118,-(N1118),(-M1118/2),(-L1118*2),(-H1118),(I1118*3),(-J1118*3),(K1118*3))</f>
        <v>7</v>
      </c>
      <c r="W1118" s="193"/>
      <c r="X1118" s="193" t="str">
        <f>IF(Tabella1[[#This Row],[Best 11]]=1,Tabella1[[#This Row],[fanta voto]],"")</f>
        <v/>
      </c>
      <c r="Z1118" s="193" t="str">
        <f>IF(Tabella1[[#This Row],[Best 11 MOD]]=1,Tabella1[[#This Row],[fanta voto]],"")</f>
        <v/>
      </c>
      <c r="AA1118" t="str">
        <f>CONCATENATE(Tabella1[[#This Row],[GG]],Tabella1[[#This Row],[Nome]])</f>
        <v>4Balerdi</v>
      </c>
      <c r="AB1118" t="str">
        <f t="shared" si="45"/>
        <v>4</v>
      </c>
      <c r="AC1118" t="str">
        <f>_xlfn.CONCAT(Tabella1[[#This Row],[Ruolo]],Tabella1[[#This Row],[Gs]])</f>
        <v>D0</v>
      </c>
    </row>
    <row r="1119" spans="1:29" hidden="1" x14ac:dyDescent="0.3">
      <c r="A1119" s="14">
        <v>46277</v>
      </c>
      <c r="B1119" s="15">
        <v>4</v>
      </c>
      <c r="C1119" s="321" t="str">
        <f>_xlfn.XLOOKUP(Tabella1[[#This Row],[Nome]],Tabella4[NOME],Tabella4[SQUADRA],"")</f>
        <v>Inter</v>
      </c>
      <c r="D1119" t="s">
        <v>162</v>
      </c>
      <c r="E1119" t="s">
        <v>771</v>
      </c>
      <c r="F1119" s="194">
        <v>6.5</v>
      </c>
      <c r="G1119" s="402">
        <v>0</v>
      </c>
      <c r="H1119" s="402">
        <v>0</v>
      </c>
      <c r="I1119" s="402">
        <v>0</v>
      </c>
      <c r="J1119" s="402">
        <v>0</v>
      </c>
      <c r="K1119" s="402">
        <v>0</v>
      </c>
      <c r="L1119" s="402">
        <v>0</v>
      </c>
      <c r="M1119" s="402">
        <v>0</v>
      </c>
      <c r="N1119" s="402">
        <v>0</v>
      </c>
      <c r="O1119" s="403">
        <v>1</v>
      </c>
      <c r="P1119" s="401"/>
      <c r="Q1119" s="401">
        <f t="shared" si="44"/>
        <v>0</v>
      </c>
      <c r="R1119" s="3" t="str">
        <f>_xlfn.IFNA(VLOOKUP(Tabella1[[#This Row],[Nome]],'ROSE SQUADRE'!$N$3:$O$260,2,0),"")</f>
        <v>PARTIZAN DEGRADO</v>
      </c>
      <c r="S1119" s="193">
        <f>SUM(Tabella1[[#This Row],[Gf]],Tabella1[[#This Row],[Rf]])</f>
        <v>0</v>
      </c>
      <c r="T1119" s="193">
        <v>1</v>
      </c>
      <c r="U1119" s="285">
        <f>IF(Tabella1[[#This Row],[N° FantaTit]]="","",Tabella1[[#This Row],[fanta voto]])</f>
        <v>7.5</v>
      </c>
      <c r="V1119" s="193">
        <f>SUM(Tabella1[[#This Row],[Voto]],(G1119*3),Q1119,P1119,O1119,-(N1119),(-M1119/2),(-L1119*2),(-H1119),(I1119*3),(-J1119*3),(K1119*3))</f>
        <v>7.5</v>
      </c>
      <c r="W1119" s="193">
        <v>1</v>
      </c>
      <c r="X1119" s="193">
        <f>IF(Tabella1[[#This Row],[Best 11]]=1,Tabella1[[#This Row],[fanta voto]],"")</f>
        <v>7.5</v>
      </c>
      <c r="Y1119">
        <v>1</v>
      </c>
      <c r="Z1119" s="193">
        <f>IF(Tabella1[[#This Row],[Best 11 MOD]]=1,Tabella1[[#This Row],[fanta voto]],"")</f>
        <v>7.5</v>
      </c>
      <c r="AA1119" t="str">
        <f>CONCATENATE(Tabella1[[#This Row],[GG]],Tabella1[[#This Row],[Nome]])</f>
        <v>4Diouf</v>
      </c>
      <c r="AB1119" t="str">
        <f t="shared" si="45"/>
        <v>4PARTIZAN DEGRADO1</v>
      </c>
      <c r="AC1119" t="str">
        <f>_xlfn.CONCAT(Tabella1[[#This Row],[Ruolo]],Tabella1[[#This Row],[Gs]])</f>
        <v>C0</v>
      </c>
    </row>
    <row r="1120" spans="1:29" hidden="1" x14ac:dyDescent="0.3">
      <c r="A1120" s="14">
        <v>46277</v>
      </c>
      <c r="B1120" s="15">
        <v>4</v>
      </c>
      <c r="C1120" s="321" t="str">
        <f>_xlfn.XLOOKUP(Tabella1[[#This Row],[Nome]],Tabella4[NOME],Tabella4[SQUADRA],"")</f>
        <v>Venezia</v>
      </c>
      <c r="D1120" t="s">
        <v>163</v>
      </c>
      <c r="E1120" t="s">
        <v>988</v>
      </c>
      <c r="F1120" s="194">
        <v>5.5</v>
      </c>
      <c r="G1120" s="402">
        <v>0</v>
      </c>
      <c r="H1120" s="402">
        <v>0</v>
      </c>
      <c r="I1120" s="402">
        <v>0</v>
      </c>
      <c r="J1120" s="402">
        <v>0</v>
      </c>
      <c r="K1120" s="402">
        <v>0</v>
      </c>
      <c r="L1120" s="402">
        <v>0</v>
      </c>
      <c r="M1120" s="402">
        <v>0</v>
      </c>
      <c r="N1120" s="402">
        <v>0</v>
      </c>
      <c r="O1120" s="402">
        <v>0</v>
      </c>
      <c r="P1120" s="401"/>
      <c r="Q1120" s="401">
        <f t="shared" si="44"/>
        <v>0</v>
      </c>
      <c r="R1120" s="3" t="str">
        <f>_xlfn.IFNA(VLOOKUP(Tabella1[[#This Row],[Nome]],'ROSE SQUADRE'!$N$3:$O$260,2,0),"")</f>
        <v>TRICCHETRACHT</v>
      </c>
      <c r="S1120" s="193">
        <f>SUM(Tabella1[[#This Row],[Gf]],Tabella1[[#This Row],[Rf]])</f>
        <v>0</v>
      </c>
      <c r="T1120" s="193">
        <v>1</v>
      </c>
      <c r="U1120" s="285">
        <f>IF(Tabella1[[#This Row],[N° FantaTit]]="","",Tabella1[[#This Row],[fanta voto]])</f>
        <v>5.5</v>
      </c>
      <c r="V1120" s="193">
        <f>SUM(Tabella1[[#This Row],[Voto]],(G1120*3),Q1120,P1120,O1120,-(N1120),(-M1120/2),(-L1120*2),(-H1120),(I1120*3),(-J1120*3),(K1120*3))</f>
        <v>5.5</v>
      </c>
      <c r="W1120" s="193">
        <v>1</v>
      </c>
      <c r="X1120" s="193">
        <f>IF(Tabella1[[#This Row],[Best 11]]=1,Tabella1[[#This Row],[fanta voto]],"")</f>
        <v>5.5</v>
      </c>
      <c r="Y1120">
        <v>1</v>
      </c>
      <c r="Z1120" s="193">
        <f>IF(Tabella1[[#This Row],[Best 11 MOD]]=1,Tabella1[[#This Row],[fanta voto]],"")</f>
        <v>5.5</v>
      </c>
      <c r="AA1120" t="str">
        <f>CONCATENATE(Tabella1[[#This Row],[GG]],Tabella1[[#This Row],[Nome]])</f>
        <v>4Yeboah J.</v>
      </c>
      <c r="AB1120" t="str">
        <f t="shared" si="45"/>
        <v>4TRICCHETRACHT1</v>
      </c>
      <c r="AC1120" t="str">
        <f>_xlfn.CONCAT(Tabella1[[#This Row],[Ruolo]],Tabella1[[#This Row],[Gs]])</f>
        <v>A0</v>
      </c>
    </row>
    <row r="1121" spans="1:29" hidden="1" x14ac:dyDescent="0.3">
      <c r="A1121" s="14">
        <v>46277</v>
      </c>
      <c r="B1121" s="15">
        <v>4</v>
      </c>
      <c r="C1121" s="321" t="str">
        <f>_xlfn.XLOOKUP(Tabella1[[#This Row],[Nome]],Tabella4[NOME],Tabella4[SQUADRA],"")</f>
        <v>Torino</v>
      </c>
      <c r="D1121" s="330" t="s">
        <v>162</v>
      </c>
      <c r="E1121" s="330" t="s">
        <v>942</v>
      </c>
      <c r="F1121" s="331">
        <v>6</v>
      </c>
      <c r="G1121" s="404">
        <v>0</v>
      </c>
      <c r="H1121" s="404">
        <v>0</v>
      </c>
      <c r="I1121" s="404">
        <v>0</v>
      </c>
      <c r="J1121" s="404">
        <v>0</v>
      </c>
      <c r="K1121" s="404">
        <v>0</v>
      </c>
      <c r="L1121" s="404">
        <v>0</v>
      </c>
      <c r="M1121" s="404">
        <v>0</v>
      </c>
      <c r="N1121" s="404">
        <v>0</v>
      </c>
      <c r="O1121" s="404">
        <v>0</v>
      </c>
      <c r="P1121" s="401"/>
      <c r="Q1121" s="401">
        <f t="shared" si="44"/>
        <v>0</v>
      </c>
      <c r="R1121" s="3" t="str">
        <f>_xlfn.IFNA(VLOOKUP(Tabella1[[#This Row],[Nome]],'ROSE SQUADRE'!$N$3:$O$260,2,0),"")</f>
        <v>PARTIZAN DEGRADO</v>
      </c>
      <c r="S1121" s="193">
        <f>SUM(Tabella1[[#This Row],[Gf]],Tabella1[[#This Row],[Rf]])</f>
        <v>0</v>
      </c>
      <c r="T1121" s="193"/>
      <c r="U1121" s="285" t="str">
        <f>IF(Tabella1[[#This Row],[N° FantaTit]]="","",Tabella1[[#This Row],[fanta voto]])</f>
        <v/>
      </c>
      <c r="V1121" s="193">
        <f>SUM(Tabella1[[#This Row],[Voto]],(G1121*3),Q1121,P1121,O1121,-(N1121),(-M1121/2),(-L1121*2),(-H1121),(I1121*3),(-J1121*3),(K1121*3))</f>
        <v>6</v>
      </c>
      <c r="W1121" s="193"/>
      <c r="X1121" s="193" t="str">
        <f>IF(Tabella1[[#This Row],[Best 11]]=1,Tabella1[[#This Row],[fanta voto]],"")</f>
        <v/>
      </c>
      <c r="Z1121" s="193" t="str">
        <f>IF(Tabella1[[#This Row],[Best 11 MOD]]=1,Tabella1[[#This Row],[fanta voto]],"")</f>
        <v/>
      </c>
      <c r="AA1121" t="str">
        <f>CONCATENATE(Tabella1[[#This Row],[GG]],Tabella1[[#This Row],[Nome]])</f>
        <v>4Cacciamani</v>
      </c>
      <c r="AB1121" t="str">
        <f t="shared" si="45"/>
        <v>4PARTIZAN DEGRADO</v>
      </c>
      <c r="AC1121" t="str">
        <f>_xlfn.CONCAT(Tabella1[[#This Row],[Ruolo]],Tabella1[[#This Row],[Gs]])</f>
        <v>C0</v>
      </c>
    </row>
    <row r="1122" spans="1:29" hidden="1" x14ac:dyDescent="0.3">
      <c r="A1122" s="14">
        <v>46277</v>
      </c>
      <c r="B1122" s="15">
        <v>4</v>
      </c>
      <c r="C1122" s="321" t="str">
        <f>_xlfn.XLOOKUP(Tabella1[[#This Row],[Nome]],Tabella4[NOME],Tabella4[SQUADRA],"")</f>
        <v>Parma</v>
      </c>
      <c r="D1122" t="s">
        <v>163</v>
      </c>
      <c r="E1122" t="s">
        <v>890</v>
      </c>
      <c r="F1122" s="194">
        <v>6</v>
      </c>
      <c r="G1122" s="402">
        <v>0</v>
      </c>
      <c r="H1122" s="402">
        <v>0</v>
      </c>
      <c r="I1122" s="402">
        <v>0</v>
      </c>
      <c r="J1122" s="402">
        <v>0</v>
      </c>
      <c r="K1122" s="402">
        <v>0</v>
      </c>
      <c r="L1122" s="402">
        <v>0</v>
      </c>
      <c r="M1122" s="402">
        <v>0</v>
      </c>
      <c r="N1122" s="402">
        <v>0</v>
      </c>
      <c r="O1122" s="402">
        <v>0</v>
      </c>
      <c r="P1122" s="401"/>
      <c r="Q1122" s="401">
        <f t="shared" si="44"/>
        <v>0</v>
      </c>
      <c r="R1122" s="3" t="str">
        <f>_xlfn.IFNA(VLOOKUP(Tabella1[[#This Row],[Nome]],'ROSE SQUADRE'!$N$3:$O$260,2,0),"")</f>
        <v>PESCICULINI</v>
      </c>
      <c r="S1122" s="193">
        <f>SUM(Tabella1[[#This Row],[Gf]],Tabella1[[#This Row],[Rf]])</f>
        <v>0</v>
      </c>
      <c r="T1122" s="193"/>
      <c r="U1122" s="285" t="str">
        <f>IF(Tabella1[[#This Row],[N° FantaTit]]="","",Tabella1[[#This Row],[fanta voto]])</f>
        <v/>
      </c>
      <c r="V1122" s="193">
        <f>SUM(Tabella1[[#This Row],[Voto]],(G1122*3),Q1122,P1122,O1122,-(N1122),(-M1122/2),(-L1122*2),(-H1122),(I1122*3),(-J1122*3),(K1122*3))</f>
        <v>6</v>
      </c>
      <c r="W1122" s="193">
        <v>1</v>
      </c>
      <c r="X1122" s="193">
        <f>IF(Tabella1[[#This Row],[Best 11]]=1,Tabella1[[#This Row],[fanta voto]],"")</f>
        <v>6</v>
      </c>
      <c r="Y1122">
        <v>1</v>
      </c>
      <c r="Z1122" s="193">
        <f>IF(Tabella1[[#This Row],[Best 11 MOD]]=1,Tabella1[[#This Row],[fanta voto]],"")</f>
        <v>6</v>
      </c>
      <c r="AA1122" t="str">
        <f>CONCATENATE(Tabella1[[#This Row],[GG]],Tabella1[[#This Row],[Nome]])</f>
        <v>4Lontani</v>
      </c>
      <c r="AB1122" t="str">
        <f t="shared" si="45"/>
        <v>4PESCICULINI</v>
      </c>
      <c r="AC1122" t="str">
        <f>_xlfn.CONCAT(Tabella1[[#This Row],[Ruolo]],Tabella1[[#This Row],[Gs]])</f>
        <v>A0</v>
      </c>
    </row>
    <row r="1123" spans="1:29" hidden="1" x14ac:dyDescent="0.3">
      <c r="A1123" s="14">
        <v>46277</v>
      </c>
      <c r="B1123" s="15">
        <v>4</v>
      </c>
      <c r="C1123" s="321" t="str">
        <f>_xlfn.XLOOKUP(Tabella1[[#This Row],[Nome]],Tabella4[NOME],Tabella4[SQUADRA],"")</f>
        <v>Genoa</v>
      </c>
      <c r="D1123" s="330" t="s">
        <v>163</v>
      </c>
      <c r="E1123" s="330" t="s">
        <v>1014</v>
      </c>
      <c r="F1123" s="331">
        <v>5</v>
      </c>
      <c r="G1123" s="404">
        <v>0</v>
      </c>
      <c r="H1123" s="404">
        <v>0</v>
      </c>
      <c r="I1123" s="404">
        <v>0</v>
      </c>
      <c r="J1123" s="404">
        <v>0</v>
      </c>
      <c r="K1123" s="404">
        <v>0</v>
      </c>
      <c r="L1123" s="404">
        <v>0</v>
      </c>
      <c r="M1123" s="404">
        <v>0</v>
      </c>
      <c r="N1123" s="404">
        <v>0</v>
      </c>
      <c r="O1123" s="404">
        <v>0</v>
      </c>
      <c r="P1123" s="401"/>
      <c r="Q1123" s="401">
        <f t="shared" si="44"/>
        <v>0</v>
      </c>
      <c r="R1123" s="3" t="str">
        <f>_xlfn.IFNA(VLOOKUP(Tabella1[[#This Row],[Nome]],'ROSE SQUADRE'!$N$3:$O$260,2,0),"")</f>
        <v>SAN GRIA</v>
      </c>
      <c r="S1123" s="193">
        <f>SUM(Tabella1[[#This Row],[Gf]],Tabella1[[#This Row],[Rf]])</f>
        <v>0</v>
      </c>
      <c r="T1123" s="193">
        <v>1</v>
      </c>
      <c r="U1123" s="285">
        <f>IF(Tabella1[[#This Row],[N° FantaTit]]="","",Tabella1[[#This Row],[fanta voto]])</f>
        <v>5</v>
      </c>
      <c r="V1123" s="193">
        <f>SUM(Tabella1[[#This Row],[Voto]],(G1123*3),Q1123,P1123,O1123,-(N1123),(-M1123/2),(-L1123*2),(-H1123),(I1123*3),(-J1123*3),(K1123*3))</f>
        <v>5</v>
      </c>
      <c r="W1123" s="193"/>
      <c r="X1123" s="193" t="str">
        <f>IF(Tabella1[[#This Row],[Best 11]]=1,Tabella1[[#This Row],[fanta voto]],"")</f>
        <v/>
      </c>
      <c r="Z1123" s="193" t="str">
        <f>IF(Tabella1[[#This Row],[Best 11 MOD]]=1,Tabella1[[#This Row],[fanta voto]],"")</f>
        <v/>
      </c>
      <c r="AA1123" t="str">
        <f>CONCATENATE(Tabella1[[#This Row],[GG]],Tabella1[[#This Row],[Nome]])</f>
        <v>4Osmajic</v>
      </c>
      <c r="AB1123" t="str">
        <f t="shared" si="45"/>
        <v>4SAN GRIA1</v>
      </c>
      <c r="AC1123" t="str">
        <f>_xlfn.CONCAT(Tabella1[[#This Row],[Ruolo]],Tabella1[[#This Row],[Gs]])</f>
        <v>A0</v>
      </c>
    </row>
    <row r="1124" spans="1:29" hidden="1" x14ac:dyDescent="0.3">
      <c r="A1124" s="14">
        <v>46277</v>
      </c>
      <c r="B1124" s="15">
        <v>4</v>
      </c>
      <c r="C1124" s="321" t="str">
        <f>_xlfn.XLOOKUP(Tabella1[[#This Row],[Nome]],Tabella4[NOME],Tabella4[SQUADRA],"")</f>
        <v>Roma</v>
      </c>
      <c r="D1124" s="330" t="s">
        <v>162</v>
      </c>
      <c r="E1124" s="330" t="s">
        <v>903</v>
      </c>
      <c r="F1124" s="331">
        <v>6</v>
      </c>
      <c r="G1124" s="404">
        <v>0</v>
      </c>
      <c r="H1124" s="404">
        <v>0</v>
      </c>
      <c r="I1124" s="404">
        <v>0</v>
      </c>
      <c r="J1124" s="404">
        <v>0</v>
      </c>
      <c r="K1124" s="404">
        <v>0</v>
      </c>
      <c r="L1124" s="404">
        <v>0</v>
      </c>
      <c r="M1124" s="404">
        <v>0</v>
      </c>
      <c r="N1124" s="404">
        <v>0</v>
      </c>
      <c r="O1124" s="404">
        <v>0</v>
      </c>
      <c r="P1124" s="401"/>
      <c r="Q1124" s="401">
        <f t="shared" si="44"/>
        <v>0</v>
      </c>
      <c r="R1124" s="3" t="str">
        <f>_xlfn.IFNA(VLOOKUP(Tabella1[[#This Row],[Nome]],'ROSE SQUADRE'!$N$3:$O$260,2,0),"")</f>
        <v>AC ASPARAGHESE</v>
      </c>
      <c r="S1124" s="193">
        <f>SUM(Tabella1[[#This Row],[Gf]],Tabella1[[#This Row],[Rf]])</f>
        <v>0</v>
      </c>
      <c r="T1124" s="193">
        <v>1</v>
      </c>
      <c r="U1124" s="285">
        <f>IF(Tabella1[[#This Row],[N° FantaTit]]="","",Tabella1[[#This Row],[fanta voto]])</f>
        <v>6</v>
      </c>
      <c r="V1124" s="193">
        <f>SUM(Tabella1[[#This Row],[Voto]],(G1124*3),Q1124,P1124,O1124,-(N1124),(-M1124/2),(-L1124*2),(-H1124),(I1124*3),(-J1124*3),(K1124*3))</f>
        <v>6</v>
      </c>
      <c r="W1124" s="193"/>
      <c r="X1124" s="193" t="str">
        <f>IF(Tabella1[[#This Row],[Best 11]]=1,Tabella1[[#This Row],[fanta voto]],"")</f>
        <v/>
      </c>
      <c r="Z1124" s="193" t="str">
        <f>IF(Tabella1[[#This Row],[Best 11 MOD]]=1,Tabella1[[#This Row],[fanta voto]],"")</f>
        <v/>
      </c>
      <c r="AA1124" t="str">
        <f>CONCATENATE(Tabella1[[#This Row],[GG]],Tabella1[[#This Row],[Nome]])</f>
        <v>4Konè M.</v>
      </c>
      <c r="AB1124" t="str">
        <f t="shared" si="45"/>
        <v>4AC ASPARAGHESE1</v>
      </c>
      <c r="AC1124" t="str">
        <f>_xlfn.CONCAT(Tabella1[[#This Row],[Ruolo]],Tabella1[[#This Row],[Gs]])</f>
        <v>C0</v>
      </c>
    </row>
    <row r="1125" spans="1:29" hidden="1" x14ac:dyDescent="0.3">
      <c r="A1125" s="14">
        <v>46277</v>
      </c>
      <c r="B1125" s="15">
        <v>4</v>
      </c>
      <c r="C1125" s="321" t="str">
        <f>_xlfn.XLOOKUP(Tabella1[[#This Row],[Nome]],Tabella4[NOME],Tabella4[SQUADRA],"")</f>
        <v>Roma</v>
      </c>
      <c r="D1125" t="s">
        <v>162</v>
      </c>
      <c r="E1125" t="s">
        <v>905</v>
      </c>
      <c r="F1125" s="194">
        <v>6.5</v>
      </c>
      <c r="G1125" s="403">
        <v>1</v>
      </c>
      <c r="H1125" s="402">
        <v>0</v>
      </c>
      <c r="I1125" s="402">
        <v>0</v>
      </c>
      <c r="J1125" s="402">
        <v>0</v>
      </c>
      <c r="K1125" s="402">
        <v>0</v>
      </c>
      <c r="L1125" s="402">
        <v>0</v>
      </c>
      <c r="M1125" s="403">
        <v>1</v>
      </c>
      <c r="N1125" s="402">
        <v>0</v>
      </c>
      <c r="O1125" s="402">
        <v>0</v>
      </c>
      <c r="P1125" s="401"/>
      <c r="Q1125" s="401">
        <f t="shared" si="44"/>
        <v>0</v>
      </c>
      <c r="R1125" s="3" t="str">
        <f>_xlfn.IFNA(VLOOKUP(Tabella1[[#This Row],[Nome]],'ROSE SQUADRE'!$N$3:$O$260,2,0),"")</f>
        <v/>
      </c>
      <c r="S1125" s="193">
        <f>SUM(Tabella1[[#This Row],[Gf]],Tabella1[[#This Row],[Rf]])</f>
        <v>1</v>
      </c>
      <c r="T1125" s="193"/>
      <c r="U1125" s="285" t="str">
        <f>IF(Tabella1[[#This Row],[N° FantaTit]]="","",Tabella1[[#This Row],[fanta voto]])</f>
        <v/>
      </c>
      <c r="V1125" s="193">
        <f>SUM(Tabella1[[#This Row],[Voto]],(G1125*3),Q1125,P1125,O1125,-(N1125),(-M1125/2),(-L1125*2),(-H1125),(I1125*3),(-J1125*3),(K1125*3))</f>
        <v>9</v>
      </c>
      <c r="W1125" s="193"/>
      <c r="X1125" s="193" t="str">
        <f>IF(Tabella1[[#This Row],[Best 11]]=1,Tabella1[[#This Row],[fanta voto]],"")</f>
        <v/>
      </c>
      <c r="Z1125" s="193" t="str">
        <f>IF(Tabella1[[#This Row],[Best 11 MOD]]=1,Tabella1[[#This Row],[fanta voto]],"")</f>
        <v/>
      </c>
      <c r="AA1125" t="str">
        <f>CONCATENATE(Tabella1[[#This Row],[GG]],Tabella1[[#This Row],[Nome]])</f>
        <v>4Pisilli</v>
      </c>
      <c r="AB1125" t="str">
        <f t="shared" si="45"/>
        <v>4</v>
      </c>
      <c r="AC1125" t="str">
        <f>_xlfn.CONCAT(Tabella1[[#This Row],[Ruolo]],Tabella1[[#This Row],[Gs]])</f>
        <v>C0</v>
      </c>
    </row>
    <row r="1126" spans="1:29" hidden="1" x14ac:dyDescent="0.3">
      <c r="A1126" s="14">
        <v>46277</v>
      </c>
      <c r="B1126" s="15">
        <v>4</v>
      </c>
      <c r="C1126" s="321" t="str">
        <f>_xlfn.XLOOKUP(Tabella1[[#This Row],[Nome]],Tabella4[NOME],Tabella4[SQUADRA],"")</f>
        <v>Frosinone</v>
      </c>
      <c r="D1126" s="330" t="s">
        <v>163</v>
      </c>
      <c r="E1126" s="330" t="s">
        <v>591</v>
      </c>
      <c r="F1126" s="331">
        <v>6</v>
      </c>
      <c r="G1126" s="404">
        <v>0</v>
      </c>
      <c r="H1126" s="404">
        <v>0</v>
      </c>
      <c r="I1126" s="404">
        <v>0</v>
      </c>
      <c r="J1126" s="404">
        <v>0</v>
      </c>
      <c r="K1126" s="404">
        <v>0</v>
      </c>
      <c r="L1126" s="404">
        <v>0</v>
      </c>
      <c r="M1126" s="404">
        <v>0</v>
      </c>
      <c r="N1126" s="404">
        <v>0</v>
      </c>
      <c r="O1126" s="404">
        <v>0</v>
      </c>
      <c r="P1126" s="401"/>
      <c r="Q1126" s="401">
        <f t="shared" si="44"/>
        <v>0</v>
      </c>
      <c r="R1126" s="3" t="str">
        <f>_xlfn.IFNA(VLOOKUP(Tabella1[[#This Row],[Nome]],'ROSE SQUADRE'!$N$3:$O$260,2,0),"")</f>
        <v>SESTO ASENSIO</v>
      </c>
      <c r="S1126" s="193">
        <f>SUM(Tabella1[[#This Row],[Gf]],Tabella1[[#This Row],[Rf]])</f>
        <v>0</v>
      </c>
      <c r="T1126" s="193">
        <v>1</v>
      </c>
      <c r="U1126" s="285">
        <f>IF(Tabella1[[#This Row],[N° FantaTit]]="","",Tabella1[[#This Row],[fanta voto]])</f>
        <v>6</v>
      </c>
      <c r="V1126" s="193">
        <f>SUM(Tabella1[[#This Row],[Voto]],(G1126*3),Q1126,P1126,O1126,-(N1126),(-M1126/2),(-L1126*2),(-H1126),(I1126*3),(-J1126*3),(K1126*3))</f>
        <v>6</v>
      </c>
      <c r="W1126" s="193">
        <v>1</v>
      </c>
      <c r="X1126" s="193">
        <f>IF(Tabella1[[#This Row],[Best 11]]=1,Tabella1[[#This Row],[fanta voto]],"")</f>
        <v>6</v>
      </c>
      <c r="Y1126">
        <v>1</v>
      </c>
      <c r="Z1126" s="193">
        <f>IF(Tabella1[[#This Row],[Best 11 MOD]]=1,Tabella1[[#This Row],[fanta voto]],"")</f>
        <v>6</v>
      </c>
      <c r="AA1126" t="str">
        <f>CONCATENATE(Tabella1[[#This Row],[GG]],Tabella1[[#This Row],[Nome]])</f>
        <v>4Raimondo</v>
      </c>
      <c r="AB1126" t="str">
        <f t="shared" si="45"/>
        <v>4SESTO ASENSIO1</v>
      </c>
      <c r="AC1126" t="str">
        <f>_xlfn.CONCAT(Tabella1[[#This Row],[Ruolo]],Tabella1[[#This Row],[Gs]])</f>
        <v>A0</v>
      </c>
    </row>
    <row r="1127" spans="1:29" hidden="1" x14ac:dyDescent="0.3">
      <c r="A1127" s="14">
        <v>46277</v>
      </c>
      <c r="B1127" s="15">
        <v>4</v>
      </c>
      <c r="C1127" s="321" t="str">
        <f>_xlfn.XLOOKUP(Tabella1[[#This Row],[Nome]],Tabella4[NOME],Tabella4[SQUADRA],"")</f>
        <v>Torino</v>
      </c>
      <c r="D1127" t="s">
        <v>162</v>
      </c>
      <c r="E1127" t="s">
        <v>948</v>
      </c>
      <c r="F1127" s="194">
        <v>5.5</v>
      </c>
      <c r="G1127" s="402">
        <v>0</v>
      </c>
      <c r="H1127" s="402">
        <v>0</v>
      </c>
      <c r="I1127" s="402">
        <v>0</v>
      </c>
      <c r="J1127" s="402">
        <v>0</v>
      </c>
      <c r="K1127" s="402">
        <v>0</v>
      </c>
      <c r="L1127" s="402">
        <v>0</v>
      </c>
      <c r="M1127" s="402">
        <v>0</v>
      </c>
      <c r="N1127" s="402">
        <v>0</v>
      </c>
      <c r="O1127" s="402">
        <v>0</v>
      </c>
      <c r="P1127" s="401"/>
      <c r="Q1127" s="401">
        <f t="shared" si="44"/>
        <v>0</v>
      </c>
      <c r="R1127" s="3" t="str">
        <f>_xlfn.IFNA(VLOOKUP(Tabella1[[#This Row],[Nome]],'ROSE SQUADRE'!$N$3:$O$260,2,0),"")</f>
        <v>FC INTERNAZIOANALE</v>
      </c>
      <c r="S1127" s="193">
        <f>SUM(Tabella1[[#This Row],[Gf]],Tabella1[[#This Row],[Rf]])</f>
        <v>0</v>
      </c>
      <c r="T1127" s="193">
        <v>1</v>
      </c>
      <c r="U1127" s="285">
        <f>IF(Tabella1[[#This Row],[N° FantaTit]]="","",Tabella1[[#This Row],[fanta voto]])</f>
        <v>5.5</v>
      </c>
      <c r="V1127" s="193">
        <f>SUM(Tabella1[[#This Row],[Voto]],(G1127*3),Q1127,P1127,O1127,-(N1127),(-M1127/2),(-L1127*2),(-H1127),(I1127*3),(-J1127*3),(K1127*3))</f>
        <v>5.5</v>
      </c>
      <c r="W1127" s="193"/>
      <c r="X1127" s="193" t="str">
        <f>IF(Tabella1[[#This Row],[Best 11]]=1,Tabella1[[#This Row],[fanta voto]],"")</f>
        <v/>
      </c>
      <c r="Z1127" s="193" t="str">
        <f>IF(Tabella1[[#This Row],[Best 11 MOD]]=1,Tabella1[[#This Row],[fanta voto]],"")</f>
        <v/>
      </c>
      <c r="AA1127" t="str">
        <f>CONCATENATE(Tabella1[[#This Row],[GG]],Tabella1[[#This Row],[Nome]])</f>
        <v>4Vlasic</v>
      </c>
      <c r="AB1127" t="str">
        <f t="shared" si="45"/>
        <v>4FC INTERNAZIOANALE1</v>
      </c>
      <c r="AC1127" t="str">
        <f>_xlfn.CONCAT(Tabella1[[#This Row],[Ruolo]],Tabella1[[#This Row],[Gs]])</f>
        <v>C0</v>
      </c>
    </row>
    <row r="1128" spans="1:29" hidden="1" x14ac:dyDescent="0.3">
      <c r="A1128" s="14">
        <v>46277</v>
      </c>
      <c r="B1128" s="15">
        <v>4</v>
      </c>
      <c r="C1128" s="321" t="str">
        <f>_xlfn.XLOOKUP(Tabella1[[#This Row],[Nome]],Tabella4[NOME],Tabella4[SQUADRA],"")</f>
        <v>Monza</v>
      </c>
      <c r="D1128" s="330" t="s">
        <v>163</v>
      </c>
      <c r="E1128" s="330" t="s">
        <v>858</v>
      </c>
      <c r="F1128" s="331">
        <v>6</v>
      </c>
      <c r="G1128" s="404">
        <v>0</v>
      </c>
      <c r="H1128" s="404">
        <v>0</v>
      </c>
      <c r="I1128" s="404">
        <v>0</v>
      </c>
      <c r="J1128" s="404">
        <v>0</v>
      </c>
      <c r="K1128" s="404">
        <v>0</v>
      </c>
      <c r="L1128" s="404">
        <v>0</v>
      </c>
      <c r="M1128" s="404">
        <v>0</v>
      </c>
      <c r="N1128" s="404">
        <v>0</v>
      </c>
      <c r="O1128" s="404">
        <v>0</v>
      </c>
      <c r="P1128" s="401"/>
      <c r="Q1128" s="401">
        <f t="shared" si="44"/>
        <v>0</v>
      </c>
      <c r="R1128" s="3" t="str">
        <f>_xlfn.IFNA(VLOOKUP(Tabella1[[#This Row],[Nome]],'ROSE SQUADRE'!$N$3:$O$260,2,0),"")</f>
        <v>AC ASPARAGHESE</v>
      </c>
      <c r="S1128" s="193">
        <f>SUM(Tabella1[[#This Row],[Gf]],Tabella1[[#This Row],[Rf]])</f>
        <v>0</v>
      </c>
      <c r="T1128" s="193"/>
      <c r="U1128" s="285" t="str">
        <f>IF(Tabella1[[#This Row],[N° FantaTit]]="","",Tabella1[[#This Row],[fanta voto]])</f>
        <v/>
      </c>
      <c r="V1128" s="193">
        <f>SUM(Tabella1[[#This Row],[Voto]],(G1128*3),Q1128,P1128,O1128,-(N1128),(-M1128/2),(-L1128*2),(-H1128),(I1128*3),(-J1128*3),(K1128*3))</f>
        <v>6</v>
      </c>
      <c r="W1128" s="193"/>
      <c r="X1128" s="193" t="str">
        <f>IF(Tabella1[[#This Row],[Best 11]]=1,Tabella1[[#This Row],[fanta voto]],"")</f>
        <v/>
      </c>
      <c r="Z1128" s="193" t="str">
        <f>IF(Tabella1[[#This Row],[Best 11 MOD]]=1,Tabella1[[#This Row],[fanta voto]],"")</f>
        <v/>
      </c>
      <c r="AA1128" t="str">
        <f>CONCATENATE(Tabella1[[#This Row],[GG]],Tabella1[[#This Row],[Nome]])</f>
        <v>4Varela G.</v>
      </c>
      <c r="AB1128" t="str">
        <f t="shared" si="45"/>
        <v>4AC ASPARAGHESE</v>
      </c>
      <c r="AC1128" t="str">
        <f>_xlfn.CONCAT(Tabella1[[#This Row],[Ruolo]],Tabella1[[#This Row],[Gs]])</f>
        <v>A0</v>
      </c>
    </row>
    <row r="1129" spans="1:29" x14ac:dyDescent="0.3">
      <c r="A1129" s="14">
        <v>46277</v>
      </c>
      <c r="B1129" s="15">
        <v>4</v>
      </c>
      <c r="C1129" s="321" t="str">
        <f>_xlfn.XLOOKUP(Tabella1[[#This Row],[Nome]],Tabella4[NOME],Tabella4[SQUADRA],"")</f>
        <v>Parma</v>
      </c>
      <c r="D1129" s="330" t="s">
        <v>163</v>
      </c>
      <c r="E1129" s="330" t="s">
        <v>891</v>
      </c>
      <c r="F1129" s="331">
        <v>7</v>
      </c>
      <c r="G1129" s="405">
        <v>1</v>
      </c>
      <c r="H1129" s="404">
        <v>0</v>
      </c>
      <c r="I1129" s="404">
        <v>0</v>
      </c>
      <c r="J1129" s="404">
        <v>0</v>
      </c>
      <c r="K1129" s="404">
        <v>0</v>
      </c>
      <c r="L1129" s="404">
        <v>0</v>
      </c>
      <c r="M1129" s="404">
        <v>0</v>
      </c>
      <c r="N1129" s="404">
        <v>0</v>
      </c>
      <c r="O1129" s="404">
        <v>0</v>
      </c>
      <c r="P1129" s="401"/>
      <c r="Q1129" s="401">
        <f t="shared" si="44"/>
        <v>0</v>
      </c>
      <c r="R1129" s="3" t="str">
        <f>_xlfn.IFNA(VLOOKUP(Tabella1[[#This Row],[Nome]],'ROSE SQUADRE'!$N$3:$O$260,2,0),"")</f>
        <v>AC ASPARAGHESE</v>
      </c>
      <c r="S1129" s="193">
        <f>SUM(Tabella1[[#This Row],[Gf]],Tabella1[[#This Row],[Rf]])</f>
        <v>1</v>
      </c>
      <c r="T1129" s="193">
        <v>1</v>
      </c>
      <c r="U1129" s="285">
        <f>IF(Tabella1[[#This Row],[N° FantaTit]]="","",Tabella1[[#This Row],[fanta voto]])</f>
        <v>10</v>
      </c>
      <c r="V1129" s="193">
        <f>SUM(Tabella1[[#This Row],[Voto]],(G1129*3),Q1129,P1129,O1129,-(N1129),(-M1129/2),(-L1129*2),(-H1129),(I1129*3),(-J1129*3),(K1129*3))</f>
        <v>10</v>
      </c>
      <c r="W1129" s="193">
        <v>1</v>
      </c>
      <c r="X1129" s="193">
        <f>IF(Tabella1[[#This Row],[Best 11]]=1,Tabella1[[#This Row],[fanta voto]],"")</f>
        <v>10</v>
      </c>
      <c r="Y1129">
        <v>1</v>
      </c>
      <c r="Z1129" s="193">
        <f>IF(Tabella1[[#This Row],[Best 11 MOD]]=1,Tabella1[[#This Row],[fanta voto]],"")</f>
        <v>10</v>
      </c>
      <c r="AA1129" t="str">
        <f>CONCATENATE(Tabella1[[#This Row],[GG]],Tabella1[[#This Row],[Nome]])</f>
        <v>4Romero D.</v>
      </c>
      <c r="AB1129" t="str">
        <f t="shared" si="45"/>
        <v>4AC ASPARAGHESE1</v>
      </c>
      <c r="AC1129" t="str">
        <f>_xlfn.CONCAT(Tabella1[[#This Row],[Ruolo]],Tabella1[[#This Row],[Gs]])</f>
        <v>A0</v>
      </c>
    </row>
    <row r="1130" spans="1:29" hidden="1" x14ac:dyDescent="0.3">
      <c r="A1130" s="14">
        <v>46277</v>
      </c>
      <c r="B1130" s="15">
        <v>4</v>
      </c>
      <c r="C1130" s="321" t="str">
        <f>_xlfn.XLOOKUP(Tabella1[[#This Row],[Nome]],Tabella4[NOME],Tabella4[SQUADRA],"")</f>
        <v>Como</v>
      </c>
      <c r="D1130" t="s">
        <v>163</v>
      </c>
      <c r="E1130" t="s">
        <v>702</v>
      </c>
      <c r="F1130" s="194">
        <v>6</v>
      </c>
      <c r="G1130" s="402">
        <v>0</v>
      </c>
      <c r="H1130" s="402">
        <v>0</v>
      </c>
      <c r="I1130" s="402">
        <v>0</v>
      </c>
      <c r="J1130" s="402">
        <v>0</v>
      </c>
      <c r="K1130" s="402">
        <v>0</v>
      </c>
      <c r="L1130" s="402">
        <v>0</v>
      </c>
      <c r="M1130" s="402">
        <v>0</v>
      </c>
      <c r="N1130" s="402">
        <v>0</v>
      </c>
      <c r="O1130" s="402">
        <v>0</v>
      </c>
      <c r="P1130" s="401"/>
      <c r="Q1130" s="401">
        <f t="shared" si="44"/>
        <v>0</v>
      </c>
      <c r="R1130" s="3" t="str">
        <f>_xlfn.IFNA(VLOOKUP(Tabella1[[#This Row],[Nome]],'ROSE SQUADRE'!$N$3:$O$260,2,0),"")</f>
        <v>SESTO ASENSIO</v>
      </c>
      <c r="S1130" s="193">
        <f>SUM(Tabella1[[#This Row],[Gf]],Tabella1[[#This Row],[Rf]])</f>
        <v>0</v>
      </c>
      <c r="T1130" s="193">
        <v>1</v>
      </c>
      <c r="U1130" s="285">
        <f>IF(Tabella1[[#This Row],[N° FantaTit]]="","",Tabella1[[#This Row],[fanta voto]])</f>
        <v>6</v>
      </c>
      <c r="V1130" s="193">
        <f>SUM(Tabella1[[#This Row],[Voto]],(G1130*3),Q1130,P1130,O1130,-(N1130),(-M1130/2),(-L1130*2),(-H1130),(I1130*3),(-J1130*3),(K1130*3))</f>
        <v>6</v>
      </c>
      <c r="W1130" s="193">
        <v>1</v>
      </c>
      <c r="X1130" s="193">
        <f>IF(Tabella1[[#This Row],[Best 11]]=1,Tabella1[[#This Row],[fanta voto]],"")</f>
        <v>6</v>
      </c>
      <c r="Y1130">
        <v>1</v>
      </c>
      <c r="Z1130" s="193">
        <f>IF(Tabella1[[#This Row],[Best 11 MOD]]=1,Tabella1[[#This Row],[fanta voto]],"")</f>
        <v>6</v>
      </c>
      <c r="AA1130" t="str">
        <f>CONCATENATE(Tabella1[[#This Row],[GG]],Tabella1[[#This Row],[Nome]])</f>
        <v>4Douvikas</v>
      </c>
      <c r="AB1130" t="str">
        <f t="shared" si="45"/>
        <v>4SESTO ASENSIO1</v>
      </c>
      <c r="AC1130" t="str">
        <f>_xlfn.CONCAT(Tabella1[[#This Row],[Ruolo]],Tabella1[[#This Row],[Gs]])</f>
        <v>A0</v>
      </c>
    </row>
    <row r="1131" spans="1:29" x14ac:dyDescent="0.3">
      <c r="A1131" s="14">
        <v>46277</v>
      </c>
      <c r="B1131" s="15">
        <v>4</v>
      </c>
      <c r="C1131" s="321" t="str">
        <f>_xlfn.XLOOKUP(Tabella1[[#This Row],[Nome]],Tabella4[NOME],Tabella4[SQUADRA],"")</f>
        <v>Roma</v>
      </c>
      <c r="D1131" s="330" t="s">
        <v>163</v>
      </c>
      <c r="E1131" s="330" t="s">
        <v>906</v>
      </c>
      <c r="F1131" s="331">
        <v>7</v>
      </c>
      <c r="G1131" s="405">
        <v>1</v>
      </c>
      <c r="H1131" s="404">
        <v>0</v>
      </c>
      <c r="I1131" s="404">
        <v>0</v>
      </c>
      <c r="J1131" s="404">
        <v>0</v>
      </c>
      <c r="K1131" s="404">
        <v>0</v>
      </c>
      <c r="L1131" s="404">
        <v>0</v>
      </c>
      <c r="M1131" s="404">
        <v>0</v>
      </c>
      <c r="N1131" s="404">
        <v>0</v>
      </c>
      <c r="O1131" s="404">
        <v>0</v>
      </c>
      <c r="P1131" s="401">
        <v>1</v>
      </c>
      <c r="Q1131" s="401">
        <f t="shared" si="44"/>
        <v>0</v>
      </c>
      <c r="R1131" s="3" t="str">
        <f>_xlfn.IFNA(VLOOKUP(Tabella1[[#This Row],[Nome]],'ROSE SQUADRE'!$N$3:$O$260,2,0),"")</f>
        <v>AC ASPARAGHESE</v>
      </c>
      <c r="S1131" s="193">
        <f>SUM(Tabella1[[#This Row],[Gf]],Tabella1[[#This Row],[Rf]])</f>
        <v>1</v>
      </c>
      <c r="T1131" s="193">
        <v>1</v>
      </c>
      <c r="U1131" s="285">
        <f>IF(Tabella1[[#This Row],[N° FantaTit]]="","",Tabella1[[#This Row],[fanta voto]])</f>
        <v>11</v>
      </c>
      <c r="V1131" s="193">
        <f>SUM(Tabella1[[#This Row],[Voto]],(G1131*3),Q1131,P1131,O1131,-(N1131),(-M1131/2),(-L1131*2),(-H1131),(I1131*3),(-J1131*3),(K1131*3))</f>
        <v>11</v>
      </c>
      <c r="W1131" s="193">
        <v>1</v>
      </c>
      <c r="X1131" s="193">
        <f>IF(Tabella1[[#This Row],[Best 11]]=1,Tabella1[[#This Row],[fanta voto]],"")</f>
        <v>11</v>
      </c>
      <c r="Y1131">
        <v>1</v>
      </c>
      <c r="Z1131" s="193">
        <f>IF(Tabella1[[#This Row],[Best 11 MOD]]=1,Tabella1[[#This Row],[fanta voto]],"")</f>
        <v>11</v>
      </c>
      <c r="AA1131" t="str">
        <f>CONCATENATE(Tabella1[[#This Row],[GG]],Tabella1[[#This Row],[Nome]])</f>
        <v>4Malen</v>
      </c>
      <c r="AB1131" t="str">
        <f t="shared" si="45"/>
        <v>4AC ASPARAGHESE1</v>
      </c>
      <c r="AC1131" t="str">
        <f>_xlfn.CONCAT(Tabella1[[#This Row],[Ruolo]],Tabella1[[#This Row],[Gs]])</f>
        <v>A0</v>
      </c>
    </row>
    <row r="1132" spans="1:29" hidden="1" x14ac:dyDescent="0.3">
      <c r="A1132" s="14">
        <v>46277</v>
      </c>
      <c r="B1132" s="15">
        <v>4</v>
      </c>
      <c r="C1132" s="321" t="str">
        <f>_xlfn.XLOOKUP(Tabella1[[#This Row],[Nome]],Tabella4[NOME],Tabella4[SQUADRA],"")</f>
        <v>Sassuolo</v>
      </c>
      <c r="D1132" s="330" t="s">
        <v>161</v>
      </c>
      <c r="E1132" s="330" t="s">
        <v>915</v>
      </c>
      <c r="F1132" s="331">
        <v>6.5</v>
      </c>
      <c r="G1132" s="404">
        <v>0</v>
      </c>
      <c r="H1132" s="404">
        <v>0</v>
      </c>
      <c r="I1132" s="404">
        <v>0</v>
      </c>
      <c r="J1132" s="404">
        <v>0</v>
      </c>
      <c r="K1132" s="404">
        <v>0</v>
      </c>
      <c r="L1132" s="404">
        <v>0</v>
      </c>
      <c r="M1132" s="404">
        <v>0</v>
      </c>
      <c r="N1132" s="404">
        <v>0</v>
      </c>
      <c r="O1132" s="404">
        <v>0</v>
      </c>
      <c r="P1132" s="401"/>
      <c r="Q1132" s="401">
        <f t="shared" si="44"/>
        <v>0</v>
      </c>
      <c r="R1132" s="3" t="str">
        <f>_xlfn.IFNA(VLOOKUP(Tabella1[[#This Row],[Nome]],'ROSE SQUADRE'!$N$3:$O$260,2,0),"")</f>
        <v/>
      </c>
      <c r="S1132" s="193">
        <f>SUM(Tabella1[[#This Row],[Gf]],Tabella1[[#This Row],[Rf]])</f>
        <v>0</v>
      </c>
      <c r="T1132" s="193"/>
      <c r="U1132" s="285" t="str">
        <f>IF(Tabella1[[#This Row],[N° FantaTit]]="","",Tabella1[[#This Row],[fanta voto]])</f>
        <v/>
      </c>
      <c r="V1132" s="193">
        <f>SUM(Tabella1[[#This Row],[Voto]],(G1132*3),Q1132,P1132,O1132,-(N1132),(-M1132/2),(-L1132*2),(-H1132),(I1132*3),(-J1132*3),(K1132*3))</f>
        <v>6.5</v>
      </c>
      <c r="W1132" s="193"/>
      <c r="X1132" s="193" t="str">
        <f>IF(Tabella1[[#This Row],[Best 11]]=1,Tabella1[[#This Row],[fanta voto]],"")</f>
        <v/>
      </c>
      <c r="Z1132" s="193" t="str">
        <f>IF(Tabella1[[#This Row],[Best 11 MOD]]=1,Tabella1[[#This Row],[fanta voto]],"")</f>
        <v/>
      </c>
      <c r="AA1132" t="str">
        <f>CONCATENATE(Tabella1[[#This Row],[GG]],Tabella1[[#This Row],[Nome]])</f>
        <v>4Doig</v>
      </c>
      <c r="AB1132" t="str">
        <f t="shared" si="45"/>
        <v>4</v>
      </c>
      <c r="AC1132" t="str">
        <f>_xlfn.CONCAT(Tabella1[[#This Row],[Ruolo]],Tabella1[[#This Row],[Gs]])</f>
        <v>D0</v>
      </c>
    </row>
    <row r="1133" spans="1:29" hidden="1" x14ac:dyDescent="0.3">
      <c r="A1133" s="14">
        <v>46277</v>
      </c>
      <c r="B1133" s="15">
        <v>4</v>
      </c>
      <c r="C1133" s="321" t="str">
        <f>_xlfn.XLOOKUP(Tabella1[[#This Row],[Nome]],Tabella4[NOME],Tabella4[SQUADRA],"")</f>
        <v>Sassuolo</v>
      </c>
      <c r="D1133" t="s">
        <v>161</v>
      </c>
      <c r="E1133" t="s">
        <v>622</v>
      </c>
      <c r="F1133" s="194">
        <v>6.5</v>
      </c>
      <c r="G1133" s="402">
        <v>0</v>
      </c>
      <c r="H1133" s="402">
        <v>0</v>
      </c>
      <c r="I1133" s="402">
        <v>0</v>
      </c>
      <c r="J1133" s="402">
        <v>0</v>
      </c>
      <c r="K1133" s="402">
        <v>0</v>
      </c>
      <c r="L1133" s="402">
        <v>0</v>
      </c>
      <c r="M1133" s="402">
        <v>0</v>
      </c>
      <c r="N1133" s="402">
        <v>0</v>
      </c>
      <c r="O1133" s="402">
        <v>0</v>
      </c>
      <c r="P1133" s="401"/>
      <c r="Q1133" s="401">
        <f t="shared" si="44"/>
        <v>0</v>
      </c>
      <c r="R1133" s="3" t="str">
        <f>_xlfn.IFNA(VLOOKUP(Tabella1[[#This Row],[Nome]],'ROSE SQUADRE'!$N$3:$O$260,2,0),"")</f>
        <v/>
      </c>
      <c r="S1133" s="193">
        <f>SUM(Tabella1[[#This Row],[Gf]],Tabella1[[#This Row],[Rf]])</f>
        <v>0</v>
      </c>
      <c r="T1133" s="193"/>
      <c r="U1133" s="285" t="str">
        <f>IF(Tabella1[[#This Row],[N° FantaTit]]="","",Tabella1[[#This Row],[fanta voto]])</f>
        <v/>
      </c>
      <c r="V1133" s="193">
        <f>SUM(Tabella1[[#This Row],[Voto]],(G1133*3),Q1133,P1133,O1133,-(N1133),(-M1133/2),(-L1133*2),(-H1133),(I1133*3),(-J1133*3),(K1133*3))</f>
        <v>6.5</v>
      </c>
      <c r="W1133" s="193"/>
      <c r="X1133" s="193" t="str">
        <f>IF(Tabella1[[#This Row],[Best 11]]=1,Tabella1[[#This Row],[fanta voto]],"")</f>
        <v/>
      </c>
      <c r="Z1133" s="193" t="str">
        <f>IF(Tabella1[[#This Row],[Best 11 MOD]]=1,Tabella1[[#This Row],[fanta voto]],"")</f>
        <v/>
      </c>
      <c r="AA1133" t="str">
        <f>CONCATENATE(Tabella1[[#This Row],[GG]],Tabella1[[#This Row],[Nome]])</f>
        <v>4Idzes</v>
      </c>
      <c r="AB1133" t="str">
        <f t="shared" si="45"/>
        <v>4</v>
      </c>
      <c r="AC1133" t="str">
        <f>_xlfn.CONCAT(Tabella1[[#This Row],[Ruolo]],Tabella1[[#This Row],[Gs]])</f>
        <v>D0</v>
      </c>
    </row>
    <row r="1134" spans="1:29" hidden="1" x14ac:dyDescent="0.3">
      <c r="A1134" s="14">
        <v>46277</v>
      </c>
      <c r="B1134" s="15">
        <v>4</v>
      </c>
      <c r="C1134" s="321" t="str">
        <f>_xlfn.XLOOKUP(Tabella1[[#This Row],[Nome]],Tabella4[NOME],Tabella4[SQUADRA],"")</f>
        <v>Juventus</v>
      </c>
      <c r="D1134" s="330" t="s">
        <v>163</v>
      </c>
      <c r="E1134" s="330" t="s">
        <v>793</v>
      </c>
      <c r="F1134" s="331">
        <v>5</v>
      </c>
      <c r="G1134" s="404">
        <v>0</v>
      </c>
      <c r="H1134" s="404">
        <v>0</v>
      </c>
      <c r="I1134" s="404">
        <v>0</v>
      </c>
      <c r="J1134" s="404">
        <v>0</v>
      </c>
      <c r="K1134" s="404">
        <v>0</v>
      </c>
      <c r="L1134" s="404">
        <v>0</v>
      </c>
      <c r="M1134" s="404">
        <v>0</v>
      </c>
      <c r="N1134" s="404">
        <v>0</v>
      </c>
      <c r="O1134" s="405">
        <v>1</v>
      </c>
      <c r="P1134" s="401"/>
      <c r="Q1134" s="401">
        <f t="shared" si="44"/>
        <v>0</v>
      </c>
      <c r="R1134" s="3" t="str">
        <f>_xlfn.IFNA(VLOOKUP(Tabella1[[#This Row],[Nome]],'ROSE SQUADRE'!$N$3:$O$260,2,0),"")</f>
        <v>SAN GRIA</v>
      </c>
      <c r="S1134" s="193">
        <f>SUM(Tabella1[[#This Row],[Gf]],Tabella1[[#This Row],[Rf]])</f>
        <v>0</v>
      </c>
      <c r="T1134" s="193">
        <v>1</v>
      </c>
      <c r="U1134" s="285">
        <f>IF(Tabella1[[#This Row],[N° FantaTit]]="","",Tabella1[[#This Row],[fanta voto]])</f>
        <v>6</v>
      </c>
      <c r="V1134" s="193">
        <f>SUM(Tabella1[[#This Row],[Voto]],(G1134*3),Q1134,P1134,O1134,-(N1134),(-M1134/2),(-L1134*2),(-H1134),(I1134*3),(-J1134*3),(K1134*3))</f>
        <v>6</v>
      </c>
      <c r="W1134" s="193">
        <v>1</v>
      </c>
      <c r="X1134" s="193">
        <f>IF(Tabella1[[#This Row],[Best 11]]=1,Tabella1[[#This Row],[fanta voto]],"")</f>
        <v>6</v>
      </c>
      <c r="Y1134">
        <v>1</v>
      </c>
      <c r="Z1134" s="193">
        <f>IF(Tabella1[[#This Row],[Best 11 MOD]]=1,Tabella1[[#This Row],[fanta voto]],"")</f>
        <v>6</v>
      </c>
      <c r="AA1134" t="str">
        <f>CONCATENATE(Tabella1[[#This Row],[GG]],Tabella1[[#This Row],[Nome]])</f>
        <v>4Kolo Muani</v>
      </c>
      <c r="AB1134" t="str">
        <f t="shared" si="45"/>
        <v>4SAN GRIA1</v>
      </c>
      <c r="AC1134" t="str">
        <f>_xlfn.CONCAT(Tabella1[[#This Row],[Ruolo]],Tabella1[[#This Row],[Gs]])</f>
        <v>A0</v>
      </c>
    </row>
    <row r="1135" spans="1:29" hidden="1" x14ac:dyDescent="0.3">
      <c r="A1135" s="14">
        <v>46277</v>
      </c>
      <c r="B1135" s="15">
        <v>4</v>
      </c>
      <c r="C1135" s="321" t="str">
        <f>_xlfn.XLOOKUP(Tabella1[[#This Row],[Nome]],Tabella4[NOME],Tabella4[SQUADRA],"")</f>
        <v>Sassuolo</v>
      </c>
      <c r="D1135" t="s">
        <v>161</v>
      </c>
      <c r="E1135" t="s">
        <v>997</v>
      </c>
      <c r="F1135" s="194">
        <v>6</v>
      </c>
      <c r="G1135" s="402">
        <v>0</v>
      </c>
      <c r="H1135" s="402">
        <v>0</v>
      </c>
      <c r="I1135" s="402">
        <v>0</v>
      </c>
      <c r="J1135" s="402">
        <v>0</v>
      </c>
      <c r="K1135" s="402">
        <v>0</v>
      </c>
      <c r="L1135" s="402">
        <v>0</v>
      </c>
      <c r="M1135" s="402">
        <v>0</v>
      </c>
      <c r="N1135" s="402">
        <v>0</v>
      </c>
      <c r="O1135" s="402">
        <v>0</v>
      </c>
      <c r="P1135" s="401"/>
      <c r="Q1135" s="401">
        <f t="shared" si="44"/>
        <v>0</v>
      </c>
      <c r="R1135" s="3" t="str">
        <f>_xlfn.IFNA(VLOOKUP(Tabella1[[#This Row],[Nome]],'ROSE SQUADRE'!$N$3:$O$260,2,0),"")</f>
        <v/>
      </c>
      <c r="S1135" s="193">
        <f>SUM(Tabella1[[#This Row],[Gf]],Tabella1[[#This Row],[Rf]])</f>
        <v>0</v>
      </c>
      <c r="T1135" s="193"/>
      <c r="U1135" s="285" t="str">
        <f>IF(Tabella1[[#This Row],[N° FantaTit]]="","",Tabella1[[#This Row],[fanta voto]])</f>
        <v/>
      </c>
      <c r="V1135" s="193">
        <f>SUM(Tabella1[[#This Row],[Voto]],(G1135*3),Q1135,P1135,O1135,-(N1135),(-M1135/2),(-L1135*2),(-H1135),(I1135*3),(-J1135*3),(K1135*3))</f>
        <v>6</v>
      </c>
      <c r="W1135" s="193"/>
      <c r="X1135" s="193" t="str">
        <f>IF(Tabella1[[#This Row],[Best 11]]=1,Tabella1[[#This Row],[fanta voto]],"")</f>
        <v/>
      </c>
      <c r="Z1135" s="193" t="str">
        <f>IF(Tabella1[[#This Row],[Best 11 MOD]]=1,Tabella1[[#This Row],[fanta voto]],"")</f>
        <v/>
      </c>
      <c r="AA1135" t="str">
        <f>CONCATENATE(Tabella1[[#This Row],[GG]],Tabella1[[#This Row],[Nome]])</f>
        <v>4Cinquegrano</v>
      </c>
      <c r="AB1135" t="str">
        <f t="shared" si="45"/>
        <v>4</v>
      </c>
      <c r="AC1135" t="str">
        <f>_xlfn.CONCAT(Tabella1[[#This Row],[Ruolo]],Tabella1[[#This Row],[Gs]])</f>
        <v>D0</v>
      </c>
    </row>
    <row r="1136" spans="1:29" hidden="1" x14ac:dyDescent="0.3">
      <c r="A1136" s="14">
        <v>46277</v>
      </c>
      <c r="B1136" s="15">
        <v>4</v>
      </c>
      <c r="C1136" s="321" t="str">
        <f>_xlfn.XLOOKUP(Tabella1[[#This Row],[Nome]],Tabella4[NOME],Tabella4[SQUADRA],"")</f>
        <v>Sassuolo</v>
      </c>
      <c r="D1136" s="330" t="s">
        <v>162</v>
      </c>
      <c r="E1136" s="330" t="s">
        <v>927</v>
      </c>
      <c r="F1136" s="331">
        <v>7.5</v>
      </c>
      <c r="G1136" s="404">
        <v>0</v>
      </c>
      <c r="H1136" s="404">
        <v>0</v>
      </c>
      <c r="I1136" s="404">
        <v>0</v>
      </c>
      <c r="J1136" s="404">
        <v>0</v>
      </c>
      <c r="K1136" s="404">
        <v>0</v>
      </c>
      <c r="L1136" s="404">
        <v>0</v>
      </c>
      <c r="M1136" s="404">
        <v>0</v>
      </c>
      <c r="N1136" s="404">
        <v>0</v>
      </c>
      <c r="O1136" s="405">
        <v>1</v>
      </c>
      <c r="P1136" s="401"/>
      <c r="Q1136" s="401">
        <f t="shared" si="44"/>
        <v>0</v>
      </c>
      <c r="R1136" s="3" t="str">
        <f>_xlfn.IFNA(VLOOKUP(Tabella1[[#This Row],[Nome]],'ROSE SQUADRE'!$N$3:$O$260,2,0),"")</f>
        <v/>
      </c>
      <c r="S1136" s="193">
        <f>SUM(Tabella1[[#This Row],[Gf]],Tabella1[[#This Row],[Rf]])</f>
        <v>0</v>
      </c>
      <c r="T1136" s="193"/>
      <c r="U1136" s="285" t="str">
        <f>IF(Tabella1[[#This Row],[N° FantaTit]]="","",Tabella1[[#This Row],[fanta voto]])</f>
        <v/>
      </c>
      <c r="V1136" s="193">
        <f>SUM(Tabella1[[#This Row],[Voto]],(G1136*3),Q1136,P1136,O1136,-(N1136),(-M1136/2),(-L1136*2),(-H1136),(I1136*3),(-J1136*3),(K1136*3))</f>
        <v>8.5</v>
      </c>
      <c r="W1136" s="193"/>
      <c r="X1136" s="193" t="str">
        <f>IF(Tabella1[[#This Row],[Best 11]]=1,Tabella1[[#This Row],[fanta voto]],"")</f>
        <v/>
      </c>
      <c r="Z1136" s="193" t="str">
        <f>IF(Tabella1[[#This Row],[Best 11 MOD]]=1,Tabella1[[#This Row],[fanta voto]],"")</f>
        <v/>
      </c>
      <c r="AA1136" t="str">
        <f>CONCATENATE(Tabella1[[#This Row],[GG]],Tabella1[[#This Row],[Nome]])</f>
        <v>4Matic</v>
      </c>
      <c r="AB1136" t="str">
        <f t="shared" si="45"/>
        <v>4</v>
      </c>
      <c r="AC1136" t="str">
        <f>_xlfn.CONCAT(Tabella1[[#This Row],[Ruolo]],Tabella1[[#This Row],[Gs]])</f>
        <v>C0</v>
      </c>
    </row>
    <row r="1137" spans="1:29" hidden="1" x14ac:dyDescent="0.3">
      <c r="A1137" s="14">
        <v>46277</v>
      </c>
      <c r="B1137" s="15">
        <v>4</v>
      </c>
      <c r="C1137" s="321" t="str">
        <f>_xlfn.XLOOKUP(Tabella1[[#This Row],[Nome]],Tabella4[NOME],Tabella4[SQUADRA],"")</f>
        <v>Atalanta</v>
      </c>
      <c r="D1137" t="s">
        <v>163</v>
      </c>
      <c r="E1137" t="s">
        <v>224</v>
      </c>
      <c r="F1137" s="194">
        <v>6</v>
      </c>
      <c r="G1137" s="402">
        <v>0</v>
      </c>
      <c r="H1137" s="402">
        <v>0</v>
      </c>
      <c r="I1137" s="402">
        <v>0</v>
      </c>
      <c r="J1137" s="402">
        <v>0</v>
      </c>
      <c r="K1137" s="402">
        <v>0</v>
      </c>
      <c r="L1137" s="402">
        <v>0</v>
      </c>
      <c r="M1137" s="402">
        <v>0</v>
      </c>
      <c r="N1137" s="402">
        <v>0</v>
      </c>
      <c r="O1137" s="402">
        <v>0</v>
      </c>
      <c r="P1137" s="401"/>
      <c r="Q1137" s="401">
        <f t="shared" si="44"/>
        <v>0</v>
      </c>
      <c r="R1137" s="3" t="str">
        <f>_xlfn.IFNA(VLOOKUP(Tabella1[[#This Row],[Nome]],'ROSE SQUADRE'!$N$3:$O$260,2,0),"")</f>
        <v>FC INTERNAZIOANALE</v>
      </c>
      <c r="S1137" s="193">
        <f>SUM(Tabella1[[#This Row],[Gf]],Tabella1[[#This Row],[Rf]])</f>
        <v>0</v>
      </c>
      <c r="T1137" s="193"/>
      <c r="U1137" s="285" t="str">
        <f>IF(Tabella1[[#This Row],[N° FantaTit]]="","",Tabella1[[#This Row],[fanta voto]])</f>
        <v/>
      </c>
      <c r="V1137" s="193">
        <f>SUM(Tabella1[[#This Row],[Voto]],(G1137*3),Q1137,P1137,O1137,-(N1137),(-M1137/2),(-L1137*2),(-H1137),(I1137*3),(-J1137*3),(K1137*3))</f>
        <v>6</v>
      </c>
      <c r="W1137" s="193"/>
      <c r="X1137" s="193" t="str">
        <f>IF(Tabella1[[#This Row],[Best 11]]=1,Tabella1[[#This Row],[fanta voto]],"")</f>
        <v/>
      </c>
      <c r="Z1137" s="193" t="str">
        <f>IF(Tabella1[[#This Row],[Best 11 MOD]]=1,Tabella1[[#This Row],[fanta voto]],"")</f>
        <v/>
      </c>
      <c r="AA1137" t="str">
        <f>CONCATENATE(Tabella1[[#This Row],[GG]],Tabella1[[#This Row],[Nome]])</f>
        <v>4Raspadori</v>
      </c>
      <c r="AB1137" t="str">
        <f t="shared" si="45"/>
        <v>4FC INTERNAZIOANALE</v>
      </c>
      <c r="AC1137" t="str">
        <f>_xlfn.CONCAT(Tabella1[[#This Row],[Ruolo]],Tabella1[[#This Row],[Gs]])</f>
        <v>A0</v>
      </c>
    </row>
    <row r="1138" spans="1:29" hidden="1" x14ac:dyDescent="0.3">
      <c r="A1138" s="14">
        <v>46277</v>
      </c>
      <c r="B1138" s="15">
        <v>4</v>
      </c>
      <c r="C1138" s="321" t="str">
        <f>_xlfn.XLOOKUP(Tabella1[[#This Row],[Nome]],Tabella4[NOME],Tabella4[SQUADRA],"")</f>
        <v>Sassuolo</v>
      </c>
      <c r="D1138" s="330" t="s">
        <v>162</v>
      </c>
      <c r="E1138" s="330" t="s">
        <v>926</v>
      </c>
      <c r="F1138" s="331">
        <v>6.5</v>
      </c>
      <c r="G1138" s="404">
        <v>0</v>
      </c>
      <c r="H1138" s="404">
        <v>0</v>
      </c>
      <c r="I1138" s="404">
        <v>0</v>
      </c>
      <c r="J1138" s="404">
        <v>0</v>
      </c>
      <c r="K1138" s="404">
        <v>0</v>
      </c>
      <c r="L1138" s="404">
        <v>0</v>
      </c>
      <c r="M1138" s="405">
        <v>1</v>
      </c>
      <c r="N1138" s="404">
        <v>0</v>
      </c>
      <c r="O1138" s="404">
        <v>0</v>
      </c>
      <c r="P1138" s="401"/>
      <c r="Q1138" s="401">
        <f t="shared" si="44"/>
        <v>0</v>
      </c>
      <c r="R1138" s="3" t="str">
        <f>_xlfn.IFNA(VLOOKUP(Tabella1[[#This Row],[Nome]],'ROSE SQUADRE'!$N$3:$O$260,2,0),"")</f>
        <v/>
      </c>
      <c r="S1138" s="193">
        <f>SUM(Tabella1[[#This Row],[Gf]],Tabella1[[#This Row],[Rf]])</f>
        <v>0</v>
      </c>
      <c r="T1138" s="193"/>
      <c r="U1138" s="285" t="str">
        <f>IF(Tabella1[[#This Row],[N° FantaTit]]="","",Tabella1[[#This Row],[fanta voto]])</f>
        <v/>
      </c>
      <c r="V1138" s="193">
        <f>SUM(Tabella1[[#This Row],[Voto]],(G1138*3),Q1138,P1138,O1138,-(N1138),(-M1138/2),(-L1138*2),(-H1138),(I1138*3),(-J1138*3),(K1138*3))</f>
        <v>6</v>
      </c>
      <c r="W1138" s="193"/>
      <c r="X1138" s="193" t="str">
        <f>IF(Tabella1[[#This Row],[Best 11]]=1,Tabella1[[#This Row],[fanta voto]],"")</f>
        <v/>
      </c>
      <c r="Z1138" s="193" t="str">
        <f>IF(Tabella1[[#This Row],[Best 11 MOD]]=1,Tabella1[[#This Row],[fanta voto]],"")</f>
        <v/>
      </c>
      <c r="AA1138" t="str">
        <f>CONCATENATE(Tabella1[[#This Row],[GG]],Tabella1[[#This Row],[Nome]])</f>
        <v>4Lipani</v>
      </c>
      <c r="AB1138" t="str">
        <f t="shared" si="45"/>
        <v>4</v>
      </c>
      <c r="AC1138" t="str">
        <f>_xlfn.CONCAT(Tabella1[[#This Row],[Ruolo]],Tabella1[[#This Row],[Gs]])</f>
        <v>C0</v>
      </c>
    </row>
    <row r="1139" spans="1:29" hidden="1" x14ac:dyDescent="0.3">
      <c r="A1139" s="14">
        <v>46277</v>
      </c>
      <c r="B1139" s="15">
        <v>4</v>
      </c>
      <c r="C1139" s="321" t="str">
        <f>_xlfn.XLOOKUP(Tabella1[[#This Row],[Nome]],Tabella4[NOME],Tabella4[SQUADRA],"")</f>
        <v>Sassuolo</v>
      </c>
      <c r="D1139" t="s">
        <v>162</v>
      </c>
      <c r="E1139" t="s">
        <v>920</v>
      </c>
      <c r="F1139" s="194">
        <v>7</v>
      </c>
      <c r="G1139" s="403">
        <v>1</v>
      </c>
      <c r="H1139" s="402">
        <v>0</v>
      </c>
      <c r="I1139" s="402">
        <v>0</v>
      </c>
      <c r="J1139" s="402">
        <v>0</v>
      </c>
      <c r="K1139" s="402">
        <v>0</v>
      </c>
      <c r="L1139" s="402">
        <v>0</v>
      </c>
      <c r="M1139" s="402">
        <v>0</v>
      </c>
      <c r="N1139" s="402">
        <v>0</v>
      </c>
      <c r="O1139" s="402">
        <v>0</v>
      </c>
      <c r="P1139" s="401">
        <v>1</v>
      </c>
      <c r="Q1139" s="401">
        <f t="shared" si="44"/>
        <v>0</v>
      </c>
      <c r="R1139" s="3" t="str">
        <f>_xlfn.IFNA(VLOOKUP(Tabella1[[#This Row],[Nome]],'ROSE SQUADRE'!$N$3:$O$260,2,0),"")</f>
        <v/>
      </c>
      <c r="S1139" s="193">
        <f>SUM(Tabella1[[#This Row],[Gf]],Tabella1[[#This Row],[Rf]])</f>
        <v>1</v>
      </c>
      <c r="T1139" s="193"/>
      <c r="U1139" s="285" t="str">
        <f>IF(Tabella1[[#This Row],[N° FantaTit]]="","",Tabella1[[#This Row],[fanta voto]])</f>
        <v/>
      </c>
      <c r="V1139" s="193">
        <f>SUM(Tabella1[[#This Row],[Voto]],(G1139*3),Q1139,P1139,O1139,-(N1139),(-M1139/2),(-L1139*2),(-H1139),(I1139*3),(-J1139*3),(K1139*3))</f>
        <v>11</v>
      </c>
      <c r="W1139" s="193"/>
      <c r="X1139" s="193" t="str">
        <f>IF(Tabella1[[#This Row],[Best 11]]=1,Tabella1[[#This Row],[fanta voto]],"")</f>
        <v/>
      </c>
      <c r="Z1139" s="193" t="str">
        <f>IF(Tabella1[[#This Row],[Best 11 MOD]]=1,Tabella1[[#This Row],[fanta voto]],"")</f>
        <v/>
      </c>
      <c r="AA1139" t="str">
        <f>CONCATENATE(Tabella1[[#This Row],[GG]],Tabella1[[#This Row],[Nome]])</f>
        <v>4Adzic</v>
      </c>
      <c r="AB1139" t="str">
        <f t="shared" si="45"/>
        <v>4</v>
      </c>
      <c r="AC1139" t="str">
        <f>_xlfn.CONCAT(Tabella1[[#This Row],[Ruolo]],Tabella1[[#This Row],[Gs]])</f>
        <v>C0</v>
      </c>
    </row>
    <row r="1140" spans="1:29" hidden="1" x14ac:dyDescent="0.3">
      <c r="A1140" s="14">
        <v>46277</v>
      </c>
      <c r="B1140" s="15">
        <v>4</v>
      </c>
      <c r="C1140" s="321" t="str">
        <f>_xlfn.XLOOKUP(Tabella1[[#This Row],[Nome]],Tabella4[NOME],Tabella4[SQUADRA],"")</f>
        <v>Sassuolo</v>
      </c>
      <c r="D1140" s="330" t="s">
        <v>162</v>
      </c>
      <c r="E1140" s="330" t="s">
        <v>923</v>
      </c>
      <c r="F1140" s="331">
        <v>6</v>
      </c>
      <c r="G1140" s="404">
        <v>0</v>
      </c>
      <c r="H1140" s="404">
        <v>0</v>
      </c>
      <c r="I1140" s="404">
        <v>0</v>
      </c>
      <c r="J1140" s="404">
        <v>0</v>
      </c>
      <c r="K1140" s="404">
        <v>0</v>
      </c>
      <c r="L1140" s="404">
        <v>0</v>
      </c>
      <c r="M1140" s="404">
        <v>0</v>
      </c>
      <c r="N1140" s="404">
        <v>0</v>
      </c>
      <c r="O1140" s="404">
        <v>0</v>
      </c>
      <c r="P1140" s="401"/>
      <c r="Q1140" s="401">
        <f t="shared" si="44"/>
        <v>0</v>
      </c>
      <c r="R1140" s="3" t="str">
        <f>_xlfn.IFNA(VLOOKUP(Tabella1[[#This Row],[Nome]],'ROSE SQUADRE'!$N$3:$O$260,2,0),"")</f>
        <v/>
      </c>
      <c r="S1140" s="193">
        <f>SUM(Tabella1[[#This Row],[Gf]],Tabella1[[#This Row],[Rf]])</f>
        <v>0</v>
      </c>
      <c r="T1140" s="193"/>
      <c r="U1140" s="285" t="str">
        <f>IF(Tabella1[[#This Row],[N° FantaTit]]="","",Tabella1[[#This Row],[fanta voto]])</f>
        <v/>
      </c>
      <c r="V1140" s="193">
        <f>SUM(Tabella1[[#This Row],[Voto]],(G1140*3),Q1140,P1140,O1140,-(N1140),(-M1140/2),(-L1140*2),(-H1140),(I1140*3),(-J1140*3),(K1140*3))</f>
        <v>6</v>
      </c>
      <c r="W1140" s="193"/>
      <c r="X1140" s="193" t="str">
        <f>IF(Tabella1[[#This Row],[Best 11]]=1,Tabella1[[#This Row],[fanta voto]],"")</f>
        <v/>
      </c>
      <c r="Z1140" s="193" t="str">
        <f>IF(Tabella1[[#This Row],[Best 11 MOD]]=1,Tabella1[[#This Row],[fanta voto]],"")</f>
        <v/>
      </c>
      <c r="AA1140" t="str">
        <f>CONCATENATE(Tabella1[[#This Row],[GG]],Tabella1[[#This Row],[Nome]])</f>
        <v>4Dominguez B.</v>
      </c>
      <c r="AB1140" t="str">
        <f t="shared" si="45"/>
        <v>4</v>
      </c>
      <c r="AC1140" t="str">
        <f>_xlfn.CONCAT(Tabella1[[#This Row],[Ruolo]],Tabella1[[#This Row],[Gs]])</f>
        <v>C0</v>
      </c>
    </row>
    <row r="1141" spans="1:29" hidden="1" x14ac:dyDescent="0.3">
      <c r="A1141" s="14">
        <v>46277</v>
      </c>
      <c r="B1141" s="15">
        <v>4</v>
      </c>
      <c r="C1141" s="321" t="str">
        <f>_xlfn.XLOOKUP(Tabella1[[#This Row],[Nome]],Tabella4[NOME],Tabella4[SQUADRA],"")</f>
        <v>Sassuolo</v>
      </c>
      <c r="D1141" t="s">
        <v>162</v>
      </c>
      <c r="E1141" t="s">
        <v>921</v>
      </c>
      <c r="F1141" s="194">
        <v>6.5</v>
      </c>
      <c r="G1141" s="402">
        <v>0</v>
      </c>
      <c r="H1141" s="402">
        <v>0</v>
      </c>
      <c r="I1141" s="402">
        <v>0</v>
      </c>
      <c r="J1141" s="402">
        <v>0</v>
      </c>
      <c r="K1141" s="402">
        <v>0</v>
      </c>
      <c r="L1141" s="402">
        <v>0</v>
      </c>
      <c r="M1141" s="402">
        <v>0</v>
      </c>
      <c r="N1141" s="402">
        <v>0</v>
      </c>
      <c r="O1141" s="403">
        <v>1</v>
      </c>
      <c r="P1141" s="401"/>
      <c r="Q1141" s="401">
        <f t="shared" si="44"/>
        <v>0</v>
      </c>
      <c r="R1141" s="3" t="str">
        <f>_xlfn.IFNA(VLOOKUP(Tabella1[[#This Row],[Nome]],'ROSE SQUADRE'!$N$3:$O$260,2,0),"")</f>
        <v/>
      </c>
      <c r="S1141" s="193">
        <f>SUM(Tabella1[[#This Row],[Gf]],Tabella1[[#This Row],[Rf]])</f>
        <v>0</v>
      </c>
      <c r="T1141" s="193"/>
      <c r="U1141" s="285" t="str">
        <f>IF(Tabella1[[#This Row],[N° FantaTit]]="","",Tabella1[[#This Row],[fanta voto]])</f>
        <v/>
      </c>
      <c r="V1141" s="193">
        <f>SUM(Tabella1[[#This Row],[Voto]],(G1141*3),Q1141,P1141,O1141,-(N1141),(-M1141/2),(-L1141*2),(-H1141),(I1141*3),(-J1141*3),(K1141*3))</f>
        <v>7.5</v>
      </c>
      <c r="W1141" s="193"/>
      <c r="X1141" s="193" t="str">
        <f>IF(Tabella1[[#This Row],[Best 11]]=1,Tabella1[[#This Row],[fanta voto]],"")</f>
        <v/>
      </c>
      <c r="Z1141" s="193" t="str">
        <f>IF(Tabella1[[#This Row],[Best 11 MOD]]=1,Tabella1[[#This Row],[fanta voto]],"")</f>
        <v/>
      </c>
      <c r="AA1141" t="str">
        <f>CONCATENATE(Tabella1[[#This Row],[GG]],Tabella1[[#This Row],[Nome]])</f>
        <v>4Bakola</v>
      </c>
      <c r="AB1141" t="str">
        <f t="shared" si="45"/>
        <v>4</v>
      </c>
      <c r="AC1141" t="str">
        <f>_xlfn.CONCAT(Tabella1[[#This Row],[Ruolo]],Tabella1[[#This Row],[Gs]])</f>
        <v>C0</v>
      </c>
    </row>
    <row r="1142" spans="1:29" hidden="1" x14ac:dyDescent="0.3">
      <c r="A1142" s="14">
        <v>46277</v>
      </c>
      <c r="B1142" s="15">
        <v>4</v>
      </c>
      <c r="C1142" s="321" t="str">
        <f>_xlfn.XLOOKUP(Tabella1[[#This Row],[Nome]],Tabella4[NOME],Tabella4[SQUADRA],"")</f>
        <v>Udinese</v>
      </c>
      <c r="D1142" t="s">
        <v>162</v>
      </c>
      <c r="E1142" t="s">
        <v>579</v>
      </c>
      <c r="F1142" s="194">
        <v>6.5</v>
      </c>
      <c r="G1142" s="403">
        <v>1</v>
      </c>
      <c r="H1142" s="402">
        <v>0</v>
      </c>
      <c r="I1142" s="402">
        <v>0</v>
      </c>
      <c r="J1142" s="402">
        <v>0</v>
      </c>
      <c r="K1142" s="402">
        <v>0</v>
      </c>
      <c r="L1142" s="402">
        <v>0</v>
      </c>
      <c r="M1142" s="402">
        <v>0</v>
      </c>
      <c r="N1142" s="402">
        <v>0</v>
      </c>
      <c r="O1142" s="402">
        <v>0</v>
      </c>
      <c r="P1142" s="401"/>
      <c r="Q1142" s="401">
        <f t="shared" si="44"/>
        <v>0</v>
      </c>
      <c r="R1142" s="3" t="str">
        <f>_xlfn.IFNA(VLOOKUP(Tabella1[[#This Row],[Nome]],'ROSE SQUADRE'!$N$3:$O$260,2,0),"")</f>
        <v>PARTIZAN DEGRADO</v>
      </c>
      <c r="S1142" s="193">
        <f>SUM(Tabella1[[#This Row],[Gf]],Tabella1[[#This Row],[Rf]])</f>
        <v>1</v>
      </c>
      <c r="T1142" s="193"/>
      <c r="U1142" s="285" t="str">
        <f>IF(Tabella1[[#This Row],[N° FantaTit]]="","",Tabella1[[#This Row],[fanta voto]])</f>
        <v/>
      </c>
      <c r="V1142" s="193">
        <f>SUM(Tabella1[[#This Row],[Voto]],(G1142*3),Q1142,P1142,O1142,-(N1142),(-M1142/2),(-L1142*2),(-H1142),(I1142*3),(-J1142*3),(K1142*3))</f>
        <v>9.5</v>
      </c>
      <c r="W1142" s="193">
        <v>1</v>
      </c>
      <c r="X1142" s="193">
        <f>IF(Tabella1[[#This Row],[Best 11]]=1,Tabella1[[#This Row],[fanta voto]],"")</f>
        <v>9.5</v>
      </c>
      <c r="Y1142">
        <v>1</v>
      </c>
      <c r="Z1142" s="193">
        <f>IF(Tabella1[[#This Row],[Best 11 MOD]]=1,Tabella1[[#This Row],[fanta voto]],"")</f>
        <v>9.5</v>
      </c>
      <c r="AA1142" t="str">
        <f>CONCATENATE(Tabella1[[#This Row],[GG]],Tabella1[[#This Row],[Nome]])</f>
        <v>4Ekkelenkamp</v>
      </c>
      <c r="AB1142" t="str">
        <f t="shared" si="45"/>
        <v>4PARTIZAN DEGRADO</v>
      </c>
      <c r="AC1142" t="str">
        <f>_xlfn.CONCAT(Tabella1[[#This Row],[Ruolo]],Tabella1[[#This Row],[Gs]])</f>
        <v>C0</v>
      </c>
    </row>
    <row r="1143" spans="1:29" hidden="1" x14ac:dyDescent="0.3">
      <c r="A1143" s="14">
        <v>46277</v>
      </c>
      <c r="B1143" s="15">
        <v>4</v>
      </c>
      <c r="C1143" s="321" t="str">
        <f>_xlfn.XLOOKUP(Tabella1[[#This Row],[Nome]],Tabella4[NOME],Tabella4[SQUADRA],"")</f>
        <v>Monza</v>
      </c>
      <c r="D1143" t="s">
        <v>163</v>
      </c>
      <c r="E1143" t="s">
        <v>522</v>
      </c>
      <c r="F1143" s="194">
        <v>6</v>
      </c>
      <c r="G1143" s="402">
        <v>0</v>
      </c>
      <c r="H1143" s="402">
        <v>0</v>
      </c>
      <c r="I1143" s="402">
        <v>0</v>
      </c>
      <c r="J1143" s="402">
        <v>0</v>
      </c>
      <c r="K1143" s="402">
        <v>0</v>
      </c>
      <c r="L1143" s="402">
        <v>0</v>
      </c>
      <c r="M1143" s="402">
        <v>0</v>
      </c>
      <c r="N1143" s="402">
        <v>0</v>
      </c>
      <c r="O1143" s="402">
        <v>0</v>
      </c>
      <c r="P1143" s="401"/>
      <c r="Q1143" s="401">
        <f t="shared" si="44"/>
        <v>0</v>
      </c>
      <c r="R1143" s="3" t="str">
        <f>_xlfn.IFNA(VLOOKUP(Tabella1[[#This Row],[Nome]],'ROSE SQUADRE'!$N$3:$O$260,2,0),"")</f>
        <v>SHARK</v>
      </c>
      <c r="S1143" s="193">
        <f>SUM(Tabella1[[#This Row],[Gf]],Tabella1[[#This Row],[Rf]])</f>
        <v>0</v>
      </c>
      <c r="T1143" s="193"/>
      <c r="U1143" s="285" t="str">
        <f>IF(Tabella1[[#This Row],[N° FantaTit]]="","",Tabella1[[#This Row],[fanta voto]])</f>
        <v/>
      </c>
      <c r="V1143" s="193">
        <f>SUM(Tabella1[[#This Row],[Voto]],(G1143*3),Q1143,P1143,O1143,-(N1143),(-M1143/2),(-L1143*2),(-H1143),(I1143*3),(-J1143*3),(K1143*3))</f>
        <v>6</v>
      </c>
      <c r="W1143" s="193"/>
      <c r="X1143" s="193" t="str">
        <f>IF(Tabella1[[#This Row],[Best 11]]=1,Tabella1[[#This Row],[fanta voto]],"")</f>
        <v/>
      </c>
      <c r="Z1143" s="193" t="str">
        <f>IF(Tabella1[[#This Row],[Best 11 MOD]]=1,Tabella1[[#This Row],[fanta voto]],"")</f>
        <v/>
      </c>
      <c r="AA1143" t="str">
        <f>CONCATENATE(Tabella1[[#This Row],[GG]],Tabella1[[#This Row],[Nome]])</f>
        <v>4Cutrone</v>
      </c>
      <c r="AB1143" t="str">
        <f t="shared" si="45"/>
        <v>4SHARK</v>
      </c>
      <c r="AC1143" t="str">
        <f>_xlfn.CONCAT(Tabella1[[#This Row],[Ruolo]],Tabella1[[#This Row],[Gs]])</f>
        <v>A0</v>
      </c>
    </row>
    <row r="1144" spans="1:29" hidden="1" x14ac:dyDescent="0.3">
      <c r="A1144" s="14">
        <v>46277</v>
      </c>
      <c r="B1144" s="15">
        <v>4</v>
      </c>
      <c r="C1144" s="321" t="str">
        <f>_xlfn.XLOOKUP(Tabella1[[#This Row],[Nome]],Tabella4[NOME],Tabella4[SQUADRA],"")</f>
        <v>Roma</v>
      </c>
      <c r="D1144" s="330" t="s">
        <v>163</v>
      </c>
      <c r="E1144" s="330" t="s">
        <v>509</v>
      </c>
      <c r="F1144" s="331">
        <v>5.5</v>
      </c>
      <c r="G1144" s="404">
        <v>0</v>
      </c>
      <c r="H1144" s="404">
        <v>0</v>
      </c>
      <c r="I1144" s="404">
        <v>0</v>
      </c>
      <c r="J1144" s="404">
        <v>0</v>
      </c>
      <c r="K1144" s="404">
        <v>0</v>
      </c>
      <c r="L1144" s="404">
        <v>0</v>
      </c>
      <c r="M1144" s="404">
        <v>0</v>
      </c>
      <c r="N1144" s="404">
        <v>0</v>
      </c>
      <c r="O1144" s="404">
        <v>0</v>
      </c>
      <c r="P1144" s="401"/>
      <c r="Q1144" s="401">
        <f t="shared" ref="Q1144:Q1176" si="46">IF(AC1144="P0",1,0)</f>
        <v>0</v>
      </c>
      <c r="R1144" s="3" t="str">
        <f>_xlfn.IFNA(VLOOKUP(Tabella1[[#This Row],[Nome]],'ROSE SQUADRE'!$N$3:$O$260,2,0),"")</f>
        <v>SESTO ASENSIO</v>
      </c>
      <c r="S1144" s="193">
        <f>SUM(Tabella1[[#This Row],[Gf]],Tabella1[[#This Row],[Rf]])</f>
        <v>0</v>
      </c>
      <c r="T1144" s="193"/>
      <c r="U1144" s="285" t="str">
        <f>IF(Tabella1[[#This Row],[N° FantaTit]]="","",Tabella1[[#This Row],[fanta voto]])</f>
        <v/>
      </c>
      <c r="V1144" s="193">
        <f>SUM(Tabella1[[#This Row],[Voto]],(G1144*3),Q1144,P1144,O1144,-(N1144),(-M1144/2),(-L1144*2),(-H1144),(I1144*3),(-J1144*3),(K1144*3))</f>
        <v>5.5</v>
      </c>
      <c r="W1144" s="193"/>
      <c r="X1144" s="193" t="str">
        <f>IF(Tabella1[[#This Row],[Best 11]]=1,Tabella1[[#This Row],[fanta voto]],"")</f>
        <v/>
      </c>
      <c r="Z1144" s="193" t="str">
        <f>IF(Tabella1[[#This Row],[Best 11 MOD]]=1,Tabella1[[#This Row],[fanta voto]],"")</f>
        <v/>
      </c>
      <c r="AA1144" t="str">
        <f>CONCATENATE(Tabella1[[#This Row],[GG]],Tabella1[[#This Row],[Nome]])</f>
        <v>4Castro S.</v>
      </c>
      <c r="AB1144" t="str">
        <f t="shared" ref="AB1144:AB1176" si="47">CONCATENATE(B1144,R1144,T1144)</f>
        <v>4SESTO ASENSIO</v>
      </c>
      <c r="AC1144" t="str">
        <f>_xlfn.CONCAT(Tabella1[[#This Row],[Ruolo]],Tabella1[[#This Row],[Gs]])</f>
        <v>A0</v>
      </c>
    </row>
    <row r="1145" spans="1:29" hidden="1" x14ac:dyDescent="0.3">
      <c r="A1145" s="14">
        <v>46277</v>
      </c>
      <c r="B1145" s="15">
        <v>4</v>
      </c>
      <c r="C1145" s="321" t="str">
        <f>_xlfn.XLOOKUP(Tabella1[[#This Row],[Nome]],Tabella4[NOME],Tabella4[SQUADRA],"")</f>
        <v>Lazio</v>
      </c>
      <c r="D1145" t="s">
        <v>163</v>
      </c>
      <c r="E1145" t="s">
        <v>539</v>
      </c>
      <c r="F1145" s="194">
        <v>7</v>
      </c>
      <c r="G1145" s="403">
        <v>1</v>
      </c>
      <c r="H1145" s="402">
        <v>0</v>
      </c>
      <c r="I1145" s="402">
        <v>0</v>
      </c>
      <c r="J1145" s="402">
        <v>0</v>
      </c>
      <c r="K1145" s="402">
        <v>0</v>
      </c>
      <c r="L1145" s="402">
        <v>0</v>
      </c>
      <c r="M1145" s="402">
        <v>0</v>
      </c>
      <c r="N1145" s="402">
        <v>0</v>
      </c>
      <c r="O1145" s="402">
        <v>0</v>
      </c>
      <c r="P1145" s="401"/>
      <c r="Q1145" s="401">
        <f t="shared" si="46"/>
        <v>0</v>
      </c>
      <c r="R1145" s="3" t="str">
        <f>_xlfn.IFNA(VLOOKUP(Tabella1[[#This Row],[Nome]],'ROSE SQUADRE'!$N$3:$O$260,2,0),"")</f>
        <v>FC INTERNAZIOANALE</v>
      </c>
      <c r="S1145" s="193">
        <f>SUM(Tabella1[[#This Row],[Gf]],Tabella1[[#This Row],[Rf]])</f>
        <v>1</v>
      </c>
      <c r="T1145" s="193"/>
      <c r="U1145" s="285" t="str">
        <f>IF(Tabella1[[#This Row],[N° FantaTit]]="","",Tabella1[[#This Row],[fanta voto]])</f>
        <v/>
      </c>
      <c r="V1145" s="193">
        <f>SUM(Tabella1[[#This Row],[Voto]],(G1145*3),Q1145,P1145,O1145,-(N1145),(-M1145/2),(-L1145*2),(-H1145),(I1145*3),(-J1145*3),(K1145*3))</f>
        <v>10</v>
      </c>
      <c r="W1145" s="193">
        <v>1</v>
      </c>
      <c r="X1145" s="193">
        <f>IF(Tabella1[[#This Row],[Best 11]]=1,Tabella1[[#This Row],[fanta voto]],"")</f>
        <v>10</v>
      </c>
      <c r="Y1145">
        <v>1</v>
      </c>
      <c r="Z1145" s="193">
        <f>IF(Tabella1[[#This Row],[Best 11 MOD]]=1,Tabella1[[#This Row],[fanta voto]],"")</f>
        <v>10</v>
      </c>
      <c r="AA1145" t="str">
        <f>CONCATENATE(Tabella1[[#This Row],[GG]],Tabella1[[#This Row],[Nome]])</f>
        <v>4Noslin</v>
      </c>
      <c r="AB1145" t="str">
        <f t="shared" si="47"/>
        <v>4FC INTERNAZIOANALE</v>
      </c>
      <c r="AC1145" t="str">
        <f>_xlfn.CONCAT(Tabella1[[#This Row],[Ruolo]],Tabella1[[#This Row],[Gs]])</f>
        <v>A0</v>
      </c>
    </row>
    <row r="1146" spans="1:29" hidden="1" x14ac:dyDescent="0.3">
      <c r="A1146" s="14">
        <v>46277</v>
      </c>
      <c r="B1146" s="15">
        <v>4</v>
      </c>
      <c r="C1146" s="321" t="str">
        <f>_xlfn.XLOOKUP(Tabella1[[#This Row],[Nome]],Tabella4[NOME],Tabella4[SQUADRA],"")</f>
        <v>Napoli</v>
      </c>
      <c r="D1146" s="330" t="s">
        <v>163</v>
      </c>
      <c r="E1146" s="330" t="s">
        <v>870</v>
      </c>
      <c r="F1146" s="331">
        <v>5.5</v>
      </c>
      <c r="G1146" s="404">
        <v>0</v>
      </c>
      <c r="H1146" s="404">
        <v>0</v>
      </c>
      <c r="I1146" s="404">
        <v>0</v>
      </c>
      <c r="J1146" s="404">
        <v>0</v>
      </c>
      <c r="K1146" s="404">
        <v>0</v>
      </c>
      <c r="L1146" s="404">
        <v>0</v>
      </c>
      <c r="M1146" s="404">
        <v>0</v>
      </c>
      <c r="N1146" s="404">
        <v>0</v>
      </c>
      <c r="O1146" s="404">
        <v>0</v>
      </c>
      <c r="P1146" s="401"/>
      <c r="Q1146" s="401">
        <f t="shared" si="46"/>
        <v>0</v>
      </c>
      <c r="R1146" s="3" t="str">
        <f>_xlfn.IFNA(VLOOKUP(Tabella1[[#This Row],[Nome]],'ROSE SQUADRE'!$N$3:$O$260,2,0),"")</f>
        <v>AS PIPPERIA</v>
      </c>
      <c r="S1146" s="193">
        <f>SUM(Tabella1[[#This Row],[Gf]],Tabella1[[#This Row],[Rf]])</f>
        <v>0</v>
      </c>
      <c r="T1146" s="193">
        <v>1</v>
      </c>
      <c r="U1146" s="285">
        <f>IF(Tabella1[[#This Row],[N° FantaTit]]="","",Tabella1[[#This Row],[fanta voto]])</f>
        <v>5.5</v>
      </c>
      <c r="V1146" s="193">
        <f>SUM(Tabella1[[#This Row],[Voto]],(G1146*3),Q1146,P1146,O1146,-(N1146),(-M1146/2),(-L1146*2),(-H1146),(I1146*3),(-J1146*3),(K1146*3))</f>
        <v>5.5</v>
      </c>
      <c r="W1146" s="193">
        <v>1</v>
      </c>
      <c r="X1146" s="193">
        <f>IF(Tabella1[[#This Row],[Best 11]]=1,Tabella1[[#This Row],[fanta voto]],"")</f>
        <v>5.5</v>
      </c>
      <c r="Y1146">
        <v>1</v>
      </c>
      <c r="Z1146" s="193">
        <f>IF(Tabella1[[#This Row],[Best 11 MOD]]=1,Tabella1[[#This Row],[fanta voto]],"")</f>
        <v>5.5</v>
      </c>
      <c r="AA1146" t="str">
        <f>CONCATENATE(Tabella1[[#This Row],[GG]],Tabella1[[#This Row],[Nome]])</f>
        <v>4Hojlund</v>
      </c>
      <c r="AB1146" t="str">
        <f t="shared" si="47"/>
        <v>4AS PIPPERIA1</v>
      </c>
      <c r="AC1146" t="str">
        <f>_xlfn.CONCAT(Tabella1[[#This Row],[Ruolo]],Tabella1[[#This Row],[Gs]])</f>
        <v>A0</v>
      </c>
    </row>
    <row r="1147" spans="1:29" hidden="1" x14ac:dyDescent="0.3">
      <c r="A1147" s="14">
        <v>46277</v>
      </c>
      <c r="B1147" s="15">
        <v>4</v>
      </c>
      <c r="C1147" s="321" t="str">
        <f>_xlfn.XLOOKUP(Tabella1[[#This Row],[Nome]],Tabella4[NOME],Tabella4[SQUADRA],"")</f>
        <v/>
      </c>
      <c r="D1147" s="330" t="s">
        <v>161</v>
      </c>
      <c r="E1147" s="330" t="s">
        <v>1094</v>
      </c>
      <c r="F1147" s="331">
        <v>6</v>
      </c>
      <c r="G1147" s="404">
        <v>0</v>
      </c>
      <c r="H1147" s="404">
        <v>0</v>
      </c>
      <c r="I1147" s="404">
        <v>0</v>
      </c>
      <c r="J1147" s="404">
        <v>0</v>
      </c>
      <c r="K1147" s="404">
        <v>0</v>
      </c>
      <c r="L1147" s="404">
        <v>0</v>
      </c>
      <c r="M1147" s="404">
        <v>0</v>
      </c>
      <c r="N1147" s="404">
        <v>0</v>
      </c>
      <c r="O1147" s="404">
        <v>0</v>
      </c>
      <c r="P1147" s="401"/>
      <c r="Q1147" s="401">
        <f t="shared" si="46"/>
        <v>0</v>
      </c>
      <c r="R1147" s="3" t="str">
        <f>_xlfn.IFNA(VLOOKUP(Tabella1[[#This Row],[Nome]],'ROSE SQUADRE'!$N$3:$O$260,2,0),"")</f>
        <v/>
      </c>
      <c r="S1147" s="193">
        <f>SUM(Tabella1[[#This Row],[Gf]],Tabella1[[#This Row],[Rf]])</f>
        <v>0</v>
      </c>
      <c r="T1147" s="193"/>
      <c r="U1147" s="285" t="str">
        <f>IF(Tabella1[[#This Row],[N° FantaTit]]="","",Tabella1[[#This Row],[fanta voto]])</f>
        <v/>
      </c>
      <c r="V1147" s="193">
        <f>SUM(Tabella1[[#This Row],[Voto]],(G1147*3),Q1147,P1147,O1147,-(N1147),(-M1147/2),(-L1147*2),(-H1147),(I1147*3),(-J1147*3),(K1147*3))</f>
        <v>6</v>
      </c>
      <c r="W1147" s="193"/>
      <c r="X1147" s="193" t="str">
        <f>IF(Tabella1[[#This Row],[Best 11]]=1,Tabella1[[#This Row],[fanta voto]],"")</f>
        <v/>
      </c>
      <c r="Z1147" s="193" t="str">
        <f>IF(Tabella1[[#This Row],[Best 11 MOD]]=1,Tabella1[[#This Row],[fanta voto]],"")</f>
        <v/>
      </c>
      <c r="AA1147" t="str">
        <f>CONCATENATE(Tabella1[[#This Row],[GG]],Tabella1[[#This Row],[Nome]])</f>
        <v>4Rodriguez R.</v>
      </c>
      <c r="AB1147" t="str">
        <f t="shared" si="47"/>
        <v>4</v>
      </c>
      <c r="AC1147" t="str">
        <f>_xlfn.CONCAT(Tabella1[[#This Row],[Ruolo]],Tabella1[[#This Row],[Gs]])</f>
        <v>D0</v>
      </c>
    </row>
    <row r="1148" spans="1:29" hidden="1" x14ac:dyDescent="0.3">
      <c r="A1148" s="14">
        <v>46277</v>
      </c>
      <c r="B1148" s="15">
        <v>4</v>
      </c>
      <c r="C1148" s="321" t="str">
        <f>_xlfn.XLOOKUP(Tabella1[[#This Row],[Nome]],Tabella4[NOME],Tabella4[SQUADRA],"")</f>
        <v>Sassuolo</v>
      </c>
      <c r="D1148" s="330" t="s">
        <v>163</v>
      </c>
      <c r="E1148" s="330" t="s">
        <v>932</v>
      </c>
      <c r="F1148" s="331">
        <v>6.5</v>
      </c>
      <c r="G1148" s="404">
        <v>0</v>
      </c>
      <c r="H1148" s="404">
        <v>0</v>
      </c>
      <c r="I1148" s="404">
        <v>0</v>
      </c>
      <c r="J1148" s="404">
        <v>0</v>
      </c>
      <c r="K1148" s="404">
        <v>0</v>
      </c>
      <c r="L1148" s="404">
        <v>0</v>
      </c>
      <c r="M1148" s="404">
        <v>0</v>
      </c>
      <c r="N1148" s="404">
        <v>0</v>
      </c>
      <c r="O1148" s="405">
        <v>1</v>
      </c>
      <c r="P1148" s="401"/>
      <c r="Q1148" s="401">
        <f t="shared" si="46"/>
        <v>0</v>
      </c>
      <c r="R1148" s="3" t="str">
        <f>_xlfn.IFNA(VLOOKUP(Tabella1[[#This Row],[Nome]],'ROSE SQUADRE'!$N$3:$O$260,2,0),"")</f>
        <v>SESTO ASENSIO</v>
      </c>
      <c r="S1148" s="193">
        <f>SUM(Tabella1[[#This Row],[Gf]],Tabella1[[#This Row],[Rf]])</f>
        <v>0</v>
      </c>
      <c r="T1148" s="193">
        <v>1</v>
      </c>
      <c r="U1148" s="285">
        <f>IF(Tabella1[[#This Row],[N° FantaTit]]="","",Tabella1[[#This Row],[fanta voto]])</f>
        <v>7.5</v>
      </c>
      <c r="V1148" s="193">
        <f>SUM(Tabella1[[#This Row],[Voto]],(G1148*3),Q1148,P1148,O1148,-(N1148),(-M1148/2),(-L1148*2),(-H1148),(I1148*3),(-J1148*3),(K1148*3))</f>
        <v>7.5</v>
      </c>
      <c r="W1148" s="193">
        <v>1</v>
      </c>
      <c r="X1148" s="193">
        <f>IF(Tabella1[[#This Row],[Best 11]]=1,Tabella1[[#This Row],[fanta voto]],"")</f>
        <v>7.5</v>
      </c>
      <c r="Y1148">
        <v>1</v>
      </c>
      <c r="Z1148" s="193">
        <f>IF(Tabella1[[#This Row],[Best 11 MOD]]=1,Tabella1[[#This Row],[fanta voto]],"")</f>
        <v>7.5</v>
      </c>
      <c r="AA1148" t="str">
        <f>CONCATENATE(Tabella1[[#This Row],[GG]],Tabella1[[#This Row],[Nome]])</f>
        <v>4Laurientè</v>
      </c>
      <c r="AB1148" t="str">
        <f t="shared" si="47"/>
        <v>4SESTO ASENSIO1</v>
      </c>
      <c r="AC1148" t="str">
        <f>_xlfn.CONCAT(Tabella1[[#This Row],[Ruolo]],Tabella1[[#This Row],[Gs]])</f>
        <v>A0</v>
      </c>
    </row>
    <row r="1149" spans="1:29" hidden="1" x14ac:dyDescent="0.3">
      <c r="A1149" s="14">
        <v>46277</v>
      </c>
      <c r="B1149" s="15">
        <v>4</v>
      </c>
      <c r="C1149" s="321" t="str">
        <f>_xlfn.XLOOKUP(Tabella1[[#This Row],[Nome]],Tabella4[NOME],Tabella4[SQUADRA],"")</f>
        <v>Torino</v>
      </c>
      <c r="D1149" s="330" t="s">
        <v>161</v>
      </c>
      <c r="E1149" s="330" t="s">
        <v>572</v>
      </c>
      <c r="F1149" s="331">
        <v>6</v>
      </c>
      <c r="G1149" s="404">
        <v>0</v>
      </c>
      <c r="H1149" s="404">
        <v>0</v>
      </c>
      <c r="I1149" s="404">
        <v>0</v>
      </c>
      <c r="J1149" s="404">
        <v>0</v>
      </c>
      <c r="K1149" s="404">
        <v>0</v>
      </c>
      <c r="L1149" s="404">
        <v>0</v>
      </c>
      <c r="M1149" s="404">
        <v>0</v>
      </c>
      <c r="N1149" s="404">
        <v>0</v>
      </c>
      <c r="O1149" s="404">
        <v>0</v>
      </c>
      <c r="P1149" s="401"/>
      <c r="Q1149" s="401">
        <f t="shared" si="46"/>
        <v>0</v>
      </c>
      <c r="R1149" s="3" t="str">
        <f>_xlfn.IFNA(VLOOKUP(Tabella1[[#This Row],[Nome]],'ROSE SQUADRE'!$N$3:$O$260,2,0),"")</f>
        <v/>
      </c>
      <c r="S1149" s="193">
        <f>SUM(Tabella1[[#This Row],[Gf]],Tabella1[[#This Row],[Rf]])</f>
        <v>0</v>
      </c>
      <c r="T1149" s="193"/>
      <c r="U1149" s="285" t="str">
        <f>IF(Tabella1[[#This Row],[N° FantaTit]]="","",Tabella1[[#This Row],[fanta voto]])</f>
        <v/>
      </c>
      <c r="V1149" s="193">
        <f>SUM(Tabella1[[#This Row],[Voto]],(G1149*3),Q1149,P1149,O1149,-(N1149),(-M1149/2),(-L1149*2),(-H1149),(I1149*3),(-J1149*3),(K1149*3))</f>
        <v>6</v>
      </c>
      <c r="W1149" s="193"/>
      <c r="X1149" s="193" t="str">
        <f>IF(Tabella1[[#This Row],[Best 11]]=1,Tabella1[[#This Row],[fanta voto]],"")</f>
        <v/>
      </c>
      <c r="Z1149" s="193" t="str">
        <f>IF(Tabella1[[#This Row],[Best 11 MOD]]=1,Tabella1[[#This Row],[fanta voto]],"")</f>
        <v/>
      </c>
      <c r="AA1149" t="str">
        <f>CONCATENATE(Tabella1[[#This Row],[GG]],Tabella1[[#This Row],[Nome]])</f>
        <v>4Coco</v>
      </c>
      <c r="AB1149" t="str">
        <f t="shared" si="47"/>
        <v>4</v>
      </c>
      <c r="AC1149" t="str">
        <f>_xlfn.CONCAT(Tabella1[[#This Row],[Ruolo]],Tabella1[[#This Row],[Gs]])</f>
        <v>D0</v>
      </c>
    </row>
    <row r="1150" spans="1:29" x14ac:dyDescent="0.3">
      <c r="A1150" s="14">
        <v>46277</v>
      </c>
      <c r="B1150" s="15">
        <v>4</v>
      </c>
      <c r="C1150" s="321" t="str">
        <f>_xlfn.XLOOKUP(Tabella1[[#This Row],[Nome]],Tabella4[NOME],Tabella4[SQUADRA],"")</f>
        <v>Inter</v>
      </c>
      <c r="D1150" t="s">
        <v>163</v>
      </c>
      <c r="E1150" t="s">
        <v>453</v>
      </c>
      <c r="F1150" s="194">
        <v>7.5</v>
      </c>
      <c r="G1150" s="403">
        <v>1</v>
      </c>
      <c r="H1150" s="402">
        <v>0</v>
      </c>
      <c r="I1150" s="402">
        <v>0</v>
      </c>
      <c r="J1150" s="402">
        <v>0</v>
      </c>
      <c r="K1150" s="402">
        <v>0</v>
      </c>
      <c r="L1150" s="402">
        <v>0</v>
      </c>
      <c r="M1150" s="402">
        <v>0</v>
      </c>
      <c r="N1150" s="402">
        <v>0</v>
      </c>
      <c r="O1150" s="403">
        <v>1</v>
      </c>
      <c r="P1150" s="401"/>
      <c r="Q1150" s="401">
        <f t="shared" si="46"/>
        <v>0</v>
      </c>
      <c r="R1150" s="3" t="str">
        <f>_xlfn.IFNA(VLOOKUP(Tabella1[[#This Row],[Nome]],'ROSE SQUADRE'!$N$3:$O$260,2,0),"")</f>
        <v>FC INTERNAZIOANALE</v>
      </c>
      <c r="S1150" s="193">
        <f>SUM(Tabella1[[#This Row],[Gf]],Tabella1[[#This Row],[Rf]])</f>
        <v>1</v>
      </c>
      <c r="T1150" s="193">
        <v>1</v>
      </c>
      <c r="U1150" s="285">
        <f>IF(Tabella1[[#This Row],[N° FantaTit]]="","",Tabella1[[#This Row],[fanta voto]])</f>
        <v>11.5</v>
      </c>
      <c r="V1150" s="193">
        <f>SUM(Tabella1[[#This Row],[Voto]],(G1150*3),Q1150,P1150,O1150,-(N1150),(-M1150/2),(-L1150*2),(-H1150),(I1150*3),(-J1150*3),(K1150*3))</f>
        <v>11.5</v>
      </c>
      <c r="W1150" s="193">
        <v>1</v>
      </c>
      <c r="X1150" s="193">
        <f>IF(Tabella1[[#This Row],[Best 11]]=1,Tabella1[[#This Row],[fanta voto]],"")</f>
        <v>11.5</v>
      </c>
      <c r="Y1150">
        <v>1</v>
      </c>
      <c r="Z1150" s="193">
        <f>IF(Tabella1[[#This Row],[Best 11 MOD]]=1,Tabella1[[#This Row],[fanta voto]],"")</f>
        <v>11.5</v>
      </c>
      <c r="AA1150" t="str">
        <f>CONCATENATE(Tabella1[[#This Row],[GG]],Tabella1[[#This Row],[Nome]])</f>
        <v>4Thuram</v>
      </c>
      <c r="AB1150" t="str">
        <f t="shared" si="47"/>
        <v>4FC INTERNAZIOANALE1</v>
      </c>
      <c r="AC1150" t="str">
        <f>_xlfn.CONCAT(Tabella1[[#This Row],[Ruolo]],Tabella1[[#This Row],[Gs]])</f>
        <v>A0</v>
      </c>
    </row>
    <row r="1151" spans="1:29" hidden="1" x14ac:dyDescent="0.3">
      <c r="A1151" s="14">
        <v>46277</v>
      </c>
      <c r="B1151" s="15">
        <v>4</v>
      </c>
      <c r="C1151" s="321" t="str">
        <f>_xlfn.XLOOKUP(Tabella1[[#This Row],[Nome]],Tabella4[NOME],Tabella4[SQUADRA],"")</f>
        <v>Roma</v>
      </c>
      <c r="D1151" t="s">
        <v>163</v>
      </c>
      <c r="E1151" t="s">
        <v>256</v>
      </c>
      <c r="F1151" s="194">
        <v>6.5</v>
      </c>
      <c r="G1151" s="402">
        <v>0</v>
      </c>
      <c r="H1151" s="402">
        <v>0</v>
      </c>
      <c r="I1151" s="402">
        <v>0</v>
      </c>
      <c r="J1151" s="402">
        <v>0</v>
      </c>
      <c r="K1151" s="402">
        <v>0</v>
      </c>
      <c r="L1151" s="402">
        <v>0</v>
      </c>
      <c r="M1151" s="402">
        <v>0</v>
      </c>
      <c r="N1151" s="402">
        <v>0</v>
      </c>
      <c r="O1151" s="402">
        <v>0</v>
      </c>
      <c r="P1151" s="401"/>
      <c r="Q1151" s="401">
        <f t="shared" si="46"/>
        <v>0</v>
      </c>
      <c r="R1151" s="3" t="str">
        <f>_xlfn.IFNA(VLOOKUP(Tabella1[[#This Row],[Nome]],'ROSE SQUADRE'!$N$3:$O$260,2,0),"")</f>
        <v>FC INTERNAZIOANALE</v>
      </c>
      <c r="S1151" s="193">
        <f>SUM(Tabella1[[#This Row],[Gf]],Tabella1[[#This Row],[Rf]])</f>
        <v>0</v>
      </c>
      <c r="T1151" s="193">
        <v>1</v>
      </c>
      <c r="U1151" s="285">
        <f>IF(Tabella1[[#This Row],[N° FantaTit]]="","",Tabella1[[#This Row],[fanta voto]])</f>
        <v>6.5</v>
      </c>
      <c r="V1151" s="193">
        <f>SUM(Tabella1[[#This Row],[Voto]],(G1151*3),Q1151,P1151,O1151,-(N1151),(-M1151/2),(-L1151*2),(-H1151),(I1151*3),(-J1151*3),(K1151*3))</f>
        <v>6.5</v>
      </c>
      <c r="W1151" s="193"/>
      <c r="X1151" s="193" t="str">
        <f>IF(Tabella1[[#This Row],[Best 11]]=1,Tabella1[[#This Row],[fanta voto]],"")</f>
        <v/>
      </c>
      <c r="Z1151" s="193" t="str">
        <f>IF(Tabella1[[#This Row],[Best 11 MOD]]=1,Tabella1[[#This Row],[fanta voto]],"")</f>
        <v/>
      </c>
      <c r="AA1151" t="str">
        <f>CONCATENATE(Tabella1[[#This Row],[GG]],Tabella1[[#This Row],[Nome]])</f>
        <v>4Dybala</v>
      </c>
      <c r="AB1151" t="str">
        <f t="shared" si="47"/>
        <v>4FC INTERNAZIOANALE1</v>
      </c>
      <c r="AC1151" t="str">
        <f>_xlfn.CONCAT(Tabella1[[#This Row],[Ruolo]],Tabella1[[#This Row],[Gs]])</f>
        <v>A0</v>
      </c>
    </row>
    <row r="1152" spans="1:29" hidden="1" x14ac:dyDescent="0.3">
      <c r="A1152" s="14">
        <v>46277</v>
      </c>
      <c r="B1152" s="15">
        <v>4</v>
      </c>
      <c r="C1152" s="321" t="str">
        <f>_xlfn.XLOOKUP(Tabella1[[#This Row],[Nome]],Tabella4[NOME],Tabella4[SQUADRA],"")</f>
        <v>Torino</v>
      </c>
      <c r="D1152" t="s">
        <v>161</v>
      </c>
      <c r="E1152" t="s">
        <v>937</v>
      </c>
      <c r="F1152" s="194">
        <v>5.5</v>
      </c>
      <c r="G1152" s="402">
        <v>0</v>
      </c>
      <c r="H1152" s="402">
        <v>0</v>
      </c>
      <c r="I1152" s="402">
        <v>0</v>
      </c>
      <c r="J1152" s="402">
        <v>0</v>
      </c>
      <c r="K1152" s="402">
        <v>0</v>
      </c>
      <c r="L1152" s="402">
        <v>0</v>
      </c>
      <c r="M1152" s="402">
        <v>0</v>
      </c>
      <c r="N1152" s="402">
        <v>0</v>
      </c>
      <c r="O1152" s="402">
        <v>0</v>
      </c>
      <c r="P1152" s="401"/>
      <c r="Q1152" s="401">
        <f t="shared" si="46"/>
        <v>0</v>
      </c>
      <c r="R1152" s="3" t="str">
        <f>_xlfn.IFNA(VLOOKUP(Tabella1[[#This Row],[Nome]],'ROSE SQUADRE'!$N$3:$O$260,2,0),"")</f>
        <v/>
      </c>
      <c r="S1152" s="193">
        <f>SUM(Tabella1[[#This Row],[Gf]],Tabella1[[#This Row],[Rf]])</f>
        <v>0</v>
      </c>
      <c r="T1152" s="193"/>
      <c r="U1152" s="285" t="str">
        <f>IF(Tabella1[[#This Row],[N° FantaTit]]="","",Tabella1[[#This Row],[fanta voto]])</f>
        <v/>
      </c>
      <c r="V1152" s="193">
        <f>SUM(Tabella1[[#This Row],[Voto]],(G1152*3),Q1152,P1152,O1152,-(N1152),(-M1152/2),(-L1152*2),(-H1152),(I1152*3),(-J1152*3),(K1152*3))</f>
        <v>5.5</v>
      </c>
      <c r="W1152" s="193"/>
      <c r="X1152" s="193" t="str">
        <f>IF(Tabella1[[#This Row],[Best 11]]=1,Tabella1[[#This Row],[fanta voto]],"")</f>
        <v/>
      </c>
      <c r="Z1152" s="193" t="str">
        <f>IF(Tabella1[[#This Row],[Best 11 MOD]]=1,Tabella1[[#This Row],[fanta voto]],"")</f>
        <v/>
      </c>
      <c r="AA1152" t="str">
        <f>CONCATENATE(Tabella1[[#This Row],[GG]],Tabella1[[#This Row],[Nome]])</f>
        <v>4Comert</v>
      </c>
      <c r="AB1152" t="str">
        <f t="shared" si="47"/>
        <v>4</v>
      </c>
      <c r="AC1152" t="str">
        <f>_xlfn.CONCAT(Tabella1[[#This Row],[Ruolo]],Tabella1[[#This Row],[Gs]])</f>
        <v>D0</v>
      </c>
    </row>
    <row r="1153" spans="1:29" hidden="1" x14ac:dyDescent="0.3">
      <c r="A1153" s="14">
        <v>46277</v>
      </c>
      <c r="B1153" s="15">
        <v>4</v>
      </c>
      <c r="C1153" s="321" t="str">
        <f>_xlfn.XLOOKUP(Tabella1[[#This Row],[Nome]],Tabella4[NOME],Tabella4[SQUADRA],"")</f>
        <v>Torino</v>
      </c>
      <c r="D1153" s="330" t="s">
        <v>162</v>
      </c>
      <c r="E1153" s="330" t="s">
        <v>282</v>
      </c>
      <c r="F1153" s="331">
        <v>6.5</v>
      </c>
      <c r="G1153" s="404">
        <v>0</v>
      </c>
      <c r="H1153" s="404">
        <v>0</v>
      </c>
      <c r="I1153" s="404">
        <v>0</v>
      </c>
      <c r="J1153" s="404">
        <v>0</v>
      </c>
      <c r="K1153" s="404">
        <v>0</v>
      </c>
      <c r="L1153" s="404">
        <v>0</v>
      </c>
      <c r="M1153" s="404">
        <v>0</v>
      </c>
      <c r="N1153" s="404">
        <v>0</v>
      </c>
      <c r="O1153" s="404">
        <v>0</v>
      </c>
      <c r="P1153" s="401"/>
      <c r="Q1153" s="401">
        <f t="shared" si="46"/>
        <v>0</v>
      </c>
      <c r="R1153" s="3" t="str">
        <f>_xlfn.IFNA(VLOOKUP(Tabella1[[#This Row],[Nome]],'ROSE SQUADRE'!$N$3:$O$260,2,0),"")</f>
        <v/>
      </c>
      <c r="S1153" s="193">
        <f>SUM(Tabella1[[#This Row],[Gf]],Tabella1[[#This Row],[Rf]])</f>
        <v>0</v>
      </c>
      <c r="T1153" s="193"/>
      <c r="U1153" s="285" t="str">
        <f>IF(Tabella1[[#This Row],[N° FantaTit]]="","",Tabella1[[#This Row],[fanta voto]])</f>
        <v/>
      </c>
      <c r="V1153" s="193">
        <f>SUM(Tabella1[[#This Row],[Voto]],(G1153*3),Q1153,P1153,O1153,-(N1153),(-M1153/2),(-L1153*2),(-H1153),(I1153*3),(-J1153*3),(K1153*3))</f>
        <v>6.5</v>
      </c>
      <c r="W1153" s="193"/>
      <c r="X1153" s="193" t="str">
        <f>IF(Tabella1[[#This Row],[Best 11]]=1,Tabella1[[#This Row],[fanta voto]],"")</f>
        <v/>
      </c>
      <c r="Z1153" s="193" t="str">
        <f>IF(Tabella1[[#This Row],[Best 11 MOD]]=1,Tabella1[[#This Row],[fanta voto]],"")</f>
        <v/>
      </c>
      <c r="AA1153" t="str">
        <f>CONCATENATE(Tabella1[[#This Row],[GG]],Tabella1[[#This Row],[Nome]])</f>
        <v>4Mandragora</v>
      </c>
      <c r="AB1153" t="str">
        <f t="shared" si="47"/>
        <v>4</v>
      </c>
      <c r="AC1153" t="str">
        <f>_xlfn.CONCAT(Tabella1[[#This Row],[Ruolo]],Tabella1[[#This Row],[Gs]])</f>
        <v>C0</v>
      </c>
    </row>
    <row r="1154" spans="1:29" hidden="1" x14ac:dyDescent="0.3">
      <c r="A1154" s="14">
        <v>46277</v>
      </c>
      <c r="B1154" s="15">
        <v>4</v>
      </c>
      <c r="C1154" s="321" t="str">
        <f>_xlfn.XLOOKUP(Tabella1[[#This Row],[Nome]],Tabella4[NOME],Tabella4[SQUADRA],"")</f>
        <v>Sassuolo</v>
      </c>
      <c r="D1154" t="s">
        <v>163</v>
      </c>
      <c r="E1154" t="s">
        <v>931</v>
      </c>
      <c r="F1154" s="194">
        <v>7</v>
      </c>
      <c r="G1154" s="403">
        <v>1</v>
      </c>
      <c r="H1154" s="402">
        <v>0</v>
      </c>
      <c r="I1154" s="402">
        <v>0</v>
      </c>
      <c r="J1154" s="402">
        <v>0</v>
      </c>
      <c r="K1154" s="402">
        <v>0</v>
      </c>
      <c r="L1154" s="402">
        <v>0</v>
      </c>
      <c r="M1154" s="402">
        <v>0</v>
      </c>
      <c r="N1154" s="402">
        <v>0</v>
      </c>
      <c r="O1154" s="402">
        <v>0</v>
      </c>
      <c r="P1154" s="401"/>
      <c r="Q1154" s="401">
        <f t="shared" si="46"/>
        <v>0</v>
      </c>
      <c r="R1154" s="3" t="str">
        <f>_xlfn.IFNA(VLOOKUP(Tabella1[[#This Row],[Nome]],'ROSE SQUADRE'!$N$3:$O$260,2,0),"")</f>
        <v>FC INTERNAZIOANALE</v>
      </c>
      <c r="S1154" s="193">
        <f>SUM(Tabella1[[#This Row],[Gf]],Tabella1[[#This Row],[Rf]])</f>
        <v>1</v>
      </c>
      <c r="T1154" s="193"/>
      <c r="U1154" s="285" t="str">
        <f>IF(Tabella1[[#This Row],[N° FantaTit]]="","",Tabella1[[#This Row],[fanta voto]])</f>
        <v/>
      </c>
      <c r="V1154" s="193">
        <f>SUM(Tabella1[[#This Row],[Voto]],(G1154*3),Q1154,P1154,O1154,-(N1154),(-M1154/2),(-L1154*2),(-H1154),(I1154*3),(-J1154*3),(K1154*3))</f>
        <v>10</v>
      </c>
      <c r="W1154" s="193">
        <v>1</v>
      </c>
      <c r="X1154" s="193">
        <f>IF(Tabella1[[#This Row],[Best 11]]=1,Tabella1[[#This Row],[fanta voto]],"")</f>
        <v>10</v>
      </c>
      <c r="Y1154">
        <v>1</v>
      </c>
      <c r="Z1154" s="193">
        <f>IF(Tabella1[[#This Row],[Best 11 MOD]]=1,Tabella1[[#This Row],[fanta voto]],"")</f>
        <v>10</v>
      </c>
      <c r="AA1154" t="str">
        <f>CONCATENATE(Tabella1[[#This Row],[GG]],Tabella1[[#This Row],[Nome]])</f>
        <v>4Bowie</v>
      </c>
      <c r="AB1154" t="str">
        <f t="shared" si="47"/>
        <v>4FC INTERNAZIOANALE</v>
      </c>
      <c r="AC1154" t="str">
        <f>_xlfn.CONCAT(Tabella1[[#This Row],[Ruolo]],Tabella1[[#This Row],[Gs]])</f>
        <v>A0</v>
      </c>
    </row>
    <row r="1155" spans="1:29" hidden="1" x14ac:dyDescent="0.3">
      <c r="A1155" s="14">
        <v>46277</v>
      </c>
      <c r="B1155" s="15">
        <v>4</v>
      </c>
      <c r="C1155" s="321" t="str">
        <f>_xlfn.XLOOKUP(Tabella1[[#This Row],[Nome]],Tabella4[NOME],Tabella4[SQUADRA],"")</f>
        <v>Torino</v>
      </c>
      <c r="D1155" s="330" t="s">
        <v>162</v>
      </c>
      <c r="E1155" s="330" t="s">
        <v>946</v>
      </c>
      <c r="F1155" s="331">
        <v>5.5</v>
      </c>
      <c r="G1155" s="404">
        <v>0</v>
      </c>
      <c r="H1155" s="404">
        <v>0</v>
      </c>
      <c r="I1155" s="404">
        <v>0</v>
      </c>
      <c r="J1155" s="404">
        <v>0</v>
      </c>
      <c r="K1155" s="404">
        <v>0</v>
      </c>
      <c r="L1155" s="404">
        <v>0</v>
      </c>
      <c r="M1155" s="404">
        <v>0</v>
      </c>
      <c r="N1155" s="404">
        <v>0</v>
      </c>
      <c r="O1155" s="404">
        <v>0</v>
      </c>
      <c r="P1155" s="401"/>
      <c r="Q1155" s="401">
        <f t="shared" si="46"/>
        <v>0</v>
      </c>
      <c r="R1155" s="3" t="str">
        <f>_xlfn.IFNA(VLOOKUP(Tabella1[[#This Row],[Nome]],'ROSE SQUADRE'!$N$3:$O$260,2,0),"")</f>
        <v/>
      </c>
      <c r="S1155" s="193">
        <f>SUM(Tabella1[[#This Row],[Gf]],Tabella1[[#This Row],[Rf]])</f>
        <v>0</v>
      </c>
      <c r="T1155" s="193"/>
      <c r="U1155" s="285" t="str">
        <f>IF(Tabella1[[#This Row],[N° FantaTit]]="","",Tabella1[[#This Row],[fanta voto]])</f>
        <v/>
      </c>
      <c r="V1155" s="193">
        <f>SUM(Tabella1[[#This Row],[Voto]],(G1155*3),Q1155,P1155,O1155,-(N1155),(-M1155/2),(-L1155*2),(-H1155),(I1155*3),(-J1155*3),(K1155*3))</f>
        <v>5.5</v>
      </c>
      <c r="W1155" s="193"/>
      <c r="X1155" s="193" t="str">
        <f>IF(Tabella1[[#This Row],[Best 11]]=1,Tabella1[[#This Row],[fanta voto]],"")</f>
        <v/>
      </c>
      <c r="Z1155" s="193" t="str">
        <f>IF(Tabella1[[#This Row],[Best 11 MOD]]=1,Tabella1[[#This Row],[fanta voto]],"")</f>
        <v/>
      </c>
      <c r="AA1155" t="str">
        <f>CONCATENATE(Tabella1[[#This Row],[GG]],Tabella1[[#This Row],[Nome]])</f>
        <v>4Ilkhan</v>
      </c>
      <c r="AB1155" t="str">
        <f t="shared" si="47"/>
        <v>4</v>
      </c>
      <c r="AC1155" t="str">
        <f>_xlfn.CONCAT(Tabella1[[#This Row],[Ruolo]],Tabella1[[#This Row],[Gs]])</f>
        <v>C0</v>
      </c>
    </row>
    <row r="1156" spans="1:29" hidden="1" x14ac:dyDescent="0.3">
      <c r="A1156" s="14">
        <v>46277</v>
      </c>
      <c r="B1156" s="15">
        <v>4</v>
      </c>
      <c r="C1156" s="321" t="str">
        <f>_xlfn.XLOOKUP(Tabella1[[#This Row],[Nome]],Tabella4[NOME],Tabella4[SQUADRA],"")</f>
        <v>Torino</v>
      </c>
      <c r="D1156" t="s">
        <v>162</v>
      </c>
      <c r="E1156" t="s">
        <v>945</v>
      </c>
      <c r="F1156" s="194">
        <v>6</v>
      </c>
      <c r="G1156" s="402">
        <v>0</v>
      </c>
      <c r="H1156" s="402">
        <v>0</v>
      </c>
      <c r="I1156" s="402">
        <v>0</v>
      </c>
      <c r="J1156" s="402">
        <v>0</v>
      </c>
      <c r="K1156" s="402">
        <v>0</v>
      </c>
      <c r="L1156" s="402">
        <v>0</v>
      </c>
      <c r="M1156" s="402">
        <v>0</v>
      </c>
      <c r="N1156" s="402">
        <v>0</v>
      </c>
      <c r="O1156" s="402">
        <v>0</v>
      </c>
      <c r="P1156" s="401"/>
      <c r="Q1156" s="401">
        <f t="shared" si="46"/>
        <v>0</v>
      </c>
      <c r="R1156" s="3" t="str">
        <f>_xlfn.IFNA(VLOOKUP(Tabella1[[#This Row],[Nome]],'ROSE SQUADRE'!$N$3:$O$260,2,0),"")</f>
        <v/>
      </c>
      <c r="S1156" s="193">
        <f>SUM(Tabella1[[#This Row],[Gf]],Tabella1[[#This Row],[Rf]])</f>
        <v>0</v>
      </c>
      <c r="T1156" s="193"/>
      <c r="U1156" s="285" t="str">
        <f>IF(Tabella1[[#This Row],[N° FantaTit]]="","",Tabella1[[#This Row],[fanta voto]])</f>
        <v/>
      </c>
      <c r="V1156" s="193">
        <f>SUM(Tabella1[[#This Row],[Voto]],(G1156*3),Q1156,P1156,O1156,-(N1156),(-M1156/2),(-L1156*2),(-H1156),(I1156*3),(-J1156*3),(K1156*3))</f>
        <v>6</v>
      </c>
      <c r="W1156" s="193"/>
      <c r="X1156" s="193" t="str">
        <f>IF(Tabella1[[#This Row],[Best 11]]=1,Tabella1[[#This Row],[fanta voto]],"")</f>
        <v/>
      </c>
      <c r="Z1156" s="193" t="str">
        <f>IF(Tabella1[[#This Row],[Best 11 MOD]]=1,Tabella1[[#This Row],[fanta voto]],"")</f>
        <v/>
      </c>
      <c r="AA1156" t="str">
        <f>CONCATENATE(Tabella1[[#This Row],[GG]],Tabella1[[#This Row],[Nome]])</f>
        <v>4Gineitis</v>
      </c>
      <c r="AB1156" t="str">
        <f t="shared" si="47"/>
        <v>4</v>
      </c>
      <c r="AC1156" t="str">
        <f>_xlfn.CONCAT(Tabella1[[#This Row],[Ruolo]],Tabella1[[#This Row],[Gs]])</f>
        <v>C0</v>
      </c>
    </row>
    <row r="1157" spans="1:29" x14ac:dyDescent="0.3">
      <c r="A1157" s="14">
        <v>46277</v>
      </c>
      <c r="B1157" s="15">
        <v>4</v>
      </c>
      <c r="C1157" s="321" t="str">
        <f>_xlfn.XLOOKUP(Tabella1[[#This Row],[Nome]],Tabella4[NOME],Tabella4[SQUADRA],"")</f>
        <v>Frosinone</v>
      </c>
      <c r="D1157" t="s">
        <v>163</v>
      </c>
      <c r="E1157" t="s">
        <v>747</v>
      </c>
      <c r="F1157" s="194">
        <v>7</v>
      </c>
      <c r="G1157" s="403">
        <v>1</v>
      </c>
      <c r="H1157" s="402">
        <v>0</v>
      </c>
      <c r="I1157" s="402">
        <v>0</v>
      </c>
      <c r="J1157" s="402">
        <v>0</v>
      </c>
      <c r="K1157" s="402">
        <v>0</v>
      </c>
      <c r="L1157" s="402">
        <v>0</v>
      </c>
      <c r="M1157" s="402">
        <v>0</v>
      </c>
      <c r="N1157" s="402">
        <v>0</v>
      </c>
      <c r="O1157" s="402">
        <v>0</v>
      </c>
      <c r="P1157" s="401"/>
      <c r="Q1157" s="401">
        <f t="shared" si="46"/>
        <v>0</v>
      </c>
      <c r="R1157" s="3" t="str">
        <f>_xlfn.IFNA(VLOOKUP(Tabella1[[#This Row],[Nome]],'ROSE SQUADRE'!$N$3:$O$260,2,0),"")</f>
        <v>PARTIZAN DEGRADO</v>
      </c>
      <c r="S1157" s="193">
        <f>SUM(Tabella1[[#This Row],[Gf]],Tabella1[[#This Row],[Rf]])</f>
        <v>1</v>
      </c>
      <c r="T1157" s="193">
        <v>1</v>
      </c>
      <c r="U1157" s="285">
        <f>IF(Tabella1[[#This Row],[N° FantaTit]]="","",Tabella1[[#This Row],[fanta voto]])</f>
        <v>10</v>
      </c>
      <c r="V1157" s="193">
        <f>SUM(Tabella1[[#This Row],[Voto]],(G1157*3),Q1157,P1157,O1157,-(N1157),(-M1157/2),(-L1157*2),(-H1157),(I1157*3),(-J1157*3),(K1157*3))</f>
        <v>10</v>
      </c>
      <c r="W1157" s="193">
        <v>1</v>
      </c>
      <c r="X1157" s="193">
        <f>IF(Tabella1[[#This Row],[Best 11]]=1,Tabella1[[#This Row],[fanta voto]],"")</f>
        <v>10</v>
      </c>
      <c r="Y1157">
        <v>1</v>
      </c>
      <c r="Z1157" s="193">
        <f>IF(Tabella1[[#This Row],[Best 11 MOD]]=1,Tabella1[[#This Row],[fanta voto]],"")</f>
        <v>10</v>
      </c>
      <c r="AA1157" t="str">
        <f>CONCATENATE(Tabella1[[#This Row],[GG]],Tabella1[[#This Row],[Nome]])</f>
        <v>4Kvernadze</v>
      </c>
      <c r="AB1157" t="str">
        <f t="shared" si="47"/>
        <v>4PARTIZAN DEGRADO1</v>
      </c>
      <c r="AC1157" t="str">
        <f>_xlfn.CONCAT(Tabella1[[#This Row],[Ruolo]],Tabella1[[#This Row],[Gs]])</f>
        <v>A0</v>
      </c>
    </row>
    <row r="1158" spans="1:29" hidden="1" x14ac:dyDescent="0.3">
      <c r="A1158" s="14">
        <v>46277</v>
      </c>
      <c r="B1158" s="15">
        <v>4</v>
      </c>
      <c r="C1158" s="321" t="str">
        <f>_xlfn.XLOOKUP(Tabella1[[#This Row],[Nome]],Tabella4[NOME],Tabella4[SQUADRA],"")</f>
        <v>Torino</v>
      </c>
      <c r="D1158" t="s">
        <v>162</v>
      </c>
      <c r="E1158" t="s">
        <v>944</v>
      </c>
      <c r="F1158" s="194">
        <v>5.5</v>
      </c>
      <c r="G1158" s="402">
        <v>0</v>
      </c>
      <c r="H1158" s="402">
        <v>0</v>
      </c>
      <c r="I1158" s="402">
        <v>0</v>
      </c>
      <c r="J1158" s="402">
        <v>0</v>
      </c>
      <c r="K1158" s="402">
        <v>0</v>
      </c>
      <c r="L1158" s="402">
        <v>0</v>
      </c>
      <c r="M1158" s="402">
        <v>0</v>
      </c>
      <c r="N1158" s="402">
        <v>0</v>
      </c>
      <c r="O1158" s="402">
        <v>0</v>
      </c>
      <c r="P1158" s="401"/>
      <c r="Q1158" s="401">
        <f t="shared" si="46"/>
        <v>0</v>
      </c>
      <c r="R1158" s="3" t="str">
        <f>_xlfn.IFNA(VLOOKUP(Tabella1[[#This Row],[Nome]],'ROSE SQUADRE'!$N$3:$O$260,2,0),"")</f>
        <v/>
      </c>
      <c r="S1158" s="193">
        <f>SUM(Tabella1[[#This Row],[Gf]],Tabella1[[#This Row],[Rf]])</f>
        <v>0</v>
      </c>
      <c r="T1158" s="193"/>
      <c r="U1158" s="285" t="str">
        <f>IF(Tabella1[[#This Row],[N° FantaTit]]="","",Tabella1[[#This Row],[fanta voto]])</f>
        <v/>
      </c>
      <c r="V1158" s="193">
        <f>SUM(Tabella1[[#This Row],[Voto]],(G1158*3),Q1158,P1158,O1158,-(N1158),(-M1158/2),(-L1158*2),(-H1158),(I1158*3),(-J1158*3),(K1158*3))</f>
        <v>5.5</v>
      </c>
      <c r="W1158" s="193"/>
      <c r="X1158" s="193" t="str">
        <f>IF(Tabella1[[#This Row],[Best 11]]=1,Tabella1[[#This Row],[fanta voto]],"")</f>
        <v/>
      </c>
      <c r="Z1158" s="193" t="str">
        <f>IF(Tabella1[[#This Row],[Best 11 MOD]]=1,Tabella1[[#This Row],[fanta voto]],"")</f>
        <v/>
      </c>
      <c r="AA1158" t="str">
        <f>CONCATENATE(Tabella1[[#This Row],[GG]],Tabella1[[#This Row],[Nome]])</f>
        <v>4Fitz-Jim</v>
      </c>
      <c r="AB1158" t="str">
        <f t="shared" si="47"/>
        <v>4</v>
      </c>
      <c r="AC1158" t="str">
        <f>_xlfn.CONCAT(Tabella1[[#This Row],[Ruolo]],Tabella1[[#This Row],[Gs]])</f>
        <v>C0</v>
      </c>
    </row>
    <row r="1159" spans="1:29" hidden="1" x14ac:dyDescent="0.3">
      <c r="A1159" s="14">
        <v>46277</v>
      </c>
      <c r="B1159" s="15">
        <v>4</v>
      </c>
      <c r="C1159" s="321" t="str">
        <f>_xlfn.XLOOKUP(Tabella1[[#This Row],[Nome]],Tabella4[NOME],Tabella4[SQUADRA],"")</f>
        <v>Torino</v>
      </c>
      <c r="D1159" s="330" t="s">
        <v>162</v>
      </c>
      <c r="E1159" s="330" t="s">
        <v>1058</v>
      </c>
      <c r="F1159" s="331">
        <v>6.5</v>
      </c>
      <c r="G1159" s="404">
        <v>0</v>
      </c>
      <c r="H1159" s="404">
        <v>0</v>
      </c>
      <c r="I1159" s="404">
        <v>0</v>
      </c>
      <c r="J1159" s="404">
        <v>0</v>
      </c>
      <c r="K1159" s="404">
        <v>0</v>
      </c>
      <c r="L1159" s="404">
        <v>0</v>
      </c>
      <c r="M1159" s="404">
        <v>0</v>
      </c>
      <c r="N1159" s="404">
        <v>0</v>
      </c>
      <c r="O1159" s="404">
        <v>0</v>
      </c>
      <c r="P1159" s="401"/>
      <c r="Q1159" s="401">
        <f t="shared" si="46"/>
        <v>0</v>
      </c>
      <c r="R1159" s="3" t="str">
        <f>_xlfn.IFNA(VLOOKUP(Tabella1[[#This Row],[Nome]],'ROSE SQUADRE'!$N$3:$O$260,2,0),"")</f>
        <v/>
      </c>
      <c r="S1159" s="193">
        <f>SUM(Tabella1[[#This Row],[Gf]],Tabella1[[#This Row],[Rf]])</f>
        <v>0</v>
      </c>
      <c r="T1159" s="193"/>
      <c r="U1159" s="285" t="str">
        <f>IF(Tabella1[[#This Row],[N° FantaTit]]="","",Tabella1[[#This Row],[fanta voto]])</f>
        <v/>
      </c>
      <c r="V1159" s="193">
        <f>SUM(Tabella1[[#This Row],[Voto]],(G1159*3),Q1159,P1159,O1159,-(N1159),(-M1159/2),(-L1159*2),(-H1159),(I1159*3),(-J1159*3),(K1159*3))</f>
        <v>6.5</v>
      </c>
      <c r="W1159" s="193"/>
      <c r="X1159" s="193" t="str">
        <f>IF(Tabella1[[#This Row],[Best 11]]=1,Tabella1[[#This Row],[fanta voto]],"")</f>
        <v/>
      </c>
      <c r="Z1159" s="193" t="str">
        <f>IF(Tabella1[[#This Row],[Best 11 MOD]]=1,Tabella1[[#This Row],[fanta voto]],"")</f>
        <v/>
      </c>
      <c r="AA1159" t="str">
        <f>CONCATENATE(Tabella1[[#This Row],[GG]],Tabella1[[#This Row],[Nome]])</f>
        <v>4Braganca</v>
      </c>
      <c r="AB1159" t="str">
        <f t="shared" si="47"/>
        <v>4</v>
      </c>
      <c r="AC1159" t="str">
        <f>_xlfn.CONCAT(Tabella1[[#This Row],[Ruolo]],Tabella1[[#This Row],[Gs]])</f>
        <v>C0</v>
      </c>
    </row>
    <row r="1160" spans="1:29" hidden="1" x14ac:dyDescent="0.3">
      <c r="A1160" s="14">
        <v>46277</v>
      </c>
      <c r="B1160" s="15">
        <v>4</v>
      </c>
      <c r="C1160" s="321" t="str">
        <f>_xlfn.XLOOKUP(Tabella1[[#This Row],[Nome]],Tabella4[NOME],Tabella4[SQUADRA],"")</f>
        <v>Torino</v>
      </c>
      <c r="D1160" t="s">
        <v>163</v>
      </c>
      <c r="E1160" t="s">
        <v>289</v>
      </c>
      <c r="F1160" s="194">
        <v>5.5</v>
      </c>
      <c r="G1160" s="402">
        <v>0</v>
      </c>
      <c r="H1160" s="402">
        <v>0</v>
      </c>
      <c r="I1160" s="402">
        <v>0</v>
      </c>
      <c r="J1160" s="402">
        <v>0</v>
      </c>
      <c r="K1160" s="402">
        <v>0</v>
      </c>
      <c r="L1160" s="402">
        <v>0</v>
      </c>
      <c r="M1160" s="402">
        <v>0</v>
      </c>
      <c r="N1160" s="402">
        <v>0</v>
      </c>
      <c r="O1160" s="402">
        <v>0</v>
      </c>
      <c r="P1160" s="401"/>
      <c r="Q1160" s="401">
        <f t="shared" si="46"/>
        <v>0</v>
      </c>
      <c r="R1160" s="3" t="str">
        <f>_xlfn.IFNA(VLOOKUP(Tabella1[[#This Row],[Nome]],'ROSE SQUADRE'!$N$3:$O$260,2,0),"")</f>
        <v/>
      </c>
      <c r="S1160" s="193">
        <f>SUM(Tabella1[[#This Row],[Gf]],Tabella1[[#This Row],[Rf]])</f>
        <v>0</v>
      </c>
      <c r="T1160" s="193"/>
      <c r="U1160" s="285" t="str">
        <f>IF(Tabella1[[#This Row],[N° FantaTit]]="","",Tabella1[[#This Row],[fanta voto]])</f>
        <v/>
      </c>
      <c r="V1160" s="193">
        <f>SUM(Tabella1[[#This Row],[Voto]],(G1160*3),Q1160,P1160,O1160,-(N1160),(-M1160/2),(-L1160*2),(-H1160),(I1160*3),(-J1160*3),(K1160*3))</f>
        <v>5.5</v>
      </c>
      <c r="W1160" s="193"/>
      <c r="X1160" s="193" t="str">
        <f>IF(Tabella1[[#This Row],[Best 11]]=1,Tabella1[[#This Row],[fanta voto]],"")</f>
        <v/>
      </c>
      <c r="Z1160" s="193" t="str">
        <f>IF(Tabella1[[#This Row],[Best 11 MOD]]=1,Tabella1[[#This Row],[fanta voto]],"")</f>
        <v/>
      </c>
      <c r="AA1160" t="str">
        <f>CONCATENATE(Tabella1[[#This Row],[GG]],Tabella1[[#This Row],[Nome]])</f>
        <v>4Zapata D.</v>
      </c>
      <c r="AB1160" t="str">
        <f t="shared" si="47"/>
        <v>4</v>
      </c>
      <c r="AC1160" t="str">
        <f>_xlfn.CONCAT(Tabella1[[#This Row],[Ruolo]],Tabella1[[#This Row],[Gs]])</f>
        <v>A0</v>
      </c>
    </row>
    <row r="1161" spans="1:29" hidden="1" x14ac:dyDescent="0.3">
      <c r="A1161" s="14">
        <v>46277</v>
      </c>
      <c r="B1161" s="15">
        <v>4</v>
      </c>
      <c r="C1161" s="321" t="str">
        <f>_xlfn.XLOOKUP(Tabella1[[#This Row],[Nome]],Tabella4[NOME],Tabella4[SQUADRA],"")</f>
        <v>Torino</v>
      </c>
      <c r="D1161" s="330" t="s">
        <v>163</v>
      </c>
      <c r="E1161" s="330" t="s">
        <v>345</v>
      </c>
      <c r="F1161" s="331">
        <v>5.5</v>
      </c>
      <c r="G1161" s="404">
        <v>0</v>
      </c>
      <c r="H1161" s="404">
        <v>0</v>
      </c>
      <c r="I1161" s="404">
        <v>0</v>
      </c>
      <c r="J1161" s="404">
        <v>0</v>
      </c>
      <c r="K1161" s="404">
        <v>0</v>
      </c>
      <c r="L1161" s="404">
        <v>0</v>
      </c>
      <c r="M1161" s="404">
        <v>0</v>
      </c>
      <c r="N1161" s="404">
        <v>0</v>
      </c>
      <c r="O1161" s="404">
        <v>0</v>
      </c>
      <c r="P1161" s="401"/>
      <c r="Q1161" s="401">
        <f t="shared" si="46"/>
        <v>0</v>
      </c>
      <c r="R1161" s="3" t="str">
        <f>_xlfn.IFNA(VLOOKUP(Tabella1[[#This Row],[Nome]],'ROSE SQUADRE'!$N$3:$O$260,2,0),"")</f>
        <v>AS PIPPERIA</v>
      </c>
      <c r="S1161" s="193">
        <f>SUM(Tabella1[[#This Row],[Gf]],Tabella1[[#This Row],[Rf]])</f>
        <v>0</v>
      </c>
      <c r="T1161" s="193">
        <v>1</v>
      </c>
      <c r="U1161" s="285">
        <f>IF(Tabella1[[#This Row],[N° FantaTit]]="","",Tabella1[[#This Row],[fanta voto]])</f>
        <v>5.5</v>
      </c>
      <c r="V1161" s="193">
        <f>SUM(Tabella1[[#This Row],[Voto]],(G1161*3),Q1161,P1161,O1161,-(N1161),(-M1161/2),(-L1161*2),(-H1161),(I1161*3),(-J1161*3),(K1161*3))</f>
        <v>5.5</v>
      </c>
      <c r="W1161" s="193"/>
      <c r="X1161" s="193" t="str">
        <f>IF(Tabella1[[#This Row],[Best 11]]=1,Tabella1[[#This Row],[fanta voto]],"")</f>
        <v/>
      </c>
      <c r="Z1161" s="193" t="str">
        <f>IF(Tabella1[[#This Row],[Best 11 MOD]]=1,Tabella1[[#This Row],[fanta voto]],"")</f>
        <v/>
      </c>
      <c r="AA1161" t="str">
        <f>CONCATENATE(Tabella1[[#This Row],[GG]],Tabella1[[#This Row],[Nome]])</f>
        <v>4Simeone</v>
      </c>
      <c r="AB1161" t="str">
        <f t="shared" si="47"/>
        <v>4AS PIPPERIA1</v>
      </c>
      <c r="AC1161" t="str">
        <f>_xlfn.CONCAT(Tabella1[[#This Row],[Ruolo]],Tabella1[[#This Row],[Gs]])</f>
        <v>A0</v>
      </c>
    </row>
    <row r="1162" spans="1:29" hidden="1" x14ac:dyDescent="0.3">
      <c r="A1162" s="14">
        <v>46277</v>
      </c>
      <c r="B1162" s="15">
        <v>4</v>
      </c>
      <c r="C1162" s="321" t="str">
        <f>_xlfn.XLOOKUP(Tabella1[[#This Row],[Nome]],Tabella4[NOME],Tabella4[SQUADRA],"")</f>
        <v>Parma</v>
      </c>
      <c r="D1162" t="s">
        <v>163</v>
      </c>
      <c r="E1162" t="s">
        <v>892</v>
      </c>
      <c r="F1162" s="194">
        <v>5.5</v>
      </c>
      <c r="G1162" s="402">
        <v>0</v>
      </c>
      <c r="H1162" s="402">
        <v>0</v>
      </c>
      <c r="I1162" s="402">
        <v>0</v>
      </c>
      <c r="J1162" s="402">
        <v>0</v>
      </c>
      <c r="K1162" s="402">
        <v>0</v>
      </c>
      <c r="L1162" s="402">
        <v>0</v>
      </c>
      <c r="M1162" s="402">
        <v>0</v>
      </c>
      <c r="N1162" s="402">
        <v>0</v>
      </c>
      <c r="O1162" s="402">
        <v>0</v>
      </c>
      <c r="P1162" s="401"/>
      <c r="Q1162" s="401">
        <f t="shared" si="46"/>
        <v>0</v>
      </c>
      <c r="R1162" s="3" t="str">
        <f>_xlfn.IFNA(VLOOKUP(Tabella1[[#This Row],[Nome]],'ROSE SQUADRE'!$N$3:$O$260,2,0),"")</f>
        <v>ATL. IMPROVVISATO</v>
      </c>
      <c r="S1162" s="193">
        <f>SUM(Tabella1[[#This Row],[Gf]],Tabella1[[#This Row],[Rf]])</f>
        <v>0</v>
      </c>
      <c r="T1162" s="193"/>
      <c r="U1162" s="285" t="str">
        <f>IF(Tabella1[[#This Row],[N° FantaTit]]="","",Tabella1[[#This Row],[fanta voto]])</f>
        <v/>
      </c>
      <c r="V1162" s="193">
        <f>SUM(Tabella1[[#This Row],[Voto]],(G1162*3),Q1162,P1162,O1162,-(N1162),(-M1162/2),(-L1162*2),(-H1162),(I1162*3),(-J1162*3),(K1162*3))</f>
        <v>5.5</v>
      </c>
      <c r="W1162" s="193"/>
      <c r="X1162" s="193" t="str">
        <f>IF(Tabella1[[#This Row],[Best 11]]=1,Tabella1[[#This Row],[fanta voto]],"")</f>
        <v/>
      </c>
      <c r="Z1162" s="193" t="str">
        <f>IF(Tabella1[[#This Row],[Best 11 MOD]]=1,Tabella1[[#This Row],[fanta voto]],"")</f>
        <v/>
      </c>
      <c r="AA1162" t="str">
        <f>CONCATENATE(Tabella1[[#This Row],[GG]],Tabella1[[#This Row],[Nome]])</f>
        <v>4Tourè E.</v>
      </c>
      <c r="AB1162" t="str">
        <f t="shared" si="47"/>
        <v>4ATL. IMPROVVISATO</v>
      </c>
      <c r="AC1162" t="str">
        <f>_xlfn.CONCAT(Tabella1[[#This Row],[Ruolo]],Tabella1[[#This Row],[Gs]])</f>
        <v>A0</v>
      </c>
    </row>
    <row r="1163" spans="1:29" hidden="1" x14ac:dyDescent="0.3">
      <c r="A1163" s="14">
        <v>46277</v>
      </c>
      <c r="B1163" s="15">
        <v>4</v>
      </c>
      <c r="C1163" s="321" t="str">
        <f>_xlfn.XLOOKUP(Tabella1[[#This Row],[Nome]],Tabella4[NOME],Tabella4[SQUADRA],"")</f>
        <v>Udinese</v>
      </c>
      <c r="D1163" t="s">
        <v>161</v>
      </c>
      <c r="E1163" t="s">
        <v>620</v>
      </c>
      <c r="F1163" s="194">
        <v>4.5</v>
      </c>
      <c r="G1163" s="402">
        <v>0</v>
      </c>
      <c r="H1163" s="402">
        <v>0</v>
      </c>
      <c r="I1163" s="402">
        <v>0</v>
      </c>
      <c r="J1163" s="402">
        <v>0</v>
      </c>
      <c r="K1163" s="402">
        <v>0</v>
      </c>
      <c r="L1163" s="402">
        <v>0</v>
      </c>
      <c r="M1163" s="402">
        <v>0</v>
      </c>
      <c r="N1163" s="402">
        <v>0</v>
      </c>
      <c r="O1163" s="402">
        <v>0</v>
      </c>
      <c r="P1163" s="401"/>
      <c r="Q1163" s="401">
        <f t="shared" si="46"/>
        <v>0</v>
      </c>
      <c r="R1163" s="3" t="str">
        <f>_xlfn.IFNA(VLOOKUP(Tabella1[[#This Row],[Nome]],'ROSE SQUADRE'!$N$3:$O$260,2,0),"")</f>
        <v/>
      </c>
      <c r="S1163" s="193">
        <f>SUM(Tabella1[[#This Row],[Gf]],Tabella1[[#This Row],[Rf]])</f>
        <v>0</v>
      </c>
      <c r="T1163" s="193"/>
      <c r="U1163" s="285" t="str">
        <f>IF(Tabella1[[#This Row],[N° FantaTit]]="","",Tabella1[[#This Row],[fanta voto]])</f>
        <v/>
      </c>
      <c r="V1163" s="193">
        <f>SUM(Tabella1[[#This Row],[Voto]],(G1163*3),Q1163,P1163,O1163,-(N1163),(-M1163/2),(-L1163*2),(-H1163),(I1163*3),(-J1163*3),(K1163*3))</f>
        <v>4.5</v>
      </c>
      <c r="W1163" s="193"/>
      <c r="X1163" s="193" t="str">
        <f>IF(Tabella1[[#This Row],[Best 11]]=1,Tabella1[[#This Row],[fanta voto]],"")</f>
        <v/>
      </c>
      <c r="Z1163" s="193" t="str">
        <f>IF(Tabella1[[#This Row],[Best 11 MOD]]=1,Tabella1[[#This Row],[fanta voto]],"")</f>
        <v/>
      </c>
      <c r="AA1163" t="str">
        <f>CONCATENATE(Tabella1[[#This Row],[GG]],Tabella1[[#This Row],[Nome]])</f>
        <v>4Kabasele</v>
      </c>
      <c r="AB1163" t="str">
        <f t="shared" si="47"/>
        <v>4</v>
      </c>
      <c r="AC1163" t="str">
        <f>_xlfn.CONCAT(Tabella1[[#This Row],[Ruolo]],Tabella1[[#This Row],[Gs]])</f>
        <v>D0</v>
      </c>
    </row>
    <row r="1164" spans="1:29" hidden="1" x14ac:dyDescent="0.3">
      <c r="A1164" s="14">
        <v>46277</v>
      </c>
      <c r="B1164" s="15">
        <v>4</v>
      </c>
      <c r="C1164" s="321" t="str">
        <f>_xlfn.XLOOKUP(Tabella1[[#This Row],[Nome]],Tabella4[NOME],Tabella4[SQUADRA],"")</f>
        <v>Genoa</v>
      </c>
      <c r="D1164" s="330" t="s">
        <v>163</v>
      </c>
      <c r="E1164" s="330" t="s">
        <v>227</v>
      </c>
      <c r="F1164" s="331">
        <v>5</v>
      </c>
      <c r="G1164" s="404">
        <v>0</v>
      </c>
      <c r="H1164" s="404">
        <v>0</v>
      </c>
      <c r="I1164" s="404">
        <v>0</v>
      </c>
      <c r="J1164" s="405">
        <v>1</v>
      </c>
      <c r="K1164" s="404">
        <v>0</v>
      </c>
      <c r="L1164" s="404">
        <v>0</v>
      </c>
      <c r="M1164" s="404">
        <v>0</v>
      </c>
      <c r="N1164" s="404">
        <v>0</v>
      </c>
      <c r="O1164" s="404">
        <v>0</v>
      </c>
      <c r="P1164" s="401"/>
      <c r="Q1164" s="401">
        <f t="shared" si="46"/>
        <v>0</v>
      </c>
      <c r="R1164" s="3" t="str">
        <f>_xlfn.IFNA(VLOOKUP(Tabella1[[#This Row],[Nome]],'ROSE SQUADRE'!$N$3:$O$260,2,0),"")</f>
        <v>PARTIZAN DEGRADO</v>
      </c>
      <c r="S1164" s="193">
        <f>SUM(Tabella1[[#This Row],[Gf]],Tabella1[[#This Row],[Rf]])</f>
        <v>0</v>
      </c>
      <c r="T1164" s="193">
        <v>1</v>
      </c>
      <c r="U1164" s="285">
        <f>IF(Tabella1[[#This Row],[N° FantaTit]]="","",Tabella1[[#This Row],[fanta voto]])</f>
        <v>2</v>
      </c>
      <c r="V1164" s="193">
        <f>SUM(Tabella1[[#This Row],[Voto]],(G1164*3),Q1164,P1164,O1164,-(N1164),(-M1164/2),(-L1164*2),(-H1164),(I1164*3),(-J1164*3),(K1164*3))</f>
        <v>2</v>
      </c>
      <c r="W1164" s="193"/>
      <c r="X1164" s="193" t="str">
        <f>IF(Tabella1[[#This Row],[Best 11]]=1,Tabella1[[#This Row],[fanta voto]],"")</f>
        <v/>
      </c>
      <c r="Z1164" s="193" t="str">
        <f>IF(Tabella1[[#This Row],[Best 11 MOD]]=1,Tabella1[[#This Row],[fanta voto]],"")</f>
        <v/>
      </c>
      <c r="AA1164" t="str">
        <f>CONCATENATE(Tabella1[[#This Row],[GG]],Tabella1[[#This Row],[Nome]])</f>
        <v>4Colombo</v>
      </c>
      <c r="AB1164" t="str">
        <f t="shared" si="47"/>
        <v>4PARTIZAN DEGRADO1</v>
      </c>
      <c r="AC1164" t="str">
        <f>_xlfn.CONCAT(Tabella1[[#This Row],[Ruolo]],Tabella1[[#This Row],[Gs]])</f>
        <v>A0</v>
      </c>
    </row>
    <row r="1165" spans="1:29" hidden="1" x14ac:dyDescent="0.3">
      <c r="A1165" s="14">
        <v>46277</v>
      </c>
      <c r="B1165" s="15">
        <v>4</v>
      </c>
      <c r="C1165" s="321" t="str">
        <f>_xlfn.XLOOKUP(Tabella1[[#This Row],[Nome]],Tabella4[NOME],Tabella4[SQUADRA],"")</f>
        <v>Parma</v>
      </c>
      <c r="D1165" t="s">
        <v>163</v>
      </c>
      <c r="E1165" t="s">
        <v>888</v>
      </c>
      <c r="F1165" s="194">
        <v>5.5</v>
      </c>
      <c r="G1165" s="402">
        <v>0</v>
      </c>
      <c r="H1165" s="402">
        <v>0</v>
      </c>
      <c r="I1165" s="402">
        <v>0</v>
      </c>
      <c r="J1165" s="402">
        <v>0</v>
      </c>
      <c r="K1165" s="402">
        <v>0</v>
      </c>
      <c r="L1165" s="402">
        <v>0</v>
      </c>
      <c r="M1165" s="402">
        <v>0</v>
      </c>
      <c r="N1165" s="402">
        <v>0</v>
      </c>
      <c r="O1165" s="402">
        <v>0</v>
      </c>
      <c r="P1165" s="401"/>
      <c r="Q1165" s="401">
        <f t="shared" si="46"/>
        <v>0</v>
      </c>
      <c r="R1165" s="3" t="str">
        <f>_xlfn.IFNA(VLOOKUP(Tabella1[[#This Row],[Nome]],'ROSE SQUADRE'!$N$3:$O$260,2,0),"")</f>
        <v>TRICCHETRACHT</v>
      </c>
      <c r="S1165" s="193">
        <f>SUM(Tabella1[[#This Row],[Gf]],Tabella1[[#This Row],[Rf]])</f>
        <v>0</v>
      </c>
      <c r="T1165" s="193"/>
      <c r="U1165" s="285" t="str">
        <f>IF(Tabella1[[#This Row],[N° FantaTit]]="","",Tabella1[[#This Row],[fanta voto]])</f>
        <v/>
      </c>
      <c r="V1165" s="193">
        <f>SUM(Tabella1[[#This Row],[Voto]],(G1165*3),Q1165,P1165,O1165,-(N1165),(-M1165/2),(-L1165*2),(-H1165),(I1165*3),(-J1165*3),(K1165*3))</f>
        <v>5.5</v>
      </c>
      <c r="W1165" s="193"/>
      <c r="X1165" s="193" t="str">
        <f>IF(Tabella1[[#This Row],[Best 11]]=1,Tabella1[[#This Row],[fanta voto]],"")</f>
        <v/>
      </c>
      <c r="Z1165" s="193" t="str">
        <f>IF(Tabella1[[#This Row],[Best 11 MOD]]=1,Tabella1[[#This Row],[fanta voto]],"")</f>
        <v/>
      </c>
      <c r="AA1165" t="str">
        <f>CONCATENATE(Tabella1[[#This Row],[GG]],Tabella1[[#This Row],[Nome]])</f>
        <v>4Elphege</v>
      </c>
      <c r="AB1165" t="str">
        <f t="shared" si="47"/>
        <v>4TRICCHETRACHT</v>
      </c>
      <c r="AC1165" t="str">
        <f>_xlfn.CONCAT(Tabella1[[#This Row],[Ruolo]],Tabella1[[#This Row],[Gs]])</f>
        <v>A0</v>
      </c>
    </row>
    <row r="1166" spans="1:29" hidden="1" x14ac:dyDescent="0.3">
      <c r="A1166" s="14">
        <v>46277</v>
      </c>
      <c r="B1166" s="15">
        <v>4</v>
      </c>
      <c r="C1166" s="321" t="str">
        <f>_xlfn.XLOOKUP(Tabella1[[#This Row],[Nome]],Tabella4[NOME],Tabella4[SQUADRA],"")</f>
        <v>Udinese</v>
      </c>
      <c r="D1166" s="330" t="s">
        <v>161</v>
      </c>
      <c r="E1166" s="330" t="s">
        <v>955</v>
      </c>
      <c r="F1166" s="331">
        <v>5.5</v>
      </c>
      <c r="G1166" s="404">
        <v>0</v>
      </c>
      <c r="H1166" s="404">
        <v>0</v>
      </c>
      <c r="I1166" s="404">
        <v>0</v>
      </c>
      <c r="J1166" s="404">
        <v>0</v>
      </c>
      <c r="K1166" s="404">
        <v>0</v>
      </c>
      <c r="L1166" s="404">
        <v>0</v>
      </c>
      <c r="M1166" s="404">
        <v>0</v>
      </c>
      <c r="N1166" s="404">
        <v>0</v>
      </c>
      <c r="O1166" s="404">
        <v>0</v>
      </c>
      <c r="P1166" s="401"/>
      <c r="Q1166" s="401">
        <f t="shared" si="46"/>
        <v>0</v>
      </c>
      <c r="R1166" s="3" t="str">
        <f>_xlfn.IFNA(VLOOKUP(Tabella1[[#This Row],[Nome]],'ROSE SQUADRE'!$N$3:$O$260,2,0),"")</f>
        <v/>
      </c>
      <c r="S1166" s="193">
        <f>SUM(Tabella1[[#This Row],[Gf]],Tabella1[[#This Row],[Rf]])</f>
        <v>0</v>
      </c>
      <c r="T1166" s="193"/>
      <c r="U1166" s="285" t="str">
        <f>IF(Tabella1[[#This Row],[N° FantaTit]]="","",Tabella1[[#This Row],[fanta voto]])</f>
        <v/>
      </c>
      <c r="V1166" s="193">
        <f>SUM(Tabella1[[#This Row],[Voto]],(G1166*3),Q1166,P1166,O1166,-(N1166),(-M1166/2),(-L1166*2),(-H1166),(I1166*3),(-J1166*3),(K1166*3))</f>
        <v>5.5</v>
      </c>
      <c r="W1166" s="193"/>
      <c r="X1166" s="193" t="str">
        <f>IF(Tabella1[[#This Row],[Best 11]]=1,Tabella1[[#This Row],[fanta voto]],"")</f>
        <v/>
      </c>
      <c r="Z1166" s="193" t="str">
        <f>IF(Tabella1[[#This Row],[Best 11 MOD]]=1,Tabella1[[#This Row],[fanta voto]],"")</f>
        <v/>
      </c>
      <c r="AA1166" t="str">
        <f>CONCATENATE(Tabella1[[#This Row],[GG]],Tabella1[[#This Row],[Nome]])</f>
        <v>4Bertola</v>
      </c>
      <c r="AB1166" t="str">
        <f t="shared" si="47"/>
        <v>4</v>
      </c>
      <c r="AC1166" t="str">
        <f>_xlfn.CONCAT(Tabella1[[#This Row],[Ruolo]],Tabella1[[#This Row],[Gs]])</f>
        <v>D0</v>
      </c>
    </row>
    <row r="1167" spans="1:29" hidden="1" x14ac:dyDescent="0.3">
      <c r="A1167" s="14">
        <v>46277</v>
      </c>
      <c r="B1167" s="15">
        <v>4</v>
      </c>
      <c r="C1167" s="321" t="str">
        <f>_xlfn.XLOOKUP(Tabella1[[#This Row],[Nome]],Tabella4[NOME],Tabella4[SQUADRA],"")</f>
        <v>Udinese</v>
      </c>
      <c r="D1167" t="s">
        <v>161</v>
      </c>
      <c r="E1167" t="s">
        <v>956</v>
      </c>
      <c r="F1167" s="194">
        <v>5</v>
      </c>
      <c r="G1167" s="402">
        <v>0</v>
      </c>
      <c r="H1167" s="402">
        <v>0</v>
      </c>
      <c r="I1167" s="402">
        <v>0</v>
      </c>
      <c r="J1167" s="402">
        <v>0</v>
      </c>
      <c r="K1167" s="402">
        <v>0</v>
      </c>
      <c r="L1167" s="402">
        <v>0</v>
      </c>
      <c r="M1167" s="402">
        <v>0</v>
      </c>
      <c r="N1167" s="402">
        <v>0</v>
      </c>
      <c r="O1167" s="402">
        <v>0</v>
      </c>
      <c r="P1167" s="401"/>
      <c r="Q1167" s="401">
        <f t="shared" si="46"/>
        <v>0</v>
      </c>
      <c r="R1167" s="3" t="str">
        <f>_xlfn.IFNA(VLOOKUP(Tabella1[[#This Row],[Nome]],'ROSE SQUADRE'!$N$3:$O$260,2,0),"")</f>
        <v/>
      </c>
      <c r="S1167" s="193">
        <f>SUM(Tabella1[[#This Row],[Gf]],Tabella1[[#This Row],[Rf]])</f>
        <v>0</v>
      </c>
      <c r="T1167" s="193"/>
      <c r="U1167" s="285" t="str">
        <f>IF(Tabella1[[#This Row],[N° FantaTit]]="","",Tabella1[[#This Row],[fanta voto]])</f>
        <v/>
      </c>
      <c r="V1167" s="193">
        <f>SUM(Tabella1[[#This Row],[Voto]],(G1167*3),Q1167,P1167,O1167,-(N1167),(-M1167/2),(-L1167*2),(-H1167),(I1167*3),(-J1167*3),(K1167*3))</f>
        <v>5</v>
      </c>
      <c r="W1167" s="193"/>
      <c r="X1167" s="193" t="str">
        <f>IF(Tabella1[[#This Row],[Best 11]]=1,Tabella1[[#This Row],[fanta voto]],"")</f>
        <v/>
      </c>
      <c r="Z1167" s="193" t="str">
        <f>IF(Tabella1[[#This Row],[Best 11 MOD]]=1,Tabella1[[#This Row],[fanta voto]],"")</f>
        <v/>
      </c>
      <c r="AA1167" t="str">
        <f>CONCATENATE(Tabella1[[#This Row],[GG]],Tabella1[[#This Row],[Nome]])</f>
        <v>4Ebosse</v>
      </c>
      <c r="AB1167" t="str">
        <f t="shared" si="47"/>
        <v>4</v>
      </c>
      <c r="AC1167" t="str">
        <f>_xlfn.CONCAT(Tabella1[[#This Row],[Ruolo]],Tabella1[[#This Row],[Gs]])</f>
        <v>D0</v>
      </c>
    </row>
    <row r="1168" spans="1:29" hidden="1" x14ac:dyDescent="0.3">
      <c r="A1168" s="14">
        <v>46277</v>
      </c>
      <c r="B1168" s="15">
        <v>4</v>
      </c>
      <c r="C1168" s="321" t="str">
        <f>_xlfn.XLOOKUP(Tabella1[[#This Row],[Nome]],Tabella4[NOME],Tabella4[SQUADRA],"")</f>
        <v>Udinese</v>
      </c>
      <c r="D1168" s="330" t="s">
        <v>161</v>
      </c>
      <c r="E1168" s="330" t="s">
        <v>953</v>
      </c>
      <c r="F1168" s="331">
        <v>6</v>
      </c>
      <c r="G1168" s="405">
        <v>1</v>
      </c>
      <c r="H1168" s="404">
        <v>0</v>
      </c>
      <c r="I1168" s="404">
        <v>0</v>
      </c>
      <c r="J1168" s="404">
        <v>0</v>
      </c>
      <c r="K1168" s="404">
        <v>0</v>
      </c>
      <c r="L1168" s="404">
        <v>0</v>
      </c>
      <c r="M1168" s="404">
        <v>0</v>
      </c>
      <c r="N1168" s="404">
        <v>0</v>
      </c>
      <c r="O1168" s="404">
        <v>0</v>
      </c>
      <c r="P1168" s="401"/>
      <c r="Q1168" s="401">
        <f t="shared" si="46"/>
        <v>0</v>
      </c>
      <c r="R1168" s="3" t="str">
        <f>_xlfn.IFNA(VLOOKUP(Tabella1[[#This Row],[Nome]],'ROSE SQUADRE'!$N$3:$O$260,2,0),"")</f>
        <v/>
      </c>
      <c r="S1168" s="193">
        <f>SUM(Tabella1[[#This Row],[Gf]],Tabella1[[#This Row],[Rf]])</f>
        <v>1</v>
      </c>
      <c r="T1168" s="193"/>
      <c r="U1168" s="285" t="str">
        <f>IF(Tabella1[[#This Row],[N° FantaTit]]="","",Tabella1[[#This Row],[fanta voto]])</f>
        <v/>
      </c>
      <c r="V1168" s="193">
        <f>SUM(Tabella1[[#This Row],[Voto]],(G1168*3),Q1168,P1168,O1168,-(N1168),(-M1168/2),(-L1168*2),(-H1168),(I1168*3),(-J1168*3),(K1168*3))</f>
        <v>9</v>
      </c>
      <c r="W1168" s="193"/>
      <c r="X1168" s="193" t="str">
        <f>IF(Tabella1[[#This Row],[Best 11]]=1,Tabella1[[#This Row],[fanta voto]],"")</f>
        <v/>
      </c>
      <c r="Z1168" s="193" t="str">
        <f>IF(Tabella1[[#This Row],[Best 11 MOD]]=1,Tabella1[[#This Row],[fanta voto]],"")</f>
        <v/>
      </c>
      <c r="AA1168" t="str">
        <f>CONCATENATE(Tabella1[[#This Row],[GG]],Tabella1[[#This Row],[Nome]])</f>
        <v>4Abankwah</v>
      </c>
      <c r="AB1168" t="str">
        <f t="shared" si="47"/>
        <v>4</v>
      </c>
      <c r="AC1168" t="str">
        <f>_xlfn.CONCAT(Tabella1[[#This Row],[Ruolo]],Tabella1[[#This Row],[Gs]])</f>
        <v>D0</v>
      </c>
    </row>
    <row r="1169" spans="1:29" x14ac:dyDescent="0.3">
      <c r="A1169" s="14">
        <v>46277</v>
      </c>
      <c r="B1169" s="15">
        <v>4</v>
      </c>
      <c r="C1169" s="321" t="str">
        <f>_xlfn.XLOOKUP(Tabella1[[#This Row],[Nome]],Tabella4[NOME],Tabella4[SQUADRA],"")</f>
        <v>Cagliari</v>
      </c>
      <c r="D1169" t="s">
        <v>163</v>
      </c>
      <c r="E1169" t="s">
        <v>525</v>
      </c>
      <c r="F1169" s="194">
        <v>7.5</v>
      </c>
      <c r="G1169" s="403">
        <v>1</v>
      </c>
      <c r="H1169" s="402">
        <v>0</v>
      </c>
      <c r="I1169" s="402">
        <v>0</v>
      </c>
      <c r="J1169" s="402">
        <v>0</v>
      </c>
      <c r="K1169" s="402">
        <v>0</v>
      </c>
      <c r="L1169" s="402">
        <v>0</v>
      </c>
      <c r="M1169" s="402">
        <v>0</v>
      </c>
      <c r="N1169" s="402">
        <v>0</v>
      </c>
      <c r="O1169" s="402">
        <v>0</v>
      </c>
      <c r="P1169" s="401"/>
      <c r="Q1169" s="401">
        <f t="shared" si="46"/>
        <v>0</v>
      </c>
      <c r="R1169" s="3" t="str">
        <f>_xlfn.IFNA(VLOOKUP(Tabella1[[#This Row],[Nome]],'ROSE SQUADRE'!$N$3:$O$260,2,0),"")</f>
        <v>SHARK</v>
      </c>
      <c r="S1169" s="193">
        <f>SUM(Tabella1[[#This Row],[Gf]],Tabella1[[#This Row],[Rf]])</f>
        <v>1</v>
      </c>
      <c r="T1169" s="193">
        <v>1</v>
      </c>
      <c r="U1169" s="285">
        <f>IF(Tabella1[[#This Row],[N° FantaTit]]="","",Tabella1[[#This Row],[fanta voto]])</f>
        <v>10.5</v>
      </c>
      <c r="V1169" s="193">
        <f>SUM(Tabella1[[#This Row],[Voto]],(G1169*3),Q1169,P1169,O1169,-(N1169),(-M1169/2),(-L1169*2),(-H1169),(I1169*3),(-J1169*3),(K1169*3))</f>
        <v>10.5</v>
      </c>
      <c r="W1169" s="193">
        <v>1</v>
      </c>
      <c r="X1169" s="193">
        <f>IF(Tabella1[[#This Row],[Best 11]]=1,Tabella1[[#This Row],[fanta voto]],"")</f>
        <v>10.5</v>
      </c>
      <c r="Y1169">
        <v>1</v>
      </c>
      <c r="Z1169" s="193">
        <f>IF(Tabella1[[#This Row],[Best 11 MOD]]=1,Tabella1[[#This Row],[fanta voto]],"")</f>
        <v>10.5</v>
      </c>
      <c r="AA1169" t="str">
        <f>CONCATENATE(Tabella1[[#This Row],[GG]],Tabella1[[#This Row],[Nome]])</f>
        <v>4Esposito Se.</v>
      </c>
      <c r="AB1169" t="str">
        <f t="shared" si="47"/>
        <v>4SHARK1</v>
      </c>
      <c r="AC1169" t="str">
        <f>_xlfn.CONCAT(Tabella1[[#This Row],[Ruolo]],Tabella1[[#This Row],[Gs]])</f>
        <v>A0</v>
      </c>
    </row>
    <row r="1170" spans="1:29" hidden="1" x14ac:dyDescent="0.3">
      <c r="A1170" s="14">
        <v>46277</v>
      </c>
      <c r="B1170" s="15">
        <v>4</v>
      </c>
      <c r="C1170" s="321" t="str">
        <f>_xlfn.XLOOKUP(Tabella1[[#This Row],[Nome]],Tabella4[NOME],Tabella4[SQUADRA],"")</f>
        <v>Sassuolo</v>
      </c>
      <c r="D1170" s="330" t="s">
        <v>163</v>
      </c>
      <c r="E1170" s="330" t="s">
        <v>930</v>
      </c>
      <c r="F1170" s="331">
        <v>5.5</v>
      </c>
      <c r="G1170" s="404">
        <v>0</v>
      </c>
      <c r="H1170" s="404">
        <v>0</v>
      </c>
      <c r="I1170" s="404">
        <v>0</v>
      </c>
      <c r="J1170" s="404">
        <v>0</v>
      </c>
      <c r="K1170" s="404">
        <v>0</v>
      </c>
      <c r="L1170" s="404">
        <v>0</v>
      </c>
      <c r="M1170" s="404">
        <v>0</v>
      </c>
      <c r="N1170" s="404">
        <v>0</v>
      </c>
      <c r="O1170" s="404">
        <v>0</v>
      </c>
      <c r="P1170" s="401"/>
      <c r="Q1170" s="401">
        <f t="shared" si="46"/>
        <v>0</v>
      </c>
      <c r="R1170" s="3" t="str">
        <f>_xlfn.IFNA(VLOOKUP(Tabella1[[#This Row],[Nome]],'ROSE SQUADRE'!$N$3:$O$260,2,0),"")</f>
        <v>PARTIZAN DEGRADO</v>
      </c>
      <c r="S1170" s="193">
        <f>SUM(Tabella1[[#This Row],[Gf]],Tabella1[[#This Row],[Rf]])</f>
        <v>0</v>
      </c>
      <c r="T1170" s="193">
        <v>1</v>
      </c>
      <c r="U1170" s="285">
        <f>IF(Tabella1[[#This Row],[N° FantaTit]]="","",Tabella1[[#This Row],[fanta voto]])</f>
        <v>5.5</v>
      </c>
      <c r="V1170" s="193">
        <f>SUM(Tabella1[[#This Row],[Voto]],(G1170*3),Q1170,P1170,O1170,-(N1170),(-M1170/2),(-L1170*2),(-H1170),(I1170*3),(-J1170*3),(K1170*3))</f>
        <v>5.5</v>
      </c>
      <c r="W1170" s="193"/>
      <c r="X1170" s="193" t="str">
        <f>IF(Tabella1[[#This Row],[Best 11]]=1,Tabella1[[#This Row],[fanta voto]],"")</f>
        <v/>
      </c>
      <c r="Z1170" s="193" t="str">
        <f>IF(Tabella1[[#This Row],[Best 11 MOD]]=1,Tabella1[[#This Row],[fanta voto]],"")</f>
        <v/>
      </c>
      <c r="AA1170" t="str">
        <f>CONCATENATE(Tabella1[[#This Row],[GG]],Tabella1[[#This Row],[Nome]])</f>
        <v>4Berardi</v>
      </c>
      <c r="AB1170" t="str">
        <f t="shared" si="47"/>
        <v>4PARTIZAN DEGRADO1</v>
      </c>
      <c r="AC1170" t="str">
        <f>_xlfn.CONCAT(Tabella1[[#This Row],[Ruolo]],Tabella1[[#This Row],[Gs]])</f>
        <v>A0</v>
      </c>
    </row>
    <row r="1171" spans="1:29" hidden="1" x14ac:dyDescent="0.3">
      <c r="A1171" s="14">
        <v>46277</v>
      </c>
      <c r="B1171" s="15">
        <v>4</v>
      </c>
      <c r="C1171" s="321" t="str">
        <f>_xlfn.XLOOKUP(Tabella1[[#This Row],[Nome]],Tabella4[NOME],Tabella4[SQUADRA],"")</f>
        <v>Udinese</v>
      </c>
      <c r="D1171" s="330" t="s">
        <v>162</v>
      </c>
      <c r="E1171" s="330" t="s">
        <v>963</v>
      </c>
      <c r="F1171" s="331">
        <v>6</v>
      </c>
      <c r="G1171" s="404">
        <v>0</v>
      </c>
      <c r="H1171" s="404">
        <v>0</v>
      </c>
      <c r="I1171" s="404">
        <v>0</v>
      </c>
      <c r="J1171" s="404">
        <v>0</v>
      </c>
      <c r="K1171" s="404">
        <v>0</v>
      </c>
      <c r="L1171" s="404">
        <v>0</v>
      </c>
      <c r="M1171" s="404">
        <v>0</v>
      </c>
      <c r="N1171" s="404">
        <v>0</v>
      </c>
      <c r="O1171" s="405">
        <v>1</v>
      </c>
      <c r="P1171" s="401"/>
      <c r="Q1171" s="401">
        <f t="shared" si="46"/>
        <v>0</v>
      </c>
      <c r="R1171" s="3" t="str">
        <f>_xlfn.IFNA(VLOOKUP(Tabella1[[#This Row],[Nome]],'ROSE SQUADRE'!$N$3:$O$260,2,0),"")</f>
        <v/>
      </c>
      <c r="S1171" s="193">
        <f>SUM(Tabella1[[#This Row],[Gf]],Tabella1[[#This Row],[Rf]])</f>
        <v>0</v>
      </c>
      <c r="T1171" s="193"/>
      <c r="U1171" s="285" t="str">
        <f>IF(Tabella1[[#This Row],[N° FantaTit]]="","",Tabella1[[#This Row],[fanta voto]])</f>
        <v/>
      </c>
      <c r="V1171" s="193">
        <f>SUM(Tabella1[[#This Row],[Voto]],(G1171*3),Q1171,P1171,O1171,-(N1171),(-M1171/2),(-L1171*2),(-H1171),(I1171*3),(-J1171*3),(K1171*3))</f>
        <v>7</v>
      </c>
      <c r="W1171" s="193"/>
      <c r="X1171" s="193" t="str">
        <f>IF(Tabella1[[#This Row],[Best 11]]=1,Tabella1[[#This Row],[fanta voto]],"")</f>
        <v/>
      </c>
      <c r="Z1171" s="193" t="str">
        <f>IF(Tabella1[[#This Row],[Best 11 MOD]]=1,Tabella1[[#This Row],[fanta voto]],"")</f>
        <v/>
      </c>
      <c r="AA1171" t="str">
        <f>CONCATENATE(Tabella1[[#This Row],[GG]],Tabella1[[#This Row],[Nome]])</f>
        <v>4Unai Gomez</v>
      </c>
      <c r="AB1171" t="str">
        <f t="shared" si="47"/>
        <v>4</v>
      </c>
      <c r="AC1171" t="str">
        <f>_xlfn.CONCAT(Tabella1[[#This Row],[Ruolo]],Tabella1[[#This Row],[Gs]])</f>
        <v>C0</v>
      </c>
    </row>
    <row r="1172" spans="1:29" hidden="1" x14ac:dyDescent="0.3">
      <c r="A1172" s="14">
        <v>46277</v>
      </c>
      <c r="B1172" s="15">
        <v>4</v>
      </c>
      <c r="C1172" s="321" t="str">
        <f>_xlfn.XLOOKUP(Tabella1[[#This Row],[Nome]],Tabella4[NOME],Tabella4[SQUADRA],"")</f>
        <v>Udinese</v>
      </c>
      <c r="D1172" t="s">
        <v>162</v>
      </c>
      <c r="E1172" t="s">
        <v>961</v>
      </c>
      <c r="F1172" s="194">
        <v>5.5</v>
      </c>
      <c r="G1172" s="402">
        <v>0</v>
      </c>
      <c r="H1172" s="402">
        <v>0</v>
      </c>
      <c r="I1172" s="402">
        <v>0</v>
      </c>
      <c r="J1172" s="402">
        <v>0</v>
      </c>
      <c r="K1172" s="402">
        <v>0</v>
      </c>
      <c r="L1172" s="402">
        <v>0</v>
      </c>
      <c r="M1172" s="402">
        <v>0</v>
      </c>
      <c r="N1172" s="402">
        <v>0</v>
      </c>
      <c r="O1172" s="402">
        <v>0</v>
      </c>
      <c r="P1172" s="401"/>
      <c r="Q1172" s="401">
        <f t="shared" si="46"/>
        <v>0</v>
      </c>
      <c r="R1172" s="3" t="str">
        <f>_xlfn.IFNA(VLOOKUP(Tabella1[[#This Row],[Nome]],'ROSE SQUADRE'!$N$3:$O$260,2,0),"")</f>
        <v/>
      </c>
      <c r="S1172" s="193">
        <f>SUM(Tabella1[[#This Row],[Gf]],Tabella1[[#This Row],[Rf]])</f>
        <v>0</v>
      </c>
      <c r="T1172" s="193"/>
      <c r="U1172" s="285" t="str">
        <f>IF(Tabella1[[#This Row],[N° FantaTit]]="","",Tabella1[[#This Row],[fanta voto]])</f>
        <v/>
      </c>
      <c r="V1172" s="193">
        <f>SUM(Tabella1[[#This Row],[Voto]],(G1172*3),Q1172,P1172,O1172,-(N1172),(-M1172/2),(-L1172*2),(-H1172),(I1172*3),(-J1172*3),(K1172*3))</f>
        <v>5.5</v>
      </c>
      <c r="W1172" s="193"/>
      <c r="X1172" s="193" t="str">
        <f>IF(Tabella1[[#This Row],[Best 11]]=1,Tabella1[[#This Row],[fanta voto]],"")</f>
        <v/>
      </c>
      <c r="Z1172" s="193" t="str">
        <f>IF(Tabella1[[#This Row],[Best 11 MOD]]=1,Tabella1[[#This Row],[fanta voto]],"")</f>
        <v/>
      </c>
      <c r="AA1172" t="str">
        <f>CONCATENATE(Tabella1[[#This Row],[GG]],Tabella1[[#This Row],[Nome]])</f>
        <v>4Miller L.</v>
      </c>
      <c r="AB1172" t="str">
        <f t="shared" si="47"/>
        <v>4</v>
      </c>
      <c r="AC1172" t="str">
        <f>_xlfn.CONCAT(Tabella1[[#This Row],[Ruolo]],Tabella1[[#This Row],[Gs]])</f>
        <v>C0</v>
      </c>
    </row>
    <row r="1173" spans="1:29" hidden="1" x14ac:dyDescent="0.3">
      <c r="A1173" s="14">
        <v>46277</v>
      </c>
      <c r="B1173" s="15">
        <v>4</v>
      </c>
      <c r="C1173" s="321" t="str">
        <f>_xlfn.XLOOKUP(Tabella1[[#This Row],[Nome]],Tabella4[NOME],Tabella4[SQUADRA],"")</f>
        <v>Udinese</v>
      </c>
      <c r="D1173" s="330" t="s">
        <v>162</v>
      </c>
      <c r="E1173" s="330" t="s">
        <v>960</v>
      </c>
      <c r="F1173" s="331">
        <v>5.5</v>
      </c>
      <c r="G1173" s="404">
        <v>0</v>
      </c>
      <c r="H1173" s="404">
        <v>0</v>
      </c>
      <c r="I1173" s="404">
        <v>0</v>
      </c>
      <c r="J1173" s="404">
        <v>0</v>
      </c>
      <c r="K1173" s="404">
        <v>0</v>
      </c>
      <c r="L1173" s="404">
        <v>0</v>
      </c>
      <c r="M1173" s="404">
        <v>0</v>
      </c>
      <c r="N1173" s="404">
        <v>0</v>
      </c>
      <c r="O1173" s="404">
        <v>0</v>
      </c>
      <c r="P1173" s="401"/>
      <c r="Q1173" s="401">
        <f t="shared" si="46"/>
        <v>0</v>
      </c>
      <c r="R1173" s="3" t="str">
        <f>_xlfn.IFNA(VLOOKUP(Tabella1[[#This Row],[Nome]],'ROSE SQUADRE'!$N$3:$O$260,2,0),"")</f>
        <v/>
      </c>
      <c r="S1173" s="193">
        <f>SUM(Tabella1[[#This Row],[Gf]],Tabella1[[#This Row],[Rf]])</f>
        <v>0</v>
      </c>
      <c r="T1173" s="193"/>
      <c r="U1173" s="285" t="str">
        <f>IF(Tabella1[[#This Row],[N° FantaTit]]="","",Tabella1[[#This Row],[fanta voto]])</f>
        <v/>
      </c>
      <c r="V1173" s="193">
        <f>SUM(Tabella1[[#This Row],[Voto]],(G1173*3),Q1173,P1173,O1173,-(N1173),(-M1173/2),(-L1173*2),(-H1173),(I1173*3),(-J1173*3),(K1173*3))</f>
        <v>5.5</v>
      </c>
      <c r="W1173" s="193"/>
      <c r="X1173" s="193" t="str">
        <f>IF(Tabella1[[#This Row],[Best 11]]=1,Tabella1[[#This Row],[fanta voto]],"")</f>
        <v/>
      </c>
      <c r="Z1173" s="193" t="str">
        <f>IF(Tabella1[[#This Row],[Best 11 MOD]]=1,Tabella1[[#This Row],[fanta voto]],"")</f>
        <v/>
      </c>
      <c r="AA1173" t="str">
        <f>CONCATENATE(Tabella1[[#This Row],[GG]],Tabella1[[#This Row],[Nome]])</f>
        <v>4Chakvetadze</v>
      </c>
      <c r="AB1173" t="str">
        <f t="shared" si="47"/>
        <v>4</v>
      </c>
      <c r="AC1173" t="str">
        <f>_xlfn.CONCAT(Tabella1[[#This Row],[Ruolo]],Tabella1[[#This Row],[Gs]])</f>
        <v>C0</v>
      </c>
    </row>
    <row r="1174" spans="1:29" hidden="1" x14ac:dyDescent="0.3">
      <c r="A1174" s="14">
        <v>46277</v>
      </c>
      <c r="B1174" s="15">
        <v>4</v>
      </c>
      <c r="C1174" s="321" t="str">
        <f>_xlfn.XLOOKUP(Tabella1[[#This Row],[Nome]],Tabella4[NOME],Tabella4[SQUADRA],"")</f>
        <v>Udinese</v>
      </c>
      <c r="D1174" t="s">
        <v>163</v>
      </c>
      <c r="E1174" t="s">
        <v>580</v>
      </c>
      <c r="F1174" s="194">
        <v>6.5</v>
      </c>
      <c r="G1174" s="402">
        <v>0</v>
      </c>
      <c r="H1174" s="402">
        <v>0</v>
      </c>
      <c r="I1174" s="402">
        <v>0</v>
      </c>
      <c r="J1174" s="402">
        <v>0</v>
      </c>
      <c r="K1174" s="402">
        <v>0</v>
      </c>
      <c r="L1174" s="402">
        <v>0</v>
      </c>
      <c r="M1174" s="403">
        <v>1</v>
      </c>
      <c r="N1174" s="402">
        <v>0</v>
      </c>
      <c r="O1174" s="403">
        <v>1</v>
      </c>
      <c r="P1174" s="401"/>
      <c r="Q1174" s="401">
        <f t="shared" si="46"/>
        <v>0</v>
      </c>
      <c r="R1174" s="3" t="str">
        <f>_xlfn.IFNA(VLOOKUP(Tabella1[[#This Row],[Nome]],'ROSE SQUADRE'!$N$3:$O$260,2,0),"")</f>
        <v>PARTIZAN DEGRADO</v>
      </c>
      <c r="S1174" s="193">
        <f>SUM(Tabella1[[#This Row],[Gf]],Tabella1[[#This Row],[Rf]])</f>
        <v>0</v>
      </c>
      <c r="T1174" s="193"/>
      <c r="U1174" s="285" t="str">
        <f>IF(Tabella1[[#This Row],[N° FantaTit]]="","",Tabella1[[#This Row],[fanta voto]])</f>
        <v/>
      </c>
      <c r="V1174" s="193">
        <f>SUM(Tabella1[[#This Row],[Voto]],(G1174*3),Q1174,P1174,O1174,-(N1174),(-M1174/2),(-L1174*2),(-H1174),(I1174*3),(-J1174*3),(K1174*3))</f>
        <v>7</v>
      </c>
      <c r="W1174" s="193">
        <v>1</v>
      </c>
      <c r="X1174" s="193">
        <f>IF(Tabella1[[#This Row],[Best 11]]=1,Tabella1[[#This Row],[fanta voto]],"")</f>
        <v>7</v>
      </c>
      <c r="Z1174" s="193" t="str">
        <f>IF(Tabella1[[#This Row],[Best 11 MOD]]=1,Tabella1[[#This Row],[fanta voto]],"")</f>
        <v/>
      </c>
      <c r="AA1174" t="str">
        <f>CONCATENATE(Tabella1[[#This Row],[GG]],Tabella1[[#This Row],[Nome]])</f>
        <v>4Davis K.</v>
      </c>
      <c r="AB1174" t="str">
        <f t="shared" si="47"/>
        <v>4PARTIZAN DEGRADO</v>
      </c>
      <c r="AC1174" t="str">
        <f>_xlfn.CONCAT(Tabella1[[#This Row],[Ruolo]],Tabella1[[#This Row],[Gs]])</f>
        <v>A0</v>
      </c>
    </row>
    <row r="1175" spans="1:29" hidden="1" x14ac:dyDescent="0.3">
      <c r="A1175" s="14">
        <v>46277</v>
      </c>
      <c r="B1175" s="15">
        <v>4</v>
      </c>
      <c r="C1175" s="321" t="str">
        <f>_xlfn.XLOOKUP(Tabella1[[#This Row],[Nome]],Tabella4[NOME],Tabella4[SQUADRA],"")</f>
        <v>Roma</v>
      </c>
      <c r="D1175" t="s">
        <v>163</v>
      </c>
      <c r="E1175" t="s">
        <v>907</v>
      </c>
      <c r="F1175" s="194">
        <v>6</v>
      </c>
      <c r="G1175" s="402">
        <v>0</v>
      </c>
      <c r="H1175" s="402">
        <v>0</v>
      </c>
      <c r="I1175" s="402">
        <v>0</v>
      </c>
      <c r="J1175" s="402">
        <v>0</v>
      </c>
      <c r="K1175" s="402">
        <v>0</v>
      </c>
      <c r="L1175" s="402">
        <v>0</v>
      </c>
      <c r="M1175" s="402">
        <v>0</v>
      </c>
      <c r="N1175" s="402">
        <v>0</v>
      </c>
      <c r="O1175" s="402">
        <v>0</v>
      </c>
      <c r="P1175" s="401"/>
      <c r="Q1175" s="401">
        <f t="shared" si="46"/>
        <v>0</v>
      </c>
      <c r="R1175" s="3" t="str">
        <f>_xlfn.IFNA(VLOOKUP(Tabella1[[#This Row],[Nome]],'ROSE SQUADRE'!$N$3:$O$260,2,0),"")</f>
        <v>AC ASPARAGHESE</v>
      </c>
      <c r="S1175" s="193">
        <f>SUM(Tabella1[[#This Row],[Gf]],Tabella1[[#This Row],[Rf]])</f>
        <v>0</v>
      </c>
      <c r="T1175" s="193">
        <v>1</v>
      </c>
      <c r="U1175" s="285">
        <f>IF(Tabella1[[#This Row],[N° FantaTit]]="","",Tabella1[[#This Row],[fanta voto]])</f>
        <v>6</v>
      </c>
      <c r="V1175" s="193">
        <f>SUM(Tabella1[[#This Row],[Voto]],(G1175*3),Q1175,P1175,O1175,-(N1175),(-M1175/2),(-L1175*2),(-H1175),(I1175*3),(-J1175*3),(K1175*3))</f>
        <v>6</v>
      </c>
      <c r="W1175" s="193"/>
      <c r="X1175" s="193" t="str">
        <f>IF(Tabella1[[#This Row],[Best 11]]=1,Tabella1[[#This Row],[fanta voto]],"")</f>
        <v/>
      </c>
      <c r="Z1175" s="193" t="str">
        <f>IF(Tabella1[[#This Row],[Best 11 MOD]]=1,Tabella1[[#This Row],[fanta voto]],"")</f>
        <v/>
      </c>
      <c r="AA1175" t="str">
        <f>CONCATENATE(Tabella1[[#This Row],[GG]],Tabella1[[#This Row],[Nome]])</f>
        <v>4Soulè</v>
      </c>
      <c r="AB1175" t="str">
        <f t="shared" si="47"/>
        <v>4AC ASPARAGHESE1</v>
      </c>
      <c r="AC1175" t="str">
        <f>_xlfn.CONCAT(Tabella1[[#This Row],[Ruolo]],Tabella1[[#This Row],[Gs]])</f>
        <v>A0</v>
      </c>
    </row>
    <row r="1176" spans="1:29" hidden="1" x14ac:dyDescent="0.3">
      <c r="A1176" s="14">
        <v>46277</v>
      </c>
      <c r="B1176" s="15">
        <v>4</v>
      </c>
      <c r="C1176" s="321" t="str">
        <f>_xlfn.XLOOKUP(Tabella1[[#This Row],[Nome]],Tabella4[NOME],Tabella4[SQUADRA],"")</f>
        <v>Udinese</v>
      </c>
      <c r="D1176" t="s">
        <v>163</v>
      </c>
      <c r="E1176" t="s">
        <v>965</v>
      </c>
      <c r="F1176" s="194">
        <v>6.5</v>
      </c>
      <c r="G1176" s="403">
        <v>1</v>
      </c>
      <c r="H1176" s="402">
        <v>0</v>
      </c>
      <c r="I1176" s="402">
        <v>0</v>
      </c>
      <c r="J1176" s="402">
        <v>0</v>
      </c>
      <c r="K1176" s="402">
        <v>0</v>
      </c>
      <c r="L1176" s="402">
        <v>0</v>
      </c>
      <c r="M1176" s="402">
        <v>0</v>
      </c>
      <c r="N1176" s="402">
        <v>0</v>
      </c>
      <c r="O1176" s="402">
        <v>0</v>
      </c>
      <c r="P1176" s="401"/>
      <c r="Q1176" s="401">
        <f t="shared" si="46"/>
        <v>0</v>
      </c>
      <c r="R1176" s="3" t="str">
        <f>_xlfn.IFNA(VLOOKUP(Tabella1[[#This Row],[Nome]],'ROSE SQUADRE'!$N$3:$O$260,2,0),"")</f>
        <v>AC ASPARAGHESE</v>
      </c>
      <c r="S1176" s="193">
        <f>SUM(Tabella1[[#This Row],[Gf]],Tabella1[[#This Row],[Rf]])</f>
        <v>1</v>
      </c>
      <c r="T1176" s="193"/>
      <c r="U1176" s="285" t="str">
        <f>IF(Tabella1[[#This Row],[N° FantaTit]]="","",Tabella1[[#This Row],[fanta voto]])</f>
        <v/>
      </c>
      <c r="V1176" s="193">
        <f>SUM(Tabella1[[#This Row],[Voto]],(G1176*3),Q1176,P1176,O1176,-(N1176),(-M1176/2),(-L1176*2),(-H1176),(I1176*3),(-J1176*3),(K1176*3))</f>
        <v>9.5</v>
      </c>
      <c r="W1176" s="193">
        <v>1</v>
      </c>
      <c r="X1176" s="193">
        <f>IF(Tabella1[[#This Row],[Best 11]]=1,Tabella1[[#This Row],[fanta voto]],"")</f>
        <v>9.5</v>
      </c>
      <c r="Y1176">
        <v>1</v>
      </c>
      <c r="Z1176" s="193">
        <f>IF(Tabella1[[#This Row],[Best 11 MOD]]=1,Tabella1[[#This Row],[fanta voto]],"")</f>
        <v>9.5</v>
      </c>
      <c r="AA1176" t="str">
        <f>CONCATENATE(Tabella1[[#This Row],[GG]],Tabella1[[#This Row],[Nome]])</f>
        <v>4Gueye</v>
      </c>
      <c r="AB1176" t="str">
        <f t="shared" si="47"/>
        <v>4AC ASPARAGHESE</v>
      </c>
      <c r="AC1176" t="str">
        <f>_xlfn.CONCAT(Tabella1[[#This Row],[Ruolo]],Tabella1[[#This Row],[Gs]])</f>
        <v>A0</v>
      </c>
    </row>
    <row r="1177" spans="1:29" ht="18" x14ac:dyDescent="0.3">
      <c r="A1177" s="168" t="s">
        <v>99</v>
      </c>
      <c r="B1177" s="168"/>
      <c r="C1177" s="267"/>
      <c r="D1177" s="168"/>
      <c r="E1177" s="168">
        <f>SUBTOTAL(102,Tabella1[Nome])</f>
        <v>0</v>
      </c>
      <c r="F1177" s="169">
        <f>SUBTOTAL(101,Tabella1[Voto])</f>
        <v>7.0294117647058822</v>
      </c>
      <c r="G1177" s="183">
        <f>SUBTOTAL(109,Tabella1[Gf])</f>
        <v>36</v>
      </c>
      <c r="H1177" s="183">
        <f>SUBTOTAL(109,Tabella1[Gs])</f>
        <v>0</v>
      </c>
      <c r="I1177" s="183">
        <f>SUBTOTAL(109,Tabella1[Rp])</f>
        <v>0</v>
      </c>
      <c r="J1177" s="183">
        <f>SUBTOTAL(109,Tabella1[Rs])</f>
        <v>0</v>
      </c>
      <c r="K1177" s="183">
        <f>SUBTOTAL(109,Tabella1[Rf])</f>
        <v>1</v>
      </c>
      <c r="L1177" s="183">
        <f>SUBTOTAL(109,Tabella1[Au])</f>
        <v>0</v>
      </c>
      <c r="M1177" s="183">
        <f>SUBTOTAL(109,Tabella1[Amm])</f>
        <v>4</v>
      </c>
      <c r="N1177" s="183">
        <f>SUBTOTAL(109,Tabella1[Esp])</f>
        <v>1</v>
      </c>
      <c r="O1177" s="183">
        <f>SUBTOTAL(109,Tabella1[Ass])</f>
        <v>2</v>
      </c>
      <c r="P1177" s="183">
        <f>SUBTOTAL(109,Tabella1[Gdv])</f>
        <v>13</v>
      </c>
      <c r="Q1177" s="183" t="s">
        <v>366</v>
      </c>
      <c r="R1177" s="302"/>
      <c r="S1177" s="169"/>
      <c r="T1177" s="169">
        <f>SUBTOTAL(109,Tabella1[N° FantaTit])</f>
        <v>34</v>
      </c>
      <c r="U1177" s="170">
        <f>SUBTOTAL(101,Tabella1[[Votot FantaTit ]])</f>
        <v>10.647058823529411</v>
      </c>
      <c r="V1177" s="196">
        <f>SUBTOTAL(101,Tabella1[fanta voto])</f>
        <v>10.647058823529411</v>
      </c>
      <c r="X1177" s="169">
        <f>SUBTOTAL(109,Tabella1[Voti Best11])</f>
        <v>362</v>
      </c>
      <c r="Z1177" s="301">
        <f>SUBTOTAL(109,Tabella1[Voti Best11 MOD])</f>
        <v>362</v>
      </c>
    </row>
    <row r="1179" spans="1:29" x14ac:dyDescent="0.3">
      <c r="U1179">
        <f>SUM((Tabella1[[#Totals],[Votot FantaTit ]]*10)/11)</f>
        <v>9.6791443850267385</v>
      </c>
      <c r="X1179">
        <f>SUM(Tabella1[[#Totals],[Voti Best11]]/11)</f>
        <v>32.909090909090907</v>
      </c>
      <c r="Z1179">
        <f>SUM((Tabella1[[#Totals],[Voti Best11]])/11)</f>
        <v>32.909090909090907</v>
      </c>
    </row>
    <row r="1181" spans="1:29" x14ac:dyDescent="0.3">
      <c r="U1181">
        <v>1</v>
      </c>
    </row>
    <row r="1192" spans="22:22" x14ac:dyDescent="0.3">
      <c r="V1192" t="s">
        <v>492</v>
      </c>
    </row>
    <row r="6568" ht="13.2" customHeight="1" x14ac:dyDescent="0.3"/>
    <row r="6569" ht="13.2" customHeight="1" x14ac:dyDescent="0.3"/>
    <row r="6570" ht="13.2" customHeight="1" x14ac:dyDescent="0.3"/>
    <row r="6571" ht="13.2" customHeight="1" x14ac:dyDescent="0.3"/>
    <row r="6572" ht="13.2" customHeight="1" x14ac:dyDescent="0.3"/>
    <row r="6573" ht="13.2" customHeight="1" x14ac:dyDescent="0.3"/>
    <row r="6574" ht="13.2" customHeight="1" x14ac:dyDescent="0.3"/>
    <row r="6575" ht="13.2" customHeight="1" x14ac:dyDescent="0.3"/>
    <row r="6576" ht="13.2" customHeight="1" x14ac:dyDescent="0.3"/>
    <row r="6577" ht="13.2" customHeight="1" x14ac:dyDescent="0.3"/>
    <row r="6578" ht="13.2" customHeight="1" x14ac:dyDescent="0.3"/>
    <row r="6579" ht="13.2" customHeight="1" x14ac:dyDescent="0.3"/>
    <row r="6580" ht="13.2" customHeight="1" x14ac:dyDescent="0.3"/>
    <row r="6581" ht="13.2" customHeight="1" x14ac:dyDescent="0.3"/>
    <row r="6582" ht="13.2" customHeight="1" x14ac:dyDescent="0.3"/>
    <row r="6583" ht="13.2" customHeight="1" x14ac:dyDescent="0.3"/>
    <row r="6584" ht="13.2" customHeight="1" x14ac:dyDescent="0.3"/>
    <row r="6585" ht="13.2" customHeight="1" x14ac:dyDescent="0.3"/>
    <row r="6586" ht="13.2" customHeight="1" x14ac:dyDescent="0.3"/>
    <row r="6587" ht="13.2" customHeight="1" x14ac:dyDescent="0.3"/>
    <row r="6588" ht="13.2" customHeight="1" x14ac:dyDescent="0.3"/>
    <row r="6589" ht="13.2" customHeight="1" x14ac:dyDescent="0.3"/>
    <row r="6590" ht="13.2" customHeight="1" x14ac:dyDescent="0.3"/>
    <row r="6591" ht="13.2" customHeight="1" x14ac:dyDescent="0.3"/>
    <row r="6592" ht="13.2" customHeight="1" x14ac:dyDescent="0.3"/>
    <row r="6593" ht="13.2" customHeight="1" x14ac:dyDescent="0.3"/>
    <row r="6594" ht="13.2" customHeight="1" x14ac:dyDescent="0.3"/>
    <row r="6595" ht="13.2" customHeight="1" x14ac:dyDescent="0.3"/>
    <row r="6596" ht="13.2" customHeight="1" x14ac:dyDescent="0.3"/>
    <row r="6597" ht="13.2" customHeight="1" x14ac:dyDescent="0.3"/>
    <row r="6598" ht="13.2" customHeight="1" x14ac:dyDescent="0.3"/>
    <row r="6599" ht="13.2" customHeight="1" x14ac:dyDescent="0.3"/>
    <row r="6600" ht="13.2" customHeight="1" x14ac:dyDescent="0.3"/>
    <row r="6601" ht="13.2" customHeight="1" x14ac:dyDescent="0.3"/>
    <row r="6602" ht="13.2" customHeight="1" x14ac:dyDescent="0.3"/>
    <row r="6603" ht="13.2" customHeight="1" x14ac:dyDescent="0.3"/>
    <row r="6604" ht="13.2" customHeight="1" x14ac:dyDescent="0.3"/>
    <row r="6605" ht="13.2" customHeight="1" x14ac:dyDescent="0.3"/>
    <row r="6606" ht="13.2" customHeight="1" x14ac:dyDescent="0.3"/>
    <row r="6607" ht="13.2" customHeight="1" x14ac:dyDescent="0.3"/>
    <row r="6608" ht="13.2" customHeight="1" x14ac:dyDescent="0.3"/>
    <row r="6609" ht="13.2" customHeight="1" x14ac:dyDescent="0.3"/>
    <row r="6610" ht="13.2" customHeight="1" x14ac:dyDescent="0.3"/>
    <row r="6611" ht="13.2" customHeight="1" x14ac:dyDescent="0.3"/>
    <row r="6612" ht="13.2" customHeight="1" x14ac:dyDescent="0.3"/>
    <row r="6613" ht="13.2" customHeight="1" x14ac:dyDescent="0.3"/>
    <row r="6614" ht="13.2" customHeight="1" x14ac:dyDescent="0.3"/>
    <row r="6615" ht="13.2" customHeight="1" x14ac:dyDescent="0.3"/>
    <row r="6616" ht="13.2" customHeight="1" x14ac:dyDescent="0.3"/>
    <row r="6617" ht="13.2" customHeight="1" x14ac:dyDescent="0.3"/>
    <row r="6618" ht="13.2" customHeight="1" x14ac:dyDescent="0.3"/>
    <row r="6619" ht="13.2" customHeight="1" x14ac:dyDescent="0.3"/>
    <row r="6620" ht="13.2" customHeight="1" x14ac:dyDescent="0.3"/>
    <row r="6621" ht="13.2" customHeight="1" x14ac:dyDescent="0.3"/>
    <row r="6622" ht="13.2" customHeight="1" x14ac:dyDescent="0.3"/>
    <row r="6623" ht="13.2" customHeight="1" x14ac:dyDescent="0.3"/>
    <row r="6624" ht="13.2" customHeight="1" x14ac:dyDescent="0.3"/>
    <row r="6625" ht="13.2" customHeight="1" x14ac:dyDescent="0.3"/>
    <row r="6626" ht="13.2" customHeight="1" x14ac:dyDescent="0.3"/>
    <row r="6627" ht="13.2" customHeight="1" x14ac:dyDescent="0.3"/>
    <row r="6628" ht="13.2" customHeight="1" x14ac:dyDescent="0.3"/>
    <row r="6629" ht="13.2" customHeight="1" x14ac:dyDescent="0.3"/>
    <row r="6630" ht="13.2" customHeight="1" x14ac:dyDescent="0.3"/>
    <row r="6631" ht="13.2" customHeight="1" x14ac:dyDescent="0.3"/>
    <row r="6632" ht="13.2" customHeight="1" x14ac:dyDescent="0.3"/>
    <row r="6633" ht="13.2" customHeight="1" x14ac:dyDescent="0.3"/>
    <row r="6634" ht="13.2" customHeight="1" x14ac:dyDescent="0.3"/>
    <row r="6635" ht="13.2" customHeight="1" x14ac:dyDescent="0.3"/>
    <row r="6636" ht="13.2" customHeight="1" x14ac:dyDescent="0.3"/>
    <row r="6637" ht="13.2" customHeight="1" x14ac:dyDescent="0.3"/>
    <row r="6638" ht="13.2" customHeight="1" x14ac:dyDescent="0.3"/>
    <row r="6639" ht="13.2" customHeight="1" x14ac:dyDescent="0.3"/>
    <row r="6640" ht="13.2" customHeight="1" x14ac:dyDescent="0.3"/>
    <row r="6641" ht="13.2" customHeight="1" x14ac:dyDescent="0.3"/>
    <row r="6642" ht="13.2" customHeight="1" x14ac:dyDescent="0.3"/>
    <row r="6643" ht="13.2" customHeight="1" x14ac:dyDescent="0.3"/>
    <row r="6644" ht="13.2" customHeight="1" x14ac:dyDescent="0.3"/>
    <row r="6645" ht="13.2" customHeight="1" x14ac:dyDescent="0.3"/>
    <row r="6646" ht="13.2" customHeight="1" x14ac:dyDescent="0.3"/>
    <row r="6647" ht="13.2" customHeight="1" x14ac:dyDescent="0.3"/>
    <row r="6648" ht="13.2" customHeight="1" x14ac:dyDescent="0.3"/>
    <row r="6649" ht="13.2" customHeight="1" x14ac:dyDescent="0.3"/>
    <row r="6650" ht="13.2" customHeight="1" x14ac:dyDescent="0.3"/>
    <row r="6651" ht="13.2" customHeight="1" x14ac:dyDescent="0.3"/>
    <row r="6652" ht="13.2" customHeight="1" x14ac:dyDescent="0.3"/>
    <row r="6653" ht="13.2" customHeight="1" x14ac:dyDescent="0.3"/>
    <row r="6654" ht="13.2" customHeight="1" x14ac:dyDescent="0.3"/>
    <row r="6655" ht="13.2" customHeight="1" x14ac:dyDescent="0.3"/>
    <row r="6656" ht="13.2" customHeight="1" x14ac:dyDescent="0.3"/>
    <row r="6657" ht="13.2" customHeight="1" x14ac:dyDescent="0.3"/>
    <row r="6658" ht="13.2" customHeight="1" x14ac:dyDescent="0.3"/>
    <row r="6659" ht="13.2" customHeight="1" x14ac:dyDescent="0.3"/>
    <row r="6660" ht="13.2" customHeight="1" x14ac:dyDescent="0.3"/>
    <row r="6661" ht="13.2" customHeight="1" x14ac:dyDescent="0.3"/>
    <row r="6662" ht="13.2" customHeight="1" x14ac:dyDescent="0.3"/>
    <row r="6663" ht="13.2" customHeight="1" x14ac:dyDescent="0.3"/>
    <row r="6664" ht="13.2" customHeight="1" x14ac:dyDescent="0.3"/>
    <row r="6665" ht="13.2" customHeight="1" x14ac:dyDescent="0.3"/>
    <row r="6666" ht="13.2" customHeight="1" x14ac:dyDescent="0.3"/>
    <row r="6667" ht="13.2" customHeight="1" x14ac:dyDescent="0.3"/>
    <row r="6668" ht="13.2" customHeight="1" x14ac:dyDescent="0.3"/>
    <row r="6669" ht="13.2" customHeight="1" x14ac:dyDescent="0.3"/>
    <row r="6670" ht="13.2" customHeight="1" x14ac:dyDescent="0.3"/>
    <row r="6671" ht="13.2" customHeight="1" x14ac:dyDescent="0.3"/>
    <row r="6672" ht="13.2" customHeight="1" x14ac:dyDescent="0.3"/>
    <row r="6673" ht="13.2" customHeight="1" x14ac:dyDescent="0.3"/>
    <row r="6674" ht="13.2" customHeight="1" x14ac:dyDescent="0.3"/>
    <row r="6675" ht="13.2" customHeight="1" x14ac:dyDescent="0.3"/>
    <row r="6676" ht="13.2" customHeight="1" x14ac:dyDescent="0.3"/>
    <row r="6677" ht="13.2" customHeight="1" x14ac:dyDescent="0.3"/>
    <row r="6678" ht="13.2" customHeight="1" x14ac:dyDescent="0.3"/>
    <row r="6679" ht="13.2" customHeight="1" x14ac:dyDescent="0.3"/>
    <row r="6680" ht="13.2" customHeight="1" x14ac:dyDescent="0.3"/>
    <row r="6681" ht="13.2" customHeight="1" x14ac:dyDescent="0.3"/>
    <row r="6682" ht="13.2" customHeight="1" x14ac:dyDescent="0.3"/>
    <row r="6683" ht="13.2" customHeight="1" x14ac:dyDescent="0.3"/>
    <row r="6684" ht="13.2" customHeight="1" x14ac:dyDescent="0.3"/>
    <row r="6685" ht="13.2" customHeight="1" x14ac:dyDescent="0.3"/>
    <row r="6686" ht="13.2" customHeight="1" x14ac:dyDescent="0.3"/>
    <row r="6687" ht="13.2" customHeight="1" x14ac:dyDescent="0.3"/>
    <row r="6688" ht="13.2" customHeight="1" x14ac:dyDescent="0.3"/>
    <row r="6689" ht="13.2" customHeight="1" x14ac:dyDescent="0.3"/>
    <row r="6690" ht="13.2" customHeight="1" x14ac:dyDescent="0.3"/>
    <row r="6691" ht="13.2" customHeight="1" x14ac:dyDescent="0.3"/>
    <row r="6692" ht="13.2" customHeight="1" x14ac:dyDescent="0.3"/>
    <row r="6693" ht="13.2" customHeight="1" x14ac:dyDescent="0.3"/>
    <row r="6694" ht="13.2" customHeight="1" x14ac:dyDescent="0.3"/>
    <row r="6695" ht="13.2" customHeight="1" x14ac:dyDescent="0.3"/>
    <row r="6696" ht="13.2" customHeight="1" x14ac:dyDescent="0.3"/>
    <row r="6697" ht="13.2" customHeight="1" x14ac:dyDescent="0.3"/>
    <row r="6698" ht="13.2" customHeight="1" x14ac:dyDescent="0.3"/>
    <row r="6699" ht="13.2" customHeight="1" x14ac:dyDescent="0.3"/>
    <row r="6700" ht="13.2" customHeight="1" x14ac:dyDescent="0.3"/>
    <row r="6701" ht="13.2" customHeight="1" x14ac:dyDescent="0.3"/>
    <row r="6702" ht="13.2" customHeight="1" x14ac:dyDescent="0.3"/>
    <row r="6703" ht="13.2" customHeight="1" x14ac:dyDescent="0.3"/>
    <row r="6704" ht="13.2" customHeight="1" x14ac:dyDescent="0.3"/>
    <row r="6705" ht="13.2" customHeight="1" x14ac:dyDescent="0.3"/>
    <row r="6706" ht="13.2" customHeight="1" x14ac:dyDescent="0.3"/>
    <row r="6707" ht="13.2" customHeight="1" x14ac:dyDescent="0.3"/>
    <row r="6708" ht="13.2" customHeight="1" x14ac:dyDescent="0.3"/>
    <row r="6709" ht="13.2" customHeight="1" x14ac:dyDescent="0.3"/>
    <row r="6710" ht="13.2" customHeight="1" x14ac:dyDescent="0.3"/>
    <row r="6711" ht="13.2" customHeight="1" x14ac:dyDescent="0.3"/>
    <row r="6712" ht="13.2" customHeight="1" x14ac:dyDescent="0.3"/>
    <row r="6713" ht="13.2" customHeight="1" x14ac:dyDescent="0.3"/>
    <row r="6714" ht="13.2" customHeight="1" x14ac:dyDescent="0.3"/>
    <row r="6715" ht="13.2" customHeight="1" x14ac:dyDescent="0.3"/>
    <row r="6716" ht="13.2" customHeight="1" x14ac:dyDescent="0.3"/>
    <row r="6717" ht="13.2" customHeight="1" x14ac:dyDescent="0.3"/>
    <row r="6718" ht="13.2" customHeight="1" x14ac:dyDescent="0.3"/>
    <row r="6719" ht="13.2" customHeight="1" x14ac:dyDescent="0.3"/>
    <row r="6720" ht="13.2" customHeight="1" x14ac:dyDescent="0.3"/>
    <row r="6721" ht="13.2" customHeight="1" x14ac:dyDescent="0.3"/>
    <row r="6722" ht="13.2" customHeight="1" x14ac:dyDescent="0.3"/>
    <row r="6723" ht="13.2" customHeight="1" x14ac:dyDescent="0.3"/>
    <row r="6724" ht="13.2" customHeight="1" x14ac:dyDescent="0.3"/>
    <row r="6725" ht="13.2" customHeight="1" x14ac:dyDescent="0.3"/>
    <row r="6726" ht="13.2" customHeight="1" x14ac:dyDescent="0.3"/>
    <row r="6727" ht="13.2" customHeight="1" x14ac:dyDescent="0.3"/>
    <row r="6728" ht="13.2" customHeight="1" x14ac:dyDescent="0.3"/>
    <row r="6729" ht="13.2" customHeight="1" x14ac:dyDescent="0.3"/>
    <row r="6730" ht="13.2" customHeight="1" x14ac:dyDescent="0.3"/>
    <row r="6731" ht="13.2" customHeight="1" x14ac:dyDescent="0.3"/>
    <row r="6732" ht="13.2" customHeight="1" x14ac:dyDescent="0.3"/>
    <row r="6733" ht="13.2" customHeight="1" x14ac:dyDescent="0.3"/>
    <row r="6734" ht="13.2" customHeight="1" x14ac:dyDescent="0.3"/>
    <row r="6735" ht="13.2" customHeight="1" x14ac:dyDescent="0.3"/>
    <row r="6736" ht="13.2" customHeight="1" x14ac:dyDescent="0.3"/>
    <row r="6737" ht="13.2" customHeight="1" x14ac:dyDescent="0.3"/>
    <row r="6738" ht="13.2" customHeight="1" x14ac:dyDescent="0.3"/>
    <row r="6739" ht="13.2" customHeight="1" x14ac:dyDescent="0.3"/>
    <row r="6740" ht="13.2" customHeight="1" x14ac:dyDescent="0.3"/>
    <row r="6741" ht="13.2" customHeight="1" x14ac:dyDescent="0.3"/>
    <row r="6742" ht="13.2" customHeight="1" x14ac:dyDescent="0.3"/>
    <row r="6743" ht="13.2" customHeight="1" x14ac:dyDescent="0.3"/>
    <row r="6744" ht="13.2" customHeight="1" x14ac:dyDescent="0.3"/>
    <row r="6745" ht="13.2" customHeight="1" x14ac:dyDescent="0.3"/>
    <row r="6746" ht="13.2" customHeight="1" x14ac:dyDescent="0.3"/>
    <row r="6747" ht="13.2" customHeight="1" x14ac:dyDescent="0.3"/>
    <row r="6748" ht="13.2" customHeight="1" x14ac:dyDescent="0.3"/>
    <row r="6749" ht="13.2" customHeight="1" x14ac:dyDescent="0.3"/>
    <row r="6750" ht="13.2" customHeight="1" x14ac:dyDescent="0.3"/>
    <row r="6751" ht="13.2" customHeight="1" x14ac:dyDescent="0.3"/>
    <row r="6752" ht="13.2" customHeight="1" x14ac:dyDescent="0.3"/>
    <row r="6753" ht="13.2" customHeight="1" x14ac:dyDescent="0.3"/>
    <row r="6754" ht="13.2" customHeight="1" x14ac:dyDescent="0.3"/>
    <row r="6755" ht="13.2" customHeight="1" x14ac:dyDescent="0.3"/>
    <row r="6756" ht="13.2" customHeight="1" x14ac:dyDescent="0.3"/>
    <row r="6757" ht="13.2" customHeight="1" x14ac:dyDescent="0.3"/>
    <row r="6758" ht="13.2" customHeight="1" x14ac:dyDescent="0.3"/>
    <row r="6759" ht="13.2" customHeight="1" x14ac:dyDescent="0.3"/>
    <row r="6760" ht="13.2" customHeight="1" x14ac:dyDescent="0.3"/>
    <row r="6761" ht="13.2" customHeight="1" x14ac:dyDescent="0.3"/>
    <row r="6762" ht="13.2" customHeight="1" x14ac:dyDescent="0.3"/>
    <row r="6763" ht="13.2" customHeight="1" x14ac:dyDescent="0.3"/>
    <row r="6764" ht="13.2" customHeight="1" x14ac:dyDescent="0.3"/>
    <row r="6765" ht="13.2" customHeight="1" x14ac:dyDescent="0.3"/>
    <row r="6766" ht="13.2" customHeight="1" x14ac:dyDescent="0.3"/>
    <row r="6767" ht="13.2" customHeight="1" x14ac:dyDescent="0.3"/>
    <row r="6768" ht="13.2" customHeight="1" x14ac:dyDescent="0.3"/>
    <row r="6769" ht="13.2" customHeight="1" x14ac:dyDescent="0.3"/>
    <row r="6770" ht="13.2" customHeight="1" x14ac:dyDescent="0.3"/>
    <row r="6771" ht="13.2" customHeight="1" x14ac:dyDescent="0.3"/>
    <row r="6772" ht="13.2" customHeight="1" x14ac:dyDescent="0.3"/>
    <row r="6773" ht="13.2" customHeight="1" x14ac:dyDescent="0.3"/>
    <row r="6774" ht="13.2" customHeight="1" x14ac:dyDescent="0.3"/>
    <row r="6775" ht="13.2" customHeight="1" x14ac:dyDescent="0.3"/>
    <row r="6776" ht="13.2" customHeight="1" x14ac:dyDescent="0.3"/>
    <row r="6777" ht="13.2" customHeight="1" x14ac:dyDescent="0.3"/>
    <row r="6778" ht="13.2" customHeight="1" x14ac:dyDescent="0.3"/>
    <row r="6779" ht="13.2" customHeight="1" x14ac:dyDescent="0.3"/>
    <row r="6780" ht="13.2" customHeight="1" x14ac:dyDescent="0.3"/>
    <row r="6781" ht="13.2" customHeight="1" x14ac:dyDescent="0.3"/>
    <row r="6782" ht="13.2" customHeight="1" x14ac:dyDescent="0.3"/>
    <row r="6783" ht="13.2" customHeight="1" x14ac:dyDescent="0.3"/>
    <row r="6784" ht="13.2" customHeight="1" x14ac:dyDescent="0.3"/>
    <row r="6785" ht="13.2" customHeight="1" x14ac:dyDescent="0.3"/>
    <row r="6786" ht="13.2" customHeight="1" x14ac:dyDescent="0.3"/>
    <row r="6787" ht="13.2" customHeight="1" x14ac:dyDescent="0.3"/>
    <row r="6788" ht="13.2" customHeight="1" x14ac:dyDescent="0.3"/>
    <row r="6789" ht="13.2" customHeight="1" x14ac:dyDescent="0.3"/>
    <row r="6790" ht="13.2" customHeight="1" x14ac:dyDescent="0.3"/>
    <row r="6791" ht="13.2" customHeight="1" x14ac:dyDescent="0.3"/>
    <row r="6792" ht="13.2" customHeight="1" x14ac:dyDescent="0.3"/>
    <row r="6793" ht="13.2" customHeight="1" x14ac:dyDescent="0.3"/>
    <row r="6794" ht="13.2" customHeight="1" x14ac:dyDescent="0.3"/>
    <row r="6795" ht="13.2" customHeight="1" x14ac:dyDescent="0.3"/>
    <row r="6796" ht="13.2" customHeight="1" x14ac:dyDescent="0.3"/>
    <row r="6797" ht="13.2" customHeight="1" x14ac:dyDescent="0.3"/>
    <row r="6798" ht="13.2" customHeight="1" x14ac:dyDescent="0.3"/>
    <row r="6799" ht="13.2" customHeight="1" x14ac:dyDescent="0.3"/>
    <row r="6800" ht="13.2" customHeight="1" x14ac:dyDescent="0.3"/>
    <row r="6801" ht="13.2" customHeight="1" x14ac:dyDescent="0.3"/>
    <row r="6802" ht="13.2" customHeight="1" x14ac:dyDescent="0.3"/>
    <row r="6803" ht="13.2" customHeight="1" x14ac:dyDescent="0.3"/>
    <row r="6804" ht="13.2" customHeight="1" x14ac:dyDescent="0.3"/>
    <row r="6805" ht="13.2" customHeight="1" x14ac:dyDescent="0.3"/>
    <row r="6806" ht="13.2" customHeight="1" x14ac:dyDescent="0.3"/>
    <row r="6807" ht="13.2" customHeight="1" x14ac:dyDescent="0.3"/>
    <row r="6808" ht="13.2" customHeight="1" x14ac:dyDescent="0.3"/>
    <row r="6809" ht="13.2" customHeight="1" x14ac:dyDescent="0.3"/>
    <row r="6810" ht="13.2" customHeight="1" x14ac:dyDescent="0.3"/>
    <row r="6811" ht="13.2" customHeight="1" x14ac:dyDescent="0.3"/>
    <row r="6812" ht="13.2" customHeight="1" x14ac:dyDescent="0.3"/>
    <row r="6813" ht="13.2" customHeight="1" x14ac:dyDescent="0.3"/>
    <row r="6814" ht="13.2" customHeight="1" x14ac:dyDescent="0.3"/>
    <row r="6815" ht="13.2" customHeight="1" x14ac:dyDescent="0.3"/>
    <row r="6816" ht="13.2" customHeight="1" x14ac:dyDescent="0.3"/>
    <row r="6817" ht="13.2" customHeight="1" x14ac:dyDescent="0.3"/>
    <row r="6818" ht="13.2" customHeight="1" x14ac:dyDescent="0.3"/>
    <row r="6819" ht="13.2" customHeight="1" x14ac:dyDescent="0.3"/>
    <row r="6820" ht="13.2" customHeight="1" x14ac:dyDescent="0.3"/>
    <row r="6821" ht="13.2" customHeight="1" x14ac:dyDescent="0.3"/>
    <row r="6822" ht="13.2" customHeight="1" x14ac:dyDescent="0.3"/>
    <row r="6823" ht="13.2" customHeight="1" x14ac:dyDescent="0.3"/>
    <row r="6824" ht="13.2" customHeight="1" x14ac:dyDescent="0.3"/>
    <row r="6825" ht="13.2" customHeight="1" x14ac:dyDescent="0.3"/>
    <row r="6826" ht="13.2" customHeight="1" x14ac:dyDescent="0.3"/>
    <row r="6827" ht="13.2" customHeight="1" x14ac:dyDescent="0.3"/>
    <row r="6828" ht="13.2" customHeight="1" x14ac:dyDescent="0.3"/>
    <row r="6829" ht="13.2" customHeight="1" x14ac:dyDescent="0.3"/>
    <row r="6830" ht="13.2" customHeight="1" x14ac:dyDescent="0.3"/>
    <row r="6831" ht="13.2" customHeight="1" x14ac:dyDescent="0.3"/>
    <row r="6832" ht="13.2" customHeight="1" x14ac:dyDescent="0.3"/>
    <row r="6833" ht="13.2" customHeight="1" x14ac:dyDescent="0.3"/>
    <row r="6834" ht="13.2" customHeight="1" x14ac:dyDescent="0.3"/>
    <row r="6835" ht="13.2" customHeight="1" x14ac:dyDescent="0.3"/>
    <row r="6836" ht="13.2" customHeight="1" x14ac:dyDescent="0.3"/>
    <row r="6837" ht="13.2" customHeight="1" x14ac:dyDescent="0.3"/>
    <row r="6838" ht="13.2" customHeight="1" x14ac:dyDescent="0.3"/>
    <row r="6839" ht="13.2" customHeight="1" x14ac:dyDescent="0.3"/>
    <row r="6840" ht="13.2" customHeight="1" x14ac:dyDescent="0.3"/>
    <row r="6841" ht="13.2" customHeight="1" x14ac:dyDescent="0.3"/>
    <row r="6842" ht="13.2" customHeight="1" x14ac:dyDescent="0.3"/>
    <row r="6843" ht="13.2" customHeight="1" x14ac:dyDescent="0.3"/>
    <row r="6844" ht="13.2" customHeight="1" x14ac:dyDescent="0.3"/>
    <row r="6845" ht="13.2" customHeight="1" x14ac:dyDescent="0.3"/>
    <row r="6846" ht="13.2" customHeight="1" x14ac:dyDescent="0.3"/>
    <row r="6847" ht="13.2" customHeight="1" x14ac:dyDescent="0.3"/>
    <row r="6848" ht="13.2" customHeight="1" x14ac:dyDescent="0.3"/>
    <row r="6849" ht="13.2" customHeight="1" x14ac:dyDescent="0.3"/>
    <row r="6850" ht="13.2" customHeight="1" x14ac:dyDescent="0.3"/>
    <row r="7410" ht="19.95" customHeight="1" x14ac:dyDescent="0.3"/>
    <row r="1034472" spans="23:23" x14ac:dyDescent="0.3">
      <c r="W1034472" s="4"/>
    </row>
    <row r="1034473" spans="23:23" x14ac:dyDescent="0.3">
      <c r="W1034473" s="195"/>
    </row>
    <row r="1034474" spans="23:23" x14ac:dyDescent="0.3">
      <c r="W1034474" s="195"/>
    </row>
    <row r="1034475" spans="23:23" x14ac:dyDescent="0.3">
      <c r="W1034475" s="195"/>
    </row>
    <row r="1034476" spans="23:23" x14ac:dyDescent="0.3">
      <c r="W1034476" s="195"/>
    </row>
    <row r="1034477" spans="23:23" x14ac:dyDescent="0.3">
      <c r="W1034477" s="195"/>
    </row>
    <row r="1034478" spans="23:23" x14ac:dyDescent="0.3">
      <c r="W1034478" s="195"/>
    </row>
    <row r="1034479" spans="23:23" x14ac:dyDescent="0.3">
      <c r="W1034479" s="195"/>
    </row>
    <row r="1034480" spans="23:23" x14ac:dyDescent="0.3">
      <c r="W1034480" s="195"/>
    </row>
    <row r="1034481" spans="23:23" x14ac:dyDescent="0.3">
      <c r="W1034481" s="195"/>
    </row>
    <row r="1034482" spans="23:23" x14ac:dyDescent="0.3">
      <c r="W1034482" s="195"/>
    </row>
    <row r="1034483" spans="23:23" x14ac:dyDescent="0.3">
      <c r="W1034483" s="195"/>
    </row>
    <row r="1034484" spans="23:23" x14ac:dyDescent="0.3">
      <c r="W1034484" s="195"/>
    </row>
    <row r="1034485" spans="23:23" x14ac:dyDescent="0.3">
      <c r="W1034485" s="195"/>
    </row>
    <row r="1034486" spans="23:23" x14ac:dyDescent="0.3">
      <c r="W1034486" s="195"/>
    </row>
    <row r="1034487" spans="23:23" x14ac:dyDescent="0.3">
      <c r="W1034487" s="195"/>
    </row>
    <row r="1034488" spans="23:23" x14ac:dyDescent="0.3">
      <c r="W1034488" s="195"/>
    </row>
    <row r="1034489" spans="23:23" x14ac:dyDescent="0.3">
      <c r="W1034489" s="195"/>
    </row>
    <row r="1034490" spans="23:23" x14ac:dyDescent="0.3">
      <c r="W1034490" s="195"/>
    </row>
    <row r="1034491" spans="23:23" x14ac:dyDescent="0.3">
      <c r="W1034491" s="195"/>
    </row>
    <row r="1034492" spans="23:23" x14ac:dyDescent="0.3">
      <c r="W1034492" s="195"/>
    </row>
    <row r="1034493" spans="23:23" x14ac:dyDescent="0.3">
      <c r="W1034493" s="195"/>
    </row>
    <row r="1034494" spans="23:23" x14ac:dyDescent="0.3">
      <c r="W1034494" s="195"/>
    </row>
    <row r="1034495" spans="23:23" x14ac:dyDescent="0.3">
      <c r="W1034495" s="195"/>
    </row>
    <row r="1034496" spans="23:23" x14ac:dyDescent="0.3">
      <c r="W1034496" s="195"/>
    </row>
    <row r="1034497" spans="23:23" x14ac:dyDescent="0.3">
      <c r="W1034497" s="195"/>
    </row>
    <row r="1034498" spans="23:23" x14ac:dyDescent="0.3">
      <c r="W1034498" s="195"/>
    </row>
    <row r="1034499" spans="23:23" x14ac:dyDescent="0.3">
      <c r="W1034499" s="195"/>
    </row>
    <row r="1034500" spans="23:23" x14ac:dyDescent="0.3">
      <c r="W1034500" s="195"/>
    </row>
    <row r="1034501" spans="23:23" x14ac:dyDescent="0.3">
      <c r="W1034501" s="195"/>
    </row>
    <row r="1034502" spans="23:23" x14ac:dyDescent="0.3">
      <c r="W1034502" s="195"/>
    </row>
    <row r="1034503" spans="23:23" x14ac:dyDescent="0.3">
      <c r="W1034503" s="195"/>
    </row>
    <row r="1034504" spans="23:23" x14ac:dyDescent="0.3">
      <c r="W1034504" s="195"/>
    </row>
    <row r="1034505" spans="23:23" x14ac:dyDescent="0.3">
      <c r="W1034505" s="195"/>
    </row>
    <row r="1034506" spans="23:23" x14ac:dyDescent="0.3">
      <c r="W1034506" s="195"/>
    </row>
    <row r="1034507" spans="23:23" x14ac:dyDescent="0.3">
      <c r="W1034507" s="195"/>
    </row>
    <row r="1034508" spans="23:23" x14ac:dyDescent="0.3">
      <c r="W1034508" s="195"/>
    </row>
    <row r="1034509" spans="23:23" x14ac:dyDescent="0.3">
      <c r="W1034509" s="195"/>
    </row>
    <row r="1034510" spans="23:23" x14ac:dyDescent="0.3">
      <c r="W1034510" s="195"/>
    </row>
    <row r="1034511" spans="23:23" x14ac:dyDescent="0.3">
      <c r="W1034511" s="195"/>
    </row>
    <row r="1034512" spans="23:23" x14ac:dyDescent="0.3">
      <c r="W1034512" s="195"/>
    </row>
    <row r="1034513" spans="23:23" x14ac:dyDescent="0.3">
      <c r="W1034513" s="195"/>
    </row>
    <row r="1034514" spans="23:23" x14ac:dyDescent="0.3">
      <c r="W1034514" s="195"/>
    </row>
    <row r="1034515" spans="23:23" x14ac:dyDescent="0.3">
      <c r="W1034515" s="195"/>
    </row>
    <row r="1034516" spans="23:23" x14ac:dyDescent="0.3">
      <c r="W1034516" s="195"/>
    </row>
    <row r="1034517" spans="23:23" x14ac:dyDescent="0.3">
      <c r="W1034517" s="195"/>
    </row>
    <row r="1034518" spans="23:23" x14ac:dyDescent="0.3">
      <c r="W1034518" s="195"/>
    </row>
    <row r="1034519" spans="23:23" x14ac:dyDescent="0.3">
      <c r="W1034519" s="195"/>
    </row>
    <row r="1034520" spans="23:23" x14ac:dyDescent="0.3">
      <c r="W1034520" s="195"/>
    </row>
    <row r="1034521" spans="23:23" x14ac:dyDescent="0.3">
      <c r="W1034521" s="195"/>
    </row>
    <row r="1034522" spans="23:23" x14ac:dyDescent="0.3">
      <c r="W1034522" s="195"/>
    </row>
    <row r="1034523" spans="23:23" x14ac:dyDescent="0.3">
      <c r="W1034523" s="195"/>
    </row>
    <row r="1034524" spans="23:23" x14ac:dyDescent="0.3">
      <c r="W1034524" s="195"/>
    </row>
    <row r="1034525" spans="23:23" x14ac:dyDescent="0.3">
      <c r="W1034525" s="195"/>
    </row>
    <row r="1034526" spans="23:23" x14ac:dyDescent="0.3">
      <c r="W1034526" s="195"/>
    </row>
    <row r="1034527" spans="23:23" x14ac:dyDescent="0.3">
      <c r="W1034527" s="195"/>
    </row>
    <row r="1034528" spans="23:23" x14ac:dyDescent="0.3">
      <c r="W1034528" s="195"/>
    </row>
    <row r="1034529" spans="23:23" x14ac:dyDescent="0.3">
      <c r="W1034529" s="195"/>
    </row>
    <row r="1034530" spans="23:23" x14ac:dyDescent="0.3">
      <c r="W1034530" s="195"/>
    </row>
    <row r="1034531" spans="23:23" x14ac:dyDescent="0.3">
      <c r="W1034531" s="195"/>
    </row>
    <row r="1034532" spans="23:23" x14ac:dyDescent="0.3">
      <c r="W1034532" s="195"/>
    </row>
    <row r="1034533" spans="23:23" x14ac:dyDescent="0.3">
      <c r="W1034533" s="195"/>
    </row>
    <row r="1034534" spans="23:23" x14ac:dyDescent="0.3">
      <c r="W1034534" s="195"/>
    </row>
    <row r="1034535" spans="23:23" x14ac:dyDescent="0.3">
      <c r="W1034535" s="195"/>
    </row>
    <row r="1034536" spans="23:23" x14ac:dyDescent="0.3">
      <c r="W1034536" s="195"/>
    </row>
    <row r="1034537" spans="23:23" x14ac:dyDescent="0.3">
      <c r="W1034537" s="195"/>
    </row>
    <row r="1034538" spans="23:23" x14ac:dyDescent="0.3">
      <c r="W1034538" s="195"/>
    </row>
    <row r="1034539" spans="23:23" x14ac:dyDescent="0.3">
      <c r="W1034539" s="195"/>
    </row>
    <row r="1034540" spans="23:23" x14ac:dyDescent="0.3">
      <c r="W1034540" s="195"/>
    </row>
    <row r="1034541" spans="23:23" x14ac:dyDescent="0.3">
      <c r="W1034541" s="195"/>
    </row>
    <row r="1034542" spans="23:23" x14ac:dyDescent="0.3">
      <c r="W1034542" s="195"/>
    </row>
    <row r="1034543" spans="23:23" x14ac:dyDescent="0.3">
      <c r="W1034543" s="195"/>
    </row>
    <row r="1034544" spans="23:23" x14ac:dyDescent="0.3">
      <c r="W1034544" s="195"/>
    </row>
    <row r="1034545" spans="23:23" x14ac:dyDescent="0.3">
      <c r="W1034545" s="195"/>
    </row>
    <row r="1034546" spans="23:23" x14ac:dyDescent="0.3">
      <c r="W1034546" s="195"/>
    </row>
    <row r="1034547" spans="23:23" x14ac:dyDescent="0.3">
      <c r="W1034547" s="195"/>
    </row>
    <row r="1034548" spans="23:23" x14ac:dyDescent="0.3">
      <c r="W1034548" s="195"/>
    </row>
    <row r="1034549" spans="23:23" x14ac:dyDescent="0.3">
      <c r="W1034549" s="195"/>
    </row>
    <row r="1034550" spans="23:23" x14ac:dyDescent="0.3">
      <c r="W1034550" s="195"/>
    </row>
    <row r="1034551" spans="23:23" x14ac:dyDescent="0.3">
      <c r="W1034551" s="195"/>
    </row>
    <row r="1034552" spans="23:23" x14ac:dyDescent="0.3">
      <c r="W1034552" s="195"/>
    </row>
    <row r="1034553" spans="23:23" x14ac:dyDescent="0.3">
      <c r="W1034553" s="195"/>
    </row>
    <row r="1034554" spans="23:23" x14ac:dyDescent="0.3">
      <c r="W1034554" s="195"/>
    </row>
    <row r="1034555" spans="23:23" x14ac:dyDescent="0.3">
      <c r="W1034555" s="195"/>
    </row>
    <row r="1034556" spans="23:23" x14ac:dyDescent="0.3">
      <c r="W1034556" s="195"/>
    </row>
    <row r="1034557" spans="23:23" x14ac:dyDescent="0.3">
      <c r="W1034557" s="195"/>
    </row>
    <row r="1034558" spans="23:23" x14ac:dyDescent="0.3">
      <c r="W1034558" s="195"/>
    </row>
    <row r="1034559" spans="23:23" x14ac:dyDescent="0.3">
      <c r="W1034559" s="195"/>
    </row>
    <row r="1034560" spans="23:23" x14ac:dyDescent="0.3">
      <c r="W1034560" s="195"/>
    </row>
    <row r="1034561" spans="23:23" x14ac:dyDescent="0.3">
      <c r="W1034561" s="195"/>
    </row>
    <row r="1034562" spans="23:23" x14ac:dyDescent="0.3">
      <c r="W1034562" s="195"/>
    </row>
    <row r="1034563" spans="23:23" x14ac:dyDescent="0.3">
      <c r="W1034563" s="195"/>
    </row>
    <row r="1034564" spans="23:23" x14ac:dyDescent="0.3">
      <c r="W1034564" s="195"/>
    </row>
    <row r="1034565" spans="23:23" x14ac:dyDescent="0.3">
      <c r="W1034565" s="195"/>
    </row>
    <row r="1034566" spans="23:23" x14ac:dyDescent="0.3">
      <c r="W1034566" s="195"/>
    </row>
  </sheetData>
  <phoneticPr fontId="5" type="noConversion"/>
  <conditionalFormatting sqref="G1178:Q1048576">
    <cfRule type="cellIs" dxfId="132" priority="15" operator="greaterThan">
      <formula>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09197-5588-4C1E-8675-A909D591C7FC}">
  <sheetPr codeName="Foglio1">
    <tabColor rgb="FFFFFF00"/>
  </sheetPr>
  <dimension ref="A1:FN2428"/>
  <sheetViews>
    <sheetView zoomScale="80" zoomScaleNormal="80" workbookViewId="0">
      <pane ySplit="7" topLeftCell="A8" activePane="bottomLeft" state="frozen"/>
      <selection pane="bottomLeft" activeCell="AA13" sqref="AA13"/>
    </sheetView>
  </sheetViews>
  <sheetFormatPr defaultRowHeight="14.4" x14ac:dyDescent="0.3"/>
  <cols>
    <col min="1" max="1" width="6.6640625" customWidth="1"/>
    <col min="2" max="2" width="17.33203125" bestFit="1" customWidth="1"/>
    <col min="3" max="3" width="12" style="9" customWidth="1"/>
    <col min="4" max="4" width="12.6640625" style="9" customWidth="1"/>
    <col min="5" max="5" width="6" bestFit="1" customWidth="1"/>
    <col min="6" max="6" width="6.6640625" customWidth="1"/>
    <col min="7" max="7" width="5.33203125" bestFit="1" customWidth="1"/>
    <col min="8" max="17" width="4.6640625" customWidth="1"/>
    <col min="18" max="18" width="4.6640625" style="12" customWidth="1"/>
    <col min="19" max="19" width="7.33203125" style="29" customWidth="1"/>
    <col min="20" max="20" width="7.5546875" bestFit="1" customWidth="1"/>
    <col min="21" max="22" width="10.44140625" bestFit="1" customWidth="1"/>
    <col min="23" max="23" width="9.6640625" customWidth="1"/>
    <col min="24" max="24" width="11.5546875" customWidth="1"/>
  </cols>
  <sheetData>
    <row r="1" spans="1:170" s="5" customFormat="1" ht="9" customHeight="1" x14ac:dyDescent="0.3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</row>
    <row r="2" spans="1:170" ht="9" customHeight="1" x14ac:dyDescent="0.3">
      <c r="C2"/>
      <c r="D2"/>
      <c r="R2"/>
      <c r="S2"/>
    </row>
    <row r="3" spans="1:170" x14ac:dyDescent="0.3">
      <c r="B3" s="182" t="s">
        <v>185</v>
      </c>
      <c r="C3" t="s">
        <v>367</v>
      </c>
      <c r="D3"/>
      <c r="R3"/>
      <c r="S3"/>
    </row>
    <row r="4" spans="1:170" x14ac:dyDescent="0.3">
      <c r="B4" s="181" t="s">
        <v>1</v>
      </c>
      <c r="C4" t="s">
        <v>367</v>
      </c>
      <c r="D4"/>
      <c r="R4"/>
      <c r="S4"/>
    </row>
    <row r="5" spans="1:170" x14ac:dyDescent="0.3">
      <c r="B5" s="181" t="s">
        <v>199</v>
      </c>
      <c r="C5" t="s">
        <v>367</v>
      </c>
      <c r="D5"/>
      <c r="R5"/>
      <c r="S5"/>
    </row>
    <row r="6" spans="1:170" ht="14.7" customHeight="1" x14ac:dyDescent="0.3">
      <c r="B6" s="181" t="s">
        <v>184</v>
      </c>
      <c r="C6" t="s">
        <v>1089</v>
      </c>
      <c r="D6"/>
      <c r="R6"/>
      <c r="S6"/>
    </row>
    <row r="7" spans="1:170" s="266" customFormat="1" x14ac:dyDescent="0.3"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</row>
    <row r="8" spans="1:170" ht="43.2" x14ac:dyDescent="0.3">
      <c r="B8" s="1" t="s">
        <v>186</v>
      </c>
      <c r="C8" s="11" t="s">
        <v>368</v>
      </c>
      <c r="D8" s="11" t="s">
        <v>369</v>
      </c>
      <c r="E8" s="2" t="s">
        <v>370</v>
      </c>
      <c r="F8" s="2" t="s">
        <v>371</v>
      </c>
      <c r="G8" s="2" t="s">
        <v>372</v>
      </c>
      <c r="H8" s="2" t="s">
        <v>373</v>
      </c>
      <c r="I8" s="2" t="s">
        <v>374</v>
      </c>
      <c r="J8" s="2" t="s">
        <v>375</v>
      </c>
      <c r="K8" s="2" t="s">
        <v>376</v>
      </c>
      <c r="L8" s="2" t="s">
        <v>377</v>
      </c>
      <c r="M8" s="2" t="s">
        <v>378</v>
      </c>
      <c r="N8" s="2" t="s">
        <v>379</v>
      </c>
      <c r="O8" s="2" t="s">
        <v>380</v>
      </c>
      <c r="P8" s="2" t="s">
        <v>381</v>
      </c>
      <c r="Q8" s="2" t="s">
        <v>173</v>
      </c>
      <c r="R8" s="2" t="s">
        <v>382</v>
      </c>
      <c r="S8" s="55" t="s">
        <v>383</v>
      </c>
      <c r="T8" s="2" t="s">
        <v>384</v>
      </c>
      <c r="U8" s="2" t="s">
        <v>419</v>
      </c>
      <c r="V8" s="265" t="s">
        <v>417</v>
      </c>
      <c r="W8" s="265" t="s">
        <v>418</v>
      </c>
      <c r="X8" s="265" t="s">
        <v>416</v>
      </c>
    </row>
    <row r="9" spans="1:170" x14ac:dyDescent="0.3">
      <c r="B9" s="8" t="s">
        <v>716</v>
      </c>
      <c r="C9" s="10">
        <v>7</v>
      </c>
      <c r="D9" s="10">
        <v>11.5</v>
      </c>
      <c r="E9" s="8">
        <v>23</v>
      </c>
      <c r="F9" s="8">
        <v>3</v>
      </c>
      <c r="G9" s="8">
        <v>0</v>
      </c>
      <c r="H9" s="8">
        <v>0</v>
      </c>
      <c r="I9" s="8">
        <v>0</v>
      </c>
      <c r="J9" s="8">
        <v>0</v>
      </c>
      <c r="K9" s="8">
        <v>0</v>
      </c>
      <c r="L9" s="8">
        <v>0</v>
      </c>
      <c r="M9" s="8">
        <v>0</v>
      </c>
      <c r="N9" s="8">
        <v>0</v>
      </c>
      <c r="O9" s="8"/>
      <c r="P9" s="8">
        <v>0</v>
      </c>
      <c r="Q9" s="8">
        <v>3</v>
      </c>
      <c r="R9" s="8">
        <v>1</v>
      </c>
      <c r="S9" s="317">
        <v>5.5</v>
      </c>
      <c r="T9" s="8">
        <v>5.5</v>
      </c>
      <c r="U9">
        <v>5.5</v>
      </c>
      <c r="V9">
        <v>1</v>
      </c>
      <c r="W9">
        <v>5.5</v>
      </c>
      <c r="X9">
        <v>1</v>
      </c>
    </row>
    <row r="10" spans="1:170" x14ac:dyDescent="0.3">
      <c r="B10" s="8" t="s">
        <v>355</v>
      </c>
      <c r="C10" s="10">
        <v>7</v>
      </c>
      <c r="D10" s="10">
        <v>11</v>
      </c>
      <c r="E10" s="8">
        <v>22</v>
      </c>
      <c r="F10" s="8">
        <v>1</v>
      </c>
      <c r="G10" s="8">
        <v>0</v>
      </c>
      <c r="H10" s="8">
        <v>0</v>
      </c>
      <c r="I10" s="8">
        <v>0</v>
      </c>
      <c r="J10" s="8">
        <v>1</v>
      </c>
      <c r="K10" s="8">
        <v>0</v>
      </c>
      <c r="L10" s="8">
        <v>0</v>
      </c>
      <c r="M10" s="8">
        <v>0</v>
      </c>
      <c r="N10" s="8">
        <v>0</v>
      </c>
      <c r="O10" s="8">
        <v>2</v>
      </c>
      <c r="P10" s="8">
        <v>0</v>
      </c>
      <c r="Q10" s="8">
        <v>2</v>
      </c>
      <c r="R10" s="8">
        <v>1</v>
      </c>
      <c r="S10" s="317">
        <v>11</v>
      </c>
      <c r="T10" s="8">
        <v>11</v>
      </c>
      <c r="U10">
        <v>11</v>
      </c>
      <c r="V10">
        <v>1</v>
      </c>
      <c r="W10">
        <v>11</v>
      </c>
      <c r="X10">
        <v>1</v>
      </c>
    </row>
    <row r="11" spans="1:170" x14ac:dyDescent="0.3">
      <c r="B11" s="8" t="s">
        <v>453</v>
      </c>
      <c r="C11" s="10">
        <v>7.25</v>
      </c>
      <c r="D11" s="10">
        <v>10.75</v>
      </c>
      <c r="E11" s="8">
        <v>21.5</v>
      </c>
      <c r="F11" s="8">
        <v>2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1</v>
      </c>
      <c r="O11" s="8"/>
      <c r="P11" s="8">
        <v>0</v>
      </c>
      <c r="Q11" s="8">
        <v>2</v>
      </c>
      <c r="R11" s="8"/>
      <c r="S11" s="317" t="s">
        <v>602</v>
      </c>
      <c r="T11" s="8">
        <v>0</v>
      </c>
      <c r="U11">
        <v>10</v>
      </c>
      <c r="V11">
        <v>1</v>
      </c>
      <c r="W11">
        <v>10</v>
      </c>
      <c r="X11">
        <v>1</v>
      </c>
    </row>
    <row r="12" spans="1:170" x14ac:dyDescent="0.3">
      <c r="A12" s="200"/>
      <c r="B12" s="8" t="s">
        <v>701</v>
      </c>
      <c r="C12" s="10">
        <v>7</v>
      </c>
      <c r="D12" s="10">
        <v>10.5</v>
      </c>
      <c r="E12" s="8">
        <v>21</v>
      </c>
      <c r="F12" s="8">
        <v>2</v>
      </c>
      <c r="G12" s="8">
        <v>0</v>
      </c>
      <c r="H12" s="8">
        <v>0</v>
      </c>
      <c r="I12" s="8">
        <v>0</v>
      </c>
      <c r="J12" s="8">
        <v>0</v>
      </c>
      <c r="K12" s="8">
        <v>0</v>
      </c>
      <c r="L12" s="8">
        <v>0</v>
      </c>
      <c r="M12" s="8">
        <v>0</v>
      </c>
      <c r="N12" s="8">
        <v>0</v>
      </c>
      <c r="O12" s="8">
        <v>1</v>
      </c>
      <c r="P12" s="8">
        <v>0</v>
      </c>
      <c r="Q12" s="8">
        <v>2</v>
      </c>
      <c r="R12" s="8">
        <v>1</v>
      </c>
      <c r="S12" s="317">
        <v>14.5</v>
      </c>
      <c r="T12" s="8">
        <v>14.5</v>
      </c>
      <c r="U12">
        <v>14.5</v>
      </c>
      <c r="V12">
        <v>1</v>
      </c>
      <c r="W12">
        <v>14.5</v>
      </c>
      <c r="X12">
        <v>1</v>
      </c>
    </row>
    <row r="13" spans="1:170" x14ac:dyDescent="0.3">
      <c r="A13" s="200"/>
      <c r="B13" s="8" t="s">
        <v>920</v>
      </c>
      <c r="C13" s="10">
        <v>7</v>
      </c>
      <c r="D13" s="10">
        <v>10.5</v>
      </c>
      <c r="E13" s="8">
        <v>21</v>
      </c>
      <c r="F13" s="8">
        <v>2</v>
      </c>
      <c r="G13" s="8">
        <v>0</v>
      </c>
      <c r="H13" s="8">
        <v>0</v>
      </c>
      <c r="I13" s="8">
        <v>0</v>
      </c>
      <c r="J13" s="8">
        <v>0</v>
      </c>
      <c r="K13" s="8">
        <v>0</v>
      </c>
      <c r="L13" s="8">
        <v>0</v>
      </c>
      <c r="M13" s="8">
        <v>0</v>
      </c>
      <c r="N13" s="8">
        <v>0</v>
      </c>
      <c r="O13" s="8">
        <v>1</v>
      </c>
      <c r="P13" s="8">
        <v>0</v>
      </c>
      <c r="Q13" s="8">
        <v>2</v>
      </c>
      <c r="R13" s="8"/>
      <c r="S13" s="317" t="s">
        <v>602</v>
      </c>
      <c r="T13" s="8">
        <v>0</v>
      </c>
      <c r="U13">
        <v>0</v>
      </c>
      <c r="W13">
        <v>0</v>
      </c>
    </row>
    <row r="14" spans="1:170" x14ac:dyDescent="0.3">
      <c r="B14" s="8" t="s">
        <v>747</v>
      </c>
      <c r="C14" s="10">
        <v>7</v>
      </c>
      <c r="D14" s="10">
        <v>10.5</v>
      </c>
      <c r="E14" s="8">
        <v>21</v>
      </c>
      <c r="F14" s="8">
        <v>2</v>
      </c>
      <c r="G14" s="8">
        <v>0</v>
      </c>
      <c r="H14" s="8">
        <v>0</v>
      </c>
      <c r="I14" s="8">
        <v>0</v>
      </c>
      <c r="J14" s="8">
        <v>0</v>
      </c>
      <c r="K14" s="8">
        <v>0</v>
      </c>
      <c r="L14" s="8">
        <v>0</v>
      </c>
      <c r="M14" s="8">
        <v>0</v>
      </c>
      <c r="N14" s="8">
        <v>0</v>
      </c>
      <c r="O14" s="8">
        <v>1</v>
      </c>
      <c r="P14" s="8">
        <v>0</v>
      </c>
      <c r="Q14" s="8">
        <v>2</v>
      </c>
      <c r="R14" s="8">
        <v>1</v>
      </c>
      <c r="S14" s="317">
        <v>11</v>
      </c>
      <c r="T14" s="8">
        <v>11</v>
      </c>
      <c r="U14">
        <v>11</v>
      </c>
      <c r="V14">
        <v>1</v>
      </c>
      <c r="W14">
        <v>11</v>
      </c>
      <c r="X14">
        <v>1</v>
      </c>
    </row>
    <row r="15" spans="1:170" x14ac:dyDescent="0.3">
      <c r="B15" s="8" t="s">
        <v>719</v>
      </c>
      <c r="C15" s="10">
        <v>6.75</v>
      </c>
      <c r="D15" s="10">
        <v>10.25</v>
      </c>
      <c r="E15" s="8">
        <v>20.5</v>
      </c>
      <c r="F15" s="8">
        <v>2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1</v>
      </c>
      <c r="P15" s="8">
        <v>0</v>
      </c>
      <c r="Q15" s="8">
        <v>2</v>
      </c>
      <c r="R15" s="8">
        <v>1</v>
      </c>
      <c r="S15" s="317">
        <v>9.5</v>
      </c>
      <c r="T15" s="8">
        <v>9.5</v>
      </c>
      <c r="U15">
        <v>9.5</v>
      </c>
      <c r="V15">
        <v>1</v>
      </c>
      <c r="W15">
        <v>9.5</v>
      </c>
      <c r="X15">
        <v>1</v>
      </c>
    </row>
    <row r="16" spans="1:170" x14ac:dyDescent="0.3">
      <c r="B16" s="8" t="s">
        <v>209</v>
      </c>
      <c r="C16" s="10">
        <v>6.75</v>
      </c>
      <c r="D16" s="10">
        <v>10.25</v>
      </c>
      <c r="E16" s="8">
        <v>20.5</v>
      </c>
      <c r="F16" s="8">
        <v>2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1</v>
      </c>
      <c r="P16" s="8">
        <v>0</v>
      </c>
      <c r="Q16" s="8">
        <v>2</v>
      </c>
      <c r="R16" s="8"/>
      <c r="S16" s="317" t="s">
        <v>602</v>
      </c>
      <c r="T16" s="8">
        <v>0</v>
      </c>
      <c r="U16">
        <v>0</v>
      </c>
      <c r="W16">
        <v>0</v>
      </c>
    </row>
    <row r="17" spans="2:24" x14ac:dyDescent="0.3">
      <c r="B17" s="8" t="s">
        <v>591</v>
      </c>
      <c r="C17" s="10">
        <v>6.75</v>
      </c>
      <c r="D17" s="10">
        <v>9.75</v>
      </c>
      <c r="E17" s="8">
        <v>19.5</v>
      </c>
      <c r="F17" s="8">
        <v>2</v>
      </c>
      <c r="G17" s="8">
        <v>0</v>
      </c>
      <c r="H17" s="8">
        <v>0</v>
      </c>
      <c r="I17" s="8">
        <v>0</v>
      </c>
      <c r="J17" s="8">
        <v>0</v>
      </c>
      <c r="K17" s="8">
        <v>0</v>
      </c>
      <c r="L17" s="8">
        <v>0</v>
      </c>
      <c r="M17" s="8">
        <v>0</v>
      </c>
      <c r="N17" s="8">
        <v>0</v>
      </c>
      <c r="O17" s="8"/>
      <c r="P17" s="8">
        <v>0</v>
      </c>
      <c r="Q17" s="8">
        <v>2</v>
      </c>
      <c r="R17" s="8">
        <v>1</v>
      </c>
      <c r="S17" s="317">
        <v>13.5</v>
      </c>
      <c r="T17" s="8">
        <v>13.5</v>
      </c>
      <c r="U17">
        <v>13.5</v>
      </c>
      <c r="V17">
        <v>1</v>
      </c>
      <c r="W17">
        <v>13.5</v>
      </c>
      <c r="X17">
        <v>1</v>
      </c>
    </row>
    <row r="18" spans="2:24" x14ac:dyDescent="0.3">
      <c r="B18" s="8" t="s">
        <v>837</v>
      </c>
      <c r="C18" s="10">
        <v>6.5</v>
      </c>
      <c r="D18" s="10">
        <v>9.5</v>
      </c>
      <c r="E18" s="8">
        <v>19</v>
      </c>
      <c r="F18" s="8">
        <v>2</v>
      </c>
      <c r="G18" s="8">
        <v>0</v>
      </c>
      <c r="H18" s="8">
        <v>0</v>
      </c>
      <c r="I18" s="8">
        <v>0</v>
      </c>
      <c r="J18" s="8">
        <v>0</v>
      </c>
      <c r="K18" s="8">
        <v>0</v>
      </c>
      <c r="L18" s="8">
        <v>0</v>
      </c>
      <c r="M18" s="8">
        <v>0</v>
      </c>
      <c r="N18" s="8">
        <v>0</v>
      </c>
      <c r="O18" s="8"/>
      <c r="P18" s="8">
        <v>0</v>
      </c>
      <c r="Q18" s="8">
        <v>2</v>
      </c>
      <c r="R18" s="8"/>
      <c r="S18" s="317" t="s">
        <v>602</v>
      </c>
      <c r="T18" s="8">
        <v>0</v>
      </c>
      <c r="U18">
        <v>0</v>
      </c>
      <c r="W18">
        <v>0</v>
      </c>
    </row>
    <row r="19" spans="2:24" x14ac:dyDescent="0.3">
      <c r="B19" s="8" t="s">
        <v>907</v>
      </c>
      <c r="C19" s="10">
        <v>6.75</v>
      </c>
      <c r="D19" s="10">
        <v>9.25</v>
      </c>
      <c r="E19" s="8">
        <v>18.5</v>
      </c>
      <c r="F19" s="8">
        <v>1</v>
      </c>
      <c r="G19" s="8">
        <v>0</v>
      </c>
      <c r="H19" s="8">
        <v>0</v>
      </c>
      <c r="I19" s="8">
        <v>0</v>
      </c>
      <c r="J19" s="8">
        <v>0</v>
      </c>
      <c r="K19" s="8">
        <v>0</v>
      </c>
      <c r="L19" s="8">
        <v>0</v>
      </c>
      <c r="M19" s="8">
        <v>0</v>
      </c>
      <c r="N19" s="8">
        <v>1</v>
      </c>
      <c r="O19" s="8">
        <v>1</v>
      </c>
      <c r="P19" s="8">
        <v>0</v>
      </c>
      <c r="Q19" s="8">
        <v>1</v>
      </c>
      <c r="R19" s="8">
        <v>1</v>
      </c>
      <c r="S19" s="317">
        <v>12.5</v>
      </c>
      <c r="T19" s="8">
        <v>12.5</v>
      </c>
      <c r="U19">
        <v>12.5</v>
      </c>
      <c r="V19">
        <v>1</v>
      </c>
      <c r="W19">
        <v>12.5</v>
      </c>
      <c r="X19">
        <v>1</v>
      </c>
    </row>
    <row r="20" spans="2:24" x14ac:dyDescent="0.3">
      <c r="B20" s="8" t="s">
        <v>295</v>
      </c>
      <c r="C20" s="10">
        <v>7</v>
      </c>
      <c r="D20" s="10">
        <v>9</v>
      </c>
      <c r="E20" s="8">
        <v>18</v>
      </c>
      <c r="F20" s="8">
        <v>1</v>
      </c>
      <c r="G20" s="8">
        <v>0</v>
      </c>
      <c r="H20" s="8">
        <v>0</v>
      </c>
      <c r="I20" s="8">
        <v>0</v>
      </c>
      <c r="J20" s="8">
        <v>0</v>
      </c>
      <c r="K20" s="8">
        <v>0</v>
      </c>
      <c r="L20" s="8">
        <v>0</v>
      </c>
      <c r="M20" s="8">
        <v>0</v>
      </c>
      <c r="N20" s="8">
        <v>0</v>
      </c>
      <c r="O20" s="8">
        <v>1</v>
      </c>
      <c r="P20" s="8">
        <v>0</v>
      </c>
      <c r="Q20" s="8">
        <v>1</v>
      </c>
      <c r="R20" s="8">
        <v>1</v>
      </c>
      <c r="S20" s="317">
        <v>6.5</v>
      </c>
      <c r="T20" s="8">
        <v>6.5</v>
      </c>
      <c r="U20">
        <v>6.5</v>
      </c>
      <c r="V20">
        <v>1</v>
      </c>
      <c r="W20">
        <v>6.5</v>
      </c>
      <c r="X20">
        <v>1</v>
      </c>
    </row>
    <row r="21" spans="2:24" x14ac:dyDescent="0.3">
      <c r="B21" s="8" t="s">
        <v>251</v>
      </c>
      <c r="C21" s="10">
        <v>7</v>
      </c>
      <c r="D21" s="10">
        <v>9</v>
      </c>
      <c r="E21" s="8">
        <v>18</v>
      </c>
      <c r="F21" s="8">
        <v>1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1</v>
      </c>
      <c r="O21" s="8"/>
      <c r="P21" s="8">
        <v>0</v>
      </c>
      <c r="Q21" s="8">
        <v>1</v>
      </c>
      <c r="R21" s="8"/>
      <c r="S21" s="317" t="s">
        <v>602</v>
      </c>
      <c r="T21" s="8">
        <v>0</v>
      </c>
      <c r="U21">
        <v>7.5</v>
      </c>
      <c r="V21">
        <v>1</v>
      </c>
      <c r="W21">
        <v>7.5</v>
      </c>
      <c r="X21">
        <v>1</v>
      </c>
    </row>
    <row r="22" spans="2:24" x14ac:dyDescent="0.3">
      <c r="B22" s="8" t="s">
        <v>609</v>
      </c>
      <c r="C22" s="10">
        <v>6.75</v>
      </c>
      <c r="D22" s="10">
        <v>8.75</v>
      </c>
      <c r="E22" s="8">
        <v>17.5</v>
      </c>
      <c r="F22" s="8">
        <v>1</v>
      </c>
      <c r="G22" s="8">
        <v>0</v>
      </c>
      <c r="H22" s="8">
        <v>0</v>
      </c>
      <c r="I22" s="8">
        <v>0</v>
      </c>
      <c r="J22" s="8">
        <v>0</v>
      </c>
      <c r="K22" s="8">
        <v>0</v>
      </c>
      <c r="L22" s="8">
        <v>0</v>
      </c>
      <c r="M22" s="8">
        <v>0</v>
      </c>
      <c r="N22" s="8">
        <v>1</v>
      </c>
      <c r="O22" s="8"/>
      <c r="P22" s="8">
        <v>0</v>
      </c>
      <c r="Q22" s="8">
        <v>1</v>
      </c>
      <c r="R22" s="8">
        <v>1</v>
      </c>
      <c r="S22" s="317">
        <v>10</v>
      </c>
      <c r="T22" s="8">
        <v>10</v>
      </c>
      <c r="U22">
        <v>10</v>
      </c>
      <c r="V22">
        <v>1</v>
      </c>
      <c r="W22">
        <v>10</v>
      </c>
      <c r="X22">
        <v>1</v>
      </c>
    </row>
    <row r="23" spans="2:24" x14ac:dyDescent="0.3">
      <c r="B23" s="8" t="s">
        <v>851</v>
      </c>
      <c r="C23" s="10">
        <v>6.5</v>
      </c>
      <c r="D23" s="10">
        <v>8.5</v>
      </c>
      <c r="E23" s="8">
        <v>17</v>
      </c>
      <c r="F23" s="8">
        <v>1</v>
      </c>
      <c r="G23" s="8">
        <v>0</v>
      </c>
      <c r="H23" s="8">
        <v>0</v>
      </c>
      <c r="I23" s="8">
        <v>0</v>
      </c>
      <c r="J23" s="8">
        <v>0</v>
      </c>
      <c r="K23" s="8">
        <v>0</v>
      </c>
      <c r="L23" s="8">
        <v>0</v>
      </c>
      <c r="M23" s="8">
        <v>0</v>
      </c>
      <c r="N23" s="8">
        <v>1</v>
      </c>
      <c r="O23" s="8"/>
      <c r="P23" s="8">
        <v>0</v>
      </c>
      <c r="Q23" s="8">
        <v>1</v>
      </c>
      <c r="R23" s="8"/>
      <c r="S23" s="317" t="s">
        <v>602</v>
      </c>
      <c r="T23" s="8">
        <v>0</v>
      </c>
      <c r="U23">
        <v>0</v>
      </c>
      <c r="W23">
        <v>0</v>
      </c>
    </row>
    <row r="24" spans="2:24" x14ac:dyDescent="0.3">
      <c r="B24" s="8" t="s">
        <v>715</v>
      </c>
      <c r="C24" s="10">
        <v>6.5</v>
      </c>
      <c r="D24" s="10">
        <v>8.5</v>
      </c>
      <c r="E24" s="8">
        <v>17</v>
      </c>
      <c r="F24" s="8">
        <v>1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1</v>
      </c>
      <c r="P24" s="8">
        <v>0</v>
      </c>
      <c r="Q24" s="8">
        <v>1</v>
      </c>
      <c r="R24" s="8">
        <v>1</v>
      </c>
      <c r="S24" s="317">
        <v>11</v>
      </c>
      <c r="T24" s="8">
        <v>11</v>
      </c>
      <c r="U24">
        <v>11</v>
      </c>
      <c r="V24">
        <v>1</v>
      </c>
      <c r="W24">
        <v>11</v>
      </c>
      <c r="X24">
        <v>1</v>
      </c>
    </row>
    <row r="25" spans="2:24" x14ac:dyDescent="0.3">
      <c r="B25" s="8" t="s">
        <v>906</v>
      </c>
      <c r="C25" s="10">
        <v>6.5</v>
      </c>
      <c r="D25" s="10">
        <v>8.5</v>
      </c>
      <c r="E25" s="8">
        <v>17</v>
      </c>
      <c r="F25" s="8">
        <v>1</v>
      </c>
      <c r="G25" s="8">
        <v>0</v>
      </c>
      <c r="H25" s="8">
        <v>0</v>
      </c>
      <c r="I25" s="8">
        <v>0</v>
      </c>
      <c r="J25" s="8">
        <v>0</v>
      </c>
      <c r="K25" s="8">
        <v>0</v>
      </c>
      <c r="L25" s="8">
        <v>0</v>
      </c>
      <c r="M25" s="8">
        <v>0</v>
      </c>
      <c r="N25" s="8">
        <v>0</v>
      </c>
      <c r="O25" s="8">
        <v>1</v>
      </c>
      <c r="P25" s="8">
        <v>0</v>
      </c>
      <c r="Q25" s="8">
        <v>1</v>
      </c>
      <c r="R25" s="8">
        <v>1</v>
      </c>
      <c r="S25" s="317">
        <v>6</v>
      </c>
      <c r="T25" s="8">
        <v>6</v>
      </c>
      <c r="U25">
        <v>6</v>
      </c>
      <c r="V25">
        <v>1</v>
      </c>
      <c r="W25">
        <v>6</v>
      </c>
      <c r="X25">
        <v>1</v>
      </c>
    </row>
    <row r="26" spans="2:24" x14ac:dyDescent="0.3">
      <c r="B26" s="8" t="s">
        <v>282</v>
      </c>
      <c r="C26" s="10">
        <v>7</v>
      </c>
      <c r="D26" s="10">
        <v>8.5</v>
      </c>
      <c r="E26" s="8">
        <v>17</v>
      </c>
      <c r="F26" s="8">
        <v>1</v>
      </c>
      <c r="G26" s="8">
        <v>0</v>
      </c>
      <c r="H26" s="8">
        <v>0</v>
      </c>
      <c r="I26" s="8">
        <v>0</v>
      </c>
      <c r="J26" s="8">
        <v>0</v>
      </c>
      <c r="K26" s="8">
        <v>0</v>
      </c>
      <c r="L26" s="8">
        <v>0</v>
      </c>
      <c r="M26" s="8">
        <v>0</v>
      </c>
      <c r="N26" s="8">
        <v>0</v>
      </c>
      <c r="O26" s="8"/>
      <c r="P26" s="8">
        <v>0</v>
      </c>
      <c r="Q26" s="8">
        <v>1</v>
      </c>
      <c r="R26" s="8"/>
      <c r="S26" s="317" t="s">
        <v>602</v>
      </c>
      <c r="T26" s="8">
        <v>0</v>
      </c>
      <c r="U26">
        <v>0</v>
      </c>
      <c r="W26">
        <v>0</v>
      </c>
    </row>
    <row r="27" spans="2:24" x14ac:dyDescent="0.3">
      <c r="B27" s="8" t="s">
        <v>776</v>
      </c>
      <c r="C27" s="10">
        <v>6.5</v>
      </c>
      <c r="D27" s="10">
        <v>8.5</v>
      </c>
      <c r="E27" s="8">
        <v>17</v>
      </c>
      <c r="F27" s="8">
        <v>1</v>
      </c>
      <c r="G27" s="8">
        <v>0</v>
      </c>
      <c r="H27" s="8">
        <v>0</v>
      </c>
      <c r="I27" s="8">
        <v>0</v>
      </c>
      <c r="J27" s="8">
        <v>0</v>
      </c>
      <c r="K27" s="8">
        <v>0</v>
      </c>
      <c r="L27" s="8">
        <v>0</v>
      </c>
      <c r="M27" s="8">
        <v>0</v>
      </c>
      <c r="N27" s="8">
        <v>0</v>
      </c>
      <c r="O27" s="8">
        <v>1</v>
      </c>
      <c r="P27" s="8">
        <v>0</v>
      </c>
      <c r="Q27" s="8">
        <v>1</v>
      </c>
      <c r="R27" s="8">
        <v>1</v>
      </c>
      <c r="S27" s="317">
        <v>6</v>
      </c>
      <c r="T27" s="8">
        <v>6</v>
      </c>
      <c r="U27">
        <v>6</v>
      </c>
      <c r="V27">
        <v>1</v>
      </c>
      <c r="W27">
        <v>6</v>
      </c>
      <c r="X27">
        <v>1</v>
      </c>
    </row>
    <row r="28" spans="2:24" x14ac:dyDescent="0.3">
      <c r="B28" s="8" t="s">
        <v>931</v>
      </c>
      <c r="C28" s="10">
        <v>7</v>
      </c>
      <c r="D28" s="10">
        <v>8.5</v>
      </c>
      <c r="E28" s="8">
        <v>17</v>
      </c>
      <c r="F28" s="8">
        <v>1</v>
      </c>
      <c r="G28" s="8">
        <v>0</v>
      </c>
      <c r="H28" s="8">
        <v>0</v>
      </c>
      <c r="I28" s="8">
        <v>0</v>
      </c>
      <c r="J28" s="8">
        <v>0</v>
      </c>
      <c r="K28" s="8">
        <v>0</v>
      </c>
      <c r="L28" s="8">
        <v>0</v>
      </c>
      <c r="M28" s="8">
        <v>0</v>
      </c>
      <c r="N28" s="8">
        <v>0</v>
      </c>
      <c r="O28" s="8"/>
      <c r="P28" s="8">
        <v>0</v>
      </c>
      <c r="Q28" s="8">
        <v>1</v>
      </c>
      <c r="R28" s="8"/>
      <c r="S28" s="317" t="s">
        <v>602</v>
      </c>
      <c r="T28" s="8">
        <v>0</v>
      </c>
      <c r="U28">
        <v>0</v>
      </c>
      <c r="W28">
        <v>0</v>
      </c>
    </row>
    <row r="29" spans="2:24" x14ac:dyDescent="0.3">
      <c r="B29" s="8" t="s">
        <v>563</v>
      </c>
      <c r="C29" s="10">
        <v>6.5</v>
      </c>
      <c r="D29" s="10">
        <v>8.5</v>
      </c>
      <c r="E29" s="8">
        <v>17</v>
      </c>
      <c r="F29" s="8">
        <v>1</v>
      </c>
      <c r="G29" s="8">
        <v>0</v>
      </c>
      <c r="H29" s="8">
        <v>0</v>
      </c>
      <c r="I29" s="8">
        <v>0</v>
      </c>
      <c r="J29" s="8">
        <v>0</v>
      </c>
      <c r="K29" s="8">
        <v>0</v>
      </c>
      <c r="L29" s="8">
        <v>0</v>
      </c>
      <c r="M29" s="8">
        <v>0</v>
      </c>
      <c r="N29" s="8">
        <v>1</v>
      </c>
      <c r="O29" s="8"/>
      <c r="P29" s="8">
        <v>0</v>
      </c>
      <c r="Q29" s="8">
        <v>1</v>
      </c>
      <c r="R29" s="8"/>
      <c r="S29" s="317" t="s">
        <v>602</v>
      </c>
      <c r="T29" s="8">
        <v>0</v>
      </c>
      <c r="U29">
        <v>0</v>
      </c>
      <c r="W29">
        <v>0</v>
      </c>
    </row>
    <row r="30" spans="2:24" x14ac:dyDescent="0.3">
      <c r="B30" s="8" t="s">
        <v>677</v>
      </c>
      <c r="C30" s="10">
        <v>6.75</v>
      </c>
      <c r="D30" s="10">
        <v>8.25</v>
      </c>
      <c r="E30" s="8">
        <v>16.5</v>
      </c>
      <c r="F30" s="8">
        <v>1</v>
      </c>
      <c r="G30" s="8">
        <v>0</v>
      </c>
      <c r="H30" s="8">
        <v>0</v>
      </c>
      <c r="I30" s="8">
        <v>0</v>
      </c>
      <c r="J30" s="8">
        <v>0</v>
      </c>
      <c r="K30" s="8">
        <v>0</v>
      </c>
      <c r="L30" s="8">
        <v>0</v>
      </c>
      <c r="M30" s="8">
        <v>0</v>
      </c>
      <c r="N30" s="8">
        <v>0</v>
      </c>
      <c r="O30" s="8"/>
      <c r="P30" s="8">
        <v>0</v>
      </c>
      <c r="Q30" s="8">
        <v>1</v>
      </c>
      <c r="R30" s="8"/>
      <c r="S30" s="317" t="s">
        <v>602</v>
      </c>
      <c r="T30" s="8">
        <v>0</v>
      </c>
      <c r="U30">
        <v>0</v>
      </c>
      <c r="W30">
        <v>0</v>
      </c>
    </row>
    <row r="31" spans="2:24" x14ac:dyDescent="0.3">
      <c r="B31" s="8" t="s">
        <v>857</v>
      </c>
      <c r="C31" s="10">
        <v>6.75</v>
      </c>
      <c r="D31" s="10">
        <v>8.25</v>
      </c>
      <c r="E31" s="8">
        <v>16.5</v>
      </c>
      <c r="F31" s="8">
        <v>1</v>
      </c>
      <c r="G31" s="8">
        <v>0</v>
      </c>
      <c r="H31" s="8">
        <v>0</v>
      </c>
      <c r="I31" s="8">
        <v>0</v>
      </c>
      <c r="J31" s="8">
        <v>0</v>
      </c>
      <c r="K31" s="8">
        <v>0</v>
      </c>
      <c r="L31" s="8">
        <v>0</v>
      </c>
      <c r="M31" s="8">
        <v>0</v>
      </c>
      <c r="N31" s="8">
        <v>0</v>
      </c>
      <c r="O31" s="8"/>
      <c r="P31" s="8">
        <v>0</v>
      </c>
      <c r="Q31" s="8">
        <v>1</v>
      </c>
      <c r="R31" s="8"/>
      <c r="S31" s="317" t="s">
        <v>602</v>
      </c>
      <c r="T31" s="8">
        <v>0</v>
      </c>
      <c r="U31">
        <v>0</v>
      </c>
      <c r="W31">
        <v>0</v>
      </c>
    </row>
    <row r="32" spans="2:24" x14ac:dyDescent="0.3">
      <c r="B32" s="8" t="s">
        <v>330</v>
      </c>
      <c r="C32" s="10">
        <v>6.5</v>
      </c>
      <c r="D32" s="10">
        <v>8</v>
      </c>
      <c r="E32" s="8">
        <v>16</v>
      </c>
      <c r="F32" s="8">
        <v>1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/>
      <c r="P32" s="8">
        <v>0</v>
      </c>
      <c r="Q32" s="8">
        <v>1</v>
      </c>
      <c r="R32" s="8">
        <v>1</v>
      </c>
      <c r="S32" s="317">
        <v>6</v>
      </c>
      <c r="T32" s="8">
        <v>6</v>
      </c>
      <c r="U32">
        <v>6</v>
      </c>
      <c r="V32">
        <v>1</v>
      </c>
      <c r="W32">
        <v>6</v>
      </c>
      <c r="X32">
        <v>1</v>
      </c>
    </row>
    <row r="33" spans="2:24" x14ac:dyDescent="0.3">
      <c r="B33" s="8" t="s">
        <v>915</v>
      </c>
      <c r="C33" s="10">
        <v>6.5</v>
      </c>
      <c r="D33" s="10">
        <v>8</v>
      </c>
      <c r="E33" s="8">
        <v>16</v>
      </c>
      <c r="F33" s="8">
        <v>1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/>
      <c r="P33" s="8">
        <v>0</v>
      </c>
      <c r="Q33" s="8">
        <v>1</v>
      </c>
      <c r="R33" s="8"/>
      <c r="S33" s="317" t="s">
        <v>602</v>
      </c>
      <c r="T33" s="8">
        <v>0</v>
      </c>
      <c r="U33">
        <v>0</v>
      </c>
      <c r="W33">
        <v>0</v>
      </c>
    </row>
    <row r="34" spans="2:24" x14ac:dyDescent="0.3">
      <c r="B34" s="8" t="s">
        <v>641</v>
      </c>
      <c r="C34" s="10">
        <v>6.5</v>
      </c>
      <c r="D34" s="10">
        <v>8</v>
      </c>
      <c r="E34" s="8">
        <v>16</v>
      </c>
      <c r="F34" s="8">
        <v>1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/>
      <c r="P34" s="8">
        <v>0</v>
      </c>
      <c r="Q34" s="8">
        <v>1</v>
      </c>
      <c r="R34" s="8"/>
      <c r="S34" s="317" t="s">
        <v>602</v>
      </c>
      <c r="T34" s="8">
        <v>0</v>
      </c>
      <c r="U34">
        <v>0</v>
      </c>
      <c r="W34">
        <v>0</v>
      </c>
    </row>
    <row r="35" spans="2:24" x14ac:dyDescent="0.3">
      <c r="B35" s="8" t="s">
        <v>890</v>
      </c>
      <c r="C35" s="10">
        <v>6.5</v>
      </c>
      <c r="D35" s="10">
        <v>8</v>
      </c>
      <c r="E35" s="8">
        <v>16</v>
      </c>
      <c r="F35" s="8">
        <v>1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/>
      <c r="P35" s="8">
        <v>0</v>
      </c>
      <c r="Q35" s="8">
        <v>1</v>
      </c>
      <c r="R35" s="8"/>
      <c r="S35" s="317" t="s">
        <v>602</v>
      </c>
      <c r="T35" s="8">
        <v>0</v>
      </c>
      <c r="U35">
        <v>10</v>
      </c>
      <c r="V35">
        <v>1</v>
      </c>
      <c r="W35">
        <v>10</v>
      </c>
      <c r="X35">
        <v>1</v>
      </c>
    </row>
    <row r="36" spans="2:24" x14ac:dyDescent="0.3">
      <c r="B36" s="8" t="s">
        <v>539</v>
      </c>
      <c r="C36" s="10">
        <v>6.5</v>
      </c>
      <c r="D36" s="10">
        <v>8</v>
      </c>
      <c r="E36" s="8">
        <v>16</v>
      </c>
      <c r="F36" s="8">
        <v>1</v>
      </c>
      <c r="G36" s="8">
        <v>0</v>
      </c>
      <c r="H36" s="8">
        <v>0</v>
      </c>
      <c r="I36" s="8">
        <v>0</v>
      </c>
      <c r="J36" s="8">
        <v>0</v>
      </c>
      <c r="K36" s="8">
        <v>0</v>
      </c>
      <c r="L36" s="8">
        <v>0</v>
      </c>
      <c r="M36" s="8">
        <v>0</v>
      </c>
      <c r="N36" s="8">
        <v>0</v>
      </c>
      <c r="O36" s="8"/>
      <c r="P36" s="8">
        <v>0</v>
      </c>
      <c r="Q36" s="8">
        <v>1</v>
      </c>
      <c r="R36" s="8"/>
      <c r="S36" s="317" t="s">
        <v>602</v>
      </c>
      <c r="T36" s="8">
        <v>0</v>
      </c>
      <c r="U36">
        <v>0</v>
      </c>
      <c r="W36">
        <v>0</v>
      </c>
    </row>
    <row r="37" spans="2:24" x14ac:dyDescent="0.3">
      <c r="B37" s="8" t="s">
        <v>276</v>
      </c>
      <c r="C37" s="10">
        <v>6.5</v>
      </c>
      <c r="D37" s="10">
        <v>8</v>
      </c>
      <c r="E37" s="8">
        <v>16</v>
      </c>
      <c r="F37" s="8">
        <v>1</v>
      </c>
      <c r="G37" s="8">
        <v>0</v>
      </c>
      <c r="H37" s="8">
        <v>0</v>
      </c>
      <c r="I37" s="8">
        <v>0</v>
      </c>
      <c r="J37" s="8">
        <v>0</v>
      </c>
      <c r="K37" s="8">
        <v>0</v>
      </c>
      <c r="L37" s="8">
        <v>0</v>
      </c>
      <c r="M37" s="8">
        <v>0</v>
      </c>
      <c r="N37" s="8">
        <v>0</v>
      </c>
      <c r="O37" s="8"/>
      <c r="P37" s="8">
        <v>0</v>
      </c>
      <c r="Q37" s="8">
        <v>1</v>
      </c>
      <c r="R37" s="8">
        <v>1</v>
      </c>
      <c r="S37" s="317">
        <v>5.5</v>
      </c>
      <c r="T37" s="8">
        <v>5.5</v>
      </c>
      <c r="U37">
        <v>5.5</v>
      </c>
      <c r="V37">
        <v>1</v>
      </c>
      <c r="W37">
        <v>5.5</v>
      </c>
      <c r="X37">
        <v>1</v>
      </c>
    </row>
    <row r="38" spans="2:24" x14ac:dyDescent="0.3">
      <c r="B38" s="8" t="s">
        <v>258</v>
      </c>
      <c r="C38" s="10">
        <v>6.5</v>
      </c>
      <c r="D38" s="10">
        <v>8</v>
      </c>
      <c r="E38" s="8">
        <v>16</v>
      </c>
      <c r="F38" s="8">
        <v>1</v>
      </c>
      <c r="G38" s="8">
        <v>0</v>
      </c>
      <c r="H38" s="8">
        <v>0</v>
      </c>
      <c r="I38" s="8">
        <v>0</v>
      </c>
      <c r="J38" s="8">
        <v>0</v>
      </c>
      <c r="K38" s="8">
        <v>0</v>
      </c>
      <c r="L38" s="8">
        <v>0</v>
      </c>
      <c r="M38" s="8">
        <v>0</v>
      </c>
      <c r="N38" s="8">
        <v>0</v>
      </c>
      <c r="O38" s="8"/>
      <c r="P38" s="8">
        <v>0</v>
      </c>
      <c r="Q38" s="8">
        <v>1</v>
      </c>
      <c r="R38" s="8">
        <v>1</v>
      </c>
      <c r="S38" s="317">
        <v>10</v>
      </c>
      <c r="T38" s="8">
        <v>10</v>
      </c>
      <c r="U38">
        <v>10</v>
      </c>
      <c r="V38">
        <v>1</v>
      </c>
      <c r="W38">
        <v>10</v>
      </c>
      <c r="X38">
        <v>1</v>
      </c>
    </row>
    <row r="39" spans="2:24" x14ac:dyDescent="0.3">
      <c r="B39" s="8" t="s">
        <v>688</v>
      </c>
      <c r="C39" s="10">
        <v>6.5</v>
      </c>
      <c r="D39" s="10">
        <v>8</v>
      </c>
      <c r="E39" s="8">
        <v>16</v>
      </c>
      <c r="F39" s="8">
        <v>1</v>
      </c>
      <c r="G39" s="8">
        <v>0</v>
      </c>
      <c r="H39" s="8">
        <v>0</v>
      </c>
      <c r="I39" s="8">
        <v>0</v>
      </c>
      <c r="J39" s="8">
        <v>0</v>
      </c>
      <c r="K39" s="8">
        <v>0</v>
      </c>
      <c r="L39" s="8">
        <v>0</v>
      </c>
      <c r="M39" s="8">
        <v>0</v>
      </c>
      <c r="N39" s="8">
        <v>0</v>
      </c>
      <c r="O39" s="8"/>
      <c r="P39" s="8">
        <v>0</v>
      </c>
      <c r="Q39" s="8">
        <v>1</v>
      </c>
      <c r="R39" s="8">
        <v>1</v>
      </c>
      <c r="S39" s="317">
        <v>6</v>
      </c>
      <c r="T39" s="8">
        <v>6</v>
      </c>
      <c r="U39">
        <v>6</v>
      </c>
      <c r="V39">
        <v>1</v>
      </c>
      <c r="W39">
        <v>6</v>
      </c>
      <c r="X39">
        <v>1</v>
      </c>
    </row>
    <row r="40" spans="2:24" x14ac:dyDescent="0.3">
      <c r="B40" s="8" t="s">
        <v>640</v>
      </c>
      <c r="C40" s="10">
        <v>6.25</v>
      </c>
      <c r="D40" s="10">
        <v>7.75</v>
      </c>
      <c r="E40" s="8">
        <v>15.5</v>
      </c>
      <c r="F40" s="8">
        <v>1</v>
      </c>
      <c r="G40" s="8">
        <v>0</v>
      </c>
      <c r="H40" s="8">
        <v>0</v>
      </c>
      <c r="I40" s="8">
        <v>0</v>
      </c>
      <c r="J40" s="8">
        <v>0</v>
      </c>
      <c r="K40" s="8">
        <v>0</v>
      </c>
      <c r="L40" s="8">
        <v>0</v>
      </c>
      <c r="M40" s="8">
        <v>0</v>
      </c>
      <c r="N40" s="8">
        <v>0</v>
      </c>
      <c r="O40" s="8"/>
      <c r="P40" s="8">
        <v>0</v>
      </c>
      <c r="Q40" s="8">
        <v>1</v>
      </c>
      <c r="R40" s="8"/>
      <c r="S40" s="317" t="s">
        <v>602</v>
      </c>
      <c r="T40" s="8">
        <v>0</v>
      </c>
      <c r="U40">
        <v>10</v>
      </c>
      <c r="V40">
        <v>1</v>
      </c>
      <c r="W40">
        <v>10</v>
      </c>
      <c r="X40">
        <v>1</v>
      </c>
    </row>
    <row r="41" spans="2:24" x14ac:dyDescent="0.3">
      <c r="B41" s="8" t="s">
        <v>693</v>
      </c>
      <c r="C41" s="10">
        <v>6.5</v>
      </c>
      <c r="D41" s="10">
        <v>7.75</v>
      </c>
      <c r="E41" s="8">
        <v>15.5</v>
      </c>
      <c r="F41" s="8">
        <v>1</v>
      </c>
      <c r="G41" s="8">
        <v>0</v>
      </c>
      <c r="H41" s="8">
        <v>0</v>
      </c>
      <c r="I41" s="8">
        <v>0</v>
      </c>
      <c r="J41" s="8">
        <v>0</v>
      </c>
      <c r="K41" s="8">
        <v>0</v>
      </c>
      <c r="L41" s="8">
        <v>1</v>
      </c>
      <c r="M41" s="8">
        <v>0</v>
      </c>
      <c r="N41" s="8">
        <v>0</v>
      </c>
      <c r="O41" s="8"/>
      <c r="P41" s="8">
        <v>0</v>
      </c>
      <c r="Q41" s="8">
        <v>1</v>
      </c>
      <c r="R41" s="8">
        <v>1</v>
      </c>
      <c r="S41" s="317">
        <v>9.5</v>
      </c>
      <c r="T41" s="8">
        <v>9.5</v>
      </c>
      <c r="U41">
        <v>9.5</v>
      </c>
      <c r="V41">
        <v>1</v>
      </c>
      <c r="W41">
        <v>9.5</v>
      </c>
      <c r="X41">
        <v>1</v>
      </c>
    </row>
    <row r="42" spans="2:24" x14ac:dyDescent="0.3">
      <c r="B42" s="8" t="s">
        <v>988</v>
      </c>
      <c r="C42" s="10">
        <v>6.25</v>
      </c>
      <c r="D42" s="10">
        <v>7.75</v>
      </c>
      <c r="E42" s="8">
        <v>15.5</v>
      </c>
      <c r="F42" s="8">
        <v>1</v>
      </c>
      <c r="G42" s="8">
        <v>0</v>
      </c>
      <c r="H42" s="8">
        <v>0</v>
      </c>
      <c r="I42" s="8">
        <v>0</v>
      </c>
      <c r="J42" s="8">
        <v>0</v>
      </c>
      <c r="K42" s="8">
        <v>0</v>
      </c>
      <c r="L42" s="8">
        <v>0</v>
      </c>
      <c r="M42" s="8">
        <v>0</v>
      </c>
      <c r="N42" s="8">
        <v>0</v>
      </c>
      <c r="O42" s="8"/>
      <c r="P42" s="8">
        <v>0</v>
      </c>
      <c r="Q42" s="8">
        <v>1</v>
      </c>
      <c r="R42" s="8"/>
      <c r="S42" s="317" t="s">
        <v>602</v>
      </c>
      <c r="T42" s="8">
        <v>0</v>
      </c>
      <c r="U42">
        <v>10</v>
      </c>
      <c r="V42">
        <v>1</v>
      </c>
      <c r="W42">
        <v>10</v>
      </c>
      <c r="X42">
        <v>1</v>
      </c>
    </row>
    <row r="43" spans="2:24" x14ac:dyDescent="0.3">
      <c r="B43" s="8" t="s">
        <v>896</v>
      </c>
      <c r="C43" s="10">
        <v>6.5</v>
      </c>
      <c r="D43" s="10">
        <v>7.75</v>
      </c>
      <c r="E43" s="8">
        <v>15.5</v>
      </c>
      <c r="F43" s="8">
        <v>1</v>
      </c>
      <c r="G43" s="8">
        <v>0</v>
      </c>
      <c r="H43" s="8">
        <v>0</v>
      </c>
      <c r="I43" s="8">
        <v>0</v>
      </c>
      <c r="J43" s="8">
        <v>0</v>
      </c>
      <c r="K43" s="8">
        <v>0</v>
      </c>
      <c r="L43" s="8">
        <v>1</v>
      </c>
      <c r="M43" s="8">
        <v>0</v>
      </c>
      <c r="N43" s="8">
        <v>0</v>
      </c>
      <c r="O43" s="8"/>
      <c r="P43" s="8">
        <v>0</v>
      </c>
      <c r="Q43" s="8">
        <v>1</v>
      </c>
      <c r="R43" s="8">
        <v>1</v>
      </c>
      <c r="S43" s="317">
        <v>10</v>
      </c>
      <c r="T43" s="8">
        <v>10</v>
      </c>
      <c r="U43">
        <v>10</v>
      </c>
      <c r="V43">
        <v>1</v>
      </c>
      <c r="W43">
        <v>10</v>
      </c>
      <c r="X43">
        <v>1</v>
      </c>
    </row>
    <row r="44" spans="2:24" x14ac:dyDescent="0.3">
      <c r="B44" s="8" t="s">
        <v>891</v>
      </c>
      <c r="C44" s="10">
        <v>6.25</v>
      </c>
      <c r="D44" s="10">
        <v>7.75</v>
      </c>
      <c r="E44" s="8">
        <v>15.5</v>
      </c>
      <c r="F44" s="8">
        <v>1</v>
      </c>
      <c r="G44" s="8">
        <v>0</v>
      </c>
      <c r="H44" s="8">
        <v>0</v>
      </c>
      <c r="I44" s="8">
        <v>0</v>
      </c>
      <c r="J44" s="8">
        <v>0</v>
      </c>
      <c r="K44" s="8">
        <v>0</v>
      </c>
      <c r="L44" s="8">
        <v>0</v>
      </c>
      <c r="M44" s="8">
        <v>0</v>
      </c>
      <c r="N44" s="8">
        <v>0</v>
      </c>
      <c r="O44" s="8"/>
      <c r="P44" s="8">
        <v>0</v>
      </c>
      <c r="Q44" s="8">
        <v>1</v>
      </c>
      <c r="R44" s="8">
        <v>1</v>
      </c>
      <c r="S44" s="317">
        <v>5.5</v>
      </c>
      <c r="T44" s="8">
        <v>5.5</v>
      </c>
      <c r="U44">
        <v>0</v>
      </c>
      <c r="W44">
        <v>0</v>
      </c>
    </row>
    <row r="45" spans="2:24" x14ac:dyDescent="0.3">
      <c r="B45" s="318" t="s">
        <v>870</v>
      </c>
      <c r="C45" s="10">
        <v>6.25</v>
      </c>
      <c r="D45" s="10">
        <v>7.75</v>
      </c>
      <c r="E45" s="8">
        <v>15.5</v>
      </c>
      <c r="F45" s="8">
        <v>1</v>
      </c>
      <c r="G45" s="8">
        <v>0</v>
      </c>
      <c r="H45" s="8">
        <v>0</v>
      </c>
      <c r="I45" s="8">
        <v>0</v>
      </c>
      <c r="J45" s="8">
        <v>0</v>
      </c>
      <c r="K45" s="8">
        <v>0</v>
      </c>
      <c r="L45" s="8">
        <v>0</v>
      </c>
      <c r="M45" s="8">
        <v>0</v>
      </c>
      <c r="N45" s="8">
        <v>0</v>
      </c>
      <c r="O45" s="8"/>
      <c r="P45" s="8">
        <v>0</v>
      </c>
      <c r="Q45" s="8">
        <v>1</v>
      </c>
      <c r="R45" s="8"/>
      <c r="S45" s="317" t="s">
        <v>602</v>
      </c>
      <c r="T45" s="8">
        <v>0</v>
      </c>
      <c r="U45">
        <v>10</v>
      </c>
      <c r="V45">
        <v>1</v>
      </c>
      <c r="W45">
        <v>10</v>
      </c>
      <c r="X45">
        <v>1</v>
      </c>
    </row>
    <row r="46" spans="2:24" x14ac:dyDescent="0.3">
      <c r="B46" s="8" t="s">
        <v>268</v>
      </c>
      <c r="C46" s="10">
        <v>6</v>
      </c>
      <c r="D46" s="10">
        <v>7.5</v>
      </c>
      <c r="E46" s="8">
        <v>15</v>
      </c>
      <c r="F46" s="8">
        <v>1</v>
      </c>
      <c r="G46" s="8">
        <v>0</v>
      </c>
      <c r="H46" s="8">
        <v>0</v>
      </c>
      <c r="I46" s="8">
        <v>0</v>
      </c>
      <c r="J46" s="8">
        <v>0</v>
      </c>
      <c r="K46" s="8">
        <v>0</v>
      </c>
      <c r="L46" s="8">
        <v>0</v>
      </c>
      <c r="M46" s="8">
        <v>0</v>
      </c>
      <c r="N46" s="8">
        <v>0</v>
      </c>
      <c r="O46" s="8"/>
      <c r="P46" s="8">
        <v>0</v>
      </c>
      <c r="Q46" s="8">
        <v>1</v>
      </c>
      <c r="R46" s="8">
        <v>1</v>
      </c>
      <c r="S46" s="317">
        <v>9.5</v>
      </c>
      <c r="T46" s="8">
        <v>9.5</v>
      </c>
      <c r="U46">
        <v>9.5</v>
      </c>
      <c r="V46">
        <v>1</v>
      </c>
      <c r="W46">
        <v>9.5</v>
      </c>
      <c r="X46">
        <v>1</v>
      </c>
    </row>
    <row r="47" spans="2:24" x14ac:dyDescent="0.3">
      <c r="B47" s="8" t="s">
        <v>815</v>
      </c>
      <c r="C47" s="10">
        <v>6</v>
      </c>
      <c r="D47" s="10">
        <v>7.5</v>
      </c>
      <c r="E47" s="8">
        <v>15</v>
      </c>
      <c r="F47" s="8">
        <v>1</v>
      </c>
      <c r="G47" s="8">
        <v>0</v>
      </c>
      <c r="H47" s="8">
        <v>0</v>
      </c>
      <c r="I47" s="8">
        <v>0</v>
      </c>
      <c r="J47" s="8">
        <v>0</v>
      </c>
      <c r="K47" s="8">
        <v>0</v>
      </c>
      <c r="L47" s="8">
        <v>0</v>
      </c>
      <c r="M47" s="8">
        <v>0</v>
      </c>
      <c r="N47" s="8">
        <v>0</v>
      </c>
      <c r="O47" s="8"/>
      <c r="P47" s="8">
        <v>0</v>
      </c>
      <c r="Q47" s="8">
        <v>1</v>
      </c>
      <c r="R47" s="8"/>
      <c r="S47" s="317" t="s">
        <v>602</v>
      </c>
      <c r="T47" s="8">
        <v>0</v>
      </c>
      <c r="U47">
        <v>0</v>
      </c>
      <c r="W47">
        <v>0</v>
      </c>
    </row>
    <row r="48" spans="2:24" x14ac:dyDescent="0.3">
      <c r="B48" s="8" t="s">
        <v>983</v>
      </c>
      <c r="C48" s="10">
        <v>6</v>
      </c>
      <c r="D48" s="10">
        <v>7.5</v>
      </c>
      <c r="E48" s="8">
        <v>15</v>
      </c>
      <c r="F48" s="8">
        <v>1</v>
      </c>
      <c r="G48" s="8">
        <v>0</v>
      </c>
      <c r="H48" s="8">
        <v>0</v>
      </c>
      <c r="I48" s="8">
        <v>0</v>
      </c>
      <c r="J48" s="8">
        <v>0</v>
      </c>
      <c r="K48" s="8">
        <v>0</v>
      </c>
      <c r="L48" s="8">
        <v>0</v>
      </c>
      <c r="M48" s="8">
        <v>0</v>
      </c>
      <c r="N48" s="8">
        <v>0</v>
      </c>
      <c r="O48" s="8"/>
      <c r="P48" s="8">
        <v>0</v>
      </c>
      <c r="Q48" s="8">
        <v>1</v>
      </c>
      <c r="R48" s="8">
        <v>1</v>
      </c>
      <c r="S48" s="317">
        <v>5.5</v>
      </c>
      <c r="T48" s="8">
        <v>5.5</v>
      </c>
      <c r="U48">
        <v>5.5</v>
      </c>
      <c r="V48">
        <v>1</v>
      </c>
      <c r="W48">
        <v>0</v>
      </c>
    </row>
    <row r="49" spans="2:24" x14ac:dyDescent="0.3">
      <c r="B49" s="8" t="s">
        <v>953</v>
      </c>
      <c r="C49" s="10">
        <v>6</v>
      </c>
      <c r="D49" s="10">
        <v>7.5</v>
      </c>
      <c r="E49" s="8">
        <v>15</v>
      </c>
      <c r="F49" s="8">
        <v>1</v>
      </c>
      <c r="G49" s="8">
        <v>0</v>
      </c>
      <c r="H49" s="8">
        <v>0</v>
      </c>
      <c r="I49" s="8">
        <v>0</v>
      </c>
      <c r="J49" s="8">
        <v>0</v>
      </c>
      <c r="K49" s="8">
        <v>0</v>
      </c>
      <c r="L49" s="8">
        <v>0</v>
      </c>
      <c r="M49" s="8">
        <v>0</v>
      </c>
      <c r="N49" s="8">
        <v>0</v>
      </c>
      <c r="O49" s="8"/>
      <c r="P49" s="8">
        <v>0</v>
      </c>
      <c r="Q49" s="8">
        <v>1</v>
      </c>
      <c r="R49" s="8"/>
      <c r="S49" s="317" t="s">
        <v>602</v>
      </c>
      <c r="T49" s="8">
        <v>0</v>
      </c>
      <c r="U49">
        <v>0</v>
      </c>
      <c r="W49">
        <v>0</v>
      </c>
    </row>
    <row r="50" spans="2:24" x14ac:dyDescent="0.3">
      <c r="B50" s="8" t="s">
        <v>833</v>
      </c>
      <c r="C50" s="10">
        <v>6.25</v>
      </c>
      <c r="D50" s="10">
        <v>7.5</v>
      </c>
      <c r="E50" s="8">
        <v>15</v>
      </c>
      <c r="F50" s="8">
        <v>1</v>
      </c>
      <c r="G50" s="8">
        <v>0</v>
      </c>
      <c r="H50" s="8">
        <v>0</v>
      </c>
      <c r="I50" s="8">
        <v>0</v>
      </c>
      <c r="J50" s="8">
        <v>0</v>
      </c>
      <c r="K50" s="8">
        <v>0</v>
      </c>
      <c r="L50" s="8">
        <v>1</v>
      </c>
      <c r="M50" s="8">
        <v>0</v>
      </c>
      <c r="N50" s="8">
        <v>0</v>
      </c>
      <c r="O50" s="8"/>
      <c r="P50" s="8">
        <v>0</v>
      </c>
      <c r="Q50" s="8">
        <v>1</v>
      </c>
      <c r="R50" s="8">
        <v>1</v>
      </c>
      <c r="S50" s="317">
        <v>9.5</v>
      </c>
      <c r="T50" s="8">
        <v>9.5</v>
      </c>
      <c r="U50">
        <v>9.5</v>
      </c>
      <c r="V50">
        <v>1</v>
      </c>
      <c r="W50">
        <v>9.5</v>
      </c>
      <c r="X50">
        <v>1</v>
      </c>
    </row>
    <row r="51" spans="2:24" x14ac:dyDescent="0.3">
      <c r="B51" s="8" t="s">
        <v>927</v>
      </c>
      <c r="C51" s="10">
        <v>7</v>
      </c>
      <c r="D51" s="10">
        <v>7.5</v>
      </c>
      <c r="E51" s="8">
        <v>15</v>
      </c>
      <c r="F51" s="8">
        <v>0</v>
      </c>
      <c r="G51" s="8">
        <v>0</v>
      </c>
      <c r="H51" s="8">
        <v>0</v>
      </c>
      <c r="I51" s="8">
        <v>0</v>
      </c>
      <c r="J51" s="8">
        <v>0</v>
      </c>
      <c r="K51" s="8">
        <v>0</v>
      </c>
      <c r="L51" s="8">
        <v>0</v>
      </c>
      <c r="M51" s="8">
        <v>0</v>
      </c>
      <c r="N51" s="8">
        <v>1</v>
      </c>
      <c r="O51" s="8"/>
      <c r="P51" s="8">
        <v>0</v>
      </c>
      <c r="Q51" s="8">
        <v>0</v>
      </c>
      <c r="R51" s="8"/>
      <c r="S51" s="317" t="s">
        <v>602</v>
      </c>
      <c r="T51" s="8">
        <v>0</v>
      </c>
      <c r="U51">
        <v>0</v>
      </c>
      <c r="W51">
        <v>0</v>
      </c>
    </row>
    <row r="52" spans="2:24" x14ac:dyDescent="0.3">
      <c r="B52" s="8" t="s">
        <v>579</v>
      </c>
      <c r="C52" s="10">
        <v>6</v>
      </c>
      <c r="D52" s="10">
        <v>7.5</v>
      </c>
      <c r="E52" s="8">
        <v>15</v>
      </c>
      <c r="F52" s="8">
        <v>1</v>
      </c>
      <c r="G52" s="8">
        <v>0</v>
      </c>
      <c r="H52" s="8">
        <v>0</v>
      </c>
      <c r="I52" s="8">
        <v>0</v>
      </c>
      <c r="J52" s="8">
        <v>0</v>
      </c>
      <c r="K52" s="8">
        <v>0</v>
      </c>
      <c r="L52" s="8">
        <v>0</v>
      </c>
      <c r="M52" s="8">
        <v>0</v>
      </c>
      <c r="N52" s="8">
        <v>0</v>
      </c>
      <c r="O52" s="8"/>
      <c r="P52" s="8">
        <v>0</v>
      </c>
      <c r="Q52" s="8">
        <v>1</v>
      </c>
      <c r="R52" s="8"/>
      <c r="S52" s="317" t="s">
        <v>602</v>
      </c>
      <c r="T52" s="8">
        <v>0</v>
      </c>
      <c r="U52">
        <v>0</v>
      </c>
      <c r="W52">
        <v>0</v>
      </c>
    </row>
    <row r="53" spans="2:24" x14ac:dyDescent="0.3">
      <c r="B53" s="8" t="s">
        <v>586</v>
      </c>
      <c r="C53" s="10">
        <v>6</v>
      </c>
      <c r="D53" s="10">
        <v>7.5</v>
      </c>
      <c r="E53" s="8">
        <v>15</v>
      </c>
      <c r="F53" s="8">
        <v>1</v>
      </c>
      <c r="G53" s="8">
        <v>0</v>
      </c>
      <c r="H53" s="8">
        <v>0</v>
      </c>
      <c r="I53" s="8">
        <v>0</v>
      </c>
      <c r="J53" s="8">
        <v>0</v>
      </c>
      <c r="K53" s="8">
        <v>0</v>
      </c>
      <c r="L53" s="8">
        <v>0</v>
      </c>
      <c r="M53" s="8">
        <v>0</v>
      </c>
      <c r="N53" s="8">
        <v>0</v>
      </c>
      <c r="O53" s="8"/>
      <c r="P53" s="8">
        <v>0</v>
      </c>
      <c r="Q53" s="8">
        <v>1</v>
      </c>
      <c r="R53" s="8"/>
      <c r="S53" s="317" t="s">
        <v>602</v>
      </c>
      <c r="T53" s="8">
        <v>0</v>
      </c>
      <c r="U53">
        <v>0</v>
      </c>
      <c r="W53">
        <v>0</v>
      </c>
    </row>
    <row r="54" spans="2:24" x14ac:dyDescent="0.3">
      <c r="B54" s="8" t="s">
        <v>580</v>
      </c>
      <c r="C54" s="10">
        <v>6.5</v>
      </c>
      <c r="D54" s="10">
        <v>7.25</v>
      </c>
      <c r="E54" s="8">
        <v>14.5</v>
      </c>
      <c r="F54" s="8">
        <v>0</v>
      </c>
      <c r="G54" s="8">
        <v>0</v>
      </c>
      <c r="H54" s="8">
        <v>0</v>
      </c>
      <c r="I54" s="8">
        <v>0</v>
      </c>
      <c r="J54" s="8">
        <v>0</v>
      </c>
      <c r="K54" s="8">
        <v>0</v>
      </c>
      <c r="L54" s="8">
        <v>1</v>
      </c>
      <c r="M54" s="8">
        <v>0</v>
      </c>
      <c r="N54" s="8">
        <v>2</v>
      </c>
      <c r="O54" s="8"/>
      <c r="P54" s="8">
        <v>0</v>
      </c>
      <c r="Q54" s="8">
        <v>0</v>
      </c>
      <c r="R54" s="8">
        <v>1</v>
      </c>
      <c r="S54" s="317">
        <v>7.5</v>
      </c>
      <c r="T54" s="8">
        <v>7.5</v>
      </c>
      <c r="U54">
        <v>7.5</v>
      </c>
      <c r="V54">
        <v>1</v>
      </c>
      <c r="W54">
        <v>7.5</v>
      </c>
      <c r="X54">
        <v>1</v>
      </c>
    </row>
    <row r="55" spans="2:24" x14ac:dyDescent="0.3">
      <c r="B55" s="8" t="s">
        <v>1014</v>
      </c>
      <c r="C55" s="10">
        <v>5.75</v>
      </c>
      <c r="D55" s="10">
        <v>7.25</v>
      </c>
      <c r="E55" s="8">
        <v>14.5</v>
      </c>
      <c r="F55" s="8">
        <v>1</v>
      </c>
      <c r="G55" s="8">
        <v>0</v>
      </c>
      <c r="H55" s="8">
        <v>0</v>
      </c>
      <c r="I55" s="8">
        <v>0</v>
      </c>
      <c r="J55" s="8">
        <v>0</v>
      </c>
      <c r="K55" s="8">
        <v>0</v>
      </c>
      <c r="L55" s="8">
        <v>0</v>
      </c>
      <c r="M55" s="8">
        <v>0</v>
      </c>
      <c r="N55" s="8">
        <v>0</v>
      </c>
      <c r="O55" s="8"/>
      <c r="P55" s="8">
        <v>0</v>
      </c>
      <c r="Q55" s="8">
        <v>1</v>
      </c>
      <c r="R55" s="8">
        <v>1</v>
      </c>
      <c r="S55" s="317">
        <v>9.5</v>
      </c>
      <c r="T55" s="8">
        <v>9.5</v>
      </c>
      <c r="U55">
        <v>9.5</v>
      </c>
      <c r="V55">
        <v>1</v>
      </c>
      <c r="W55">
        <v>9.5</v>
      </c>
      <c r="X55">
        <v>1</v>
      </c>
    </row>
    <row r="56" spans="2:24" x14ac:dyDescent="0.3">
      <c r="B56" s="8" t="s">
        <v>260</v>
      </c>
      <c r="C56" s="10">
        <v>6</v>
      </c>
      <c r="D56" s="10">
        <v>7.25</v>
      </c>
      <c r="E56" s="8">
        <v>14.5</v>
      </c>
      <c r="F56" s="8">
        <v>1</v>
      </c>
      <c r="G56" s="8">
        <v>0</v>
      </c>
      <c r="H56" s="8">
        <v>0</v>
      </c>
      <c r="I56" s="8">
        <v>0</v>
      </c>
      <c r="J56" s="8">
        <v>0</v>
      </c>
      <c r="K56" s="8">
        <v>0</v>
      </c>
      <c r="L56" s="8">
        <v>1</v>
      </c>
      <c r="M56" s="8">
        <v>0</v>
      </c>
      <c r="N56" s="8">
        <v>0</v>
      </c>
      <c r="O56" s="8"/>
      <c r="P56" s="8">
        <v>0</v>
      </c>
      <c r="Q56" s="8">
        <v>1</v>
      </c>
      <c r="R56" s="8">
        <v>1</v>
      </c>
      <c r="S56" s="317">
        <v>9</v>
      </c>
      <c r="T56" s="8">
        <v>9</v>
      </c>
      <c r="U56">
        <v>9</v>
      </c>
      <c r="V56">
        <v>1</v>
      </c>
      <c r="W56">
        <v>9</v>
      </c>
      <c r="X56">
        <v>1</v>
      </c>
    </row>
    <row r="57" spans="2:24" x14ac:dyDescent="0.3">
      <c r="B57" s="8" t="s">
        <v>979</v>
      </c>
      <c r="C57" s="10">
        <v>6.5</v>
      </c>
      <c r="D57" s="10">
        <v>7.25</v>
      </c>
      <c r="E57" s="8">
        <v>14.5</v>
      </c>
      <c r="F57" s="8">
        <v>0</v>
      </c>
      <c r="G57" s="8">
        <v>0</v>
      </c>
      <c r="H57" s="8">
        <v>0</v>
      </c>
      <c r="I57" s="8">
        <v>0</v>
      </c>
      <c r="J57" s="8">
        <v>0</v>
      </c>
      <c r="K57" s="8">
        <v>0</v>
      </c>
      <c r="L57" s="8">
        <v>1</v>
      </c>
      <c r="M57" s="8">
        <v>0</v>
      </c>
      <c r="N57" s="8">
        <v>2</v>
      </c>
      <c r="O57" s="8"/>
      <c r="P57" s="8">
        <v>0</v>
      </c>
      <c r="Q57" s="8">
        <v>0</v>
      </c>
      <c r="R57" s="8"/>
      <c r="S57" s="317" t="s">
        <v>602</v>
      </c>
      <c r="T57" s="8">
        <v>0</v>
      </c>
      <c r="U57">
        <v>0</v>
      </c>
      <c r="W57">
        <v>0</v>
      </c>
    </row>
    <row r="58" spans="2:24" x14ac:dyDescent="0.3">
      <c r="B58" s="320" t="s">
        <v>302</v>
      </c>
      <c r="C58" s="10">
        <v>6.5</v>
      </c>
      <c r="D58" s="10">
        <v>7.25</v>
      </c>
      <c r="E58" s="8">
        <v>14.5</v>
      </c>
      <c r="F58" s="8">
        <v>0</v>
      </c>
      <c r="G58" s="8">
        <v>0</v>
      </c>
      <c r="H58" s="8">
        <v>0</v>
      </c>
      <c r="I58" s="8">
        <v>0</v>
      </c>
      <c r="J58" s="8">
        <v>0</v>
      </c>
      <c r="K58" s="8">
        <v>0</v>
      </c>
      <c r="L58" s="8">
        <v>1</v>
      </c>
      <c r="M58" s="8">
        <v>0</v>
      </c>
      <c r="N58" s="8">
        <v>2</v>
      </c>
      <c r="O58" s="8"/>
      <c r="P58" s="8">
        <v>0</v>
      </c>
      <c r="Q58" s="8">
        <v>0</v>
      </c>
      <c r="R58" s="8">
        <v>1</v>
      </c>
      <c r="S58" s="317">
        <v>7.5</v>
      </c>
      <c r="T58" s="8">
        <v>7.5</v>
      </c>
      <c r="U58">
        <v>7.5</v>
      </c>
      <c r="V58">
        <v>1</v>
      </c>
      <c r="W58">
        <v>7.5</v>
      </c>
      <c r="X58">
        <v>1</v>
      </c>
    </row>
    <row r="59" spans="2:24" x14ac:dyDescent="0.3">
      <c r="B59" s="8" t="s">
        <v>578</v>
      </c>
      <c r="C59" s="10">
        <v>6</v>
      </c>
      <c r="D59" s="10">
        <v>7.25</v>
      </c>
      <c r="E59" s="8">
        <v>14.5</v>
      </c>
      <c r="F59" s="8">
        <v>1</v>
      </c>
      <c r="G59" s="8">
        <v>0</v>
      </c>
      <c r="H59" s="8">
        <v>0</v>
      </c>
      <c r="I59" s="8">
        <v>0</v>
      </c>
      <c r="J59" s="8">
        <v>0</v>
      </c>
      <c r="K59" s="8">
        <v>0</v>
      </c>
      <c r="L59" s="8">
        <v>1</v>
      </c>
      <c r="M59" s="8">
        <v>0</v>
      </c>
      <c r="N59" s="8">
        <v>0</v>
      </c>
      <c r="O59" s="8"/>
      <c r="P59" s="8">
        <v>0</v>
      </c>
      <c r="Q59" s="8">
        <v>1</v>
      </c>
      <c r="R59" s="8"/>
      <c r="S59" s="317" t="s">
        <v>602</v>
      </c>
      <c r="T59" s="8">
        <v>0</v>
      </c>
      <c r="U59">
        <v>9.5</v>
      </c>
      <c r="V59">
        <v>1</v>
      </c>
      <c r="W59">
        <v>9.5</v>
      </c>
      <c r="X59">
        <v>1</v>
      </c>
    </row>
    <row r="60" spans="2:24" x14ac:dyDescent="0.3">
      <c r="B60" s="318" t="s">
        <v>775</v>
      </c>
      <c r="C60" s="10">
        <v>6.75</v>
      </c>
      <c r="D60" s="10">
        <v>7.25</v>
      </c>
      <c r="E60" s="8">
        <v>14.5</v>
      </c>
      <c r="F60" s="8">
        <v>0</v>
      </c>
      <c r="G60" s="8">
        <v>0</v>
      </c>
      <c r="H60" s="8">
        <v>0</v>
      </c>
      <c r="I60" s="8">
        <v>0</v>
      </c>
      <c r="J60" s="8">
        <v>0</v>
      </c>
      <c r="K60" s="8">
        <v>0</v>
      </c>
      <c r="L60" s="8">
        <v>0</v>
      </c>
      <c r="M60" s="8">
        <v>0</v>
      </c>
      <c r="N60" s="8">
        <v>1</v>
      </c>
      <c r="O60" s="8"/>
      <c r="P60" s="8">
        <v>0</v>
      </c>
      <c r="Q60" s="8">
        <v>0</v>
      </c>
      <c r="R60" s="8">
        <v>1</v>
      </c>
      <c r="S60" s="317">
        <v>6.5</v>
      </c>
      <c r="T60" s="8">
        <v>6.5</v>
      </c>
      <c r="U60">
        <v>6.5</v>
      </c>
      <c r="V60">
        <v>1</v>
      </c>
      <c r="W60">
        <v>6.5</v>
      </c>
      <c r="X60">
        <v>1</v>
      </c>
    </row>
    <row r="61" spans="2:24" x14ac:dyDescent="0.3">
      <c r="B61" s="8" t="s">
        <v>256</v>
      </c>
      <c r="C61" s="10">
        <v>6.75</v>
      </c>
      <c r="D61" s="10">
        <v>7.25</v>
      </c>
      <c r="E61" s="8">
        <v>14.5</v>
      </c>
      <c r="F61" s="8">
        <v>0</v>
      </c>
      <c r="G61" s="8">
        <v>0</v>
      </c>
      <c r="H61" s="8">
        <v>0</v>
      </c>
      <c r="I61" s="8">
        <v>0</v>
      </c>
      <c r="J61" s="8">
        <v>0</v>
      </c>
      <c r="K61" s="8">
        <v>0</v>
      </c>
      <c r="L61" s="8">
        <v>0</v>
      </c>
      <c r="M61" s="8">
        <v>0</v>
      </c>
      <c r="N61" s="8">
        <v>1</v>
      </c>
      <c r="O61" s="8"/>
      <c r="P61" s="8">
        <v>0</v>
      </c>
      <c r="Q61" s="8">
        <v>0</v>
      </c>
      <c r="R61" s="8">
        <v>1</v>
      </c>
      <c r="S61" s="317">
        <v>8</v>
      </c>
      <c r="T61" s="8">
        <v>8</v>
      </c>
      <c r="U61">
        <v>8</v>
      </c>
      <c r="V61">
        <v>1</v>
      </c>
      <c r="W61">
        <v>8</v>
      </c>
      <c r="X61">
        <v>1</v>
      </c>
    </row>
    <row r="62" spans="2:24" x14ac:dyDescent="0.3">
      <c r="B62" s="8" t="s">
        <v>208</v>
      </c>
      <c r="C62" s="10">
        <v>6</v>
      </c>
      <c r="D62" s="10">
        <v>7</v>
      </c>
      <c r="E62" s="8">
        <v>14</v>
      </c>
      <c r="F62" s="8">
        <v>0</v>
      </c>
      <c r="G62" s="8">
        <v>0</v>
      </c>
      <c r="H62" s="8">
        <v>0</v>
      </c>
      <c r="I62" s="8">
        <v>0</v>
      </c>
      <c r="J62" s="8">
        <v>0</v>
      </c>
      <c r="K62" s="8">
        <v>0</v>
      </c>
      <c r="L62" s="8">
        <v>0</v>
      </c>
      <c r="M62" s="8">
        <v>0</v>
      </c>
      <c r="N62" s="8">
        <v>2</v>
      </c>
      <c r="O62" s="8"/>
      <c r="P62" s="8">
        <v>0</v>
      </c>
      <c r="Q62" s="8">
        <v>0</v>
      </c>
      <c r="R62" s="8"/>
      <c r="S62" s="317" t="s">
        <v>602</v>
      </c>
      <c r="T62" s="8">
        <v>0</v>
      </c>
      <c r="U62">
        <v>0</v>
      </c>
      <c r="W62">
        <v>0</v>
      </c>
    </row>
    <row r="63" spans="2:24" x14ac:dyDescent="0.3">
      <c r="B63" s="8" t="s">
        <v>231</v>
      </c>
      <c r="C63" s="10">
        <v>6.5</v>
      </c>
      <c r="D63" s="10">
        <v>7</v>
      </c>
      <c r="E63" s="8">
        <v>14</v>
      </c>
      <c r="F63" s="8">
        <v>0</v>
      </c>
      <c r="G63" s="8">
        <v>0</v>
      </c>
      <c r="H63" s="8">
        <v>0</v>
      </c>
      <c r="I63" s="8">
        <v>0</v>
      </c>
      <c r="J63" s="8">
        <v>0</v>
      </c>
      <c r="K63" s="8">
        <v>0</v>
      </c>
      <c r="L63" s="8">
        <v>0</v>
      </c>
      <c r="M63" s="8">
        <v>0</v>
      </c>
      <c r="N63" s="8">
        <v>1</v>
      </c>
      <c r="O63" s="8"/>
      <c r="P63" s="8">
        <v>0</v>
      </c>
      <c r="Q63" s="8">
        <v>0</v>
      </c>
      <c r="R63" s="8"/>
      <c r="S63" s="317" t="s">
        <v>602</v>
      </c>
      <c r="T63" s="8">
        <v>0</v>
      </c>
      <c r="U63">
        <v>0</v>
      </c>
      <c r="W63">
        <v>0</v>
      </c>
    </row>
    <row r="64" spans="2:24" x14ac:dyDescent="0.3">
      <c r="B64" s="8" t="s">
        <v>233</v>
      </c>
      <c r="C64" s="10">
        <v>7.5</v>
      </c>
      <c r="D64" s="10">
        <v>14</v>
      </c>
      <c r="E64" s="8">
        <v>14</v>
      </c>
      <c r="F64" s="8">
        <v>2</v>
      </c>
      <c r="G64" s="8">
        <v>0</v>
      </c>
      <c r="H64" s="8">
        <v>0</v>
      </c>
      <c r="I64" s="8">
        <v>0</v>
      </c>
      <c r="J64" s="8">
        <v>0</v>
      </c>
      <c r="K64" s="8">
        <v>0</v>
      </c>
      <c r="L64" s="8">
        <v>1</v>
      </c>
      <c r="M64" s="8">
        <v>0</v>
      </c>
      <c r="N64" s="8">
        <v>0</v>
      </c>
      <c r="O64" s="8">
        <v>1</v>
      </c>
      <c r="P64" s="8">
        <v>0</v>
      </c>
      <c r="Q64" s="8">
        <v>2</v>
      </c>
      <c r="R64" s="8">
        <v>1</v>
      </c>
      <c r="S64" s="317">
        <v>14</v>
      </c>
      <c r="T64" s="8">
        <v>14</v>
      </c>
      <c r="U64">
        <v>14</v>
      </c>
      <c r="V64">
        <v>1</v>
      </c>
      <c r="W64">
        <v>14</v>
      </c>
      <c r="X64">
        <v>1</v>
      </c>
    </row>
    <row r="65" spans="2:24" x14ac:dyDescent="0.3">
      <c r="B65" s="8" t="s">
        <v>932</v>
      </c>
      <c r="C65" s="10">
        <v>6.5</v>
      </c>
      <c r="D65" s="10">
        <v>7</v>
      </c>
      <c r="E65" s="8">
        <v>14</v>
      </c>
      <c r="F65" s="8">
        <v>0</v>
      </c>
      <c r="G65" s="8">
        <v>0</v>
      </c>
      <c r="H65" s="8">
        <v>0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1</v>
      </c>
      <c r="O65" s="8"/>
      <c r="P65" s="8">
        <v>0</v>
      </c>
      <c r="Q65" s="8">
        <v>0</v>
      </c>
      <c r="R65" s="8">
        <v>1</v>
      </c>
      <c r="S65" s="317">
        <v>6.5</v>
      </c>
      <c r="T65" s="8">
        <v>6.5</v>
      </c>
      <c r="U65">
        <v>6.5</v>
      </c>
      <c r="V65">
        <v>1</v>
      </c>
      <c r="W65">
        <v>6.5</v>
      </c>
      <c r="X65">
        <v>1</v>
      </c>
    </row>
    <row r="66" spans="2:24" x14ac:dyDescent="0.3">
      <c r="B66" s="8" t="s">
        <v>685</v>
      </c>
      <c r="C66" s="10">
        <v>6.5</v>
      </c>
      <c r="D66" s="10">
        <v>7</v>
      </c>
      <c r="E66" s="8">
        <v>14</v>
      </c>
      <c r="F66" s="8">
        <v>0</v>
      </c>
      <c r="G66" s="8">
        <v>0</v>
      </c>
      <c r="H66" s="8">
        <v>0</v>
      </c>
      <c r="I66" s="8">
        <v>0</v>
      </c>
      <c r="J66" s="8">
        <v>0</v>
      </c>
      <c r="K66" s="8">
        <v>0</v>
      </c>
      <c r="L66" s="8">
        <v>0</v>
      </c>
      <c r="M66" s="8">
        <v>0</v>
      </c>
      <c r="N66" s="8">
        <v>1</v>
      </c>
      <c r="O66" s="8"/>
      <c r="P66" s="8">
        <v>0</v>
      </c>
      <c r="Q66" s="8">
        <v>0</v>
      </c>
      <c r="R66" s="8">
        <v>1</v>
      </c>
      <c r="S66" s="317">
        <v>8</v>
      </c>
      <c r="T66" s="8">
        <v>8</v>
      </c>
      <c r="U66">
        <v>8</v>
      </c>
      <c r="V66">
        <v>1</v>
      </c>
      <c r="W66">
        <v>8</v>
      </c>
      <c r="X66">
        <v>1</v>
      </c>
    </row>
    <row r="67" spans="2:24" x14ac:dyDescent="0.3">
      <c r="B67" s="8" t="s">
        <v>743</v>
      </c>
      <c r="C67" s="10">
        <v>6.5</v>
      </c>
      <c r="D67" s="10">
        <v>7</v>
      </c>
      <c r="E67" s="8">
        <v>14</v>
      </c>
      <c r="F67" s="8">
        <v>0</v>
      </c>
      <c r="G67" s="8">
        <v>0</v>
      </c>
      <c r="H67" s="8">
        <v>0</v>
      </c>
      <c r="I67" s="8">
        <v>0</v>
      </c>
      <c r="J67" s="8">
        <v>0</v>
      </c>
      <c r="K67" s="8">
        <v>0</v>
      </c>
      <c r="L67" s="8">
        <v>0</v>
      </c>
      <c r="M67" s="8">
        <v>0</v>
      </c>
      <c r="N67" s="8">
        <v>1</v>
      </c>
      <c r="O67" s="8"/>
      <c r="P67" s="8">
        <v>0</v>
      </c>
      <c r="Q67" s="8">
        <v>0</v>
      </c>
      <c r="R67" s="8"/>
      <c r="S67" s="317" t="s">
        <v>602</v>
      </c>
      <c r="T67" s="8">
        <v>0</v>
      </c>
      <c r="U67">
        <v>0</v>
      </c>
      <c r="W67">
        <v>0</v>
      </c>
    </row>
    <row r="68" spans="2:24" x14ac:dyDescent="0.3">
      <c r="B68" s="8" t="s">
        <v>352</v>
      </c>
      <c r="C68" s="10">
        <v>6.25</v>
      </c>
      <c r="D68" s="10">
        <v>6.75</v>
      </c>
      <c r="E68" s="8">
        <v>13.5</v>
      </c>
      <c r="F68" s="8">
        <v>0</v>
      </c>
      <c r="G68" s="8">
        <v>0</v>
      </c>
      <c r="H68" s="8">
        <v>0</v>
      </c>
      <c r="I68" s="8">
        <v>0</v>
      </c>
      <c r="J68" s="8">
        <v>0</v>
      </c>
      <c r="K68" s="8">
        <v>0</v>
      </c>
      <c r="L68" s="8">
        <v>0</v>
      </c>
      <c r="M68" s="8">
        <v>0</v>
      </c>
      <c r="N68" s="8">
        <v>1</v>
      </c>
      <c r="O68" s="8"/>
      <c r="P68" s="8">
        <v>0</v>
      </c>
      <c r="Q68" s="8">
        <v>0</v>
      </c>
      <c r="R68" s="8">
        <v>1</v>
      </c>
      <c r="S68" s="317">
        <v>8</v>
      </c>
      <c r="T68" s="8">
        <v>8</v>
      </c>
      <c r="U68">
        <v>8</v>
      </c>
      <c r="V68">
        <v>1</v>
      </c>
      <c r="W68">
        <v>8</v>
      </c>
      <c r="X68">
        <v>1</v>
      </c>
    </row>
    <row r="69" spans="2:24" x14ac:dyDescent="0.3">
      <c r="B69" s="8" t="s">
        <v>670</v>
      </c>
      <c r="C69" s="10">
        <v>6.75</v>
      </c>
      <c r="D69" s="10">
        <v>6.75</v>
      </c>
      <c r="E69" s="8">
        <v>13.5</v>
      </c>
      <c r="F69" s="8">
        <v>0</v>
      </c>
      <c r="G69" s="8">
        <v>0</v>
      </c>
      <c r="H69" s="8">
        <v>0</v>
      </c>
      <c r="I69" s="8">
        <v>0</v>
      </c>
      <c r="J69" s="8">
        <v>0</v>
      </c>
      <c r="K69" s="8">
        <v>0</v>
      </c>
      <c r="L69" s="8">
        <v>0</v>
      </c>
      <c r="M69" s="8">
        <v>0</v>
      </c>
      <c r="N69" s="8">
        <v>0</v>
      </c>
      <c r="O69" s="8"/>
      <c r="P69" s="8">
        <v>0</v>
      </c>
      <c r="Q69" s="8">
        <v>0</v>
      </c>
      <c r="R69" s="8">
        <v>1</v>
      </c>
      <c r="S69" s="317">
        <v>6.5</v>
      </c>
      <c r="T69" s="8">
        <v>6.5</v>
      </c>
      <c r="U69">
        <v>6.5</v>
      </c>
      <c r="V69">
        <v>1</v>
      </c>
      <c r="W69">
        <v>6.5</v>
      </c>
      <c r="X69">
        <v>1</v>
      </c>
    </row>
    <row r="70" spans="2:24" x14ac:dyDescent="0.3">
      <c r="B70" s="8" t="s">
        <v>997</v>
      </c>
      <c r="C70" s="10">
        <v>6.25</v>
      </c>
      <c r="D70" s="10">
        <v>6.75</v>
      </c>
      <c r="E70" s="8">
        <v>13.5</v>
      </c>
      <c r="F70" s="8">
        <v>0</v>
      </c>
      <c r="G70" s="8">
        <v>0</v>
      </c>
      <c r="H70" s="8">
        <v>0</v>
      </c>
      <c r="I70" s="8">
        <v>0</v>
      </c>
      <c r="J70" s="8">
        <v>0</v>
      </c>
      <c r="K70" s="8">
        <v>0</v>
      </c>
      <c r="L70" s="8">
        <v>0</v>
      </c>
      <c r="M70" s="8">
        <v>0</v>
      </c>
      <c r="N70" s="8">
        <v>1</v>
      </c>
      <c r="O70" s="8"/>
      <c r="P70" s="8">
        <v>0</v>
      </c>
      <c r="Q70" s="8">
        <v>0</v>
      </c>
      <c r="R70" s="8"/>
      <c r="S70" s="317" t="s">
        <v>602</v>
      </c>
      <c r="T70" s="8">
        <v>0</v>
      </c>
      <c r="U70">
        <v>0</v>
      </c>
      <c r="W70">
        <v>0</v>
      </c>
    </row>
    <row r="71" spans="2:24" x14ac:dyDescent="0.3">
      <c r="B71" s="8" t="s">
        <v>674</v>
      </c>
      <c r="C71" s="10">
        <v>6.75</v>
      </c>
      <c r="D71" s="10">
        <v>6.75</v>
      </c>
      <c r="E71" s="8">
        <v>13.5</v>
      </c>
      <c r="F71" s="8">
        <v>0</v>
      </c>
      <c r="G71" s="8">
        <v>0</v>
      </c>
      <c r="H71" s="8">
        <v>0</v>
      </c>
      <c r="I71" s="8">
        <v>0</v>
      </c>
      <c r="J71" s="8">
        <v>0</v>
      </c>
      <c r="K71" s="8">
        <v>0</v>
      </c>
      <c r="L71" s="8">
        <v>0</v>
      </c>
      <c r="M71" s="8">
        <v>0</v>
      </c>
      <c r="N71" s="8">
        <v>0</v>
      </c>
      <c r="O71" s="8"/>
      <c r="P71" s="8">
        <v>0</v>
      </c>
      <c r="Q71" s="8">
        <v>0</v>
      </c>
      <c r="R71" s="8"/>
      <c r="S71" s="317" t="s">
        <v>602</v>
      </c>
      <c r="T71" s="8">
        <v>0</v>
      </c>
      <c r="U71">
        <v>0</v>
      </c>
      <c r="W71">
        <v>0</v>
      </c>
    </row>
    <row r="72" spans="2:24" x14ac:dyDescent="0.3">
      <c r="B72" s="8" t="s">
        <v>790</v>
      </c>
      <c r="C72" s="10">
        <v>7.5</v>
      </c>
      <c r="D72" s="10">
        <v>13.5</v>
      </c>
      <c r="E72" s="8">
        <v>13.5</v>
      </c>
      <c r="F72" s="8">
        <v>2</v>
      </c>
      <c r="G72" s="8">
        <v>0</v>
      </c>
      <c r="H72" s="8">
        <v>0</v>
      </c>
      <c r="I72" s="8">
        <v>0</v>
      </c>
      <c r="J72" s="8">
        <v>0</v>
      </c>
      <c r="K72" s="8">
        <v>0</v>
      </c>
      <c r="L72" s="8">
        <v>0</v>
      </c>
      <c r="M72" s="8">
        <v>0</v>
      </c>
      <c r="N72" s="8">
        <v>0</v>
      </c>
      <c r="O72" s="8"/>
      <c r="P72" s="8">
        <v>0</v>
      </c>
      <c r="Q72" s="8">
        <v>2</v>
      </c>
      <c r="R72" s="8"/>
      <c r="S72" s="317" t="s">
        <v>602</v>
      </c>
      <c r="T72" s="8">
        <v>0</v>
      </c>
      <c r="U72">
        <v>0</v>
      </c>
      <c r="W72">
        <v>0</v>
      </c>
    </row>
    <row r="73" spans="2:24" x14ac:dyDescent="0.3">
      <c r="B73" s="8" t="s">
        <v>275</v>
      </c>
      <c r="C73" s="10">
        <v>6.25</v>
      </c>
      <c r="D73" s="10">
        <v>6.75</v>
      </c>
      <c r="E73" s="8">
        <v>13.5</v>
      </c>
      <c r="F73" s="8">
        <v>0</v>
      </c>
      <c r="G73" s="8">
        <v>0</v>
      </c>
      <c r="H73" s="8">
        <v>0</v>
      </c>
      <c r="I73" s="8">
        <v>0</v>
      </c>
      <c r="J73" s="8">
        <v>0</v>
      </c>
      <c r="K73" s="8">
        <v>0</v>
      </c>
      <c r="L73" s="8">
        <v>0</v>
      </c>
      <c r="M73" s="8">
        <v>0</v>
      </c>
      <c r="N73" s="8">
        <v>1</v>
      </c>
      <c r="O73" s="8"/>
      <c r="P73" s="8">
        <v>0</v>
      </c>
      <c r="Q73" s="8">
        <v>0</v>
      </c>
      <c r="R73" s="8">
        <v>1</v>
      </c>
      <c r="S73" s="317">
        <v>7.5</v>
      </c>
      <c r="T73" s="8">
        <v>7.5</v>
      </c>
      <c r="U73">
        <v>7.5</v>
      </c>
      <c r="V73">
        <v>1</v>
      </c>
      <c r="W73">
        <v>7.5</v>
      </c>
      <c r="X73">
        <v>1</v>
      </c>
    </row>
    <row r="74" spans="2:24" x14ac:dyDescent="0.3">
      <c r="B74" s="8" t="s">
        <v>673</v>
      </c>
      <c r="C74" s="10">
        <v>6.75</v>
      </c>
      <c r="D74" s="10">
        <v>6.75</v>
      </c>
      <c r="E74" s="8">
        <v>13.5</v>
      </c>
      <c r="F74" s="8">
        <v>0</v>
      </c>
      <c r="G74" s="8">
        <v>0</v>
      </c>
      <c r="H74" s="8">
        <v>0</v>
      </c>
      <c r="I74" s="8">
        <v>0</v>
      </c>
      <c r="J74" s="8">
        <v>0</v>
      </c>
      <c r="K74" s="8">
        <v>0</v>
      </c>
      <c r="L74" s="8">
        <v>0</v>
      </c>
      <c r="M74" s="8">
        <v>0</v>
      </c>
      <c r="N74" s="8">
        <v>0</v>
      </c>
      <c r="O74" s="8"/>
      <c r="P74" s="8">
        <v>0</v>
      </c>
      <c r="Q74" s="8">
        <v>0</v>
      </c>
      <c r="R74" s="8">
        <v>1</v>
      </c>
      <c r="S74" s="317">
        <v>6.5</v>
      </c>
      <c r="T74" s="8">
        <v>6.5</v>
      </c>
      <c r="U74">
        <v>6.5</v>
      </c>
      <c r="V74">
        <v>1</v>
      </c>
      <c r="W74">
        <v>6.5</v>
      </c>
      <c r="X74">
        <v>1</v>
      </c>
    </row>
    <row r="75" spans="2:24" x14ac:dyDescent="0.3">
      <c r="B75" s="8" t="s">
        <v>732</v>
      </c>
      <c r="C75" s="10">
        <v>6.5</v>
      </c>
      <c r="D75" s="10">
        <v>6.75</v>
      </c>
      <c r="E75" s="8">
        <v>13.5</v>
      </c>
      <c r="F75" s="8">
        <v>0</v>
      </c>
      <c r="G75" s="8">
        <v>0</v>
      </c>
      <c r="H75" s="8">
        <v>0</v>
      </c>
      <c r="I75" s="8">
        <v>0</v>
      </c>
      <c r="J75" s="8">
        <v>0</v>
      </c>
      <c r="K75" s="8">
        <v>0</v>
      </c>
      <c r="L75" s="8">
        <v>1</v>
      </c>
      <c r="M75" s="8">
        <v>0</v>
      </c>
      <c r="N75" s="8">
        <v>1</v>
      </c>
      <c r="O75" s="8"/>
      <c r="P75" s="8">
        <v>0</v>
      </c>
      <c r="Q75" s="8">
        <v>0</v>
      </c>
      <c r="R75" s="8"/>
      <c r="S75" s="317" t="s">
        <v>602</v>
      </c>
      <c r="T75" s="8">
        <v>0</v>
      </c>
      <c r="U75">
        <v>0</v>
      </c>
      <c r="W75">
        <v>0</v>
      </c>
    </row>
    <row r="76" spans="2:24" x14ac:dyDescent="0.3">
      <c r="B76" s="8" t="s">
        <v>1056</v>
      </c>
      <c r="C76" s="10">
        <v>6.75</v>
      </c>
      <c r="D76" s="10">
        <v>6.75</v>
      </c>
      <c r="E76" s="8">
        <v>13.5</v>
      </c>
      <c r="F76" s="8">
        <v>0</v>
      </c>
      <c r="G76" s="8">
        <v>0</v>
      </c>
      <c r="H76" s="8">
        <v>0</v>
      </c>
      <c r="I76" s="8">
        <v>0</v>
      </c>
      <c r="J76" s="8">
        <v>0</v>
      </c>
      <c r="K76" s="8">
        <v>0</v>
      </c>
      <c r="L76" s="8">
        <v>0</v>
      </c>
      <c r="M76" s="8">
        <v>0</v>
      </c>
      <c r="N76" s="8">
        <v>0</v>
      </c>
      <c r="O76" s="8"/>
      <c r="P76" s="8">
        <v>0</v>
      </c>
      <c r="Q76" s="8">
        <v>0</v>
      </c>
      <c r="R76" s="8"/>
      <c r="S76" s="317" t="s">
        <v>602</v>
      </c>
      <c r="T76" s="8">
        <v>0</v>
      </c>
      <c r="U76">
        <v>0</v>
      </c>
      <c r="W76">
        <v>0</v>
      </c>
    </row>
    <row r="77" spans="2:24" x14ac:dyDescent="0.3">
      <c r="B77" s="8" t="s">
        <v>771</v>
      </c>
      <c r="C77" s="10">
        <v>6.25</v>
      </c>
      <c r="D77" s="10">
        <v>6.75</v>
      </c>
      <c r="E77" s="8">
        <v>13.5</v>
      </c>
      <c r="F77" s="8">
        <v>0</v>
      </c>
      <c r="G77" s="8">
        <v>0</v>
      </c>
      <c r="H77" s="8">
        <v>0</v>
      </c>
      <c r="I77" s="8">
        <v>0</v>
      </c>
      <c r="J77" s="8">
        <v>0</v>
      </c>
      <c r="K77" s="8">
        <v>0</v>
      </c>
      <c r="L77" s="8">
        <v>0</v>
      </c>
      <c r="M77" s="8">
        <v>0</v>
      </c>
      <c r="N77" s="8">
        <v>1</v>
      </c>
      <c r="O77" s="8"/>
      <c r="P77" s="8">
        <v>0</v>
      </c>
      <c r="Q77" s="8">
        <v>0</v>
      </c>
      <c r="R77" s="8">
        <v>1</v>
      </c>
      <c r="S77" s="317">
        <v>6</v>
      </c>
      <c r="T77" s="8">
        <v>6</v>
      </c>
      <c r="U77">
        <v>0</v>
      </c>
      <c r="W77">
        <v>0</v>
      </c>
    </row>
    <row r="78" spans="2:24" x14ac:dyDescent="0.3">
      <c r="B78" s="8" t="s">
        <v>462</v>
      </c>
      <c r="C78" s="10">
        <v>6.25</v>
      </c>
      <c r="D78" s="10">
        <v>6.75</v>
      </c>
      <c r="E78" s="8">
        <v>13.5</v>
      </c>
      <c r="F78" s="8">
        <v>0</v>
      </c>
      <c r="G78" s="8">
        <v>0</v>
      </c>
      <c r="H78" s="8">
        <v>0</v>
      </c>
      <c r="I78" s="8">
        <v>0</v>
      </c>
      <c r="J78" s="8">
        <v>0</v>
      </c>
      <c r="K78" s="8">
        <v>0</v>
      </c>
      <c r="L78" s="8">
        <v>0</v>
      </c>
      <c r="M78" s="8">
        <v>0</v>
      </c>
      <c r="N78" s="8">
        <v>1</v>
      </c>
      <c r="O78" s="8"/>
      <c r="P78" s="8">
        <v>0</v>
      </c>
      <c r="Q78" s="8">
        <v>0</v>
      </c>
      <c r="R78" s="8">
        <v>1</v>
      </c>
      <c r="S78" s="317">
        <v>7.5</v>
      </c>
      <c r="T78" s="8">
        <v>7.5</v>
      </c>
      <c r="U78">
        <v>7.5</v>
      </c>
      <c r="V78">
        <v>1</v>
      </c>
      <c r="W78">
        <v>7.5</v>
      </c>
      <c r="X78">
        <v>1</v>
      </c>
    </row>
    <row r="79" spans="2:24" x14ac:dyDescent="0.3">
      <c r="B79" s="8" t="s">
        <v>342</v>
      </c>
      <c r="C79" s="10">
        <v>6.25</v>
      </c>
      <c r="D79" s="10">
        <v>6.75</v>
      </c>
      <c r="E79" s="8">
        <v>13.5</v>
      </c>
      <c r="F79" s="8">
        <v>0</v>
      </c>
      <c r="G79" s="8">
        <v>0</v>
      </c>
      <c r="H79" s="8">
        <v>0</v>
      </c>
      <c r="I79" s="8">
        <v>0</v>
      </c>
      <c r="J79" s="8">
        <v>0</v>
      </c>
      <c r="K79" s="8">
        <v>0</v>
      </c>
      <c r="L79" s="8">
        <v>0</v>
      </c>
      <c r="M79" s="8">
        <v>0</v>
      </c>
      <c r="N79" s="8">
        <v>1</v>
      </c>
      <c r="O79" s="8"/>
      <c r="P79" s="8">
        <v>0</v>
      </c>
      <c r="Q79" s="8">
        <v>0</v>
      </c>
      <c r="R79" s="8"/>
      <c r="S79" s="317" t="s">
        <v>602</v>
      </c>
      <c r="T79" s="8">
        <v>0</v>
      </c>
      <c r="U79">
        <v>0</v>
      </c>
      <c r="W79">
        <v>0</v>
      </c>
    </row>
    <row r="80" spans="2:24" x14ac:dyDescent="0.3">
      <c r="B80" s="8" t="s">
        <v>1016</v>
      </c>
      <c r="C80" s="10">
        <v>6.5</v>
      </c>
      <c r="D80" s="10">
        <v>6.5</v>
      </c>
      <c r="E80" s="8">
        <v>13</v>
      </c>
      <c r="F80" s="8">
        <v>0</v>
      </c>
      <c r="G80" s="8">
        <v>0</v>
      </c>
      <c r="H80" s="8">
        <v>0</v>
      </c>
      <c r="I80" s="8">
        <v>0</v>
      </c>
      <c r="J80" s="8">
        <v>0</v>
      </c>
      <c r="K80" s="8">
        <v>0</v>
      </c>
      <c r="L80" s="8">
        <v>0</v>
      </c>
      <c r="M80" s="8">
        <v>0</v>
      </c>
      <c r="N80" s="8">
        <v>0</v>
      </c>
      <c r="O80" s="8"/>
      <c r="P80" s="8">
        <v>0</v>
      </c>
      <c r="Q80" s="8">
        <v>0</v>
      </c>
      <c r="R80" s="8"/>
      <c r="S80" s="317" t="s">
        <v>602</v>
      </c>
      <c r="T80" s="8">
        <v>0</v>
      </c>
      <c r="U80">
        <v>6.5</v>
      </c>
      <c r="V80">
        <v>1</v>
      </c>
      <c r="W80">
        <v>0</v>
      </c>
    </row>
    <row r="81" spans="2:24" x14ac:dyDescent="0.3">
      <c r="B81" s="8" t="s">
        <v>937</v>
      </c>
      <c r="C81" s="10">
        <v>6</v>
      </c>
      <c r="D81" s="10">
        <v>6.5</v>
      </c>
      <c r="E81" s="8">
        <v>13</v>
      </c>
      <c r="F81" s="8">
        <v>0</v>
      </c>
      <c r="G81" s="8">
        <v>0</v>
      </c>
      <c r="H81" s="8">
        <v>0</v>
      </c>
      <c r="I81" s="8">
        <v>0</v>
      </c>
      <c r="J81" s="8">
        <v>0</v>
      </c>
      <c r="K81" s="8">
        <v>0</v>
      </c>
      <c r="L81" s="8">
        <v>0</v>
      </c>
      <c r="M81" s="8">
        <v>0</v>
      </c>
      <c r="N81" s="8">
        <v>1</v>
      </c>
      <c r="O81" s="8"/>
      <c r="P81" s="8">
        <v>0</v>
      </c>
      <c r="Q81" s="8">
        <v>0</v>
      </c>
      <c r="R81" s="8"/>
      <c r="S81" s="317" t="s">
        <v>602</v>
      </c>
      <c r="T81" s="8">
        <v>0</v>
      </c>
      <c r="U81">
        <v>0</v>
      </c>
      <c r="W81">
        <v>0</v>
      </c>
    </row>
    <row r="82" spans="2:24" x14ac:dyDescent="0.3">
      <c r="B82" s="8" t="s">
        <v>506</v>
      </c>
      <c r="C82" s="10">
        <v>6</v>
      </c>
      <c r="D82" s="10">
        <v>6.5</v>
      </c>
      <c r="E82" s="8">
        <v>13</v>
      </c>
      <c r="F82" s="8">
        <v>0</v>
      </c>
      <c r="G82" s="8">
        <v>0</v>
      </c>
      <c r="H82" s="8">
        <v>0</v>
      </c>
      <c r="I82" s="8">
        <v>0</v>
      </c>
      <c r="J82" s="8">
        <v>0</v>
      </c>
      <c r="K82" s="8">
        <v>0</v>
      </c>
      <c r="L82" s="8">
        <v>0</v>
      </c>
      <c r="M82" s="8">
        <v>0</v>
      </c>
      <c r="N82" s="8">
        <v>1</v>
      </c>
      <c r="O82" s="8"/>
      <c r="P82" s="8">
        <v>0</v>
      </c>
      <c r="Q82" s="8">
        <v>0</v>
      </c>
      <c r="R82" s="8">
        <v>1</v>
      </c>
      <c r="S82" s="317">
        <v>7.5</v>
      </c>
      <c r="T82" s="8">
        <v>7.5</v>
      </c>
      <c r="U82">
        <v>7.5</v>
      </c>
      <c r="V82">
        <v>1</v>
      </c>
      <c r="W82">
        <v>7.5</v>
      </c>
      <c r="X82">
        <v>1</v>
      </c>
    </row>
    <row r="83" spans="2:24" x14ac:dyDescent="0.3">
      <c r="B83" s="8" t="s">
        <v>744</v>
      </c>
      <c r="C83" s="10">
        <v>6.25</v>
      </c>
      <c r="D83" s="10">
        <v>6.5</v>
      </c>
      <c r="E83" s="8">
        <v>13</v>
      </c>
      <c r="F83" s="8">
        <v>0</v>
      </c>
      <c r="G83" s="8">
        <v>0</v>
      </c>
      <c r="H83" s="8">
        <v>0</v>
      </c>
      <c r="I83" s="8">
        <v>0</v>
      </c>
      <c r="J83" s="8">
        <v>0</v>
      </c>
      <c r="K83" s="8">
        <v>0</v>
      </c>
      <c r="L83" s="8">
        <v>1</v>
      </c>
      <c r="M83" s="8">
        <v>0</v>
      </c>
      <c r="N83" s="8">
        <v>1</v>
      </c>
      <c r="O83" s="8"/>
      <c r="P83" s="8">
        <v>0</v>
      </c>
      <c r="Q83" s="8">
        <v>0</v>
      </c>
      <c r="R83" s="8"/>
      <c r="S83" s="317" t="s">
        <v>602</v>
      </c>
      <c r="T83" s="8">
        <v>0</v>
      </c>
      <c r="U83">
        <v>0</v>
      </c>
      <c r="W83">
        <v>0</v>
      </c>
    </row>
    <row r="84" spans="2:24" x14ac:dyDescent="0.3">
      <c r="B84" s="8" t="s">
        <v>1049</v>
      </c>
      <c r="C84" s="10">
        <v>6</v>
      </c>
      <c r="D84" s="10">
        <v>6.5</v>
      </c>
      <c r="E84" s="8">
        <v>13</v>
      </c>
      <c r="F84" s="8">
        <v>0</v>
      </c>
      <c r="G84" s="8">
        <v>0</v>
      </c>
      <c r="H84" s="8">
        <v>0</v>
      </c>
      <c r="I84" s="8">
        <v>0</v>
      </c>
      <c r="J84" s="8">
        <v>0</v>
      </c>
      <c r="K84" s="8">
        <v>0</v>
      </c>
      <c r="L84" s="8">
        <v>0</v>
      </c>
      <c r="M84" s="8">
        <v>0</v>
      </c>
      <c r="N84" s="8">
        <v>1</v>
      </c>
      <c r="O84" s="8"/>
      <c r="P84" s="8">
        <v>0</v>
      </c>
      <c r="Q84" s="8">
        <v>0</v>
      </c>
      <c r="R84" s="8">
        <v>1</v>
      </c>
      <c r="S84" s="317">
        <v>7.5</v>
      </c>
      <c r="T84" s="8">
        <v>7.5</v>
      </c>
      <c r="U84">
        <v>7.5</v>
      </c>
      <c r="V84">
        <v>1</v>
      </c>
      <c r="W84">
        <v>7.5</v>
      </c>
      <c r="X84">
        <v>1</v>
      </c>
    </row>
    <row r="85" spans="2:24" x14ac:dyDescent="0.3">
      <c r="B85" s="8" t="s">
        <v>305</v>
      </c>
      <c r="C85" s="10">
        <v>6</v>
      </c>
      <c r="D85" s="10">
        <v>6.5</v>
      </c>
      <c r="E85" s="8">
        <v>13</v>
      </c>
      <c r="F85" s="8">
        <v>0</v>
      </c>
      <c r="G85" s="8">
        <v>0</v>
      </c>
      <c r="H85" s="8">
        <v>0</v>
      </c>
      <c r="I85" s="8">
        <v>0</v>
      </c>
      <c r="J85" s="8">
        <v>0</v>
      </c>
      <c r="K85" s="8">
        <v>0</v>
      </c>
      <c r="L85" s="8">
        <v>0</v>
      </c>
      <c r="M85" s="8">
        <v>0</v>
      </c>
      <c r="N85" s="8">
        <v>1</v>
      </c>
      <c r="O85" s="8"/>
      <c r="P85" s="8">
        <v>0</v>
      </c>
      <c r="Q85" s="8">
        <v>0</v>
      </c>
      <c r="R85" s="8">
        <v>1</v>
      </c>
      <c r="S85" s="317">
        <v>7.5</v>
      </c>
      <c r="T85" s="8">
        <v>7.5</v>
      </c>
      <c r="U85">
        <v>7.5</v>
      </c>
      <c r="V85">
        <v>1</v>
      </c>
      <c r="W85">
        <v>7.5</v>
      </c>
      <c r="X85">
        <v>1</v>
      </c>
    </row>
    <row r="86" spans="2:24" x14ac:dyDescent="0.3">
      <c r="B86" s="8" t="s">
        <v>213</v>
      </c>
      <c r="C86" s="10">
        <v>5.5</v>
      </c>
      <c r="D86" s="10">
        <v>6.5</v>
      </c>
      <c r="E86" s="8">
        <v>13</v>
      </c>
      <c r="F86" s="8">
        <v>1</v>
      </c>
      <c r="G86" s="8">
        <v>0</v>
      </c>
      <c r="H86" s="8">
        <v>0</v>
      </c>
      <c r="I86" s="8">
        <v>0</v>
      </c>
      <c r="J86" s="8">
        <v>0</v>
      </c>
      <c r="K86" s="8">
        <v>0</v>
      </c>
      <c r="L86" s="8">
        <v>0</v>
      </c>
      <c r="M86" s="8">
        <v>1</v>
      </c>
      <c r="N86" s="8">
        <v>0</v>
      </c>
      <c r="O86" s="8"/>
      <c r="P86" s="8">
        <v>0</v>
      </c>
      <c r="Q86" s="8">
        <v>1</v>
      </c>
      <c r="R86" s="8"/>
      <c r="S86" s="317" t="s">
        <v>602</v>
      </c>
      <c r="T86" s="8">
        <v>0</v>
      </c>
      <c r="U86">
        <v>0</v>
      </c>
      <c r="W86">
        <v>0</v>
      </c>
    </row>
    <row r="87" spans="2:24" x14ac:dyDescent="0.3">
      <c r="B87" s="8" t="s">
        <v>270</v>
      </c>
      <c r="C87" s="10">
        <v>6</v>
      </c>
      <c r="D87" s="10">
        <v>6.5</v>
      </c>
      <c r="E87" s="8">
        <v>13</v>
      </c>
      <c r="F87" s="8">
        <v>0</v>
      </c>
      <c r="G87" s="8">
        <v>0</v>
      </c>
      <c r="H87" s="8">
        <v>0</v>
      </c>
      <c r="I87" s="8">
        <v>0</v>
      </c>
      <c r="J87" s="8">
        <v>0</v>
      </c>
      <c r="K87" s="8">
        <v>0</v>
      </c>
      <c r="L87" s="8">
        <v>0</v>
      </c>
      <c r="M87" s="8">
        <v>0</v>
      </c>
      <c r="N87" s="8">
        <v>1</v>
      </c>
      <c r="O87" s="8"/>
      <c r="P87" s="8">
        <v>0</v>
      </c>
      <c r="Q87" s="8">
        <v>0</v>
      </c>
      <c r="R87" s="8"/>
      <c r="S87" s="317" t="s">
        <v>602</v>
      </c>
      <c r="T87" s="8">
        <v>0</v>
      </c>
      <c r="U87">
        <v>7</v>
      </c>
      <c r="V87">
        <v>1</v>
      </c>
      <c r="W87">
        <v>7</v>
      </c>
      <c r="X87">
        <v>1</v>
      </c>
    </row>
    <row r="88" spans="2:24" x14ac:dyDescent="0.3">
      <c r="B88" s="318" t="s">
        <v>787</v>
      </c>
      <c r="C88" s="10">
        <v>6</v>
      </c>
      <c r="D88" s="10">
        <v>6.5</v>
      </c>
      <c r="E88" s="8">
        <v>13</v>
      </c>
      <c r="F88" s="8">
        <v>0</v>
      </c>
      <c r="G88" s="8">
        <v>0</v>
      </c>
      <c r="H88" s="8">
        <v>0</v>
      </c>
      <c r="I88" s="8">
        <v>0</v>
      </c>
      <c r="J88" s="8">
        <v>0</v>
      </c>
      <c r="K88" s="8">
        <v>0</v>
      </c>
      <c r="L88" s="8">
        <v>0</v>
      </c>
      <c r="M88" s="8">
        <v>0</v>
      </c>
      <c r="N88" s="8">
        <v>1</v>
      </c>
      <c r="O88" s="8"/>
      <c r="P88" s="8">
        <v>0</v>
      </c>
      <c r="Q88" s="8">
        <v>0</v>
      </c>
      <c r="R88" s="8"/>
      <c r="S88" s="317" t="s">
        <v>602</v>
      </c>
      <c r="T88" s="8">
        <v>0</v>
      </c>
      <c r="U88">
        <v>7.5</v>
      </c>
      <c r="V88">
        <v>1</v>
      </c>
      <c r="W88">
        <v>7.5</v>
      </c>
      <c r="X88">
        <v>1</v>
      </c>
    </row>
    <row r="89" spans="2:24" x14ac:dyDescent="0.3">
      <c r="B89" s="8" t="s">
        <v>433</v>
      </c>
      <c r="C89" s="10">
        <v>6.75</v>
      </c>
      <c r="D89" s="10">
        <v>6.5</v>
      </c>
      <c r="E89" s="8">
        <v>13</v>
      </c>
      <c r="F89" s="8">
        <v>0</v>
      </c>
      <c r="G89" s="8">
        <v>0</v>
      </c>
      <c r="H89" s="8">
        <v>0</v>
      </c>
      <c r="I89" s="8">
        <v>0</v>
      </c>
      <c r="J89" s="8">
        <v>0</v>
      </c>
      <c r="K89" s="8">
        <v>0</v>
      </c>
      <c r="L89" s="8">
        <v>1</v>
      </c>
      <c r="M89" s="8">
        <v>0</v>
      </c>
      <c r="N89" s="8">
        <v>0</v>
      </c>
      <c r="O89" s="8"/>
      <c r="P89" s="8">
        <v>0</v>
      </c>
      <c r="Q89" s="8">
        <v>0</v>
      </c>
      <c r="R89" s="8"/>
      <c r="S89" s="317" t="s">
        <v>602</v>
      </c>
      <c r="T89" s="8">
        <v>0</v>
      </c>
      <c r="U89">
        <v>0</v>
      </c>
      <c r="W89">
        <v>0</v>
      </c>
    </row>
    <row r="90" spans="2:24" x14ac:dyDescent="0.3">
      <c r="B90" s="8" t="s">
        <v>517</v>
      </c>
      <c r="C90" s="10">
        <v>6.5</v>
      </c>
      <c r="D90" s="10">
        <v>6.5</v>
      </c>
      <c r="E90" s="8">
        <v>13</v>
      </c>
      <c r="F90" s="8">
        <v>0</v>
      </c>
      <c r="G90" s="8">
        <v>0</v>
      </c>
      <c r="H90" s="8">
        <v>0</v>
      </c>
      <c r="I90" s="8">
        <v>0</v>
      </c>
      <c r="J90" s="8">
        <v>0</v>
      </c>
      <c r="K90" s="8">
        <v>0</v>
      </c>
      <c r="L90" s="8">
        <v>0</v>
      </c>
      <c r="M90" s="8">
        <v>0</v>
      </c>
      <c r="N90" s="8">
        <v>0</v>
      </c>
      <c r="O90" s="8"/>
      <c r="P90" s="8">
        <v>0</v>
      </c>
      <c r="Q90" s="8">
        <v>0</v>
      </c>
      <c r="R90" s="8">
        <v>1</v>
      </c>
      <c r="S90" s="317">
        <v>6.5</v>
      </c>
      <c r="T90" s="8">
        <v>6.5</v>
      </c>
      <c r="U90">
        <v>6.5</v>
      </c>
      <c r="V90">
        <v>1</v>
      </c>
      <c r="W90">
        <v>6.5</v>
      </c>
      <c r="X90">
        <v>1</v>
      </c>
    </row>
    <row r="91" spans="2:24" x14ac:dyDescent="0.3">
      <c r="B91" s="8" t="s">
        <v>250</v>
      </c>
      <c r="C91" s="10">
        <v>6</v>
      </c>
      <c r="D91" s="10">
        <v>6.5</v>
      </c>
      <c r="E91" s="8">
        <v>13</v>
      </c>
      <c r="F91" s="8">
        <v>0</v>
      </c>
      <c r="G91" s="8">
        <v>0</v>
      </c>
      <c r="H91" s="8">
        <v>0</v>
      </c>
      <c r="I91" s="8">
        <v>0</v>
      </c>
      <c r="J91" s="8">
        <v>0</v>
      </c>
      <c r="K91" s="8">
        <v>0</v>
      </c>
      <c r="L91" s="8">
        <v>0</v>
      </c>
      <c r="M91" s="8">
        <v>0</v>
      </c>
      <c r="N91" s="8">
        <v>1</v>
      </c>
      <c r="O91" s="8"/>
      <c r="P91" s="8">
        <v>0</v>
      </c>
      <c r="Q91" s="8">
        <v>0</v>
      </c>
      <c r="R91" s="8"/>
      <c r="S91" s="317" t="s">
        <v>602</v>
      </c>
      <c r="T91" s="8">
        <v>0</v>
      </c>
      <c r="U91">
        <v>0</v>
      </c>
      <c r="W91">
        <v>0</v>
      </c>
    </row>
    <row r="92" spans="2:24" x14ac:dyDescent="0.3">
      <c r="B92" s="8" t="s">
        <v>734</v>
      </c>
      <c r="C92" s="10">
        <v>6.5</v>
      </c>
      <c r="D92" s="10">
        <v>6.5</v>
      </c>
      <c r="E92" s="8">
        <v>13</v>
      </c>
      <c r="F92" s="8">
        <v>0</v>
      </c>
      <c r="G92" s="8">
        <v>0</v>
      </c>
      <c r="H92" s="8">
        <v>0</v>
      </c>
      <c r="I92" s="8">
        <v>0</v>
      </c>
      <c r="J92" s="8">
        <v>0</v>
      </c>
      <c r="K92" s="8">
        <v>0</v>
      </c>
      <c r="L92" s="8">
        <v>0</v>
      </c>
      <c r="M92" s="8">
        <v>0</v>
      </c>
      <c r="N92" s="8">
        <v>0</v>
      </c>
      <c r="O92" s="8"/>
      <c r="P92" s="8">
        <v>0</v>
      </c>
      <c r="Q92" s="8">
        <v>0</v>
      </c>
      <c r="R92" s="8"/>
      <c r="S92" s="317" t="s">
        <v>602</v>
      </c>
      <c r="T92" s="8">
        <v>0</v>
      </c>
      <c r="U92">
        <v>6.5</v>
      </c>
      <c r="V92">
        <v>1</v>
      </c>
      <c r="W92">
        <v>6.5</v>
      </c>
      <c r="X92">
        <v>1</v>
      </c>
    </row>
    <row r="93" spans="2:24" x14ac:dyDescent="0.3">
      <c r="B93" s="8" t="s">
        <v>709</v>
      </c>
      <c r="C93" s="10">
        <v>6</v>
      </c>
      <c r="D93" s="10">
        <v>6.5</v>
      </c>
      <c r="E93" s="8">
        <v>13</v>
      </c>
      <c r="F93" s="8">
        <v>0</v>
      </c>
      <c r="G93" s="8">
        <v>0</v>
      </c>
      <c r="H93" s="8">
        <v>0</v>
      </c>
      <c r="I93" s="8">
        <v>0</v>
      </c>
      <c r="J93" s="8">
        <v>0</v>
      </c>
      <c r="K93" s="8">
        <v>0</v>
      </c>
      <c r="L93" s="8">
        <v>0</v>
      </c>
      <c r="M93" s="8">
        <v>0</v>
      </c>
      <c r="N93" s="8">
        <v>1</v>
      </c>
      <c r="O93" s="8"/>
      <c r="P93" s="8">
        <v>0</v>
      </c>
      <c r="Q93" s="8">
        <v>0</v>
      </c>
      <c r="R93" s="8"/>
      <c r="S93" s="317" t="s">
        <v>602</v>
      </c>
      <c r="T93" s="8">
        <v>0</v>
      </c>
      <c r="U93">
        <v>0</v>
      </c>
      <c r="W93">
        <v>0</v>
      </c>
    </row>
    <row r="94" spans="2:24" x14ac:dyDescent="0.3">
      <c r="B94" s="8" t="s">
        <v>608</v>
      </c>
      <c r="C94" s="10">
        <v>6.5</v>
      </c>
      <c r="D94" s="10">
        <v>6.5</v>
      </c>
      <c r="E94" s="8">
        <v>13</v>
      </c>
      <c r="F94" s="8">
        <v>0</v>
      </c>
      <c r="G94" s="8">
        <v>0</v>
      </c>
      <c r="H94" s="8">
        <v>0</v>
      </c>
      <c r="I94" s="8">
        <v>0</v>
      </c>
      <c r="J94" s="8">
        <v>0</v>
      </c>
      <c r="K94" s="8">
        <v>0</v>
      </c>
      <c r="L94" s="8">
        <v>0</v>
      </c>
      <c r="M94" s="8">
        <v>0</v>
      </c>
      <c r="N94" s="8">
        <v>0</v>
      </c>
      <c r="O94" s="8"/>
      <c r="P94" s="8">
        <v>0</v>
      </c>
      <c r="Q94" s="8">
        <v>0</v>
      </c>
      <c r="R94" s="8"/>
      <c r="S94" s="317" t="s">
        <v>602</v>
      </c>
      <c r="T94" s="8">
        <v>0</v>
      </c>
      <c r="U94">
        <v>6.5</v>
      </c>
      <c r="V94">
        <v>1</v>
      </c>
      <c r="W94">
        <v>6.5</v>
      </c>
      <c r="X94">
        <v>1</v>
      </c>
    </row>
    <row r="95" spans="2:24" x14ac:dyDescent="0.3">
      <c r="B95" s="8" t="s">
        <v>768</v>
      </c>
      <c r="C95" s="10">
        <v>6</v>
      </c>
      <c r="D95" s="10">
        <v>6.5</v>
      </c>
      <c r="E95" s="8">
        <v>13</v>
      </c>
      <c r="F95" s="8">
        <v>0</v>
      </c>
      <c r="G95" s="8">
        <v>0</v>
      </c>
      <c r="H95" s="8">
        <v>0</v>
      </c>
      <c r="I95" s="8">
        <v>0</v>
      </c>
      <c r="J95" s="8">
        <v>0</v>
      </c>
      <c r="K95" s="8">
        <v>0</v>
      </c>
      <c r="L95" s="8">
        <v>0</v>
      </c>
      <c r="M95" s="8">
        <v>0</v>
      </c>
      <c r="N95" s="8">
        <v>1</v>
      </c>
      <c r="O95" s="8"/>
      <c r="P95" s="8">
        <v>0</v>
      </c>
      <c r="Q95" s="8">
        <v>0</v>
      </c>
      <c r="R95" s="8">
        <v>1</v>
      </c>
      <c r="S95" s="317">
        <v>7.5</v>
      </c>
      <c r="T95" s="8">
        <v>7.5</v>
      </c>
      <c r="U95">
        <v>7.5</v>
      </c>
      <c r="V95">
        <v>1</v>
      </c>
      <c r="W95">
        <v>7.5</v>
      </c>
      <c r="X95">
        <v>1</v>
      </c>
    </row>
    <row r="96" spans="2:24" x14ac:dyDescent="0.3">
      <c r="B96" s="8" t="s">
        <v>816</v>
      </c>
      <c r="C96" s="10">
        <v>6</v>
      </c>
      <c r="D96" s="10">
        <v>6.25</v>
      </c>
      <c r="E96" s="8">
        <v>12.5</v>
      </c>
      <c r="F96" s="8">
        <v>0</v>
      </c>
      <c r="G96" s="8">
        <v>0</v>
      </c>
      <c r="H96" s="8">
        <v>0</v>
      </c>
      <c r="I96" s="8">
        <v>0</v>
      </c>
      <c r="J96" s="8">
        <v>0</v>
      </c>
      <c r="K96" s="8">
        <v>0</v>
      </c>
      <c r="L96" s="8">
        <v>1</v>
      </c>
      <c r="M96" s="8">
        <v>0</v>
      </c>
      <c r="N96" s="8">
        <v>1</v>
      </c>
      <c r="O96" s="8"/>
      <c r="P96" s="8">
        <v>0</v>
      </c>
      <c r="Q96" s="8">
        <v>0</v>
      </c>
      <c r="R96" s="8"/>
      <c r="S96" s="317" t="s">
        <v>602</v>
      </c>
      <c r="T96" s="8">
        <v>0</v>
      </c>
      <c r="U96">
        <v>0</v>
      </c>
      <c r="W96">
        <v>0</v>
      </c>
    </row>
    <row r="97" spans="2:24" x14ac:dyDescent="0.3">
      <c r="B97" s="8" t="s">
        <v>461</v>
      </c>
      <c r="C97" s="10">
        <v>6</v>
      </c>
      <c r="D97" s="10">
        <v>6.25</v>
      </c>
      <c r="E97" s="8">
        <v>12.5</v>
      </c>
      <c r="F97" s="8">
        <v>0</v>
      </c>
      <c r="G97" s="8">
        <v>0</v>
      </c>
      <c r="H97" s="8">
        <v>0</v>
      </c>
      <c r="I97" s="8">
        <v>0</v>
      </c>
      <c r="J97" s="8">
        <v>0</v>
      </c>
      <c r="K97" s="8">
        <v>0</v>
      </c>
      <c r="L97" s="8">
        <v>1</v>
      </c>
      <c r="M97" s="8">
        <v>0</v>
      </c>
      <c r="N97" s="8">
        <v>1</v>
      </c>
      <c r="O97" s="8"/>
      <c r="P97" s="8">
        <v>0</v>
      </c>
      <c r="Q97" s="8">
        <v>0</v>
      </c>
      <c r="R97" s="8"/>
      <c r="S97" s="317" t="s">
        <v>602</v>
      </c>
      <c r="T97" s="8">
        <v>0</v>
      </c>
      <c r="U97">
        <v>0</v>
      </c>
      <c r="W97">
        <v>0</v>
      </c>
    </row>
    <row r="98" spans="2:24" x14ac:dyDescent="0.3">
      <c r="B98" s="8" t="s">
        <v>737</v>
      </c>
      <c r="C98" s="10">
        <v>6.25</v>
      </c>
      <c r="D98" s="10">
        <v>6.25</v>
      </c>
      <c r="E98" s="8">
        <v>12.5</v>
      </c>
      <c r="F98" s="8">
        <v>0</v>
      </c>
      <c r="G98" s="8">
        <v>0</v>
      </c>
      <c r="H98" s="8">
        <v>0</v>
      </c>
      <c r="I98" s="8">
        <v>0</v>
      </c>
      <c r="J98" s="8">
        <v>0</v>
      </c>
      <c r="K98" s="8">
        <v>0</v>
      </c>
      <c r="L98" s="8">
        <v>0</v>
      </c>
      <c r="M98" s="8">
        <v>0</v>
      </c>
      <c r="N98" s="8">
        <v>0</v>
      </c>
      <c r="O98" s="8"/>
      <c r="P98" s="8">
        <v>0</v>
      </c>
      <c r="Q98" s="8">
        <v>0</v>
      </c>
      <c r="R98" s="8"/>
      <c r="S98" s="317" t="s">
        <v>602</v>
      </c>
      <c r="T98" s="8">
        <v>0</v>
      </c>
      <c r="U98">
        <v>0</v>
      </c>
      <c r="W98">
        <v>0</v>
      </c>
    </row>
    <row r="99" spans="2:24" x14ac:dyDescent="0.3">
      <c r="B99" s="8" t="s">
        <v>838</v>
      </c>
      <c r="C99" s="10">
        <v>5.75</v>
      </c>
      <c r="D99" s="10">
        <v>6.25</v>
      </c>
      <c r="E99" s="8">
        <v>12.5</v>
      </c>
      <c r="F99" s="8">
        <v>0</v>
      </c>
      <c r="G99" s="8">
        <v>0</v>
      </c>
      <c r="H99" s="8">
        <v>0</v>
      </c>
      <c r="I99" s="8">
        <v>0</v>
      </c>
      <c r="J99" s="8">
        <v>0</v>
      </c>
      <c r="K99" s="8">
        <v>0</v>
      </c>
      <c r="L99" s="8">
        <v>0</v>
      </c>
      <c r="M99" s="8">
        <v>0</v>
      </c>
      <c r="N99" s="8">
        <v>1</v>
      </c>
      <c r="O99" s="8"/>
      <c r="P99" s="8">
        <v>0</v>
      </c>
      <c r="Q99" s="8">
        <v>0</v>
      </c>
      <c r="R99" s="8">
        <v>1</v>
      </c>
      <c r="S99" s="317">
        <v>5</v>
      </c>
      <c r="T99" s="8">
        <v>5</v>
      </c>
      <c r="U99">
        <v>0</v>
      </c>
      <c r="W99">
        <v>0</v>
      </c>
    </row>
    <row r="100" spans="2:24" x14ac:dyDescent="0.3">
      <c r="B100" s="8" t="s">
        <v>1015</v>
      </c>
      <c r="C100" s="10">
        <v>6.25</v>
      </c>
      <c r="D100" s="10">
        <v>6.25</v>
      </c>
      <c r="E100" s="8">
        <v>12.5</v>
      </c>
      <c r="F100" s="8">
        <v>0</v>
      </c>
      <c r="G100" s="8">
        <v>0</v>
      </c>
      <c r="H100" s="8">
        <v>0</v>
      </c>
      <c r="I100" s="8">
        <v>0</v>
      </c>
      <c r="J100" s="8">
        <v>0</v>
      </c>
      <c r="K100" s="8">
        <v>0</v>
      </c>
      <c r="L100" s="8">
        <v>0</v>
      </c>
      <c r="M100" s="8">
        <v>0</v>
      </c>
      <c r="N100" s="8">
        <v>0</v>
      </c>
      <c r="O100" s="8"/>
      <c r="P100" s="8">
        <v>0</v>
      </c>
      <c r="Q100" s="8">
        <v>0</v>
      </c>
      <c r="R100" s="8"/>
      <c r="S100" s="317" t="s">
        <v>602</v>
      </c>
      <c r="T100" s="8">
        <v>0</v>
      </c>
      <c r="U100">
        <v>0</v>
      </c>
      <c r="W100">
        <v>0</v>
      </c>
    </row>
    <row r="101" spans="2:24" x14ac:dyDescent="0.3">
      <c r="B101" s="8" t="s">
        <v>996</v>
      </c>
      <c r="C101" s="10">
        <v>6.5</v>
      </c>
      <c r="D101" s="10">
        <v>6.25</v>
      </c>
      <c r="E101" s="8">
        <v>12.5</v>
      </c>
      <c r="F101" s="8">
        <v>0</v>
      </c>
      <c r="G101" s="8">
        <v>0</v>
      </c>
      <c r="H101" s="8">
        <v>0</v>
      </c>
      <c r="I101" s="8">
        <v>0</v>
      </c>
      <c r="J101" s="8">
        <v>0</v>
      </c>
      <c r="K101" s="8">
        <v>0</v>
      </c>
      <c r="L101" s="8">
        <v>1</v>
      </c>
      <c r="M101" s="8">
        <v>0</v>
      </c>
      <c r="N101" s="8">
        <v>0</v>
      </c>
      <c r="O101" s="8"/>
      <c r="P101" s="8">
        <v>0</v>
      </c>
      <c r="Q101" s="8">
        <v>0</v>
      </c>
      <c r="R101" s="8"/>
      <c r="S101" s="317" t="s">
        <v>602</v>
      </c>
      <c r="T101" s="8">
        <v>0</v>
      </c>
      <c r="U101">
        <v>6.5</v>
      </c>
      <c r="V101">
        <v>1</v>
      </c>
      <c r="W101">
        <v>6.5</v>
      </c>
      <c r="X101">
        <v>1</v>
      </c>
    </row>
    <row r="102" spans="2:24" x14ac:dyDescent="0.3">
      <c r="B102" s="8" t="s">
        <v>668</v>
      </c>
      <c r="C102" s="10">
        <v>6.25</v>
      </c>
      <c r="D102" s="10">
        <v>6.25</v>
      </c>
      <c r="E102" s="8">
        <v>12.5</v>
      </c>
      <c r="F102" s="8">
        <v>0</v>
      </c>
      <c r="G102" s="8">
        <v>0</v>
      </c>
      <c r="H102" s="8">
        <v>0</v>
      </c>
      <c r="I102" s="8">
        <v>0</v>
      </c>
      <c r="J102" s="8">
        <v>0</v>
      </c>
      <c r="K102" s="8">
        <v>0</v>
      </c>
      <c r="L102" s="8">
        <v>0</v>
      </c>
      <c r="M102" s="8">
        <v>0</v>
      </c>
      <c r="N102" s="8">
        <v>0</v>
      </c>
      <c r="O102" s="8"/>
      <c r="P102" s="8">
        <v>0</v>
      </c>
      <c r="Q102" s="8">
        <v>0</v>
      </c>
      <c r="R102" s="8"/>
      <c r="S102" s="317" t="s">
        <v>602</v>
      </c>
      <c r="T102" s="8">
        <v>0</v>
      </c>
      <c r="U102">
        <v>0</v>
      </c>
      <c r="W102">
        <v>0</v>
      </c>
    </row>
    <row r="103" spans="2:24" x14ac:dyDescent="0.3">
      <c r="B103" s="8" t="s">
        <v>661</v>
      </c>
      <c r="C103" s="10">
        <v>6.25</v>
      </c>
      <c r="D103" s="10">
        <v>6.25</v>
      </c>
      <c r="E103" s="8">
        <v>12.5</v>
      </c>
      <c r="F103" s="8">
        <v>0</v>
      </c>
      <c r="G103" s="8">
        <v>1</v>
      </c>
      <c r="H103" s="8">
        <v>0</v>
      </c>
      <c r="I103" s="8">
        <v>0</v>
      </c>
      <c r="J103" s="8">
        <v>0</v>
      </c>
      <c r="K103" s="8">
        <v>0</v>
      </c>
      <c r="L103" s="8">
        <v>0</v>
      </c>
      <c r="M103" s="8">
        <v>0</v>
      </c>
      <c r="N103" s="8">
        <v>0</v>
      </c>
      <c r="O103" s="8"/>
      <c r="P103" s="8">
        <v>1</v>
      </c>
      <c r="Q103" s="8">
        <v>0</v>
      </c>
      <c r="R103" s="8">
        <v>1</v>
      </c>
      <c r="S103" s="317">
        <v>7</v>
      </c>
      <c r="T103" s="8">
        <v>7</v>
      </c>
      <c r="U103">
        <v>7</v>
      </c>
      <c r="V103">
        <v>1</v>
      </c>
      <c r="W103">
        <v>7</v>
      </c>
      <c r="X103">
        <v>1</v>
      </c>
    </row>
    <row r="104" spans="2:24" x14ac:dyDescent="0.3">
      <c r="B104" s="8" t="s">
        <v>746</v>
      </c>
      <c r="C104" s="10">
        <v>6.25</v>
      </c>
      <c r="D104" s="10">
        <v>6.25</v>
      </c>
      <c r="E104" s="8">
        <v>12.5</v>
      </c>
      <c r="F104" s="8">
        <v>0</v>
      </c>
      <c r="G104" s="8">
        <v>0</v>
      </c>
      <c r="H104" s="8">
        <v>0</v>
      </c>
      <c r="I104" s="8">
        <v>0</v>
      </c>
      <c r="J104" s="8">
        <v>0</v>
      </c>
      <c r="K104" s="8">
        <v>0</v>
      </c>
      <c r="L104" s="8">
        <v>0</v>
      </c>
      <c r="M104" s="8">
        <v>0</v>
      </c>
      <c r="N104" s="8">
        <v>0</v>
      </c>
      <c r="O104" s="8"/>
      <c r="P104" s="8">
        <v>0</v>
      </c>
      <c r="Q104" s="8">
        <v>0</v>
      </c>
      <c r="R104" s="8"/>
      <c r="S104" s="317" t="s">
        <v>602</v>
      </c>
      <c r="T104" s="8">
        <v>0</v>
      </c>
      <c r="U104">
        <v>0</v>
      </c>
      <c r="W104">
        <v>0</v>
      </c>
    </row>
    <row r="105" spans="2:24" x14ac:dyDescent="0.3">
      <c r="B105" s="8" t="s">
        <v>658</v>
      </c>
      <c r="C105" s="10">
        <v>6.25</v>
      </c>
      <c r="D105" s="10">
        <v>6.25</v>
      </c>
      <c r="E105" s="8">
        <v>12.5</v>
      </c>
      <c r="F105" s="8">
        <v>0</v>
      </c>
      <c r="G105" s="8">
        <v>0</v>
      </c>
      <c r="H105" s="8">
        <v>0</v>
      </c>
      <c r="I105" s="8">
        <v>0</v>
      </c>
      <c r="J105" s="8">
        <v>0</v>
      </c>
      <c r="K105" s="8">
        <v>0</v>
      </c>
      <c r="L105" s="8">
        <v>0</v>
      </c>
      <c r="M105" s="8">
        <v>0</v>
      </c>
      <c r="N105" s="8">
        <v>0</v>
      </c>
      <c r="O105" s="8"/>
      <c r="P105" s="8">
        <v>0</v>
      </c>
      <c r="Q105" s="8">
        <v>0</v>
      </c>
      <c r="R105" s="8"/>
      <c r="S105" s="317" t="s">
        <v>602</v>
      </c>
      <c r="T105" s="8">
        <v>0</v>
      </c>
      <c r="U105">
        <v>0</v>
      </c>
      <c r="W105">
        <v>0</v>
      </c>
    </row>
    <row r="106" spans="2:24" x14ac:dyDescent="0.3">
      <c r="B106" s="8" t="s">
        <v>728</v>
      </c>
      <c r="C106" s="10">
        <v>6.25</v>
      </c>
      <c r="D106" s="10">
        <v>6.25</v>
      </c>
      <c r="E106" s="8">
        <v>12.5</v>
      </c>
      <c r="F106" s="8">
        <v>0</v>
      </c>
      <c r="G106" s="8">
        <v>0</v>
      </c>
      <c r="H106" s="8">
        <v>0</v>
      </c>
      <c r="I106" s="8">
        <v>0</v>
      </c>
      <c r="J106" s="8">
        <v>0</v>
      </c>
      <c r="K106" s="8">
        <v>0</v>
      </c>
      <c r="L106" s="8">
        <v>0</v>
      </c>
      <c r="M106" s="8">
        <v>0</v>
      </c>
      <c r="N106" s="8">
        <v>0</v>
      </c>
      <c r="O106" s="8"/>
      <c r="P106" s="8">
        <v>0</v>
      </c>
      <c r="Q106" s="8">
        <v>0</v>
      </c>
      <c r="R106" s="8"/>
      <c r="S106" s="317" t="s">
        <v>602</v>
      </c>
      <c r="T106" s="8">
        <v>0</v>
      </c>
      <c r="U106">
        <v>0</v>
      </c>
      <c r="W106">
        <v>0</v>
      </c>
    </row>
    <row r="107" spans="2:24" x14ac:dyDescent="0.3">
      <c r="B107" s="8" t="s">
        <v>1058</v>
      </c>
      <c r="C107" s="10">
        <v>6.25</v>
      </c>
      <c r="D107" s="10">
        <v>6.25</v>
      </c>
      <c r="E107" s="8">
        <v>12.5</v>
      </c>
      <c r="F107" s="8">
        <v>0</v>
      </c>
      <c r="G107" s="8">
        <v>0</v>
      </c>
      <c r="H107" s="8">
        <v>0</v>
      </c>
      <c r="I107" s="8">
        <v>0</v>
      </c>
      <c r="J107" s="8">
        <v>0</v>
      </c>
      <c r="K107" s="8">
        <v>0</v>
      </c>
      <c r="L107" s="8">
        <v>0</v>
      </c>
      <c r="M107" s="8">
        <v>0</v>
      </c>
      <c r="N107" s="8">
        <v>0</v>
      </c>
      <c r="O107" s="8"/>
      <c r="P107" s="8">
        <v>0</v>
      </c>
      <c r="Q107" s="8">
        <v>0</v>
      </c>
      <c r="R107" s="8"/>
      <c r="S107" s="317" t="s">
        <v>602</v>
      </c>
      <c r="T107" s="8">
        <v>0</v>
      </c>
      <c r="U107">
        <v>0</v>
      </c>
      <c r="W107">
        <v>0</v>
      </c>
    </row>
    <row r="108" spans="2:24" x14ac:dyDescent="0.3">
      <c r="B108" s="8" t="s">
        <v>804</v>
      </c>
      <c r="C108" s="10">
        <v>6.25</v>
      </c>
      <c r="D108" s="10">
        <v>6.25</v>
      </c>
      <c r="E108" s="8">
        <v>12.5</v>
      </c>
      <c r="F108" s="8">
        <v>0</v>
      </c>
      <c r="G108" s="8">
        <v>0</v>
      </c>
      <c r="H108" s="8">
        <v>0</v>
      </c>
      <c r="I108" s="8">
        <v>0</v>
      </c>
      <c r="J108" s="8">
        <v>0</v>
      </c>
      <c r="K108" s="8">
        <v>0</v>
      </c>
      <c r="L108" s="8">
        <v>0</v>
      </c>
      <c r="M108" s="8">
        <v>0</v>
      </c>
      <c r="N108" s="8">
        <v>0</v>
      </c>
      <c r="O108" s="8"/>
      <c r="P108" s="8">
        <v>0</v>
      </c>
      <c r="Q108" s="8">
        <v>0</v>
      </c>
      <c r="R108" s="8">
        <v>1</v>
      </c>
      <c r="S108" s="317">
        <v>6.5</v>
      </c>
      <c r="T108" s="8">
        <v>6.5</v>
      </c>
      <c r="U108">
        <v>6.5</v>
      </c>
      <c r="V108">
        <v>1</v>
      </c>
      <c r="W108">
        <v>6.5</v>
      </c>
      <c r="X108">
        <v>1</v>
      </c>
    </row>
    <row r="109" spans="2:24" x14ac:dyDescent="0.3">
      <c r="B109" s="8" t="s">
        <v>714</v>
      </c>
      <c r="C109" s="10">
        <v>6.25</v>
      </c>
      <c r="D109" s="10">
        <v>6.25</v>
      </c>
      <c r="E109" s="8">
        <v>12.5</v>
      </c>
      <c r="F109" s="8">
        <v>0</v>
      </c>
      <c r="G109" s="8">
        <v>0</v>
      </c>
      <c r="H109" s="8">
        <v>0</v>
      </c>
      <c r="I109" s="8">
        <v>0</v>
      </c>
      <c r="J109" s="8">
        <v>0</v>
      </c>
      <c r="K109" s="8">
        <v>0</v>
      </c>
      <c r="L109" s="8">
        <v>0</v>
      </c>
      <c r="M109" s="8">
        <v>0</v>
      </c>
      <c r="N109" s="8">
        <v>0</v>
      </c>
      <c r="O109" s="8"/>
      <c r="P109" s="8">
        <v>0</v>
      </c>
      <c r="Q109" s="8">
        <v>0</v>
      </c>
      <c r="R109" s="8"/>
      <c r="S109" s="317" t="s">
        <v>602</v>
      </c>
      <c r="T109" s="8">
        <v>0</v>
      </c>
      <c r="U109">
        <v>6</v>
      </c>
      <c r="V109">
        <v>1</v>
      </c>
      <c r="W109">
        <v>6</v>
      </c>
      <c r="X109">
        <v>1</v>
      </c>
    </row>
    <row r="110" spans="2:24" x14ac:dyDescent="0.3">
      <c r="B110" s="8" t="s">
        <v>206</v>
      </c>
      <c r="C110" s="10">
        <v>6.25</v>
      </c>
      <c r="D110" s="10">
        <v>6.25</v>
      </c>
      <c r="E110" s="8">
        <v>12.5</v>
      </c>
      <c r="F110" s="8">
        <v>0</v>
      </c>
      <c r="G110" s="8">
        <v>0</v>
      </c>
      <c r="H110" s="8">
        <v>0</v>
      </c>
      <c r="I110" s="8">
        <v>0</v>
      </c>
      <c r="J110" s="8">
        <v>0</v>
      </c>
      <c r="K110" s="8">
        <v>0</v>
      </c>
      <c r="L110" s="8">
        <v>0</v>
      </c>
      <c r="M110" s="8">
        <v>0</v>
      </c>
      <c r="N110" s="8">
        <v>0</v>
      </c>
      <c r="O110" s="8"/>
      <c r="P110" s="8">
        <v>0</v>
      </c>
      <c r="Q110" s="8">
        <v>0</v>
      </c>
      <c r="R110" s="8"/>
      <c r="S110" s="317" t="s">
        <v>602</v>
      </c>
      <c r="T110" s="8">
        <v>0</v>
      </c>
      <c r="U110">
        <v>0</v>
      </c>
      <c r="W110">
        <v>0</v>
      </c>
    </row>
    <row r="111" spans="2:24" x14ac:dyDescent="0.3">
      <c r="B111" s="8" t="s">
        <v>938</v>
      </c>
      <c r="C111" s="10">
        <v>6.25</v>
      </c>
      <c r="D111" s="10">
        <v>6.25</v>
      </c>
      <c r="E111" s="8">
        <v>12.5</v>
      </c>
      <c r="F111" s="8">
        <v>0</v>
      </c>
      <c r="G111" s="8">
        <v>0</v>
      </c>
      <c r="H111" s="8">
        <v>0</v>
      </c>
      <c r="I111" s="8">
        <v>0</v>
      </c>
      <c r="J111" s="8">
        <v>0</v>
      </c>
      <c r="K111" s="8">
        <v>0</v>
      </c>
      <c r="L111" s="8">
        <v>0</v>
      </c>
      <c r="M111" s="8">
        <v>0</v>
      </c>
      <c r="N111" s="8">
        <v>0</v>
      </c>
      <c r="O111" s="8"/>
      <c r="P111" s="8">
        <v>0</v>
      </c>
      <c r="Q111" s="8">
        <v>0</v>
      </c>
      <c r="R111" s="8"/>
      <c r="S111" s="317" t="s">
        <v>602</v>
      </c>
      <c r="T111" s="8">
        <v>0</v>
      </c>
      <c r="U111">
        <v>6.5</v>
      </c>
      <c r="V111">
        <v>1</v>
      </c>
      <c r="W111">
        <v>6.5</v>
      </c>
      <c r="X111">
        <v>1</v>
      </c>
    </row>
    <row r="112" spans="2:24" x14ac:dyDescent="0.3">
      <c r="B112" s="8" t="s">
        <v>864</v>
      </c>
      <c r="C112" s="10">
        <v>6.25</v>
      </c>
      <c r="D112" s="10">
        <v>6.25</v>
      </c>
      <c r="E112" s="8">
        <v>12.5</v>
      </c>
      <c r="F112" s="8">
        <v>0</v>
      </c>
      <c r="G112" s="8">
        <v>0</v>
      </c>
      <c r="H112" s="8">
        <v>0</v>
      </c>
      <c r="I112" s="8">
        <v>0</v>
      </c>
      <c r="J112" s="8">
        <v>0</v>
      </c>
      <c r="K112" s="8">
        <v>0</v>
      </c>
      <c r="L112" s="8">
        <v>0</v>
      </c>
      <c r="M112" s="8">
        <v>0</v>
      </c>
      <c r="N112" s="8">
        <v>0</v>
      </c>
      <c r="O112" s="8"/>
      <c r="P112" s="8">
        <v>0</v>
      </c>
      <c r="Q112" s="8">
        <v>0</v>
      </c>
      <c r="R112" s="8">
        <v>1</v>
      </c>
      <c r="S112" s="317">
        <v>6</v>
      </c>
      <c r="T112" s="8">
        <v>6</v>
      </c>
      <c r="U112">
        <v>6</v>
      </c>
      <c r="V112">
        <v>1</v>
      </c>
      <c r="W112">
        <v>0</v>
      </c>
    </row>
    <row r="113" spans="1:24" x14ac:dyDescent="0.3">
      <c r="B113" s="8" t="s">
        <v>942</v>
      </c>
      <c r="C113" s="10">
        <v>6.25</v>
      </c>
      <c r="D113" s="10">
        <v>6.25</v>
      </c>
      <c r="E113" s="8">
        <v>12.5</v>
      </c>
      <c r="F113" s="8">
        <v>0</v>
      </c>
      <c r="G113" s="8">
        <v>0</v>
      </c>
      <c r="H113" s="8">
        <v>0</v>
      </c>
      <c r="I113" s="8">
        <v>0</v>
      </c>
      <c r="J113" s="8">
        <v>0</v>
      </c>
      <c r="K113" s="8">
        <v>0</v>
      </c>
      <c r="L113" s="8">
        <v>0</v>
      </c>
      <c r="M113" s="8">
        <v>0</v>
      </c>
      <c r="N113" s="8">
        <v>0</v>
      </c>
      <c r="O113" s="8"/>
      <c r="P113" s="8">
        <v>0</v>
      </c>
      <c r="Q113" s="8">
        <v>0</v>
      </c>
      <c r="R113" s="8"/>
      <c r="S113" s="317" t="s">
        <v>602</v>
      </c>
      <c r="T113" s="8">
        <v>0</v>
      </c>
      <c r="U113">
        <v>6.5</v>
      </c>
      <c r="V113">
        <v>1</v>
      </c>
      <c r="W113">
        <v>6.5</v>
      </c>
      <c r="X113">
        <v>1</v>
      </c>
    </row>
    <row r="114" spans="1:24" x14ac:dyDescent="0.3">
      <c r="A114" s="203"/>
      <c r="B114" s="8" t="s">
        <v>466</v>
      </c>
      <c r="C114" s="10">
        <v>6.25</v>
      </c>
      <c r="D114" s="10">
        <v>6.25</v>
      </c>
      <c r="E114" s="8">
        <v>12.5</v>
      </c>
      <c r="F114" s="8">
        <v>0</v>
      </c>
      <c r="G114" s="8">
        <v>0</v>
      </c>
      <c r="H114" s="8">
        <v>0</v>
      </c>
      <c r="I114" s="8">
        <v>0</v>
      </c>
      <c r="J114" s="8">
        <v>0</v>
      </c>
      <c r="K114" s="8">
        <v>0</v>
      </c>
      <c r="L114" s="8">
        <v>0</v>
      </c>
      <c r="M114" s="8">
        <v>0</v>
      </c>
      <c r="N114" s="8">
        <v>0</v>
      </c>
      <c r="O114" s="8"/>
      <c r="P114" s="8">
        <v>0</v>
      </c>
      <c r="Q114" s="8">
        <v>0</v>
      </c>
      <c r="R114" s="8">
        <v>1</v>
      </c>
      <c r="S114" s="317">
        <v>6</v>
      </c>
      <c r="T114" s="8">
        <v>6</v>
      </c>
      <c r="U114">
        <v>6</v>
      </c>
      <c r="V114">
        <v>1</v>
      </c>
      <c r="W114">
        <v>6</v>
      </c>
      <c r="X114">
        <v>1</v>
      </c>
    </row>
    <row r="115" spans="1:24" x14ac:dyDescent="0.3">
      <c r="B115" s="8" t="s">
        <v>963</v>
      </c>
      <c r="C115" s="10">
        <v>5.75</v>
      </c>
      <c r="D115" s="10">
        <v>6.25</v>
      </c>
      <c r="E115" s="8">
        <v>12.5</v>
      </c>
      <c r="F115" s="8">
        <v>0</v>
      </c>
      <c r="G115" s="8">
        <v>0</v>
      </c>
      <c r="H115" s="8">
        <v>0</v>
      </c>
      <c r="I115" s="8">
        <v>0</v>
      </c>
      <c r="J115" s="8">
        <v>0</v>
      </c>
      <c r="K115" s="8">
        <v>0</v>
      </c>
      <c r="L115" s="8">
        <v>0</v>
      </c>
      <c r="M115" s="8">
        <v>0</v>
      </c>
      <c r="N115" s="8">
        <v>1</v>
      </c>
      <c r="O115" s="8"/>
      <c r="P115" s="8">
        <v>0</v>
      </c>
      <c r="Q115" s="8">
        <v>0</v>
      </c>
      <c r="R115" s="8"/>
      <c r="S115" s="317" t="s">
        <v>602</v>
      </c>
      <c r="T115" s="8">
        <v>0</v>
      </c>
      <c r="U115">
        <v>0</v>
      </c>
      <c r="W115">
        <v>0</v>
      </c>
    </row>
    <row r="116" spans="1:24" x14ac:dyDescent="0.3">
      <c r="B116" s="8" t="s">
        <v>421</v>
      </c>
      <c r="C116" s="10">
        <v>6.25</v>
      </c>
      <c r="D116" s="10">
        <v>6.25</v>
      </c>
      <c r="E116" s="8">
        <v>12.5</v>
      </c>
      <c r="F116" s="8">
        <v>0</v>
      </c>
      <c r="G116" s="8">
        <v>1</v>
      </c>
      <c r="H116" s="8">
        <v>0</v>
      </c>
      <c r="I116" s="8">
        <v>0</v>
      </c>
      <c r="J116" s="8">
        <v>0</v>
      </c>
      <c r="K116" s="8">
        <v>0</v>
      </c>
      <c r="L116" s="8">
        <v>0</v>
      </c>
      <c r="M116" s="8">
        <v>0</v>
      </c>
      <c r="N116" s="8">
        <v>0</v>
      </c>
      <c r="O116" s="8"/>
      <c r="P116" s="8">
        <v>1</v>
      </c>
      <c r="Q116" s="8">
        <v>0</v>
      </c>
      <c r="R116" s="8">
        <v>1</v>
      </c>
      <c r="S116" s="317">
        <v>5</v>
      </c>
      <c r="T116" s="8">
        <v>5</v>
      </c>
      <c r="U116">
        <v>5</v>
      </c>
      <c r="V116">
        <v>1</v>
      </c>
      <c r="W116">
        <v>5</v>
      </c>
      <c r="X116">
        <v>1</v>
      </c>
    </row>
    <row r="117" spans="1:24" x14ac:dyDescent="0.3">
      <c r="B117" s="8" t="s">
        <v>554</v>
      </c>
      <c r="C117" s="10">
        <v>6.25</v>
      </c>
      <c r="D117" s="10">
        <v>6.25</v>
      </c>
      <c r="E117" s="8">
        <v>12.5</v>
      </c>
      <c r="F117" s="8">
        <v>0</v>
      </c>
      <c r="G117" s="8">
        <v>0</v>
      </c>
      <c r="H117" s="8">
        <v>0</v>
      </c>
      <c r="I117" s="8">
        <v>0</v>
      </c>
      <c r="J117" s="8">
        <v>0</v>
      </c>
      <c r="K117" s="8">
        <v>0</v>
      </c>
      <c r="L117" s="8">
        <v>0</v>
      </c>
      <c r="M117" s="8">
        <v>0</v>
      </c>
      <c r="N117" s="8">
        <v>0</v>
      </c>
      <c r="O117" s="8"/>
      <c r="P117" s="8">
        <v>0</v>
      </c>
      <c r="Q117" s="8">
        <v>0</v>
      </c>
      <c r="R117" s="8">
        <v>1</v>
      </c>
      <c r="S117" s="317">
        <v>6.5</v>
      </c>
      <c r="T117" s="8">
        <v>6.5</v>
      </c>
      <c r="U117">
        <v>6.5</v>
      </c>
      <c r="V117">
        <v>1</v>
      </c>
      <c r="W117">
        <v>6.5</v>
      </c>
      <c r="X117">
        <v>1</v>
      </c>
    </row>
    <row r="118" spans="1:24" x14ac:dyDescent="0.3">
      <c r="B118" s="8" t="s">
        <v>595</v>
      </c>
      <c r="C118" s="10">
        <v>6.5</v>
      </c>
      <c r="D118" s="10">
        <v>6.25</v>
      </c>
      <c r="E118" s="8">
        <v>12.5</v>
      </c>
      <c r="F118" s="8">
        <v>0</v>
      </c>
      <c r="G118" s="8">
        <v>0</v>
      </c>
      <c r="H118" s="8">
        <v>0</v>
      </c>
      <c r="I118" s="8">
        <v>0</v>
      </c>
      <c r="J118" s="8">
        <v>0</v>
      </c>
      <c r="K118" s="8">
        <v>0</v>
      </c>
      <c r="L118" s="8">
        <v>1</v>
      </c>
      <c r="M118" s="8">
        <v>0</v>
      </c>
      <c r="N118" s="8">
        <v>0</v>
      </c>
      <c r="O118" s="8"/>
      <c r="P118" s="8">
        <v>0</v>
      </c>
      <c r="Q118" s="8">
        <v>0</v>
      </c>
      <c r="R118" s="8"/>
      <c r="S118" s="317" t="s">
        <v>602</v>
      </c>
      <c r="T118" s="8">
        <v>0</v>
      </c>
      <c r="U118">
        <v>0</v>
      </c>
      <c r="W118">
        <v>0</v>
      </c>
    </row>
    <row r="119" spans="1:24" x14ac:dyDescent="0.3">
      <c r="B119" s="8" t="s">
        <v>669</v>
      </c>
      <c r="C119" s="10">
        <v>6.25</v>
      </c>
      <c r="D119" s="10">
        <v>6.25</v>
      </c>
      <c r="E119" s="8">
        <v>12.5</v>
      </c>
      <c r="F119" s="8">
        <v>0</v>
      </c>
      <c r="G119" s="8">
        <v>0</v>
      </c>
      <c r="H119" s="8">
        <v>0</v>
      </c>
      <c r="I119" s="8">
        <v>0</v>
      </c>
      <c r="J119" s="8">
        <v>0</v>
      </c>
      <c r="K119" s="8">
        <v>0</v>
      </c>
      <c r="L119" s="8">
        <v>0</v>
      </c>
      <c r="M119" s="8">
        <v>0</v>
      </c>
      <c r="N119" s="8">
        <v>0</v>
      </c>
      <c r="O119" s="8"/>
      <c r="P119" s="8">
        <v>0</v>
      </c>
      <c r="Q119" s="8">
        <v>0</v>
      </c>
      <c r="R119" s="8"/>
      <c r="S119" s="317" t="s">
        <v>602</v>
      </c>
      <c r="T119" s="8">
        <v>0</v>
      </c>
      <c r="U119">
        <v>0</v>
      </c>
      <c r="W119">
        <v>0</v>
      </c>
    </row>
    <row r="120" spans="1:24" x14ac:dyDescent="0.3">
      <c r="B120" s="8" t="s">
        <v>876</v>
      </c>
      <c r="C120" s="10">
        <v>6</v>
      </c>
      <c r="D120" s="10">
        <v>6</v>
      </c>
      <c r="E120" s="8">
        <v>12</v>
      </c>
      <c r="F120" s="8">
        <v>0</v>
      </c>
      <c r="G120" s="8">
        <v>0</v>
      </c>
      <c r="H120" s="8">
        <v>0</v>
      </c>
      <c r="I120" s="8">
        <v>0</v>
      </c>
      <c r="J120" s="8">
        <v>0</v>
      </c>
      <c r="K120" s="8">
        <v>0</v>
      </c>
      <c r="L120" s="8">
        <v>0</v>
      </c>
      <c r="M120" s="8">
        <v>0</v>
      </c>
      <c r="N120" s="8">
        <v>0</v>
      </c>
      <c r="O120" s="8"/>
      <c r="P120" s="8">
        <v>0</v>
      </c>
      <c r="Q120" s="8">
        <v>0</v>
      </c>
      <c r="R120" s="8"/>
      <c r="S120" s="317" t="s">
        <v>602</v>
      </c>
      <c r="T120" s="8">
        <v>0</v>
      </c>
      <c r="U120">
        <v>0</v>
      </c>
      <c r="W120">
        <v>0</v>
      </c>
    </row>
    <row r="121" spans="1:24" x14ac:dyDescent="0.3">
      <c r="B121" s="8" t="s">
        <v>298</v>
      </c>
      <c r="C121" s="10">
        <v>6</v>
      </c>
      <c r="D121" s="10">
        <v>6</v>
      </c>
      <c r="E121" s="8">
        <v>12</v>
      </c>
      <c r="F121" s="8">
        <v>0</v>
      </c>
      <c r="G121" s="8">
        <v>0</v>
      </c>
      <c r="H121" s="8">
        <v>0</v>
      </c>
      <c r="I121" s="8">
        <v>0</v>
      </c>
      <c r="J121" s="8">
        <v>0</v>
      </c>
      <c r="K121" s="8">
        <v>0</v>
      </c>
      <c r="L121" s="8">
        <v>0</v>
      </c>
      <c r="M121" s="8">
        <v>0</v>
      </c>
      <c r="N121" s="8">
        <v>0</v>
      </c>
      <c r="O121" s="8"/>
      <c r="P121" s="8">
        <v>0</v>
      </c>
      <c r="Q121" s="8">
        <v>0</v>
      </c>
      <c r="R121" s="8"/>
      <c r="S121" s="317" t="s">
        <v>602</v>
      </c>
      <c r="T121" s="8">
        <v>0</v>
      </c>
      <c r="U121">
        <v>5.5</v>
      </c>
      <c r="V121">
        <v>1</v>
      </c>
      <c r="W121">
        <v>5.5</v>
      </c>
      <c r="X121">
        <v>1</v>
      </c>
    </row>
    <row r="122" spans="1:24" x14ac:dyDescent="0.3">
      <c r="B122" s="8" t="s">
        <v>994</v>
      </c>
      <c r="C122" s="10">
        <v>6</v>
      </c>
      <c r="D122" s="10">
        <v>6</v>
      </c>
      <c r="E122" s="8">
        <v>12</v>
      </c>
      <c r="F122" s="8">
        <v>0</v>
      </c>
      <c r="G122" s="8">
        <v>0</v>
      </c>
      <c r="H122" s="8">
        <v>0</v>
      </c>
      <c r="I122" s="8">
        <v>0</v>
      </c>
      <c r="J122" s="8">
        <v>0</v>
      </c>
      <c r="K122" s="8">
        <v>0</v>
      </c>
      <c r="L122" s="8">
        <v>0</v>
      </c>
      <c r="M122" s="8">
        <v>0</v>
      </c>
      <c r="N122" s="8">
        <v>0</v>
      </c>
      <c r="O122" s="8"/>
      <c r="P122" s="8">
        <v>0</v>
      </c>
      <c r="Q122" s="8">
        <v>0</v>
      </c>
      <c r="R122" s="8"/>
      <c r="S122" s="317" t="s">
        <v>602</v>
      </c>
      <c r="T122" s="8">
        <v>0</v>
      </c>
      <c r="U122">
        <v>6</v>
      </c>
      <c r="V122">
        <v>1</v>
      </c>
      <c r="W122">
        <v>6</v>
      </c>
      <c r="X122">
        <v>1</v>
      </c>
    </row>
    <row r="123" spans="1:24" x14ac:dyDescent="0.3">
      <c r="B123" s="8" t="s">
        <v>243</v>
      </c>
      <c r="C123" s="10">
        <v>6</v>
      </c>
      <c r="D123" s="10">
        <v>6</v>
      </c>
      <c r="E123" s="8">
        <v>12</v>
      </c>
      <c r="F123" s="8">
        <v>0</v>
      </c>
      <c r="G123" s="8">
        <v>0</v>
      </c>
      <c r="H123" s="8">
        <v>0</v>
      </c>
      <c r="I123" s="8">
        <v>0</v>
      </c>
      <c r="J123" s="8">
        <v>0</v>
      </c>
      <c r="K123" s="8">
        <v>0</v>
      </c>
      <c r="L123" s="8">
        <v>0</v>
      </c>
      <c r="M123" s="8">
        <v>0</v>
      </c>
      <c r="N123" s="8">
        <v>0</v>
      </c>
      <c r="O123" s="8"/>
      <c r="P123" s="8">
        <v>0</v>
      </c>
      <c r="Q123" s="8">
        <v>0</v>
      </c>
      <c r="R123" s="8">
        <v>1</v>
      </c>
      <c r="S123" s="317">
        <v>5.5</v>
      </c>
      <c r="T123" s="8">
        <v>5.5</v>
      </c>
      <c r="U123">
        <v>0</v>
      </c>
      <c r="W123">
        <v>0</v>
      </c>
    </row>
    <row r="124" spans="1:24" x14ac:dyDescent="0.3">
      <c r="B124" s="8" t="s">
        <v>695</v>
      </c>
      <c r="C124" s="10">
        <v>6</v>
      </c>
      <c r="D124" s="10">
        <v>6</v>
      </c>
      <c r="E124" s="8">
        <v>12</v>
      </c>
      <c r="F124" s="8">
        <v>0</v>
      </c>
      <c r="G124" s="8">
        <v>0</v>
      </c>
      <c r="H124" s="8">
        <v>0</v>
      </c>
      <c r="I124" s="8">
        <v>0</v>
      </c>
      <c r="J124" s="8">
        <v>0</v>
      </c>
      <c r="K124" s="8">
        <v>0</v>
      </c>
      <c r="L124" s="8">
        <v>0</v>
      </c>
      <c r="M124" s="8">
        <v>0</v>
      </c>
      <c r="N124" s="8">
        <v>0</v>
      </c>
      <c r="O124" s="8"/>
      <c r="P124" s="8">
        <v>0</v>
      </c>
      <c r="Q124" s="8">
        <v>0</v>
      </c>
      <c r="R124" s="8"/>
      <c r="S124" s="317" t="s">
        <v>602</v>
      </c>
      <c r="T124" s="8">
        <v>0</v>
      </c>
      <c r="U124">
        <v>0</v>
      </c>
      <c r="W124">
        <v>0</v>
      </c>
    </row>
    <row r="125" spans="1:24" x14ac:dyDescent="0.3">
      <c r="B125" s="8" t="s">
        <v>509</v>
      </c>
      <c r="C125" s="10">
        <v>6</v>
      </c>
      <c r="D125" s="10">
        <v>6</v>
      </c>
      <c r="E125" s="8">
        <v>12</v>
      </c>
      <c r="F125" s="8">
        <v>0</v>
      </c>
      <c r="G125" s="8">
        <v>0</v>
      </c>
      <c r="H125" s="8">
        <v>0</v>
      </c>
      <c r="I125" s="8">
        <v>0</v>
      </c>
      <c r="J125" s="8">
        <v>0</v>
      </c>
      <c r="K125" s="8">
        <v>0</v>
      </c>
      <c r="L125" s="8">
        <v>0</v>
      </c>
      <c r="M125" s="8">
        <v>0</v>
      </c>
      <c r="N125" s="8">
        <v>0</v>
      </c>
      <c r="O125" s="8"/>
      <c r="P125" s="8">
        <v>0</v>
      </c>
      <c r="Q125" s="8">
        <v>0</v>
      </c>
      <c r="R125" s="8"/>
      <c r="S125" s="317" t="s">
        <v>602</v>
      </c>
      <c r="T125" s="8">
        <v>0</v>
      </c>
      <c r="U125">
        <v>6.5</v>
      </c>
      <c r="V125">
        <v>1</v>
      </c>
      <c r="W125">
        <v>6.5</v>
      </c>
      <c r="X125">
        <v>1</v>
      </c>
    </row>
    <row r="126" spans="1:24" x14ac:dyDescent="0.3">
      <c r="B126" s="8" t="s">
        <v>253</v>
      </c>
      <c r="C126" s="10">
        <v>6</v>
      </c>
      <c r="D126" s="10">
        <v>6</v>
      </c>
      <c r="E126" s="8">
        <v>12</v>
      </c>
      <c r="F126" s="8">
        <v>0</v>
      </c>
      <c r="G126" s="8">
        <v>0</v>
      </c>
      <c r="H126" s="8">
        <v>0</v>
      </c>
      <c r="I126" s="8">
        <v>0</v>
      </c>
      <c r="J126" s="8">
        <v>0</v>
      </c>
      <c r="K126" s="8">
        <v>0</v>
      </c>
      <c r="L126" s="8">
        <v>0</v>
      </c>
      <c r="M126" s="8">
        <v>0</v>
      </c>
      <c r="N126" s="8">
        <v>0</v>
      </c>
      <c r="O126" s="8"/>
      <c r="P126" s="8">
        <v>0</v>
      </c>
      <c r="Q126" s="8">
        <v>0</v>
      </c>
      <c r="R126" s="8">
        <v>1</v>
      </c>
      <c r="S126" s="317">
        <v>5.5</v>
      </c>
      <c r="T126" s="8">
        <v>5.5</v>
      </c>
      <c r="U126">
        <v>5.5</v>
      </c>
      <c r="V126">
        <v>1</v>
      </c>
      <c r="W126">
        <v>5.5</v>
      </c>
      <c r="X126">
        <v>1</v>
      </c>
    </row>
    <row r="127" spans="1:24" x14ac:dyDescent="0.3">
      <c r="B127" s="8" t="s">
        <v>572</v>
      </c>
      <c r="C127" s="10">
        <v>6</v>
      </c>
      <c r="D127" s="10">
        <v>6</v>
      </c>
      <c r="E127" s="8">
        <v>12</v>
      </c>
      <c r="F127" s="8">
        <v>0</v>
      </c>
      <c r="G127" s="8">
        <v>0</v>
      </c>
      <c r="H127" s="8">
        <v>0</v>
      </c>
      <c r="I127" s="8">
        <v>0</v>
      </c>
      <c r="J127" s="8">
        <v>0</v>
      </c>
      <c r="K127" s="8">
        <v>0</v>
      </c>
      <c r="L127" s="8">
        <v>0</v>
      </c>
      <c r="M127" s="8">
        <v>0</v>
      </c>
      <c r="N127" s="8">
        <v>0</v>
      </c>
      <c r="O127" s="8"/>
      <c r="P127" s="8">
        <v>0</v>
      </c>
      <c r="Q127" s="8">
        <v>0</v>
      </c>
      <c r="R127" s="8"/>
      <c r="S127" s="317" t="s">
        <v>602</v>
      </c>
      <c r="T127" s="8">
        <v>0</v>
      </c>
      <c r="U127">
        <v>0</v>
      </c>
      <c r="W127">
        <v>0</v>
      </c>
    </row>
    <row r="128" spans="1:24" x14ac:dyDescent="0.3">
      <c r="B128" s="8" t="s">
        <v>904</v>
      </c>
      <c r="C128" s="10">
        <v>6</v>
      </c>
      <c r="D128" s="10">
        <v>6</v>
      </c>
      <c r="E128" s="8">
        <v>12</v>
      </c>
      <c r="F128" s="8">
        <v>0</v>
      </c>
      <c r="G128" s="8">
        <v>0</v>
      </c>
      <c r="H128" s="8">
        <v>0</v>
      </c>
      <c r="I128" s="8">
        <v>0</v>
      </c>
      <c r="J128" s="8">
        <v>0</v>
      </c>
      <c r="K128" s="8">
        <v>0</v>
      </c>
      <c r="L128" s="8">
        <v>0</v>
      </c>
      <c r="M128" s="8">
        <v>0</v>
      </c>
      <c r="N128" s="8">
        <v>0</v>
      </c>
      <c r="O128" s="8"/>
      <c r="P128" s="8">
        <v>0</v>
      </c>
      <c r="Q128" s="8">
        <v>0</v>
      </c>
      <c r="R128" s="8">
        <v>1</v>
      </c>
      <c r="S128" s="317">
        <v>6</v>
      </c>
      <c r="T128" s="8">
        <v>6</v>
      </c>
      <c r="U128">
        <v>0</v>
      </c>
      <c r="W128">
        <v>0</v>
      </c>
    </row>
    <row r="129" spans="2:24" x14ac:dyDescent="0.3">
      <c r="B129" s="8" t="s">
        <v>242</v>
      </c>
      <c r="C129" s="10">
        <v>6</v>
      </c>
      <c r="D129" s="10">
        <v>6</v>
      </c>
      <c r="E129" s="8">
        <v>12</v>
      </c>
      <c r="F129" s="8">
        <v>0</v>
      </c>
      <c r="G129" s="8">
        <v>0</v>
      </c>
      <c r="H129" s="8">
        <v>0</v>
      </c>
      <c r="I129" s="8">
        <v>0</v>
      </c>
      <c r="J129" s="8">
        <v>0</v>
      </c>
      <c r="K129" s="8">
        <v>0</v>
      </c>
      <c r="L129" s="8">
        <v>0</v>
      </c>
      <c r="M129" s="8">
        <v>0</v>
      </c>
      <c r="N129" s="8">
        <v>0</v>
      </c>
      <c r="O129" s="8"/>
      <c r="P129" s="8">
        <v>0</v>
      </c>
      <c r="Q129" s="8">
        <v>0</v>
      </c>
      <c r="R129" s="8"/>
      <c r="S129" s="317" t="s">
        <v>602</v>
      </c>
      <c r="T129" s="8">
        <v>0</v>
      </c>
      <c r="U129">
        <v>0</v>
      </c>
      <c r="W129">
        <v>0</v>
      </c>
    </row>
    <row r="130" spans="2:24" x14ac:dyDescent="0.3">
      <c r="B130" s="8" t="s">
        <v>944</v>
      </c>
      <c r="C130" s="10">
        <v>6</v>
      </c>
      <c r="D130" s="10">
        <v>6</v>
      </c>
      <c r="E130" s="8">
        <v>12</v>
      </c>
      <c r="F130" s="8">
        <v>0</v>
      </c>
      <c r="G130" s="8">
        <v>0</v>
      </c>
      <c r="H130" s="8">
        <v>0</v>
      </c>
      <c r="I130" s="8">
        <v>0</v>
      </c>
      <c r="J130" s="8">
        <v>0</v>
      </c>
      <c r="K130" s="8">
        <v>0</v>
      </c>
      <c r="L130" s="8">
        <v>0</v>
      </c>
      <c r="M130" s="8">
        <v>0</v>
      </c>
      <c r="N130" s="8">
        <v>0</v>
      </c>
      <c r="O130" s="8"/>
      <c r="P130" s="8">
        <v>0</v>
      </c>
      <c r="Q130" s="8">
        <v>0</v>
      </c>
      <c r="R130" s="8"/>
      <c r="S130" s="317" t="s">
        <v>602</v>
      </c>
      <c r="T130" s="8">
        <v>0</v>
      </c>
      <c r="U130">
        <v>0</v>
      </c>
      <c r="W130">
        <v>0</v>
      </c>
    </row>
    <row r="131" spans="2:24" x14ac:dyDescent="0.3">
      <c r="B131" s="8" t="s">
        <v>619</v>
      </c>
      <c r="C131" s="10">
        <v>6</v>
      </c>
      <c r="D131" s="10">
        <v>6</v>
      </c>
      <c r="E131" s="8">
        <v>12</v>
      </c>
      <c r="F131" s="8">
        <v>0</v>
      </c>
      <c r="G131" s="8">
        <v>0</v>
      </c>
      <c r="H131" s="8">
        <v>0</v>
      </c>
      <c r="I131" s="8">
        <v>0</v>
      </c>
      <c r="J131" s="8">
        <v>0</v>
      </c>
      <c r="K131" s="8">
        <v>0</v>
      </c>
      <c r="L131" s="8">
        <v>0</v>
      </c>
      <c r="M131" s="8">
        <v>0</v>
      </c>
      <c r="N131" s="8">
        <v>0</v>
      </c>
      <c r="O131" s="8"/>
      <c r="P131" s="8">
        <v>0</v>
      </c>
      <c r="Q131" s="8">
        <v>0</v>
      </c>
      <c r="R131" s="8">
        <v>1</v>
      </c>
      <c r="S131" s="317">
        <v>6</v>
      </c>
      <c r="T131" s="8">
        <v>6</v>
      </c>
      <c r="U131">
        <v>6</v>
      </c>
      <c r="V131">
        <v>1</v>
      </c>
      <c r="W131">
        <v>6</v>
      </c>
      <c r="X131">
        <v>1</v>
      </c>
    </row>
    <row r="132" spans="2:24" x14ac:dyDescent="0.3">
      <c r="B132" s="8" t="s">
        <v>212</v>
      </c>
      <c r="C132" s="10">
        <v>6</v>
      </c>
      <c r="D132" s="10">
        <v>6</v>
      </c>
      <c r="E132" s="8">
        <v>12</v>
      </c>
      <c r="F132" s="8">
        <v>0</v>
      </c>
      <c r="G132" s="8">
        <v>0</v>
      </c>
      <c r="H132" s="8">
        <v>0</v>
      </c>
      <c r="I132" s="8">
        <v>0</v>
      </c>
      <c r="J132" s="8">
        <v>0</v>
      </c>
      <c r="K132" s="8">
        <v>0</v>
      </c>
      <c r="L132" s="8">
        <v>0</v>
      </c>
      <c r="M132" s="8">
        <v>0</v>
      </c>
      <c r="N132" s="8">
        <v>0</v>
      </c>
      <c r="O132" s="8"/>
      <c r="P132" s="8">
        <v>0</v>
      </c>
      <c r="Q132" s="8">
        <v>0</v>
      </c>
      <c r="R132" s="8"/>
      <c r="S132" s="317" t="s">
        <v>602</v>
      </c>
      <c r="T132" s="8">
        <v>0</v>
      </c>
      <c r="U132">
        <v>0</v>
      </c>
      <c r="W132">
        <v>0</v>
      </c>
    </row>
    <row r="133" spans="2:24" x14ac:dyDescent="0.3">
      <c r="B133" s="8" t="s">
        <v>622</v>
      </c>
      <c r="C133" s="10">
        <v>6.25</v>
      </c>
      <c r="D133" s="10">
        <v>6</v>
      </c>
      <c r="E133" s="8">
        <v>12</v>
      </c>
      <c r="F133" s="8">
        <v>0</v>
      </c>
      <c r="G133" s="8">
        <v>0</v>
      </c>
      <c r="H133" s="8">
        <v>0</v>
      </c>
      <c r="I133" s="8">
        <v>0</v>
      </c>
      <c r="J133" s="8">
        <v>0</v>
      </c>
      <c r="K133" s="8">
        <v>0</v>
      </c>
      <c r="L133" s="8">
        <v>1</v>
      </c>
      <c r="M133" s="8">
        <v>0</v>
      </c>
      <c r="N133" s="8">
        <v>0</v>
      </c>
      <c r="O133" s="8"/>
      <c r="P133" s="8">
        <v>0</v>
      </c>
      <c r="Q133" s="8">
        <v>0</v>
      </c>
      <c r="R133" s="8"/>
      <c r="S133" s="317" t="s">
        <v>602</v>
      </c>
      <c r="T133" s="8">
        <v>0</v>
      </c>
      <c r="U133">
        <v>0</v>
      </c>
      <c r="W133">
        <v>0</v>
      </c>
    </row>
    <row r="134" spans="2:24" x14ac:dyDescent="0.3">
      <c r="B134" s="8" t="s">
        <v>786</v>
      </c>
      <c r="C134" s="10">
        <v>6</v>
      </c>
      <c r="D134" s="10">
        <v>6</v>
      </c>
      <c r="E134" s="8">
        <v>12</v>
      </c>
      <c r="F134" s="8">
        <v>0</v>
      </c>
      <c r="G134" s="8">
        <v>0</v>
      </c>
      <c r="H134" s="8">
        <v>0</v>
      </c>
      <c r="I134" s="8">
        <v>0</v>
      </c>
      <c r="J134" s="8">
        <v>0</v>
      </c>
      <c r="K134" s="8">
        <v>0</v>
      </c>
      <c r="L134" s="8">
        <v>0</v>
      </c>
      <c r="M134" s="8">
        <v>0</v>
      </c>
      <c r="N134" s="8">
        <v>0</v>
      </c>
      <c r="O134" s="8"/>
      <c r="P134" s="8">
        <v>0</v>
      </c>
      <c r="Q134" s="8">
        <v>0</v>
      </c>
      <c r="R134" s="8">
        <v>1</v>
      </c>
      <c r="S134" s="317">
        <v>6.5</v>
      </c>
      <c r="T134" s="8">
        <v>6.5</v>
      </c>
      <c r="U134">
        <v>6.5</v>
      </c>
      <c r="V134">
        <v>1</v>
      </c>
      <c r="W134">
        <v>6.5</v>
      </c>
      <c r="X134">
        <v>1</v>
      </c>
    </row>
    <row r="135" spans="2:24" x14ac:dyDescent="0.3">
      <c r="B135" s="8" t="s">
        <v>277</v>
      </c>
      <c r="C135" s="10">
        <v>6</v>
      </c>
      <c r="D135" s="10">
        <v>6</v>
      </c>
      <c r="E135" s="8">
        <v>12</v>
      </c>
      <c r="F135" s="8">
        <v>0</v>
      </c>
      <c r="G135" s="8">
        <v>0</v>
      </c>
      <c r="H135" s="8">
        <v>0</v>
      </c>
      <c r="I135" s="8">
        <v>0</v>
      </c>
      <c r="J135" s="8">
        <v>0</v>
      </c>
      <c r="K135" s="8">
        <v>0</v>
      </c>
      <c r="L135" s="8">
        <v>0</v>
      </c>
      <c r="M135" s="8">
        <v>0</v>
      </c>
      <c r="N135" s="8">
        <v>0</v>
      </c>
      <c r="O135" s="8"/>
      <c r="P135" s="8">
        <v>0</v>
      </c>
      <c r="Q135" s="8">
        <v>0</v>
      </c>
      <c r="R135" s="8">
        <v>1</v>
      </c>
      <c r="S135" s="317">
        <v>5</v>
      </c>
      <c r="T135" s="8">
        <v>5</v>
      </c>
      <c r="U135">
        <v>0</v>
      </c>
      <c r="W135">
        <v>0</v>
      </c>
    </row>
    <row r="136" spans="2:24" x14ac:dyDescent="0.3">
      <c r="B136" s="8" t="s">
        <v>879</v>
      </c>
      <c r="C136" s="10">
        <v>6</v>
      </c>
      <c r="D136" s="10">
        <v>6</v>
      </c>
      <c r="E136" s="8">
        <v>12</v>
      </c>
      <c r="F136" s="8">
        <v>0</v>
      </c>
      <c r="G136" s="8">
        <v>0</v>
      </c>
      <c r="H136" s="8">
        <v>0</v>
      </c>
      <c r="I136" s="8">
        <v>0</v>
      </c>
      <c r="J136" s="8">
        <v>0</v>
      </c>
      <c r="K136" s="8">
        <v>0</v>
      </c>
      <c r="L136" s="8">
        <v>0</v>
      </c>
      <c r="M136" s="8">
        <v>0</v>
      </c>
      <c r="N136" s="8">
        <v>0</v>
      </c>
      <c r="O136" s="8"/>
      <c r="P136" s="8">
        <v>0</v>
      </c>
      <c r="Q136" s="8">
        <v>0</v>
      </c>
      <c r="R136" s="8"/>
      <c r="S136" s="317" t="s">
        <v>602</v>
      </c>
      <c r="T136" s="8">
        <v>0</v>
      </c>
      <c r="U136">
        <v>6</v>
      </c>
      <c r="V136">
        <v>1</v>
      </c>
      <c r="W136">
        <v>6</v>
      </c>
      <c r="X136">
        <v>1</v>
      </c>
    </row>
    <row r="137" spans="2:24" x14ac:dyDescent="0.3">
      <c r="B137" s="8" t="s">
        <v>320</v>
      </c>
      <c r="C137" s="10">
        <v>6</v>
      </c>
      <c r="D137" s="10">
        <v>6</v>
      </c>
      <c r="E137" s="8">
        <v>12</v>
      </c>
      <c r="F137" s="8">
        <v>0</v>
      </c>
      <c r="G137" s="8">
        <v>0</v>
      </c>
      <c r="H137" s="8">
        <v>0</v>
      </c>
      <c r="I137" s="8">
        <v>0</v>
      </c>
      <c r="J137" s="8">
        <v>0</v>
      </c>
      <c r="K137" s="8">
        <v>0</v>
      </c>
      <c r="L137" s="8">
        <v>0</v>
      </c>
      <c r="M137" s="8">
        <v>0</v>
      </c>
      <c r="N137" s="8">
        <v>0</v>
      </c>
      <c r="O137" s="8"/>
      <c r="P137" s="8">
        <v>0</v>
      </c>
      <c r="Q137" s="8">
        <v>0</v>
      </c>
      <c r="R137" s="8"/>
      <c r="S137" s="317" t="s">
        <v>602</v>
      </c>
      <c r="T137" s="8">
        <v>0</v>
      </c>
      <c r="U137">
        <v>0</v>
      </c>
      <c r="W137">
        <v>0</v>
      </c>
    </row>
    <row r="138" spans="2:24" x14ac:dyDescent="0.3">
      <c r="B138" s="8" t="s">
        <v>903</v>
      </c>
      <c r="C138" s="10">
        <v>6</v>
      </c>
      <c r="D138" s="10">
        <v>6</v>
      </c>
      <c r="E138" s="8">
        <v>12</v>
      </c>
      <c r="F138" s="8">
        <v>0</v>
      </c>
      <c r="G138" s="8">
        <v>0</v>
      </c>
      <c r="H138" s="8">
        <v>0</v>
      </c>
      <c r="I138" s="8">
        <v>0</v>
      </c>
      <c r="J138" s="8">
        <v>0</v>
      </c>
      <c r="K138" s="8">
        <v>0</v>
      </c>
      <c r="L138" s="8">
        <v>0</v>
      </c>
      <c r="M138" s="8">
        <v>0</v>
      </c>
      <c r="N138" s="8">
        <v>0</v>
      </c>
      <c r="O138" s="8"/>
      <c r="P138" s="8">
        <v>0</v>
      </c>
      <c r="Q138" s="8">
        <v>0</v>
      </c>
      <c r="R138" s="8">
        <v>1</v>
      </c>
      <c r="S138" s="317">
        <v>6</v>
      </c>
      <c r="T138" s="8">
        <v>6</v>
      </c>
      <c r="U138">
        <v>6</v>
      </c>
      <c r="V138">
        <v>1</v>
      </c>
      <c r="W138">
        <v>6</v>
      </c>
      <c r="X138">
        <v>1</v>
      </c>
    </row>
    <row r="139" spans="2:24" x14ac:dyDescent="0.3">
      <c r="B139" s="318" t="s">
        <v>930</v>
      </c>
      <c r="C139" s="10">
        <v>6</v>
      </c>
      <c r="D139" s="10">
        <v>6</v>
      </c>
      <c r="E139" s="8">
        <v>12</v>
      </c>
      <c r="F139" s="8">
        <v>0</v>
      </c>
      <c r="G139" s="8">
        <v>0</v>
      </c>
      <c r="H139" s="8">
        <v>0</v>
      </c>
      <c r="I139" s="8">
        <v>0</v>
      </c>
      <c r="J139" s="8">
        <v>0</v>
      </c>
      <c r="K139" s="8">
        <v>0</v>
      </c>
      <c r="L139" s="8">
        <v>0</v>
      </c>
      <c r="M139" s="8">
        <v>0</v>
      </c>
      <c r="N139" s="8">
        <v>0</v>
      </c>
      <c r="O139" s="8"/>
      <c r="P139" s="8">
        <v>0</v>
      </c>
      <c r="Q139" s="8">
        <v>0</v>
      </c>
      <c r="R139" s="8">
        <v>1</v>
      </c>
      <c r="S139" s="317">
        <v>6.5</v>
      </c>
      <c r="T139" s="8">
        <v>6.5</v>
      </c>
      <c r="U139">
        <v>0</v>
      </c>
      <c r="W139">
        <v>0</v>
      </c>
    </row>
    <row r="140" spans="2:24" x14ac:dyDescent="0.3">
      <c r="B140" s="318" t="s">
        <v>636</v>
      </c>
      <c r="C140" s="10">
        <v>6</v>
      </c>
      <c r="D140" s="10">
        <v>6</v>
      </c>
      <c r="E140" s="8">
        <v>12</v>
      </c>
      <c r="F140" s="8">
        <v>0</v>
      </c>
      <c r="G140" s="8">
        <v>0</v>
      </c>
      <c r="H140" s="8">
        <v>0</v>
      </c>
      <c r="I140" s="8">
        <v>0</v>
      </c>
      <c r="J140" s="8">
        <v>0</v>
      </c>
      <c r="K140" s="8">
        <v>0</v>
      </c>
      <c r="L140" s="8">
        <v>0</v>
      </c>
      <c r="M140" s="8">
        <v>0</v>
      </c>
      <c r="N140" s="8">
        <v>0</v>
      </c>
      <c r="O140" s="8"/>
      <c r="P140" s="8">
        <v>0</v>
      </c>
      <c r="Q140" s="8">
        <v>0</v>
      </c>
      <c r="R140" s="8"/>
      <c r="S140" s="317" t="s">
        <v>602</v>
      </c>
      <c r="T140" s="8">
        <v>0</v>
      </c>
      <c r="U140">
        <v>6.5</v>
      </c>
      <c r="V140">
        <v>1</v>
      </c>
      <c r="W140">
        <v>6.5</v>
      </c>
      <c r="X140">
        <v>1</v>
      </c>
    </row>
    <row r="141" spans="2:24" x14ac:dyDescent="0.3">
      <c r="B141" s="8" t="s">
        <v>717</v>
      </c>
      <c r="C141" s="10">
        <v>6</v>
      </c>
      <c r="D141" s="10">
        <v>6</v>
      </c>
      <c r="E141" s="8">
        <v>12</v>
      </c>
      <c r="F141" s="8">
        <v>0</v>
      </c>
      <c r="G141" s="8">
        <v>0</v>
      </c>
      <c r="H141" s="8">
        <v>0</v>
      </c>
      <c r="I141" s="8">
        <v>0</v>
      </c>
      <c r="J141" s="8">
        <v>0</v>
      </c>
      <c r="K141" s="8">
        <v>0</v>
      </c>
      <c r="L141" s="8">
        <v>0</v>
      </c>
      <c r="M141" s="8">
        <v>0</v>
      </c>
      <c r="N141" s="8">
        <v>0</v>
      </c>
      <c r="O141" s="8"/>
      <c r="P141" s="8">
        <v>0</v>
      </c>
      <c r="Q141" s="8">
        <v>0</v>
      </c>
      <c r="R141" s="8"/>
      <c r="S141" s="317" t="s">
        <v>602</v>
      </c>
      <c r="T141" s="8">
        <v>0</v>
      </c>
      <c r="U141">
        <v>0</v>
      </c>
      <c r="W141">
        <v>0</v>
      </c>
    </row>
    <row r="142" spans="2:24" x14ac:dyDescent="0.3">
      <c r="B142" s="8" t="s">
        <v>947</v>
      </c>
      <c r="C142" s="10">
        <v>6.25</v>
      </c>
      <c r="D142" s="10">
        <v>6</v>
      </c>
      <c r="E142" s="8">
        <v>12</v>
      </c>
      <c r="F142" s="8">
        <v>0</v>
      </c>
      <c r="G142" s="8">
        <v>0</v>
      </c>
      <c r="H142" s="8">
        <v>0</v>
      </c>
      <c r="I142" s="8">
        <v>0</v>
      </c>
      <c r="J142" s="8">
        <v>0</v>
      </c>
      <c r="K142" s="8">
        <v>0</v>
      </c>
      <c r="L142" s="8">
        <v>1</v>
      </c>
      <c r="M142" s="8">
        <v>0</v>
      </c>
      <c r="N142" s="8">
        <v>0</v>
      </c>
      <c r="O142" s="8"/>
      <c r="P142" s="8">
        <v>0</v>
      </c>
      <c r="Q142" s="8">
        <v>0</v>
      </c>
      <c r="R142" s="8">
        <v>1</v>
      </c>
      <c r="S142" s="317">
        <v>6</v>
      </c>
      <c r="T142" s="8">
        <v>6</v>
      </c>
      <c r="U142">
        <v>6</v>
      </c>
      <c r="V142">
        <v>1</v>
      </c>
      <c r="W142">
        <v>6</v>
      </c>
      <c r="X142">
        <v>1</v>
      </c>
    </row>
    <row r="143" spans="2:24" x14ac:dyDescent="0.3">
      <c r="B143" s="8" t="s">
        <v>898</v>
      </c>
      <c r="C143" s="10">
        <v>6</v>
      </c>
      <c r="D143" s="10">
        <v>6</v>
      </c>
      <c r="E143" s="8">
        <v>12</v>
      </c>
      <c r="F143" s="8">
        <v>0</v>
      </c>
      <c r="G143" s="8">
        <v>0</v>
      </c>
      <c r="H143" s="8">
        <v>0</v>
      </c>
      <c r="I143" s="8">
        <v>0</v>
      </c>
      <c r="J143" s="8">
        <v>0</v>
      </c>
      <c r="K143" s="8">
        <v>0</v>
      </c>
      <c r="L143" s="8">
        <v>0</v>
      </c>
      <c r="M143" s="8">
        <v>0</v>
      </c>
      <c r="N143" s="8">
        <v>0</v>
      </c>
      <c r="O143" s="8"/>
      <c r="P143" s="8">
        <v>0</v>
      </c>
      <c r="Q143" s="8">
        <v>0</v>
      </c>
      <c r="R143" s="8">
        <v>1</v>
      </c>
      <c r="S143" s="317">
        <v>6</v>
      </c>
      <c r="T143" s="8">
        <v>6</v>
      </c>
      <c r="U143">
        <v>6</v>
      </c>
      <c r="V143">
        <v>1</v>
      </c>
      <c r="W143">
        <v>6</v>
      </c>
      <c r="X143">
        <v>1</v>
      </c>
    </row>
    <row r="144" spans="2:24" x14ac:dyDescent="0.3">
      <c r="B144" s="8" t="s">
        <v>982</v>
      </c>
      <c r="C144" s="10">
        <v>6</v>
      </c>
      <c r="D144" s="10">
        <v>6</v>
      </c>
      <c r="E144" s="8">
        <v>12</v>
      </c>
      <c r="F144" s="8">
        <v>0</v>
      </c>
      <c r="G144" s="8">
        <v>0</v>
      </c>
      <c r="H144" s="8">
        <v>0</v>
      </c>
      <c r="I144" s="8">
        <v>0</v>
      </c>
      <c r="J144" s="8">
        <v>0</v>
      </c>
      <c r="K144" s="8">
        <v>0</v>
      </c>
      <c r="L144" s="8">
        <v>0</v>
      </c>
      <c r="M144" s="8">
        <v>0</v>
      </c>
      <c r="N144" s="8">
        <v>0</v>
      </c>
      <c r="O144" s="8"/>
      <c r="P144" s="8">
        <v>0</v>
      </c>
      <c r="Q144" s="8">
        <v>0</v>
      </c>
      <c r="R144" s="8"/>
      <c r="S144" s="317" t="s">
        <v>602</v>
      </c>
      <c r="T144" s="8">
        <v>0</v>
      </c>
      <c r="U144">
        <v>0</v>
      </c>
      <c r="W144">
        <v>0</v>
      </c>
    </row>
    <row r="145" spans="2:24" x14ac:dyDescent="0.3">
      <c r="B145" s="8" t="s">
        <v>656</v>
      </c>
      <c r="C145" s="10">
        <v>6</v>
      </c>
      <c r="D145" s="10">
        <v>6</v>
      </c>
      <c r="E145" s="8">
        <v>12</v>
      </c>
      <c r="F145" s="8">
        <v>0</v>
      </c>
      <c r="G145" s="8">
        <v>0</v>
      </c>
      <c r="H145" s="8">
        <v>0</v>
      </c>
      <c r="I145" s="8">
        <v>0</v>
      </c>
      <c r="J145" s="8">
        <v>0</v>
      </c>
      <c r="K145" s="8">
        <v>0</v>
      </c>
      <c r="L145" s="8">
        <v>0</v>
      </c>
      <c r="M145" s="8">
        <v>0</v>
      </c>
      <c r="N145" s="8">
        <v>0</v>
      </c>
      <c r="O145" s="8"/>
      <c r="P145" s="8">
        <v>0</v>
      </c>
      <c r="Q145" s="8">
        <v>0</v>
      </c>
      <c r="R145" s="8">
        <v>1</v>
      </c>
      <c r="S145" s="317">
        <v>6</v>
      </c>
      <c r="T145" s="8">
        <v>6</v>
      </c>
      <c r="U145">
        <v>6</v>
      </c>
      <c r="V145">
        <v>1</v>
      </c>
      <c r="W145">
        <v>6</v>
      </c>
      <c r="X145">
        <v>1</v>
      </c>
    </row>
    <row r="146" spans="2:24" x14ac:dyDescent="0.3">
      <c r="B146" s="8" t="s">
        <v>694</v>
      </c>
      <c r="C146" s="10">
        <v>6.25</v>
      </c>
      <c r="D146" s="10">
        <v>6</v>
      </c>
      <c r="E146" s="8">
        <v>12</v>
      </c>
      <c r="F146" s="8">
        <v>0</v>
      </c>
      <c r="G146" s="8">
        <v>0</v>
      </c>
      <c r="H146" s="8">
        <v>0</v>
      </c>
      <c r="I146" s="8">
        <v>0</v>
      </c>
      <c r="J146" s="8">
        <v>0</v>
      </c>
      <c r="K146" s="8">
        <v>0</v>
      </c>
      <c r="L146" s="8">
        <v>1</v>
      </c>
      <c r="M146" s="8">
        <v>0</v>
      </c>
      <c r="N146" s="8">
        <v>0</v>
      </c>
      <c r="O146" s="8"/>
      <c r="P146" s="8">
        <v>0</v>
      </c>
      <c r="Q146" s="8">
        <v>0</v>
      </c>
      <c r="R146" s="8"/>
      <c r="S146" s="317" t="s">
        <v>602</v>
      </c>
      <c r="T146" s="8">
        <v>0</v>
      </c>
      <c r="U146">
        <v>0</v>
      </c>
      <c r="W146">
        <v>0</v>
      </c>
    </row>
    <row r="147" spans="2:24" x14ac:dyDescent="0.3">
      <c r="B147" s="8" t="s">
        <v>761</v>
      </c>
      <c r="C147" s="10">
        <v>5.75</v>
      </c>
      <c r="D147" s="10">
        <v>6</v>
      </c>
      <c r="E147" s="8">
        <v>12</v>
      </c>
      <c r="F147" s="8">
        <v>0</v>
      </c>
      <c r="G147" s="8">
        <v>0</v>
      </c>
      <c r="H147" s="8">
        <v>0</v>
      </c>
      <c r="I147" s="8">
        <v>0</v>
      </c>
      <c r="J147" s="8">
        <v>0</v>
      </c>
      <c r="K147" s="8">
        <v>0</v>
      </c>
      <c r="L147" s="8">
        <v>1</v>
      </c>
      <c r="M147" s="8">
        <v>0</v>
      </c>
      <c r="N147" s="8">
        <v>1</v>
      </c>
      <c r="O147" s="8"/>
      <c r="P147" s="8">
        <v>0</v>
      </c>
      <c r="Q147" s="8">
        <v>0</v>
      </c>
      <c r="R147" s="8"/>
      <c r="S147" s="317" t="s">
        <v>602</v>
      </c>
      <c r="T147" s="8">
        <v>0</v>
      </c>
      <c r="U147">
        <v>0</v>
      </c>
      <c r="W147">
        <v>0</v>
      </c>
    </row>
    <row r="148" spans="2:24" x14ac:dyDescent="0.3">
      <c r="B148" s="8" t="s">
        <v>783</v>
      </c>
      <c r="C148" s="10">
        <v>6.25</v>
      </c>
      <c r="D148" s="10">
        <v>6</v>
      </c>
      <c r="E148" s="8">
        <v>12</v>
      </c>
      <c r="F148" s="8">
        <v>0</v>
      </c>
      <c r="G148" s="8">
        <v>0</v>
      </c>
      <c r="H148" s="8">
        <v>0</v>
      </c>
      <c r="I148" s="8">
        <v>0</v>
      </c>
      <c r="J148" s="8">
        <v>0</v>
      </c>
      <c r="K148" s="8">
        <v>0</v>
      </c>
      <c r="L148" s="8">
        <v>1</v>
      </c>
      <c r="M148" s="8">
        <v>0</v>
      </c>
      <c r="N148" s="8">
        <v>0</v>
      </c>
      <c r="O148" s="8"/>
      <c r="P148" s="8">
        <v>0</v>
      </c>
      <c r="Q148" s="8">
        <v>0</v>
      </c>
      <c r="R148" s="8"/>
      <c r="S148" s="317" t="s">
        <v>602</v>
      </c>
      <c r="T148" s="8">
        <v>0</v>
      </c>
      <c r="U148">
        <v>6.5</v>
      </c>
      <c r="V148">
        <v>1</v>
      </c>
      <c r="W148">
        <v>6.5</v>
      </c>
      <c r="X148">
        <v>1</v>
      </c>
    </row>
    <row r="149" spans="2:24" x14ac:dyDescent="0.3">
      <c r="B149" s="8" t="s">
        <v>659</v>
      </c>
      <c r="C149" s="10">
        <v>6</v>
      </c>
      <c r="D149" s="10">
        <v>6</v>
      </c>
      <c r="E149" s="8">
        <v>12</v>
      </c>
      <c r="F149" s="8">
        <v>0</v>
      </c>
      <c r="G149" s="8">
        <v>0</v>
      </c>
      <c r="H149" s="8">
        <v>0</v>
      </c>
      <c r="I149" s="8">
        <v>0</v>
      </c>
      <c r="J149" s="8">
        <v>0</v>
      </c>
      <c r="K149" s="8">
        <v>0</v>
      </c>
      <c r="L149" s="8">
        <v>0</v>
      </c>
      <c r="M149" s="8">
        <v>0</v>
      </c>
      <c r="N149" s="8">
        <v>0</v>
      </c>
      <c r="O149" s="8"/>
      <c r="P149" s="8">
        <v>0</v>
      </c>
      <c r="Q149" s="8">
        <v>0</v>
      </c>
      <c r="R149" s="8"/>
      <c r="S149" s="317" t="s">
        <v>602</v>
      </c>
      <c r="T149" s="8">
        <v>0</v>
      </c>
      <c r="U149">
        <v>0</v>
      </c>
      <c r="W149">
        <v>0</v>
      </c>
    </row>
    <row r="150" spans="2:24" x14ac:dyDescent="0.3">
      <c r="B150" s="8" t="s">
        <v>926</v>
      </c>
      <c r="C150" s="10">
        <v>6.25</v>
      </c>
      <c r="D150" s="10">
        <v>6</v>
      </c>
      <c r="E150" s="8">
        <v>12</v>
      </c>
      <c r="F150" s="8">
        <v>0</v>
      </c>
      <c r="G150" s="8">
        <v>0</v>
      </c>
      <c r="H150" s="8">
        <v>0</v>
      </c>
      <c r="I150" s="8">
        <v>0</v>
      </c>
      <c r="J150" s="8">
        <v>0</v>
      </c>
      <c r="K150" s="8">
        <v>0</v>
      </c>
      <c r="L150" s="8">
        <v>1</v>
      </c>
      <c r="M150" s="8">
        <v>0</v>
      </c>
      <c r="N150" s="8">
        <v>0</v>
      </c>
      <c r="O150" s="8"/>
      <c r="P150" s="8">
        <v>0</v>
      </c>
      <c r="Q150" s="8">
        <v>0</v>
      </c>
      <c r="R150" s="8"/>
      <c r="S150" s="317" t="s">
        <v>602</v>
      </c>
      <c r="T150" s="8">
        <v>0</v>
      </c>
      <c r="U150">
        <v>0</v>
      </c>
      <c r="W150">
        <v>0</v>
      </c>
    </row>
    <row r="151" spans="2:24" x14ac:dyDescent="0.3">
      <c r="B151" s="8" t="s">
        <v>281</v>
      </c>
      <c r="C151" s="10">
        <v>6</v>
      </c>
      <c r="D151" s="10">
        <v>6</v>
      </c>
      <c r="E151" s="8">
        <v>12</v>
      </c>
      <c r="F151" s="8">
        <v>0</v>
      </c>
      <c r="G151" s="8">
        <v>0</v>
      </c>
      <c r="H151" s="8">
        <v>0</v>
      </c>
      <c r="I151" s="8">
        <v>0</v>
      </c>
      <c r="J151" s="8">
        <v>0</v>
      </c>
      <c r="K151" s="8">
        <v>0</v>
      </c>
      <c r="L151" s="8">
        <v>0</v>
      </c>
      <c r="M151" s="8">
        <v>0</v>
      </c>
      <c r="N151" s="8">
        <v>0</v>
      </c>
      <c r="O151" s="8"/>
      <c r="P151" s="8">
        <v>0</v>
      </c>
      <c r="Q151" s="8">
        <v>0</v>
      </c>
      <c r="R151" s="8">
        <v>1</v>
      </c>
      <c r="S151" s="317">
        <v>6</v>
      </c>
      <c r="T151" s="8">
        <v>6</v>
      </c>
      <c r="U151">
        <v>6</v>
      </c>
      <c r="V151">
        <v>1</v>
      </c>
      <c r="W151">
        <v>6</v>
      </c>
      <c r="X151">
        <v>1</v>
      </c>
    </row>
    <row r="152" spans="2:24" x14ac:dyDescent="0.3">
      <c r="B152" s="8" t="s">
        <v>807</v>
      </c>
      <c r="C152" s="10">
        <v>6</v>
      </c>
      <c r="D152" s="10">
        <v>6</v>
      </c>
      <c r="E152" s="8">
        <v>12</v>
      </c>
      <c r="F152" s="8">
        <v>0</v>
      </c>
      <c r="G152" s="8">
        <v>0</v>
      </c>
      <c r="H152" s="8">
        <v>0</v>
      </c>
      <c r="I152" s="8">
        <v>0</v>
      </c>
      <c r="J152" s="8">
        <v>0</v>
      </c>
      <c r="K152" s="8">
        <v>0</v>
      </c>
      <c r="L152" s="8">
        <v>0</v>
      </c>
      <c r="M152" s="8">
        <v>0</v>
      </c>
      <c r="N152" s="8">
        <v>0</v>
      </c>
      <c r="O152" s="8"/>
      <c r="P152" s="8">
        <v>0</v>
      </c>
      <c r="Q152" s="8">
        <v>0</v>
      </c>
      <c r="R152" s="8">
        <v>1</v>
      </c>
      <c r="S152" s="317">
        <v>6</v>
      </c>
      <c r="T152" s="8">
        <v>6</v>
      </c>
      <c r="U152">
        <v>6</v>
      </c>
      <c r="V152">
        <v>1</v>
      </c>
      <c r="W152">
        <v>6</v>
      </c>
      <c r="X152">
        <v>1</v>
      </c>
    </row>
    <row r="153" spans="2:24" x14ac:dyDescent="0.3">
      <c r="B153" s="8" t="s">
        <v>469</v>
      </c>
      <c r="C153" s="10">
        <v>5.75</v>
      </c>
      <c r="D153" s="10">
        <v>5.75</v>
      </c>
      <c r="E153" s="8">
        <v>11.5</v>
      </c>
      <c r="F153" s="8">
        <v>0</v>
      </c>
      <c r="G153" s="8">
        <v>0</v>
      </c>
      <c r="H153" s="8">
        <v>0</v>
      </c>
      <c r="I153" s="8">
        <v>0</v>
      </c>
      <c r="J153" s="8">
        <v>0</v>
      </c>
      <c r="K153" s="8">
        <v>0</v>
      </c>
      <c r="L153" s="8">
        <v>0</v>
      </c>
      <c r="M153" s="8">
        <v>0</v>
      </c>
      <c r="N153" s="8">
        <v>0</v>
      </c>
      <c r="O153" s="8"/>
      <c r="P153" s="8">
        <v>0</v>
      </c>
      <c r="Q153" s="8">
        <v>0</v>
      </c>
      <c r="R153" s="8">
        <v>1</v>
      </c>
      <c r="S153" s="317">
        <v>6.5</v>
      </c>
      <c r="T153" s="8">
        <v>6.5</v>
      </c>
      <c r="U153">
        <v>6.5</v>
      </c>
      <c r="V153">
        <v>1</v>
      </c>
      <c r="W153">
        <v>6.5</v>
      </c>
      <c r="X153">
        <v>1</v>
      </c>
    </row>
    <row r="154" spans="2:24" x14ac:dyDescent="0.3">
      <c r="B154" s="8" t="s">
        <v>727</v>
      </c>
      <c r="C154" s="10">
        <v>6</v>
      </c>
      <c r="D154" s="10">
        <v>5.75</v>
      </c>
      <c r="E154" s="8">
        <v>11.5</v>
      </c>
      <c r="F154" s="8">
        <v>0</v>
      </c>
      <c r="G154" s="8">
        <v>0</v>
      </c>
      <c r="H154" s="8">
        <v>0</v>
      </c>
      <c r="I154" s="8">
        <v>0</v>
      </c>
      <c r="J154" s="8">
        <v>0</v>
      </c>
      <c r="K154" s="8">
        <v>0</v>
      </c>
      <c r="L154" s="8">
        <v>1</v>
      </c>
      <c r="M154" s="8">
        <v>0</v>
      </c>
      <c r="N154" s="8">
        <v>0</v>
      </c>
      <c r="O154" s="8"/>
      <c r="P154" s="8">
        <v>0</v>
      </c>
      <c r="Q154" s="8">
        <v>0</v>
      </c>
      <c r="R154" s="8"/>
      <c r="S154" s="317" t="s">
        <v>602</v>
      </c>
      <c r="T154" s="8">
        <v>0</v>
      </c>
      <c r="U154">
        <v>6</v>
      </c>
      <c r="V154">
        <v>1</v>
      </c>
      <c r="W154">
        <v>6</v>
      </c>
      <c r="X154">
        <v>1</v>
      </c>
    </row>
    <row r="155" spans="2:24" x14ac:dyDescent="0.3">
      <c r="B155" s="8" t="s">
        <v>928</v>
      </c>
      <c r="C155" s="10">
        <v>5.75</v>
      </c>
      <c r="D155" s="10">
        <v>5.75</v>
      </c>
      <c r="E155" s="8">
        <v>11.5</v>
      </c>
      <c r="F155" s="8">
        <v>0</v>
      </c>
      <c r="G155" s="8">
        <v>0</v>
      </c>
      <c r="H155" s="8">
        <v>0</v>
      </c>
      <c r="I155" s="8">
        <v>0</v>
      </c>
      <c r="J155" s="8">
        <v>0</v>
      </c>
      <c r="K155" s="8">
        <v>0</v>
      </c>
      <c r="L155" s="8">
        <v>0</v>
      </c>
      <c r="M155" s="8">
        <v>0</v>
      </c>
      <c r="N155" s="8">
        <v>0</v>
      </c>
      <c r="O155" s="8"/>
      <c r="P155" s="8">
        <v>0</v>
      </c>
      <c r="Q155" s="8">
        <v>0</v>
      </c>
      <c r="R155" s="8">
        <v>1</v>
      </c>
      <c r="S155" s="317">
        <v>6</v>
      </c>
      <c r="T155" s="8">
        <v>6</v>
      </c>
      <c r="U155">
        <v>6</v>
      </c>
      <c r="V155">
        <v>1</v>
      </c>
      <c r="W155">
        <v>6</v>
      </c>
      <c r="X155">
        <v>1</v>
      </c>
    </row>
    <row r="156" spans="2:24" x14ac:dyDescent="0.3">
      <c r="B156" s="8" t="s">
        <v>1042</v>
      </c>
      <c r="C156" s="10">
        <v>5.75</v>
      </c>
      <c r="D156" s="10">
        <v>5.75</v>
      </c>
      <c r="E156" s="8">
        <v>11.5</v>
      </c>
      <c r="F156" s="8">
        <v>0</v>
      </c>
      <c r="G156" s="8">
        <v>0</v>
      </c>
      <c r="H156" s="8">
        <v>0</v>
      </c>
      <c r="I156" s="8">
        <v>0</v>
      </c>
      <c r="J156" s="8">
        <v>0</v>
      </c>
      <c r="K156" s="8">
        <v>0</v>
      </c>
      <c r="L156" s="8">
        <v>0</v>
      </c>
      <c r="M156" s="8">
        <v>0</v>
      </c>
      <c r="N156" s="8">
        <v>0</v>
      </c>
      <c r="O156" s="8"/>
      <c r="P156" s="8">
        <v>0</v>
      </c>
      <c r="Q156" s="8">
        <v>0</v>
      </c>
      <c r="R156" s="8"/>
      <c r="S156" s="317" t="s">
        <v>602</v>
      </c>
      <c r="T156" s="8">
        <v>0</v>
      </c>
      <c r="U156">
        <v>0</v>
      </c>
      <c r="W156">
        <v>0</v>
      </c>
    </row>
    <row r="157" spans="2:24" x14ac:dyDescent="0.3">
      <c r="B157" s="8" t="s">
        <v>847</v>
      </c>
      <c r="C157" s="10">
        <v>5.75</v>
      </c>
      <c r="D157" s="10">
        <v>5.75</v>
      </c>
      <c r="E157" s="8">
        <v>11.5</v>
      </c>
      <c r="F157" s="8">
        <v>0</v>
      </c>
      <c r="G157" s="8">
        <v>0</v>
      </c>
      <c r="H157" s="8">
        <v>0</v>
      </c>
      <c r="I157" s="8">
        <v>0</v>
      </c>
      <c r="J157" s="8">
        <v>0</v>
      </c>
      <c r="K157" s="8">
        <v>0</v>
      </c>
      <c r="L157" s="8">
        <v>0</v>
      </c>
      <c r="M157" s="8">
        <v>0</v>
      </c>
      <c r="N157" s="8">
        <v>0</v>
      </c>
      <c r="O157" s="8"/>
      <c r="P157" s="8">
        <v>0</v>
      </c>
      <c r="Q157" s="8">
        <v>0</v>
      </c>
      <c r="R157" s="8"/>
      <c r="S157" s="317" t="s">
        <v>602</v>
      </c>
      <c r="T157" s="8">
        <v>0</v>
      </c>
      <c r="U157">
        <v>0</v>
      </c>
      <c r="W157">
        <v>0</v>
      </c>
    </row>
    <row r="158" spans="2:24" x14ac:dyDescent="0.3">
      <c r="B158" s="8" t="s">
        <v>822</v>
      </c>
      <c r="C158" s="10">
        <v>5.75</v>
      </c>
      <c r="D158" s="10">
        <v>5.75</v>
      </c>
      <c r="E158" s="8">
        <v>11.5</v>
      </c>
      <c r="F158" s="8">
        <v>0</v>
      </c>
      <c r="G158" s="8">
        <v>0</v>
      </c>
      <c r="H158" s="8">
        <v>0</v>
      </c>
      <c r="I158" s="8">
        <v>0</v>
      </c>
      <c r="J158" s="8">
        <v>0</v>
      </c>
      <c r="K158" s="8">
        <v>0</v>
      </c>
      <c r="L158" s="8">
        <v>0</v>
      </c>
      <c r="M158" s="8">
        <v>0</v>
      </c>
      <c r="N158" s="8">
        <v>0</v>
      </c>
      <c r="O158" s="8"/>
      <c r="P158" s="8">
        <v>0</v>
      </c>
      <c r="Q158" s="8">
        <v>0</v>
      </c>
      <c r="R158" s="8"/>
      <c r="S158" s="317" t="s">
        <v>602</v>
      </c>
      <c r="T158" s="8">
        <v>0</v>
      </c>
      <c r="U158">
        <v>0</v>
      </c>
      <c r="W158">
        <v>0</v>
      </c>
    </row>
    <row r="159" spans="2:24" x14ac:dyDescent="0.3">
      <c r="B159" s="8" t="s">
        <v>1044</v>
      </c>
      <c r="C159" s="10">
        <v>5.75</v>
      </c>
      <c r="D159" s="10">
        <v>5.75</v>
      </c>
      <c r="E159" s="8">
        <v>11.5</v>
      </c>
      <c r="F159" s="8">
        <v>0</v>
      </c>
      <c r="G159" s="8">
        <v>0</v>
      </c>
      <c r="H159" s="8">
        <v>0</v>
      </c>
      <c r="I159" s="8">
        <v>0</v>
      </c>
      <c r="J159" s="8">
        <v>0</v>
      </c>
      <c r="K159" s="8">
        <v>0</v>
      </c>
      <c r="L159" s="8">
        <v>0</v>
      </c>
      <c r="M159" s="8">
        <v>0</v>
      </c>
      <c r="N159" s="8">
        <v>0</v>
      </c>
      <c r="O159" s="8"/>
      <c r="P159" s="8">
        <v>0</v>
      </c>
      <c r="Q159" s="8">
        <v>0</v>
      </c>
      <c r="R159" s="8">
        <v>1</v>
      </c>
      <c r="S159" s="317">
        <v>6</v>
      </c>
      <c r="T159" s="8">
        <v>6</v>
      </c>
      <c r="U159">
        <v>6</v>
      </c>
      <c r="V159">
        <v>1</v>
      </c>
      <c r="W159">
        <v>6</v>
      </c>
      <c r="X159">
        <v>1</v>
      </c>
    </row>
    <row r="160" spans="2:24" x14ac:dyDescent="0.3">
      <c r="B160" s="8" t="s">
        <v>824</v>
      </c>
      <c r="C160" s="10">
        <v>6</v>
      </c>
      <c r="D160" s="10">
        <v>5.75</v>
      </c>
      <c r="E160" s="8">
        <v>11.5</v>
      </c>
      <c r="F160" s="8">
        <v>0</v>
      </c>
      <c r="G160" s="8">
        <v>0</v>
      </c>
      <c r="H160" s="8">
        <v>0</v>
      </c>
      <c r="I160" s="8">
        <v>0</v>
      </c>
      <c r="J160" s="8">
        <v>0</v>
      </c>
      <c r="K160" s="8">
        <v>0</v>
      </c>
      <c r="L160" s="8">
        <v>1</v>
      </c>
      <c r="M160" s="8">
        <v>0</v>
      </c>
      <c r="N160" s="8">
        <v>0</v>
      </c>
      <c r="O160" s="8"/>
      <c r="P160" s="8">
        <v>0</v>
      </c>
      <c r="Q160" s="8">
        <v>0</v>
      </c>
      <c r="R160" s="8"/>
      <c r="S160" s="317" t="s">
        <v>602</v>
      </c>
      <c r="T160" s="8">
        <v>0</v>
      </c>
      <c r="U160">
        <v>0</v>
      </c>
      <c r="W160">
        <v>0</v>
      </c>
    </row>
    <row r="161" spans="2:24" x14ac:dyDescent="0.3">
      <c r="B161" s="8" t="s">
        <v>1041</v>
      </c>
      <c r="C161" s="10">
        <v>5.75</v>
      </c>
      <c r="D161" s="10">
        <v>5.75</v>
      </c>
      <c r="E161" s="8">
        <v>11.5</v>
      </c>
      <c r="F161" s="8">
        <v>0</v>
      </c>
      <c r="G161" s="8">
        <v>0</v>
      </c>
      <c r="H161" s="8">
        <v>0</v>
      </c>
      <c r="I161" s="8">
        <v>0</v>
      </c>
      <c r="J161" s="8">
        <v>0</v>
      </c>
      <c r="K161" s="8">
        <v>0</v>
      </c>
      <c r="L161" s="8">
        <v>0</v>
      </c>
      <c r="M161" s="8">
        <v>0</v>
      </c>
      <c r="N161" s="8">
        <v>0</v>
      </c>
      <c r="O161" s="8"/>
      <c r="P161" s="8">
        <v>0</v>
      </c>
      <c r="Q161" s="8">
        <v>0</v>
      </c>
      <c r="R161" s="8">
        <v>1</v>
      </c>
      <c r="S161" s="317">
        <v>5.5</v>
      </c>
      <c r="T161" s="8">
        <v>5.5</v>
      </c>
      <c r="U161">
        <v>0</v>
      </c>
      <c r="W161">
        <v>0</v>
      </c>
    </row>
    <row r="162" spans="2:24" x14ac:dyDescent="0.3">
      <c r="B162" s="8" t="s">
        <v>825</v>
      </c>
      <c r="C162" s="10">
        <v>5.75</v>
      </c>
      <c r="D162" s="10">
        <v>5.75</v>
      </c>
      <c r="E162" s="8">
        <v>11.5</v>
      </c>
      <c r="F162" s="8">
        <v>0</v>
      </c>
      <c r="G162" s="8">
        <v>0</v>
      </c>
      <c r="H162" s="8">
        <v>0</v>
      </c>
      <c r="I162" s="8">
        <v>0</v>
      </c>
      <c r="J162" s="8">
        <v>0</v>
      </c>
      <c r="K162" s="8">
        <v>0</v>
      </c>
      <c r="L162" s="8">
        <v>0</v>
      </c>
      <c r="M162" s="8">
        <v>0</v>
      </c>
      <c r="N162" s="8">
        <v>0</v>
      </c>
      <c r="O162" s="8"/>
      <c r="P162" s="8">
        <v>0</v>
      </c>
      <c r="Q162" s="8">
        <v>0</v>
      </c>
      <c r="R162" s="8"/>
      <c r="S162" s="317" t="s">
        <v>602</v>
      </c>
      <c r="T162" s="8">
        <v>0</v>
      </c>
      <c r="U162">
        <v>0</v>
      </c>
      <c r="W162">
        <v>0</v>
      </c>
    </row>
    <row r="163" spans="2:24" x14ac:dyDescent="0.3">
      <c r="B163" s="8" t="s">
        <v>713</v>
      </c>
      <c r="C163" s="10">
        <v>5.75</v>
      </c>
      <c r="D163" s="10">
        <v>5.75</v>
      </c>
      <c r="E163" s="8">
        <v>11.5</v>
      </c>
      <c r="F163" s="8">
        <v>0</v>
      </c>
      <c r="G163" s="8">
        <v>0</v>
      </c>
      <c r="H163" s="8">
        <v>0</v>
      </c>
      <c r="I163" s="8">
        <v>0</v>
      </c>
      <c r="J163" s="8">
        <v>0</v>
      </c>
      <c r="K163" s="8">
        <v>0</v>
      </c>
      <c r="L163" s="8">
        <v>0</v>
      </c>
      <c r="M163" s="8">
        <v>0</v>
      </c>
      <c r="N163" s="8">
        <v>0</v>
      </c>
      <c r="O163" s="8"/>
      <c r="P163" s="8">
        <v>0</v>
      </c>
      <c r="Q163" s="8">
        <v>0</v>
      </c>
      <c r="R163" s="8"/>
      <c r="S163" s="317" t="s">
        <v>602</v>
      </c>
      <c r="T163" s="8">
        <v>0</v>
      </c>
      <c r="U163">
        <v>0</v>
      </c>
      <c r="W163">
        <v>0</v>
      </c>
    </row>
    <row r="164" spans="2:24" x14ac:dyDescent="0.3">
      <c r="B164" s="8" t="s">
        <v>836</v>
      </c>
      <c r="C164" s="10">
        <v>5.75</v>
      </c>
      <c r="D164" s="10">
        <v>5.75</v>
      </c>
      <c r="E164" s="8">
        <v>11.5</v>
      </c>
      <c r="F164" s="8">
        <v>0</v>
      </c>
      <c r="G164" s="8">
        <v>0</v>
      </c>
      <c r="H164" s="8">
        <v>0</v>
      </c>
      <c r="I164" s="8">
        <v>0</v>
      </c>
      <c r="J164" s="8">
        <v>0</v>
      </c>
      <c r="K164" s="8">
        <v>0</v>
      </c>
      <c r="L164" s="8">
        <v>0</v>
      </c>
      <c r="M164" s="8">
        <v>0</v>
      </c>
      <c r="N164" s="8">
        <v>0</v>
      </c>
      <c r="O164" s="8"/>
      <c r="P164" s="8">
        <v>0</v>
      </c>
      <c r="Q164" s="8">
        <v>0</v>
      </c>
      <c r="R164" s="8">
        <v>1</v>
      </c>
      <c r="S164" s="317">
        <v>6</v>
      </c>
      <c r="T164" s="8">
        <v>6</v>
      </c>
      <c r="U164">
        <v>0</v>
      </c>
      <c r="W164">
        <v>0</v>
      </c>
    </row>
    <row r="165" spans="2:24" x14ac:dyDescent="0.3">
      <c r="B165" s="8" t="s">
        <v>1017</v>
      </c>
      <c r="C165" s="10">
        <v>5.75</v>
      </c>
      <c r="D165" s="10">
        <v>5.75</v>
      </c>
      <c r="E165" s="8">
        <v>11.5</v>
      </c>
      <c r="F165" s="8">
        <v>0</v>
      </c>
      <c r="G165" s="8">
        <v>0</v>
      </c>
      <c r="H165" s="8">
        <v>0</v>
      </c>
      <c r="I165" s="8">
        <v>0</v>
      </c>
      <c r="J165" s="8">
        <v>0</v>
      </c>
      <c r="K165" s="8">
        <v>0</v>
      </c>
      <c r="L165" s="8">
        <v>0</v>
      </c>
      <c r="M165" s="8">
        <v>0</v>
      </c>
      <c r="N165" s="8">
        <v>0</v>
      </c>
      <c r="O165" s="8"/>
      <c r="P165" s="8">
        <v>0</v>
      </c>
      <c r="Q165" s="8">
        <v>0</v>
      </c>
      <c r="R165" s="8"/>
      <c r="S165" s="317" t="s">
        <v>602</v>
      </c>
      <c r="T165" s="8">
        <v>0</v>
      </c>
      <c r="U165">
        <v>0</v>
      </c>
      <c r="W165">
        <v>0</v>
      </c>
    </row>
    <row r="166" spans="2:24" x14ac:dyDescent="0.3">
      <c r="B166" s="8" t="s">
        <v>850</v>
      </c>
      <c r="C166" s="10">
        <v>5.75</v>
      </c>
      <c r="D166" s="10">
        <v>5.75</v>
      </c>
      <c r="E166" s="8">
        <v>11.5</v>
      </c>
      <c r="F166" s="8">
        <v>0</v>
      </c>
      <c r="G166" s="8">
        <v>0</v>
      </c>
      <c r="H166" s="8">
        <v>0</v>
      </c>
      <c r="I166" s="8">
        <v>0</v>
      </c>
      <c r="J166" s="8">
        <v>0</v>
      </c>
      <c r="K166" s="8">
        <v>0</v>
      </c>
      <c r="L166" s="8">
        <v>0</v>
      </c>
      <c r="M166" s="8">
        <v>0</v>
      </c>
      <c r="N166" s="8">
        <v>0</v>
      </c>
      <c r="O166" s="8"/>
      <c r="P166" s="8">
        <v>0</v>
      </c>
      <c r="Q166" s="8">
        <v>0</v>
      </c>
      <c r="R166" s="8"/>
      <c r="S166" s="317" t="s">
        <v>602</v>
      </c>
      <c r="T166" s="8">
        <v>0</v>
      </c>
      <c r="U166">
        <v>0</v>
      </c>
      <c r="W166">
        <v>0</v>
      </c>
    </row>
    <row r="167" spans="2:24" x14ac:dyDescent="0.3">
      <c r="B167" s="8" t="s">
        <v>832</v>
      </c>
      <c r="C167" s="10">
        <v>6</v>
      </c>
      <c r="D167" s="10">
        <v>5.75</v>
      </c>
      <c r="E167" s="8">
        <v>11.5</v>
      </c>
      <c r="F167" s="8">
        <v>0</v>
      </c>
      <c r="G167" s="8">
        <v>0</v>
      </c>
      <c r="H167" s="8">
        <v>0</v>
      </c>
      <c r="I167" s="8">
        <v>0</v>
      </c>
      <c r="J167" s="8">
        <v>0</v>
      </c>
      <c r="K167" s="8">
        <v>0</v>
      </c>
      <c r="L167" s="8">
        <v>1</v>
      </c>
      <c r="M167" s="8">
        <v>0</v>
      </c>
      <c r="N167" s="8">
        <v>0</v>
      </c>
      <c r="O167" s="8"/>
      <c r="P167" s="8">
        <v>0</v>
      </c>
      <c r="Q167" s="8">
        <v>0</v>
      </c>
      <c r="R167" s="8">
        <v>1</v>
      </c>
      <c r="S167" s="317">
        <v>6.5</v>
      </c>
      <c r="T167" s="8">
        <v>6.5</v>
      </c>
      <c r="U167">
        <v>6.5</v>
      </c>
      <c r="V167">
        <v>1</v>
      </c>
      <c r="W167">
        <v>6.5</v>
      </c>
      <c r="X167">
        <v>1</v>
      </c>
    </row>
    <row r="168" spans="2:24" x14ac:dyDescent="0.3">
      <c r="B168" s="8" t="s">
        <v>855</v>
      </c>
      <c r="C168" s="10">
        <v>5.75</v>
      </c>
      <c r="D168" s="10">
        <v>5.75</v>
      </c>
      <c r="E168" s="8">
        <v>11.5</v>
      </c>
      <c r="F168" s="8">
        <v>0</v>
      </c>
      <c r="G168" s="8">
        <v>0</v>
      </c>
      <c r="H168" s="8">
        <v>0</v>
      </c>
      <c r="I168" s="8">
        <v>0</v>
      </c>
      <c r="J168" s="8">
        <v>0</v>
      </c>
      <c r="K168" s="8">
        <v>0</v>
      </c>
      <c r="L168" s="8">
        <v>0</v>
      </c>
      <c r="M168" s="8">
        <v>0</v>
      </c>
      <c r="N168" s="8">
        <v>0</v>
      </c>
      <c r="O168" s="8"/>
      <c r="P168" s="8">
        <v>0</v>
      </c>
      <c r="Q168" s="8">
        <v>0</v>
      </c>
      <c r="R168" s="8"/>
      <c r="S168" s="317" t="s">
        <v>602</v>
      </c>
      <c r="T168" s="8">
        <v>0</v>
      </c>
      <c r="U168">
        <v>0</v>
      </c>
      <c r="W168">
        <v>0</v>
      </c>
    </row>
    <row r="169" spans="2:24" x14ac:dyDescent="0.3">
      <c r="B169" s="8" t="s">
        <v>1047</v>
      </c>
      <c r="C169" s="10">
        <v>5.75</v>
      </c>
      <c r="D169" s="10">
        <v>5.75</v>
      </c>
      <c r="E169" s="8">
        <v>11.5</v>
      </c>
      <c r="F169" s="8">
        <v>0</v>
      </c>
      <c r="G169" s="8">
        <v>0</v>
      </c>
      <c r="H169" s="8">
        <v>0</v>
      </c>
      <c r="I169" s="8">
        <v>0</v>
      </c>
      <c r="J169" s="8">
        <v>0</v>
      </c>
      <c r="K169" s="8">
        <v>0</v>
      </c>
      <c r="L169" s="8">
        <v>0</v>
      </c>
      <c r="M169" s="8">
        <v>0</v>
      </c>
      <c r="N169" s="8">
        <v>0</v>
      </c>
      <c r="O169" s="8"/>
      <c r="P169" s="8">
        <v>0</v>
      </c>
      <c r="Q169" s="8">
        <v>0</v>
      </c>
      <c r="R169" s="8"/>
      <c r="S169" s="317" t="s">
        <v>602</v>
      </c>
      <c r="T169" s="8">
        <v>0</v>
      </c>
      <c r="U169">
        <v>0</v>
      </c>
      <c r="W169">
        <v>0</v>
      </c>
    </row>
    <row r="170" spans="2:24" x14ac:dyDescent="0.3">
      <c r="B170" s="8" t="s">
        <v>652</v>
      </c>
      <c r="C170" s="10">
        <v>6</v>
      </c>
      <c r="D170" s="10">
        <v>5.75</v>
      </c>
      <c r="E170" s="8">
        <v>11.5</v>
      </c>
      <c r="F170" s="8">
        <v>0</v>
      </c>
      <c r="G170" s="8">
        <v>0</v>
      </c>
      <c r="H170" s="8">
        <v>0</v>
      </c>
      <c r="I170" s="8">
        <v>0</v>
      </c>
      <c r="J170" s="8">
        <v>0</v>
      </c>
      <c r="K170" s="8">
        <v>0</v>
      </c>
      <c r="L170" s="8">
        <v>1</v>
      </c>
      <c r="M170" s="8">
        <v>0</v>
      </c>
      <c r="N170" s="8">
        <v>0</v>
      </c>
      <c r="O170" s="8"/>
      <c r="P170" s="8">
        <v>0</v>
      </c>
      <c r="Q170" s="8">
        <v>0</v>
      </c>
      <c r="R170" s="8"/>
      <c r="S170" s="317" t="s">
        <v>602</v>
      </c>
      <c r="T170" s="8">
        <v>0</v>
      </c>
      <c r="U170">
        <v>0</v>
      </c>
      <c r="W170">
        <v>0</v>
      </c>
    </row>
    <row r="171" spans="2:24" x14ac:dyDescent="0.3">
      <c r="B171" s="8" t="s">
        <v>307</v>
      </c>
      <c r="C171" s="10">
        <v>6</v>
      </c>
      <c r="D171" s="10">
        <v>5.75</v>
      </c>
      <c r="E171" s="8">
        <v>11.5</v>
      </c>
      <c r="F171" s="8">
        <v>0</v>
      </c>
      <c r="G171" s="8">
        <v>0</v>
      </c>
      <c r="H171" s="8">
        <v>0</v>
      </c>
      <c r="I171" s="8">
        <v>0</v>
      </c>
      <c r="J171" s="8">
        <v>0</v>
      </c>
      <c r="K171" s="8">
        <v>0</v>
      </c>
      <c r="L171" s="8">
        <v>1</v>
      </c>
      <c r="M171" s="8">
        <v>0</v>
      </c>
      <c r="N171" s="8">
        <v>0</v>
      </c>
      <c r="O171" s="8"/>
      <c r="P171" s="8">
        <v>0</v>
      </c>
      <c r="Q171" s="8">
        <v>0</v>
      </c>
      <c r="R171" s="8">
        <v>1</v>
      </c>
      <c r="S171" s="317">
        <v>6</v>
      </c>
      <c r="T171" s="8">
        <v>6</v>
      </c>
      <c r="U171">
        <v>6</v>
      </c>
      <c r="V171">
        <v>1</v>
      </c>
      <c r="W171">
        <v>6</v>
      </c>
      <c r="X171">
        <v>1</v>
      </c>
    </row>
    <row r="172" spans="2:24" x14ac:dyDescent="0.3">
      <c r="B172" s="8" t="s">
        <v>328</v>
      </c>
      <c r="C172" s="10">
        <v>5.75</v>
      </c>
      <c r="D172" s="10">
        <v>5.75</v>
      </c>
      <c r="E172" s="8">
        <v>11.5</v>
      </c>
      <c r="F172" s="8">
        <v>0</v>
      </c>
      <c r="G172" s="8">
        <v>0</v>
      </c>
      <c r="H172" s="8">
        <v>0</v>
      </c>
      <c r="I172" s="8">
        <v>0</v>
      </c>
      <c r="J172" s="8">
        <v>0</v>
      </c>
      <c r="K172" s="8">
        <v>0</v>
      </c>
      <c r="L172" s="8">
        <v>0</v>
      </c>
      <c r="M172" s="8">
        <v>0</v>
      </c>
      <c r="N172" s="8">
        <v>0</v>
      </c>
      <c r="O172" s="8"/>
      <c r="P172" s="8">
        <v>0</v>
      </c>
      <c r="Q172" s="8">
        <v>0</v>
      </c>
      <c r="R172" s="8">
        <v>1</v>
      </c>
      <c r="S172" s="317">
        <v>6</v>
      </c>
      <c r="T172" s="8">
        <v>6</v>
      </c>
      <c r="U172">
        <v>6</v>
      </c>
      <c r="V172">
        <v>1</v>
      </c>
      <c r="W172">
        <v>6</v>
      </c>
      <c r="X172">
        <v>1</v>
      </c>
    </row>
    <row r="173" spans="2:24" x14ac:dyDescent="0.3">
      <c r="B173" s="8" t="s">
        <v>336</v>
      </c>
      <c r="C173" s="10">
        <v>5.75</v>
      </c>
      <c r="D173" s="10">
        <v>5.75</v>
      </c>
      <c r="E173" s="8">
        <v>11.5</v>
      </c>
      <c r="F173" s="8">
        <v>0</v>
      </c>
      <c r="G173" s="8">
        <v>0</v>
      </c>
      <c r="H173" s="8">
        <v>0</v>
      </c>
      <c r="I173" s="8">
        <v>0</v>
      </c>
      <c r="J173" s="8">
        <v>0</v>
      </c>
      <c r="K173" s="8">
        <v>0</v>
      </c>
      <c r="L173" s="8">
        <v>0</v>
      </c>
      <c r="M173" s="8">
        <v>0</v>
      </c>
      <c r="N173" s="8">
        <v>0</v>
      </c>
      <c r="O173" s="8"/>
      <c r="P173" s="8">
        <v>0</v>
      </c>
      <c r="Q173" s="8">
        <v>0</v>
      </c>
      <c r="R173" s="8"/>
      <c r="S173" s="317" t="s">
        <v>602</v>
      </c>
      <c r="T173" s="8">
        <v>0</v>
      </c>
      <c r="U173">
        <v>0</v>
      </c>
      <c r="W173">
        <v>0</v>
      </c>
    </row>
    <row r="174" spans="2:24" x14ac:dyDescent="0.3">
      <c r="B174" s="8" t="s">
        <v>884</v>
      </c>
      <c r="C174" s="10">
        <v>6</v>
      </c>
      <c r="D174" s="10">
        <v>5.75</v>
      </c>
      <c r="E174" s="8">
        <v>11.5</v>
      </c>
      <c r="F174" s="8">
        <v>0</v>
      </c>
      <c r="G174" s="8">
        <v>0</v>
      </c>
      <c r="H174" s="8">
        <v>0</v>
      </c>
      <c r="I174" s="8">
        <v>0</v>
      </c>
      <c r="J174" s="8">
        <v>0</v>
      </c>
      <c r="K174" s="8">
        <v>0</v>
      </c>
      <c r="L174" s="8">
        <v>1</v>
      </c>
      <c r="M174" s="8">
        <v>0</v>
      </c>
      <c r="N174" s="8">
        <v>0</v>
      </c>
      <c r="O174" s="8"/>
      <c r="P174" s="8">
        <v>0</v>
      </c>
      <c r="Q174" s="8">
        <v>0</v>
      </c>
      <c r="R174" s="8">
        <v>1</v>
      </c>
      <c r="S174" s="317">
        <v>5.5</v>
      </c>
      <c r="T174" s="8">
        <v>5.5</v>
      </c>
      <c r="U174">
        <v>0</v>
      </c>
      <c r="W174">
        <v>0</v>
      </c>
    </row>
    <row r="175" spans="2:24" x14ac:dyDescent="0.3">
      <c r="B175" s="8" t="s">
        <v>588</v>
      </c>
      <c r="C175" s="10">
        <v>5.75</v>
      </c>
      <c r="D175" s="10">
        <v>5.75</v>
      </c>
      <c r="E175" s="8">
        <v>11.5</v>
      </c>
      <c r="F175" s="8">
        <v>0</v>
      </c>
      <c r="G175" s="8">
        <v>0</v>
      </c>
      <c r="H175" s="8">
        <v>0</v>
      </c>
      <c r="I175" s="8">
        <v>0</v>
      </c>
      <c r="J175" s="8">
        <v>0</v>
      </c>
      <c r="K175" s="8">
        <v>0</v>
      </c>
      <c r="L175" s="8">
        <v>0</v>
      </c>
      <c r="M175" s="8">
        <v>0</v>
      </c>
      <c r="N175" s="8">
        <v>0</v>
      </c>
      <c r="O175" s="8"/>
      <c r="P175" s="8">
        <v>0</v>
      </c>
      <c r="Q175" s="8">
        <v>0</v>
      </c>
      <c r="R175" s="8"/>
      <c r="S175" s="317" t="s">
        <v>602</v>
      </c>
      <c r="T175" s="8">
        <v>0</v>
      </c>
      <c r="U175">
        <v>0</v>
      </c>
      <c r="W175">
        <v>0</v>
      </c>
    </row>
    <row r="176" spans="2:24" x14ac:dyDescent="0.3">
      <c r="B176" s="8" t="s">
        <v>892</v>
      </c>
      <c r="C176" s="10">
        <v>5.75</v>
      </c>
      <c r="D176" s="10">
        <v>5.75</v>
      </c>
      <c r="E176" s="8">
        <v>11.5</v>
      </c>
      <c r="F176" s="8">
        <v>0</v>
      </c>
      <c r="G176" s="8">
        <v>0</v>
      </c>
      <c r="H176" s="8">
        <v>0</v>
      </c>
      <c r="I176" s="8">
        <v>0</v>
      </c>
      <c r="J176" s="8">
        <v>0</v>
      </c>
      <c r="K176" s="8">
        <v>0</v>
      </c>
      <c r="L176" s="8">
        <v>0</v>
      </c>
      <c r="M176" s="8">
        <v>0</v>
      </c>
      <c r="N176" s="8">
        <v>0</v>
      </c>
      <c r="O176" s="8"/>
      <c r="P176" s="8">
        <v>0</v>
      </c>
      <c r="Q176" s="8">
        <v>0</v>
      </c>
      <c r="R176" s="8"/>
      <c r="S176" s="317" t="s">
        <v>602</v>
      </c>
      <c r="T176" s="8">
        <v>0</v>
      </c>
      <c r="U176">
        <v>0</v>
      </c>
      <c r="W176">
        <v>0</v>
      </c>
    </row>
    <row r="177" spans="2:24" x14ac:dyDescent="0.3">
      <c r="B177" s="8" t="s">
        <v>239</v>
      </c>
      <c r="C177" s="10">
        <v>5.75</v>
      </c>
      <c r="D177" s="10">
        <v>5.75</v>
      </c>
      <c r="E177" s="8">
        <v>11.5</v>
      </c>
      <c r="F177" s="8">
        <v>0</v>
      </c>
      <c r="G177" s="8">
        <v>0</v>
      </c>
      <c r="H177" s="8">
        <v>0</v>
      </c>
      <c r="I177" s="8">
        <v>0</v>
      </c>
      <c r="J177" s="8">
        <v>0</v>
      </c>
      <c r="K177" s="8">
        <v>0</v>
      </c>
      <c r="L177" s="8">
        <v>0</v>
      </c>
      <c r="M177" s="8">
        <v>0</v>
      </c>
      <c r="N177" s="8">
        <v>0</v>
      </c>
      <c r="O177" s="8"/>
      <c r="P177" s="8">
        <v>0</v>
      </c>
      <c r="Q177" s="8">
        <v>0</v>
      </c>
      <c r="R177" s="8"/>
      <c r="S177" s="317" t="s">
        <v>602</v>
      </c>
      <c r="T177" s="8">
        <v>0</v>
      </c>
      <c r="U177">
        <v>0</v>
      </c>
      <c r="W177">
        <v>0</v>
      </c>
    </row>
    <row r="178" spans="2:24" x14ac:dyDescent="0.3">
      <c r="B178" s="8" t="s">
        <v>526</v>
      </c>
      <c r="C178" s="10">
        <v>5.75</v>
      </c>
      <c r="D178" s="10">
        <v>5.75</v>
      </c>
      <c r="E178" s="8">
        <v>11.5</v>
      </c>
      <c r="F178" s="8">
        <v>0</v>
      </c>
      <c r="G178" s="8">
        <v>0</v>
      </c>
      <c r="H178" s="8">
        <v>0</v>
      </c>
      <c r="I178" s="8">
        <v>0</v>
      </c>
      <c r="J178" s="8">
        <v>0</v>
      </c>
      <c r="K178" s="8">
        <v>0</v>
      </c>
      <c r="L178" s="8">
        <v>0</v>
      </c>
      <c r="M178" s="8">
        <v>0</v>
      </c>
      <c r="N178" s="8">
        <v>0</v>
      </c>
      <c r="O178" s="8"/>
      <c r="P178" s="8">
        <v>0</v>
      </c>
      <c r="Q178" s="8">
        <v>0</v>
      </c>
      <c r="R178" s="8">
        <v>1</v>
      </c>
      <c r="S178" s="317">
        <v>6</v>
      </c>
      <c r="T178" s="8">
        <v>6</v>
      </c>
      <c r="U178">
        <v>0</v>
      </c>
      <c r="W178">
        <v>6</v>
      </c>
      <c r="X178">
        <v>1</v>
      </c>
    </row>
    <row r="179" spans="2:24" x14ac:dyDescent="0.3">
      <c r="B179" s="8" t="s">
        <v>785</v>
      </c>
      <c r="C179" s="10">
        <v>5.75</v>
      </c>
      <c r="D179" s="10">
        <v>5.75</v>
      </c>
      <c r="E179" s="8">
        <v>11.5</v>
      </c>
      <c r="F179" s="8">
        <v>0</v>
      </c>
      <c r="G179" s="8">
        <v>0</v>
      </c>
      <c r="H179" s="8">
        <v>0</v>
      </c>
      <c r="I179" s="8">
        <v>0</v>
      </c>
      <c r="J179" s="8">
        <v>0</v>
      </c>
      <c r="K179" s="8">
        <v>0</v>
      </c>
      <c r="L179" s="8">
        <v>0</v>
      </c>
      <c r="M179" s="8">
        <v>0</v>
      </c>
      <c r="N179" s="8">
        <v>0</v>
      </c>
      <c r="O179" s="8"/>
      <c r="P179" s="8">
        <v>0</v>
      </c>
      <c r="Q179" s="8">
        <v>0</v>
      </c>
      <c r="R179" s="8"/>
      <c r="S179" s="317" t="s">
        <v>602</v>
      </c>
      <c r="T179" s="8">
        <v>0</v>
      </c>
      <c r="U179">
        <v>0</v>
      </c>
      <c r="W179">
        <v>0</v>
      </c>
    </row>
    <row r="180" spans="2:24" x14ac:dyDescent="0.3">
      <c r="B180" s="8" t="s">
        <v>529</v>
      </c>
      <c r="C180" s="10">
        <v>5.75</v>
      </c>
      <c r="D180" s="10">
        <v>5.75</v>
      </c>
      <c r="E180" s="8">
        <v>11.5</v>
      </c>
      <c r="F180" s="8">
        <v>0</v>
      </c>
      <c r="G180" s="8">
        <v>0</v>
      </c>
      <c r="H180" s="8">
        <v>0</v>
      </c>
      <c r="I180" s="8">
        <v>0</v>
      </c>
      <c r="J180" s="8">
        <v>0</v>
      </c>
      <c r="K180" s="8">
        <v>0</v>
      </c>
      <c r="L180" s="8">
        <v>0</v>
      </c>
      <c r="M180" s="8">
        <v>0</v>
      </c>
      <c r="N180" s="8">
        <v>0</v>
      </c>
      <c r="O180" s="8"/>
      <c r="P180" s="8">
        <v>0</v>
      </c>
      <c r="Q180" s="8">
        <v>0</v>
      </c>
      <c r="R180" s="8"/>
      <c r="S180" s="317" t="s">
        <v>602</v>
      </c>
      <c r="T180" s="8">
        <v>0</v>
      </c>
      <c r="U180">
        <v>0</v>
      </c>
      <c r="W180">
        <v>0</v>
      </c>
    </row>
    <row r="181" spans="2:24" x14ac:dyDescent="0.3">
      <c r="B181" s="8" t="s">
        <v>852</v>
      </c>
      <c r="C181" s="10">
        <v>5.75</v>
      </c>
      <c r="D181" s="10">
        <v>5.75</v>
      </c>
      <c r="E181" s="8">
        <v>11.5</v>
      </c>
      <c r="F181" s="8">
        <v>0</v>
      </c>
      <c r="G181" s="8">
        <v>0</v>
      </c>
      <c r="H181" s="8">
        <v>0</v>
      </c>
      <c r="I181" s="8">
        <v>0</v>
      </c>
      <c r="J181" s="8">
        <v>0</v>
      </c>
      <c r="K181" s="8">
        <v>0</v>
      </c>
      <c r="L181" s="8">
        <v>0</v>
      </c>
      <c r="M181" s="8">
        <v>0</v>
      </c>
      <c r="N181" s="8">
        <v>0</v>
      </c>
      <c r="O181" s="8"/>
      <c r="P181" s="8">
        <v>0</v>
      </c>
      <c r="Q181" s="8">
        <v>0</v>
      </c>
      <c r="R181" s="8"/>
      <c r="S181" s="317" t="s">
        <v>602</v>
      </c>
      <c r="T181" s="8">
        <v>0</v>
      </c>
      <c r="U181">
        <v>0</v>
      </c>
      <c r="W181">
        <v>0</v>
      </c>
    </row>
    <row r="182" spans="2:24" x14ac:dyDescent="0.3">
      <c r="B182" s="8" t="s">
        <v>702</v>
      </c>
      <c r="C182" s="10">
        <v>5.75</v>
      </c>
      <c r="D182" s="10">
        <v>5.75</v>
      </c>
      <c r="E182" s="8">
        <v>11.5</v>
      </c>
      <c r="F182" s="8">
        <v>0</v>
      </c>
      <c r="G182" s="8">
        <v>0</v>
      </c>
      <c r="H182" s="8">
        <v>0</v>
      </c>
      <c r="I182" s="8">
        <v>0</v>
      </c>
      <c r="J182" s="8">
        <v>0</v>
      </c>
      <c r="K182" s="8">
        <v>0</v>
      </c>
      <c r="L182" s="8">
        <v>0</v>
      </c>
      <c r="M182" s="8">
        <v>0</v>
      </c>
      <c r="N182" s="8">
        <v>0</v>
      </c>
      <c r="O182" s="8"/>
      <c r="P182" s="8">
        <v>0</v>
      </c>
      <c r="Q182" s="8">
        <v>0</v>
      </c>
      <c r="R182" s="8">
        <v>1</v>
      </c>
      <c r="S182" s="317">
        <v>5.5</v>
      </c>
      <c r="T182" s="8">
        <v>5.5</v>
      </c>
      <c r="U182">
        <v>0</v>
      </c>
      <c r="W182">
        <v>0</v>
      </c>
    </row>
    <row r="183" spans="2:24" x14ac:dyDescent="0.3">
      <c r="B183" s="8" t="s">
        <v>1055</v>
      </c>
      <c r="C183" s="10">
        <v>5.75</v>
      </c>
      <c r="D183" s="10">
        <v>5.75</v>
      </c>
      <c r="E183" s="8">
        <v>11.5</v>
      </c>
      <c r="F183" s="8">
        <v>0</v>
      </c>
      <c r="G183" s="8">
        <v>0</v>
      </c>
      <c r="H183" s="8">
        <v>0</v>
      </c>
      <c r="I183" s="8">
        <v>0</v>
      </c>
      <c r="J183" s="8">
        <v>0</v>
      </c>
      <c r="K183" s="8">
        <v>0</v>
      </c>
      <c r="L183" s="8">
        <v>0</v>
      </c>
      <c r="M183" s="8">
        <v>0</v>
      </c>
      <c r="N183" s="8">
        <v>0</v>
      </c>
      <c r="O183" s="8"/>
      <c r="P183" s="8">
        <v>0</v>
      </c>
      <c r="Q183" s="8">
        <v>0</v>
      </c>
      <c r="R183" s="8"/>
      <c r="S183" s="317" t="s">
        <v>602</v>
      </c>
      <c r="T183" s="8">
        <v>0</v>
      </c>
      <c r="U183">
        <v>0</v>
      </c>
      <c r="W183">
        <v>0</v>
      </c>
    </row>
    <row r="184" spans="2:24" x14ac:dyDescent="0.3">
      <c r="B184" s="8" t="s">
        <v>781</v>
      </c>
      <c r="C184" s="10">
        <v>5.75</v>
      </c>
      <c r="D184" s="10">
        <v>5.75</v>
      </c>
      <c r="E184" s="8">
        <v>11.5</v>
      </c>
      <c r="F184" s="8">
        <v>0</v>
      </c>
      <c r="G184" s="8">
        <v>0</v>
      </c>
      <c r="H184" s="8">
        <v>0</v>
      </c>
      <c r="I184" s="8">
        <v>0</v>
      </c>
      <c r="J184" s="8">
        <v>0</v>
      </c>
      <c r="K184" s="8">
        <v>0</v>
      </c>
      <c r="L184" s="8">
        <v>0</v>
      </c>
      <c r="M184" s="8">
        <v>0</v>
      </c>
      <c r="N184" s="8">
        <v>0</v>
      </c>
      <c r="O184" s="8"/>
      <c r="P184" s="8">
        <v>0</v>
      </c>
      <c r="Q184" s="8">
        <v>0</v>
      </c>
      <c r="R184" s="8">
        <v>1</v>
      </c>
      <c r="S184" s="317">
        <v>6.5</v>
      </c>
      <c r="T184" s="8">
        <v>6.5</v>
      </c>
      <c r="U184">
        <v>6.5</v>
      </c>
      <c r="V184">
        <v>1</v>
      </c>
      <c r="W184">
        <v>6.5</v>
      </c>
      <c r="X184">
        <v>1</v>
      </c>
    </row>
    <row r="185" spans="2:24" x14ac:dyDescent="0.3">
      <c r="B185" s="8" t="s">
        <v>650</v>
      </c>
      <c r="C185" s="10">
        <v>5.75</v>
      </c>
      <c r="D185" s="10">
        <v>5.75</v>
      </c>
      <c r="E185" s="8">
        <v>11.5</v>
      </c>
      <c r="F185" s="8">
        <v>0</v>
      </c>
      <c r="G185" s="8">
        <v>0</v>
      </c>
      <c r="H185" s="8">
        <v>0</v>
      </c>
      <c r="I185" s="8">
        <v>0</v>
      </c>
      <c r="J185" s="8">
        <v>0</v>
      </c>
      <c r="K185" s="8">
        <v>0</v>
      </c>
      <c r="L185" s="8">
        <v>0</v>
      </c>
      <c r="M185" s="8">
        <v>0</v>
      </c>
      <c r="N185" s="8">
        <v>0</v>
      </c>
      <c r="O185" s="8"/>
      <c r="P185" s="8">
        <v>0</v>
      </c>
      <c r="Q185" s="8">
        <v>0</v>
      </c>
      <c r="R185" s="8"/>
      <c r="S185" s="317" t="s">
        <v>602</v>
      </c>
      <c r="T185" s="8">
        <v>0</v>
      </c>
      <c r="U185">
        <v>0</v>
      </c>
      <c r="W185">
        <v>0</v>
      </c>
    </row>
    <row r="186" spans="2:24" x14ac:dyDescent="0.3">
      <c r="B186" s="8" t="s">
        <v>345</v>
      </c>
      <c r="C186" s="10">
        <v>5.75</v>
      </c>
      <c r="D186" s="10">
        <v>5.75</v>
      </c>
      <c r="E186" s="8">
        <v>11.5</v>
      </c>
      <c r="F186" s="8">
        <v>0</v>
      </c>
      <c r="G186" s="8">
        <v>0</v>
      </c>
      <c r="H186" s="8">
        <v>0</v>
      </c>
      <c r="I186" s="8">
        <v>0</v>
      </c>
      <c r="J186" s="8">
        <v>0</v>
      </c>
      <c r="K186" s="8">
        <v>0</v>
      </c>
      <c r="L186" s="8">
        <v>0</v>
      </c>
      <c r="M186" s="8">
        <v>0</v>
      </c>
      <c r="N186" s="8">
        <v>0</v>
      </c>
      <c r="O186" s="8"/>
      <c r="P186" s="8">
        <v>0</v>
      </c>
      <c r="Q186" s="8">
        <v>0</v>
      </c>
      <c r="R186" s="8">
        <v>1</v>
      </c>
      <c r="S186" s="317">
        <v>6</v>
      </c>
      <c r="T186" s="8">
        <v>6</v>
      </c>
      <c r="U186">
        <v>6</v>
      </c>
      <c r="V186">
        <v>1</v>
      </c>
      <c r="W186">
        <v>6</v>
      </c>
      <c r="X186">
        <v>1</v>
      </c>
    </row>
    <row r="187" spans="2:24" x14ac:dyDescent="0.3">
      <c r="B187" s="8" t="s">
        <v>803</v>
      </c>
      <c r="C187" s="10">
        <v>5.75</v>
      </c>
      <c r="D187" s="10">
        <v>5.75</v>
      </c>
      <c r="E187" s="8">
        <v>11.5</v>
      </c>
      <c r="F187" s="8">
        <v>0</v>
      </c>
      <c r="G187" s="8">
        <v>0</v>
      </c>
      <c r="H187" s="8">
        <v>0</v>
      </c>
      <c r="I187" s="8">
        <v>0</v>
      </c>
      <c r="J187" s="8">
        <v>0</v>
      </c>
      <c r="K187" s="8">
        <v>0</v>
      </c>
      <c r="L187" s="8">
        <v>0</v>
      </c>
      <c r="M187" s="8">
        <v>0</v>
      </c>
      <c r="N187" s="8">
        <v>0</v>
      </c>
      <c r="O187" s="8"/>
      <c r="P187" s="8">
        <v>0</v>
      </c>
      <c r="Q187" s="8">
        <v>0</v>
      </c>
      <c r="R187" s="8"/>
      <c r="S187" s="317" t="s">
        <v>602</v>
      </c>
      <c r="T187" s="8">
        <v>0</v>
      </c>
      <c r="U187">
        <v>0</v>
      </c>
      <c r="W187">
        <v>0</v>
      </c>
    </row>
    <row r="188" spans="2:24" x14ac:dyDescent="0.3">
      <c r="B188" s="8" t="s">
        <v>546</v>
      </c>
      <c r="C188" s="10">
        <v>5.75</v>
      </c>
      <c r="D188" s="10">
        <v>5.75</v>
      </c>
      <c r="E188" s="8">
        <v>11.5</v>
      </c>
      <c r="F188" s="8">
        <v>0</v>
      </c>
      <c r="G188" s="8">
        <v>0</v>
      </c>
      <c r="H188" s="8">
        <v>0</v>
      </c>
      <c r="I188" s="8">
        <v>0</v>
      </c>
      <c r="J188" s="8">
        <v>0</v>
      </c>
      <c r="K188" s="8">
        <v>0</v>
      </c>
      <c r="L188" s="8">
        <v>0</v>
      </c>
      <c r="M188" s="8">
        <v>0</v>
      </c>
      <c r="N188" s="8">
        <v>0</v>
      </c>
      <c r="O188" s="8"/>
      <c r="P188" s="8">
        <v>0</v>
      </c>
      <c r="Q188" s="8">
        <v>0</v>
      </c>
      <c r="R188" s="8"/>
      <c r="S188" s="317" t="s">
        <v>602</v>
      </c>
      <c r="T188" s="8">
        <v>0</v>
      </c>
      <c r="U188">
        <v>0</v>
      </c>
      <c r="W188">
        <v>0</v>
      </c>
    </row>
    <row r="189" spans="2:24" x14ac:dyDescent="0.3">
      <c r="B189" s="8" t="s">
        <v>945</v>
      </c>
      <c r="C189" s="10">
        <v>5.75</v>
      </c>
      <c r="D189" s="10">
        <v>5.75</v>
      </c>
      <c r="E189" s="8">
        <v>11.5</v>
      </c>
      <c r="F189" s="8">
        <v>0</v>
      </c>
      <c r="G189" s="8">
        <v>0</v>
      </c>
      <c r="H189" s="8">
        <v>0</v>
      </c>
      <c r="I189" s="8">
        <v>0</v>
      </c>
      <c r="J189" s="8">
        <v>0</v>
      </c>
      <c r="K189" s="8">
        <v>0</v>
      </c>
      <c r="L189" s="8">
        <v>0</v>
      </c>
      <c r="M189" s="8">
        <v>0</v>
      </c>
      <c r="N189" s="8">
        <v>0</v>
      </c>
      <c r="O189" s="8"/>
      <c r="P189" s="8">
        <v>0</v>
      </c>
      <c r="Q189" s="8">
        <v>0</v>
      </c>
      <c r="R189" s="8"/>
      <c r="S189" s="317" t="s">
        <v>602</v>
      </c>
      <c r="T189" s="8">
        <v>0</v>
      </c>
      <c r="U189">
        <v>0</v>
      </c>
      <c r="W189">
        <v>0</v>
      </c>
    </row>
    <row r="190" spans="2:24" x14ac:dyDescent="0.3">
      <c r="B190" s="8" t="s">
        <v>574</v>
      </c>
      <c r="C190" s="10">
        <v>7</v>
      </c>
      <c r="D190" s="10">
        <v>11</v>
      </c>
      <c r="E190" s="8">
        <v>11</v>
      </c>
      <c r="F190" s="8">
        <v>1</v>
      </c>
      <c r="G190" s="8">
        <v>0</v>
      </c>
      <c r="H190" s="8">
        <v>0</v>
      </c>
      <c r="I190" s="8">
        <v>0</v>
      </c>
      <c r="J190" s="8">
        <v>0</v>
      </c>
      <c r="K190" s="8">
        <v>0</v>
      </c>
      <c r="L190" s="8">
        <v>0</v>
      </c>
      <c r="M190" s="8">
        <v>0</v>
      </c>
      <c r="N190" s="8">
        <v>0</v>
      </c>
      <c r="O190" s="8">
        <v>1</v>
      </c>
      <c r="P190" s="8">
        <v>0</v>
      </c>
      <c r="Q190" s="8">
        <v>1</v>
      </c>
      <c r="R190" s="8">
        <v>1</v>
      </c>
      <c r="S190" s="317">
        <v>11</v>
      </c>
      <c r="T190" s="8">
        <v>11</v>
      </c>
      <c r="U190">
        <v>11</v>
      </c>
      <c r="V190">
        <v>1</v>
      </c>
      <c r="W190">
        <v>11</v>
      </c>
      <c r="X190">
        <v>1</v>
      </c>
    </row>
    <row r="191" spans="2:24" x14ac:dyDescent="0.3">
      <c r="B191" s="8" t="s">
        <v>1054</v>
      </c>
      <c r="C191" s="10">
        <v>5.5</v>
      </c>
      <c r="D191" s="10">
        <v>5.5</v>
      </c>
      <c r="E191" s="8">
        <v>11</v>
      </c>
      <c r="F191" s="8">
        <v>0</v>
      </c>
      <c r="G191" s="8">
        <v>0</v>
      </c>
      <c r="H191" s="8">
        <v>0</v>
      </c>
      <c r="I191" s="8">
        <v>0</v>
      </c>
      <c r="J191" s="8">
        <v>0</v>
      </c>
      <c r="K191" s="8">
        <v>0</v>
      </c>
      <c r="L191" s="8">
        <v>0</v>
      </c>
      <c r="M191" s="8">
        <v>0</v>
      </c>
      <c r="N191" s="8">
        <v>0</v>
      </c>
      <c r="O191" s="8"/>
      <c r="P191" s="8">
        <v>0</v>
      </c>
      <c r="Q191" s="8">
        <v>0</v>
      </c>
      <c r="R191" s="8"/>
      <c r="S191" s="317" t="s">
        <v>602</v>
      </c>
      <c r="T191" s="8">
        <v>0</v>
      </c>
      <c r="U191">
        <v>0</v>
      </c>
      <c r="W191">
        <v>0</v>
      </c>
    </row>
    <row r="192" spans="2:24" x14ac:dyDescent="0.3">
      <c r="B192" s="8" t="s">
        <v>321</v>
      </c>
      <c r="C192" s="10">
        <v>5.5</v>
      </c>
      <c r="D192" s="10">
        <v>5.5</v>
      </c>
      <c r="E192" s="8">
        <v>11</v>
      </c>
      <c r="F192" s="8">
        <v>0</v>
      </c>
      <c r="G192" s="8">
        <v>0</v>
      </c>
      <c r="H192" s="8">
        <v>0</v>
      </c>
      <c r="I192" s="8">
        <v>0</v>
      </c>
      <c r="J192" s="8">
        <v>0</v>
      </c>
      <c r="K192" s="8">
        <v>0</v>
      </c>
      <c r="L192" s="8">
        <v>0</v>
      </c>
      <c r="M192" s="8">
        <v>0</v>
      </c>
      <c r="N192" s="8">
        <v>0</v>
      </c>
      <c r="O192" s="8"/>
      <c r="P192" s="8">
        <v>0</v>
      </c>
      <c r="Q192" s="8">
        <v>0</v>
      </c>
      <c r="R192" s="8">
        <v>1</v>
      </c>
      <c r="S192" s="317">
        <v>5.5</v>
      </c>
      <c r="T192" s="8">
        <v>5.5</v>
      </c>
      <c r="U192">
        <v>0</v>
      </c>
      <c r="W192">
        <v>0</v>
      </c>
    </row>
    <row r="193" spans="2:23" x14ac:dyDescent="0.3">
      <c r="B193" s="8" t="s">
        <v>343</v>
      </c>
      <c r="C193" s="10">
        <v>5.75</v>
      </c>
      <c r="D193" s="10">
        <v>5.5</v>
      </c>
      <c r="E193" s="8">
        <v>11</v>
      </c>
      <c r="F193" s="8">
        <v>0</v>
      </c>
      <c r="G193" s="8">
        <v>0</v>
      </c>
      <c r="H193" s="8">
        <v>0</v>
      </c>
      <c r="I193" s="8">
        <v>0</v>
      </c>
      <c r="J193" s="8">
        <v>0</v>
      </c>
      <c r="K193" s="8">
        <v>0</v>
      </c>
      <c r="L193" s="8">
        <v>1</v>
      </c>
      <c r="M193" s="8">
        <v>0</v>
      </c>
      <c r="N193" s="8">
        <v>0</v>
      </c>
      <c r="O193" s="8"/>
      <c r="P193" s="8">
        <v>0</v>
      </c>
      <c r="Q193" s="8">
        <v>0</v>
      </c>
      <c r="R193" s="8"/>
      <c r="S193" s="317" t="s">
        <v>602</v>
      </c>
      <c r="T193" s="8">
        <v>0</v>
      </c>
      <c r="U193">
        <v>0</v>
      </c>
      <c r="W193">
        <v>0</v>
      </c>
    </row>
    <row r="194" spans="2:23" x14ac:dyDescent="0.3">
      <c r="B194" s="8" t="s">
        <v>584</v>
      </c>
      <c r="C194" s="10">
        <v>5</v>
      </c>
      <c r="D194" s="10">
        <v>5.5</v>
      </c>
      <c r="E194" s="8">
        <v>11</v>
      </c>
      <c r="F194" s="8">
        <v>0</v>
      </c>
      <c r="G194" s="8">
        <v>0</v>
      </c>
      <c r="H194" s="8">
        <v>0</v>
      </c>
      <c r="I194" s="8">
        <v>0</v>
      </c>
      <c r="J194" s="8">
        <v>0</v>
      </c>
      <c r="K194" s="8">
        <v>0</v>
      </c>
      <c r="L194" s="8">
        <v>0</v>
      </c>
      <c r="M194" s="8">
        <v>0</v>
      </c>
      <c r="N194" s="8">
        <v>1</v>
      </c>
      <c r="O194" s="8"/>
      <c r="P194" s="8">
        <v>0</v>
      </c>
      <c r="Q194" s="8">
        <v>0</v>
      </c>
      <c r="R194" s="8"/>
      <c r="S194" s="317" t="s">
        <v>602</v>
      </c>
      <c r="T194" s="8">
        <v>0</v>
      </c>
      <c r="U194">
        <v>0</v>
      </c>
      <c r="W194">
        <v>0</v>
      </c>
    </row>
    <row r="195" spans="2:23" x14ac:dyDescent="0.3">
      <c r="B195" s="318" t="s">
        <v>948</v>
      </c>
      <c r="C195" s="10">
        <v>5.5</v>
      </c>
      <c r="D195" s="10">
        <v>5.5</v>
      </c>
      <c r="E195" s="8">
        <v>11</v>
      </c>
      <c r="F195" s="8">
        <v>0</v>
      </c>
      <c r="G195" s="8">
        <v>0</v>
      </c>
      <c r="H195" s="8">
        <v>0</v>
      </c>
      <c r="I195" s="8">
        <v>0</v>
      </c>
      <c r="J195" s="8">
        <v>0</v>
      </c>
      <c r="K195" s="8">
        <v>0</v>
      </c>
      <c r="L195" s="8">
        <v>0</v>
      </c>
      <c r="M195" s="8">
        <v>0</v>
      </c>
      <c r="N195" s="8">
        <v>0</v>
      </c>
      <c r="O195" s="8"/>
      <c r="P195" s="8">
        <v>0</v>
      </c>
      <c r="Q195" s="8">
        <v>0</v>
      </c>
      <c r="R195" s="8">
        <v>1</v>
      </c>
      <c r="S195" s="317">
        <v>5.5</v>
      </c>
      <c r="T195" s="8">
        <v>5.5</v>
      </c>
      <c r="U195">
        <v>0</v>
      </c>
      <c r="W195">
        <v>0</v>
      </c>
    </row>
    <row r="196" spans="2:23" x14ac:dyDescent="0.3">
      <c r="B196" s="8" t="s">
        <v>1053</v>
      </c>
      <c r="C196" s="10">
        <v>5.5</v>
      </c>
      <c r="D196" s="10">
        <v>5.5</v>
      </c>
      <c r="E196" s="8">
        <v>11</v>
      </c>
      <c r="F196" s="8">
        <v>0</v>
      </c>
      <c r="G196" s="8">
        <v>0</v>
      </c>
      <c r="H196" s="8">
        <v>0</v>
      </c>
      <c r="I196" s="8">
        <v>0</v>
      </c>
      <c r="J196" s="8">
        <v>0</v>
      </c>
      <c r="K196" s="8">
        <v>0</v>
      </c>
      <c r="L196" s="8">
        <v>0</v>
      </c>
      <c r="M196" s="8">
        <v>0</v>
      </c>
      <c r="N196" s="8">
        <v>0</v>
      </c>
      <c r="O196" s="8"/>
      <c r="P196" s="8">
        <v>0</v>
      </c>
      <c r="Q196" s="8">
        <v>0</v>
      </c>
      <c r="R196" s="8"/>
      <c r="S196" s="317" t="s">
        <v>602</v>
      </c>
      <c r="T196" s="8">
        <v>0</v>
      </c>
      <c r="U196">
        <v>0</v>
      </c>
      <c r="W196">
        <v>0</v>
      </c>
    </row>
    <row r="197" spans="2:23" x14ac:dyDescent="0.3">
      <c r="B197" s="8" t="s">
        <v>961</v>
      </c>
      <c r="C197" s="10">
        <v>5.75</v>
      </c>
      <c r="D197" s="10">
        <v>5.5</v>
      </c>
      <c r="E197" s="8">
        <v>11</v>
      </c>
      <c r="F197" s="8">
        <v>0</v>
      </c>
      <c r="G197" s="8">
        <v>0</v>
      </c>
      <c r="H197" s="8">
        <v>0</v>
      </c>
      <c r="I197" s="8">
        <v>0</v>
      </c>
      <c r="J197" s="8">
        <v>0</v>
      </c>
      <c r="K197" s="8">
        <v>0</v>
      </c>
      <c r="L197" s="8">
        <v>1</v>
      </c>
      <c r="M197" s="8">
        <v>0</v>
      </c>
      <c r="N197" s="8">
        <v>0</v>
      </c>
      <c r="O197" s="8"/>
      <c r="P197" s="8">
        <v>0</v>
      </c>
      <c r="Q197" s="8">
        <v>0</v>
      </c>
      <c r="R197" s="8"/>
      <c r="S197" s="317" t="s">
        <v>602</v>
      </c>
      <c r="T197" s="8">
        <v>0</v>
      </c>
      <c r="U197">
        <v>0</v>
      </c>
      <c r="W197">
        <v>0</v>
      </c>
    </row>
    <row r="198" spans="2:23" x14ac:dyDescent="0.3">
      <c r="B198" s="8" t="s">
        <v>889</v>
      </c>
      <c r="C198" s="10">
        <v>5.5</v>
      </c>
      <c r="D198" s="10">
        <v>5.5</v>
      </c>
      <c r="E198" s="8">
        <v>11</v>
      </c>
      <c r="F198" s="8">
        <v>0</v>
      </c>
      <c r="G198" s="8">
        <v>0</v>
      </c>
      <c r="H198" s="8">
        <v>0</v>
      </c>
      <c r="I198" s="8">
        <v>0</v>
      </c>
      <c r="J198" s="8">
        <v>0</v>
      </c>
      <c r="K198" s="8">
        <v>0</v>
      </c>
      <c r="L198" s="8">
        <v>0</v>
      </c>
      <c r="M198" s="8">
        <v>0</v>
      </c>
      <c r="N198" s="8">
        <v>0</v>
      </c>
      <c r="O198" s="8"/>
      <c r="P198" s="8">
        <v>0</v>
      </c>
      <c r="Q198" s="8">
        <v>0</v>
      </c>
      <c r="R198" s="8"/>
      <c r="S198" s="317" t="s">
        <v>602</v>
      </c>
      <c r="T198" s="8">
        <v>0</v>
      </c>
      <c r="U198">
        <v>0</v>
      </c>
      <c r="W198">
        <v>0</v>
      </c>
    </row>
    <row r="199" spans="2:23" x14ac:dyDescent="0.3">
      <c r="B199" s="8" t="s">
        <v>863</v>
      </c>
      <c r="C199" s="10">
        <v>5.75</v>
      </c>
      <c r="D199" s="10">
        <v>5.5</v>
      </c>
      <c r="E199" s="8">
        <v>11</v>
      </c>
      <c r="F199" s="8">
        <v>0</v>
      </c>
      <c r="G199" s="8">
        <v>0</v>
      </c>
      <c r="H199" s="8">
        <v>0</v>
      </c>
      <c r="I199" s="8">
        <v>0</v>
      </c>
      <c r="J199" s="8">
        <v>0</v>
      </c>
      <c r="K199" s="8">
        <v>0</v>
      </c>
      <c r="L199" s="8">
        <v>1</v>
      </c>
      <c r="M199" s="8">
        <v>0</v>
      </c>
      <c r="N199" s="8">
        <v>0</v>
      </c>
      <c r="O199" s="8"/>
      <c r="P199" s="8">
        <v>0</v>
      </c>
      <c r="Q199" s="8">
        <v>0</v>
      </c>
      <c r="R199" s="8"/>
      <c r="S199" s="317" t="s">
        <v>602</v>
      </c>
      <c r="T199" s="8">
        <v>0</v>
      </c>
      <c r="U199">
        <v>0</v>
      </c>
      <c r="W199">
        <v>0</v>
      </c>
    </row>
    <row r="200" spans="2:23" x14ac:dyDescent="0.3">
      <c r="B200" s="8" t="s">
        <v>849</v>
      </c>
      <c r="C200" s="10">
        <v>5.5</v>
      </c>
      <c r="D200" s="10">
        <v>5.5</v>
      </c>
      <c r="E200" s="8">
        <v>11</v>
      </c>
      <c r="F200" s="8">
        <v>0</v>
      </c>
      <c r="G200" s="8">
        <v>0</v>
      </c>
      <c r="H200" s="8">
        <v>0</v>
      </c>
      <c r="I200" s="8">
        <v>0</v>
      </c>
      <c r="J200" s="8">
        <v>0</v>
      </c>
      <c r="K200" s="8">
        <v>0</v>
      </c>
      <c r="L200" s="8">
        <v>0</v>
      </c>
      <c r="M200" s="8">
        <v>0</v>
      </c>
      <c r="N200" s="8">
        <v>0</v>
      </c>
      <c r="O200" s="8"/>
      <c r="P200" s="8">
        <v>0</v>
      </c>
      <c r="Q200" s="8">
        <v>0</v>
      </c>
      <c r="R200" s="8"/>
      <c r="S200" s="317" t="s">
        <v>602</v>
      </c>
      <c r="T200" s="8">
        <v>0</v>
      </c>
      <c r="U200">
        <v>0</v>
      </c>
      <c r="W200">
        <v>0</v>
      </c>
    </row>
    <row r="201" spans="2:23" x14ac:dyDescent="0.3">
      <c r="B201" s="8" t="s">
        <v>635</v>
      </c>
      <c r="C201" s="10">
        <v>5.5</v>
      </c>
      <c r="D201" s="10">
        <v>5.5</v>
      </c>
      <c r="E201" s="8">
        <v>11</v>
      </c>
      <c r="F201" s="8">
        <v>0</v>
      </c>
      <c r="G201" s="8">
        <v>0</v>
      </c>
      <c r="H201" s="8">
        <v>0</v>
      </c>
      <c r="I201" s="8">
        <v>0</v>
      </c>
      <c r="J201" s="8">
        <v>0</v>
      </c>
      <c r="K201" s="8">
        <v>0</v>
      </c>
      <c r="L201" s="8">
        <v>0</v>
      </c>
      <c r="M201" s="8">
        <v>0</v>
      </c>
      <c r="N201" s="8">
        <v>0</v>
      </c>
      <c r="O201" s="8"/>
      <c r="P201" s="8">
        <v>0</v>
      </c>
      <c r="Q201" s="8">
        <v>0</v>
      </c>
      <c r="R201" s="8"/>
      <c r="S201" s="317" t="s">
        <v>602</v>
      </c>
      <c r="T201" s="8">
        <v>0</v>
      </c>
      <c r="U201">
        <v>0</v>
      </c>
      <c r="W201">
        <v>0</v>
      </c>
    </row>
    <row r="202" spans="2:23" x14ac:dyDescent="0.3">
      <c r="B202" s="8" t="s">
        <v>955</v>
      </c>
      <c r="C202" s="10">
        <v>5.75</v>
      </c>
      <c r="D202" s="10">
        <v>5.5</v>
      </c>
      <c r="E202" s="8">
        <v>11</v>
      </c>
      <c r="F202" s="8">
        <v>0</v>
      </c>
      <c r="G202" s="8">
        <v>0</v>
      </c>
      <c r="H202" s="8">
        <v>0</v>
      </c>
      <c r="I202" s="8">
        <v>0</v>
      </c>
      <c r="J202" s="8">
        <v>0</v>
      </c>
      <c r="K202" s="8">
        <v>0</v>
      </c>
      <c r="L202" s="8">
        <v>1</v>
      </c>
      <c r="M202" s="8">
        <v>0</v>
      </c>
      <c r="N202" s="8">
        <v>0</v>
      </c>
      <c r="O202" s="8"/>
      <c r="P202" s="8">
        <v>0</v>
      </c>
      <c r="Q202" s="8">
        <v>0</v>
      </c>
      <c r="R202" s="8"/>
      <c r="S202" s="317" t="s">
        <v>602</v>
      </c>
      <c r="T202" s="8">
        <v>0</v>
      </c>
      <c r="U202">
        <v>0</v>
      </c>
      <c r="W202">
        <v>0</v>
      </c>
    </row>
    <row r="203" spans="2:23" x14ac:dyDescent="0.3">
      <c r="B203" s="8" t="s">
        <v>868</v>
      </c>
      <c r="C203" s="10">
        <v>5.75</v>
      </c>
      <c r="D203" s="10">
        <v>5.5</v>
      </c>
      <c r="E203" s="8">
        <v>11</v>
      </c>
      <c r="F203" s="8">
        <v>0</v>
      </c>
      <c r="G203" s="8">
        <v>0</v>
      </c>
      <c r="H203" s="8">
        <v>0</v>
      </c>
      <c r="I203" s="8">
        <v>0</v>
      </c>
      <c r="J203" s="8">
        <v>0</v>
      </c>
      <c r="K203" s="8">
        <v>0</v>
      </c>
      <c r="L203" s="8">
        <v>1</v>
      </c>
      <c r="M203" s="8">
        <v>0</v>
      </c>
      <c r="N203" s="8">
        <v>0</v>
      </c>
      <c r="O203" s="8"/>
      <c r="P203" s="8">
        <v>0</v>
      </c>
      <c r="Q203" s="8">
        <v>0</v>
      </c>
      <c r="R203" s="8"/>
      <c r="S203" s="317" t="s">
        <v>602</v>
      </c>
      <c r="T203" s="8">
        <v>0</v>
      </c>
      <c r="U203">
        <v>0</v>
      </c>
      <c r="W203">
        <v>0</v>
      </c>
    </row>
    <row r="204" spans="2:23" x14ac:dyDescent="0.3">
      <c r="B204" s="8" t="s">
        <v>248</v>
      </c>
      <c r="C204" s="10">
        <v>5.5</v>
      </c>
      <c r="D204" s="10">
        <v>5.5</v>
      </c>
      <c r="E204" s="8">
        <v>11</v>
      </c>
      <c r="F204" s="8">
        <v>0</v>
      </c>
      <c r="G204" s="8">
        <v>0</v>
      </c>
      <c r="H204" s="8">
        <v>0</v>
      </c>
      <c r="I204" s="8">
        <v>0</v>
      </c>
      <c r="J204" s="8">
        <v>0</v>
      </c>
      <c r="K204" s="8">
        <v>0</v>
      </c>
      <c r="L204" s="8">
        <v>0</v>
      </c>
      <c r="M204" s="8">
        <v>0</v>
      </c>
      <c r="N204" s="8">
        <v>0</v>
      </c>
      <c r="O204" s="8"/>
      <c r="P204" s="8">
        <v>0</v>
      </c>
      <c r="Q204" s="8">
        <v>0</v>
      </c>
      <c r="R204" s="8">
        <v>1</v>
      </c>
      <c r="S204" s="317">
        <v>6</v>
      </c>
      <c r="T204" s="8">
        <v>6</v>
      </c>
      <c r="U204">
        <v>0</v>
      </c>
      <c r="W204">
        <v>0</v>
      </c>
    </row>
    <row r="205" spans="2:23" x14ac:dyDescent="0.3">
      <c r="B205" s="8" t="s">
        <v>615</v>
      </c>
      <c r="C205" s="10">
        <v>5.75</v>
      </c>
      <c r="D205" s="10">
        <v>5.5</v>
      </c>
      <c r="E205" s="8">
        <v>11</v>
      </c>
      <c r="F205" s="8">
        <v>0</v>
      </c>
      <c r="G205" s="8">
        <v>0</v>
      </c>
      <c r="H205" s="8">
        <v>0</v>
      </c>
      <c r="I205" s="8">
        <v>0</v>
      </c>
      <c r="J205" s="8">
        <v>0</v>
      </c>
      <c r="K205" s="8">
        <v>0</v>
      </c>
      <c r="L205" s="8">
        <v>1</v>
      </c>
      <c r="M205" s="8">
        <v>0</v>
      </c>
      <c r="N205" s="8">
        <v>0</v>
      </c>
      <c r="O205" s="8"/>
      <c r="P205" s="8">
        <v>0</v>
      </c>
      <c r="Q205" s="8">
        <v>0</v>
      </c>
      <c r="R205" s="8">
        <v>1</v>
      </c>
      <c r="S205" s="317">
        <v>6</v>
      </c>
      <c r="T205" s="8">
        <v>6</v>
      </c>
      <c r="U205">
        <v>0</v>
      </c>
      <c r="W205">
        <v>0</v>
      </c>
    </row>
    <row r="206" spans="2:23" x14ac:dyDescent="0.3">
      <c r="B206" s="8" t="s">
        <v>729</v>
      </c>
      <c r="C206" s="10">
        <v>5.75</v>
      </c>
      <c r="D206" s="10">
        <v>5.5</v>
      </c>
      <c r="E206" s="8">
        <v>11</v>
      </c>
      <c r="F206" s="8">
        <v>0</v>
      </c>
      <c r="G206" s="8">
        <v>0</v>
      </c>
      <c r="H206" s="8">
        <v>0</v>
      </c>
      <c r="I206" s="8">
        <v>0</v>
      </c>
      <c r="J206" s="8">
        <v>0</v>
      </c>
      <c r="K206" s="8">
        <v>0</v>
      </c>
      <c r="L206" s="8">
        <v>1</v>
      </c>
      <c r="M206" s="8">
        <v>0</v>
      </c>
      <c r="N206" s="8">
        <v>0</v>
      </c>
      <c r="O206" s="8"/>
      <c r="P206" s="8">
        <v>0</v>
      </c>
      <c r="Q206" s="8">
        <v>0</v>
      </c>
      <c r="R206" s="8"/>
      <c r="S206" s="317" t="s">
        <v>602</v>
      </c>
      <c r="T206" s="8">
        <v>0</v>
      </c>
      <c r="U206">
        <v>0</v>
      </c>
      <c r="W206">
        <v>0</v>
      </c>
    </row>
    <row r="207" spans="2:23" x14ac:dyDescent="0.3">
      <c r="B207" s="8" t="s">
        <v>472</v>
      </c>
      <c r="C207" s="10">
        <v>5.5</v>
      </c>
      <c r="D207" s="10">
        <v>5.5</v>
      </c>
      <c r="E207" s="8">
        <v>11</v>
      </c>
      <c r="F207" s="8">
        <v>0</v>
      </c>
      <c r="G207" s="8">
        <v>0</v>
      </c>
      <c r="H207" s="8">
        <v>0</v>
      </c>
      <c r="I207" s="8">
        <v>0</v>
      </c>
      <c r="J207" s="8">
        <v>0</v>
      </c>
      <c r="K207" s="8">
        <v>0</v>
      </c>
      <c r="L207" s="8">
        <v>0</v>
      </c>
      <c r="M207" s="8">
        <v>0</v>
      </c>
      <c r="N207" s="8">
        <v>0</v>
      </c>
      <c r="O207" s="8"/>
      <c r="P207" s="8">
        <v>0</v>
      </c>
      <c r="Q207" s="8">
        <v>0</v>
      </c>
      <c r="R207" s="8"/>
      <c r="S207" s="317" t="s">
        <v>602</v>
      </c>
      <c r="T207" s="8">
        <v>0</v>
      </c>
      <c r="U207">
        <v>0</v>
      </c>
      <c r="W207">
        <v>0</v>
      </c>
    </row>
    <row r="208" spans="2:23" x14ac:dyDescent="0.3">
      <c r="B208" s="8" t="s">
        <v>1051</v>
      </c>
      <c r="C208" s="10">
        <v>5.5</v>
      </c>
      <c r="D208" s="10">
        <v>5.5</v>
      </c>
      <c r="E208" s="8">
        <v>11</v>
      </c>
      <c r="F208" s="8">
        <v>0</v>
      </c>
      <c r="G208" s="8">
        <v>0</v>
      </c>
      <c r="H208" s="8">
        <v>0</v>
      </c>
      <c r="I208" s="8">
        <v>0</v>
      </c>
      <c r="J208" s="8">
        <v>0</v>
      </c>
      <c r="K208" s="8">
        <v>0</v>
      </c>
      <c r="L208" s="8">
        <v>0</v>
      </c>
      <c r="M208" s="8">
        <v>0</v>
      </c>
      <c r="N208" s="8">
        <v>0</v>
      </c>
      <c r="O208" s="8"/>
      <c r="P208" s="8">
        <v>0</v>
      </c>
      <c r="Q208" s="8">
        <v>0</v>
      </c>
      <c r="R208" s="8"/>
      <c r="S208" s="317" t="s">
        <v>602</v>
      </c>
      <c r="T208" s="8">
        <v>0</v>
      </c>
      <c r="U208">
        <v>0</v>
      </c>
      <c r="W208">
        <v>0</v>
      </c>
    </row>
    <row r="209" spans="2:24" x14ac:dyDescent="0.3">
      <c r="B209" s="8" t="s">
        <v>244</v>
      </c>
      <c r="C209" s="10">
        <v>5.5</v>
      </c>
      <c r="D209" s="10">
        <v>5.5</v>
      </c>
      <c r="E209" s="8">
        <v>11</v>
      </c>
      <c r="F209" s="8">
        <v>0</v>
      </c>
      <c r="G209" s="8">
        <v>0</v>
      </c>
      <c r="H209" s="8">
        <v>0</v>
      </c>
      <c r="I209" s="8">
        <v>0</v>
      </c>
      <c r="J209" s="8">
        <v>0</v>
      </c>
      <c r="K209" s="8">
        <v>0</v>
      </c>
      <c r="L209" s="8">
        <v>0</v>
      </c>
      <c r="M209" s="8">
        <v>0</v>
      </c>
      <c r="N209" s="8">
        <v>0</v>
      </c>
      <c r="O209" s="8"/>
      <c r="P209" s="8">
        <v>0</v>
      </c>
      <c r="Q209" s="8">
        <v>0</v>
      </c>
      <c r="R209" s="8"/>
      <c r="S209" s="317" t="s">
        <v>602</v>
      </c>
      <c r="T209" s="8">
        <v>0</v>
      </c>
      <c r="U209">
        <v>0</v>
      </c>
      <c r="W209">
        <v>0</v>
      </c>
    </row>
    <row r="210" spans="2:24" x14ac:dyDescent="0.3">
      <c r="B210" s="8" t="s">
        <v>956</v>
      </c>
      <c r="C210" s="10">
        <v>5.5</v>
      </c>
      <c r="D210" s="10">
        <v>5.5</v>
      </c>
      <c r="E210" s="8">
        <v>11</v>
      </c>
      <c r="F210" s="8">
        <v>0</v>
      </c>
      <c r="G210" s="8">
        <v>0</v>
      </c>
      <c r="H210" s="8">
        <v>0</v>
      </c>
      <c r="I210" s="8">
        <v>0</v>
      </c>
      <c r="J210" s="8">
        <v>0</v>
      </c>
      <c r="K210" s="8">
        <v>0</v>
      </c>
      <c r="L210" s="8">
        <v>0</v>
      </c>
      <c r="M210" s="8">
        <v>0</v>
      </c>
      <c r="N210" s="8">
        <v>0</v>
      </c>
      <c r="O210" s="8"/>
      <c r="P210" s="8">
        <v>0</v>
      </c>
      <c r="Q210" s="8">
        <v>0</v>
      </c>
      <c r="R210" s="8"/>
      <c r="S210" s="317" t="s">
        <v>602</v>
      </c>
      <c r="T210" s="8">
        <v>0</v>
      </c>
      <c r="U210">
        <v>0</v>
      </c>
      <c r="W210">
        <v>0</v>
      </c>
    </row>
    <row r="211" spans="2:24" x14ac:dyDescent="0.3">
      <c r="B211" s="8" t="s">
        <v>606</v>
      </c>
      <c r="C211" s="10">
        <v>5.5</v>
      </c>
      <c r="D211" s="10">
        <v>5.5</v>
      </c>
      <c r="E211" s="8">
        <v>11</v>
      </c>
      <c r="F211" s="8">
        <v>0</v>
      </c>
      <c r="G211" s="8">
        <v>0</v>
      </c>
      <c r="H211" s="8">
        <v>0</v>
      </c>
      <c r="I211" s="8">
        <v>0</v>
      </c>
      <c r="J211" s="8">
        <v>0</v>
      </c>
      <c r="K211" s="8">
        <v>0</v>
      </c>
      <c r="L211" s="8">
        <v>0</v>
      </c>
      <c r="M211" s="8">
        <v>0</v>
      </c>
      <c r="N211" s="8">
        <v>0</v>
      </c>
      <c r="O211" s="8"/>
      <c r="P211" s="8">
        <v>0</v>
      </c>
      <c r="Q211" s="8">
        <v>0</v>
      </c>
      <c r="R211" s="8"/>
      <c r="S211" s="317" t="s">
        <v>602</v>
      </c>
      <c r="T211" s="8">
        <v>0</v>
      </c>
      <c r="U211">
        <v>6</v>
      </c>
      <c r="V211">
        <v>1</v>
      </c>
      <c r="W211">
        <v>6</v>
      </c>
      <c r="X211">
        <v>1</v>
      </c>
    </row>
    <row r="212" spans="2:24" x14ac:dyDescent="0.3">
      <c r="B212" s="8" t="s">
        <v>508</v>
      </c>
      <c r="C212" s="10">
        <v>5.5</v>
      </c>
      <c r="D212" s="10">
        <v>5.5</v>
      </c>
      <c r="E212" s="8">
        <v>11</v>
      </c>
      <c r="F212" s="8">
        <v>0</v>
      </c>
      <c r="G212" s="8">
        <v>0</v>
      </c>
      <c r="H212" s="8">
        <v>0</v>
      </c>
      <c r="I212" s="8">
        <v>0</v>
      </c>
      <c r="J212" s="8">
        <v>0</v>
      </c>
      <c r="K212" s="8">
        <v>0</v>
      </c>
      <c r="L212" s="8">
        <v>0</v>
      </c>
      <c r="M212" s="8">
        <v>0</v>
      </c>
      <c r="N212" s="8">
        <v>0</v>
      </c>
      <c r="O212" s="8"/>
      <c r="P212" s="8">
        <v>0</v>
      </c>
      <c r="Q212" s="8">
        <v>0</v>
      </c>
      <c r="R212" s="8">
        <v>1</v>
      </c>
      <c r="S212" s="317">
        <v>5.5</v>
      </c>
      <c r="T212" s="8">
        <v>5.5</v>
      </c>
      <c r="U212">
        <v>0</v>
      </c>
      <c r="W212">
        <v>0</v>
      </c>
    </row>
    <row r="213" spans="2:24" x14ac:dyDescent="0.3">
      <c r="B213" s="8" t="s">
        <v>800</v>
      </c>
      <c r="C213" s="10">
        <v>5.5</v>
      </c>
      <c r="D213" s="10">
        <v>5.5</v>
      </c>
      <c r="E213" s="8">
        <v>11</v>
      </c>
      <c r="F213" s="8">
        <v>0</v>
      </c>
      <c r="G213" s="8">
        <v>0</v>
      </c>
      <c r="H213" s="8">
        <v>0</v>
      </c>
      <c r="I213" s="8">
        <v>0</v>
      </c>
      <c r="J213" s="8">
        <v>0</v>
      </c>
      <c r="K213" s="8">
        <v>0</v>
      </c>
      <c r="L213" s="8">
        <v>0</v>
      </c>
      <c r="M213" s="8">
        <v>0</v>
      </c>
      <c r="N213" s="8">
        <v>0</v>
      </c>
      <c r="O213" s="8"/>
      <c r="P213" s="8">
        <v>0</v>
      </c>
      <c r="Q213" s="8">
        <v>0</v>
      </c>
      <c r="R213" s="8"/>
      <c r="S213" s="317" t="s">
        <v>602</v>
      </c>
      <c r="T213" s="8">
        <v>0</v>
      </c>
      <c r="U213">
        <v>0</v>
      </c>
      <c r="W213">
        <v>0</v>
      </c>
    </row>
    <row r="214" spans="2:24" x14ac:dyDescent="0.3">
      <c r="B214" s="8" t="s">
        <v>464</v>
      </c>
      <c r="C214" s="10">
        <v>5.5</v>
      </c>
      <c r="D214" s="10">
        <v>5.5</v>
      </c>
      <c r="E214" s="8">
        <v>11</v>
      </c>
      <c r="F214" s="8">
        <v>0</v>
      </c>
      <c r="G214" s="8">
        <v>0</v>
      </c>
      <c r="H214" s="8">
        <v>0</v>
      </c>
      <c r="I214" s="8">
        <v>0</v>
      </c>
      <c r="J214" s="8">
        <v>0</v>
      </c>
      <c r="K214" s="8">
        <v>0</v>
      </c>
      <c r="L214" s="8">
        <v>0</v>
      </c>
      <c r="M214" s="8">
        <v>0</v>
      </c>
      <c r="N214" s="8">
        <v>0</v>
      </c>
      <c r="O214" s="8"/>
      <c r="P214" s="8">
        <v>0</v>
      </c>
      <c r="Q214" s="8">
        <v>0</v>
      </c>
      <c r="R214" s="8"/>
      <c r="S214" s="317" t="s">
        <v>602</v>
      </c>
      <c r="T214" s="8">
        <v>0</v>
      </c>
      <c r="U214">
        <v>0</v>
      </c>
      <c r="W214">
        <v>0</v>
      </c>
    </row>
    <row r="215" spans="2:24" x14ac:dyDescent="0.3">
      <c r="B215" s="8" t="s">
        <v>814</v>
      </c>
      <c r="C215" s="10">
        <v>5.75</v>
      </c>
      <c r="D215" s="10">
        <v>5.5</v>
      </c>
      <c r="E215" s="8">
        <v>11</v>
      </c>
      <c r="F215" s="8">
        <v>0</v>
      </c>
      <c r="G215" s="8">
        <v>0</v>
      </c>
      <c r="H215" s="8">
        <v>0</v>
      </c>
      <c r="I215" s="8">
        <v>0</v>
      </c>
      <c r="J215" s="8">
        <v>0</v>
      </c>
      <c r="K215" s="8">
        <v>0</v>
      </c>
      <c r="L215" s="8">
        <v>1</v>
      </c>
      <c r="M215" s="8">
        <v>0</v>
      </c>
      <c r="N215" s="8">
        <v>0</v>
      </c>
      <c r="O215" s="8"/>
      <c r="P215" s="8">
        <v>0</v>
      </c>
      <c r="Q215" s="8">
        <v>0</v>
      </c>
      <c r="R215" s="8"/>
      <c r="S215" s="317" t="s">
        <v>602</v>
      </c>
      <c r="T215" s="8">
        <v>0</v>
      </c>
      <c r="U215">
        <v>0</v>
      </c>
      <c r="W215">
        <v>0</v>
      </c>
    </row>
    <row r="216" spans="2:24" x14ac:dyDescent="0.3">
      <c r="B216" s="8" t="s">
        <v>457</v>
      </c>
      <c r="C216" s="10">
        <v>5.5</v>
      </c>
      <c r="D216" s="10">
        <v>5.25</v>
      </c>
      <c r="E216" s="8">
        <v>10.5</v>
      </c>
      <c r="F216" s="8">
        <v>0</v>
      </c>
      <c r="G216" s="8">
        <v>0</v>
      </c>
      <c r="H216" s="8">
        <v>0</v>
      </c>
      <c r="I216" s="8">
        <v>0</v>
      </c>
      <c r="J216" s="8">
        <v>0</v>
      </c>
      <c r="K216" s="8">
        <v>0</v>
      </c>
      <c r="L216" s="8">
        <v>1</v>
      </c>
      <c r="M216" s="8">
        <v>0</v>
      </c>
      <c r="N216" s="8">
        <v>0</v>
      </c>
      <c r="O216" s="8"/>
      <c r="P216" s="8">
        <v>0</v>
      </c>
      <c r="Q216" s="8">
        <v>0</v>
      </c>
      <c r="R216" s="8">
        <v>1</v>
      </c>
      <c r="S216" s="317">
        <v>5</v>
      </c>
      <c r="T216" s="8">
        <v>5</v>
      </c>
      <c r="U216">
        <v>0</v>
      </c>
      <c r="W216">
        <v>0</v>
      </c>
    </row>
    <row r="217" spans="2:24" x14ac:dyDescent="0.3">
      <c r="B217" s="8" t="s">
        <v>347</v>
      </c>
      <c r="C217" s="10">
        <v>5.5</v>
      </c>
      <c r="D217" s="10">
        <v>5.25</v>
      </c>
      <c r="E217" s="8">
        <v>10.5</v>
      </c>
      <c r="F217" s="8">
        <v>0</v>
      </c>
      <c r="G217" s="8">
        <v>0</v>
      </c>
      <c r="H217" s="8">
        <v>0</v>
      </c>
      <c r="I217" s="8">
        <v>0</v>
      </c>
      <c r="J217" s="8">
        <v>0</v>
      </c>
      <c r="K217" s="8">
        <v>0</v>
      </c>
      <c r="L217" s="8">
        <v>1</v>
      </c>
      <c r="M217" s="8">
        <v>0</v>
      </c>
      <c r="N217" s="8">
        <v>0</v>
      </c>
      <c r="O217" s="8"/>
      <c r="P217" s="8">
        <v>0</v>
      </c>
      <c r="Q217" s="8">
        <v>0</v>
      </c>
      <c r="R217" s="8">
        <v>1</v>
      </c>
      <c r="S217" s="317">
        <v>5</v>
      </c>
      <c r="T217" s="8">
        <v>5</v>
      </c>
      <c r="U217">
        <v>0</v>
      </c>
      <c r="W217">
        <v>5</v>
      </c>
      <c r="X217">
        <v>1</v>
      </c>
    </row>
    <row r="218" spans="2:24" x14ac:dyDescent="0.3">
      <c r="B218" s="8" t="s">
        <v>611</v>
      </c>
      <c r="C218" s="10">
        <v>5.25</v>
      </c>
      <c r="D218" s="10">
        <v>5.25</v>
      </c>
      <c r="E218" s="8">
        <v>10.5</v>
      </c>
      <c r="F218" s="8">
        <v>0</v>
      </c>
      <c r="G218" s="8">
        <v>0</v>
      </c>
      <c r="H218" s="8">
        <v>0</v>
      </c>
      <c r="I218" s="8">
        <v>0</v>
      </c>
      <c r="J218" s="8">
        <v>0</v>
      </c>
      <c r="K218" s="8">
        <v>0</v>
      </c>
      <c r="L218" s="8">
        <v>0</v>
      </c>
      <c r="M218" s="8">
        <v>0</v>
      </c>
      <c r="N218" s="8">
        <v>0</v>
      </c>
      <c r="O218" s="8"/>
      <c r="P218" s="8">
        <v>0</v>
      </c>
      <c r="Q218" s="8">
        <v>0</v>
      </c>
      <c r="R218" s="8"/>
      <c r="S218" s="317" t="s">
        <v>602</v>
      </c>
      <c r="T218" s="8">
        <v>0</v>
      </c>
      <c r="U218">
        <v>0</v>
      </c>
      <c r="W218">
        <v>0</v>
      </c>
    </row>
    <row r="219" spans="2:24" x14ac:dyDescent="0.3">
      <c r="B219" s="8" t="s">
        <v>793</v>
      </c>
      <c r="C219" s="10">
        <v>4.75</v>
      </c>
      <c r="D219" s="10">
        <v>5.25</v>
      </c>
      <c r="E219" s="8">
        <v>10.5</v>
      </c>
      <c r="F219" s="8">
        <v>0</v>
      </c>
      <c r="G219" s="8">
        <v>0</v>
      </c>
      <c r="H219" s="8">
        <v>0</v>
      </c>
      <c r="I219" s="8">
        <v>0</v>
      </c>
      <c r="J219" s="8">
        <v>0</v>
      </c>
      <c r="K219" s="8">
        <v>0</v>
      </c>
      <c r="L219" s="8">
        <v>0</v>
      </c>
      <c r="M219" s="8">
        <v>0</v>
      </c>
      <c r="N219" s="8">
        <v>1</v>
      </c>
      <c r="O219" s="8"/>
      <c r="P219" s="8">
        <v>0</v>
      </c>
      <c r="Q219" s="8">
        <v>0</v>
      </c>
      <c r="R219" s="8">
        <v>1</v>
      </c>
      <c r="S219" s="317">
        <v>4.5</v>
      </c>
      <c r="T219" s="8">
        <v>4.5</v>
      </c>
      <c r="U219">
        <v>0</v>
      </c>
      <c r="W219">
        <v>0</v>
      </c>
    </row>
    <row r="220" spans="2:24" x14ac:dyDescent="0.3">
      <c r="B220" s="8" t="s">
        <v>525</v>
      </c>
      <c r="C220" s="10">
        <v>7.5</v>
      </c>
      <c r="D220" s="10">
        <v>10.5</v>
      </c>
      <c r="E220" s="8">
        <v>10.5</v>
      </c>
      <c r="F220" s="8">
        <v>1</v>
      </c>
      <c r="G220" s="8">
        <v>0</v>
      </c>
      <c r="H220" s="8">
        <v>0</v>
      </c>
      <c r="I220" s="8">
        <v>0</v>
      </c>
      <c r="J220" s="8">
        <v>0</v>
      </c>
      <c r="K220" s="8">
        <v>0</v>
      </c>
      <c r="L220" s="8">
        <v>0</v>
      </c>
      <c r="M220" s="8">
        <v>0</v>
      </c>
      <c r="N220" s="8">
        <v>0</v>
      </c>
      <c r="O220" s="8"/>
      <c r="P220" s="8">
        <v>0</v>
      </c>
      <c r="Q220" s="8">
        <v>1</v>
      </c>
      <c r="R220" s="8"/>
      <c r="S220" s="317" t="s">
        <v>602</v>
      </c>
      <c r="T220" s="8">
        <v>0</v>
      </c>
      <c r="U220">
        <v>0</v>
      </c>
      <c r="W220">
        <v>0</v>
      </c>
    </row>
    <row r="221" spans="2:24" x14ac:dyDescent="0.3">
      <c r="B221" s="8" t="s">
        <v>830</v>
      </c>
      <c r="C221" s="10">
        <v>5.5</v>
      </c>
      <c r="D221" s="10">
        <v>5.25</v>
      </c>
      <c r="E221" s="8">
        <v>10.5</v>
      </c>
      <c r="F221" s="8">
        <v>0</v>
      </c>
      <c r="G221" s="8">
        <v>0</v>
      </c>
      <c r="H221" s="8">
        <v>0</v>
      </c>
      <c r="I221" s="8">
        <v>0</v>
      </c>
      <c r="J221" s="8">
        <v>0</v>
      </c>
      <c r="K221" s="8">
        <v>0</v>
      </c>
      <c r="L221" s="8">
        <v>1</v>
      </c>
      <c r="M221" s="8">
        <v>0</v>
      </c>
      <c r="N221" s="8">
        <v>0</v>
      </c>
      <c r="O221" s="8"/>
      <c r="P221" s="8">
        <v>0</v>
      </c>
      <c r="Q221" s="8">
        <v>0</v>
      </c>
      <c r="R221" s="8"/>
      <c r="S221" s="317" t="s">
        <v>602</v>
      </c>
      <c r="T221" s="8">
        <v>0</v>
      </c>
      <c r="U221">
        <v>5.5</v>
      </c>
      <c r="V221">
        <v>1</v>
      </c>
      <c r="W221">
        <v>5.5</v>
      </c>
      <c r="X221">
        <v>1</v>
      </c>
    </row>
    <row r="222" spans="2:24" x14ac:dyDescent="0.3">
      <c r="B222" s="8" t="s">
        <v>545</v>
      </c>
      <c r="C222" s="10">
        <v>5.25</v>
      </c>
      <c r="D222" s="10">
        <v>5.25</v>
      </c>
      <c r="E222" s="8">
        <v>10.5</v>
      </c>
      <c r="F222" s="8">
        <v>0</v>
      </c>
      <c r="G222" s="8">
        <v>0</v>
      </c>
      <c r="H222" s="8">
        <v>0</v>
      </c>
      <c r="I222" s="8">
        <v>0</v>
      </c>
      <c r="J222" s="8">
        <v>0</v>
      </c>
      <c r="K222" s="8">
        <v>0</v>
      </c>
      <c r="L222" s="8">
        <v>0</v>
      </c>
      <c r="M222" s="8">
        <v>0</v>
      </c>
      <c r="N222" s="8">
        <v>0</v>
      </c>
      <c r="O222" s="8"/>
      <c r="P222" s="8">
        <v>0</v>
      </c>
      <c r="Q222" s="8">
        <v>0</v>
      </c>
      <c r="R222" s="8"/>
      <c r="S222" s="317" t="s">
        <v>602</v>
      </c>
      <c r="T222" s="8">
        <v>0</v>
      </c>
      <c r="U222">
        <v>0</v>
      </c>
      <c r="W222">
        <v>0</v>
      </c>
    </row>
    <row r="223" spans="2:24" x14ac:dyDescent="0.3">
      <c r="B223" s="8" t="s">
        <v>841</v>
      </c>
      <c r="C223" s="10">
        <v>5.25</v>
      </c>
      <c r="D223" s="10">
        <v>5.25</v>
      </c>
      <c r="E223" s="8">
        <v>10.5</v>
      </c>
      <c r="F223" s="8">
        <v>0</v>
      </c>
      <c r="G223" s="8">
        <v>0</v>
      </c>
      <c r="H223" s="8">
        <v>0</v>
      </c>
      <c r="I223" s="8">
        <v>0</v>
      </c>
      <c r="J223" s="8">
        <v>0</v>
      </c>
      <c r="K223" s="8">
        <v>0</v>
      </c>
      <c r="L223" s="8">
        <v>0</v>
      </c>
      <c r="M223" s="8">
        <v>0</v>
      </c>
      <c r="N223" s="8">
        <v>0</v>
      </c>
      <c r="O223" s="8"/>
      <c r="P223" s="8">
        <v>0</v>
      </c>
      <c r="Q223" s="8">
        <v>0</v>
      </c>
      <c r="R223" s="8">
        <v>1</v>
      </c>
      <c r="S223" s="317">
        <v>5</v>
      </c>
      <c r="T223" s="8">
        <v>5</v>
      </c>
      <c r="U223">
        <v>0</v>
      </c>
      <c r="W223">
        <v>0</v>
      </c>
    </row>
    <row r="224" spans="2:24" x14ac:dyDescent="0.3">
      <c r="B224" s="8" t="s">
        <v>686</v>
      </c>
      <c r="C224" s="10">
        <v>6.5</v>
      </c>
      <c r="D224" s="10">
        <v>10.5</v>
      </c>
      <c r="E224" s="8">
        <v>10.5</v>
      </c>
      <c r="F224" s="8">
        <v>1</v>
      </c>
      <c r="G224" s="8">
        <v>0</v>
      </c>
      <c r="H224" s="8">
        <v>0</v>
      </c>
      <c r="I224" s="8">
        <v>0</v>
      </c>
      <c r="J224" s="8">
        <v>0</v>
      </c>
      <c r="K224" s="8">
        <v>0</v>
      </c>
      <c r="L224" s="8">
        <v>0</v>
      </c>
      <c r="M224" s="8">
        <v>0</v>
      </c>
      <c r="N224" s="8">
        <v>0</v>
      </c>
      <c r="O224" s="8">
        <v>1</v>
      </c>
      <c r="P224" s="8">
        <v>0</v>
      </c>
      <c r="Q224" s="8">
        <v>1</v>
      </c>
      <c r="R224" s="8"/>
      <c r="S224" s="317" t="s">
        <v>602</v>
      </c>
      <c r="T224" s="8">
        <v>0</v>
      </c>
      <c r="U224">
        <v>0</v>
      </c>
      <c r="W224">
        <v>0</v>
      </c>
    </row>
    <row r="225" spans="2:24" x14ac:dyDescent="0.3">
      <c r="B225" s="8" t="s">
        <v>637</v>
      </c>
      <c r="C225" s="10">
        <v>5.25</v>
      </c>
      <c r="D225" s="10">
        <v>5.25</v>
      </c>
      <c r="E225" s="8">
        <v>10.5</v>
      </c>
      <c r="F225" s="8">
        <v>0</v>
      </c>
      <c r="G225" s="8">
        <v>0</v>
      </c>
      <c r="H225" s="8">
        <v>0</v>
      </c>
      <c r="I225" s="8">
        <v>0</v>
      </c>
      <c r="J225" s="8">
        <v>0</v>
      </c>
      <c r="K225" s="8">
        <v>0</v>
      </c>
      <c r="L225" s="8">
        <v>0</v>
      </c>
      <c r="M225" s="8">
        <v>0</v>
      </c>
      <c r="N225" s="8">
        <v>0</v>
      </c>
      <c r="O225" s="8"/>
      <c r="P225" s="8">
        <v>0</v>
      </c>
      <c r="Q225" s="8">
        <v>0</v>
      </c>
      <c r="R225" s="8"/>
      <c r="S225" s="317" t="s">
        <v>602</v>
      </c>
      <c r="T225" s="8">
        <v>0</v>
      </c>
      <c r="U225">
        <v>0</v>
      </c>
      <c r="W225">
        <v>0</v>
      </c>
    </row>
    <row r="226" spans="2:24" x14ac:dyDescent="0.3">
      <c r="B226" s="8" t="s">
        <v>448</v>
      </c>
      <c r="C226" s="10">
        <v>5.25</v>
      </c>
      <c r="D226" s="10">
        <v>5.25</v>
      </c>
      <c r="E226" s="8">
        <v>10.5</v>
      </c>
      <c r="F226" s="8">
        <v>0</v>
      </c>
      <c r="G226" s="8">
        <v>0</v>
      </c>
      <c r="H226" s="8">
        <v>0</v>
      </c>
      <c r="I226" s="8">
        <v>0</v>
      </c>
      <c r="J226" s="8">
        <v>0</v>
      </c>
      <c r="K226" s="8">
        <v>0</v>
      </c>
      <c r="L226" s="8">
        <v>0</v>
      </c>
      <c r="M226" s="8">
        <v>0</v>
      </c>
      <c r="N226" s="8">
        <v>0</v>
      </c>
      <c r="O226" s="8"/>
      <c r="P226" s="8">
        <v>0</v>
      </c>
      <c r="Q226" s="8">
        <v>0</v>
      </c>
      <c r="R226" s="8"/>
      <c r="S226" s="317" t="s">
        <v>602</v>
      </c>
      <c r="T226" s="8">
        <v>0</v>
      </c>
      <c r="U226">
        <v>0</v>
      </c>
      <c r="W226">
        <v>0</v>
      </c>
    </row>
    <row r="227" spans="2:24" x14ac:dyDescent="0.3">
      <c r="B227" s="8" t="s">
        <v>756</v>
      </c>
      <c r="C227" s="10">
        <v>5.25</v>
      </c>
      <c r="D227" s="10">
        <v>5</v>
      </c>
      <c r="E227" s="8">
        <v>10</v>
      </c>
      <c r="F227" s="8">
        <v>0</v>
      </c>
      <c r="G227" s="8">
        <v>0</v>
      </c>
      <c r="H227" s="8">
        <v>0</v>
      </c>
      <c r="I227" s="8">
        <v>0</v>
      </c>
      <c r="J227" s="8">
        <v>0</v>
      </c>
      <c r="K227" s="8">
        <v>0</v>
      </c>
      <c r="L227" s="8">
        <v>1</v>
      </c>
      <c r="M227" s="8">
        <v>0</v>
      </c>
      <c r="N227" s="8">
        <v>0</v>
      </c>
      <c r="O227" s="8"/>
      <c r="P227" s="8">
        <v>0</v>
      </c>
      <c r="Q227" s="8">
        <v>0</v>
      </c>
      <c r="R227" s="8">
        <v>1</v>
      </c>
      <c r="S227" s="317">
        <v>4</v>
      </c>
      <c r="T227" s="8">
        <v>4</v>
      </c>
      <c r="U227">
        <v>0</v>
      </c>
      <c r="W227">
        <v>0</v>
      </c>
    </row>
    <row r="228" spans="2:24" x14ac:dyDescent="0.3">
      <c r="B228" s="8" t="s">
        <v>565</v>
      </c>
      <c r="C228" s="10">
        <v>7</v>
      </c>
      <c r="D228" s="10">
        <v>10</v>
      </c>
      <c r="E228" s="8">
        <v>10</v>
      </c>
      <c r="F228" s="8">
        <v>1</v>
      </c>
      <c r="G228" s="8">
        <v>0</v>
      </c>
      <c r="H228" s="8">
        <v>0</v>
      </c>
      <c r="I228" s="8">
        <v>0</v>
      </c>
      <c r="J228" s="8">
        <v>0</v>
      </c>
      <c r="K228" s="8">
        <v>0</v>
      </c>
      <c r="L228" s="8">
        <v>0</v>
      </c>
      <c r="M228" s="8">
        <v>0</v>
      </c>
      <c r="N228" s="8">
        <v>0</v>
      </c>
      <c r="O228" s="8"/>
      <c r="P228" s="8">
        <v>0</v>
      </c>
      <c r="Q228" s="8">
        <v>1</v>
      </c>
      <c r="R228" s="8"/>
      <c r="S228" s="317" t="s">
        <v>602</v>
      </c>
      <c r="T228" s="8">
        <v>0</v>
      </c>
      <c r="U228">
        <v>0</v>
      </c>
      <c r="W228">
        <v>0</v>
      </c>
    </row>
    <row r="229" spans="2:24" x14ac:dyDescent="0.3">
      <c r="B229" s="8" t="s">
        <v>752</v>
      </c>
      <c r="C229" s="10">
        <v>5</v>
      </c>
      <c r="D229" s="10">
        <v>5</v>
      </c>
      <c r="E229" s="8">
        <v>10</v>
      </c>
      <c r="F229" s="8">
        <v>0</v>
      </c>
      <c r="G229" s="8">
        <v>0</v>
      </c>
      <c r="H229" s="8">
        <v>0</v>
      </c>
      <c r="I229" s="8">
        <v>0</v>
      </c>
      <c r="J229" s="8">
        <v>0</v>
      </c>
      <c r="K229" s="8">
        <v>0</v>
      </c>
      <c r="L229" s="8">
        <v>0</v>
      </c>
      <c r="M229" s="8">
        <v>0</v>
      </c>
      <c r="N229" s="8">
        <v>0</v>
      </c>
      <c r="O229" s="8"/>
      <c r="P229" s="8">
        <v>0</v>
      </c>
      <c r="Q229" s="8">
        <v>0</v>
      </c>
      <c r="R229" s="8"/>
      <c r="S229" s="317" t="s">
        <v>602</v>
      </c>
      <c r="T229" s="8">
        <v>0</v>
      </c>
      <c r="U229">
        <v>0</v>
      </c>
      <c r="W229">
        <v>0</v>
      </c>
    </row>
    <row r="230" spans="2:24" x14ac:dyDescent="0.3">
      <c r="B230" s="8" t="s">
        <v>620</v>
      </c>
      <c r="C230" s="10">
        <v>5</v>
      </c>
      <c r="D230" s="10">
        <v>5</v>
      </c>
      <c r="E230" s="8">
        <v>10</v>
      </c>
      <c r="F230" s="8">
        <v>0</v>
      </c>
      <c r="G230" s="8">
        <v>0</v>
      </c>
      <c r="H230" s="8">
        <v>0</v>
      </c>
      <c r="I230" s="8">
        <v>0</v>
      </c>
      <c r="J230" s="8">
        <v>0</v>
      </c>
      <c r="K230" s="8">
        <v>0</v>
      </c>
      <c r="L230" s="8">
        <v>0</v>
      </c>
      <c r="M230" s="8">
        <v>0</v>
      </c>
      <c r="N230" s="8">
        <v>0</v>
      </c>
      <c r="O230" s="8"/>
      <c r="P230" s="8">
        <v>0</v>
      </c>
      <c r="Q230" s="8">
        <v>0</v>
      </c>
      <c r="R230" s="8"/>
      <c r="S230" s="317" t="s">
        <v>602</v>
      </c>
      <c r="T230" s="8">
        <v>0</v>
      </c>
      <c r="U230">
        <v>0</v>
      </c>
      <c r="W230">
        <v>0</v>
      </c>
    </row>
    <row r="231" spans="2:24" x14ac:dyDescent="0.3">
      <c r="B231" s="8" t="s">
        <v>723</v>
      </c>
      <c r="C231" s="10">
        <v>6.5</v>
      </c>
      <c r="D231" s="10">
        <v>5</v>
      </c>
      <c r="E231" s="8">
        <v>10</v>
      </c>
      <c r="F231" s="8">
        <v>0</v>
      </c>
      <c r="G231" s="8">
        <v>3</v>
      </c>
      <c r="H231" s="8">
        <v>0</v>
      </c>
      <c r="I231" s="8">
        <v>0</v>
      </c>
      <c r="J231" s="8">
        <v>0</v>
      </c>
      <c r="K231" s="8">
        <v>0</v>
      </c>
      <c r="L231" s="8">
        <v>0</v>
      </c>
      <c r="M231" s="8">
        <v>0</v>
      </c>
      <c r="N231" s="8">
        <v>0</v>
      </c>
      <c r="O231" s="8"/>
      <c r="P231" s="8">
        <v>0</v>
      </c>
      <c r="Q231" s="8">
        <v>0</v>
      </c>
      <c r="R231" s="8">
        <v>1</v>
      </c>
      <c r="S231" s="317">
        <v>4</v>
      </c>
      <c r="T231" s="8">
        <v>4</v>
      </c>
      <c r="U231">
        <v>0</v>
      </c>
      <c r="W231">
        <v>0</v>
      </c>
    </row>
    <row r="232" spans="2:24" x14ac:dyDescent="0.3">
      <c r="B232" s="8" t="s">
        <v>795</v>
      </c>
      <c r="C232" s="10">
        <v>6.5</v>
      </c>
      <c r="D232" s="10">
        <v>5</v>
      </c>
      <c r="E232" s="8">
        <v>10</v>
      </c>
      <c r="F232" s="8">
        <v>0</v>
      </c>
      <c r="G232" s="8">
        <v>3</v>
      </c>
      <c r="H232" s="8">
        <v>0</v>
      </c>
      <c r="I232" s="8">
        <v>0</v>
      </c>
      <c r="J232" s="8">
        <v>0</v>
      </c>
      <c r="K232" s="8">
        <v>0</v>
      </c>
      <c r="L232" s="8">
        <v>0</v>
      </c>
      <c r="M232" s="8">
        <v>0</v>
      </c>
      <c r="N232" s="8">
        <v>0</v>
      </c>
      <c r="O232" s="8"/>
      <c r="P232" s="8">
        <v>0</v>
      </c>
      <c r="Q232" s="8">
        <v>0</v>
      </c>
      <c r="R232" s="8">
        <v>1</v>
      </c>
      <c r="S232" s="317">
        <v>5.5</v>
      </c>
      <c r="T232" s="8">
        <v>5.5</v>
      </c>
      <c r="U232">
        <v>5.5</v>
      </c>
      <c r="V232">
        <v>1</v>
      </c>
      <c r="W232">
        <v>5.5</v>
      </c>
      <c r="X232">
        <v>1</v>
      </c>
    </row>
    <row r="233" spans="2:24" x14ac:dyDescent="0.3">
      <c r="B233" s="8" t="s">
        <v>976</v>
      </c>
      <c r="C233" s="10">
        <v>5.25</v>
      </c>
      <c r="D233" s="10">
        <v>5</v>
      </c>
      <c r="E233" s="8">
        <v>10</v>
      </c>
      <c r="F233" s="8">
        <v>0</v>
      </c>
      <c r="G233" s="8">
        <v>0</v>
      </c>
      <c r="H233" s="8">
        <v>0</v>
      </c>
      <c r="I233" s="8">
        <v>0</v>
      </c>
      <c r="J233" s="8">
        <v>0</v>
      </c>
      <c r="K233" s="8">
        <v>0</v>
      </c>
      <c r="L233" s="8">
        <v>1</v>
      </c>
      <c r="M233" s="8">
        <v>0</v>
      </c>
      <c r="N233" s="8">
        <v>0</v>
      </c>
      <c r="O233" s="8"/>
      <c r="P233" s="8">
        <v>0</v>
      </c>
      <c r="Q233" s="8">
        <v>0</v>
      </c>
      <c r="R233" s="8"/>
      <c r="S233" s="317" t="s">
        <v>602</v>
      </c>
      <c r="T233" s="8">
        <v>0</v>
      </c>
      <c r="U233">
        <v>0</v>
      </c>
      <c r="W233">
        <v>0</v>
      </c>
    </row>
    <row r="234" spans="2:24" x14ac:dyDescent="0.3">
      <c r="B234" s="8" t="s">
        <v>865</v>
      </c>
      <c r="C234" s="10">
        <v>5.25</v>
      </c>
      <c r="D234" s="10">
        <v>5</v>
      </c>
      <c r="E234" s="8">
        <v>10</v>
      </c>
      <c r="F234" s="8">
        <v>0</v>
      </c>
      <c r="G234" s="8">
        <v>0</v>
      </c>
      <c r="H234" s="8">
        <v>0</v>
      </c>
      <c r="I234" s="8">
        <v>0</v>
      </c>
      <c r="J234" s="8">
        <v>0</v>
      </c>
      <c r="K234" s="8">
        <v>0</v>
      </c>
      <c r="L234" s="8">
        <v>1</v>
      </c>
      <c r="M234" s="8">
        <v>0</v>
      </c>
      <c r="N234" s="8">
        <v>0</v>
      </c>
      <c r="O234" s="8"/>
      <c r="P234" s="8">
        <v>0</v>
      </c>
      <c r="Q234" s="8">
        <v>0</v>
      </c>
      <c r="R234" s="8"/>
      <c r="S234" s="317" t="s">
        <v>602</v>
      </c>
      <c r="T234" s="8">
        <v>0</v>
      </c>
      <c r="U234">
        <v>0</v>
      </c>
      <c r="W234">
        <v>0</v>
      </c>
    </row>
    <row r="235" spans="2:24" x14ac:dyDescent="0.3">
      <c r="B235" s="8" t="s">
        <v>873</v>
      </c>
      <c r="C235" s="10">
        <v>6.5</v>
      </c>
      <c r="D235" s="10">
        <v>5</v>
      </c>
      <c r="E235" s="8">
        <v>10</v>
      </c>
      <c r="F235" s="8">
        <v>0</v>
      </c>
      <c r="G235" s="8">
        <v>3</v>
      </c>
      <c r="H235" s="8">
        <v>0</v>
      </c>
      <c r="I235" s="8">
        <v>0</v>
      </c>
      <c r="J235" s="8">
        <v>0</v>
      </c>
      <c r="K235" s="8">
        <v>0</v>
      </c>
      <c r="L235" s="8">
        <v>0</v>
      </c>
      <c r="M235" s="8">
        <v>0</v>
      </c>
      <c r="N235" s="8">
        <v>0</v>
      </c>
      <c r="O235" s="8"/>
      <c r="P235" s="8">
        <v>0</v>
      </c>
      <c r="Q235" s="8">
        <v>0</v>
      </c>
      <c r="R235" s="8">
        <v>1</v>
      </c>
      <c r="S235" s="317">
        <v>6</v>
      </c>
      <c r="T235" s="8">
        <v>6</v>
      </c>
      <c r="U235">
        <v>6</v>
      </c>
      <c r="V235">
        <v>1</v>
      </c>
      <c r="W235">
        <v>6</v>
      </c>
      <c r="X235">
        <v>1</v>
      </c>
    </row>
    <row r="236" spans="2:24" x14ac:dyDescent="0.3">
      <c r="B236" s="8" t="s">
        <v>326</v>
      </c>
      <c r="C236" s="10">
        <v>5</v>
      </c>
      <c r="D236" s="10">
        <v>5</v>
      </c>
      <c r="E236" s="8">
        <v>10</v>
      </c>
      <c r="F236" s="8">
        <v>0</v>
      </c>
      <c r="G236" s="8">
        <v>0</v>
      </c>
      <c r="H236" s="8">
        <v>0</v>
      </c>
      <c r="I236" s="8">
        <v>0</v>
      </c>
      <c r="J236" s="8">
        <v>0</v>
      </c>
      <c r="K236" s="8">
        <v>0</v>
      </c>
      <c r="L236" s="8">
        <v>0</v>
      </c>
      <c r="M236" s="8">
        <v>0</v>
      </c>
      <c r="N236" s="8">
        <v>0</v>
      </c>
      <c r="O236" s="8"/>
      <c r="P236" s="8">
        <v>0</v>
      </c>
      <c r="Q236" s="8">
        <v>0</v>
      </c>
      <c r="R236" s="8"/>
      <c r="S236" s="317" t="s">
        <v>602</v>
      </c>
      <c r="T236" s="8">
        <v>0</v>
      </c>
      <c r="U236">
        <v>0</v>
      </c>
      <c r="W236">
        <v>0</v>
      </c>
    </row>
    <row r="237" spans="2:24" x14ac:dyDescent="0.3">
      <c r="B237" s="8" t="s">
        <v>604</v>
      </c>
      <c r="C237" s="10">
        <v>6.75</v>
      </c>
      <c r="D237" s="10">
        <v>4.75</v>
      </c>
      <c r="E237" s="8">
        <v>9.5</v>
      </c>
      <c r="F237" s="8">
        <v>0</v>
      </c>
      <c r="G237" s="8">
        <v>4</v>
      </c>
      <c r="H237" s="8">
        <v>0</v>
      </c>
      <c r="I237" s="8">
        <v>0</v>
      </c>
      <c r="J237" s="8">
        <v>0</v>
      </c>
      <c r="K237" s="8">
        <v>0</v>
      </c>
      <c r="L237" s="8">
        <v>0</v>
      </c>
      <c r="M237" s="8">
        <v>0</v>
      </c>
      <c r="N237" s="8">
        <v>0</v>
      </c>
      <c r="O237" s="8"/>
      <c r="P237" s="8">
        <v>0</v>
      </c>
      <c r="Q237" s="8">
        <v>0</v>
      </c>
      <c r="R237" s="8"/>
      <c r="S237" s="317" t="s">
        <v>602</v>
      </c>
      <c r="T237" s="8">
        <v>0</v>
      </c>
      <c r="U237">
        <v>0</v>
      </c>
      <c r="W237">
        <v>0</v>
      </c>
    </row>
    <row r="238" spans="2:24" x14ac:dyDescent="0.3">
      <c r="B238" s="8" t="s">
        <v>1093</v>
      </c>
      <c r="C238" s="10">
        <v>6.5</v>
      </c>
      <c r="D238" s="10">
        <v>9.5</v>
      </c>
      <c r="E238" s="8">
        <v>9.5</v>
      </c>
      <c r="F238" s="8">
        <v>1</v>
      </c>
      <c r="G238" s="8">
        <v>0</v>
      </c>
      <c r="H238" s="8">
        <v>0</v>
      </c>
      <c r="I238" s="8">
        <v>0</v>
      </c>
      <c r="J238" s="8">
        <v>0</v>
      </c>
      <c r="K238" s="8">
        <v>0</v>
      </c>
      <c r="L238" s="8">
        <v>0</v>
      </c>
      <c r="M238" s="8">
        <v>0</v>
      </c>
      <c r="N238" s="8">
        <v>0</v>
      </c>
      <c r="O238" s="8"/>
      <c r="P238" s="8">
        <v>0</v>
      </c>
      <c r="Q238" s="8">
        <v>1</v>
      </c>
      <c r="R238" s="8"/>
      <c r="S238" s="317" t="s">
        <v>602</v>
      </c>
      <c r="T238" s="8">
        <v>0</v>
      </c>
      <c r="U238">
        <v>0</v>
      </c>
      <c r="W238">
        <v>0</v>
      </c>
    </row>
    <row r="239" spans="2:24" x14ac:dyDescent="0.3">
      <c r="B239" s="8" t="s">
        <v>977</v>
      </c>
      <c r="C239" s="10">
        <v>5</v>
      </c>
      <c r="D239" s="10">
        <v>4.75</v>
      </c>
      <c r="E239" s="8">
        <v>9.5</v>
      </c>
      <c r="F239" s="8">
        <v>0</v>
      </c>
      <c r="G239" s="8">
        <v>0</v>
      </c>
      <c r="H239" s="8">
        <v>0</v>
      </c>
      <c r="I239" s="8">
        <v>0</v>
      </c>
      <c r="J239" s="8">
        <v>0</v>
      </c>
      <c r="K239" s="8">
        <v>0</v>
      </c>
      <c r="L239" s="8">
        <v>1</v>
      </c>
      <c r="M239" s="8">
        <v>0</v>
      </c>
      <c r="N239" s="8">
        <v>0</v>
      </c>
      <c r="O239" s="8"/>
      <c r="P239" s="8">
        <v>0</v>
      </c>
      <c r="Q239" s="8">
        <v>0</v>
      </c>
      <c r="R239" s="8"/>
      <c r="S239" s="317" t="s">
        <v>602</v>
      </c>
      <c r="T239" s="8">
        <v>0</v>
      </c>
      <c r="U239">
        <v>0</v>
      </c>
      <c r="W239">
        <v>0</v>
      </c>
    </row>
    <row r="240" spans="2:24" x14ac:dyDescent="0.3">
      <c r="B240" s="8" t="s">
        <v>965</v>
      </c>
      <c r="C240" s="10">
        <v>6.5</v>
      </c>
      <c r="D240" s="10">
        <v>9.5</v>
      </c>
      <c r="E240" s="8">
        <v>9.5</v>
      </c>
      <c r="F240" s="8">
        <v>1</v>
      </c>
      <c r="G240" s="8">
        <v>0</v>
      </c>
      <c r="H240" s="8">
        <v>0</v>
      </c>
      <c r="I240" s="8">
        <v>0</v>
      </c>
      <c r="J240" s="8">
        <v>0</v>
      </c>
      <c r="K240" s="8">
        <v>0</v>
      </c>
      <c r="L240" s="8">
        <v>0</v>
      </c>
      <c r="M240" s="8">
        <v>0</v>
      </c>
      <c r="N240" s="8">
        <v>0</v>
      </c>
      <c r="O240" s="8"/>
      <c r="P240" s="8">
        <v>0</v>
      </c>
      <c r="Q240" s="8">
        <v>1</v>
      </c>
      <c r="R240" s="8"/>
      <c r="S240" s="317" t="s">
        <v>602</v>
      </c>
      <c r="T240" s="8">
        <v>0</v>
      </c>
      <c r="U240">
        <v>0</v>
      </c>
      <c r="W240">
        <v>0</v>
      </c>
    </row>
    <row r="241" spans="2:24" x14ac:dyDescent="0.3">
      <c r="B241" s="8" t="s">
        <v>265</v>
      </c>
      <c r="C241" s="10">
        <v>6.25</v>
      </c>
      <c r="D241" s="10">
        <v>4.75</v>
      </c>
      <c r="E241" s="8">
        <v>9.5</v>
      </c>
      <c r="F241" s="8">
        <v>0</v>
      </c>
      <c r="G241" s="8">
        <v>3</v>
      </c>
      <c r="H241" s="8">
        <v>0</v>
      </c>
      <c r="I241" s="8">
        <v>0</v>
      </c>
      <c r="J241" s="8">
        <v>0</v>
      </c>
      <c r="K241" s="8">
        <v>0</v>
      </c>
      <c r="L241" s="8">
        <v>0</v>
      </c>
      <c r="M241" s="8">
        <v>0</v>
      </c>
      <c r="N241" s="8">
        <v>0</v>
      </c>
      <c r="O241" s="8"/>
      <c r="P241" s="8">
        <v>0</v>
      </c>
      <c r="Q241" s="8">
        <v>0</v>
      </c>
      <c r="R241" s="8"/>
      <c r="S241" s="317" t="s">
        <v>602</v>
      </c>
      <c r="T241" s="8">
        <v>0</v>
      </c>
      <c r="U241">
        <v>0</v>
      </c>
      <c r="W241">
        <v>0</v>
      </c>
    </row>
    <row r="242" spans="2:24" x14ac:dyDescent="0.3">
      <c r="B242" s="8" t="s">
        <v>569</v>
      </c>
      <c r="C242" s="10">
        <v>7</v>
      </c>
      <c r="D242" s="10">
        <v>9.5</v>
      </c>
      <c r="E242" s="8">
        <v>9.5</v>
      </c>
      <c r="F242" s="8">
        <v>1</v>
      </c>
      <c r="G242" s="8">
        <v>0</v>
      </c>
      <c r="H242" s="8">
        <v>0</v>
      </c>
      <c r="I242" s="8">
        <v>0</v>
      </c>
      <c r="J242" s="8">
        <v>0</v>
      </c>
      <c r="K242" s="8">
        <v>0</v>
      </c>
      <c r="L242" s="8">
        <v>1</v>
      </c>
      <c r="M242" s="8">
        <v>0</v>
      </c>
      <c r="N242" s="8">
        <v>0</v>
      </c>
      <c r="O242" s="8"/>
      <c r="P242" s="8">
        <v>0</v>
      </c>
      <c r="Q242" s="8">
        <v>1</v>
      </c>
      <c r="R242" s="8"/>
      <c r="S242" s="317" t="s">
        <v>602</v>
      </c>
      <c r="T242" s="8">
        <v>0</v>
      </c>
      <c r="U242">
        <v>9.5</v>
      </c>
      <c r="V242">
        <v>1</v>
      </c>
      <c r="W242">
        <v>9.5</v>
      </c>
      <c r="X242">
        <v>1</v>
      </c>
    </row>
    <row r="243" spans="2:24" x14ac:dyDescent="0.3">
      <c r="B243" s="8" t="s">
        <v>227</v>
      </c>
      <c r="C243" s="10">
        <v>5.75</v>
      </c>
      <c r="D243" s="10">
        <v>4.75</v>
      </c>
      <c r="E243" s="8">
        <v>9.5</v>
      </c>
      <c r="F243" s="8">
        <v>0</v>
      </c>
      <c r="G243" s="8">
        <v>0</v>
      </c>
      <c r="H243" s="8">
        <v>0</v>
      </c>
      <c r="I243" s="8">
        <v>1</v>
      </c>
      <c r="J243" s="8">
        <v>0</v>
      </c>
      <c r="K243" s="8">
        <v>0</v>
      </c>
      <c r="L243" s="8">
        <v>0</v>
      </c>
      <c r="M243" s="8">
        <v>0</v>
      </c>
      <c r="N243" s="8">
        <v>1</v>
      </c>
      <c r="O243" s="8"/>
      <c r="P243" s="8">
        <v>0</v>
      </c>
      <c r="Q243" s="8">
        <v>0</v>
      </c>
      <c r="R243" s="8"/>
      <c r="S243" s="317" t="s">
        <v>602</v>
      </c>
      <c r="T243" s="8">
        <v>0</v>
      </c>
      <c r="U243">
        <v>0</v>
      </c>
      <c r="W243">
        <v>0</v>
      </c>
    </row>
    <row r="244" spans="2:24" x14ac:dyDescent="0.3">
      <c r="B244" s="8" t="s">
        <v>333</v>
      </c>
      <c r="C244" s="10">
        <v>7</v>
      </c>
      <c r="D244" s="10">
        <v>9.5</v>
      </c>
      <c r="E244" s="8">
        <v>9.5</v>
      </c>
      <c r="F244" s="8">
        <v>1</v>
      </c>
      <c r="G244" s="8">
        <v>0</v>
      </c>
      <c r="H244" s="8">
        <v>0</v>
      </c>
      <c r="I244" s="8">
        <v>0</v>
      </c>
      <c r="J244" s="8">
        <v>0</v>
      </c>
      <c r="K244" s="8">
        <v>0</v>
      </c>
      <c r="L244" s="8">
        <v>1</v>
      </c>
      <c r="M244" s="8">
        <v>0</v>
      </c>
      <c r="N244" s="8">
        <v>0</v>
      </c>
      <c r="O244" s="8"/>
      <c r="P244" s="8">
        <v>0</v>
      </c>
      <c r="Q244" s="8">
        <v>1</v>
      </c>
      <c r="R244" s="8"/>
      <c r="S244" s="317" t="s">
        <v>602</v>
      </c>
      <c r="T244" s="8">
        <v>0</v>
      </c>
      <c r="U244">
        <v>0</v>
      </c>
      <c r="W244">
        <v>0</v>
      </c>
    </row>
    <row r="245" spans="2:24" x14ac:dyDescent="0.3">
      <c r="B245" s="8" t="s">
        <v>559</v>
      </c>
      <c r="C245" s="10">
        <v>5.25</v>
      </c>
      <c r="D245" s="10">
        <v>4.75</v>
      </c>
      <c r="E245" s="8">
        <v>9.5</v>
      </c>
      <c r="F245" s="8">
        <v>0</v>
      </c>
      <c r="G245" s="8">
        <v>0</v>
      </c>
      <c r="H245" s="8">
        <v>0</v>
      </c>
      <c r="I245" s="8">
        <v>0</v>
      </c>
      <c r="J245" s="8">
        <v>0</v>
      </c>
      <c r="K245" s="8">
        <v>0</v>
      </c>
      <c r="L245" s="8">
        <v>2</v>
      </c>
      <c r="M245" s="8">
        <v>0</v>
      </c>
      <c r="N245" s="8">
        <v>0</v>
      </c>
      <c r="O245" s="8"/>
      <c r="P245" s="8">
        <v>0</v>
      </c>
      <c r="Q245" s="8">
        <v>0</v>
      </c>
      <c r="R245" s="8"/>
      <c r="S245" s="317" t="s">
        <v>602</v>
      </c>
      <c r="T245" s="8">
        <v>0</v>
      </c>
      <c r="U245">
        <v>0</v>
      </c>
      <c r="W245">
        <v>0</v>
      </c>
    </row>
    <row r="246" spans="2:24" x14ac:dyDescent="0.3">
      <c r="B246" s="8" t="s">
        <v>533</v>
      </c>
      <c r="C246" s="10">
        <v>5</v>
      </c>
      <c r="D246" s="10">
        <v>4.75</v>
      </c>
      <c r="E246" s="8">
        <v>9.5</v>
      </c>
      <c r="F246" s="8">
        <v>0</v>
      </c>
      <c r="G246" s="8">
        <v>0</v>
      </c>
      <c r="H246" s="8">
        <v>0</v>
      </c>
      <c r="I246" s="8">
        <v>0</v>
      </c>
      <c r="J246" s="8">
        <v>0</v>
      </c>
      <c r="K246" s="8">
        <v>0</v>
      </c>
      <c r="L246" s="8">
        <v>1</v>
      </c>
      <c r="M246" s="8">
        <v>0</v>
      </c>
      <c r="N246" s="8">
        <v>0</v>
      </c>
      <c r="O246" s="8"/>
      <c r="P246" s="8">
        <v>0</v>
      </c>
      <c r="Q246" s="8">
        <v>0</v>
      </c>
      <c r="R246" s="8"/>
      <c r="S246" s="317" t="s">
        <v>602</v>
      </c>
      <c r="T246" s="8">
        <v>0</v>
      </c>
      <c r="U246">
        <v>0</v>
      </c>
      <c r="W246">
        <v>0</v>
      </c>
    </row>
    <row r="247" spans="2:24" x14ac:dyDescent="0.3">
      <c r="B247" s="8" t="s">
        <v>905</v>
      </c>
      <c r="C247" s="10">
        <v>6.5</v>
      </c>
      <c r="D247" s="10">
        <v>9</v>
      </c>
      <c r="E247" s="8">
        <v>9</v>
      </c>
      <c r="F247" s="8">
        <v>1</v>
      </c>
      <c r="G247" s="8">
        <v>0</v>
      </c>
      <c r="H247" s="8">
        <v>0</v>
      </c>
      <c r="I247" s="8">
        <v>0</v>
      </c>
      <c r="J247" s="8">
        <v>0</v>
      </c>
      <c r="K247" s="8">
        <v>0</v>
      </c>
      <c r="L247" s="8">
        <v>1</v>
      </c>
      <c r="M247" s="8">
        <v>0</v>
      </c>
      <c r="N247" s="8">
        <v>0</v>
      </c>
      <c r="O247" s="8"/>
      <c r="P247" s="8">
        <v>0</v>
      </c>
      <c r="Q247" s="8">
        <v>1</v>
      </c>
      <c r="R247" s="8"/>
      <c r="S247" s="317" t="s">
        <v>602</v>
      </c>
      <c r="T247" s="8">
        <v>0</v>
      </c>
      <c r="U247">
        <v>0</v>
      </c>
      <c r="W247">
        <v>0</v>
      </c>
    </row>
    <row r="248" spans="2:24" x14ac:dyDescent="0.3">
      <c r="B248" s="8" t="s">
        <v>296</v>
      </c>
      <c r="C248" s="10">
        <v>6</v>
      </c>
      <c r="D248" s="10">
        <v>4.25</v>
      </c>
      <c r="E248" s="8">
        <v>8.5</v>
      </c>
      <c r="F248" s="8">
        <v>0</v>
      </c>
      <c r="G248" s="8">
        <v>3</v>
      </c>
      <c r="H248" s="8">
        <v>0</v>
      </c>
      <c r="I248" s="8">
        <v>0</v>
      </c>
      <c r="J248" s="8">
        <v>0</v>
      </c>
      <c r="K248" s="8">
        <v>0</v>
      </c>
      <c r="L248" s="8">
        <v>1</v>
      </c>
      <c r="M248" s="8">
        <v>0</v>
      </c>
      <c r="N248" s="8">
        <v>0</v>
      </c>
      <c r="O248" s="8"/>
      <c r="P248" s="8">
        <v>0</v>
      </c>
      <c r="Q248" s="8">
        <v>0</v>
      </c>
      <c r="R248" s="8"/>
      <c r="S248" s="317" t="s">
        <v>602</v>
      </c>
      <c r="T248" s="8">
        <v>0</v>
      </c>
      <c r="U248">
        <v>0</v>
      </c>
      <c r="W248">
        <v>0</v>
      </c>
    </row>
    <row r="249" spans="2:24" x14ac:dyDescent="0.3">
      <c r="B249" s="8" t="s">
        <v>861</v>
      </c>
      <c r="C249" s="10">
        <v>7</v>
      </c>
      <c r="D249" s="10">
        <v>8</v>
      </c>
      <c r="E249" s="8">
        <v>8</v>
      </c>
      <c r="F249" s="8">
        <v>0</v>
      </c>
      <c r="G249" s="8">
        <v>0</v>
      </c>
      <c r="H249" s="8">
        <v>0</v>
      </c>
      <c r="I249" s="8">
        <v>0</v>
      </c>
      <c r="J249" s="8">
        <v>0</v>
      </c>
      <c r="K249" s="8">
        <v>0</v>
      </c>
      <c r="L249" s="8">
        <v>0</v>
      </c>
      <c r="M249" s="8">
        <v>0</v>
      </c>
      <c r="N249" s="8">
        <v>1</v>
      </c>
      <c r="O249" s="8"/>
      <c r="P249" s="8">
        <v>0</v>
      </c>
      <c r="Q249" s="8">
        <v>0</v>
      </c>
      <c r="R249" s="8"/>
      <c r="S249" s="317" t="s">
        <v>602</v>
      </c>
      <c r="T249" s="8">
        <v>0</v>
      </c>
      <c r="U249">
        <v>0</v>
      </c>
      <c r="W249">
        <v>0</v>
      </c>
    </row>
    <row r="250" spans="2:24" x14ac:dyDescent="0.3">
      <c r="B250" s="8" t="s">
        <v>706</v>
      </c>
      <c r="C250" s="10">
        <v>6</v>
      </c>
      <c r="D250" s="10">
        <v>4</v>
      </c>
      <c r="E250" s="8">
        <v>8</v>
      </c>
      <c r="F250" s="8">
        <v>0</v>
      </c>
      <c r="G250" s="8">
        <v>4</v>
      </c>
      <c r="H250" s="8">
        <v>0</v>
      </c>
      <c r="I250" s="8">
        <v>0</v>
      </c>
      <c r="J250" s="8">
        <v>0</v>
      </c>
      <c r="K250" s="8">
        <v>0</v>
      </c>
      <c r="L250" s="8">
        <v>0</v>
      </c>
      <c r="M250" s="8">
        <v>0</v>
      </c>
      <c r="N250" s="8">
        <v>0</v>
      </c>
      <c r="O250" s="8"/>
      <c r="P250" s="8">
        <v>0</v>
      </c>
      <c r="Q250" s="8">
        <v>0</v>
      </c>
      <c r="R250" s="8">
        <v>1</v>
      </c>
      <c r="S250" s="317">
        <v>4</v>
      </c>
      <c r="T250" s="8">
        <v>4</v>
      </c>
      <c r="U250">
        <v>0</v>
      </c>
      <c r="W250">
        <v>0</v>
      </c>
    </row>
    <row r="251" spans="2:24" x14ac:dyDescent="0.3">
      <c r="B251" s="8" t="s">
        <v>780</v>
      </c>
      <c r="C251" s="10">
        <v>6</v>
      </c>
      <c r="D251" s="10">
        <v>4</v>
      </c>
      <c r="E251" s="8">
        <v>8</v>
      </c>
      <c r="F251" s="8">
        <v>0</v>
      </c>
      <c r="G251" s="8">
        <v>4</v>
      </c>
      <c r="H251" s="8">
        <v>0</v>
      </c>
      <c r="I251" s="8">
        <v>0</v>
      </c>
      <c r="J251" s="8">
        <v>0</v>
      </c>
      <c r="K251" s="8">
        <v>0</v>
      </c>
      <c r="L251" s="8">
        <v>0</v>
      </c>
      <c r="M251" s="8">
        <v>0</v>
      </c>
      <c r="N251" s="8">
        <v>0</v>
      </c>
      <c r="O251" s="8"/>
      <c r="P251" s="8">
        <v>0</v>
      </c>
      <c r="Q251" s="8">
        <v>0</v>
      </c>
      <c r="R251" s="8"/>
      <c r="S251" s="317" t="s">
        <v>602</v>
      </c>
      <c r="T251" s="8">
        <v>0</v>
      </c>
      <c r="U251">
        <v>5</v>
      </c>
      <c r="V251">
        <v>1</v>
      </c>
      <c r="W251">
        <v>5</v>
      </c>
      <c r="X251">
        <v>1</v>
      </c>
    </row>
    <row r="252" spans="2:24" x14ac:dyDescent="0.3">
      <c r="B252" s="8" t="s">
        <v>690</v>
      </c>
      <c r="C252" s="10">
        <v>7</v>
      </c>
      <c r="D252" s="10">
        <v>8</v>
      </c>
      <c r="E252" s="8">
        <v>8</v>
      </c>
      <c r="F252" s="8">
        <v>0</v>
      </c>
      <c r="G252" s="8">
        <v>0</v>
      </c>
      <c r="H252" s="8">
        <v>0</v>
      </c>
      <c r="I252" s="8">
        <v>0</v>
      </c>
      <c r="J252" s="8">
        <v>0</v>
      </c>
      <c r="K252" s="8">
        <v>0</v>
      </c>
      <c r="L252" s="8">
        <v>0</v>
      </c>
      <c r="M252" s="8">
        <v>0</v>
      </c>
      <c r="N252" s="8">
        <v>1</v>
      </c>
      <c r="O252" s="8"/>
      <c r="P252" s="8">
        <v>0</v>
      </c>
      <c r="Q252" s="8">
        <v>0</v>
      </c>
      <c r="R252" s="8">
        <v>1</v>
      </c>
      <c r="S252" s="317">
        <v>8</v>
      </c>
      <c r="T252" s="8">
        <v>8</v>
      </c>
      <c r="U252">
        <v>8</v>
      </c>
      <c r="V252">
        <v>1</v>
      </c>
      <c r="W252">
        <v>8</v>
      </c>
      <c r="X252">
        <v>1</v>
      </c>
    </row>
    <row r="253" spans="2:24" x14ac:dyDescent="0.3">
      <c r="B253" s="8" t="s">
        <v>1046</v>
      </c>
      <c r="C253" s="10">
        <v>5.5</v>
      </c>
      <c r="D253" s="10">
        <v>4</v>
      </c>
      <c r="E253" s="8">
        <v>8</v>
      </c>
      <c r="F253" s="8">
        <v>0</v>
      </c>
      <c r="G253" s="8">
        <v>3</v>
      </c>
      <c r="H253" s="8">
        <v>0</v>
      </c>
      <c r="I253" s="8">
        <v>0</v>
      </c>
      <c r="J253" s="8">
        <v>0</v>
      </c>
      <c r="K253" s="8">
        <v>0</v>
      </c>
      <c r="L253" s="8">
        <v>0</v>
      </c>
      <c r="M253" s="8">
        <v>0</v>
      </c>
      <c r="N253" s="8">
        <v>0</v>
      </c>
      <c r="O253" s="8"/>
      <c r="P253" s="8">
        <v>0</v>
      </c>
      <c r="Q253" s="8">
        <v>0</v>
      </c>
      <c r="R253" s="8"/>
      <c r="S253" s="317" t="s">
        <v>602</v>
      </c>
      <c r="T253" s="8">
        <v>0</v>
      </c>
      <c r="U253">
        <v>0</v>
      </c>
      <c r="W253">
        <v>0</v>
      </c>
    </row>
    <row r="254" spans="2:24" x14ac:dyDescent="0.3">
      <c r="B254" s="8" t="s">
        <v>799</v>
      </c>
      <c r="C254" s="10">
        <v>6.5</v>
      </c>
      <c r="D254" s="10">
        <v>7.5</v>
      </c>
      <c r="E254" s="8">
        <v>7.5</v>
      </c>
      <c r="F254" s="8">
        <v>0</v>
      </c>
      <c r="G254" s="8">
        <v>0</v>
      </c>
      <c r="H254" s="8">
        <v>0</v>
      </c>
      <c r="I254" s="8">
        <v>0</v>
      </c>
      <c r="J254" s="8">
        <v>0</v>
      </c>
      <c r="K254" s="8">
        <v>0</v>
      </c>
      <c r="L254" s="8">
        <v>0</v>
      </c>
      <c r="M254" s="8">
        <v>0</v>
      </c>
      <c r="N254" s="8">
        <v>1</v>
      </c>
      <c r="O254" s="8"/>
      <c r="P254" s="8">
        <v>0</v>
      </c>
      <c r="Q254" s="8">
        <v>0</v>
      </c>
      <c r="R254" s="8">
        <v>1</v>
      </c>
      <c r="S254" s="317">
        <v>7.5</v>
      </c>
      <c r="T254" s="8">
        <v>7.5</v>
      </c>
      <c r="U254">
        <v>7.5</v>
      </c>
      <c r="V254">
        <v>1</v>
      </c>
      <c r="W254">
        <v>7.5</v>
      </c>
      <c r="X254">
        <v>1</v>
      </c>
    </row>
    <row r="255" spans="2:24" x14ac:dyDescent="0.3">
      <c r="B255" s="8" t="s">
        <v>921</v>
      </c>
      <c r="C255" s="10">
        <v>6.5</v>
      </c>
      <c r="D255" s="10">
        <v>7.5</v>
      </c>
      <c r="E255" s="8">
        <v>7.5</v>
      </c>
      <c r="F255" s="8">
        <v>0</v>
      </c>
      <c r="G255" s="8">
        <v>0</v>
      </c>
      <c r="H255" s="8">
        <v>0</v>
      </c>
      <c r="I255" s="8">
        <v>0</v>
      </c>
      <c r="J255" s="8">
        <v>0</v>
      </c>
      <c r="K255" s="8">
        <v>0</v>
      </c>
      <c r="L255" s="8">
        <v>0</v>
      </c>
      <c r="M255" s="8">
        <v>0</v>
      </c>
      <c r="N255" s="8">
        <v>1</v>
      </c>
      <c r="O255" s="8"/>
      <c r="P255" s="8">
        <v>0</v>
      </c>
      <c r="Q255" s="8">
        <v>0</v>
      </c>
      <c r="R255" s="8"/>
      <c r="S255" s="317" t="s">
        <v>602</v>
      </c>
      <c r="T255" s="8">
        <v>0</v>
      </c>
      <c r="U255">
        <v>0</v>
      </c>
      <c r="W255">
        <v>0</v>
      </c>
    </row>
    <row r="256" spans="2:24" x14ac:dyDescent="0.3">
      <c r="B256" s="8" t="s">
        <v>710</v>
      </c>
      <c r="C256" s="10">
        <v>6.5</v>
      </c>
      <c r="D256" s="10">
        <v>7.5</v>
      </c>
      <c r="E256" s="8">
        <v>7.5</v>
      </c>
      <c r="F256" s="8">
        <v>0</v>
      </c>
      <c r="G256" s="8">
        <v>0</v>
      </c>
      <c r="H256" s="8">
        <v>0</v>
      </c>
      <c r="I256" s="8">
        <v>0</v>
      </c>
      <c r="J256" s="8">
        <v>0</v>
      </c>
      <c r="K256" s="8">
        <v>0</v>
      </c>
      <c r="L256" s="8">
        <v>0</v>
      </c>
      <c r="M256" s="8">
        <v>0</v>
      </c>
      <c r="N256" s="8">
        <v>1</v>
      </c>
      <c r="O256" s="8"/>
      <c r="P256" s="8">
        <v>0</v>
      </c>
      <c r="Q256" s="8">
        <v>0</v>
      </c>
      <c r="R256" s="8"/>
      <c r="S256" s="317" t="s">
        <v>602</v>
      </c>
      <c r="T256" s="8">
        <v>0</v>
      </c>
      <c r="U256">
        <v>0</v>
      </c>
      <c r="W256">
        <v>0</v>
      </c>
    </row>
    <row r="257" spans="2:24" x14ac:dyDescent="0.3">
      <c r="B257" s="8" t="s">
        <v>900</v>
      </c>
      <c r="C257" s="10">
        <v>7</v>
      </c>
      <c r="D257" s="10">
        <v>7</v>
      </c>
      <c r="E257" s="8">
        <v>7</v>
      </c>
      <c r="F257" s="8">
        <v>0</v>
      </c>
      <c r="G257" s="8">
        <v>0</v>
      </c>
      <c r="H257" s="8">
        <v>0</v>
      </c>
      <c r="I257" s="8">
        <v>0</v>
      </c>
      <c r="J257" s="8">
        <v>0</v>
      </c>
      <c r="K257" s="8">
        <v>0</v>
      </c>
      <c r="L257" s="8">
        <v>0</v>
      </c>
      <c r="M257" s="8">
        <v>0</v>
      </c>
      <c r="N257" s="8">
        <v>0</v>
      </c>
      <c r="O257" s="8"/>
      <c r="P257" s="8">
        <v>0</v>
      </c>
      <c r="Q257" s="8">
        <v>0</v>
      </c>
      <c r="R257" s="8">
        <v>1</v>
      </c>
      <c r="S257" s="317">
        <v>7</v>
      </c>
      <c r="T257" s="8">
        <v>7</v>
      </c>
      <c r="U257">
        <v>7</v>
      </c>
      <c r="V257">
        <v>1</v>
      </c>
      <c r="W257">
        <v>7</v>
      </c>
      <c r="X257">
        <v>1</v>
      </c>
    </row>
    <row r="258" spans="2:24" x14ac:dyDescent="0.3">
      <c r="B258" s="8" t="s">
        <v>463</v>
      </c>
      <c r="C258" s="10">
        <v>6.5</v>
      </c>
      <c r="D258" s="10">
        <v>7</v>
      </c>
      <c r="E258" s="8">
        <v>7</v>
      </c>
      <c r="F258" s="8">
        <v>0</v>
      </c>
      <c r="G258" s="8">
        <v>0</v>
      </c>
      <c r="H258" s="8">
        <v>0</v>
      </c>
      <c r="I258" s="8">
        <v>0</v>
      </c>
      <c r="J258" s="8">
        <v>0</v>
      </c>
      <c r="K258" s="8">
        <v>0</v>
      </c>
      <c r="L258" s="8">
        <v>1</v>
      </c>
      <c r="M258" s="8">
        <v>0</v>
      </c>
      <c r="N258" s="8">
        <v>1</v>
      </c>
      <c r="O258" s="8"/>
      <c r="P258" s="8">
        <v>0</v>
      </c>
      <c r="Q258" s="8">
        <v>0</v>
      </c>
      <c r="R258" s="8"/>
      <c r="S258" s="317" t="s">
        <v>602</v>
      </c>
      <c r="T258" s="8">
        <v>0</v>
      </c>
      <c r="U258">
        <v>0</v>
      </c>
      <c r="W258">
        <v>0</v>
      </c>
    </row>
    <row r="259" spans="2:24" x14ac:dyDescent="0.3">
      <c r="B259" s="8" t="s">
        <v>844</v>
      </c>
      <c r="C259" s="10">
        <v>5.5</v>
      </c>
      <c r="D259" s="10">
        <v>3.5</v>
      </c>
      <c r="E259" s="8">
        <v>7</v>
      </c>
      <c r="F259" s="8">
        <v>0</v>
      </c>
      <c r="G259" s="8">
        <v>4</v>
      </c>
      <c r="H259" s="8">
        <v>0</v>
      </c>
      <c r="I259" s="8">
        <v>0</v>
      </c>
      <c r="J259" s="8">
        <v>0</v>
      </c>
      <c r="K259" s="8">
        <v>0</v>
      </c>
      <c r="L259" s="8">
        <v>0</v>
      </c>
      <c r="M259" s="8">
        <v>0</v>
      </c>
      <c r="N259" s="8">
        <v>0</v>
      </c>
      <c r="O259" s="8"/>
      <c r="P259" s="8">
        <v>0</v>
      </c>
      <c r="Q259" s="8">
        <v>0</v>
      </c>
      <c r="R259" s="8"/>
      <c r="S259" s="317" t="s">
        <v>602</v>
      </c>
      <c r="T259" s="8">
        <v>0</v>
      </c>
      <c r="U259">
        <v>0</v>
      </c>
      <c r="W259">
        <v>0</v>
      </c>
    </row>
    <row r="260" spans="2:24" x14ac:dyDescent="0.3">
      <c r="B260" s="8" t="s">
        <v>264</v>
      </c>
      <c r="C260" s="10">
        <v>6</v>
      </c>
      <c r="D260" s="10">
        <v>7</v>
      </c>
      <c r="E260" s="8">
        <v>7</v>
      </c>
      <c r="F260" s="8">
        <v>0</v>
      </c>
      <c r="G260" s="8">
        <v>0</v>
      </c>
      <c r="H260" s="8">
        <v>0</v>
      </c>
      <c r="I260" s="8">
        <v>0</v>
      </c>
      <c r="J260" s="8">
        <v>0</v>
      </c>
      <c r="K260" s="8">
        <v>0</v>
      </c>
      <c r="L260" s="8">
        <v>0</v>
      </c>
      <c r="M260" s="8">
        <v>0</v>
      </c>
      <c r="N260" s="8">
        <v>0</v>
      </c>
      <c r="O260" s="8"/>
      <c r="P260" s="8">
        <v>1</v>
      </c>
      <c r="Q260" s="8">
        <v>0</v>
      </c>
      <c r="R260" s="8"/>
      <c r="S260" s="317" t="s">
        <v>602</v>
      </c>
      <c r="T260" s="8">
        <v>0</v>
      </c>
      <c r="U260">
        <v>0</v>
      </c>
      <c r="W260">
        <v>0</v>
      </c>
    </row>
    <row r="261" spans="2:24" x14ac:dyDescent="0.3">
      <c r="B261" s="8" t="s">
        <v>909</v>
      </c>
      <c r="C261" s="10">
        <v>5.5</v>
      </c>
      <c r="D261" s="10">
        <v>3.5</v>
      </c>
      <c r="E261" s="8">
        <v>7</v>
      </c>
      <c r="F261" s="8">
        <v>0</v>
      </c>
      <c r="G261" s="8">
        <v>4</v>
      </c>
      <c r="H261" s="8">
        <v>0</v>
      </c>
      <c r="I261" s="8">
        <v>0</v>
      </c>
      <c r="J261" s="8">
        <v>0</v>
      </c>
      <c r="K261" s="8">
        <v>0</v>
      </c>
      <c r="L261" s="8">
        <v>0</v>
      </c>
      <c r="M261" s="8">
        <v>0</v>
      </c>
      <c r="N261" s="8">
        <v>0</v>
      </c>
      <c r="O261" s="8"/>
      <c r="P261" s="8">
        <v>0</v>
      </c>
      <c r="Q261" s="8">
        <v>0</v>
      </c>
      <c r="R261" s="8"/>
      <c r="S261" s="317" t="s">
        <v>602</v>
      </c>
      <c r="T261" s="8">
        <v>0</v>
      </c>
      <c r="U261">
        <v>0</v>
      </c>
      <c r="W261">
        <v>0</v>
      </c>
    </row>
    <row r="262" spans="2:24" x14ac:dyDescent="0.3">
      <c r="B262" s="8" t="s">
        <v>748</v>
      </c>
      <c r="C262" s="10">
        <v>6</v>
      </c>
      <c r="D262" s="10">
        <v>3.5</v>
      </c>
      <c r="E262" s="8">
        <v>7</v>
      </c>
      <c r="F262" s="8">
        <v>0</v>
      </c>
      <c r="G262" s="8">
        <v>5</v>
      </c>
      <c r="H262" s="8">
        <v>0</v>
      </c>
      <c r="I262" s="8">
        <v>0</v>
      </c>
      <c r="J262" s="8">
        <v>0</v>
      </c>
      <c r="K262" s="8">
        <v>0</v>
      </c>
      <c r="L262" s="8">
        <v>0</v>
      </c>
      <c r="M262" s="8">
        <v>0</v>
      </c>
      <c r="N262" s="8">
        <v>0</v>
      </c>
      <c r="O262" s="8"/>
      <c r="P262" s="8">
        <v>0</v>
      </c>
      <c r="Q262" s="8">
        <v>0</v>
      </c>
      <c r="R262" s="8"/>
      <c r="S262" s="317" t="s">
        <v>602</v>
      </c>
      <c r="T262" s="8">
        <v>0</v>
      </c>
      <c r="U262">
        <v>0</v>
      </c>
      <c r="W262">
        <v>0</v>
      </c>
    </row>
    <row r="263" spans="2:24" x14ac:dyDescent="0.3">
      <c r="B263" s="8" t="s">
        <v>261</v>
      </c>
      <c r="C263" s="10">
        <v>6.5</v>
      </c>
      <c r="D263" s="10">
        <v>6.5</v>
      </c>
      <c r="E263" s="8">
        <v>6.5</v>
      </c>
      <c r="F263" s="8">
        <v>0</v>
      </c>
      <c r="G263" s="8">
        <v>0</v>
      </c>
      <c r="H263" s="8">
        <v>0</v>
      </c>
      <c r="I263" s="8">
        <v>0</v>
      </c>
      <c r="J263" s="8">
        <v>0</v>
      </c>
      <c r="K263" s="8">
        <v>0</v>
      </c>
      <c r="L263" s="8">
        <v>0</v>
      </c>
      <c r="M263" s="8">
        <v>0</v>
      </c>
      <c r="N263" s="8">
        <v>0</v>
      </c>
      <c r="O263" s="8"/>
      <c r="P263" s="8">
        <v>0</v>
      </c>
      <c r="Q263" s="8">
        <v>0</v>
      </c>
      <c r="R263" s="8"/>
      <c r="S263" s="317" t="s">
        <v>602</v>
      </c>
      <c r="T263" s="8">
        <v>0</v>
      </c>
      <c r="U263">
        <v>0</v>
      </c>
      <c r="W263">
        <v>0</v>
      </c>
    </row>
    <row r="264" spans="2:24" x14ac:dyDescent="0.3">
      <c r="B264" s="8" t="s">
        <v>1052</v>
      </c>
      <c r="C264" s="10">
        <v>6.5</v>
      </c>
      <c r="D264" s="10">
        <v>6.5</v>
      </c>
      <c r="E264" s="8">
        <v>6.5</v>
      </c>
      <c r="F264" s="8">
        <v>0</v>
      </c>
      <c r="G264" s="8">
        <v>0</v>
      </c>
      <c r="H264" s="8">
        <v>0</v>
      </c>
      <c r="I264" s="8">
        <v>0</v>
      </c>
      <c r="J264" s="8">
        <v>0</v>
      </c>
      <c r="K264" s="8">
        <v>0</v>
      </c>
      <c r="L264" s="8">
        <v>0</v>
      </c>
      <c r="M264" s="8">
        <v>0</v>
      </c>
      <c r="N264" s="8">
        <v>0</v>
      </c>
      <c r="O264" s="8"/>
      <c r="P264" s="8">
        <v>0</v>
      </c>
      <c r="Q264" s="8">
        <v>0</v>
      </c>
      <c r="R264" s="8"/>
      <c r="S264" s="317" t="s">
        <v>602</v>
      </c>
      <c r="T264" s="8">
        <v>0</v>
      </c>
      <c r="U264">
        <v>0</v>
      </c>
      <c r="W264">
        <v>0</v>
      </c>
    </row>
    <row r="265" spans="2:24" x14ac:dyDescent="0.3">
      <c r="B265" s="8" t="s">
        <v>451</v>
      </c>
      <c r="C265" s="10">
        <v>6.5</v>
      </c>
      <c r="D265" s="10">
        <v>6.5</v>
      </c>
      <c r="E265" s="8">
        <v>6.5</v>
      </c>
      <c r="F265" s="8">
        <v>0</v>
      </c>
      <c r="G265" s="8">
        <v>0</v>
      </c>
      <c r="H265" s="8">
        <v>0</v>
      </c>
      <c r="I265" s="8">
        <v>0</v>
      </c>
      <c r="J265" s="8">
        <v>0</v>
      </c>
      <c r="K265" s="8">
        <v>0</v>
      </c>
      <c r="L265" s="8">
        <v>0</v>
      </c>
      <c r="M265" s="8">
        <v>0</v>
      </c>
      <c r="N265" s="8">
        <v>0</v>
      </c>
      <c r="O265" s="8"/>
      <c r="P265" s="8">
        <v>0</v>
      </c>
      <c r="Q265" s="8">
        <v>0</v>
      </c>
      <c r="R265" s="8">
        <v>1</v>
      </c>
      <c r="S265" s="317">
        <v>6.5</v>
      </c>
      <c r="T265" s="8">
        <v>6.5</v>
      </c>
      <c r="U265">
        <v>6.5</v>
      </c>
      <c r="V265">
        <v>1</v>
      </c>
      <c r="W265">
        <v>6.5</v>
      </c>
      <c r="X265">
        <v>1</v>
      </c>
    </row>
    <row r="266" spans="2:24" x14ac:dyDescent="0.3">
      <c r="B266" s="8" t="s">
        <v>767</v>
      </c>
      <c r="C266" s="10">
        <v>5.75</v>
      </c>
      <c r="D266" s="10">
        <v>3.25</v>
      </c>
      <c r="E266" s="8">
        <v>6.5</v>
      </c>
      <c r="F266" s="8">
        <v>0</v>
      </c>
      <c r="G266" s="8">
        <v>5</v>
      </c>
      <c r="H266" s="8">
        <v>0</v>
      </c>
      <c r="I266" s="8">
        <v>0</v>
      </c>
      <c r="J266" s="8">
        <v>0</v>
      </c>
      <c r="K266" s="8">
        <v>0</v>
      </c>
      <c r="L266" s="8">
        <v>0</v>
      </c>
      <c r="M266" s="8">
        <v>0</v>
      </c>
      <c r="N266" s="8">
        <v>0</v>
      </c>
      <c r="O266" s="8"/>
      <c r="P266" s="8">
        <v>0</v>
      </c>
      <c r="Q266" s="8">
        <v>0</v>
      </c>
      <c r="R266" s="8">
        <v>1</v>
      </c>
      <c r="S266" s="317">
        <v>4.5</v>
      </c>
      <c r="T266" s="8">
        <v>4.5</v>
      </c>
      <c r="U266">
        <v>4.5</v>
      </c>
      <c r="V266">
        <v>1</v>
      </c>
      <c r="W266">
        <v>4.5</v>
      </c>
      <c r="X266">
        <v>1</v>
      </c>
    </row>
    <row r="267" spans="2:24" x14ac:dyDescent="0.3">
      <c r="B267" s="8" t="s">
        <v>929</v>
      </c>
      <c r="C267" s="10">
        <v>6.5</v>
      </c>
      <c r="D267" s="10">
        <v>6.5</v>
      </c>
      <c r="E267" s="8">
        <v>6.5</v>
      </c>
      <c r="F267" s="8">
        <v>0</v>
      </c>
      <c r="G267" s="8">
        <v>0</v>
      </c>
      <c r="H267" s="8">
        <v>0</v>
      </c>
      <c r="I267" s="8">
        <v>0</v>
      </c>
      <c r="J267" s="8">
        <v>0</v>
      </c>
      <c r="K267" s="8">
        <v>0</v>
      </c>
      <c r="L267" s="8">
        <v>0</v>
      </c>
      <c r="M267" s="8">
        <v>0</v>
      </c>
      <c r="N267" s="8">
        <v>0</v>
      </c>
      <c r="O267" s="8"/>
      <c r="P267" s="8">
        <v>0</v>
      </c>
      <c r="Q267" s="8">
        <v>0</v>
      </c>
      <c r="R267" s="8"/>
      <c r="S267" s="317" t="s">
        <v>602</v>
      </c>
      <c r="T267" s="8">
        <v>0</v>
      </c>
      <c r="U267">
        <v>6.5</v>
      </c>
      <c r="V267">
        <v>1</v>
      </c>
      <c r="W267">
        <v>6.5</v>
      </c>
      <c r="X267">
        <v>1</v>
      </c>
    </row>
    <row r="268" spans="2:24" x14ac:dyDescent="0.3">
      <c r="B268" s="8" t="s">
        <v>522</v>
      </c>
      <c r="C268" s="10">
        <v>6</v>
      </c>
      <c r="D268" s="10">
        <v>6</v>
      </c>
      <c r="E268" s="8">
        <v>6</v>
      </c>
      <c r="F268" s="8">
        <v>0</v>
      </c>
      <c r="G268" s="8">
        <v>0</v>
      </c>
      <c r="H268" s="8">
        <v>0</v>
      </c>
      <c r="I268" s="8">
        <v>0</v>
      </c>
      <c r="J268" s="8">
        <v>0</v>
      </c>
      <c r="K268" s="8">
        <v>0</v>
      </c>
      <c r="L268" s="8">
        <v>0</v>
      </c>
      <c r="M268" s="8">
        <v>0</v>
      </c>
      <c r="N268" s="8">
        <v>0</v>
      </c>
      <c r="O268" s="8"/>
      <c r="P268" s="8">
        <v>0</v>
      </c>
      <c r="Q268" s="8">
        <v>0</v>
      </c>
      <c r="R268" s="8"/>
      <c r="S268" s="317" t="s">
        <v>602</v>
      </c>
      <c r="T268" s="8">
        <v>0</v>
      </c>
      <c r="U268">
        <v>0</v>
      </c>
      <c r="W268">
        <v>0</v>
      </c>
    </row>
    <row r="269" spans="2:24" x14ac:dyDescent="0.3">
      <c r="B269" s="8" t="s">
        <v>699</v>
      </c>
      <c r="C269" s="10">
        <v>6</v>
      </c>
      <c r="D269" s="10">
        <v>6</v>
      </c>
      <c r="E269" s="8">
        <v>6</v>
      </c>
      <c r="F269" s="8">
        <v>0</v>
      </c>
      <c r="G269" s="8">
        <v>0</v>
      </c>
      <c r="H269" s="8">
        <v>0</v>
      </c>
      <c r="I269" s="8">
        <v>0</v>
      </c>
      <c r="J269" s="8">
        <v>0</v>
      </c>
      <c r="K269" s="8">
        <v>0</v>
      </c>
      <c r="L269" s="8">
        <v>0</v>
      </c>
      <c r="M269" s="8">
        <v>0</v>
      </c>
      <c r="N269" s="8">
        <v>0</v>
      </c>
      <c r="O269" s="8"/>
      <c r="P269" s="8">
        <v>0</v>
      </c>
      <c r="Q269" s="8">
        <v>0</v>
      </c>
      <c r="R269" s="8"/>
      <c r="S269" s="317" t="s">
        <v>602</v>
      </c>
      <c r="T269" s="8">
        <v>0</v>
      </c>
      <c r="U269">
        <v>0</v>
      </c>
      <c r="W269">
        <v>0</v>
      </c>
    </row>
    <row r="270" spans="2:24" x14ac:dyDescent="0.3">
      <c r="B270" s="8" t="s">
        <v>917</v>
      </c>
      <c r="C270" s="10">
        <v>6</v>
      </c>
      <c r="D270" s="10">
        <v>6</v>
      </c>
      <c r="E270" s="8">
        <v>6</v>
      </c>
      <c r="F270" s="8">
        <v>0</v>
      </c>
      <c r="G270" s="8">
        <v>0</v>
      </c>
      <c r="H270" s="8">
        <v>0</v>
      </c>
      <c r="I270" s="8">
        <v>0</v>
      </c>
      <c r="J270" s="8">
        <v>0</v>
      </c>
      <c r="K270" s="8">
        <v>0</v>
      </c>
      <c r="L270" s="8">
        <v>0</v>
      </c>
      <c r="M270" s="8">
        <v>0</v>
      </c>
      <c r="N270" s="8">
        <v>0</v>
      </c>
      <c r="O270" s="8"/>
      <c r="P270" s="8">
        <v>0</v>
      </c>
      <c r="Q270" s="8">
        <v>0</v>
      </c>
      <c r="R270" s="8">
        <v>1</v>
      </c>
      <c r="S270" s="317">
        <v>6</v>
      </c>
      <c r="T270" s="8">
        <v>6</v>
      </c>
      <c r="U270">
        <v>6</v>
      </c>
      <c r="V270">
        <v>1</v>
      </c>
      <c r="W270">
        <v>6</v>
      </c>
      <c r="X270">
        <v>1</v>
      </c>
    </row>
    <row r="271" spans="2:24" x14ac:dyDescent="0.3">
      <c r="B271" s="8" t="s">
        <v>959</v>
      </c>
      <c r="C271" s="10">
        <v>6</v>
      </c>
      <c r="D271" s="10">
        <v>6</v>
      </c>
      <c r="E271" s="8">
        <v>6</v>
      </c>
      <c r="F271" s="8">
        <v>0</v>
      </c>
      <c r="G271" s="8">
        <v>0</v>
      </c>
      <c r="H271" s="8">
        <v>0</v>
      </c>
      <c r="I271" s="8">
        <v>0</v>
      </c>
      <c r="J271" s="8">
        <v>0</v>
      </c>
      <c r="K271" s="8">
        <v>0</v>
      </c>
      <c r="L271" s="8">
        <v>0</v>
      </c>
      <c r="M271" s="8">
        <v>0</v>
      </c>
      <c r="N271" s="8">
        <v>0</v>
      </c>
      <c r="O271" s="8"/>
      <c r="P271" s="8">
        <v>0</v>
      </c>
      <c r="Q271" s="8">
        <v>0</v>
      </c>
      <c r="R271" s="8">
        <v>1</v>
      </c>
      <c r="S271" s="317">
        <v>6</v>
      </c>
      <c r="T271" s="8">
        <v>6</v>
      </c>
      <c r="U271">
        <v>6</v>
      </c>
      <c r="V271">
        <v>1</v>
      </c>
      <c r="W271">
        <v>6</v>
      </c>
      <c r="X271">
        <v>1</v>
      </c>
    </row>
    <row r="272" spans="2:24" x14ac:dyDescent="0.3">
      <c r="B272" s="8" t="s">
        <v>871</v>
      </c>
      <c r="C272" s="10">
        <v>6</v>
      </c>
      <c r="D272" s="10">
        <v>6</v>
      </c>
      <c r="E272" s="8">
        <v>6</v>
      </c>
      <c r="F272" s="8">
        <v>0</v>
      </c>
      <c r="G272" s="8">
        <v>0</v>
      </c>
      <c r="H272" s="8">
        <v>0</v>
      </c>
      <c r="I272" s="8">
        <v>0</v>
      </c>
      <c r="J272" s="8">
        <v>0</v>
      </c>
      <c r="K272" s="8">
        <v>0</v>
      </c>
      <c r="L272" s="8">
        <v>0</v>
      </c>
      <c r="M272" s="8">
        <v>0</v>
      </c>
      <c r="N272" s="8">
        <v>0</v>
      </c>
      <c r="O272" s="8"/>
      <c r="P272" s="8">
        <v>0</v>
      </c>
      <c r="Q272" s="8">
        <v>0</v>
      </c>
      <c r="R272" s="8"/>
      <c r="S272" s="317" t="s">
        <v>602</v>
      </c>
      <c r="T272" s="8">
        <v>0</v>
      </c>
      <c r="U272">
        <v>0</v>
      </c>
      <c r="W272">
        <v>0</v>
      </c>
    </row>
    <row r="273" spans="2:24" x14ac:dyDescent="0.3">
      <c r="B273" s="8" t="s">
        <v>1094</v>
      </c>
      <c r="C273" s="10">
        <v>6</v>
      </c>
      <c r="D273" s="10">
        <v>6</v>
      </c>
      <c r="E273" s="8">
        <v>6</v>
      </c>
      <c r="F273" s="8">
        <v>0</v>
      </c>
      <c r="G273" s="8">
        <v>0</v>
      </c>
      <c r="H273" s="8">
        <v>0</v>
      </c>
      <c r="I273" s="8">
        <v>0</v>
      </c>
      <c r="J273" s="8">
        <v>0</v>
      </c>
      <c r="K273" s="8">
        <v>0</v>
      </c>
      <c r="L273" s="8">
        <v>0</v>
      </c>
      <c r="M273" s="8">
        <v>0</v>
      </c>
      <c r="N273" s="8">
        <v>0</v>
      </c>
      <c r="O273" s="8"/>
      <c r="P273" s="8">
        <v>0</v>
      </c>
      <c r="Q273" s="8">
        <v>0</v>
      </c>
      <c r="R273" s="8"/>
      <c r="S273" s="317" t="s">
        <v>602</v>
      </c>
      <c r="T273" s="8">
        <v>0</v>
      </c>
      <c r="U273">
        <v>0</v>
      </c>
      <c r="W273">
        <v>0</v>
      </c>
    </row>
    <row r="274" spans="2:24" x14ac:dyDescent="0.3">
      <c r="B274" s="8" t="s">
        <v>224</v>
      </c>
      <c r="C274" s="10">
        <v>6</v>
      </c>
      <c r="D274" s="10">
        <v>6</v>
      </c>
      <c r="E274" s="8">
        <v>6</v>
      </c>
      <c r="F274" s="8">
        <v>0</v>
      </c>
      <c r="G274" s="8">
        <v>0</v>
      </c>
      <c r="H274" s="8">
        <v>0</v>
      </c>
      <c r="I274" s="8">
        <v>0</v>
      </c>
      <c r="J274" s="8">
        <v>0</v>
      </c>
      <c r="K274" s="8">
        <v>0</v>
      </c>
      <c r="L274" s="8">
        <v>0</v>
      </c>
      <c r="M274" s="8">
        <v>0</v>
      </c>
      <c r="N274" s="8">
        <v>0</v>
      </c>
      <c r="O274" s="8"/>
      <c r="P274" s="8">
        <v>0</v>
      </c>
      <c r="Q274" s="8">
        <v>0</v>
      </c>
      <c r="R274" s="8"/>
      <c r="S274" s="317" t="s">
        <v>602</v>
      </c>
      <c r="T274" s="8">
        <v>0</v>
      </c>
      <c r="U274">
        <v>0</v>
      </c>
      <c r="W274">
        <v>0</v>
      </c>
    </row>
    <row r="275" spans="2:24" x14ac:dyDescent="0.3">
      <c r="B275" s="8" t="s">
        <v>972</v>
      </c>
      <c r="C275" s="10">
        <v>6</v>
      </c>
      <c r="D275" s="10">
        <v>6</v>
      </c>
      <c r="E275" s="8">
        <v>6</v>
      </c>
      <c r="F275" s="8">
        <v>0</v>
      </c>
      <c r="G275" s="8">
        <v>0</v>
      </c>
      <c r="H275" s="8">
        <v>0</v>
      </c>
      <c r="I275" s="8">
        <v>0</v>
      </c>
      <c r="J275" s="8">
        <v>0</v>
      </c>
      <c r="K275" s="8">
        <v>0</v>
      </c>
      <c r="L275" s="8">
        <v>0</v>
      </c>
      <c r="M275" s="8">
        <v>0</v>
      </c>
      <c r="N275" s="8">
        <v>0</v>
      </c>
      <c r="O275" s="8"/>
      <c r="P275" s="8">
        <v>0</v>
      </c>
      <c r="Q275" s="8">
        <v>0</v>
      </c>
      <c r="R275" s="8"/>
      <c r="S275" s="317" t="s">
        <v>602</v>
      </c>
      <c r="T275" s="8">
        <v>0</v>
      </c>
      <c r="U275">
        <v>0</v>
      </c>
      <c r="W275">
        <v>0</v>
      </c>
    </row>
    <row r="276" spans="2:24" x14ac:dyDescent="0.3">
      <c r="B276" s="8" t="s">
        <v>218</v>
      </c>
      <c r="C276" s="10">
        <v>6</v>
      </c>
      <c r="D276" s="10">
        <v>6</v>
      </c>
      <c r="E276" s="8">
        <v>6</v>
      </c>
      <c r="F276" s="8">
        <v>0</v>
      </c>
      <c r="G276" s="8">
        <v>0</v>
      </c>
      <c r="H276" s="8">
        <v>0</v>
      </c>
      <c r="I276" s="8">
        <v>0</v>
      </c>
      <c r="J276" s="8">
        <v>0</v>
      </c>
      <c r="K276" s="8">
        <v>0</v>
      </c>
      <c r="L276" s="8">
        <v>0</v>
      </c>
      <c r="M276" s="8">
        <v>0</v>
      </c>
      <c r="N276" s="8">
        <v>0</v>
      </c>
      <c r="O276" s="8"/>
      <c r="P276" s="8">
        <v>0</v>
      </c>
      <c r="Q276" s="8">
        <v>0</v>
      </c>
      <c r="R276" s="8">
        <v>1</v>
      </c>
      <c r="S276" s="317">
        <v>6</v>
      </c>
      <c r="T276" s="8">
        <v>6</v>
      </c>
      <c r="U276">
        <v>0</v>
      </c>
      <c r="W276">
        <v>0</v>
      </c>
    </row>
    <row r="277" spans="2:24" x14ac:dyDescent="0.3">
      <c r="B277" s="8" t="s">
        <v>858</v>
      </c>
      <c r="C277" s="10">
        <v>6</v>
      </c>
      <c r="D277" s="10">
        <v>6</v>
      </c>
      <c r="E277" s="8">
        <v>6</v>
      </c>
      <c r="F277" s="8">
        <v>0</v>
      </c>
      <c r="G277" s="8">
        <v>0</v>
      </c>
      <c r="H277" s="8">
        <v>0</v>
      </c>
      <c r="I277" s="8">
        <v>0</v>
      </c>
      <c r="J277" s="8">
        <v>0</v>
      </c>
      <c r="K277" s="8">
        <v>0</v>
      </c>
      <c r="L277" s="8">
        <v>0</v>
      </c>
      <c r="M277" s="8">
        <v>0</v>
      </c>
      <c r="N277" s="8">
        <v>0</v>
      </c>
      <c r="O277" s="8"/>
      <c r="P277" s="8">
        <v>0</v>
      </c>
      <c r="Q277" s="8">
        <v>0</v>
      </c>
      <c r="R277" s="8"/>
      <c r="S277" s="317" t="s">
        <v>602</v>
      </c>
      <c r="T277" s="8">
        <v>0</v>
      </c>
      <c r="U277">
        <v>0</v>
      </c>
      <c r="W277">
        <v>0</v>
      </c>
    </row>
    <row r="278" spans="2:24" x14ac:dyDescent="0.3">
      <c r="B278" s="8" t="s">
        <v>866</v>
      </c>
      <c r="C278" s="10">
        <v>6</v>
      </c>
      <c r="D278" s="10">
        <v>6</v>
      </c>
      <c r="E278" s="8">
        <v>6</v>
      </c>
      <c r="F278" s="8">
        <v>0</v>
      </c>
      <c r="G278" s="8">
        <v>0</v>
      </c>
      <c r="H278" s="8">
        <v>0</v>
      </c>
      <c r="I278" s="8">
        <v>0</v>
      </c>
      <c r="J278" s="8">
        <v>0</v>
      </c>
      <c r="K278" s="8">
        <v>0</v>
      </c>
      <c r="L278" s="8">
        <v>0</v>
      </c>
      <c r="M278" s="8">
        <v>0</v>
      </c>
      <c r="N278" s="8">
        <v>0</v>
      </c>
      <c r="O278" s="8"/>
      <c r="P278" s="8">
        <v>0</v>
      </c>
      <c r="Q278" s="8">
        <v>0</v>
      </c>
      <c r="R278" s="8"/>
      <c r="S278" s="317" t="s">
        <v>602</v>
      </c>
      <c r="T278" s="8">
        <v>0</v>
      </c>
      <c r="U278">
        <v>0</v>
      </c>
      <c r="W278">
        <v>0</v>
      </c>
    </row>
    <row r="279" spans="2:24" x14ac:dyDescent="0.3">
      <c r="B279" s="8" t="s">
        <v>441</v>
      </c>
      <c r="C279" s="10">
        <v>6</v>
      </c>
      <c r="D279" s="10">
        <v>6</v>
      </c>
      <c r="E279" s="8">
        <v>6</v>
      </c>
      <c r="F279" s="8">
        <v>0</v>
      </c>
      <c r="G279" s="8">
        <v>0</v>
      </c>
      <c r="H279" s="8">
        <v>0</v>
      </c>
      <c r="I279" s="8">
        <v>0</v>
      </c>
      <c r="J279" s="8">
        <v>0</v>
      </c>
      <c r="K279" s="8">
        <v>0</v>
      </c>
      <c r="L279" s="8">
        <v>0</v>
      </c>
      <c r="M279" s="8">
        <v>0</v>
      </c>
      <c r="N279" s="8">
        <v>0</v>
      </c>
      <c r="O279" s="8"/>
      <c r="P279" s="8">
        <v>0</v>
      </c>
      <c r="Q279" s="8">
        <v>0</v>
      </c>
      <c r="R279" s="8"/>
      <c r="S279" s="317" t="s">
        <v>602</v>
      </c>
      <c r="T279" s="8">
        <v>0</v>
      </c>
      <c r="U279">
        <v>0</v>
      </c>
      <c r="W279">
        <v>0</v>
      </c>
    </row>
    <row r="280" spans="2:24" x14ac:dyDescent="0.3">
      <c r="B280" s="8" t="s">
        <v>684</v>
      </c>
      <c r="C280" s="10">
        <v>6</v>
      </c>
      <c r="D280" s="10">
        <v>6</v>
      </c>
      <c r="E280" s="8">
        <v>6</v>
      </c>
      <c r="F280" s="8">
        <v>0</v>
      </c>
      <c r="G280" s="8">
        <v>0</v>
      </c>
      <c r="H280" s="8">
        <v>0</v>
      </c>
      <c r="I280" s="8">
        <v>0</v>
      </c>
      <c r="J280" s="8">
        <v>0</v>
      </c>
      <c r="K280" s="8">
        <v>0</v>
      </c>
      <c r="L280" s="8">
        <v>0</v>
      </c>
      <c r="M280" s="8">
        <v>0</v>
      </c>
      <c r="N280" s="8">
        <v>0</v>
      </c>
      <c r="O280" s="8"/>
      <c r="P280" s="8">
        <v>0</v>
      </c>
      <c r="Q280" s="8">
        <v>0</v>
      </c>
      <c r="R280" s="8"/>
      <c r="S280" s="317" t="s">
        <v>602</v>
      </c>
      <c r="T280" s="8">
        <v>0</v>
      </c>
      <c r="U280">
        <v>6</v>
      </c>
      <c r="V280">
        <v>1</v>
      </c>
      <c r="W280">
        <v>6</v>
      </c>
      <c r="X280">
        <v>1</v>
      </c>
    </row>
    <row r="281" spans="2:24" x14ac:dyDescent="0.3">
      <c r="B281" s="8" t="s">
        <v>638</v>
      </c>
      <c r="C281" s="10">
        <v>6</v>
      </c>
      <c r="D281" s="10">
        <v>6</v>
      </c>
      <c r="E281" s="8">
        <v>6</v>
      </c>
      <c r="F281" s="8">
        <v>0</v>
      </c>
      <c r="G281" s="8">
        <v>0</v>
      </c>
      <c r="H281" s="8">
        <v>0</v>
      </c>
      <c r="I281" s="8">
        <v>0</v>
      </c>
      <c r="J281" s="8">
        <v>0</v>
      </c>
      <c r="K281" s="8">
        <v>0</v>
      </c>
      <c r="L281" s="8">
        <v>0</v>
      </c>
      <c r="M281" s="8">
        <v>0</v>
      </c>
      <c r="N281" s="8">
        <v>0</v>
      </c>
      <c r="O281" s="8"/>
      <c r="P281" s="8">
        <v>0</v>
      </c>
      <c r="Q281" s="8">
        <v>0</v>
      </c>
      <c r="R281" s="8"/>
      <c r="S281" s="317" t="s">
        <v>602</v>
      </c>
      <c r="T281" s="8">
        <v>0</v>
      </c>
      <c r="U281">
        <v>0</v>
      </c>
      <c r="W281">
        <v>0</v>
      </c>
    </row>
    <row r="282" spans="2:24" x14ac:dyDescent="0.3">
      <c r="B282" s="8" t="s">
        <v>285</v>
      </c>
      <c r="C282" s="10">
        <v>6</v>
      </c>
      <c r="D282" s="10">
        <v>6</v>
      </c>
      <c r="E282" s="8">
        <v>6</v>
      </c>
      <c r="F282" s="8">
        <v>0</v>
      </c>
      <c r="G282" s="8">
        <v>0</v>
      </c>
      <c r="H282" s="8">
        <v>0</v>
      </c>
      <c r="I282" s="8">
        <v>0</v>
      </c>
      <c r="J282" s="8">
        <v>0</v>
      </c>
      <c r="K282" s="8">
        <v>0</v>
      </c>
      <c r="L282" s="8">
        <v>0</v>
      </c>
      <c r="M282" s="8">
        <v>0</v>
      </c>
      <c r="N282" s="8">
        <v>0</v>
      </c>
      <c r="O282" s="8"/>
      <c r="P282" s="8">
        <v>0</v>
      </c>
      <c r="Q282" s="8">
        <v>0</v>
      </c>
      <c r="R282" s="8"/>
      <c r="S282" s="317" t="s">
        <v>602</v>
      </c>
      <c r="T282" s="8">
        <v>0</v>
      </c>
      <c r="U282">
        <v>0</v>
      </c>
      <c r="W282">
        <v>0</v>
      </c>
    </row>
    <row r="283" spans="2:24" x14ac:dyDescent="0.3">
      <c r="B283" s="8" t="s">
        <v>880</v>
      </c>
      <c r="C283" s="10">
        <v>6</v>
      </c>
      <c r="D283" s="10">
        <v>6</v>
      </c>
      <c r="E283" s="8">
        <v>6</v>
      </c>
      <c r="F283" s="8">
        <v>0</v>
      </c>
      <c r="G283" s="8">
        <v>0</v>
      </c>
      <c r="H283" s="8">
        <v>0</v>
      </c>
      <c r="I283" s="8">
        <v>0</v>
      </c>
      <c r="J283" s="8">
        <v>0</v>
      </c>
      <c r="K283" s="8">
        <v>0</v>
      </c>
      <c r="L283" s="8">
        <v>0</v>
      </c>
      <c r="M283" s="8">
        <v>0</v>
      </c>
      <c r="N283" s="8">
        <v>0</v>
      </c>
      <c r="O283" s="8"/>
      <c r="P283" s="8">
        <v>0</v>
      </c>
      <c r="Q283" s="8">
        <v>0</v>
      </c>
      <c r="R283" s="8"/>
      <c r="S283" s="317" t="s">
        <v>602</v>
      </c>
      <c r="T283" s="8">
        <v>0</v>
      </c>
      <c r="U283">
        <v>0</v>
      </c>
      <c r="W283">
        <v>0</v>
      </c>
    </row>
    <row r="284" spans="2:24" x14ac:dyDescent="0.3">
      <c r="B284" s="8" t="s">
        <v>895</v>
      </c>
      <c r="C284" s="10">
        <v>6</v>
      </c>
      <c r="D284" s="10">
        <v>6</v>
      </c>
      <c r="E284" s="8">
        <v>6</v>
      </c>
      <c r="F284" s="8">
        <v>0</v>
      </c>
      <c r="G284" s="8">
        <v>0</v>
      </c>
      <c r="H284" s="8">
        <v>0</v>
      </c>
      <c r="I284" s="8">
        <v>0</v>
      </c>
      <c r="J284" s="8">
        <v>0</v>
      </c>
      <c r="K284" s="8">
        <v>0</v>
      </c>
      <c r="L284" s="8">
        <v>0</v>
      </c>
      <c r="M284" s="8">
        <v>0</v>
      </c>
      <c r="N284" s="8">
        <v>0</v>
      </c>
      <c r="O284" s="8"/>
      <c r="P284" s="8">
        <v>0</v>
      </c>
      <c r="Q284" s="8">
        <v>0</v>
      </c>
      <c r="R284" s="8"/>
      <c r="S284" s="317" t="s">
        <v>602</v>
      </c>
      <c r="T284" s="8">
        <v>0</v>
      </c>
      <c r="U284">
        <v>0</v>
      </c>
      <c r="W284">
        <v>0</v>
      </c>
    </row>
    <row r="285" spans="2:24" x14ac:dyDescent="0.3">
      <c r="B285" s="8" t="s">
        <v>923</v>
      </c>
      <c r="C285" s="10">
        <v>6</v>
      </c>
      <c r="D285" s="10">
        <v>6</v>
      </c>
      <c r="E285" s="8">
        <v>6</v>
      </c>
      <c r="F285" s="8">
        <v>0</v>
      </c>
      <c r="G285" s="8">
        <v>0</v>
      </c>
      <c r="H285" s="8">
        <v>0</v>
      </c>
      <c r="I285" s="8">
        <v>0</v>
      </c>
      <c r="J285" s="8">
        <v>0</v>
      </c>
      <c r="K285" s="8">
        <v>0</v>
      </c>
      <c r="L285" s="8">
        <v>0</v>
      </c>
      <c r="M285" s="8">
        <v>0</v>
      </c>
      <c r="N285" s="8">
        <v>0</v>
      </c>
      <c r="O285" s="8"/>
      <c r="P285" s="8">
        <v>0</v>
      </c>
      <c r="Q285" s="8">
        <v>0</v>
      </c>
      <c r="R285" s="8"/>
      <c r="S285" s="317" t="s">
        <v>602</v>
      </c>
      <c r="T285" s="8">
        <v>0</v>
      </c>
      <c r="U285">
        <v>0</v>
      </c>
      <c r="W285">
        <v>0</v>
      </c>
    </row>
    <row r="286" spans="2:24" x14ac:dyDescent="0.3">
      <c r="B286" s="8" t="s">
        <v>314</v>
      </c>
      <c r="C286" s="10">
        <v>6</v>
      </c>
      <c r="D286" s="10">
        <v>6</v>
      </c>
      <c r="E286" s="8">
        <v>6</v>
      </c>
      <c r="F286" s="8">
        <v>0</v>
      </c>
      <c r="G286" s="8">
        <v>0</v>
      </c>
      <c r="H286" s="8">
        <v>0</v>
      </c>
      <c r="I286" s="8">
        <v>0</v>
      </c>
      <c r="J286" s="8">
        <v>0</v>
      </c>
      <c r="K286" s="8">
        <v>0</v>
      </c>
      <c r="L286" s="8">
        <v>0</v>
      </c>
      <c r="M286" s="8">
        <v>0</v>
      </c>
      <c r="N286" s="8">
        <v>0</v>
      </c>
      <c r="O286" s="8"/>
      <c r="P286" s="8">
        <v>0</v>
      </c>
      <c r="Q286" s="8">
        <v>0</v>
      </c>
      <c r="R286" s="8"/>
      <c r="S286" s="317" t="s">
        <v>602</v>
      </c>
      <c r="T286" s="8">
        <v>0</v>
      </c>
      <c r="U286">
        <v>0</v>
      </c>
      <c r="W286">
        <v>0</v>
      </c>
    </row>
    <row r="287" spans="2:24" x14ac:dyDescent="0.3">
      <c r="B287" s="8" t="s">
        <v>881</v>
      </c>
      <c r="C287" s="10">
        <v>6</v>
      </c>
      <c r="D287" s="10">
        <v>6</v>
      </c>
      <c r="E287" s="8">
        <v>6</v>
      </c>
      <c r="F287" s="8">
        <v>0</v>
      </c>
      <c r="G287" s="8">
        <v>0</v>
      </c>
      <c r="H287" s="8">
        <v>0</v>
      </c>
      <c r="I287" s="8">
        <v>0</v>
      </c>
      <c r="J287" s="8">
        <v>0</v>
      </c>
      <c r="K287" s="8">
        <v>0</v>
      </c>
      <c r="L287" s="8">
        <v>0</v>
      </c>
      <c r="M287" s="8">
        <v>0</v>
      </c>
      <c r="N287" s="8">
        <v>0</v>
      </c>
      <c r="O287" s="8"/>
      <c r="P287" s="8">
        <v>0</v>
      </c>
      <c r="Q287" s="8">
        <v>0</v>
      </c>
      <c r="R287" s="8"/>
      <c r="S287" s="317" t="s">
        <v>602</v>
      </c>
      <c r="T287" s="8">
        <v>0</v>
      </c>
      <c r="U287">
        <v>0</v>
      </c>
      <c r="W287">
        <v>0</v>
      </c>
    </row>
    <row r="288" spans="2:24" x14ac:dyDescent="0.3">
      <c r="B288" s="8" t="s">
        <v>698</v>
      </c>
      <c r="C288" s="10">
        <v>6</v>
      </c>
      <c r="D288" s="10">
        <v>6</v>
      </c>
      <c r="E288" s="8">
        <v>6</v>
      </c>
      <c r="F288" s="8">
        <v>0</v>
      </c>
      <c r="G288" s="8">
        <v>0</v>
      </c>
      <c r="H288" s="8">
        <v>0</v>
      </c>
      <c r="I288" s="8">
        <v>0</v>
      </c>
      <c r="J288" s="8">
        <v>0</v>
      </c>
      <c r="K288" s="8">
        <v>0</v>
      </c>
      <c r="L288" s="8">
        <v>0</v>
      </c>
      <c r="M288" s="8">
        <v>0</v>
      </c>
      <c r="N288" s="8">
        <v>0</v>
      </c>
      <c r="O288" s="8"/>
      <c r="P288" s="8">
        <v>0</v>
      </c>
      <c r="Q288" s="8">
        <v>0</v>
      </c>
      <c r="R288" s="8">
        <v>1</v>
      </c>
      <c r="S288" s="317">
        <v>6</v>
      </c>
      <c r="T288" s="8">
        <v>6</v>
      </c>
      <c r="U288">
        <v>0</v>
      </c>
      <c r="W288">
        <v>0</v>
      </c>
    </row>
    <row r="289" spans="2:24" x14ac:dyDescent="0.3">
      <c r="B289" s="8" t="s">
        <v>740</v>
      </c>
      <c r="C289" s="10">
        <v>6</v>
      </c>
      <c r="D289" s="10">
        <v>6</v>
      </c>
      <c r="E289" s="8">
        <v>6</v>
      </c>
      <c r="F289" s="8">
        <v>0</v>
      </c>
      <c r="G289" s="8">
        <v>0</v>
      </c>
      <c r="H289" s="8">
        <v>0</v>
      </c>
      <c r="I289" s="8">
        <v>0</v>
      </c>
      <c r="J289" s="8">
        <v>0</v>
      </c>
      <c r="K289" s="8">
        <v>0</v>
      </c>
      <c r="L289" s="8">
        <v>0</v>
      </c>
      <c r="M289" s="8">
        <v>0</v>
      </c>
      <c r="N289" s="8">
        <v>0</v>
      </c>
      <c r="O289" s="8"/>
      <c r="P289" s="8">
        <v>0</v>
      </c>
      <c r="Q289" s="8">
        <v>0</v>
      </c>
      <c r="R289" s="8"/>
      <c r="S289" s="317" t="s">
        <v>602</v>
      </c>
      <c r="T289" s="8">
        <v>0</v>
      </c>
      <c r="U289">
        <v>0</v>
      </c>
      <c r="W289">
        <v>0</v>
      </c>
    </row>
    <row r="290" spans="2:24" x14ac:dyDescent="0.3">
      <c r="B290" s="8" t="s">
        <v>214</v>
      </c>
      <c r="C290" s="10">
        <v>6</v>
      </c>
      <c r="D290" s="10">
        <v>6</v>
      </c>
      <c r="E290" s="8">
        <v>6</v>
      </c>
      <c r="F290" s="8">
        <v>0</v>
      </c>
      <c r="G290" s="8">
        <v>0</v>
      </c>
      <c r="H290" s="8">
        <v>0</v>
      </c>
      <c r="I290" s="8">
        <v>0</v>
      </c>
      <c r="J290" s="8">
        <v>0</v>
      </c>
      <c r="K290" s="8">
        <v>0</v>
      </c>
      <c r="L290" s="8">
        <v>0</v>
      </c>
      <c r="M290" s="8">
        <v>0</v>
      </c>
      <c r="N290" s="8">
        <v>0</v>
      </c>
      <c r="O290" s="8"/>
      <c r="P290" s="8">
        <v>0</v>
      </c>
      <c r="Q290" s="8">
        <v>0</v>
      </c>
      <c r="R290" s="8"/>
      <c r="S290" s="317" t="s">
        <v>602</v>
      </c>
      <c r="T290" s="8">
        <v>0</v>
      </c>
      <c r="U290">
        <v>0</v>
      </c>
      <c r="W290">
        <v>0</v>
      </c>
    </row>
    <row r="291" spans="2:24" x14ac:dyDescent="0.3">
      <c r="B291" s="8" t="s">
        <v>1057</v>
      </c>
      <c r="C291" s="10">
        <v>6</v>
      </c>
      <c r="D291" s="10">
        <v>6</v>
      </c>
      <c r="E291" s="8">
        <v>6</v>
      </c>
      <c r="F291" s="8">
        <v>0</v>
      </c>
      <c r="G291" s="8">
        <v>0</v>
      </c>
      <c r="H291" s="8">
        <v>0</v>
      </c>
      <c r="I291" s="8">
        <v>0</v>
      </c>
      <c r="J291" s="8">
        <v>0</v>
      </c>
      <c r="K291" s="8">
        <v>0</v>
      </c>
      <c r="L291" s="8">
        <v>0</v>
      </c>
      <c r="M291" s="8">
        <v>0</v>
      </c>
      <c r="N291" s="8">
        <v>0</v>
      </c>
      <c r="O291" s="8"/>
      <c r="P291" s="8">
        <v>0</v>
      </c>
      <c r="Q291" s="8">
        <v>0</v>
      </c>
      <c r="R291" s="8"/>
      <c r="S291" s="317" t="s">
        <v>602</v>
      </c>
      <c r="T291" s="8">
        <v>0</v>
      </c>
      <c r="U291">
        <v>0</v>
      </c>
      <c r="W291">
        <v>0</v>
      </c>
    </row>
    <row r="292" spans="2:24" x14ac:dyDescent="0.3">
      <c r="B292" s="8" t="s">
        <v>354</v>
      </c>
      <c r="C292" s="10">
        <v>6</v>
      </c>
      <c r="D292" s="10">
        <v>6</v>
      </c>
      <c r="E292" s="8">
        <v>6</v>
      </c>
      <c r="F292" s="8">
        <v>0</v>
      </c>
      <c r="G292" s="8">
        <v>0</v>
      </c>
      <c r="H292" s="8">
        <v>0</v>
      </c>
      <c r="I292" s="8">
        <v>0</v>
      </c>
      <c r="J292" s="8">
        <v>0</v>
      </c>
      <c r="K292" s="8">
        <v>0</v>
      </c>
      <c r="L292" s="8">
        <v>0</v>
      </c>
      <c r="M292" s="8">
        <v>0</v>
      </c>
      <c r="N292" s="8">
        <v>0</v>
      </c>
      <c r="O292" s="8"/>
      <c r="P292" s="8">
        <v>0</v>
      </c>
      <c r="Q292" s="8">
        <v>0</v>
      </c>
      <c r="R292" s="8"/>
      <c r="S292" s="317" t="s">
        <v>602</v>
      </c>
      <c r="T292" s="8">
        <v>0</v>
      </c>
      <c r="U292">
        <v>0</v>
      </c>
      <c r="W292">
        <v>0</v>
      </c>
    </row>
    <row r="293" spans="2:24" x14ac:dyDescent="0.3">
      <c r="B293" s="8" t="s">
        <v>735</v>
      </c>
      <c r="C293" s="10">
        <v>6</v>
      </c>
      <c r="D293" s="10">
        <v>6</v>
      </c>
      <c r="E293" s="8">
        <v>6</v>
      </c>
      <c r="F293" s="8">
        <v>0</v>
      </c>
      <c r="G293" s="8">
        <v>0</v>
      </c>
      <c r="H293" s="8">
        <v>0</v>
      </c>
      <c r="I293" s="8">
        <v>0</v>
      </c>
      <c r="J293" s="8">
        <v>0</v>
      </c>
      <c r="K293" s="8">
        <v>0</v>
      </c>
      <c r="L293" s="8">
        <v>0</v>
      </c>
      <c r="M293" s="8">
        <v>0</v>
      </c>
      <c r="N293" s="8">
        <v>0</v>
      </c>
      <c r="O293" s="8"/>
      <c r="P293" s="8">
        <v>0</v>
      </c>
      <c r="Q293" s="8">
        <v>0</v>
      </c>
      <c r="R293" s="8"/>
      <c r="S293" s="317" t="s">
        <v>602</v>
      </c>
      <c r="T293" s="8">
        <v>0</v>
      </c>
      <c r="U293">
        <v>0</v>
      </c>
      <c r="W293">
        <v>0</v>
      </c>
    </row>
    <row r="294" spans="2:24" x14ac:dyDescent="0.3">
      <c r="B294" s="8" t="s">
        <v>575</v>
      </c>
      <c r="C294" s="10">
        <v>6.5</v>
      </c>
      <c r="D294" s="10">
        <v>3</v>
      </c>
      <c r="E294" s="8">
        <v>6</v>
      </c>
      <c r="F294" s="8">
        <v>0</v>
      </c>
      <c r="G294" s="8">
        <v>7</v>
      </c>
      <c r="H294" s="8">
        <v>0</v>
      </c>
      <c r="I294" s="8">
        <v>0</v>
      </c>
      <c r="J294" s="8">
        <v>0</v>
      </c>
      <c r="K294" s="8">
        <v>0</v>
      </c>
      <c r="L294" s="8">
        <v>0</v>
      </c>
      <c r="M294" s="8">
        <v>0</v>
      </c>
      <c r="N294" s="8">
        <v>0</v>
      </c>
      <c r="O294" s="8"/>
      <c r="P294" s="8">
        <v>0</v>
      </c>
      <c r="Q294" s="8">
        <v>0</v>
      </c>
      <c r="R294" s="8">
        <v>1</v>
      </c>
      <c r="S294" s="317">
        <v>4</v>
      </c>
      <c r="T294" s="8">
        <v>4</v>
      </c>
      <c r="U294">
        <v>4</v>
      </c>
      <c r="V294">
        <v>1</v>
      </c>
      <c r="W294">
        <v>4</v>
      </c>
      <c r="X294">
        <v>1</v>
      </c>
    </row>
    <row r="295" spans="2:24" x14ac:dyDescent="0.3">
      <c r="B295" s="8" t="s">
        <v>1087</v>
      </c>
      <c r="C295" s="10">
        <v>6</v>
      </c>
      <c r="D295" s="10">
        <v>6</v>
      </c>
      <c r="E295" s="8">
        <v>6</v>
      </c>
      <c r="F295" s="8">
        <v>0</v>
      </c>
      <c r="G295" s="8">
        <v>0</v>
      </c>
      <c r="H295" s="8">
        <v>0</v>
      </c>
      <c r="I295" s="8">
        <v>0</v>
      </c>
      <c r="J295" s="8">
        <v>0</v>
      </c>
      <c r="K295" s="8">
        <v>0</v>
      </c>
      <c r="L295" s="8">
        <v>0</v>
      </c>
      <c r="M295" s="8">
        <v>0</v>
      </c>
      <c r="N295" s="8">
        <v>0</v>
      </c>
      <c r="O295" s="8"/>
      <c r="P295" s="8">
        <v>0</v>
      </c>
      <c r="Q295" s="8">
        <v>0</v>
      </c>
      <c r="R295" s="8"/>
      <c r="S295" s="317" t="s">
        <v>602</v>
      </c>
      <c r="T295" s="8">
        <v>0</v>
      </c>
      <c r="U295">
        <v>0</v>
      </c>
      <c r="W295">
        <v>0</v>
      </c>
    </row>
    <row r="296" spans="2:24" x14ac:dyDescent="0.3">
      <c r="B296" s="8" t="s">
        <v>667</v>
      </c>
      <c r="C296" s="10">
        <v>6</v>
      </c>
      <c r="D296" s="10">
        <v>6</v>
      </c>
      <c r="E296" s="8">
        <v>6</v>
      </c>
      <c r="F296" s="8">
        <v>0</v>
      </c>
      <c r="G296" s="8">
        <v>0</v>
      </c>
      <c r="H296" s="8">
        <v>0</v>
      </c>
      <c r="I296" s="8">
        <v>0</v>
      </c>
      <c r="J296" s="8">
        <v>0</v>
      </c>
      <c r="K296" s="8">
        <v>0</v>
      </c>
      <c r="L296" s="8">
        <v>0</v>
      </c>
      <c r="M296" s="8">
        <v>0</v>
      </c>
      <c r="N296" s="8">
        <v>0</v>
      </c>
      <c r="O296" s="8"/>
      <c r="P296" s="8">
        <v>0</v>
      </c>
      <c r="Q296" s="8">
        <v>0</v>
      </c>
      <c r="R296" s="8"/>
      <c r="S296" s="317" t="s">
        <v>602</v>
      </c>
      <c r="T296" s="8">
        <v>0</v>
      </c>
      <c r="U296">
        <v>6</v>
      </c>
      <c r="V296">
        <v>1</v>
      </c>
      <c r="W296">
        <v>6</v>
      </c>
      <c r="X296">
        <v>1</v>
      </c>
    </row>
    <row r="297" spans="2:24" x14ac:dyDescent="0.3">
      <c r="B297" s="8" t="s">
        <v>1059</v>
      </c>
      <c r="C297" s="10">
        <v>6</v>
      </c>
      <c r="D297" s="10">
        <v>6</v>
      </c>
      <c r="E297" s="8">
        <v>6</v>
      </c>
      <c r="F297" s="8">
        <v>0</v>
      </c>
      <c r="G297" s="8">
        <v>0</v>
      </c>
      <c r="H297" s="8">
        <v>0</v>
      </c>
      <c r="I297" s="8">
        <v>0</v>
      </c>
      <c r="J297" s="8">
        <v>0</v>
      </c>
      <c r="K297" s="8">
        <v>0</v>
      </c>
      <c r="L297" s="8">
        <v>0</v>
      </c>
      <c r="M297" s="8">
        <v>0</v>
      </c>
      <c r="N297" s="8">
        <v>0</v>
      </c>
      <c r="O297" s="8"/>
      <c r="P297" s="8">
        <v>0</v>
      </c>
      <c r="Q297" s="8">
        <v>0</v>
      </c>
      <c r="R297" s="8"/>
      <c r="S297" s="317" t="s">
        <v>602</v>
      </c>
      <c r="T297" s="8">
        <v>0</v>
      </c>
      <c r="U297">
        <v>0</v>
      </c>
      <c r="W297">
        <v>0</v>
      </c>
    </row>
    <row r="298" spans="2:24" x14ac:dyDescent="0.3">
      <c r="B298" s="8" t="s">
        <v>610</v>
      </c>
      <c r="C298" s="10">
        <v>6</v>
      </c>
      <c r="D298" s="10">
        <v>6</v>
      </c>
      <c r="E298" s="8">
        <v>6</v>
      </c>
      <c r="F298" s="8">
        <v>0</v>
      </c>
      <c r="G298" s="8">
        <v>0</v>
      </c>
      <c r="H298" s="8">
        <v>0</v>
      </c>
      <c r="I298" s="8">
        <v>0</v>
      </c>
      <c r="J298" s="8">
        <v>0</v>
      </c>
      <c r="K298" s="8">
        <v>0</v>
      </c>
      <c r="L298" s="8">
        <v>0</v>
      </c>
      <c r="M298" s="8">
        <v>0</v>
      </c>
      <c r="N298" s="8">
        <v>0</v>
      </c>
      <c r="O298" s="8"/>
      <c r="P298" s="8">
        <v>0</v>
      </c>
      <c r="Q298" s="8">
        <v>0</v>
      </c>
      <c r="R298" s="8"/>
      <c r="S298" s="317" t="s">
        <v>602</v>
      </c>
      <c r="T298" s="8">
        <v>0</v>
      </c>
      <c r="U298">
        <v>0</v>
      </c>
      <c r="W298">
        <v>0</v>
      </c>
    </row>
    <row r="299" spans="2:24" x14ac:dyDescent="0.3">
      <c r="B299" s="8" t="s">
        <v>1086</v>
      </c>
      <c r="C299" s="10">
        <v>6</v>
      </c>
      <c r="D299" s="10">
        <v>6</v>
      </c>
      <c r="E299" s="8">
        <v>6</v>
      </c>
      <c r="F299" s="8">
        <v>0</v>
      </c>
      <c r="G299" s="8">
        <v>0</v>
      </c>
      <c r="H299" s="8">
        <v>0</v>
      </c>
      <c r="I299" s="8">
        <v>0</v>
      </c>
      <c r="J299" s="8">
        <v>0</v>
      </c>
      <c r="K299" s="8">
        <v>0</v>
      </c>
      <c r="L299" s="8">
        <v>0</v>
      </c>
      <c r="M299" s="8">
        <v>0</v>
      </c>
      <c r="N299" s="8">
        <v>0</v>
      </c>
      <c r="O299" s="8"/>
      <c r="P299" s="8">
        <v>0</v>
      </c>
      <c r="Q299" s="8">
        <v>0</v>
      </c>
      <c r="R299" s="8"/>
      <c r="S299" s="317" t="s">
        <v>602</v>
      </c>
      <c r="T299" s="8">
        <v>0</v>
      </c>
      <c r="U299">
        <v>0</v>
      </c>
      <c r="W299">
        <v>0</v>
      </c>
    </row>
    <row r="300" spans="2:24" x14ac:dyDescent="0.3">
      <c r="B300" s="8" t="s">
        <v>687</v>
      </c>
      <c r="C300" s="10">
        <v>6</v>
      </c>
      <c r="D300" s="10">
        <v>6</v>
      </c>
      <c r="E300" s="8">
        <v>6</v>
      </c>
      <c r="F300" s="8">
        <v>0</v>
      </c>
      <c r="G300" s="8">
        <v>0</v>
      </c>
      <c r="H300" s="8">
        <v>0</v>
      </c>
      <c r="I300" s="8">
        <v>0</v>
      </c>
      <c r="J300" s="8">
        <v>0</v>
      </c>
      <c r="K300" s="8">
        <v>0</v>
      </c>
      <c r="L300" s="8">
        <v>0</v>
      </c>
      <c r="M300" s="8">
        <v>0</v>
      </c>
      <c r="N300" s="8">
        <v>0</v>
      </c>
      <c r="O300" s="8"/>
      <c r="P300" s="8">
        <v>0</v>
      </c>
      <c r="Q300" s="8">
        <v>0</v>
      </c>
      <c r="R300" s="8"/>
      <c r="S300" s="317" t="s">
        <v>602</v>
      </c>
      <c r="T300" s="8">
        <v>0</v>
      </c>
      <c r="U300">
        <v>0</v>
      </c>
      <c r="W300">
        <v>0</v>
      </c>
    </row>
    <row r="301" spans="2:24" x14ac:dyDescent="0.3">
      <c r="B301" s="8" t="s">
        <v>1092</v>
      </c>
      <c r="C301" s="10">
        <v>6</v>
      </c>
      <c r="D301" s="10">
        <v>6</v>
      </c>
      <c r="E301" s="8">
        <v>6</v>
      </c>
      <c r="F301" s="8">
        <v>0</v>
      </c>
      <c r="G301" s="8">
        <v>0</v>
      </c>
      <c r="H301" s="8">
        <v>0</v>
      </c>
      <c r="I301" s="8">
        <v>0</v>
      </c>
      <c r="J301" s="8">
        <v>0</v>
      </c>
      <c r="K301" s="8">
        <v>0</v>
      </c>
      <c r="L301" s="8">
        <v>0</v>
      </c>
      <c r="M301" s="8">
        <v>0</v>
      </c>
      <c r="N301" s="8">
        <v>0</v>
      </c>
      <c r="O301" s="8"/>
      <c r="P301" s="8">
        <v>0</v>
      </c>
      <c r="Q301" s="8">
        <v>0</v>
      </c>
      <c r="R301" s="8"/>
      <c r="S301" s="317" t="s">
        <v>602</v>
      </c>
      <c r="T301" s="8">
        <v>0</v>
      </c>
      <c r="U301">
        <v>0</v>
      </c>
      <c r="W301">
        <v>0</v>
      </c>
    </row>
    <row r="302" spans="2:24" x14ac:dyDescent="0.3">
      <c r="B302" s="8" t="s">
        <v>718</v>
      </c>
      <c r="C302" s="10">
        <v>6</v>
      </c>
      <c r="D302" s="10">
        <v>6</v>
      </c>
      <c r="E302" s="8">
        <v>6</v>
      </c>
      <c r="F302" s="8">
        <v>0</v>
      </c>
      <c r="G302" s="8">
        <v>0</v>
      </c>
      <c r="H302" s="8">
        <v>0</v>
      </c>
      <c r="I302" s="8">
        <v>0</v>
      </c>
      <c r="J302" s="8">
        <v>0</v>
      </c>
      <c r="K302" s="8">
        <v>0</v>
      </c>
      <c r="L302" s="8">
        <v>0</v>
      </c>
      <c r="M302" s="8">
        <v>0</v>
      </c>
      <c r="N302" s="8">
        <v>0</v>
      </c>
      <c r="O302" s="8"/>
      <c r="P302" s="8">
        <v>0</v>
      </c>
      <c r="Q302" s="8">
        <v>0</v>
      </c>
      <c r="R302" s="8"/>
      <c r="S302" s="317" t="s">
        <v>602</v>
      </c>
      <c r="T302" s="8">
        <v>0</v>
      </c>
      <c r="U302">
        <v>0</v>
      </c>
      <c r="W302">
        <v>0</v>
      </c>
    </row>
    <row r="303" spans="2:24" x14ac:dyDescent="0.3">
      <c r="B303" s="8" t="s">
        <v>349</v>
      </c>
      <c r="C303" s="10">
        <v>6</v>
      </c>
      <c r="D303" s="10">
        <v>6</v>
      </c>
      <c r="E303" s="8">
        <v>6</v>
      </c>
      <c r="F303" s="8">
        <v>0</v>
      </c>
      <c r="G303" s="8">
        <v>0</v>
      </c>
      <c r="H303" s="8">
        <v>0</v>
      </c>
      <c r="I303" s="8">
        <v>0</v>
      </c>
      <c r="J303" s="8">
        <v>0</v>
      </c>
      <c r="K303" s="8">
        <v>0</v>
      </c>
      <c r="L303" s="8">
        <v>0</v>
      </c>
      <c r="M303" s="8">
        <v>0</v>
      </c>
      <c r="N303" s="8">
        <v>0</v>
      </c>
      <c r="O303" s="8"/>
      <c r="P303" s="8">
        <v>0</v>
      </c>
      <c r="Q303" s="8">
        <v>0</v>
      </c>
      <c r="R303" s="8"/>
      <c r="S303" s="317" t="s">
        <v>602</v>
      </c>
      <c r="T303" s="8">
        <v>0</v>
      </c>
      <c r="U303">
        <v>0</v>
      </c>
      <c r="W303">
        <v>0</v>
      </c>
    </row>
    <row r="304" spans="2:24" x14ac:dyDescent="0.3">
      <c r="B304" s="8" t="s">
        <v>872</v>
      </c>
      <c r="C304" s="10">
        <v>6</v>
      </c>
      <c r="D304" s="10">
        <v>6</v>
      </c>
      <c r="E304" s="8">
        <v>6</v>
      </c>
      <c r="F304" s="8">
        <v>0</v>
      </c>
      <c r="G304" s="8">
        <v>0</v>
      </c>
      <c r="H304" s="8">
        <v>0</v>
      </c>
      <c r="I304" s="8">
        <v>0</v>
      </c>
      <c r="J304" s="8">
        <v>0</v>
      </c>
      <c r="K304" s="8">
        <v>0</v>
      </c>
      <c r="L304" s="8">
        <v>0</v>
      </c>
      <c r="M304" s="8">
        <v>0</v>
      </c>
      <c r="N304" s="8">
        <v>0</v>
      </c>
      <c r="O304" s="8"/>
      <c r="P304" s="8">
        <v>0</v>
      </c>
      <c r="Q304" s="8">
        <v>0</v>
      </c>
      <c r="R304" s="8"/>
      <c r="S304" s="317" t="s">
        <v>602</v>
      </c>
      <c r="T304" s="8">
        <v>0</v>
      </c>
      <c r="U304">
        <v>0</v>
      </c>
      <c r="W304">
        <v>0</v>
      </c>
    </row>
    <row r="305" spans="2:24" x14ac:dyDescent="0.3">
      <c r="B305" s="8" t="s">
        <v>249</v>
      </c>
      <c r="C305" s="10">
        <v>5.5</v>
      </c>
      <c r="D305" s="10">
        <v>5.5</v>
      </c>
      <c r="E305" s="8">
        <v>5.5</v>
      </c>
      <c r="F305" s="8">
        <v>0</v>
      </c>
      <c r="G305" s="8">
        <v>0</v>
      </c>
      <c r="H305" s="8">
        <v>0</v>
      </c>
      <c r="I305" s="8">
        <v>0</v>
      </c>
      <c r="J305" s="8">
        <v>0</v>
      </c>
      <c r="K305" s="8">
        <v>0</v>
      </c>
      <c r="L305" s="8">
        <v>0</v>
      </c>
      <c r="M305" s="8">
        <v>0</v>
      </c>
      <c r="N305" s="8">
        <v>0</v>
      </c>
      <c r="O305" s="8"/>
      <c r="P305" s="8">
        <v>0</v>
      </c>
      <c r="Q305" s="8">
        <v>0</v>
      </c>
      <c r="R305" s="8"/>
      <c r="S305" s="317" t="s">
        <v>602</v>
      </c>
      <c r="T305" s="8">
        <v>0</v>
      </c>
      <c r="U305">
        <v>5.5</v>
      </c>
      <c r="V305">
        <v>1</v>
      </c>
      <c r="W305">
        <v>5.5</v>
      </c>
      <c r="X305">
        <v>1</v>
      </c>
    </row>
    <row r="306" spans="2:24" x14ac:dyDescent="0.3">
      <c r="B306" s="318" t="s">
        <v>1013</v>
      </c>
      <c r="C306" s="10">
        <v>5.5</v>
      </c>
      <c r="D306" s="10">
        <v>5.5</v>
      </c>
      <c r="E306" s="8">
        <v>5.5</v>
      </c>
      <c r="F306" s="8">
        <v>0</v>
      </c>
      <c r="G306" s="8">
        <v>0</v>
      </c>
      <c r="H306" s="8">
        <v>0</v>
      </c>
      <c r="I306" s="8">
        <v>0</v>
      </c>
      <c r="J306" s="8">
        <v>0</v>
      </c>
      <c r="K306" s="8">
        <v>0</v>
      </c>
      <c r="L306" s="8">
        <v>0</v>
      </c>
      <c r="M306" s="8">
        <v>0</v>
      </c>
      <c r="N306" s="8">
        <v>0</v>
      </c>
      <c r="O306" s="8"/>
      <c r="P306" s="8">
        <v>0</v>
      </c>
      <c r="Q306" s="8">
        <v>0</v>
      </c>
      <c r="R306" s="8"/>
      <c r="S306" s="317" t="s">
        <v>602</v>
      </c>
      <c r="T306" s="8">
        <v>0</v>
      </c>
      <c r="U306">
        <v>0</v>
      </c>
      <c r="W306">
        <v>0</v>
      </c>
    </row>
    <row r="307" spans="2:24" x14ac:dyDescent="0.3">
      <c r="B307" s="8" t="s">
        <v>759</v>
      </c>
      <c r="C307" s="10">
        <v>5.5</v>
      </c>
      <c r="D307" s="10">
        <v>5.5</v>
      </c>
      <c r="E307" s="8">
        <v>5.5</v>
      </c>
      <c r="F307" s="8">
        <v>0</v>
      </c>
      <c r="G307" s="8">
        <v>0</v>
      </c>
      <c r="H307" s="8">
        <v>0</v>
      </c>
      <c r="I307" s="8">
        <v>0</v>
      </c>
      <c r="J307" s="8">
        <v>0</v>
      </c>
      <c r="K307" s="8">
        <v>0</v>
      </c>
      <c r="L307" s="8">
        <v>0</v>
      </c>
      <c r="M307" s="8">
        <v>0</v>
      </c>
      <c r="N307" s="8">
        <v>0</v>
      </c>
      <c r="O307" s="8"/>
      <c r="P307" s="8">
        <v>0</v>
      </c>
      <c r="Q307" s="8">
        <v>0</v>
      </c>
      <c r="R307" s="8"/>
      <c r="S307" s="317" t="s">
        <v>602</v>
      </c>
      <c r="T307" s="8">
        <v>0</v>
      </c>
      <c r="U307">
        <v>0</v>
      </c>
      <c r="W307">
        <v>0</v>
      </c>
    </row>
    <row r="308" spans="2:24" x14ac:dyDescent="0.3">
      <c r="B308" s="8" t="s">
        <v>730</v>
      </c>
      <c r="C308" s="10">
        <v>5.5</v>
      </c>
      <c r="D308" s="10">
        <v>5.5</v>
      </c>
      <c r="E308" s="8">
        <v>5.5</v>
      </c>
      <c r="F308" s="8">
        <v>0</v>
      </c>
      <c r="G308" s="8">
        <v>0</v>
      </c>
      <c r="H308" s="8">
        <v>0</v>
      </c>
      <c r="I308" s="8">
        <v>0</v>
      </c>
      <c r="J308" s="8">
        <v>0</v>
      </c>
      <c r="K308" s="8">
        <v>0</v>
      </c>
      <c r="L308" s="8">
        <v>0</v>
      </c>
      <c r="M308" s="8">
        <v>0</v>
      </c>
      <c r="N308" s="8">
        <v>0</v>
      </c>
      <c r="O308" s="8"/>
      <c r="P308" s="8">
        <v>0</v>
      </c>
      <c r="Q308" s="8">
        <v>0</v>
      </c>
      <c r="R308" s="8"/>
      <c r="S308" s="317" t="s">
        <v>602</v>
      </c>
      <c r="T308" s="8">
        <v>0</v>
      </c>
      <c r="U308">
        <v>0</v>
      </c>
      <c r="W308">
        <v>0</v>
      </c>
    </row>
    <row r="309" spans="2:24" x14ac:dyDescent="0.3">
      <c r="B309" s="8" t="s">
        <v>1088</v>
      </c>
      <c r="C309" s="10">
        <v>5.5</v>
      </c>
      <c r="D309" s="10">
        <v>5.5</v>
      </c>
      <c r="E309" s="8">
        <v>5.5</v>
      </c>
      <c r="F309" s="8">
        <v>0</v>
      </c>
      <c r="G309" s="8">
        <v>0</v>
      </c>
      <c r="H309" s="8">
        <v>0</v>
      </c>
      <c r="I309" s="8">
        <v>0</v>
      </c>
      <c r="J309" s="8">
        <v>0</v>
      </c>
      <c r="K309" s="8">
        <v>0</v>
      </c>
      <c r="L309" s="8">
        <v>0</v>
      </c>
      <c r="M309" s="8">
        <v>0</v>
      </c>
      <c r="N309" s="8">
        <v>0</v>
      </c>
      <c r="O309" s="8"/>
      <c r="P309" s="8">
        <v>0</v>
      </c>
      <c r="Q309" s="8">
        <v>0</v>
      </c>
      <c r="R309" s="8"/>
      <c r="S309" s="317" t="s">
        <v>602</v>
      </c>
      <c r="T309" s="8">
        <v>0</v>
      </c>
      <c r="U309">
        <v>0</v>
      </c>
      <c r="W309">
        <v>0</v>
      </c>
    </row>
    <row r="310" spans="2:24" x14ac:dyDescent="0.3">
      <c r="B310" s="8" t="s">
        <v>962</v>
      </c>
      <c r="C310" s="10">
        <v>6</v>
      </c>
      <c r="D310" s="10">
        <v>5.5</v>
      </c>
      <c r="E310" s="8">
        <v>5.5</v>
      </c>
      <c r="F310" s="8">
        <v>0</v>
      </c>
      <c r="G310" s="8">
        <v>0</v>
      </c>
      <c r="H310" s="8">
        <v>0</v>
      </c>
      <c r="I310" s="8">
        <v>0</v>
      </c>
      <c r="J310" s="8">
        <v>0</v>
      </c>
      <c r="K310" s="8">
        <v>0</v>
      </c>
      <c r="L310" s="8">
        <v>1</v>
      </c>
      <c r="M310" s="8">
        <v>0</v>
      </c>
      <c r="N310" s="8">
        <v>0</v>
      </c>
      <c r="O310" s="8"/>
      <c r="P310" s="8">
        <v>0</v>
      </c>
      <c r="Q310" s="8">
        <v>0</v>
      </c>
      <c r="R310" s="8"/>
      <c r="S310" s="317" t="s">
        <v>602</v>
      </c>
      <c r="T310" s="8">
        <v>0</v>
      </c>
      <c r="U310">
        <v>0</v>
      </c>
      <c r="W310">
        <v>0</v>
      </c>
    </row>
    <row r="311" spans="2:24" x14ac:dyDescent="0.3">
      <c r="B311" s="8" t="s">
        <v>960</v>
      </c>
      <c r="C311" s="10">
        <v>5.5</v>
      </c>
      <c r="D311" s="10">
        <v>5.5</v>
      </c>
      <c r="E311" s="8">
        <v>5.5</v>
      </c>
      <c r="F311" s="8">
        <v>0</v>
      </c>
      <c r="G311" s="8">
        <v>0</v>
      </c>
      <c r="H311" s="8">
        <v>0</v>
      </c>
      <c r="I311" s="8">
        <v>0</v>
      </c>
      <c r="J311" s="8">
        <v>0</v>
      </c>
      <c r="K311" s="8">
        <v>0</v>
      </c>
      <c r="L311" s="8">
        <v>0</v>
      </c>
      <c r="M311" s="8">
        <v>0</v>
      </c>
      <c r="N311" s="8">
        <v>0</v>
      </c>
      <c r="O311" s="8"/>
      <c r="P311" s="8">
        <v>0</v>
      </c>
      <c r="Q311" s="8">
        <v>0</v>
      </c>
      <c r="R311" s="8"/>
      <c r="S311" s="317" t="s">
        <v>602</v>
      </c>
      <c r="T311" s="8">
        <v>0</v>
      </c>
      <c r="U311">
        <v>0</v>
      </c>
      <c r="W311">
        <v>0</v>
      </c>
    </row>
    <row r="312" spans="2:24" x14ac:dyDescent="0.3">
      <c r="B312" s="8" t="s">
        <v>946</v>
      </c>
      <c r="C312" s="10">
        <v>5.5</v>
      </c>
      <c r="D312" s="10">
        <v>5.5</v>
      </c>
      <c r="E312" s="8">
        <v>5.5</v>
      </c>
      <c r="F312" s="8">
        <v>0</v>
      </c>
      <c r="G312" s="8">
        <v>0</v>
      </c>
      <c r="H312" s="8">
        <v>0</v>
      </c>
      <c r="I312" s="8">
        <v>0</v>
      </c>
      <c r="J312" s="8">
        <v>0</v>
      </c>
      <c r="K312" s="8">
        <v>0</v>
      </c>
      <c r="L312" s="8">
        <v>0</v>
      </c>
      <c r="M312" s="8">
        <v>0</v>
      </c>
      <c r="N312" s="8">
        <v>0</v>
      </c>
      <c r="O312" s="8"/>
      <c r="P312" s="8">
        <v>0</v>
      </c>
      <c r="Q312" s="8">
        <v>0</v>
      </c>
      <c r="R312" s="8"/>
      <c r="S312" s="317" t="s">
        <v>602</v>
      </c>
      <c r="T312" s="8">
        <v>0</v>
      </c>
      <c r="U312">
        <v>0</v>
      </c>
      <c r="W312">
        <v>0</v>
      </c>
    </row>
    <row r="313" spans="2:24" x14ac:dyDescent="0.3">
      <c r="B313" s="8" t="s">
        <v>263</v>
      </c>
      <c r="C313" s="10">
        <v>5.5</v>
      </c>
      <c r="D313" s="10">
        <v>5.5</v>
      </c>
      <c r="E313" s="8">
        <v>5.5</v>
      </c>
      <c r="F313" s="8">
        <v>0</v>
      </c>
      <c r="G313" s="8">
        <v>0</v>
      </c>
      <c r="H313" s="8">
        <v>0</v>
      </c>
      <c r="I313" s="8">
        <v>0</v>
      </c>
      <c r="J313" s="8">
        <v>0</v>
      </c>
      <c r="K313" s="8">
        <v>0</v>
      </c>
      <c r="L313" s="8">
        <v>0</v>
      </c>
      <c r="M313" s="8">
        <v>0</v>
      </c>
      <c r="N313" s="8">
        <v>0</v>
      </c>
      <c r="O313" s="8"/>
      <c r="P313" s="8">
        <v>0</v>
      </c>
      <c r="Q313" s="8">
        <v>0</v>
      </c>
      <c r="R313" s="8">
        <v>1</v>
      </c>
      <c r="S313" s="317">
        <v>5.5</v>
      </c>
      <c r="T313" s="8">
        <v>5.5</v>
      </c>
      <c r="U313">
        <v>0</v>
      </c>
      <c r="W313">
        <v>0</v>
      </c>
    </row>
    <row r="314" spans="2:24" x14ac:dyDescent="0.3">
      <c r="B314" s="8" t="s">
        <v>711</v>
      </c>
      <c r="C314" s="10">
        <v>5.5</v>
      </c>
      <c r="D314" s="10">
        <v>5.5</v>
      </c>
      <c r="E314" s="8">
        <v>5.5</v>
      </c>
      <c r="F314" s="8">
        <v>0</v>
      </c>
      <c r="G314" s="8">
        <v>0</v>
      </c>
      <c r="H314" s="8">
        <v>0</v>
      </c>
      <c r="I314" s="8">
        <v>0</v>
      </c>
      <c r="J314" s="8">
        <v>0</v>
      </c>
      <c r="K314" s="8">
        <v>0</v>
      </c>
      <c r="L314" s="8">
        <v>0</v>
      </c>
      <c r="M314" s="8">
        <v>0</v>
      </c>
      <c r="N314" s="8">
        <v>0</v>
      </c>
      <c r="O314" s="8"/>
      <c r="P314" s="8">
        <v>0</v>
      </c>
      <c r="Q314" s="8">
        <v>0</v>
      </c>
      <c r="R314" s="8"/>
      <c r="S314" s="317" t="s">
        <v>602</v>
      </c>
      <c r="T314" s="8">
        <v>0</v>
      </c>
      <c r="U314">
        <v>0</v>
      </c>
      <c r="W314">
        <v>0</v>
      </c>
    </row>
    <row r="315" spans="2:24" x14ac:dyDescent="0.3">
      <c r="B315" s="8" t="s">
        <v>289</v>
      </c>
      <c r="C315" s="10">
        <v>5.5</v>
      </c>
      <c r="D315" s="10">
        <v>5.5</v>
      </c>
      <c r="E315" s="8">
        <v>5.5</v>
      </c>
      <c r="F315" s="8">
        <v>0</v>
      </c>
      <c r="G315" s="8">
        <v>0</v>
      </c>
      <c r="H315" s="8">
        <v>0</v>
      </c>
      <c r="I315" s="8">
        <v>0</v>
      </c>
      <c r="J315" s="8">
        <v>0</v>
      </c>
      <c r="K315" s="8">
        <v>0</v>
      </c>
      <c r="L315" s="8">
        <v>0</v>
      </c>
      <c r="M315" s="8">
        <v>0</v>
      </c>
      <c r="N315" s="8">
        <v>0</v>
      </c>
      <c r="O315" s="8"/>
      <c r="P315" s="8">
        <v>0</v>
      </c>
      <c r="Q315" s="8">
        <v>0</v>
      </c>
      <c r="R315" s="8"/>
      <c r="S315" s="317" t="s">
        <v>602</v>
      </c>
      <c r="T315" s="8">
        <v>0</v>
      </c>
      <c r="U315">
        <v>0</v>
      </c>
      <c r="W315">
        <v>0</v>
      </c>
    </row>
    <row r="316" spans="2:24" x14ac:dyDescent="0.3">
      <c r="B316" s="8" t="s">
        <v>987</v>
      </c>
      <c r="C316" s="10">
        <v>5.5</v>
      </c>
      <c r="D316" s="10">
        <v>5.5</v>
      </c>
      <c r="E316" s="8">
        <v>5.5</v>
      </c>
      <c r="F316" s="8">
        <v>0</v>
      </c>
      <c r="G316" s="8">
        <v>0</v>
      </c>
      <c r="H316" s="8">
        <v>0</v>
      </c>
      <c r="I316" s="8">
        <v>0</v>
      </c>
      <c r="J316" s="8">
        <v>0</v>
      </c>
      <c r="K316" s="8">
        <v>0</v>
      </c>
      <c r="L316" s="8">
        <v>0</v>
      </c>
      <c r="M316" s="8">
        <v>0</v>
      </c>
      <c r="N316" s="8">
        <v>0</v>
      </c>
      <c r="O316" s="8"/>
      <c r="P316" s="8">
        <v>0</v>
      </c>
      <c r="Q316" s="8">
        <v>0</v>
      </c>
      <c r="R316" s="8"/>
      <c r="S316" s="317" t="s">
        <v>602</v>
      </c>
      <c r="T316" s="8">
        <v>0</v>
      </c>
      <c r="U316">
        <v>0</v>
      </c>
      <c r="W316">
        <v>0</v>
      </c>
    </row>
    <row r="317" spans="2:24" x14ac:dyDescent="0.3">
      <c r="B317" s="8" t="s">
        <v>1091</v>
      </c>
      <c r="C317" s="10">
        <v>5.5</v>
      </c>
      <c r="D317" s="10">
        <v>5.5</v>
      </c>
      <c r="E317" s="8">
        <v>5.5</v>
      </c>
      <c r="F317" s="8">
        <v>0</v>
      </c>
      <c r="G317" s="8">
        <v>0</v>
      </c>
      <c r="H317" s="8">
        <v>0</v>
      </c>
      <c r="I317" s="8">
        <v>0</v>
      </c>
      <c r="J317" s="8">
        <v>0</v>
      </c>
      <c r="K317" s="8">
        <v>0</v>
      </c>
      <c r="L317" s="8">
        <v>0</v>
      </c>
      <c r="M317" s="8">
        <v>0</v>
      </c>
      <c r="N317" s="8">
        <v>0</v>
      </c>
      <c r="O317" s="8"/>
      <c r="P317" s="8">
        <v>0</v>
      </c>
      <c r="Q317" s="8">
        <v>0</v>
      </c>
      <c r="R317" s="8"/>
      <c r="S317" s="317" t="s">
        <v>602</v>
      </c>
      <c r="T317" s="8">
        <v>0</v>
      </c>
      <c r="U317">
        <v>0</v>
      </c>
      <c r="W317">
        <v>0</v>
      </c>
    </row>
    <row r="318" spans="2:24" x14ac:dyDescent="0.3">
      <c r="B318" s="8" t="s">
        <v>791</v>
      </c>
      <c r="C318" s="10">
        <v>5.5</v>
      </c>
      <c r="D318" s="10">
        <v>5.5</v>
      </c>
      <c r="E318" s="8">
        <v>5.5</v>
      </c>
      <c r="F318" s="8">
        <v>0</v>
      </c>
      <c r="G318" s="8">
        <v>0</v>
      </c>
      <c r="H318" s="8">
        <v>0</v>
      </c>
      <c r="I318" s="8">
        <v>0</v>
      </c>
      <c r="J318" s="8">
        <v>0</v>
      </c>
      <c r="K318" s="8">
        <v>0</v>
      </c>
      <c r="L318" s="8">
        <v>0</v>
      </c>
      <c r="M318" s="8">
        <v>0</v>
      </c>
      <c r="N318" s="8">
        <v>0</v>
      </c>
      <c r="O318" s="8"/>
      <c r="P318" s="8">
        <v>0</v>
      </c>
      <c r="Q318" s="8">
        <v>0</v>
      </c>
      <c r="R318" s="8">
        <v>1</v>
      </c>
      <c r="S318" s="317">
        <v>5.5</v>
      </c>
      <c r="T318" s="8">
        <v>5.5</v>
      </c>
      <c r="U318">
        <v>0</v>
      </c>
      <c r="W318">
        <v>0</v>
      </c>
    </row>
    <row r="319" spans="2:24" x14ac:dyDescent="0.3">
      <c r="B319" s="8" t="s">
        <v>331</v>
      </c>
      <c r="C319" s="10">
        <v>5.5</v>
      </c>
      <c r="D319" s="10">
        <v>5.5</v>
      </c>
      <c r="E319" s="8">
        <v>5.5</v>
      </c>
      <c r="F319" s="8">
        <v>0</v>
      </c>
      <c r="G319" s="8">
        <v>0</v>
      </c>
      <c r="H319" s="8">
        <v>0</v>
      </c>
      <c r="I319" s="8">
        <v>0</v>
      </c>
      <c r="J319" s="8">
        <v>0</v>
      </c>
      <c r="K319" s="8">
        <v>0</v>
      </c>
      <c r="L319" s="8">
        <v>0</v>
      </c>
      <c r="M319" s="8">
        <v>0</v>
      </c>
      <c r="N319" s="8">
        <v>0</v>
      </c>
      <c r="O319" s="8"/>
      <c r="P319" s="8">
        <v>0</v>
      </c>
      <c r="Q319" s="8">
        <v>0</v>
      </c>
      <c r="R319" s="8"/>
      <c r="S319" s="317" t="s">
        <v>602</v>
      </c>
      <c r="T319" s="8">
        <v>0</v>
      </c>
      <c r="U319">
        <v>0</v>
      </c>
      <c r="W319">
        <v>0</v>
      </c>
    </row>
    <row r="320" spans="2:24" x14ac:dyDescent="0.3">
      <c r="B320" s="8" t="s">
        <v>452</v>
      </c>
      <c r="C320" s="10">
        <v>5.5</v>
      </c>
      <c r="D320" s="10">
        <v>5.5</v>
      </c>
      <c r="E320" s="8">
        <v>5.5</v>
      </c>
      <c r="F320" s="8">
        <v>0</v>
      </c>
      <c r="G320" s="8">
        <v>0</v>
      </c>
      <c r="H320" s="8">
        <v>0</v>
      </c>
      <c r="I320" s="8">
        <v>0</v>
      </c>
      <c r="J320" s="8">
        <v>0</v>
      </c>
      <c r="K320" s="8">
        <v>0</v>
      </c>
      <c r="L320" s="8">
        <v>0</v>
      </c>
      <c r="M320" s="8">
        <v>0</v>
      </c>
      <c r="N320" s="8">
        <v>0</v>
      </c>
      <c r="O320" s="8"/>
      <c r="P320" s="8">
        <v>0</v>
      </c>
      <c r="Q320" s="8">
        <v>0</v>
      </c>
      <c r="R320" s="8"/>
      <c r="S320" s="317" t="s">
        <v>602</v>
      </c>
      <c r="T320" s="8">
        <v>0</v>
      </c>
      <c r="U320">
        <v>0</v>
      </c>
      <c r="W320">
        <v>0</v>
      </c>
    </row>
    <row r="321" spans="2:24" x14ac:dyDescent="0.3">
      <c r="B321" s="8" t="s">
        <v>846</v>
      </c>
      <c r="C321" s="10">
        <v>5.5</v>
      </c>
      <c r="D321" s="10">
        <v>5.5</v>
      </c>
      <c r="E321" s="8">
        <v>5.5</v>
      </c>
      <c r="F321" s="8">
        <v>0</v>
      </c>
      <c r="G321" s="8">
        <v>0</v>
      </c>
      <c r="H321" s="8">
        <v>0</v>
      </c>
      <c r="I321" s="8">
        <v>0</v>
      </c>
      <c r="J321" s="8">
        <v>0</v>
      </c>
      <c r="K321" s="8">
        <v>0</v>
      </c>
      <c r="L321" s="8">
        <v>0</v>
      </c>
      <c r="M321" s="8">
        <v>0</v>
      </c>
      <c r="N321" s="8">
        <v>0</v>
      </c>
      <c r="O321" s="8"/>
      <c r="P321" s="8">
        <v>0</v>
      </c>
      <c r="Q321" s="8">
        <v>0</v>
      </c>
      <c r="R321" s="8"/>
      <c r="S321" s="317" t="s">
        <v>602</v>
      </c>
      <c r="T321" s="8">
        <v>0</v>
      </c>
      <c r="U321">
        <v>0</v>
      </c>
      <c r="W321">
        <v>0</v>
      </c>
    </row>
    <row r="322" spans="2:24" x14ac:dyDescent="0.3">
      <c r="B322" s="8" t="s">
        <v>317</v>
      </c>
      <c r="C322" s="10">
        <v>5.5</v>
      </c>
      <c r="D322" s="10">
        <v>5.5</v>
      </c>
      <c r="E322" s="8">
        <v>5.5</v>
      </c>
      <c r="F322" s="8">
        <v>0</v>
      </c>
      <c r="G322" s="8">
        <v>0</v>
      </c>
      <c r="H322" s="8">
        <v>0</v>
      </c>
      <c r="I322" s="8">
        <v>0</v>
      </c>
      <c r="J322" s="8">
        <v>0</v>
      </c>
      <c r="K322" s="8">
        <v>0</v>
      </c>
      <c r="L322" s="8">
        <v>0</v>
      </c>
      <c r="M322" s="8">
        <v>0</v>
      </c>
      <c r="N322" s="8">
        <v>0</v>
      </c>
      <c r="O322" s="8"/>
      <c r="P322" s="8">
        <v>0</v>
      </c>
      <c r="Q322" s="8">
        <v>0</v>
      </c>
      <c r="R322" s="8"/>
      <c r="S322" s="317" t="s">
        <v>602</v>
      </c>
      <c r="T322" s="8">
        <v>0</v>
      </c>
      <c r="U322">
        <v>5.5</v>
      </c>
      <c r="V322">
        <v>1</v>
      </c>
      <c r="W322">
        <v>0</v>
      </c>
    </row>
    <row r="323" spans="2:24" x14ac:dyDescent="0.3">
      <c r="B323" s="8" t="s">
        <v>985</v>
      </c>
      <c r="C323" s="10">
        <v>5.5</v>
      </c>
      <c r="D323" s="10">
        <v>5.5</v>
      </c>
      <c r="E323" s="8">
        <v>5.5</v>
      </c>
      <c r="F323" s="8">
        <v>0</v>
      </c>
      <c r="G323" s="8">
        <v>0</v>
      </c>
      <c r="H323" s="8">
        <v>0</v>
      </c>
      <c r="I323" s="8">
        <v>0</v>
      </c>
      <c r="J323" s="8">
        <v>0</v>
      </c>
      <c r="K323" s="8">
        <v>0</v>
      </c>
      <c r="L323" s="8">
        <v>0</v>
      </c>
      <c r="M323" s="8">
        <v>0</v>
      </c>
      <c r="N323" s="8">
        <v>0</v>
      </c>
      <c r="O323" s="8"/>
      <c r="P323" s="8">
        <v>0</v>
      </c>
      <c r="Q323" s="8">
        <v>0</v>
      </c>
      <c r="R323" s="8"/>
      <c r="S323" s="317" t="s">
        <v>602</v>
      </c>
      <c r="T323" s="8">
        <v>0</v>
      </c>
      <c r="U323">
        <v>0</v>
      </c>
      <c r="W323">
        <v>0</v>
      </c>
    </row>
    <row r="324" spans="2:24" x14ac:dyDescent="0.3">
      <c r="B324" s="8" t="s">
        <v>612</v>
      </c>
      <c r="C324" s="10">
        <v>5.5</v>
      </c>
      <c r="D324" s="10">
        <v>5.5</v>
      </c>
      <c r="E324" s="8">
        <v>5.5</v>
      </c>
      <c r="F324" s="8">
        <v>0</v>
      </c>
      <c r="G324" s="8">
        <v>0</v>
      </c>
      <c r="H324" s="8">
        <v>0</v>
      </c>
      <c r="I324" s="8">
        <v>0</v>
      </c>
      <c r="J324" s="8">
        <v>0</v>
      </c>
      <c r="K324" s="8">
        <v>0</v>
      </c>
      <c r="L324" s="8">
        <v>0</v>
      </c>
      <c r="M324" s="8">
        <v>0</v>
      </c>
      <c r="N324" s="8">
        <v>0</v>
      </c>
      <c r="O324" s="8"/>
      <c r="P324" s="8">
        <v>0</v>
      </c>
      <c r="Q324" s="8">
        <v>0</v>
      </c>
      <c r="R324" s="8"/>
      <c r="S324" s="317" t="s">
        <v>602</v>
      </c>
      <c r="T324" s="8">
        <v>0</v>
      </c>
      <c r="U324">
        <v>0</v>
      </c>
      <c r="W324">
        <v>0</v>
      </c>
    </row>
    <row r="325" spans="2:24" x14ac:dyDescent="0.3">
      <c r="B325" s="8" t="s">
        <v>770</v>
      </c>
      <c r="C325" s="10">
        <v>5.5</v>
      </c>
      <c r="D325" s="10">
        <v>5.5</v>
      </c>
      <c r="E325" s="8">
        <v>5.5</v>
      </c>
      <c r="F325" s="8">
        <v>0</v>
      </c>
      <c r="G325" s="8">
        <v>0</v>
      </c>
      <c r="H325" s="8">
        <v>0</v>
      </c>
      <c r="I325" s="8">
        <v>0</v>
      </c>
      <c r="J325" s="8">
        <v>0</v>
      </c>
      <c r="K325" s="8">
        <v>0</v>
      </c>
      <c r="L325" s="8">
        <v>0</v>
      </c>
      <c r="M325" s="8">
        <v>0</v>
      </c>
      <c r="N325" s="8">
        <v>0</v>
      </c>
      <c r="O325" s="8"/>
      <c r="P325" s="8">
        <v>0</v>
      </c>
      <c r="Q325" s="8">
        <v>0</v>
      </c>
      <c r="R325" s="8"/>
      <c r="S325" s="317" t="s">
        <v>602</v>
      </c>
      <c r="T325" s="8">
        <v>0</v>
      </c>
      <c r="U325">
        <v>0</v>
      </c>
      <c r="W325">
        <v>0</v>
      </c>
    </row>
    <row r="326" spans="2:24" x14ac:dyDescent="0.3">
      <c r="B326" s="8" t="s">
        <v>219</v>
      </c>
      <c r="C326" s="10">
        <v>6</v>
      </c>
      <c r="D326" s="10">
        <v>5.5</v>
      </c>
      <c r="E326" s="8">
        <v>5.5</v>
      </c>
      <c r="F326" s="8">
        <v>0</v>
      </c>
      <c r="G326" s="8">
        <v>0</v>
      </c>
      <c r="H326" s="8">
        <v>0</v>
      </c>
      <c r="I326" s="8">
        <v>0</v>
      </c>
      <c r="J326" s="8">
        <v>0</v>
      </c>
      <c r="K326" s="8">
        <v>0</v>
      </c>
      <c r="L326" s="8">
        <v>1</v>
      </c>
      <c r="M326" s="8">
        <v>0</v>
      </c>
      <c r="N326" s="8">
        <v>0</v>
      </c>
      <c r="O326" s="8"/>
      <c r="P326" s="8">
        <v>0</v>
      </c>
      <c r="Q326" s="8">
        <v>0</v>
      </c>
      <c r="R326" s="8"/>
      <c r="S326" s="317" t="s">
        <v>602</v>
      </c>
      <c r="T326" s="8">
        <v>0</v>
      </c>
      <c r="U326">
        <v>0</v>
      </c>
      <c r="W326">
        <v>0</v>
      </c>
    </row>
    <row r="327" spans="2:24" x14ac:dyDescent="0.3">
      <c r="B327" s="8" t="s">
        <v>1039</v>
      </c>
      <c r="C327" s="10">
        <v>5.5</v>
      </c>
      <c r="D327" s="10">
        <v>5.5</v>
      </c>
      <c r="E327" s="8">
        <v>5.5</v>
      </c>
      <c r="F327" s="8">
        <v>0</v>
      </c>
      <c r="G327" s="8">
        <v>0</v>
      </c>
      <c r="H327" s="8">
        <v>0</v>
      </c>
      <c r="I327" s="8">
        <v>0</v>
      </c>
      <c r="J327" s="8">
        <v>0</v>
      </c>
      <c r="K327" s="8">
        <v>0</v>
      </c>
      <c r="L327" s="8">
        <v>0</v>
      </c>
      <c r="M327" s="8">
        <v>0</v>
      </c>
      <c r="N327" s="8">
        <v>0</v>
      </c>
      <c r="O327" s="8"/>
      <c r="P327" s="8">
        <v>0</v>
      </c>
      <c r="Q327" s="8">
        <v>0</v>
      </c>
      <c r="R327" s="8"/>
      <c r="S327" s="317" t="s">
        <v>602</v>
      </c>
      <c r="T327" s="8">
        <v>0</v>
      </c>
      <c r="U327">
        <v>0</v>
      </c>
      <c r="W327">
        <v>0</v>
      </c>
    </row>
    <row r="328" spans="2:24" x14ac:dyDescent="0.3">
      <c r="B328" s="8" t="s">
        <v>271</v>
      </c>
      <c r="C328" s="10">
        <v>5.5</v>
      </c>
      <c r="D328" s="10">
        <v>5.5</v>
      </c>
      <c r="E328" s="8">
        <v>5.5</v>
      </c>
      <c r="F328" s="8">
        <v>0</v>
      </c>
      <c r="G328" s="8">
        <v>0</v>
      </c>
      <c r="H328" s="8">
        <v>0</v>
      </c>
      <c r="I328" s="8">
        <v>0</v>
      </c>
      <c r="J328" s="8">
        <v>0</v>
      </c>
      <c r="K328" s="8">
        <v>0</v>
      </c>
      <c r="L328" s="8">
        <v>0</v>
      </c>
      <c r="M328" s="8">
        <v>0</v>
      </c>
      <c r="N328" s="8">
        <v>0</v>
      </c>
      <c r="O328" s="8"/>
      <c r="P328" s="8">
        <v>0</v>
      </c>
      <c r="Q328" s="8">
        <v>0</v>
      </c>
      <c r="R328" s="8"/>
      <c r="S328" s="317" t="s">
        <v>602</v>
      </c>
      <c r="T328" s="8">
        <v>0</v>
      </c>
      <c r="U328">
        <v>0</v>
      </c>
      <c r="W328">
        <v>0</v>
      </c>
    </row>
    <row r="329" spans="2:24" x14ac:dyDescent="0.3">
      <c r="B329" s="8" t="s">
        <v>648</v>
      </c>
      <c r="C329" s="10">
        <v>5.5</v>
      </c>
      <c r="D329" s="10">
        <v>5.5</v>
      </c>
      <c r="E329" s="8">
        <v>5.5</v>
      </c>
      <c r="F329" s="8">
        <v>0</v>
      </c>
      <c r="G329" s="8">
        <v>0</v>
      </c>
      <c r="H329" s="8">
        <v>0</v>
      </c>
      <c r="I329" s="8">
        <v>0</v>
      </c>
      <c r="J329" s="8">
        <v>0</v>
      </c>
      <c r="K329" s="8">
        <v>0</v>
      </c>
      <c r="L329" s="8">
        <v>0</v>
      </c>
      <c r="M329" s="8">
        <v>0</v>
      </c>
      <c r="N329" s="8">
        <v>0</v>
      </c>
      <c r="O329" s="8"/>
      <c r="P329" s="8">
        <v>0</v>
      </c>
      <c r="Q329" s="8">
        <v>0</v>
      </c>
      <c r="R329" s="8"/>
      <c r="S329" s="317" t="s">
        <v>602</v>
      </c>
      <c r="T329" s="8">
        <v>0</v>
      </c>
      <c r="U329">
        <v>0</v>
      </c>
      <c r="W329">
        <v>0</v>
      </c>
    </row>
    <row r="330" spans="2:24" x14ac:dyDescent="0.3">
      <c r="B330" s="8" t="s">
        <v>566</v>
      </c>
      <c r="C330" s="10">
        <v>5.5</v>
      </c>
      <c r="D330" s="10">
        <v>5.5</v>
      </c>
      <c r="E330" s="8">
        <v>5.5</v>
      </c>
      <c r="F330" s="8">
        <v>0</v>
      </c>
      <c r="G330" s="8">
        <v>0</v>
      </c>
      <c r="H330" s="8">
        <v>0</v>
      </c>
      <c r="I330" s="8">
        <v>0</v>
      </c>
      <c r="J330" s="8">
        <v>0</v>
      </c>
      <c r="K330" s="8">
        <v>0</v>
      </c>
      <c r="L330" s="8">
        <v>0</v>
      </c>
      <c r="M330" s="8">
        <v>0</v>
      </c>
      <c r="N330" s="8">
        <v>0</v>
      </c>
      <c r="O330" s="8"/>
      <c r="P330" s="8">
        <v>0</v>
      </c>
      <c r="Q330" s="8">
        <v>0</v>
      </c>
      <c r="R330" s="8">
        <v>1</v>
      </c>
      <c r="S330" s="317">
        <v>5.5</v>
      </c>
      <c r="T330" s="8">
        <v>5.5</v>
      </c>
      <c r="U330">
        <v>0</v>
      </c>
      <c r="W330">
        <v>5.5</v>
      </c>
      <c r="X330">
        <v>1</v>
      </c>
    </row>
    <row r="331" spans="2:24" x14ac:dyDescent="0.3">
      <c r="B331" s="8" t="s">
        <v>888</v>
      </c>
      <c r="C331" s="10">
        <v>5.5</v>
      </c>
      <c r="D331" s="10">
        <v>5.5</v>
      </c>
      <c r="E331" s="8">
        <v>5.5</v>
      </c>
      <c r="F331" s="8">
        <v>0</v>
      </c>
      <c r="G331" s="8">
        <v>0</v>
      </c>
      <c r="H331" s="8">
        <v>0</v>
      </c>
      <c r="I331" s="8">
        <v>0</v>
      </c>
      <c r="J331" s="8">
        <v>0</v>
      </c>
      <c r="K331" s="8">
        <v>0</v>
      </c>
      <c r="L331" s="8">
        <v>0</v>
      </c>
      <c r="M331" s="8">
        <v>0</v>
      </c>
      <c r="N331" s="8">
        <v>0</v>
      </c>
      <c r="O331" s="8"/>
      <c r="P331" s="8">
        <v>0</v>
      </c>
      <c r="Q331" s="8">
        <v>0</v>
      </c>
      <c r="R331" s="8"/>
      <c r="S331" s="317" t="s">
        <v>602</v>
      </c>
      <c r="T331" s="8">
        <v>0</v>
      </c>
      <c r="U331">
        <v>0</v>
      </c>
      <c r="W331">
        <v>0</v>
      </c>
    </row>
    <row r="332" spans="2:24" x14ac:dyDescent="0.3">
      <c r="B332" s="8" t="s">
        <v>254</v>
      </c>
      <c r="C332" s="10">
        <v>5.5</v>
      </c>
      <c r="D332" s="10">
        <v>5.5</v>
      </c>
      <c r="E332" s="8">
        <v>5.5</v>
      </c>
      <c r="F332" s="8">
        <v>0</v>
      </c>
      <c r="G332" s="8">
        <v>0</v>
      </c>
      <c r="H332" s="8">
        <v>0</v>
      </c>
      <c r="I332" s="8">
        <v>0</v>
      </c>
      <c r="J332" s="8">
        <v>0</v>
      </c>
      <c r="K332" s="8">
        <v>0</v>
      </c>
      <c r="L332" s="8">
        <v>0</v>
      </c>
      <c r="M332" s="8">
        <v>0</v>
      </c>
      <c r="N332" s="8">
        <v>0</v>
      </c>
      <c r="O332" s="8"/>
      <c r="P332" s="8">
        <v>0</v>
      </c>
      <c r="Q332" s="8">
        <v>0</v>
      </c>
      <c r="R332" s="8">
        <v>1</v>
      </c>
      <c r="S332" s="317">
        <v>5.5</v>
      </c>
      <c r="T332" s="8">
        <v>5.5</v>
      </c>
      <c r="U332">
        <v>5.5</v>
      </c>
      <c r="V332">
        <v>1</v>
      </c>
      <c r="W332">
        <v>5.5</v>
      </c>
      <c r="X332">
        <v>1</v>
      </c>
    </row>
    <row r="333" spans="2:24" x14ac:dyDescent="0.3">
      <c r="B333" s="8" t="s">
        <v>774</v>
      </c>
      <c r="C333" s="10">
        <v>5.5</v>
      </c>
      <c r="D333" s="10">
        <v>5.5</v>
      </c>
      <c r="E333" s="8">
        <v>5.5</v>
      </c>
      <c r="F333" s="8">
        <v>0</v>
      </c>
      <c r="G333" s="8">
        <v>0</v>
      </c>
      <c r="H333" s="8">
        <v>0</v>
      </c>
      <c r="I333" s="8">
        <v>0</v>
      </c>
      <c r="J333" s="8">
        <v>0</v>
      </c>
      <c r="K333" s="8">
        <v>0</v>
      </c>
      <c r="L333" s="8">
        <v>0</v>
      </c>
      <c r="M333" s="8">
        <v>0</v>
      </c>
      <c r="N333" s="8">
        <v>0</v>
      </c>
      <c r="O333" s="8"/>
      <c r="P333" s="8">
        <v>0</v>
      </c>
      <c r="Q333" s="8">
        <v>0</v>
      </c>
      <c r="R333" s="8">
        <v>1</v>
      </c>
      <c r="S333" s="317">
        <v>5.5</v>
      </c>
      <c r="T333" s="8">
        <v>5.5</v>
      </c>
      <c r="U333">
        <v>0</v>
      </c>
      <c r="W333">
        <v>0</v>
      </c>
    </row>
    <row r="334" spans="2:24" x14ac:dyDescent="0.3">
      <c r="B334" s="8" t="s">
        <v>309</v>
      </c>
      <c r="C334" s="10">
        <v>5.5</v>
      </c>
      <c r="D334" s="10">
        <v>5.5</v>
      </c>
      <c r="E334" s="8">
        <v>5.5</v>
      </c>
      <c r="F334" s="8">
        <v>0</v>
      </c>
      <c r="G334" s="8">
        <v>0</v>
      </c>
      <c r="H334" s="8">
        <v>0</v>
      </c>
      <c r="I334" s="8">
        <v>0</v>
      </c>
      <c r="J334" s="8">
        <v>0</v>
      </c>
      <c r="K334" s="8">
        <v>0</v>
      </c>
      <c r="L334" s="8">
        <v>0</v>
      </c>
      <c r="M334" s="8">
        <v>0</v>
      </c>
      <c r="N334" s="8">
        <v>0</v>
      </c>
      <c r="O334" s="8"/>
      <c r="P334" s="8">
        <v>0</v>
      </c>
      <c r="Q334" s="8">
        <v>0</v>
      </c>
      <c r="R334" s="8"/>
      <c r="S334" s="317" t="s">
        <v>602</v>
      </c>
      <c r="T334" s="8">
        <v>0</v>
      </c>
      <c r="U334">
        <v>0</v>
      </c>
      <c r="W334">
        <v>0</v>
      </c>
    </row>
    <row r="335" spans="2:24" x14ac:dyDescent="0.3">
      <c r="B335" s="8" t="s">
        <v>981</v>
      </c>
      <c r="C335" s="10">
        <v>5.5</v>
      </c>
      <c r="D335" s="10">
        <v>5.5</v>
      </c>
      <c r="E335" s="8">
        <v>5.5</v>
      </c>
      <c r="F335" s="8">
        <v>0</v>
      </c>
      <c r="G335" s="8">
        <v>0</v>
      </c>
      <c r="H335" s="8">
        <v>0</v>
      </c>
      <c r="I335" s="8">
        <v>0</v>
      </c>
      <c r="J335" s="8">
        <v>0</v>
      </c>
      <c r="K335" s="8">
        <v>0</v>
      </c>
      <c r="L335" s="8">
        <v>0</v>
      </c>
      <c r="M335" s="8">
        <v>0</v>
      </c>
      <c r="N335" s="8">
        <v>0</v>
      </c>
      <c r="O335" s="8"/>
      <c r="P335" s="8">
        <v>0</v>
      </c>
      <c r="Q335" s="8">
        <v>0</v>
      </c>
      <c r="R335" s="8"/>
      <c r="S335" s="317" t="s">
        <v>602</v>
      </c>
      <c r="T335" s="8">
        <v>0</v>
      </c>
      <c r="U335">
        <v>0</v>
      </c>
      <c r="W335">
        <v>0</v>
      </c>
    </row>
    <row r="336" spans="2:24" x14ac:dyDescent="0.3">
      <c r="B336" s="8" t="s">
        <v>621</v>
      </c>
      <c r="C336" s="10">
        <v>5.5</v>
      </c>
      <c r="D336" s="10">
        <v>5.5</v>
      </c>
      <c r="E336" s="8">
        <v>5.5</v>
      </c>
      <c r="F336" s="8">
        <v>0</v>
      </c>
      <c r="G336" s="8">
        <v>0</v>
      </c>
      <c r="H336" s="8">
        <v>0</v>
      </c>
      <c r="I336" s="8">
        <v>0</v>
      </c>
      <c r="J336" s="8">
        <v>0</v>
      </c>
      <c r="K336" s="8">
        <v>0</v>
      </c>
      <c r="L336" s="8">
        <v>0</v>
      </c>
      <c r="M336" s="8">
        <v>0</v>
      </c>
      <c r="N336" s="8">
        <v>0</v>
      </c>
      <c r="O336" s="8"/>
      <c r="P336" s="8">
        <v>0</v>
      </c>
      <c r="Q336" s="8">
        <v>0</v>
      </c>
      <c r="R336" s="8"/>
      <c r="S336" s="317" t="s">
        <v>602</v>
      </c>
      <c r="T336" s="8">
        <v>0</v>
      </c>
      <c r="U336">
        <v>0</v>
      </c>
      <c r="W336">
        <v>0</v>
      </c>
    </row>
    <row r="337" spans="2:24" x14ac:dyDescent="0.3">
      <c r="B337" s="8" t="s">
        <v>618</v>
      </c>
      <c r="C337" s="10">
        <v>5.5</v>
      </c>
      <c r="D337" s="10">
        <v>5.5</v>
      </c>
      <c r="E337" s="8">
        <v>5.5</v>
      </c>
      <c r="F337" s="8">
        <v>0</v>
      </c>
      <c r="G337" s="8">
        <v>0</v>
      </c>
      <c r="H337" s="8">
        <v>0</v>
      </c>
      <c r="I337" s="8">
        <v>0</v>
      </c>
      <c r="J337" s="8">
        <v>0</v>
      </c>
      <c r="K337" s="8">
        <v>0</v>
      </c>
      <c r="L337" s="8">
        <v>0</v>
      </c>
      <c r="M337" s="8">
        <v>0</v>
      </c>
      <c r="N337" s="8">
        <v>0</v>
      </c>
      <c r="O337" s="8"/>
      <c r="P337" s="8">
        <v>0</v>
      </c>
      <c r="Q337" s="8">
        <v>0</v>
      </c>
      <c r="R337" s="8">
        <v>1</v>
      </c>
      <c r="S337" s="317">
        <v>5.5</v>
      </c>
      <c r="T337" s="8">
        <v>5.5</v>
      </c>
      <c r="U337">
        <v>0</v>
      </c>
      <c r="W337">
        <v>0</v>
      </c>
    </row>
    <row r="338" spans="2:24" x14ac:dyDescent="0.3">
      <c r="B338" s="8" t="s">
        <v>885</v>
      </c>
      <c r="C338" s="10">
        <v>5.5</v>
      </c>
      <c r="D338" s="10">
        <v>5.5</v>
      </c>
      <c r="E338" s="8">
        <v>5.5</v>
      </c>
      <c r="F338" s="8">
        <v>0</v>
      </c>
      <c r="G338" s="8">
        <v>0</v>
      </c>
      <c r="H338" s="8">
        <v>0</v>
      </c>
      <c r="I338" s="8">
        <v>0</v>
      </c>
      <c r="J338" s="8">
        <v>0</v>
      </c>
      <c r="K338" s="8">
        <v>0</v>
      </c>
      <c r="L338" s="8">
        <v>0</v>
      </c>
      <c r="M338" s="8">
        <v>0</v>
      </c>
      <c r="N338" s="8">
        <v>0</v>
      </c>
      <c r="O338" s="8"/>
      <c r="P338" s="8">
        <v>0</v>
      </c>
      <c r="Q338" s="8">
        <v>0</v>
      </c>
      <c r="R338" s="8"/>
      <c r="S338" s="317" t="s">
        <v>602</v>
      </c>
      <c r="T338" s="8">
        <v>0</v>
      </c>
      <c r="U338">
        <v>0</v>
      </c>
      <c r="W338">
        <v>0</v>
      </c>
    </row>
    <row r="339" spans="2:24" x14ac:dyDescent="0.3">
      <c r="B339" s="8" t="s">
        <v>660</v>
      </c>
      <c r="C339" s="10">
        <v>5.5</v>
      </c>
      <c r="D339" s="10">
        <v>5.5</v>
      </c>
      <c r="E339" s="8">
        <v>5.5</v>
      </c>
      <c r="F339" s="8">
        <v>0</v>
      </c>
      <c r="G339" s="8">
        <v>0</v>
      </c>
      <c r="H339" s="8">
        <v>0</v>
      </c>
      <c r="I339" s="8">
        <v>0</v>
      </c>
      <c r="J339" s="8">
        <v>0</v>
      </c>
      <c r="K339" s="8">
        <v>0</v>
      </c>
      <c r="L339" s="8">
        <v>0</v>
      </c>
      <c r="M339" s="8">
        <v>0</v>
      </c>
      <c r="N339" s="8">
        <v>0</v>
      </c>
      <c r="O339" s="8"/>
      <c r="P339" s="8">
        <v>0</v>
      </c>
      <c r="Q339" s="8">
        <v>0</v>
      </c>
      <c r="R339" s="8"/>
      <c r="S339" s="317" t="s">
        <v>602</v>
      </c>
      <c r="T339" s="8">
        <v>0</v>
      </c>
      <c r="U339">
        <v>0</v>
      </c>
      <c r="W339">
        <v>0</v>
      </c>
    </row>
    <row r="340" spans="2:24" x14ac:dyDescent="0.3">
      <c r="B340" s="8" t="s">
        <v>647</v>
      </c>
      <c r="C340" s="10">
        <v>6</v>
      </c>
      <c r="D340" s="10">
        <v>5</v>
      </c>
      <c r="E340" s="8">
        <v>5</v>
      </c>
      <c r="F340" s="8">
        <v>0</v>
      </c>
      <c r="G340" s="8">
        <v>1</v>
      </c>
      <c r="H340" s="8">
        <v>0</v>
      </c>
      <c r="I340" s="8">
        <v>0</v>
      </c>
      <c r="J340" s="8">
        <v>0</v>
      </c>
      <c r="K340" s="8">
        <v>0</v>
      </c>
      <c r="L340" s="8">
        <v>0</v>
      </c>
      <c r="M340" s="8">
        <v>0</v>
      </c>
      <c r="N340" s="8">
        <v>0</v>
      </c>
      <c r="O340" s="8"/>
      <c r="P340" s="8">
        <v>0</v>
      </c>
      <c r="Q340" s="8">
        <v>0</v>
      </c>
      <c r="R340" s="8"/>
      <c r="S340" s="317" t="s">
        <v>602</v>
      </c>
      <c r="T340" s="8">
        <v>0</v>
      </c>
      <c r="U340">
        <v>0</v>
      </c>
      <c r="W340">
        <v>0</v>
      </c>
    </row>
    <row r="341" spans="2:24" x14ac:dyDescent="0.3">
      <c r="B341" s="8" t="s">
        <v>970</v>
      </c>
      <c r="C341" s="10">
        <v>6</v>
      </c>
      <c r="D341" s="10">
        <v>2.5</v>
      </c>
      <c r="E341" s="8">
        <v>5</v>
      </c>
      <c r="F341" s="8">
        <v>0</v>
      </c>
      <c r="G341" s="8">
        <v>7</v>
      </c>
      <c r="H341" s="8">
        <v>0</v>
      </c>
      <c r="I341" s="8">
        <v>0</v>
      </c>
      <c r="J341" s="8">
        <v>0</v>
      </c>
      <c r="K341" s="8">
        <v>0</v>
      </c>
      <c r="L341" s="8">
        <v>0</v>
      </c>
      <c r="M341" s="8">
        <v>0</v>
      </c>
      <c r="N341" s="8">
        <v>0</v>
      </c>
      <c r="O341" s="8"/>
      <c r="P341" s="8">
        <v>0</v>
      </c>
      <c r="Q341" s="8">
        <v>0</v>
      </c>
      <c r="R341" s="8"/>
      <c r="S341" s="317" t="s">
        <v>602</v>
      </c>
      <c r="T341" s="8">
        <v>0</v>
      </c>
      <c r="U341">
        <v>0</v>
      </c>
      <c r="W341">
        <v>0</v>
      </c>
    </row>
    <row r="342" spans="2:24" x14ac:dyDescent="0.3">
      <c r="B342" s="8" t="s">
        <v>680</v>
      </c>
      <c r="C342" s="10">
        <v>6</v>
      </c>
      <c r="D342" s="10">
        <v>5</v>
      </c>
      <c r="E342" s="8">
        <v>5</v>
      </c>
      <c r="F342" s="8">
        <v>0</v>
      </c>
      <c r="G342" s="8">
        <v>1</v>
      </c>
      <c r="H342" s="8">
        <v>0</v>
      </c>
      <c r="I342" s="8">
        <v>0</v>
      </c>
      <c r="J342" s="8">
        <v>0</v>
      </c>
      <c r="K342" s="8">
        <v>0</v>
      </c>
      <c r="L342" s="8">
        <v>0</v>
      </c>
      <c r="M342" s="8">
        <v>0</v>
      </c>
      <c r="N342" s="8">
        <v>0</v>
      </c>
      <c r="O342" s="8"/>
      <c r="P342" s="8">
        <v>0</v>
      </c>
      <c r="Q342" s="8">
        <v>0</v>
      </c>
      <c r="R342" s="8">
        <v>1</v>
      </c>
      <c r="S342" s="317">
        <v>5</v>
      </c>
      <c r="T342" s="8">
        <v>5</v>
      </c>
      <c r="U342">
        <v>5</v>
      </c>
      <c r="V342">
        <v>1</v>
      </c>
      <c r="W342">
        <v>5</v>
      </c>
      <c r="X342">
        <v>1</v>
      </c>
    </row>
    <row r="343" spans="2:24" x14ac:dyDescent="0.3">
      <c r="B343" s="8" t="s">
        <v>444</v>
      </c>
      <c r="C343" s="10">
        <v>5</v>
      </c>
      <c r="D343" s="10">
        <v>5</v>
      </c>
      <c r="E343" s="8">
        <v>5</v>
      </c>
      <c r="F343" s="8">
        <v>0</v>
      </c>
      <c r="G343" s="8">
        <v>0</v>
      </c>
      <c r="H343" s="8">
        <v>0</v>
      </c>
      <c r="I343" s="8">
        <v>0</v>
      </c>
      <c r="J343" s="8">
        <v>0</v>
      </c>
      <c r="K343" s="8">
        <v>0</v>
      </c>
      <c r="L343" s="8">
        <v>0</v>
      </c>
      <c r="M343" s="8">
        <v>0</v>
      </c>
      <c r="N343" s="8">
        <v>0</v>
      </c>
      <c r="O343" s="8"/>
      <c r="P343" s="8">
        <v>0</v>
      </c>
      <c r="Q343" s="8">
        <v>0</v>
      </c>
      <c r="R343" s="8"/>
      <c r="S343" s="317" t="s">
        <v>602</v>
      </c>
      <c r="T343" s="8">
        <v>0</v>
      </c>
      <c r="U343">
        <v>0</v>
      </c>
      <c r="W343">
        <v>0</v>
      </c>
    </row>
    <row r="344" spans="2:24" x14ac:dyDescent="0.3">
      <c r="B344" s="8" t="s">
        <v>655</v>
      </c>
      <c r="C344" s="10">
        <v>5.5</v>
      </c>
      <c r="D344" s="10">
        <v>5</v>
      </c>
      <c r="E344" s="8">
        <v>5</v>
      </c>
      <c r="F344" s="8">
        <v>0</v>
      </c>
      <c r="G344" s="8">
        <v>0</v>
      </c>
      <c r="H344" s="8">
        <v>0</v>
      </c>
      <c r="I344" s="8">
        <v>0</v>
      </c>
      <c r="J344" s="8">
        <v>0</v>
      </c>
      <c r="K344" s="8">
        <v>0</v>
      </c>
      <c r="L344" s="8">
        <v>1</v>
      </c>
      <c r="M344" s="8">
        <v>0</v>
      </c>
      <c r="N344" s="8">
        <v>0</v>
      </c>
      <c r="O344" s="8"/>
      <c r="P344" s="8">
        <v>0</v>
      </c>
      <c r="Q344" s="8">
        <v>0</v>
      </c>
      <c r="R344" s="8"/>
      <c r="S344" s="317" t="s">
        <v>602</v>
      </c>
      <c r="T344" s="8">
        <v>0</v>
      </c>
      <c r="U344">
        <v>0</v>
      </c>
      <c r="W344">
        <v>0</v>
      </c>
    </row>
    <row r="345" spans="2:24" x14ac:dyDescent="0.3">
      <c r="B345" s="8" t="s">
        <v>964</v>
      </c>
      <c r="C345" s="10">
        <v>5.5</v>
      </c>
      <c r="D345" s="10">
        <v>5</v>
      </c>
      <c r="E345" s="8">
        <v>5</v>
      </c>
      <c r="F345" s="8">
        <v>0</v>
      </c>
      <c r="G345" s="8">
        <v>0</v>
      </c>
      <c r="H345" s="8">
        <v>0</v>
      </c>
      <c r="I345" s="8">
        <v>0</v>
      </c>
      <c r="J345" s="8">
        <v>0</v>
      </c>
      <c r="K345" s="8">
        <v>0</v>
      </c>
      <c r="L345" s="8">
        <v>1</v>
      </c>
      <c r="M345" s="8">
        <v>0</v>
      </c>
      <c r="N345" s="8">
        <v>0</v>
      </c>
      <c r="O345" s="8"/>
      <c r="P345" s="8">
        <v>0</v>
      </c>
      <c r="Q345" s="8">
        <v>0</v>
      </c>
      <c r="R345" s="8"/>
      <c r="S345" s="317" t="s">
        <v>602</v>
      </c>
      <c r="T345" s="8">
        <v>0</v>
      </c>
      <c r="U345">
        <v>0</v>
      </c>
      <c r="W345">
        <v>0</v>
      </c>
    </row>
    <row r="346" spans="2:24" x14ac:dyDescent="0.3">
      <c r="B346" s="8" t="s">
        <v>1090</v>
      </c>
      <c r="C346" s="10">
        <v>6</v>
      </c>
      <c r="D346" s="10">
        <v>5</v>
      </c>
      <c r="E346" s="8">
        <v>5</v>
      </c>
      <c r="F346" s="8">
        <v>0</v>
      </c>
      <c r="G346" s="8">
        <v>1</v>
      </c>
      <c r="H346" s="8">
        <v>0</v>
      </c>
      <c r="I346" s="8">
        <v>0</v>
      </c>
      <c r="J346" s="8">
        <v>0</v>
      </c>
      <c r="K346" s="8">
        <v>0</v>
      </c>
      <c r="L346" s="8">
        <v>0</v>
      </c>
      <c r="M346" s="8">
        <v>0</v>
      </c>
      <c r="N346" s="8">
        <v>0</v>
      </c>
      <c r="O346" s="8"/>
      <c r="P346" s="8">
        <v>0</v>
      </c>
      <c r="Q346" s="8">
        <v>0</v>
      </c>
      <c r="R346" s="8"/>
      <c r="S346" s="317" t="s">
        <v>602</v>
      </c>
      <c r="T346" s="8">
        <v>0</v>
      </c>
      <c r="U346">
        <v>0</v>
      </c>
      <c r="W346">
        <v>0</v>
      </c>
    </row>
    <row r="347" spans="2:24" x14ac:dyDescent="0.3">
      <c r="B347" s="8" t="s">
        <v>1038</v>
      </c>
      <c r="C347" s="10">
        <v>5</v>
      </c>
      <c r="D347" s="10">
        <v>5</v>
      </c>
      <c r="E347" s="8">
        <v>5</v>
      </c>
      <c r="F347" s="8">
        <v>0</v>
      </c>
      <c r="G347" s="8">
        <v>0</v>
      </c>
      <c r="H347" s="8">
        <v>0</v>
      </c>
      <c r="I347" s="8">
        <v>0</v>
      </c>
      <c r="J347" s="8">
        <v>0</v>
      </c>
      <c r="K347" s="8">
        <v>0</v>
      </c>
      <c r="L347" s="8">
        <v>0</v>
      </c>
      <c r="M347" s="8">
        <v>0</v>
      </c>
      <c r="N347" s="8">
        <v>0</v>
      </c>
      <c r="O347" s="8"/>
      <c r="P347" s="8">
        <v>0</v>
      </c>
      <c r="Q347" s="8">
        <v>0</v>
      </c>
      <c r="R347" s="8"/>
      <c r="S347" s="317" t="s">
        <v>602</v>
      </c>
      <c r="T347" s="8">
        <v>0</v>
      </c>
      <c r="U347">
        <v>0</v>
      </c>
      <c r="W347">
        <v>0</v>
      </c>
    </row>
    <row r="348" spans="2:24" x14ac:dyDescent="0.3">
      <c r="B348" s="8" t="s">
        <v>854</v>
      </c>
      <c r="C348" s="10">
        <v>5.5</v>
      </c>
      <c r="D348" s="10">
        <v>5</v>
      </c>
      <c r="E348" s="8">
        <v>5</v>
      </c>
      <c r="F348" s="8">
        <v>0</v>
      </c>
      <c r="G348" s="8">
        <v>0</v>
      </c>
      <c r="H348" s="8">
        <v>0</v>
      </c>
      <c r="I348" s="8">
        <v>0</v>
      </c>
      <c r="J348" s="8">
        <v>0</v>
      </c>
      <c r="K348" s="8">
        <v>0</v>
      </c>
      <c r="L348" s="8">
        <v>1</v>
      </c>
      <c r="M348" s="8">
        <v>0</v>
      </c>
      <c r="N348" s="8">
        <v>0</v>
      </c>
      <c r="O348" s="8"/>
      <c r="P348" s="8">
        <v>0</v>
      </c>
      <c r="Q348" s="8">
        <v>0</v>
      </c>
      <c r="R348" s="8"/>
      <c r="S348" s="317" t="s">
        <v>602</v>
      </c>
      <c r="T348" s="8">
        <v>0</v>
      </c>
      <c r="U348">
        <v>0</v>
      </c>
      <c r="W348">
        <v>0</v>
      </c>
    </row>
    <row r="349" spans="2:24" x14ac:dyDescent="0.3">
      <c r="B349" s="8" t="s">
        <v>712</v>
      </c>
      <c r="C349" s="10">
        <v>5</v>
      </c>
      <c r="D349" s="10">
        <v>5</v>
      </c>
      <c r="E349" s="8">
        <v>5</v>
      </c>
      <c r="F349" s="8">
        <v>0</v>
      </c>
      <c r="G349" s="8">
        <v>0</v>
      </c>
      <c r="H349" s="8">
        <v>0</v>
      </c>
      <c r="I349" s="8">
        <v>0</v>
      </c>
      <c r="J349" s="8">
        <v>0</v>
      </c>
      <c r="K349" s="8">
        <v>0</v>
      </c>
      <c r="L349" s="8">
        <v>0</v>
      </c>
      <c r="M349" s="8">
        <v>0</v>
      </c>
      <c r="N349" s="8">
        <v>0</v>
      </c>
      <c r="O349" s="8"/>
      <c r="P349" s="8">
        <v>0</v>
      </c>
      <c r="Q349" s="8">
        <v>0</v>
      </c>
      <c r="R349" s="8">
        <v>1</v>
      </c>
      <c r="S349" s="317">
        <v>5</v>
      </c>
      <c r="T349" s="8">
        <v>5</v>
      </c>
      <c r="U349">
        <v>0</v>
      </c>
      <c r="W349">
        <v>0</v>
      </c>
    </row>
    <row r="350" spans="2:24" x14ac:dyDescent="0.3">
      <c r="B350" s="8" t="s">
        <v>782</v>
      </c>
      <c r="C350" s="10">
        <v>5</v>
      </c>
      <c r="D350" s="10">
        <v>5</v>
      </c>
      <c r="E350" s="8">
        <v>5</v>
      </c>
      <c r="F350" s="8">
        <v>0</v>
      </c>
      <c r="G350" s="8">
        <v>0</v>
      </c>
      <c r="H350" s="8">
        <v>0</v>
      </c>
      <c r="I350" s="8">
        <v>0</v>
      </c>
      <c r="J350" s="8">
        <v>0</v>
      </c>
      <c r="K350" s="8">
        <v>0</v>
      </c>
      <c r="L350" s="8">
        <v>0</v>
      </c>
      <c r="M350" s="8">
        <v>0</v>
      </c>
      <c r="N350" s="8">
        <v>0</v>
      </c>
      <c r="O350" s="8"/>
      <c r="P350" s="8">
        <v>0</v>
      </c>
      <c r="Q350" s="8">
        <v>0</v>
      </c>
      <c r="R350" s="8"/>
      <c r="S350" s="317" t="s">
        <v>602</v>
      </c>
      <c r="T350" s="8">
        <v>0</v>
      </c>
      <c r="U350">
        <v>0</v>
      </c>
      <c r="W350">
        <v>0</v>
      </c>
    </row>
    <row r="351" spans="2:24" x14ac:dyDescent="0.3">
      <c r="B351" s="8" t="s">
        <v>540</v>
      </c>
      <c r="C351" s="10">
        <v>5</v>
      </c>
      <c r="D351" s="10">
        <v>4.5</v>
      </c>
      <c r="E351" s="8">
        <v>4.5</v>
      </c>
      <c r="F351" s="8">
        <v>0</v>
      </c>
      <c r="G351" s="8">
        <v>0</v>
      </c>
      <c r="H351" s="8">
        <v>0</v>
      </c>
      <c r="I351" s="8">
        <v>0</v>
      </c>
      <c r="J351" s="8">
        <v>0</v>
      </c>
      <c r="K351" s="8">
        <v>0</v>
      </c>
      <c r="L351" s="8">
        <v>1</v>
      </c>
      <c r="M351" s="8">
        <v>0</v>
      </c>
      <c r="N351" s="8">
        <v>0</v>
      </c>
      <c r="O351" s="8"/>
      <c r="P351" s="8">
        <v>0</v>
      </c>
      <c r="Q351" s="8">
        <v>0</v>
      </c>
      <c r="R351" s="8">
        <v>1</v>
      </c>
      <c r="S351" s="317">
        <v>4.5</v>
      </c>
      <c r="T351" s="8">
        <v>4.5</v>
      </c>
      <c r="U351">
        <v>0</v>
      </c>
      <c r="W351">
        <v>4.5</v>
      </c>
      <c r="X351">
        <v>1</v>
      </c>
    </row>
    <row r="352" spans="2:24" x14ac:dyDescent="0.3">
      <c r="B352" s="8" t="s">
        <v>280</v>
      </c>
      <c r="C352" s="10">
        <v>6.5</v>
      </c>
      <c r="D352" s="10">
        <v>4.5</v>
      </c>
      <c r="E352" s="8">
        <v>4.5</v>
      </c>
      <c r="F352" s="8">
        <v>0</v>
      </c>
      <c r="G352" s="8">
        <v>2</v>
      </c>
      <c r="H352" s="8">
        <v>0</v>
      </c>
      <c r="I352" s="8">
        <v>0</v>
      </c>
      <c r="J352" s="8">
        <v>0</v>
      </c>
      <c r="K352" s="8">
        <v>0</v>
      </c>
      <c r="L352" s="8">
        <v>0</v>
      </c>
      <c r="M352" s="8">
        <v>0</v>
      </c>
      <c r="N352" s="8">
        <v>0</v>
      </c>
      <c r="O352" s="8"/>
      <c r="P352" s="8">
        <v>0</v>
      </c>
      <c r="Q352" s="8">
        <v>0</v>
      </c>
      <c r="R352" s="8">
        <v>1</v>
      </c>
      <c r="S352" s="317">
        <v>4.5</v>
      </c>
      <c r="T352" s="8">
        <v>4.5</v>
      </c>
      <c r="U352">
        <v>4.5</v>
      </c>
      <c r="V352">
        <v>1</v>
      </c>
      <c r="W352">
        <v>4.5</v>
      </c>
      <c r="X352">
        <v>1</v>
      </c>
    </row>
    <row r="353" spans="2:24" x14ac:dyDescent="0.3">
      <c r="B353" s="8" t="s">
        <v>639</v>
      </c>
      <c r="C353" s="10">
        <v>5.5</v>
      </c>
      <c r="D353" s="10">
        <v>4.5</v>
      </c>
      <c r="E353" s="8">
        <v>4.5</v>
      </c>
      <c r="F353" s="8">
        <v>0</v>
      </c>
      <c r="G353" s="8">
        <v>0</v>
      </c>
      <c r="H353" s="8">
        <v>0</v>
      </c>
      <c r="I353" s="8">
        <v>0</v>
      </c>
      <c r="J353" s="8">
        <v>0</v>
      </c>
      <c r="K353" s="8">
        <v>0</v>
      </c>
      <c r="L353" s="8">
        <v>0</v>
      </c>
      <c r="M353" s="8">
        <v>1</v>
      </c>
      <c r="N353" s="8">
        <v>0</v>
      </c>
      <c r="O353" s="8"/>
      <c r="P353" s="8">
        <v>0</v>
      </c>
      <c r="Q353" s="8">
        <v>0</v>
      </c>
      <c r="R353" s="8"/>
      <c r="S353" s="317" t="s">
        <v>602</v>
      </c>
      <c r="T353" s="8">
        <v>0</v>
      </c>
      <c r="U353">
        <v>0</v>
      </c>
      <c r="W353">
        <v>0</v>
      </c>
    </row>
    <row r="354" spans="2:24" x14ac:dyDescent="0.3">
      <c r="B354" s="8" t="s">
        <v>266</v>
      </c>
      <c r="C354" s="10">
        <v>7</v>
      </c>
      <c r="D354" s="10">
        <v>4</v>
      </c>
      <c r="E354" s="8">
        <v>4</v>
      </c>
      <c r="F354" s="8">
        <v>0</v>
      </c>
      <c r="G354" s="8">
        <v>3</v>
      </c>
      <c r="H354" s="8">
        <v>0</v>
      </c>
      <c r="I354" s="8">
        <v>0</v>
      </c>
      <c r="J354" s="8">
        <v>0</v>
      </c>
      <c r="K354" s="8">
        <v>0</v>
      </c>
      <c r="L354" s="8">
        <v>0</v>
      </c>
      <c r="M354" s="8">
        <v>0</v>
      </c>
      <c r="N354" s="8">
        <v>0</v>
      </c>
      <c r="O354" s="8"/>
      <c r="P354" s="8">
        <v>0</v>
      </c>
      <c r="Q354" s="8">
        <v>0</v>
      </c>
      <c r="R354" s="8"/>
      <c r="S354" s="317" t="s">
        <v>602</v>
      </c>
      <c r="T354" s="8">
        <v>0</v>
      </c>
      <c r="U354">
        <v>4</v>
      </c>
      <c r="V354">
        <v>1</v>
      </c>
      <c r="W354">
        <v>4</v>
      </c>
      <c r="X354">
        <v>1</v>
      </c>
    </row>
    <row r="355" spans="2:24" x14ac:dyDescent="0.3">
      <c r="B355" s="8" t="s">
        <v>975</v>
      </c>
      <c r="C355" s="10">
        <v>4.5</v>
      </c>
      <c r="D355" s="10">
        <v>4</v>
      </c>
      <c r="E355" s="8">
        <v>4</v>
      </c>
      <c r="F355" s="8">
        <v>0</v>
      </c>
      <c r="G355" s="8">
        <v>0</v>
      </c>
      <c r="H355" s="8">
        <v>0</v>
      </c>
      <c r="I355" s="8">
        <v>0</v>
      </c>
      <c r="J355" s="8">
        <v>0</v>
      </c>
      <c r="K355" s="8">
        <v>0</v>
      </c>
      <c r="L355" s="8">
        <v>1</v>
      </c>
      <c r="M355" s="8">
        <v>0</v>
      </c>
      <c r="N355" s="8">
        <v>0</v>
      </c>
      <c r="O355" s="8"/>
      <c r="P355" s="8">
        <v>0</v>
      </c>
      <c r="Q355" s="8">
        <v>0</v>
      </c>
      <c r="R355" s="8"/>
      <c r="S355" s="317" t="s">
        <v>602</v>
      </c>
      <c r="T355" s="8">
        <v>0</v>
      </c>
      <c r="U355">
        <v>0</v>
      </c>
      <c r="W355">
        <v>0</v>
      </c>
    </row>
    <row r="356" spans="2:24" x14ac:dyDescent="0.3">
      <c r="B356" s="8" t="s">
        <v>697</v>
      </c>
      <c r="C356" s="10" t="s">
        <v>602</v>
      </c>
      <c r="D356" s="10">
        <v>0</v>
      </c>
      <c r="E356" s="8">
        <v>0</v>
      </c>
      <c r="F356" s="8">
        <v>0</v>
      </c>
      <c r="G356" s="8">
        <v>0</v>
      </c>
      <c r="H356" s="8">
        <v>0</v>
      </c>
      <c r="I356" s="8">
        <v>0</v>
      </c>
      <c r="J356" s="8">
        <v>0</v>
      </c>
      <c r="K356" s="8">
        <v>0</v>
      </c>
      <c r="L356" s="8">
        <v>0</v>
      </c>
      <c r="M356" s="8">
        <v>0</v>
      </c>
      <c r="N356" s="8">
        <v>0</v>
      </c>
      <c r="O356" s="8"/>
      <c r="P356" s="8">
        <v>0</v>
      </c>
      <c r="Q356" s="8">
        <v>0</v>
      </c>
      <c r="R356" s="8"/>
      <c r="S356" s="317" t="s">
        <v>602</v>
      </c>
      <c r="T356" s="8">
        <v>0</v>
      </c>
      <c r="U356">
        <v>0</v>
      </c>
      <c r="W356">
        <v>0</v>
      </c>
    </row>
    <row r="357" spans="2:24" x14ac:dyDescent="0.3">
      <c r="B357" s="8" t="s">
        <v>1048</v>
      </c>
      <c r="C357" s="10"/>
      <c r="D357" s="10">
        <v>0</v>
      </c>
      <c r="E357" s="8">
        <v>0</v>
      </c>
      <c r="F357" s="8"/>
      <c r="G357" s="8"/>
      <c r="H357" s="8"/>
      <c r="I357" s="8"/>
      <c r="J357" s="8"/>
      <c r="K357" s="8"/>
      <c r="L357" s="8"/>
      <c r="M357" s="8"/>
      <c r="N357" s="8"/>
      <c r="O357" s="8"/>
      <c r="P357" s="8">
        <v>0</v>
      </c>
      <c r="Q357" s="8">
        <v>0</v>
      </c>
      <c r="R357" s="8"/>
      <c r="S357" s="317" t="s">
        <v>602</v>
      </c>
      <c r="T357" s="8">
        <v>0</v>
      </c>
      <c r="U357">
        <v>0</v>
      </c>
      <c r="W357">
        <v>0</v>
      </c>
    </row>
    <row r="358" spans="2:24" x14ac:dyDescent="0.3">
      <c r="B358" s="56" t="s">
        <v>385</v>
      </c>
      <c r="C358" s="57">
        <v>6.0299145299145298</v>
      </c>
      <c r="D358" s="57">
        <v>6.3160136286201025</v>
      </c>
      <c r="E358" s="56">
        <v>3707.5</v>
      </c>
      <c r="F358" s="56">
        <v>71</v>
      </c>
      <c r="G358" s="56">
        <v>72</v>
      </c>
      <c r="H358" s="56">
        <v>0</v>
      </c>
      <c r="I358" s="56">
        <v>1</v>
      </c>
      <c r="J358" s="56">
        <v>1</v>
      </c>
      <c r="K358" s="56">
        <v>0</v>
      </c>
      <c r="L358" s="56">
        <v>58</v>
      </c>
      <c r="M358" s="56">
        <v>2</v>
      </c>
      <c r="N358" s="56">
        <v>52</v>
      </c>
      <c r="O358" s="56">
        <v>15</v>
      </c>
      <c r="P358" s="56">
        <v>3</v>
      </c>
      <c r="Q358" s="56">
        <v>72</v>
      </c>
      <c r="R358" s="56">
        <v>110</v>
      </c>
      <c r="S358" s="58">
        <v>6.7454545454545451</v>
      </c>
      <c r="T358" s="56">
        <v>742</v>
      </c>
      <c r="U358" s="409">
        <v>794</v>
      </c>
      <c r="V358" s="409">
        <v>110</v>
      </c>
      <c r="W358" s="409">
        <v>791.5</v>
      </c>
      <c r="X358" s="409">
        <v>110</v>
      </c>
    </row>
    <row r="359" spans="2:24" x14ac:dyDescent="0.3">
      <c r="C359"/>
      <c r="D359"/>
      <c r="R359"/>
      <c r="S359"/>
    </row>
    <row r="360" spans="2:24" x14ac:dyDescent="0.3">
      <c r="C360"/>
      <c r="D360"/>
      <c r="R360"/>
      <c r="S360"/>
    </row>
    <row r="361" spans="2:24" x14ac:dyDescent="0.3">
      <c r="C361"/>
      <c r="D361"/>
      <c r="R361"/>
      <c r="S361"/>
    </row>
    <row r="362" spans="2:24" x14ac:dyDescent="0.3">
      <c r="C362"/>
      <c r="D362"/>
      <c r="R362"/>
      <c r="S362"/>
    </row>
    <row r="363" spans="2:24" x14ac:dyDescent="0.3">
      <c r="C363"/>
      <c r="D363"/>
      <c r="R363"/>
      <c r="S363"/>
    </row>
    <row r="364" spans="2:24" x14ac:dyDescent="0.3">
      <c r="C364"/>
      <c r="D364"/>
      <c r="R364"/>
      <c r="S364"/>
    </row>
    <row r="365" spans="2:24" x14ac:dyDescent="0.3">
      <c r="C365"/>
      <c r="D365"/>
      <c r="R365"/>
      <c r="S365"/>
    </row>
    <row r="366" spans="2:24" x14ac:dyDescent="0.3">
      <c r="C366"/>
      <c r="D366"/>
      <c r="R366"/>
      <c r="S366"/>
    </row>
    <row r="367" spans="2:24" x14ac:dyDescent="0.3">
      <c r="C367"/>
      <c r="D367"/>
      <c r="R367"/>
      <c r="S367"/>
    </row>
    <row r="368" spans="2:24" x14ac:dyDescent="0.3">
      <c r="C368"/>
      <c r="D368"/>
      <c r="R368"/>
      <c r="S368"/>
    </row>
    <row r="369" customFormat="1" x14ac:dyDescent="0.3"/>
    <row r="370" customFormat="1" x14ac:dyDescent="0.3"/>
    <row r="371" customFormat="1" x14ac:dyDescent="0.3"/>
    <row r="372" customFormat="1" x14ac:dyDescent="0.3"/>
    <row r="373" customFormat="1" x14ac:dyDescent="0.3"/>
    <row r="374" customFormat="1" x14ac:dyDescent="0.3"/>
    <row r="375" customFormat="1" x14ac:dyDescent="0.3"/>
    <row r="376" customFormat="1" x14ac:dyDescent="0.3"/>
    <row r="377" customFormat="1" x14ac:dyDescent="0.3"/>
    <row r="378" customFormat="1" x14ac:dyDescent="0.3"/>
    <row r="379" customFormat="1" x14ac:dyDescent="0.3"/>
    <row r="380" customFormat="1" x14ac:dyDescent="0.3"/>
    <row r="381" customFormat="1" x14ac:dyDescent="0.3"/>
    <row r="382" customFormat="1" x14ac:dyDescent="0.3"/>
    <row r="383" customFormat="1" x14ac:dyDescent="0.3"/>
    <row r="384" customFormat="1" x14ac:dyDescent="0.3"/>
    <row r="385" customFormat="1" x14ac:dyDescent="0.3"/>
    <row r="386" customFormat="1" x14ac:dyDescent="0.3"/>
    <row r="387" customFormat="1" x14ac:dyDescent="0.3"/>
    <row r="388" customFormat="1" x14ac:dyDescent="0.3"/>
    <row r="389" customFormat="1" x14ac:dyDescent="0.3"/>
    <row r="390" customFormat="1" x14ac:dyDescent="0.3"/>
    <row r="391" customFormat="1" x14ac:dyDescent="0.3"/>
    <row r="392" customFormat="1" x14ac:dyDescent="0.3"/>
    <row r="393" customFormat="1" x14ac:dyDescent="0.3"/>
    <row r="394" customFormat="1" x14ac:dyDescent="0.3"/>
    <row r="395" customFormat="1" x14ac:dyDescent="0.3"/>
    <row r="396" customFormat="1" x14ac:dyDescent="0.3"/>
    <row r="397" customFormat="1" x14ac:dyDescent="0.3"/>
    <row r="398" customFormat="1" x14ac:dyDescent="0.3"/>
    <row r="399" customFormat="1" x14ac:dyDescent="0.3"/>
    <row r="400" customFormat="1" x14ac:dyDescent="0.3"/>
    <row r="401" customFormat="1" x14ac:dyDescent="0.3"/>
    <row r="402" customFormat="1" x14ac:dyDescent="0.3"/>
    <row r="403" customFormat="1" x14ac:dyDescent="0.3"/>
    <row r="404" customFormat="1" x14ac:dyDescent="0.3"/>
    <row r="405" customFormat="1" x14ac:dyDescent="0.3"/>
    <row r="406" customFormat="1" x14ac:dyDescent="0.3"/>
    <row r="407" customFormat="1" x14ac:dyDescent="0.3"/>
    <row r="408" customFormat="1" x14ac:dyDescent="0.3"/>
    <row r="409" customFormat="1" x14ac:dyDescent="0.3"/>
    <row r="410" customFormat="1" x14ac:dyDescent="0.3"/>
    <row r="411" customFormat="1" x14ac:dyDescent="0.3"/>
    <row r="412" customFormat="1" x14ac:dyDescent="0.3"/>
    <row r="413" customFormat="1" x14ac:dyDescent="0.3"/>
    <row r="414" customFormat="1" x14ac:dyDescent="0.3"/>
    <row r="415" customFormat="1" x14ac:dyDescent="0.3"/>
    <row r="416" customFormat="1" x14ac:dyDescent="0.3"/>
    <row r="417" customFormat="1" x14ac:dyDescent="0.3"/>
    <row r="418" customFormat="1" x14ac:dyDescent="0.3"/>
    <row r="419" customFormat="1" x14ac:dyDescent="0.3"/>
    <row r="420" customFormat="1" x14ac:dyDescent="0.3"/>
    <row r="421" customFormat="1" x14ac:dyDescent="0.3"/>
    <row r="422" customFormat="1" x14ac:dyDescent="0.3"/>
    <row r="423" customFormat="1" x14ac:dyDescent="0.3"/>
    <row r="424" customFormat="1" x14ac:dyDescent="0.3"/>
    <row r="425" customFormat="1" x14ac:dyDescent="0.3"/>
    <row r="426" customFormat="1" x14ac:dyDescent="0.3"/>
    <row r="427" customFormat="1" x14ac:dyDescent="0.3"/>
    <row r="428" customFormat="1" x14ac:dyDescent="0.3"/>
    <row r="429" customFormat="1" x14ac:dyDescent="0.3"/>
    <row r="430" customFormat="1" x14ac:dyDescent="0.3"/>
    <row r="431" customFormat="1" x14ac:dyDescent="0.3"/>
    <row r="432" customFormat="1" x14ac:dyDescent="0.3"/>
    <row r="433" customFormat="1" x14ac:dyDescent="0.3"/>
    <row r="434" customFormat="1" x14ac:dyDescent="0.3"/>
    <row r="435" customFormat="1" x14ac:dyDescent="0.3"/>
    <row r="436" customFormat="1" x14ac:dyDescent="0.3"/>
    <row r="437" customFormat="1" x14ac:dyDescent="0.3"/>
    <row r="438" customFormat="1" x14ac:dyDescent="0.3"/>
    <row r="439" customFormat="1" x14ac:dyDescent="0.3"/>
    <row r="440" customFormat="1" x14ac:dyDescent="0.3"/>
    <row r="441" customFormat="1" x14ac:dyDescent="0.3"/>
    <row r="442" customFormat="1" x14ac:dyDescent="0.3"/>
    <row r="443" customFormat="1" x14ac:dyDescent="0.3"/>
    <row r="444" customFormat="1" x14ac:dyDescent="0.3"/>
    <row r="445" customFormat="1" x14ac:dyDescent="0.3"/>
    <row r="446" customFormat="1" x14ac:dyDescent="0.3"/>
    <row r="447" customFormat="1" x14ac:dyDescent="0.3"/>
    <row r="448" customFormat="1" x14ac:dyDescent="0.3"/>
    <row r="449" customFormat="1" x14ac:dyDescent="0.3"/>
    <row r="450" customFormat="1" x14ac:dyDescent="0.3"/>
    <row r="451" customFormat="1" x14ac:dyDescent="0.3"/>
    <row r="452" customFormat="1" x14ac:dyDescent="0.3"/>
    <row r="453" customFormat="1" x14ac:dyDescent="0.3"/>
    <row r="454" customFormat="1" x14ac:dyDescent="0.3"/>
    <row r="455" customFormat="1" x14ac:dyDescent="0.3"/>
    <row r="456" customFormat="1" x14ac:dyDescent="0.3"/>
    <row r="457" customFormat="1" x14ac:dyDescent="0.3"/>
    <row r="458" customFormat="1" x14ac:dyDescent="0.3"/>
    <row r="459" customFormat="1" x14ac:dyDescent="0.3"/>
    <row r="460" customFormat="1" x14ac:dyDescent="0.3"/>
    <row r="461" customFormat="1" x14ac:dyDescent="0.3"/>
    <row r="462" customFormat="1" x14ac:dyDescent="0.3"/>
    <row r="463" customFormat="1" x14ac:dyDescent="0.3"/>
    <row r="464" customFormat="1" x14ac:dyDescent="0.3"/>
    <row r="465" customFormat="1" x14ac:dyDescent="0.3"/>
    <row r="466" customFormat="1" x14ac:dyDescent="0.3"/>
    <row r="467" customFormat="1" x14ac:dyDescent="0.3"/>
    <row r="468" customFormat="1" x14ac:dyDescent="0.3"/>
    <row r="469" customFormat="1" x14ac:dyDescent="0.3"/>
    <row r="470" customFormat="1" x14ac:dyDescent="0.3"/>
    <row r="471" customFormat="1" x14ac:dyDescent="0.3"/>
    <row r="472" customFormat="1" x14ac:dyDescent="0.3"/>
    <row r="473" customFormat="1" x14ac:dyDescent="0.3"/>
    <row r="474" customFormat="1" x14ac:dyDescent="0.3"/>
    <row r="475" customFormat="1" x14ac:dyDescent="0.3"/>
    <row r="476" customFormat="1" x14ac:dyDescent="0.3"/>
    <row r="477" customFormat="1" x14ac:dyDescent="0.3"/>
    <row r="478" customFormat="1" x14ac:dyDescent="0.3"/>
    <row r="479" customFormat="1" x14ac:dyDescent="0.3"/>
    <row r="480" customFormat="1" x14ac:dyDescent="0.3"/>
    <row r="481" customFormat="1" x14ac:dyDescent="0.3"/>
    <row r="482" customFormat="1" x14ac:dyDescent="0.3"/>
    <row r="483" customFormat="1" x14ac:dyDescent="0.3"/>
    <row r="484" customFormat="1" x14ac:dyDescent="0.3"/>
    <row r="485" customFormat="1" x14ac:dyDescent="0.3"/>
    <row r="486" customFormat="1" x14ac:dyDescent="0.3"/>
    <row r="487" customFormat="1" x14ac:dyDescent="0.3"/>
    <row r="488" customFormat="1" x14ac:dyDescent="0.3"/>
    <row r="489" customFormat="1" x14ac:dyDescent="0.3"/>
    <row r="490" customFormat="1" x14ac:dyDescent="0.3"/>
    <row r="491" customFormat="1" x14ac:dyDescent="0.3"/>
    <row r="492" customFormat="1" x14ac:dyDescent="0.3"/>
    <row r="493" customFormat="1" x14ac:dyDescent="0.3"/>
    <row r="494" customFormat="1" x14ac:dyDescent="0.3"/>
    <row r="495" customFormat="1" x14ac:dyDescent="0.3"/>
    <row r="496" customFormat="1" x14ac:dyDescent="0.3"/>
    <row r="497" customFormat="1" x14ac:dyDescent="0.3"/>
    <row r="498" customFormat="1" x14ac:dyDescent="0.3"/>
    <row r="499" customFormat="1" x14ac:dyDescent="0.3"/>
    <row r="500" customFormat="1" x14ac:dyDescent="0.3"/>
    <row r="501" customFormat="1" x14ac:dyDescent="0.3"/>
    <row r="502" customFormat="1" x14ac:dyDescent="0.3"/>
    <row r="503" customFormat="1" x14ac:dyDescent="0.3"/>
    <row r="504" customFormat="1" x14ac:dyDescent="0.3"/>
    <row r="505" customFormat="1" x14ac:dyDescent="0.3"/>
    <row r="506" customFormat="1" x14ac:dyDescent="0.3"/>
    <row r="507" customFormat="1" x14ac:dyDescent="0.3"/>
    <row r="508" customFormat="1" x14ac:dyDescent="0.3"/>
    <row r="509" customFormat="1" x14ac:dyDescent="0.3"/>
    <row r="510" customFormat="1" x14ac:dyDescent="0.3"/>
    <row r="511" customFormat="1" x14ac:dyDescent="0.3"/>
    <row r="512" customFormat="1" x14ac:dyDescent="0.3"/>
    <row r="513" customFormat="1" x14ac:dyDescent="0.3"/>
    <row r="514" customFormat="1" x14ac:dyDescent="0.3"/>
    <row r="515" customFormat="1" x14ac:dyDescent="0.3"/>
    <row r="516" customFormat="1" x14ac:dyDescent="0.3"/>
    <row r="517" customFormat="1" x14ac:dyDescent="0.3"/>
    <row r="518" customFormat="1" x14ac:dyDescent="0.3"/>
    <row r="519" customFormat="1" x14ac:dyDescent="0.3"/>
    <row r="520" customFormat="1" x14ac:dyDescent="0.3"/>
    <row r="521" customFormat="1" x14ac:dyDescent="0.3"/>
    <row r="522" customFormat="1" x14ac:dyDescent="0.3"/>
    <row r="523" customFormat="1" x14ac:dyDescent="0.3"/>
    <row r="524" customFormat="1" x14ac:dyDescent="0.3"/>
    <row r="525" customFormat="1" x14ac:dyDescent="0.3"/>
    <row r="526" customFormat="1" x14ac:dyDescent="0.3"/>
    <row r="527" customFormat="1" x14ac:dyDescent="0.3"/>
    <row r="528" customFormat="1" x14ac:dyDescent="0.3"/>
    <row r="529" customFormat="1" x14ac:dyDescent="0.3"/>
    <row r="530" customFormat="1" x14ac:dyDescent="0.3"/>
    <row r="531" customFormat="1" x14ac:dyDescent="0.3"/>
    <row r="532" customFormat="1" x14ac:dyDescent="0.3"/>
    <row r="533" customFormat="1" x14ac:dyDescent="0.3"/>
    <row r="534" customFormat="1" x14ac:dyDescent="0.3"/>
    <row r="535" customFormat="1" x14ac:dyDescent="0.3"/>
    <row r="536" customFormat="1" x14ac:dyDescent="0.3"/>
    <row r="537" customFormat="1" x14ac:dyDescent="0.3"/>
    <row r="538" customFormat="1" x14ac:dyDescent="0.3"/>
    <row r="539" customFormat="1" x14ac:dyDescent="0.3"/>
    <row r="540" customFormat="1" x14ac:dyDescent="0.3"/>
    <row r="541" customFormat="1" x14ac:dyDescent="0.3"/>
    <row r="542" customFormat="1" x14ac:dyDescent="0.3"/>
    <row r="543" customFormat="1" x14ac:dyDescent="0.3"/>
    <row r="544" customFormat="1" x14ac:dyDescent="0.3"/>
    <row r="545" customFormat="1" x14ac:dyDescent="0.3"/>
    <row r="546" customFormat="1" x14ac:dyDescent="0.3"/>
    <row r="547" customFormat="1" x14ac:dyDescent="0.3"/>
    <row r="548" customFormat="1" x14ac:dyDescent="0.3"/>
    <row r="549" customFormat="1" x14ac:dyDescent="0.3"/>
    <row r="550" customFormat="1" x14ac:dyDescent="0.3"/>
    <row r="551" customFormat="1" x14ac:dyDescent="0.3"/>
    <row r="552" customFormat="1" x14ac:dyDescent="0.3"/>
    <row r="553" customFormat="1" x14ac:dyDescent="0.3"/>
    <row r="554" customFormat="1" x14ac:dyDescent="0.3"/>
    <row r="555" customFormat="1" x14ac:dyDescent="0.3"/>
    <row r="556" customFormat="1" x14ac:dyDescent="0.3"/>
    <row r="557" customFormat="1" x14ac:dyDescent="0.3"/>
    <row r="558" customFormat="1" x14ac:dyDescent="0.3"/>
    <row r="559" customFormat="1" x14ac:dyDescent="0.3"/>
    <row r="560" customFormat="1" x14ac:dyDescent="0.3"/>
    <row r="561" spans="3:19" x14ac:dyDescent="0.3">
      <c r="C561"/>
      <c r="D561"/>
      <c r="R561"/>
      <c r="S561"/>
    </row>
    <row r="562" spans="3:19" x14ac:dyDescent="0.3">
      <c r="C562"/>
      <c r="D562"/>
      <c r="R562"/>
      <c r="S562"/>
    </row>
    <row r="563" spans="3:19" x14ac:dyDescent="0.3">
      <c r="C563"/>
      <c r="D563"/>
      <c r="R563"/>
      <c r="S563"/>
    </row>
    <row r="564" spans="3:19" x14ac:dyDescent="0.3">
      <c r="C564"/>
      <c r="D564"/>
      <c r="R564"/>
      <c r="S564"/>
    </row>
    <row r="565" spans="3:19" x14ac:dyDescent="0.3">
      <c r="C565"/>
      <c r="D565"/>
      <c r="R565"/>
      <c r="S565"/>
    </row>
    <row r="566" spans="3:19" x14ac:dyDescent="0.3">
      <c r="C566"/>
      <c r="D566"/>
      <c r="R566"/>
      <c r="S566"/>
    </row>
    <row r="567" spans="3:19" x14ac:dyDescent="0.3">
      <c r="C567"/>
      <c r="D567"/>
      <c r="R567"/>
      <c r="S567"/>
    </row>
    <row r="568" spans="3:19" x14ac:dyDescent="0.3">
      <c r="C568"/>
      <c r="D568"/>
      <c r="R568"/>
      <c r="S568"/>
    </row>
    <row r="569" spans="3:19" x14ac:dyDescent="0.3">
      <c r="C569"/>
      <c r="D569"/>
      <c r="R569"/>
    </row>
    <row r="570" spans="3:19" x14ac:dyDescent="0.3">
      <c r="C570"/>
      <c r="D570"/>
      <c r="R570"/>
    </row>
    <row r="571" spans="3:19" x14ac:dyDescent="0.3">
      <c r="C571"/>
      <c r="D571"/>
      <c r="R571"/>
    </row>
    <row r="572" spans="3:19" x14ac:dyDescent="0.3">
      <c r="C572"/>
      <c r="D572"/>
      <c r="R572"/>
    </row>
    <row r="573" spans="3:19" x14ac:dyDescent="0.3">
      <c r="C573"/>
      <c r="D573"/>
      <c r="R573"/>
    </row>
    <row r="574" spans="3:19" x14ac:dyDescent="0.3">
      <c r="C574"/>
      <c r="D574"/>
      <c r="R574"/>
    </row>
    <row r="575" spans="3:19" x14ac:dyDescent="0.3">
      <c r="C575"/>
      <c r="D575"/>
      <c r="R575"/>
    </row>
    <row r="576" spans="3:19" x14ac:dyDescent="0.3">
      <c r="C576"/>
      <c r="D576"/>
      <c r="R576"/>
    </row>
    <row r="577" spans="3:18" x14ac:dyDescent="0.3">
      <c r="C577"/>
      <c r="D577"/>
      <c r="R577"/>
    </row>
    <row r="578" spans="3:18" x14ac:dyDescent="0.3">
      <c r="C578"/>
      <c r="D578"/>
      <c r="R578"/>
    </row>
    <row r="579" spans="3:18" x14ac:dyDescent="0.3">
      <c r="C579"/>
      <c r="D579"/>
      <c r="R579"/>
    </row>
    <row r="580" spans="3:18" x14ac:dyDescent="0.3">
      <c r="C580"/>
      <c r="D580"/>
      <c r="R580"/>
    </row>
    <row r="581" spans="3:18" x14ac:dyDescent="0.3">
      <c r="C581"/>
      <c r="D581"/>
      <c r="R581"/>
    </row>
    <row r="582" spans="3:18" x14ac:dyDescent="0.3">
      <c r="C582"/>
      <c r="D582"/>
      <c r="R582"/>
    </row>
    <row r="583" spans="3:18" x14ac:dyDescent="0.3">
      <c r="C583"/>
      <c r="D583"/>
      <c r="R583"/>
    </row>
    <row r="584" spans="3:18" x14ac:dyDescent="0.3">
      <c r="C584"/>
      <c r="D584"/>
      <c r="R584"/>
    </row>
    <row r="585" spans="3:18" x14ac:dyDescent="0.3">
      <c r="C585"/>
      <c r="D585"/>
      <c r="R585"/>
    </row>
    <row r="586" spans="3:18" x14ac:dyDescent="0.3">
      <c r="C586"/>
      <c r="D586"/>
      <c r="R586"/>
    </row>
    <row r="587" spans="3:18" x14ac:dyDescent="0.3">
      <c r="C587"/>
      <c r="D587"/>
      <c r="R587"/>
    </row>
    <row r="588" spans="3:18" x14ac:dyDescent="0.3">
      <c r="C588"/>
      <c r="D588"/>
      <c r="R588"/>
    </row>
    <row r="589" spans="3:18" x14ac:dyDescent="0.3">
      <c r="C589"/>
      <c r="D589"/>
      <c r="R589"/>
    </row>
    <row r="590" spans="3:18" x14ac:dyDescent="0.3">
      <c r="C590"/>
      <c r="D590"/>
      <c r="R590"/>
    </row>
    <row r="591" spans="3:18" x14ac:dyDescent="0.3">
      <c r="C591"/>
      <c r="D591"/>
      <c r="R591"/>
    </row>
    <row r="592" spans="3:18" x14ac:dyDescent="0.3">
      <c r="C592"/>
      <c r="D592"/>
      <c r="R592"/>
    </row>
    <row r="593" spans="3:18" x14ac:dyDescent="0.3">
      <c r="C593"/>
      <c r="D593"/>
      <c r="R593"/>
    </row>
    <row r="594" spans="3:18" x14ac:dyDescent="0.3">
      <c r="C594"/>
      <c r="D594"/>
      <c r="R594"/>
    </row>
    <row r="595" spans="3:18" x14ac:dyDescent="0.3">
      <c r="C595"/>
      <c r="D595"/>
      <c r="R595"/>
    </row>
    <row r="596" spans="3:18" x14ac:dyDescent="0.3">
      <c r="C596"/>
      <c r="D596"/>
      <c r="R596"/>
    </row>
    <row r="597" spans="3:18" x14ac:dyDescent="0.3">
      <c r="C597"/>
      <c r="D597"/>
      <c r="R597"/>
    </row>
    <row r="598" spans="3:18" x14ac:dyDescent="0.3">
      <c r="C598"/>
      <c r="D598"/>
      <c r="R598"/>
    </row>
    <row r="599" spans="3:18" x14ac:dyDescent="0.3">
      <c r="C599"/>
      <c r="D599"/>
      <c r="R599"/>
    </row>
    <row r="600" spans="3:18" x14ac:dyDescent="0.3">
      <c r="C600"/>
      <c r="D600"/>
      <c r="R600"/>
    </row>
    <row r="601" spans="3:18" x14ac:dyDescent="0.3">
      <c r="C601"/>
      <c r="D601"/>
      <c r="R601"/>
    </row>
    <row r="602" spans="3:18" x14ac:dyDescent="0.3">
      <c r="C602"/>
      <c r="D602"/>
      <c r="R602"/>
    </row>
    <row r="603" spans="3:18" x14ac:dyDescent="0.3">
      <c r="C603"/>
      <c r="D603"/>
      <c r="R603"/>
    </row>
    <row r="604" spans="3:18" x14ac:dyDescent="0.3">
      <c r="C604"/>
      <c r="D604"/>
      <c r="R604"/>
    </row>
    <row r="605" spans="3:18" x14ac:dyDescent="0.3">
      <c r="C605"/>
      <c r="D605"/>
      <c r="R605"/>
    </row>
    <row r="606" spans="3:18" x14ac:dyDescent="0.3">
      <c r="C606"/>
      <c r="D606"/>
      <c r="R606"/>
    </row>
    <row r="607" spans="3:18" x14ac:dyDescent="0.3">
      <c r="C607"/>
      <c r="D607"/>
      <c r="R607"/>
    </row>
    <row r="608" spans="3:18" x14ac:dyDescent="0.3">
      <c r="C608"/>
      <c r="D608"/>
      <c r="R608"/>
    </row>
    <row r="609" spans="3:18" x14ac:dyDescent="0.3">
      <c r="C609"/>
      <c r="D609"/>
      <c r="R609"/>
    </row>
    <row r="610" spans="3:18" x14ac:dyDescent="0.3">
      <c r="C610"/>
      <c r="D610"/>
      <c r="R610"/>
    </row>
    <row r="611" spans="3:18" x14ac:dyDescent="0.3">
      <c r="C611"/>
      <c r="D611"/>
      <c r="R611"/>
    </row>
    <row r="612" spans="3:18" x14ac:dyDescent="0.3">
      <c r="C612"/>
      <c r="D612"/>
      <c r="R612"/>
    </row>
    <row r="613" spans="3:18" x14ac:dyDescent="0.3">
      <c r="C613"/>
      <c r="D613"/>
      <c r="R613"/>
    </row>
    <row r="614" spans="3:18" x14ac:dyDescent="0.3">
      <c r="C614"/>
      <c r="D614"/>
      <c r="R614"/>
    </row>
    <row r="615" spans="3:18" x14ac:dyDescent="0.3">
      <c r="C615"/>
      <c r="D615"/>
      <c r="R615"/>
    </row>
    <row r="616" spans="3:18" x14ac:dyDescent="0.3">
      <c r="C616"/>
      <c r="D616"/>
      <c r="R616"/>
    </row>
    <row r="617" spans="3:18" x14ac:dyDescent="0.3">
      <c r="C617"/>
      <c r="D617"/>
      <c r="R617"/>
    </row>
    <row r="618" spans="3:18" x14ac:dyDescent="0.3">
      <c r="C618"/>
      <c r="D618"/>
      <c r="R618"/>
    </row>
    <row r="619" spans="3:18" x14ac:dyDescent="0.3">
      <c r="C619"/>
      <c r="D619"/>
      <c r="R619"/>
    </row>
    <row r="620" spans="3:18" x14ac:dyDescent="0.3">
      <c r="C620"/>
      <c r="D620"/>
      <c r="R620"/>
    </row>
    <row r="621" spans="3:18" x14ac:dyDescent="0.3">
      <c r="C621"/>
      <c r="D621"/>
      <c r="R621"/>
    </row>
    <row r="622" spans="3:18" x14ac:dyDescent="0.3">
      <c r="C622"/>
      <c r="D622"/>
      <c r="R622"/>
    </row>
    <row r="623" spans="3:18" x14ac:dyDescent="0.3">
      <c r="C623"/>
      <c r="D623"/>
      <c r="R623"/>
    </row>
    <row r="624" spans="3:18" x14ac:dyDescent="0.3">
      <c r="C624"/>
      <c r="D624"/>
      <c r="R624"/>
    </row>
    <row r="625" spans="3:18" x14ac:dyDescent="0.3">
      <c r="C625"/>
      <c r="D625"/>
      <c r="R625"/>
    </row>
    <row r="626" spans="3:18" x14ac:dyDescent="0.3">
      <c r="C626"/>
      <c r="D626"/>
      <c r="R626"/>
    </row>
    <row r="627" spans="3:18" x14ac:dyDescent="0.3">
      <c r="C627"/>
      <c r="D627"/>
      <c r="R627"/>
    </row>
    <row r="628" spans="3:18" x14ac:dyDescent="0.3">
      <c r="C628"/>
      <c r="D628"/>
      <c r="R628"/>
    </row>
    <row r="629" spans="3:18" x14ac:dyDescent="0.3">
      <c r="C629"/>
      <c r="D629"/>
      <c r="R629"/>
    </row>
    <row r="630" spans="3:18" x14ac:dyDescent="0.3">
      <c r="C630"/>
      <c r="D630"/>
      <c r="R630"/>
    </row>
    <row r="631" spans="3:18" x14ac:dyDescent="0.3">
      <c r="C631"/>
      <c r="D631"/>
      <c r="R631"/>
    </row>
    <row r="632" spans="3:18" x14ac:dyDescent="0.3">
      <c r="C632"/>
      <c r="D632"/>
      <c r="R632"/>
    </row>
    <row r="633" spans="3:18" x14ac:dyDescent="0.3">
      <c r="C633"/>
      <c r="D633"/>
      <c r="R633"/>
    </row>
    <row r="634" spans="3:18" x14ac:dyDescent="0.3">
      <c r="C634"/>
      <c r="D634"/>
      <c r="R634"/>
    </row>
    <row r="635" spans="3:18" x14ac:dyDescent="0.3">
      <c r="C635"/>
      <c r="D635"/>
      <c r="R635"/>
    </row>
    <row r="636" spans="3:18" x14ac:dyDescent="0.3">
      <c r="C636"/>
      <c r="D636"/>
      <c r="R636"/>
    </row>
    <row r="637" spans="3:18" x14ac:dyDescent="0.3">
      <c r="C637"/>
      <c r="D637"/>
      <c r="R637"/>
    </row>
    <row r="638" spans="3:18" x14ac:dyDescent="0.3">
      <c r="C638"/>
      <c r="D638"/>
      <c r="R638"/>
    </row>
    <row r="639" spans="3:18" x14ac:dyDescent="0.3">
      <c r="C639"/>
      <c r="D639"/>
      <c r="R639"/>
    </row>
    <row r="640" spans="3:18" x14ac:dyDescent="0.3">
      <c r="C640"/>
      <c r="D640"/>
      <c r="R640"/>
    </row>
    <row r="641" spans="3:18" x14ac:dyDescent="0.3">
      <c r="C641"/>
      <c r="D641"/>
      <c r="R641"/>
    </row>
    <row r="642" spans="3:18" x14ac:dyDescent="0.3">
      <c r="C642"/>
      <c r="D642"/>
      <c r="R642"/>
    </row>
    <row r="643" spans="3:18" x14ac:dyDescent="0.3">
      <c r="C643"/>
      <c r="D643"/>
      <c r="R643"/>
    </row>
    <row r="644" spans="3:18" x14ac:dyDescent="0.3">
      <c r="C644"/>
      <c r="D644"/>
      <c r="R644"/>
    </row>
    <row r="645" spans="3:18" x14ac:dyDescent="0.3">
      <c r="C645"/>
      <c r="D645"/>
      <c r="R645"/>
    </row>
    <row r="646" spans="3:18" x14ac:dyDescent="0.3">
      <c r="C646"/>
      <c r="D646"/>
      <c r="R646"/>
    </row>
    <row r="647" spans="3:18" x14ac:dyDescent="0.3">
      <c r="C647"/>
      <c r="D647"/>
      <c r="R647"/>
    </row>
    <row r="648" spans="3:18" x14ac:dyDescent="0.3">
      <c r="C648"/>
      <c r="D648"/>
      <c r="R648"/>
    </row>
    <row r="649" spans="3:18" x14ac:dyDescent="0.3">
      <c r="C649"/>
      <c r="D649"/>
      <c r="R649"/>
    </row>
    <row r="650" spans="3:18" x14ac:dyDescent="0.3">
      <c r="C650"/>
      <c r="D650"/>
      <c r="R650"/>
    </row>
    <row r="651" spans="3:18" x14ac:dyDescent="0.3">
      <c r="C651"/>
      <c r="D651"/>
      <c r="R651"/>
    </row>
    <row r="652" spans="3:18" x14ac:dyDescent="0.3">
      <c r="C652"/>
      <c r="D652"/>
      <c r="R652"/>
    </row>
    <row r="653" spans="3:18" x14ac:dyDescent="0.3">
      <c r="C653"/>
      <c r="D653"/>
      <c r="R653"/>
    </row>
    <row r="654" spans="3:18" x14ac:dyDescent="0.3">
      <c r="C654"/>
      <c r="D654"/>
      <c r="R654"/>
    </row>
    <row r="655" spans="3:18" x14ac:dyDescent="0.3">
      <c r="C655"/>
      <c r="D655"/>
      <c r="R655"/>
    </row>
    <row r="656" spans="3:18" x14ac:dyDescent="0.3">
      <c r="C656"/>
      <c r="D656"/>
      <c r="R656"/>
    </row>
    <row r="657" spans="3:18" x14ac:dyDescent="0.3">
      <c r="C657"/>
      <c r="D657"/>
      <c r="R657"/>
    </row>
    <row r="658" spans="3:18" x14ac:dyDescent="0.3">
      <c r="C658"/>
      <c r="D658"/>
      <c r="R658"/>
    </row>
    <row r="659" spans="3:18" x14ac:dyDescent="0.3">
      <c r="C659"/>
      <c r="D659"/>
      <c r="R659"/>
    </row>
    <row r="660" spans="3:18" x14ac:dyDescent="0.3">
      <c r="C660"/>
      <c r="D660"/>
      <c r="R660"/>
    </row>
    <row r="661" spans="3:18" x14ac:dyDescent="0.3">
      <c r="C661"/>
      <c r="D661"/>
      <c r="R661"/>
    </row>
    <row r="662" spans="3:18" x14ac:dyDescent="0.3">
      <c r="C662"/>
      <c r="D662"/>
      <c r="R662"/>
    </row>
    <row r="663" spans="3:18" x14ac:dyDescent="0.3">
      <c r="C663"/>
      <c r="D663"/>
      <c r="R663"/>
    </row>
    <row r="664" spans="3:18" x14ac:dyDescent="0.3">
      <c r="C664"/>
      <c r="D664"/>
      <c r="R664"/>
    </row>
    <row r="665" spans="3:18" x14ac:dyDescent="0.3">
      <c r="C665"/>
      <c r="D665"/>
      <c r="R665"/>
    </row>
    <row r="666" spans="3:18" x14ac:dyDescent="0.3">
      <c r="C666"/>
      <c r="D666"/>
      <c r="R666"/>
    </row>
    <row r="667" spans="3:18" x14ac:dyDescent="0.3">
      <c r="C667"/>
      <c r="D667"/>
      <c r="R667"/>
    </row>
    <row r="668" spans="3:18" x14ac:dyDescent="0.3">
      <c r="C668"/>
      <c r="D668"/>
      <c r="R668"/>
    </row>
    <row r="669" spans="3:18" x14ac:dyDescent="0.3">
      <c r="C669"/>
      <c r="D669"/>
      <c r="R669"/>
    </row>
    <row r="670" spans="3:18" x14ac:dyDescent="0.3">
      <c r="C670"/>
      <c r="D670"/>
      <c r="R670"/>
    </row>
    <row r="671" spans="3:18" x14ac:dyDescent="0.3">
      <c r="C671"/>
      <c r="D671"/>
      <c r="R671"/>
    </row>
    <row r="672" spans="3:18" x14ac:dyDescent="0.3">
      <c r="C672"/>
      <c r="D672"/>
      <c r="R672"/>
    </row>
    <row r="673" spans="3:18" x14ac:dyDescent="0.3">
      <c r="C673"/>
      <c r="D673"/>
      <c r="R673"/>
    </row>
    <row r="674" spans="3:18" x14ac:dyDescent="0.3">
      <c r="C674"/>
      <c r="D674"/>
      <c r="R674"/>
    </row>
    <row r="675" spans="3:18" x14ac:dyDescent="0.3">
      <c r="C675"/>
      <c r="D675"/>
      <c r="R675"/>
    </row>
    <row r="676" spans="3:18" x14ac:dyDescent="0.3">
      <c r="C676"/>
      <c r="D676"/>
      <c r="R676"/>
    </row>
    <row r="677" spans="3:18" x14ac:dyDescent="0.3">
      <c r="C677"/>
      <c r="D677"/>
      <c r="R677"/>
    </row>
    <row r="678" spans="3:18" x14ac:dyDescent="0.3">
      <c r="C678"/>
      <c r="D678"/>
      <c r="R678"/>
    </row>
    <row r="679" spans="3:18" x14ac:dyDescent="0.3">
      <c r="C679"/>
      <c r="D679"/>
      <c r="R679"/>
    </row>
    <row r="680" spans="3:18" x14ac:dyDescent="0.3">
      <c r="C680"/>
      <c r="D680"/>
      <c r="R680"/>
    </row>
    <row r="681" spans="3:18" x14ac:dyDescent="0.3">
      <c r="C681"/>
      <c r="D681"/>
      <c r="R681"/>
    </row>
    <row r="682" spans="3:18" x14ac:dyDescent="0.3">
      <c r="C682"/>
      <c r="D682"/>
      <c r="R682"/>
    </row>
    <row r="683" spans="3:18" x14ac:dyDescent="0.3">
      <c r="C683"/>
      <c r="D683"/>
      <c r="R683"/>
    </row>
    <row r="684" spans="3:18" x14ac:dyDescent="0.3">
      <c r="C684"/>
      <c r="D684"/>
      <c r="R684"/>
    </row>
    <row r="685" spans="3:18" x14ac:dyDescent="0.3">
      <c r="C685"/>
      <c r="D685"/>
      <c r="R685"/>
    </row>
    <row r="686" spans="3:18" x14ac:dyDescent="0.3">
      <c r="C686"/>
      <c r="D686"/>
      <c r="R686"/>
    </row>
    <row r="687" spans="3:18" x14ac:dyDescent="0.3">
      <c r="C687"/>
      <c r="D687"/>
      <c r="R687"/>
    </row>
    <row r="688" spans="3:18" x14ac:dyDescent="0.3">
      <c r="C688"/>
      <c r="D688"/>
      <c r="R688"/>
    </row>
    <row r="689" spans="3:18" x14ac:dyDescent="0.3">
      <c r="C689"/>
      <c r="D689"/>
      <c r="R689"/>
    </row>
    <row r="690" spans="3:18" x14ac:dyDescent="0.3">
      <c r="C690"/>
      <c r="D690"/>
      <c r="R690"/>
    </row>
    <row r="691" spans="3:18" x14ac:dyDescent="0.3">
      <c r="C691"/>
      <c r="D691"/>
      <c r="R691"/>
    </row>
    <row r="692" spans="3:18" x14ac:dyDescent="0.3">
      <c r="C692"/>
      <c r="D692"/>
      <c r="R692"/>
    </row>
    <row r="693" spans="3:18" x14ac:dyDescent="0.3">
      <c r="C693"/>
      <c r="D693"/>
      <c r="R693"/>
    </row>
    <row r="694" spans="3:18" x14ac:dyDescent="0.3">
      <c r="C694"/>
      <c r="D694"/>
      <c r="R694"/>
    </row>
    <row r="695" spans="3:18" x14ac:dyDescent="0.3">
      <c r="C695"/>
      <c r="D695"/>
      <c r="R695"/>
    </row>
    <row r="696" spans="3:18" x14ac:dyDescent="0.3">
      <c r="C696"/>
      <c r="D696"/>
      <c r="R696"/>
    </row>
    <row r="697" spans="3:18" x14ac:dyDescent="0.3">
      <c r="C697"/>
      <c r="D697"/>
      <c r="R697"/>
    </row>
    <row r="698" spans="3:18" x14ac:dyDescent="0.3">
      <c r="C698"/>
      <c r="D698"/>
      <c r="R698"/>
    </row>
    <row r="699" spans="3:18" x14ac:dyDescent="0.3">
      <c r="C699"/>
      <c r="D699"/>
      <c r="R699"/>
    </row>
    <row r="700" spans="3:18" x14ac:dyDescent="0.3">
      <c r="C700"/>
      <c r="D700"/>
      <c r="R700"/>
    </row>
    <row r="701" spans="3:18" x14ac:dyDescent="0.3">
      <c r="C701"/>
      <c r="D701"/>
      <c r="R701"/>
    </row>
    <row r="702" spans="3:18" x14ac:dyDescent="0.3">
      <c r="C702"/>
      <c r="D702"/>
      <c r="R702"/>
    </row>
    <row r="703" spans="3:18" x14ac:dyDescent="0.3">
      <c r="C703"/>
      <c r="D703"/>
      <c r="R703"/>
    </row>
    <row r="704" spans="3:18" x14ac:dyDescent="0.3">
      <c r="C704"/>
      <c r="D704"/>
      <c r="R704"/>
    </row>
    <row r="705" spans="3:18" x14ac:dyDescent="0.3">
      <c r="C705"/>
      <c r="D705"/>
      <c r="R705"/>
    </row>
    <row r="706" spans="3:18" x14ac:dyDescent="0.3">
      <c r="C706"/>
      <c r="D706"/>
      <c r="R706"/>
    </row>
    <row r="707" spans="3:18" x14ac:dyDescent="0.3">
      <c r="C707"/>
      <c r="D707"/>
      <c r="R707"/>
    </row>
    <row r="708" spans="3:18" x14ac:dyDescent="0.3">
      <c r="C708"/>
      <c r="D708"/>
      <c r="R708"/>
    </row>
    <row r="709" spans="3:18" x14ac:dyDescent="0.3">
      <c r="C709"/>
      <c r="D709"/>
      <c r="R709"/>
    </row>
    <row r="710" spans="3:18" x14ac:dyDescent="0.3">
      <c r="C710"/>
      <c r="D710"/>
      <c r="R710"/>
    </row>
    <row r="711" spans="3:18" x14ac:dyDescent="0.3">
      <c r="C711"/>
      <c r="D711"/>
      <c r="R711"/>
    </row>
    <row r="712" spans="3:18" x14ac:dyDescent="0.3">
      <c r="C712"/>
      <c r="D712"/>
      <c r="R712"/>
    </row>
    <row r="713" spans="3:18" x14ac:dyDescent="0.3">
      <c r="C713"/>
      <c r="D713"/>
      <c r="R713"/>
    </row>
    <row r="714" spans="3:18" x14ac:dyDescent="0.3">
      <c r="C714"/>
      <c r="D714"/>
      <c r="R714"/>
    </row>
    <row r="715" spans="3:18" x14ac:dyDescent="0.3">
      <c r="C715"/>
      <c r="D715"/>
      <c r="R715"/>
    </row>
    <row r="716" spans="3:18" x14ac:dyDescent="0.3">
      <c r="C716"/>
      <c r="D716"/>
      <c r="R716"/>
    </row>
    <row r="717" spans="3:18" x14ac:dyDescent="0.3">
      <c r="C717"/>
      <c r="D717"/>
      <c r="R717"/>
    </row>
    <row r="718" spans="3:18" x14ac:dyDescent="0.3">
      <c r="C718"/>
      <c r="D718"/>
      <c r="R718"/>
    </row>
    <row r="719" spans="3:18" x14ac:dyDescent="0.3">
      <c r="C719"/>
      <c r="D719"/>
      <c r="R719"/>
    </row>
    <row r="720" spans="3:18" x14ac:dyDescent="0.3">
      <c r="C720"/>
      <c r="D720"/>
      <c r="R720"/>
    </row>
    <row r="721" spans="3:18" x14ac:dyDescent="0.3">
      <c r="C721"/>
      <c r="D721"/>
      <c r="R721"/>
    </row>
    <row r="722" spans="3:18" x14ac:dyDescent="0.3">
      <c r="C722"/>
      <c r="D722"/>
      <c r="R722"/>
    </row>
    <row r="723" spans="3:18" x14ac:dyDescent="0.3">
      <c r="C723"/>
      <c r="D723"/>
      <c r="R723"/>
    </row>
    <row r="724" spans="3:18" x14ac:dyDescent="0.3">
      <c r="C724"/>
      <c r="D724"/>
      <c r="R724"/>
    </row>
    <row r="725" spans="3:18" x14ac:dyDescent="0.3">
      <c r="C725"/>
      <c r="D725"/>
      <c r="R725"/>
    </row>
    <row r="726" spans="3:18" x14ac:dyDescent="0.3">
      <c r="C726"/>
      <c r="D726"/>
      <c r="R726"/>
    </row>
    <row r="727" spans="3:18" x14ac:dyDescent="0.3">
      <c r="C727"/>
      <c r="D727"/>
      <c r="R727"/>
    </row>
    <row r="728" spans="3:18" x14ac:dyDescent="0.3">
      <c r="C728"/>
      <c r="D728"/>
      <c r="R728"/>
    </row>
    <row r="729" spans="3:18" x14ac:dyDescent="0.3">
      <c r="C729"/>
      <c r="D729"/>
      <c r="R729"/>
    </row>
    <row r="730" spans="3:18" x14ac:dyDescent="0.3">
      <c r="C730"/>
      <c r="D730"/>
      <c r="R730"/>
    </row>
    <row r="731" spans="3:18" x14ac:dyDescent="0.3">
      <c r="C731"/>
      <c r="D731"/>
      <c r="R731"/>
    </row>
    <row r="732" spans="3:18" x14ac:dyDescent="0.3">
      <c r="C732"/>
      <c r="D732"/>
      <c r="R732"/>
    </row>
    <row r="733" spans="3:18" x14ac:dyDescent="0.3">
      <c r="C733"/>
      <c r="D733"/>
      <c r="R733"/>
    </row>
    <row r="734" spans="3:18" x14ac:dyDescent="0.3">
      <c r="C734"/>
      <c r="D734"/>
      <c r="R734"/>
    </row>
    <row r="735" spans="3:18" x14ac:dyDescent="0.3">
      <c r="C735"/>
      <c r="D735"/>
      <c r="R735"/>
    </row>
    <row r="736" spans="3:18" x14ac:dyDescent="0.3">
      <c r="C736"/>
      <c r="D736"/>
      <c r="R736"/>
    </row>
    <row r="737" spans="3:18" x14ac:dyDescent="0.3">
      <c r="C737"/>
      <c r="D737"/>
      <c r="R737"/>
    </row>
    <row r="738" spans="3:18" x14ac:dyDescent="0.3">
      <c r="C738"/>
      <c r="D738"/>
      <c r="R738"/>
    </row>
    <row r="739" spans="3:18" x14ac:dyDescent="0.3">
      <c r="C739"/>
      <c r="D739"/>
      <c r="R739"/>
    </row>
    <row r="740" spans="3:18" x14ac:dyDescent="0.3">
      <c r="C740"/>
      <c r="D740"/>
      <c r="R740"/>
    </row>
    <row r="741" spans="3:18" x14ac:dyDescent="0.3">
      <c r="C741"/>
      <c r="D741"/>
      <c r="R741"/>
    </row>
    <row r="742" spans="3:18" x14ac:dyDescent="0.3">
      <c r="C742"/>
      <c r="D742"/>
      <c r="R742"/>
    </row>
    <row r="743" spans="3:18" x14ac:dyDescent="0.3">
      <c r="C743"/>
      <c r="D743"/>
      <c r="R743"/>
    </row>
    <row r="744" spans="3:18" x14ac:dyDescent="0.3">
      <c r="C744"/>
      <c r="D744"/>
      <c r="R744"/>
    </row>
    <row r="745" spans="3:18" x14ac:dyDescent="0.3">
      <c r="C745"/>
      <c r="D745"/>
      <c r="R745"/>
    </row>
    <row r="746" spans="3:18" x14ac:dyDescent="0.3">
      <c r="C746"/>
      <c r="D746"/>
      <c r="R746"/>
    </row>
    <row r="747" spans="3:18" x14ac:dyDescent="0.3">
      <c r="C747"/>
      <c r="D747"/>
      <c r="R747"/>
    </row>
    <row r="748" spans="3:18" x14ac:dyDescent="0.3">
      <c r="C748"/>
      <c r="D748"/>
      <c r="R748"/>
    </row>
    <row r="749" spans="3:18" x14ac:dyDescent="0.3">
      <c r="C749"/>
      <c r="D749"/>
      <c r="R749"/>
    </row>
    <row r="750" spans="3:18" x14ac:dyDescent="0.3">
      <c r="C750"/>
      <c r="D750"/>
      <c r="R750"/>
    </row>
    <row r="751" spans="3:18" x14ac:dyDescent="0.3">
      <c r="C751"/>
      <c r="D751"/>
      <c r="R751"/>
    </row>
    <row r="752" spans="3:18" x14ac:dyDescent="0.3">
      <c r="C752"/>
      <c r="D752"/>
      <c r="R752"/>
    </row>
    <row r="753" spans="3:18" x14ac:dyDescent="0.3">
      <c r="C753"/>
      <c r="D753"/>
      <c r="R753"/>
    </row>
    <row r="754" spans="3:18" x14ac:dyDescent="0.3">
      <c r="C754"/>
      <c r="D754"/>
      <c r="R754"/>
    </row>
    <row r="755" spans="3:18" x14ac:dyDescent="0.3">
      <c r="C755"/>
      <c r="D755"/>
      <c r="R755"/>
    </row>
    <row r="756" spans="3:18" x14ac:dyDescent="0.3">
      <c r="C756"/>
      <c r="D756"/>
      <c r="R756"/>
    </row>
    <row r="757" spans="3:18" x14ac:dyDescent="0.3">
      <c r="C757"/>
      <c r="D757"/>
      <c r="R757"/>
    </row>
    <row r="758" spans="3:18" x14ac:dyDescent="0.3">
      <c r="C758"/>
      <c r="D758"/>
      <c r="R758"/>
    </row>
    <row r="759" spans="3:18" x14ac:dyDescent="0.3">
      <c r="C759"/>
      <c r="D759"/>
      <c r="R759"/>
    </row>
    <row r="760" spans="3:18" x14ac:dyDescent="0.3">
      <c r="C760"/>
      <c r="D760"/>
      <c r="R760"/>
    </row>
    <row r="761" spans="3:18" x14ac:dyDescent="0.3">
      <c r="C761"/>
      <c r="D761"/>
      <c r="R761"/>
    </row>
    <row r="762" spans="3:18" x14ac:dyDescent="0.3">
      <c r="C762"/>
      <c r="D762"/>
      <c r="R762"/>
    </row>
    <row r="763" spans="3:18" x14ac:dyDescent="0.3">
      <c r="C763"/>
      <c r="D763"/>
      <c r="R763"/>
    </row>
    <row r="764" spans="3:18" x14ac:dyDescent="0.3">
      <c r="C764"/>
      <c r="D764"/>
      <c r="R764"/>
    </row>
    <row r="765" spans="3:18" x14ac:dyDescent="0.3">
      <c r="C765"/>
      <c r="D765"/>
      <c r="R765"/>
    </row>
    <row r="766" spans="3:18" x14ac:dyDescent="0.3">
      <c r="C766"/>
      <c r="D766"/>
      <c r="R766"/>
    </row>
    <row r="767" spans="3:18" x14ac:dyDescent="0.3">
      <c r="C767"/>
      <c r="D767"/>
      <c r="R767"/>
    </row>
    <row r="768" spans="3:18" x14ac:dyDescent="0.3">
      <c r="C768"/>
      <c r="D768"/>
      <c r="R768"/>
    </row>
    <row r="769" spans="3:18" x14ac:dyDescent="0.3">
      <c r="C769"/>
      <c r="D769"/>
      <c r="R769"/>
    </row>
    <row r="770" spans="3:18" x14ac:dyDescent="0.3">
      <c r="C770"/>
      <c r="D770"/>
      <c r="R770"/>
    </row>
    <row r="771" spans="3:18" x14ac:dyDescent="0.3">
      <c r="C771"/>
      <c r="D771"/>
      <c r="R771"/>
    </row>
    <row r="772" spans="3:18" x14ac:dyDescent="0.3">
      <c r="C772"/>
      <c r="D772"/>
      <c r="R772"/>
    </row>
    <row r="773" spans="3:18" x14ac:dyDescent="0.3">
      <c r="C773"/>
      <c r="D773"/>
      <c r="R773"/>
    </row>
    <row r="774" spans="3:18" x14ac:dyDescent="0.3">
      <c r="C774"/>
      <c r="D774"/>
      <c r="R774"/>
    </row>
    <row r="775" spans="3:18" x14ac:dyDescent="0.3">
      <c r="C775"/>
      <c r="D775"/>
      <c r="R775"/>
    </row>
    <row r="776" spans="3:18" x14ac:dyDescent="0.3">
      <c r="C776"/>
      <c r="D776"/>
      <c r="R776"/>
    </row>
    <row r="777" spans="3:18" x14ac:dyDescent="0.3">
      <c r="C777"/>
      <c r="D777"/>
      <c r="R777"/>
    </row>
    <row r="778" spans="3:18" x14ac:dyDescent="0.3">
      <c r="C778"/>
      <c r="D778"/>
      <c r="R778"/>
    </row>
    <row r="779" spans="3:18" x14ac:dyDescent="0.3">
      <c r="C779"/>
      <c r="D779"/>
      <c r="R779"/>
    </row>
    <row r="780" spans="3:18" x14ac:dyDescent="0.3">
      <c r="C780"/>
      <c r="D780"/>
      <c r="R780"/>
    </row>
    <row r="781" spans="3:18" x14ac:dyDescent="0.3">
      <c r="C781"/>
      <c r="D781"/>
      <c r="R781"/>
    </row>
    <row r="782" spans="3:18" x14ac:dyDescent="0.3">
      <c r="C782"/>
      <c r="D782"/>
      <c r="R782"/>
    </row>
    <row r="783" spans="3:18" x14ac:dyDescent="0.3">
      <c r="C783"/>
      <c r="D783"/>
      <c r="R783"/>
    </row>
    <row r="784" spans="3:18" x14ac:dyDescent="0.3">
      <c r="C784"/>
      <c r="D784"/>
      <c r="R784"/>
    </row>
    <row r="785" spans="3:18" x14ac:dyDescent="0.3">
      <c r="C785"/>
      <c r="D785"/>
      <c r="R785"/>
    </row>
    <row r="786" spans="3:18" x14ac:dyDescent="0.3">
      <c r="C786"/>
      <c r="D786"/>
      <c r="R786"/>
    </row>
    <row r="787" spans="3:18" x14ac:dyDescent="0.3">
      <c r="C787"/>
      <c r="D787"/>
      <c r="R787"/>
    </row>
    <row r="788" spans="3:18" x14ac:dyDescent="0.3">
      <c r="C788"/>
      <c r="D788"/>
      <c r="R788"/>
    </row>
    <row r="789" spans="3:18" x14ac:dyDescent="0.3">
      <c r="C789"/>
      <c r="D789"/>
      <c r="R789"/>
    </row>
    <row r="790" spans="3:18" x14ac:dyDescent="0.3">
      <c r="C790"/>
      <c r="D790"/>
      <c r="R790"/>
    </row>
    <row r="791" spans="3:18" x14ac:dyDescent="0.3">
      <c r="C791"/>
      <c r="D791"/>
      <c r="R791"/>
    </row>
    <row r="792" spans="3:18" x14ac:dyDescent="0.3">
      <c r="C792"/>
      <c r="D792"/>
      <c r="R792"/>
    </row>
    <row r="793" spans="3:18" x14ac:dyDescent="0.3">
      <c r="C793"/>
      <c r="D793"/>
      <c r="R793"/>
    </row>
    <row r="794" spans="3:18" x14ac:dyDescent="0.3">
      <c r="C794"/>
      <c r="D794"/>
      <c r="R794"/>
    </row>
    <row r="795" spans="3:18" x14ac:dyDescent="0.3">
      <c r="C795"/>
      <c r="D795"/>
      <c r="R795"/>
    </row>
    <row r="796" spans="3:18" x14ac:dyDescent="0.3">
      <c r="C796"/>
      <c r="D796"/>
      <c r="R796"/>
    </row>
    <row r="797" spans="3:18" x14ac:dyDescent="0.3">
      <c r="C797"/>
      <c r="D797"/>
      <c r="R797"/>
    </row>
    <row r="798" spans="3:18" x14ac:dyDescent="0.3">
      <c r="C798"/>
      <c r="D798"/>
      <c r="R798"/>
    </row>
    <row r="799" spans="3:18" x14ac:dyDescent="0.3">
      <c r="C799"/>
      <c r="D799"/>
      <c r="R799"/>
    </row>
    <row r="800" spans="3:18" x14ac:dyDescent="0.3">
      <c r="C800"/>
      <c r="D800"/>
      <c r="R800"/>
    </row>
    <row r="801" spans="3:18" x14ac:dyDescent="0.3">
      <c r="C801"/>
      <c r="D801"/>
      <c r="R801"/>
    </row>
    <row r="802" spans="3:18" x14ac:dyDescent="0.3">
      <c r="C802"/>
      <c r="D802"/>
      <c r="R802"/>
    </row>
    <row r="803" spans="3:18" x14ac:dyDescent="0.3">
      <c r="C803"/>
      <c r="D803"/>
      <c r="R803"/>
    </row>
    <row r="804" spans="3:18" x14ac:dyDescent="0.3">
      <c r="C804"/>
      <c r="D804"/>
      <c r="R804"/>
    </row>
    <row r="805" spans="3:18" x14ac:dyDescent="0.3">
      <c r="C805"/>
      <c r="D805"/>
      <c r="R805"/>
    </row>
    <row r="806" spans="3:18" x14ac:dyDescent="0.3">
      <c r="C806"/>
      <c r="D806"/>
      <c r="R806"/>
    </row>
    <row r="807" spans="3:18" x14ac:dyDescent="0.3">
      <c r="C807"/>
      <c r="D807"/>
      <c r="R807"/>
    </row>
    <row r="808" spans="3:18" x14ac:dyDescent="0.3">
      <c r="C808"/>
      <c r="D808"/>
      <c r="R808"/>
    </row>
    <row r="809" spans="3:18" x14ac:dyDescent="0.3">
      <c r="C809"/>
      <c r="D809"/>
      <c r="R809"/>
    </row>
    <row r="810" spans="3:18" x14ac:dyDescent="0.3">
      <c r="C810"/>
      <c r="D810"/>
      <c r="R810"/>
    </row>
    <row r="811" spans="3:18" x14ac:dyDescent="0.3">
      <c r="C811"/>
      <c r="D811"/>
      <c r="R811"/>
    </row>
    <row r="812" spans="3:18" x14ac:dyDescent="0.3">
      <c r="C812"/>
      <c r="D812"/>
      <c r="R812"/>
    </row>
    <row r="813" spans="3:18" x14ac:dyDescent="0.3">
      <c r="C813"/>
      <c r="D813"/>
      <c r="R813"/>
    </row>
    <row r="814" spans="3:18" x14ac:dyDescent="0.3">
      <c r="C814"/>
      <c r="D814"/>
      <c r="R814"/>
    </row>
    <row r="815" spans="3:18" x14ac:dyDescent="0.3">
      <c r="C815"/>
      <c r="D815"/>
      <c r="R815"/>
    </row>
    <row r="816" spans="3:18" x14ac:dyDescent="0.3">
      <c r="C816"/>
      <c r="D816"/>
      <c r="R816"/>
    </row>
    <row r="817" spans="3:18" x14ac:dyDescent="0.3">
      <c r="C817"/>
      <c r="D817"/>
      <c r="R817"/>
    </row>
    <row r="818" spans="3:18" x14ac:dyDescent="0.3">
      <c r="C818"/>
      <c r="D818"/>
      <c r="R818"/>
    </row>
    <row r="819" spans="3:18" x14ac:dyDescent="0.3">
      <c r="C819"/>
      <c r="D819"/>
      <c r="R819"/>
    </row>
    <row r="820" spans="3:18" x14ac:dyDescent="0.3">
      <c r="C820"/>
      <c r="D820"/>
      <c r="R820"/>
    </row>
    <row r="821" spans="3:18" x14ac:dyDescent="0.3">
      <c r="C821"/>
      <c r="D821"/>
      <c r="R821"/>
    </row>
    <row r="822" spans="3:18" x14ac:dyDescent="0.3">
      <c r="C822"/>
      <c r="D822"/>
      <c r="R822"/>
    </row>
    <row r="823" spans="3:18" x14ac:dyDescent="0.3">
      <c r="C823"/>
      <c r="D823"/>
      <c r="R823"/>
    </row>
    <row r="824" spans="3:18" x14ac:dyDescent="0.3">
      <c r="C824"/>
      <c r="D824"/>
      <c r="R824"/>
    </row>
    <row r="825" spans="3:18" x14ac:dyDescent="0.3">
      <c r="C825"/>
      <c r="D825"/>
      <c r="R825"/>
    </row>
    <row r="826" spans="3:18" x14ac:dyDescent="0.3">
      <c r="C826"/>
      <c r="D826"/>
      <c r="R826"/>
    </row>
    <row r="827" spans="3:18" x14ac:dyDescent="0.3">
      <c r="C827"/>
      <c r="D827"/>
      <c r="R827"/>
    </row>
    <row r="828" spans="3:18" x14ac:dyDescent="0.3">
      <c r="C828"/>
      <c r="D828"/>
      <c r="R828"/>
    </row>
    <row r="829" spans="3:18" x14ac:dyDescent="0.3">
      <c r="C829"/>
      <c r="D829"/>
      <c r="R829"/>
    </row>
    <row r="830" spans="3:18" x14ac:dyDescent="0.3">
      <c r="C830"/>
      <c r="D830"/>
      <c r="R830"/>
    </row>
    <row r="831" spans="3:18" x14ac:dyDescent="0.3">
      <c r="C831"/>
      <c r="D831"/>
      <c r="R831"/>
    </row>
    <row r="832" spans="3:18" x14ac:dyDescent="0.3">
      <c r="C832"/>
      <c r="D832"/>
      <c r="R832"/>
    </row>
    <row r="833" spans="3:18" x14ac:dyDescent="0.3">
      <c r="C833"/>
      <c r="D833"/>
      <c r="R833"/>
    </row>
    <row r="834" spans="3:18" x14ac:dyDescent="0.3">
      <c r="C834"/>
      <c r="D834"/>
      <c r="R834"/>
    </row>
    <row r="835" spans="3:18" x14ac:dyDescent="0.3">
      <c r="C835"/>
      <c r="D835"/>
      <c r="R835"/>
    </row>
    <row r="836" spans="3:18" x14ac:dyDescent="0.3">
      <c r="C836"/>
      <c r="D836"/>
      <c r="R836"/>
    </row>
    <row r="837" spans="3:18" x14ac:dyDescent="0.3">
      <c r="C837"/>
      <c r="D837"/>
      <c r="R837"/>
    </row>
    <row r="838" spans="3:18" x14ac:dyDescent="0.3">
      <c r="C838"/>
      <c r="D838"/>
      <c r="R838"/>
    </row>
    <row r="839" spans="3:18" x14ac:dyDescent="0.3">
      <c r="C839"/>
      <c r="D839"/>
      <c r="R839"/>
    </row>
    <row r="840" spans="3:18" x14ac:dyDescent="0.3">
      <c r="C840"/>
      <c r="D840"/>
      <c r="R840"/>
    </row>
    <row r="841" spans="3:18" x14ac:dyDescent="0.3">
      <c r="C841"/>
      <c r="D841"/>
      <c r="R841"/>
    </row>
    <row r="842" spans="3:18" x14ac:dyDescent="0.3">
      <c r="C842"/>
      <c r="D842"/>
      <c r="R842"/>
    </row>
    <row r="843" spans="3:18" x14ac:dyDescent="0.3">
      <c r="C843"/>
      <c r="D843"/>
      <c r="R843"/>
    </row>
    <row r="844" spans="3:18" x14ac:dyDescent="0.3">
      <c r="C844"/>
      <c r="D844"/>
      <c r="R844"/>
    </row>
    <row r="845" spans="3:18" x14ac:dyDescent="0.3">
      <c r="C845"/>
      <c r="D845"/>
      <c r="R845"/>
    </row>
    <row r="846" spans="3:18" x14ac:dyDescent="0.3">
      <c r="C846"/>
      <c r="D846"/>
      <c r="R846"/>
    </row>
    <row r="847" spans="3:18" x14ac:dyDescent="0.3">
      <c r="C847"/>
      <c r="D847"/>
      <c r="R847"/>
    </row>
    <row r="848" spans="3:18" x14ac:dyDescent="0.3">
      <c r="C848"/>
      <c r="D848"/>
      <c r="R848"/>
    </row>
    <row r="849" spans="3:18" x14ac:dyDescent="0.3">
      <c r="C849"/>
      <c r="D849"/>
      <c r="R849"/>
    </row>
    <row r="850" spans="3:18" x14ac:dyDescent="0.3">
      <c r="C850"/>
      <c r="D850"/>
      <c r="R850"/>
    </row>
    <row r="851" spans="3:18" x14ac:dyDescent="0.3">
      <c r="C851"/>
      <c r="D851"/>
      <c r="R851"/>
    </row>
    <row r="852" spans="3:18" x14ac:dyDescent="0.3">
      <c r="C852"/>
      <c r="D852"/>
      <c r="R852"/>
    </row>
    <row r="853" spans="3:18" x14ac:dyDescent="0.3">
      <c r="C853"/>
      <c r="D853"/>
      <c r="R853"/>
    </row>
    <row r="854" spans="3:18" x14ac:dyDescent="0.3">
      <c r="C854"/>
      <c r="D854"/>
      <c r="R854"/>
    </row>
    <row r="855" spans="3:18" x14ac:dyDescent="0.3">
      <c r="C855"/>
      <c r="D855"/>
      <c r="R855"/>
    </row>
    <row r="856" spans="3:18" x14ac:dyDescent="0.3">
      <c r="C856"/>
      <c r="D856"/>
      <c r="R856"/>
    </row>
    <row r="857" spans="3:18" x14ac:dyDescent="0.3">
      <c r="C857"/>
      <c r="D857"/>
      <c r="R857"/>
    </row>
    <row r="858" spans="3:18" x14ac:dyDescent="0.3">
      <c r="C858"/>
      <c r="D858"/>
      <c r="R858"/>
    </row>
    <row r="859" spans="3:18" x14ac:dyDescent="0.3">
      <c r="C859"/>
      <c r="D859"/>
      <c r="R859"/>
    </row>
    <row r="860" spans="3:18" x14ac:dyDescent="0.3">
      <c r="C860"/>
      <c r="D860"/>
      <c r="R860"/>
    </row>
    <row r="861" spans="3:18" x14ac:dyDescent="0.3">
      <c r="C861"/>
      <c r="D861"/>
      <c r="R861"/>
    </row>
    <row r="862" spans="3:18" x14ac:dyDescent="0.3">
      <c r="C862"/>
      <c r="D862"/>
      <c r="R862"/>
    </row>
    <row r="863" spans="3:18" x14ac:dyDescent="0.3">
      <c r="C863"/>
      <c r="D863"/>
      <c r="R863"/>
    </row>
    <row r="864" spans="3:18" x14ac:dyDescent="0.3">
      <c r="C864"/>
      <c r="D864"/>
      <c r="R864"/>
    </row>
    <row r="865" spans="3:18" x14ac:dyDescent="0.3">
      <c r="C865"/>
      <c r="D865"/>
      <c r="R865"/>
    </row>
    <row r="866" spans="3:18" x14ac:dyDescent="0.3">
      <c r="C866"/>
      <c r="D866"/>
      <c r="R866"/>
    </row>
    <row r="867" spans="3:18" x14ac:dyDescent="0.3">
      <c r="C867"/>
      <c r="D867"/>
      <c r="R867"/>
    </row>
    <row r="868" spans="3:18" x14ac:dyDescent="0.3">
      <c r="C868"/>
      <c r="D868"/>
      <c r="R868"/>
    </row>
    <row r="869" spans="3:18" x14ac:dyDescent="0.3">
      <c r="C869"/>
      <c r="D869"/>
      <c r="R869"/>
    </row>
    <row r="870" spans="3:18" x14ac:dyDescent="0.3">
      <c r="C870"/>
      <c r="D870"/>
      <c r="R870"/>
    </row>
    <row r="871" spans="3:18" x14ac:dyDescent="0.3">
      <c r="C871"/>
      <c r="D871"/>
      <c r="R871"/>
    </row>
    <row r="872" spans="3:18" x14ac:dyDescent="0.3">
      <c r="C872"/>
      <c r="D872"/>
      <c r="R872"/>
    </row>
    <row r="873" spans="3:18" x14ac:dyDescent="0.3">
      <c r="C873"/>
      <c r="D873"/>
      <c r="R873"/>
    </row>
    <row r="874" spans="3:18" x14ac:dyDescent="0.3">
      <c r="C874"/>
      <c r="D874"/>
      <c r="R874"/>
    </row>
    <row r="875" spans="3:18" x14ac:dyDescent="0.3">
      <c r="C875"/>
      <c r="D875"/>
      <c r="R875"/>
    </row>
    <row r="876" spans="3:18" x14ac:dyDescent="0.3">
      <c r="C876"/>
      <c r="D876"/>
      <c r="R876"/>
    </row>
    <row r="877" spans="3:18" x14ac:dyDescent="0.3">
      <c r="C877"/>
      <c r="D877"/>
      <c r="R877"/>
    </row>
    <row r="878" spans="3:18" x14ac:dyDescent="0.3">
      <c r="C878"/>
      <c r="D878"/>
      <c r="R878"/>
    </row>
    <row r="879" spans="3:18" x14ac:dyDescent="0.3">
      <c r="C879"/>
      <c r="D879"/>
      <c r="R879"/>
    </row>
    <row r="880" spans="3:18" x14ac:dyDescent="0.3">
      <c r="C880"/>
      <c r="D880"/>
      <c r="R880"/>
    </row>
    <row r="881" spans="3:18" x14ac:dyDescent="0.3">
      <c r="C881"/>
      <c r="D881"/>
      <c r="R881"/>
    </row>
    <row r="882" spans="3:18" x14ac:dyDescent="0.3">
      <c r="C882"/>
      <c r="D882"/>
      <c r="R882"/>
    </row>
    <row r="883" spans="3:18" x14ac:dyDescent="0.3">
      <c r="C883"/>
      <c r="D883"/>
      <c r="R883"/>
    </row>
    <row r="884" spans="3:18" x14ac:dyDescent="0.3">
      <c r="C884"/>
      <c r="D884"/>
      <c r="R884"/>
    </row>
    <row r="885" spans="3:18" x14ac:dyDescent="0.3">
      <c r="C885"/>
      <c r="D885"/>
      <c r="R885"/>
    </row>
    <row r="886" spans="3:18" x14ac:dyDescent="0.3">
      <c r="C886"/>
      <c r="D886"/>
      <c r="R886"/>
    </row>
    <row r="887" spans="3:18" x14ac:dyDescent="0.3">
      <c r="C887"/>
      <c r="D887"/>
      <c r="R887"/>
    </row>
    <row r="888" spans="3:18" x14ac:dyDescent="0.3">
      <c r="C888"/>
      <c r="D888"/>
      <c r="R888"/>
    </row>
    <row r="889" spans="3:18" x14ac:dyDescent="0.3">
      <c r="C889"/>
      <c r="D889"/>
      <c r="R889"/>
    </row>
    <row r="890" spans="3:18" x14ac:dyDescent="0.3">
      <c r="C890"/>
      <c r="D890"/>
      <c r="R890"/>
    </row>
    <row r="891" spans="3:18" x14ac:dyDescent="0.3">
      <c r="C891"/>
      <c r="D891"/>
      <c r="R891"/>
    </row>
    <row r="892" spans="3:18" x14ac:dyDescent="0.3">
      <c r="C892"/>
      <c r="D892"/>
      <c r="R892"/>
    </row>
    <row r="893" spans="3:18" x14ac:dyDescent="0.3">
      <c r="C893"/>
      <c r="D893"/>
      <c r="R893"/>
    </row>
    <row r="894" spans="3:18" x14ac:dyDescent="0.3">
      <c r="C894"/>
      <c r="D894"/>
      <c r="R894"/>
    </row>
    <row r="895" spans="3:18" x14ac:dyDescent="0.3">
      <c r="C895"/>
      <c r="D895"/>
      <c r="R895"/>
    </row>
    <row r="896" spans="3:18" x14ac:dyDescent="0.3">
      <c r="C896"/>
      <c r="D896"/>
      <c r="R896"/>
    </row>
    <row r="897" spans="3:18" x14ac:dyDescent="0.3">
      <c r="C897"/>
      <c r="D897"/>
      <c r="R897"/>
    </row>
    <row r="898" spans="3:18" x14ac:dyDescent="0.3">
      <c r="C898"/>
      <c r="D898"/>
      <c r="R898"/>
    </row>
    <row r="899" spans="3:18" x14ac:dyDescent="0.3">
      <c r="C899"/>
      <c r="D899"/>
      <c r="R899"/>
    </row>
    <row r="900" spans="3:18" x14ac:dyDescent="0.3">
      <c r="C900"/>
      <c r="D900"/>
      <c r="R900"/>
    </row>
    <row r="901" spans="3:18" x14ac:dyDescent="0.3">
      <c r="C901"/>
      <c r="D901"/>
      <c r="R901"/>
    </row>
    <row r="902" spans="3:18" x14ac:dyDescent="0.3">
      <c r="C902"/>
      <c r="D902"/>
      <c r="R902"/>
    </row>
    <row r="903" spans="3:18" x14ac:dyDescent="0.3">
      <c r="C903"/>
      <c r="D903"/>
      <c r="R903"/>
    </row>
    <row r="904" spans="3:18" x14ac:dyDescent="0.3">
      <c r="C904"/>
      <c r="D904"/>
      <c r="R904"/>
    </row>
    <row r="905" spans="3:18" x14ac:dyDescent="0.3">
      <c r="C905"/>
      <c r="D905"/>
      <c r="R905"/>
    </row>
    <row r="906" spans="3:18" x14ac:dyDescent="0.3">
      <c r="C906"/>
      <c r="D906"/>
      <c r="R906"/>
    </row>
    <row r="907" spans="3:18" x14ac:dyDescent="0.3">
      <c r="C907"/>
      <c r="D907"/>
      <c r="R907"/>
    </row>
    <row r="908" spans="3:18" x14ac:dyDescent="0.3">
      <c r="C908"/>
      <c r="D908"/>
      <c r="R908"/>
    </row>
    <row r="909" spans="3:18" x14ac:dyDescent="0.3">
      <c r="C909"/>
      <c r="D909"/>
      <c r="R909"/>
    </row>
    <row r="910" spans="3:18" x14ac:dyDescent="0.3">
      <c r="C910"/>
      <c r="D910"/>
      <c r="R910"/>
    </row>
    <row r="911" spans="3:18" x14ac:dyDescent="0.3">
      <c r="C911"/>
      <c r="D911"/>
      <c r="R911"/>
    </row>
    <row r="912" spans="3:18" x14ac:dyDescent="0.3">
      <c r="C912"/>
      <c r="D912"/>
      <c r="R912"/>
    </row>
    <row r="913" spans="3:18" x14ac:dyDescent="0.3">
      <c r="C913"/>
      <c r="D913"/>
      <c r="R913"/>
    </row>
    <row r="914" spans="3:18" x14ac:dyDescent="0.3">
      <c r="C914"/>
      <c r="D914"/>
      <c r="R914"/>
    </row>
    <row r="915" spans="3:18" x14ac:dyDescent="0.3">
      <c r="C915"/>
      <c r="D915"/>
      <c r="R915"/>
    </row>
    <row r="916" spans="3:18" x14ac:dyDescent="0.3">
      <c r="C916"/>
      <c r="D916"/>
      <c r="R916"/>
    </row>
    <row r="917" spans="3:18" x14ac:dyDescent="0.3">
      <c r="C917"/>
      <c r="D917"/>
      <c r="R917"/>
    </row>
    <row r="918" spans="3:18" x14ac:dyDescent="0.3">
      <c r="C918"/>
      <c r="D918"/>
      <c r="R918"/>
    </row>
    <row r="919" spans="3:18" x14ac:dyDescent="0.3">
      <c r="C919"/>
      <c r="D919"/>
      <c r="R919"/>
    </row>
    <row r="920" spans="3:18" x14ac:dyDescent="0.3">
      <c r="C920"/>
      <c r="D920"/>
      <c r="R920"/>
    </row>
    <row r="921" spans="3:18" x14ac:dyDescent="0.3">
      <c r="C921"/>
      <c r="D921"/>
      <c r="R921"/>
    </row>
    <row r="922" spans="3:18" x14ac:dyDescent="0.3">
      <c r="C922"/>
      <c r="D922"/>
      <c r="R922"/>
    </row>
    <row r="923" spans="3:18" x14ac:dyDescent="0.3">
      <c r="C923"/>
      <c r="D923"/>
      <c r="R923"/>
    </row>
    <row r="924" spans="3:18" x14ac:dyDescent="0.3">
      <c r="C924"/>
      <c r="D924"/>
      <c r="R924"/>
    </row>
    <row r="925" spans="3:18" x14ac:dyDescent="0.3">
      <c r="C925"/>
      <c r="D925"/>
      <c r="R925"/>
    </row>
    <row r="926" spans="3:18" x14ac:dyDescent="0.3">
      <c r="C926"/>
      <c r="D926"/>
      <c r="R926"/>
    </row>
    <row r="927" spans="3:18" x14ac:dyDescent="0.3">
      <c r="C927"/>
      <c r="D927"/>
      <c r="R927"/>
    </row>
    <row r="928" spans="3:18" x14ac:dyDescent="0.3">
      <c r="C928"/>
      <c r="D928"/>
      <c r="R928"/>
    </row>
    <row r="929" spans="3:18" x14ac:dyDescent="0.3">
      <c r="C929"/>
      <c r="D929"/>
      <c r="R929"/>
    </row>
    <row r="930" spans="3:18" x14ac:dyDescent="0.3">
      <c r="C930"/>
      <c r="D930"/>
      <c r="R930"/>
    </row>
    <row r="931" spans="3:18" x14ac:dyDescent="0.3">
      <c r="C931"/>
      <c r="D931"/>
      <c r="R931"/>
    </row>
    <row r="932" spans="3:18" x14ac:dyDescent="0.3">
      <c r="C932"/>
      <c r="D932"/>
      <c r="R932"/>
    </row>
    <row r="933" spans="3:18" x14ac:dyDescent="0.3">
      <c r="C933"/>
      <c r="D933"/>
      <c r="R933"/>
    </row>
    <row r="934" spans="3:18" x14ac:dyDescent="0.3">
      <c r="C934"/>
      <c r="D934"/>
      <c r="R934"/>
    </row>
    <row r="935" spans="3:18" x14ac:dyDescent="0.3">
      <c r="C935"/>
      <c r="D935"/>
      <c r="R935"/>
    </row>
    <row r="936" spans="3:18" x14ac:dyDescent="0.3">
      <c r="C936"/>
      <c r="D936"/>
      <c r="R936"/>
    </row>
    <row r="937" spans="3:18" x14ac:dyDescent="0.3">
      <c r="C937"/>
      <c r="D937"/>
      <c r="R937"/>
    </row>
    <row r="938" spans="3:18" x14ac:dyDescent="0.3">
      <c r="C938"/>
      <c r="D938"/>
      <c r="R938"/>
    </row>
    <row r="939" spans="3:18" x14ac:dyDescent="0.3">
      <c r="C939"/>
      <c r="D939"/>
      <c r="R939"/>
    </row>
    <row r="940" spans="3:18" x14ac:dyDescent="0.3">
      <c r="C940"/>
      <c r="D940"/>
      <c r="R940"/>
    </row>
    <row r="941" spans="3:18" x14ac:dyDescent="0.3">
      <c r="C941"/>
      <c r="D941"/>
      <c r="R941"/>
    </row>
    <row r="942" spans="3:18" x14ac:dyDescent="0.3">
      <c r="C942"/>
      <c r="D942"/>
      <c r="R942"/>
    </row>
    <row r="943" spans="3:18" x14ac:dyDescent="0.3">
      <c r="C943"/>
      <c r="D943"/>
      <c r="R943"/>
    </row>
    <row r="944" spans="3:18" x14ac:dyDescent="0.3">
      <c r="C944"/>
      <c r="D944"/>
      <c r="R944"/>
    </row>
    <row r="945" spans="3:18" x14ac:dyDescent="0.3">
      <c r="C945"/>
      <c r="D945"/>
      <c r="R945"/>
    </row>
    <row r="946" spans="3:18" x14ac:dyDescent="0.3">
      <c r="C946"/>
      <c r="D946"/>
      <c r="R946"/>
    </row>
    <row r="947" spans="3:18" x14ac:dyDescent="0.3">
      <c r="C947"/>
      <c r="D947"/>
      <c r="R947"/>
    </row>
    <row r="948" spans="3:18" x14ac:dyDescent="0.3">
      <c r="C948"/>
      <c r="D948"/>
      <c r="R948"/>
    </row>
    <row r="949" spans="3:18" x14ac:dyDescent="0.3">
      <c r="C949"/>
      <c r="D949"/>
      <c r="R949"/>
    </row>
    <row r="950" spans="3:18" x14ac:dyDescent="0.3">
      <c r="C950"/>
      <c r="D950"/>
      <c r="R950"/>
    </row>
    <row r="951" spans="3:18" x14ac:dyDescent="0.3">
      <c r="C951"/>
      <c r="D951"/>
      <c r="R951"/>
    </row>
    <row r="952" spans="3:18" x14ac:dyDescent="0.3">
      <c r="C952"/>
      <c r="D952"/>
      <c r="R952"/>
    </row>
    <row r="953" spans="3:18" x14ac:dyDescent="0.3">
      <c r="C953"/>
      <c r="D953"/>
      <c r="R953"/>
    </row>
    <row r="954" spans="3:18" x14ac:dyDescent="0.3">
      <c r="C954"/>
      <c r="D954"/>
      <c r="R954"/>
    </row>
    <row r="955" spans="3:18" x14ac:dyDescent="0.3">
      <c r="C955"/>
      <c r="D955"/>
      <c r="R955"/>
    </row>
    <row r="956" spans="3:18" x14ac:dyDescent="0.3">
      <c r="C956"/>
      <c r="D956"/>
      <c r="R956"/>
    </row>
    <row r="957" spans="3:18" x14ac:dyDescent="0.3">
      <c r="C957"/>
      <c r="D957"/>
      <c r="R957"/>
    </row>
    <row r="958" spans="3:18" x14ac:dyDescent="0.3">
      <c r="C958"/>
      <c r="D958"/>
      <c r="R958"/>
    </row>
    <row r="959" spans="3:18" x14ac:dyDescent="0.3">
      <c r="C959"/>
      <c r="D959"/>
      <c r="R959"/>
    </row>
    <row r="960" spans="3:18" x14ac:dyDescent="0.3">
      <c r="C960"/>
      <c r="D960"/>
      <c r="R960"/>
    </row>
    <row r="961" spans="3:18" x14ac:dyDescent="0.3">
      <c r="C961"/>
      <c r="D961"/>
      <c r="R961"/>
    </row>
    <row r="962" spans="3:18" x14ac:dyDescent="0.3">
      <c r="C962"/>
      <c r="D962"/>
      <c r="R962"/>
    </row>
    <row r="963" spans="3:18" x14ac:dyDescent="0.3">
      <c r="C963"/>
      <c r="D963"/>
      <c r="R963"/>
    </row>
    <row r="964" spans="3:18" x14ac:dyDescent="0.3">
      <c r="C964"/>
      <c r="D964"/>
      <c r="R964"/>
    </row>
    <row r="965" spans="3:18" x14ac:dyDescent="0.3">
      <c r="C965"/>
      <c r="D965"/>
      <c r="R965"/>
    </row>
    <row r="966" spans="3:18" x14ac:dyDescent="0.3">
      <c r="C966"/>
      <c r="D966"/>
      <c r="R966"/>
    </row>
    <row r="967" spans="3:18" x14ac:dyDescent="0.3">
      <c r="C967"/>
      <c r="D967"/>
      <c r="R967"/>
    </row>
    <row r="968" spans="3:18" x14ac:dyDescent="0.3">
      <c r="C968"/>
      <c r="D968"/>
      <c r="R968"/>
    </row>
    <row r="969" spans="3:18" x14ac:dyDescent="0.3">
      <c r="C969"/>
      <c r="D969"/>
      <c r="R969"/>
    </row>
    <row r="970" spans="3:18" x14ac:dyDescent="0.3">
      <c r="C970"/>
      <c r="D970"/>
      <c r="R970"/>
    </row>
    <row r="971" spans="3:18" x14ac:dyDescent="0.3">
      <c r="C971"/>
      <c r="D971"/>
      <c r="R971"/>
    </row>
    <row r="972" spans="3:18" x14ac:dyDescent="0.3">
      <c r="C972"/>
      <c r="D972"/>
      <c r="R972"/>
    </row>
    <row r="973" spans="3:18" x14ac:dyDescent="0.3">
      <c r="C973"/>
      <c r="D973"/>
      <c r="R973"/>
    </row>
    <row r="974" spans="3:18" x14ac:dyDescent="0.3">
      <c r="C974"/>
      <c r="D974"/>
      <c r="R974"/>
    </row>
    <row r="975" spans="3:18" x14ac:dyDescent="0.3">
      <c r="C975"/>
      <c r="D975"/>
      <c r="R975"/>
    </row>
    <row r="976" spans="3:18" x14ac:dyDescent="0.3">
      <c r="C976"/>
      <c r="D976"/>
      <c r="R976"/>
    </row>
    <row r="977" spans="3:18" x14ac:dyDescent="0.3">
      <c r="C977"/>
      <c r="D977"/>
      <c r="R977"/>
    </row>
    <row r="978" spans="3:18" x14ac:dyDescent="0.3">
      <c r="C978"/>
      <c r="D978"/>
      <c r="R978"/>
    </row>
    <row r="979" spans="3:18" x14ac:dyDescent="0.3">
      <c r="C979"/>
      <c r="D979"/>
      <c r="R979"/>
    </row>
    <row r="980" spans="3:18" x14ac:dyDescent="0.3">
      <c r="C980"/>
      <c r="D980"/>
      <c r="R980"/>
    </row>
    <row r="981" spans="3:18" x14ac:dyDescent="0.3">
      <c r="C981"/>
      <c r="D981"/>
      <c r="R981"/>
    </row>
    <row r="982" spans="3:18" x14ac:dyDescent="0.3">
      <c r="C982"/>
      <c r="D982"/>
      <c r="R982"/>
    </row>
    <row r="983" spans="3:18" x14ac:dyDescent="0.3">
      <c r="C983"/>
      <c r="D983"/>
      <c r="R983"/>
    </row>
    <row r="984" spans="3:18" x14ac:dyDescent="0.3">
      <c r="C984"/>
      <c r="D984"/>
      <c r="R984"/>
    </row>
    <row r="985" spans="3:18" x14ac:dyDescent="0.3">
      <c r="C985"/>
      <c r="D985"/>
      <c r="R985"/>
    </row>
    <row r="986" spans="3:18" x14ac:dyDescent="0.3">
      <c r="C986"/>
      <c r="D986"/>
      <c r="R986"/>
    </row>
    <row r="987" spans="3:18" x14ac:dyDescent="0.3">
      <c r="C987"/>
      <c r="D987"/>
      <c r="R987"/>
    </row>
    <row r="988" spans="3:18" x14ac:dyDescent="0.3">
      <c r="C988"/>
      <c r="D988"/>
      <c r="R988"/>
    </row>
    <row r="989" spans="3:18" x14ac:dyDescent="0.3">
      <c r="C989"/>
      <c r="D989"/>
      <c r="R989"/>
    </row>
    <row r="990" spans="3:18" x14ac:dyDescent="0.3">
      <c r="C990"/>
      <c r="D990"/>
      <c r="R990"/>
    </row>
    <row r="991" spans="3:18" x14ac:dyDescent="0.3">
      <c r="C991"/>
      <c r="D991"/>
      <c r="R991"/>
    </row>
    <row r="992" spans="3:18" x14ac:dyDescent="0.3">
      <c r="C992"/>
      <c r="D992"/>
      <c r="R992"/>
    </row>
    <row r="993" spans="3:18" x14ac:dyDescent="0.3">
      <c r="C993"/>
      <c r="D993"/>
      <c r="R993"/>
    </row>
    <row r="994" spans="3:18" x14ac:dyDescent="0.3">
      <c r="C994"/>
      <c r="D994"/>
      <c r="R994"/>
    </row>
    <row r="995" spans="3:18" x14ac:dyDescent="0.3">
      <c r="C995"/>
      <c r="D995"/>
      <c r="R995"/>
    </row>
    <row r="996" spans="3:18" x14ac:dyDescent="0.3">
      <c r="C996"/>
      <c r="D996"/>
      <c r="R996"/>
    </row>
    <row r="997" spans="3:18" x14ac:dyDescent="0.3">
      <c r="C997"/>
      <c r="D997"/>
      <c r="R997"/>
    </row>
    <row r="998" spans="3:18" x14ac:dyDescent="0.3">
      <c r="C998"/>
      <c r="D998"/>
      <c r="R998"/>
    </row>
    <row r="999" spans="3:18" x14ac:dyDescent="0.3">
      <c r="C999"/>
      <c r="D999"/>
      <c r="R999"/>
    </row>
    <row r="1000" spans="3:18" x14ac:dyDescent="0.3">
      <c r="C1000"/>
      <c r="D1000"/>
      <c r="R1000"/>
    </row>
    <row r="1001" spans="3:18" x14ac:dyDescent="0.3">
      <c r="C1001"/>
      <c r="D1001"/>
      <c r="R1001"/>
    </row>
    <row r="1002" spans="3:18" x14ac:dyDescent="0.3">
      <c r="C1002"/>
      <c r="D1002"/>
      <c r="R1002"/>
    </row>
    <row r="1003" spans="3:18" x14ac:dyDescent="0.3">
      <c r="C1003"/>
      <c r="D1003"/>
      <c r="R1003"/>
    </row>
    <row r="1004" spans="3:18" x14ac:dyDescent="0.3">
      <c r="C1004"/>
      <c r="D1004"/>
      <c r="R1004"/>
    </row>
    <row r="1005" spans="3:18" x14ac:dyDescent="0.3">
      <c r="C1005"/>
      <c r="D1005"/>
      <c r="R1005"/>
    </row>
    <row r="1006" spans="3:18" x14ac:dyDescent="0.3">
      <c r="C1006"/>
      <c r="D1006"/>
      <c r="R1006"/>
    </row>
    <row r="1007" spans="3:18" x14ac:dyDescent="0.3">
      <c r="C1007"/>
      <c r="D1007"/>
      <c r="R1007"/>
    </row>
    <row r="1008" spans="3:18" x14ac:dyDescent="0.3">
      <c r="C1008"/>
      <c r="D1008"/>
      <c r="R1008"/>
    </row>
    <row r="1009" spans="3:18" x14ac:dyDescent="0.3">
      <c r="C1009"/>
      <c r="D1009"/>
      <c r="R1009"/>
    </row>
    <row r="1010" spans="3:18" x14ac:dyDescent="0.3">
      <c r="C1010"/>
      <c r="D1010"/>
      <c r="R1010"/>
    </row>
    <row r="1011" spans="3:18" x14ac:dyDescent="0.3">
      <c r="C1011"/>
      <c r="D1011"/>
      <c r="R1011"/>
    </row>
    <row r="1012" spans="3:18" x14ac:dyDescent="0.3">
      <c r="C1012"/>
      <c r="D1012"/>
      <c r="R1012"/>
    </row>
    <row r="1013" spans="3:18" x14ac:dyDescent="0.3">
      <c r="C1013"/>
      <c r="D1013"/>
      <c r="R1013"/>
    </row>
    <row r="1014" spans="3:18" x14ac:dyDescent="0.3">
      <c r="C1014"/>
      <c r="D1014"/>
      <c r="R1014"/>
    </row>
    <row r="1015" spans="3:18" x14ac:dyDescent="0.3">
      <c r="C1015"/>
      <c r="D1015"/>
      <c r="R1015"/>
    </row>
    <row r="1016" spans="3:18" x14ac:dyDescent="0.3">
      <c r="C1016"/>
      <c r="D1016"/>
      <c r="R1016"/>
    </row>
    <row r="1017" spans="3:18" x14ac:dyDescent="0.3">
      <c r="C1017"/>
      <c r="D1017"/>
      <c r="R1017"/>
    </row>
    <row r="1018" spans="3:18" x14ac:dyDescent="0.3">
      <c r="C1018"/>
      <c r="D1018"/>
      <c r="R1018"/>
    </row>
    <row r="1019" spans="3:18" x14ac:dyDescent="0.3">
      <c r="C1019"/>
      <c r="D1019"/>
      <c r="R1019"/>
    </row>
    <row r="1020" spans="3:18" x14ac:dyDescent="0.3">
      <c r="C1020"/>
      <c r="D1020"/>
      <c r="R1020"/>
    </row>
    <row r="1021" spans="3:18" x14ac:dyDescent="0.3">
      <c r="C1021"/>
      <c r="D1021"/>
      <c r="R1021"/>
    </row>
    <row r="1022" spans="3:18" x14ac:dyDescent="0.3">
      <c r="C1022"/>
      <c r="D1022"/>
      <c r="R1022"/>
    </row>
    <row r="1023" spans="3:18" x14ac:dyDescent="0.3">
      <c r="C1023"/>
      <c r="D1023"/>
      <c r="R1023"/>
    </row>
    <row r="1024" spans="3:18" x14ac:dyDescent="0.3">
      <c r="C1024"/>
      <c r="D1024"/>
      <c r="R1024"/>
    </row>
    <row r="1025" spans="3:18" x14ac:dyDescent="0.3">
      <c r="C1025"/>
      <c r="D1025"/>
      <c r="R1025"/>
    </row>
    <row r="1026" spans="3:18" x14ac:dyDescent="0.3">
      <c r="C1026"/>
      <c r="D1026"/>
      <c r="R1026"/>
    </row>
    <row r="1027" spans="3:18" x14ac:dyDescent="0.3">
      <c r="C1027"/>
      <c r="D1027"/>
      <c r="R1027"/>
    </row>
    <row r="1028" spans="3:18" x14ac:dyDescent="0.3">
      <c r="C1028"/>
      <c r="D1028"/>
      <c r="R1028"/>
    </row>
    <row r="1029" spans="3:18" x14ac:dyDescent="0.3">
      <c r="C1029"/>
      <c r="D1029"/>
      <c r="R1029"/>
    </row>
    <row r="1030" spans="3:18" x14ac:dyDescent="0.3">
      <c r="C1030"/>
      <c r="D1030"/>
      <c r="R1030"/>
    </row>
    <row r="1031" spans="3:18" x14ac:dyDescent="0.3">
      <c r="C1031"/>
      <c r="D1031"/>
      <c r="R1031"/>
    </row>
    <row r="1032" spans="3:18" x14ac:dyDescent="0.3">
      <c r="C1032"/>
      <c r="D1032"/>
      <c r="R1032"/>
    </row>
    <row r="1033" spans="3:18" x14ac:dyDescent="0.3">
      <c r="C1033"/>
      <c r="D1033"/>
      <c r="R1033"/>
    </row>
    <row r="1034" spans="3:18" x14ac:dyDescent="0.3">
      <c r="C1034"/>
      <c r="D1034"/>
      <c r="R1034"/>
    </row>
    <row r="1035" spans="3:18" x14ac:dyDescent="0.3">
      <c r="C1035"/>
      <c r="D1035"/>
      <c r="R1035"/>
    </row>
    <row r="1036" spans="3:18" x14ac:dyDescent="0.3">
      <c r="C1036"/>
      <c r="D1036"/>
      <c r="R1036"/>
    </row>
    <row r="1037" spans="3:18" x14ac:dyDescent="0.3">
      <c r="C1037"/>
      <c r="D1037"/>
      <c r="R1037"/>
    </row>
    <row r="1038" spans="3:18" x14ac:dyDescent="0.3">
      <c r="C1038"/>
      <c r="D1038"/>
      <c r="R1038"/>
    </row>
    <row r="1039" spans="3:18" x14ac:dyDescent="0.3">
      <c r="C1039"/>
      <c r="D1039"/>
      <c r="R1039"/>
    </row>
    <row r="1040" spans="3:18" x14ac:dyDescent="0.3">
      <c r="C1040"/>
      <c r="D1040"/>
      <c r="R1040"/>
    </row>
    <row r="1041" spans="3:18" x14ac:dyDescent="0.3">
      <c r="C1041"/>
      <c r="D1041"/>
      <c r="R1041"/>
    </row>
    <row r="1042" spans="3:18" x14ac:dyDescent="0.3">
      <c r="C1042"/>
      <c r="D1042"/>
      <c r="R1042"/>
    </row>
    <row r="1043" spans="3:18" x14ac:dyDescent="0.3">
      <c r="C1043"/>
      <c r="D1043"/>
      <c r="R1043"/>
    </row>
    <row r="1044" spans="3:18" x14ac:dyDescent="0.3">
      <c r="C1044"/>
      <c r="D1044"/>
      <c r="R1044"/>
    </row>
    <row r="1045" spans="3:18" x14ac:dyDescent="0.3">
      <c r="C1045"/>
      <c r="D1045"/>
      <c r="R1045"/>
    </row>
    <row r="1046" spans="3:18" x14ac:dyDescent="0.3">
      <c r="C1046"/>
      <c r="D1046"/>
      <c r="R1046"/>
    </row>
    <row r="1047" spans="3:18" x14ac:dyDescent="0.3">
      <c r="C1047"/>
      <c r="D1047"/>
      <c r="R1047"/>
    </row>
    <row r="1048" spans="3:18" x14ac:dyDescent="0.3">
      <c r="C1048"/>
      <c r="D1048"/>
      <c r="R1048"/>
    </row>
    <row r="1049" spans="3:18" x14ac:dyDescent="0.3">
      <c r="C1049"/>
      <c r="D1049"/>
      <c r="R1049"/>
    </row>
    <row r="1050" spans="3:18" x14ac:dyDescent="0.3">
      <c r="C1050"/>
      <c r="D1050"/>
      <c r="R1050"/>
    </row>
    <row r="1051" spans="3:18" x14ac:dyDescent="0.3">
      <c r="C1051"/>
      <c r="D1051"/>
      <c r="R1051"/>
    </row>
    <row r="1052" spans="3:18" x14ac:dyDescent="0.3">
      <c r="C1052"/>
      <c r="D1052"/>
      <c r="R1052"/>
    </row>
    <row r="1053" spans="3:18" x14ac:dyDescent="0.3">
      <c r="C1053"/>
      <c r="D1053"/>
      <c r="R1053"/>
    </row>
    <row r="1054" spans="3:18" x14ac:dyDescent="0.3">
      <c r="C1054"/>
      <c r="D1054"/>
      <c r="R1054"/>
    </row>
    <row r="1055" spans="3:18" x14ac:dyDescent="0.3">
      <c r="C1055"/>
      <c r="D1055"/>
      <c r="R1055"/>
    </row>
    <row r="1056" spans="3:18" x14ac:dyDescent="0.3">
      <c r="C1056"/>
      <c r="D1056"/>
      <c r="R1056"/>
    </row>
    <row r="1057" spans="3:18" x14ac:dyDescent="0.3">
      <c r="C1057"/>
      <c r="D1057"/>
      <c r="R1057"/>
    </row>
    <row r="1058" spans="3:18" x14ac:dyDescent="0.3">
      <c r="C1058"/>
      <c r="D1058"/>
      <c r="R1058"/>
    </row>
    <row r="1059" spans="3:18" x14ac:dyDescent="0.3">
      <c r="C1059"/>
      <c r="D1059"/>
      <c r="R1059"/>
    </row>
    <row r="1060" spans="3:18" x14ac:dyDescent="0.3">
      <c r="C1060"/>
      <c r="D1060"/>
      <c r="R1060"/>
    </row>
    <row r="1061" spans="3:18" x14ac:dyDescent="0.3">
      <c r="C1061"/>
      <c r="D1061"/>
      <c r="R1061"/>
    </row>
    <row r="1062" spans="3:18" x14ac:dyDescent="0.3">
      <c r="C1062"/>
      <c r="D1062"/>
      <c r="R1062"/>
    </row>
    <row r="1063" spans="3:18" x14ac:dyDescent="0.3">
      <c r="C1063"/>
      <c r="D1063"/>
      <c r="R1063"/>
    </row>
    <row r="1064" spans="3:18" x14ac:dyDescent="0.3">
      <c r="C1064"/>
      <c r="D1064"/>
      <c r="R1064"/>
    </row>
    <row r="1065" spans="3:18" x14ac:dyDescent="0.3">
      <c r="C1065"/>
      <c r="D1065"/>
      <c r="R1065"/>
    </row>
    <row r="1066" spans="3:18" x14ac:dyDescent="0.3">
      <c r="C1066"/>
      <c r="D1066"/>
      <c r="R1066"/>
    </row>
    <row r="1067" spans="3:18" x14ac:dyDescent="0.3">
      <c r="C1067"/>
      <c r="D1067"/>
      <c r="R1067"/>
    </row>
    <row r="1068" spans="3:18" x14ac:dyDescent="0.3">
      <c r="C1068"/>
      <c r="D1068"/>
      <c r="R1068"/>
    </row>
    <row r="1069" spans="3:18" x14ac:dyDescent="0.3">
      <c r="C1069"/>
      <c r="D1069"/>
      <c r="R1069"/>
    </row>
    <row r="1070" spans="3:18" x14ac:dyDescent="0.3">
      <c r="C1070"/>
      <c r="D1070"/>
      <c r="R1070"/>
    </row>
    <row r="1071" spans="3:18" x14ac:dyDescent="0.3">
      <c r="C1071"/>
      <c r="D1071"/>
      <c r="R1071"/>
    </row>
    <row r="1072" spans="3:18" x14ac:dyDescent="0.3">
      <c r="C1072"/>
      <c r="D1072"/>
      <c r="R1072"/>
    </row>
    <row r="1073" spans="3:18" x14ac:dyDescent="0.3">
      <c r="C1073"/>
      <c r="D1073"/>
      <c r="R1073"/>
    </row>
    <row r="1074" spans="3:18" x14ac:dyDescent="0.3">
      <c r="C1074"/>
      <c r="D1074"/>
      <c r="R1074"/>
    </row>
    <row r="1075" spans="3:18" x14ac:dyDescent="0.3">
      <c r="C1075"/>
      <c r="D1075"/>
      <c r="R1075"/>
    </row>
    <row r="1076" spans="3:18" x14ac:dyDescent="0.3">
      <c r="C1076"/>
      <c r="D1076"/>
      <c r="R1076"/>
    </row>
    <row r="1077" spans="3:18" x14ac:dyDescent="0.3">
      <c r="C1077"/>
      <c r="D1077"/>
      <c r="R1077"/>
    </row>
    <row r="1078" spans="3:18" x14ac:dyDescent="0.3">
      <c r="C1078"/>
      <c r="D1078"/>
      <c r="R1078"/>
    </row>
    <row r="1079" spans="3:18" x14ac:dyDescent="0.3">
      <c r="C1079"/>
      <c r="D1079"/>
      <c r="R1079"/>
    </row>
    <row r="1080" spans="3:18" x14ac:dyDescent="0.3">
      <c r="C1080"/>
      <c r="D1080"/>
      <c r="R1080"/>
    </row>
    <row r="1081" spans="3:18" x14ac:dyDescent="0.3">
      <c r="C1081"/>
      <c r="D1081"/>
      <c r="R1081"/>
    </row>
    <row r="1082" spans="3:18" x14ac:dyDescent="0.3">
      <c r="C1082"/>
      <c r="D1082"/>
      <c r="R1082"/>
    </row>
    <row r="1083" spans="3:18" x14ac:dyDescent="0.3">
      <c r="C1083"/>
      <c r="D1083"/>
      <c r="R1083"/>
    </row>
    <row r="1084" spans="3:18" x14ac:dyDescent="0.3">
      <c r="C1084"/>
      <c r="D1084"/>
      <c r="R1084"/>
    </row>
    <row r="1085" spans="3:18" x14ac:dyDescent="0.3">
      <c r="C1085"/>
      <c r="D1085"/>
      <c r="R1085"/>
    </row>
    <row r="1086" spans="3:18" x14ac:dyDescent="0.3">
      <c r="C1086"/>
      <c r="D1086"/>
      <c r="R1086"/>
    </row>
    <row r="1087" spans="3:18" x14ac:dyDescent="0.3">
      <c r="C1087"/>
      <c r="D1087"/>
      <c r="R1087"/>
    </row>
    <row r="1088" spans="3:18" x14ac:dyDescent="0.3">
      <c r="C1088"/>
      <c r="D1088"/>
      <c r="R1088"/>
    </row>
    <row r="1089" spans="3:18" x14ac:dyDescent="0.3">
      <c r="C1089"/>
      <c r="D1089"/>
      <c r="R1089"/>
    </row>
    <row r="1090" spans="3:18" x14ac:dyDescent="0.3">
      <c r="C1090"/>
      <c r="D1090"/>
      <c r="R1090"/>
    </row>
    <row r="1091" spans="3:18" x14ac:dyDescent="0.3">
      <c r="C1091"/>
      <c r="D1091"/>
      <c r="R1091"/>
    </row>
    <row r="1092" spans="3:18" x14ac:dyDescent="0.3">
      <c r="C1092"/>
      <c r="D1092"/>
      <c r="R1092"/>
    </row>
    <row r="1093" spans="3:18" x14ac:dyDescent="0.3">
      <c r="C1093"/>
      <c r="D1093"/>
      <c r="R1093"/>
    </row>
    <row r="1094" spans="3:18" x14ac:dyDescent="0.3">
      <c r="C1094"/>
      <c r="D1094"/>
      <c r="R1094"/>
    </row>
    <row r="1095" spans="3:18" x14ac:dyDescent="0.3">
      <c r="C1095"/>
      <c r="D1095"/>
      <c r="R1095"/>
    </row>
    <row r="1096" spans="3:18" x14ac:dyDescent="0.3">
      <c r="C1096"/>
      <c r="D1096"/>
      <c r="R1096"/>
    </row>
    <row r="1097" spans="3:18" x14ac:dyDescent="0.3">
      <c r="C1097"/>
      <c r="D1097"/>
      <c r="R1097"/>
    </row>
    <row r="1098" spans="3:18" x14ac:dyDescent="0.3">
      <c r="C1098"/>
      <c r="D1098"/>
      <c r="R1098"/>
    </row>
    <row r="1099" spans="3:18" x14ac:dyDescent="0.3">
      <c r="C1099"/>
      <c r="D1099"/>
      <c r="R1099"/>
    </row>
    <row r="1100" spans="3:18" x14ac:dyDescent="0.3">
      <c r="C1100"/>
      <c r="D1100"/>
      <c r="R1100"/>
    </row>
    <row r="1101" spans="3:18" x14ac:dyDescent="0.3">
      <c r="C1101"/>
      <c r="D1101"/>
      <c r="R1101"/>
    </row>
    <row r="1102" spans="3:18" x14ac:dyDescent="0.3">
      <c r="C1102"/>
      <c r="D1102"/>
      <c r="R1102"/>
    </row>
    <row r="1103" spans="3:18" x14ac:dyDescent="0.3">
      <c r="C1103"/>
      <c r="D1103"/>
      <c r="R1103"/>
    </row>
    <row r="1104" spans="3:18" x14ac:dyDescent="0.3">
      <c r="C1104"/>
      <c r="D1104"/>
      <c r="R1104"/>
    </row>
    <row r="1105" spans="3:18" x14ac:dyDescent="0.3">
      <c r="C1105"/>
      <c r="D1105"/>
      <c r="R1105"/>
    </row>
    <row r="1106" spans="3:18" x14ac:dyDescent="0.3">
      <c r="C1106"/>
      <c r="D1106"/>
      <c r="R1106"/>
    </row>
    <row r="1107" spans="3:18" x14ac:dyDescent="0.3">
      <c r="C1107"/>
      <c r="D1107"/>
      <c r="R1107"/>
    </row>
    <row r="1108" spans="3:18" x14ac:dyDescent="0.3">
      <c r="C1108"/>
      <c r="D1108"/>
      <c r="R1108"/>
    </row>
    <row r="1109" spans="3:18" x14ac:dyDescent="0.3">
      <c r="C1109"/>
      <c r="D1109"/>
      <c r="R1109"/>
    </row>
    <row r="1110" spans="3:18" x14ac:dyDescent="0.3">
      <c r="C1110"/>
      <c r="D1110"/>
      <c r="R1110"/>
    </row>
    <row r="1111" spans="3:18" x14ac:dyDescent="0.3">
      <c r="C1111"/>
      <c r="D1111"/>
      <c r="R1111"/>
    </row>
    <row r="1112" spans="3:18" x14ac:dyDescent="0.3">
      <c r="C1112"/>
      <c r="D1112"/>
      <c r="R1112"/>
    </row>
    <row r="1113" spans="3:18" x14ac:dyDescent="0.3">
      <c r="C1113"/>
      <c r="D1113"/>
      <c r="R1113"/>
    </row>
    <row r="1114" spans="3:18" x14ac:dyDescent="0.3">
      <c r="C1114"/>
      <c r="D1114"/>
      <c r="R1114"/>
    </row>
    <row r="1115" spans="3:18" x14ac:dyDescent="0.3">
      <c r="C1115"/>
      <c r="D1115"/>
      <c r="R1115"/>
    </row>
    <row r="1116" spans="3:18" x14ac:dyDescent="0.3">
      <c r="C1116"/>
      <c r="D1116"/>
      <c r="R1116"/>
    </row>
    <row r="1117" spans="3:18" x14ac:dyDescent="0.3">
      <c r="C1117"/>
      <c r="D1117"/>
      <c r="R1117"/>
    </row>
    <row r="1118" spans="3:18" x14ac:dyDescent="0.3">
      <c r="C1118"/>
      <c r="D1118"/>
      <c r="R1118"/>
    </row>
    <row r="1119" spans="3:18" x14ac:dyDescent="0.3">
      <c r="C1119"/>
      <c r="D1119"/>
      <c r="R1119"/>
    </row>
    <row r="1120" spans="3:18" x14ac:dyDescent="0.3">
      <c r="C1120"/>
      <c r="D1120"/>
      <c r="R1120"/>
    </row>
    <row r="1121" spans="3:18" x14ac:dyDescent="0.3">
      <c r="C1121"/>
      <c r="D1121"/>
      <c r="R1121"/>
    </row>
    <row r="1122" spans="3:18" x14ac:dyDescent="0.3">
      <c r="C1122"/>
      <c r="D1122"/>
      <c r="R1122"/>
    </row>
    <row r="1123" spans="3:18" x14ac:dyDescent="0.3">
      <c r="C1123"/>
      <c r="D1123"/>
      <c r="R1123"/>
    </row>
    <row r="1124" spans="3:18" x14ac:dyDescent="0.3">
      <c r="C1124"/>
      <c r="D1124"/>
      <c r="R1124"/>
    </row>
    <row r="1125" spans="3:18" x14ac:dyDescent="0.3">
      <c r="C1125"/>
      <c r="D1125"/>
      <c r="R1125"/>
    </row>
    <row r="1126" spans="3:18" x14ac:dyDescent="0.3">
      <c r="C1126"/>
      <c r="D1126"/>
      <c r="R1126"/>
    </row>
    <row r="1127" spans="3:18" x14ac:dyDescent="0.3">
      <c r="C1127"/>
      <c r="D1127"/>
      <c r="R1127"/>
    </row>
    <row r="1128" spans="3:18" x14ac:dyDescent="0.3">
      <c r="C1128"/>
      <c r="D1128"/>
      <c r="R1128"/>
    </row>
    <row r="1129" spans="3:18" x14ac:dyDescent="0.3">
      <c r="C1129"/>
      <c r="D1129"/>
      <c r="R1129"/>
    </row>
    <row r="1130" spans="3:18" x14ac:dyDescent="0.3">
      <c r="C1130"/>
      <c r="D1130"/>
      <c r="R1130"/>
    </row>
    <row r="1131" spans="3:18" x14ac:dyDescent="0.3">
      <c r="C1131"/>
      <c r="D1131"/>
      <c r="R1131"/>
    </row>
    <row r="1132" spans="3:18" x14ac:dyDescent="0.3">
      <c r="C1132"/>
      <c r="D1132"/>
      <c r="R1132"/>
    </row>
    <row r="1133" spans="3:18" x14ac:dyDescent="0.3">
      <c r="C1133"/>
      <c r="D1133"/>
      <c r="R1133"/>
    </row>
    <row r="1134" spans="3:18" x14ac:dyDescent="0.3">
      <c r="C1134"/>
      <c r="D1134"/>
      <c r="R1134"/>
    </row>
    <row r="1135" spans="3:18" x14ac:dyDescent="0.3">
      <c r="C1135"/>
      <c r="D1135"/>
      <c r="R1135"/>
    </row>
    <row r="1136" spans="3:18" x14ac:dyDescent="0.3">
      <c r="C1136"/>
      <c r="D1136"/>
      <c r="R1136"/>
    </row>
    <row r="1137" spans="3:18" x14ac:dyDescent="0.3">
      <c r="C1137"/>
      <c r="D1137"/>
      <c r="R1137"/>
    </row>
    <row r="1138" spans="3:18" x14ac:dyDescent="0.3">
      <c r="C1138"/>
      <c r="D1138"/>
      <c r="R1138"/>
    </row>
    <row r="1139" spans="3:18" x14ac:dyDescent="0.3">
      <c r="C1139"/>
      <c r="D1139"/>
      <c r="R1139"/>
    </row>
    <row r="1140" spans="3:18" x14ac:dyDescent="0.3">
      <c r="C1140"/>
      <c r="D1140"/>
      <c r="R1140"/>
    </row>
    <row r="1141" spans="3:18" x14ac:dyDescent="0.3">
      <c r="C1141"/>
      <c r="D1141"/>
      <c r="R1141"/>
    </row>
    <row r="1142" spans="3:18" x14ac:dyDescent="0.3">
      <c r="C1142"/>
      <c r="D1142"/>
      <c r="R1142"/>
    </row>
    <row r="1143" spans="3:18" x14ac:dyDescent="0.3">
      <c r="C1143"/>
      <c r="D1143"/>
      <c r="R1143"/>
    </row>
    <row r="1144" spans="3:18" x14ac:dyDescent="0.3">
      <c r="C1144"/>
      <c r="D1144"/>
      <c r="R1144"/>
    </row>
    <row r="1145" spans="3:18" x14ac:dyDescent="0.3">
      <c r="C1145"/>
      <c r="D1145"/>
      <c r="R1145"/>
    </row>
    <row r="1146" spans="3:18" x14ac:dyDescent="0.3">
      <c r="C1146"/>
      <c r="D1146"/>
      <c r="R1146"/>
    </row>
    <row r="1147" spans="3:18" x14ac:dyDescent="0.3">
      <c r="C1147"/>
      <c r="D1147"/>
      <c r="R1147"/>
    </row>
    <row r="1148" spans="3:18" x14ac:dyDescent="0.3">
      <c r="C1148"/>
      <c r="D1148"/>
      <c r="R1148"/>
    </row>
    <row r="1149" spans="3:18" x14ac:dyDescent="0.3">
      <c r="C1149"/>
      <c r="D1149"/>
      <c r="R1149"/>
    </row>
    <row r="1150" spans="3:18" x14ac:dyDescent="0.3">
      <c r="C1150"/>
      <c r="D1150"/>
      <c r="R1150"/>
    </row>
    <row r="1151" spans="3:18" x14ac:dyDescent="0.3">
      <c r="C1151"/>
      <c r="D1151"/>
      <c r="R1151"/>
    </row>
    <row r="1152" spans="3:18" x14ac:dyDescent="0.3">
      <c r="C1152"/>
      <c r="D1152"/>
      <c r="R1152"/>
    </row>
    <row r="1153" spans="3:18" x14ac:dyDescent="0.3">
      <c r="C1153"/>
      <c r="D1153"/>
      <c r="R1153"/>
    </row>
    <row r="1154" spans="3:18" x14ac:dyDescent="0.3">
      <c r="C1154"/>
      <c r="D1154"/>
      <c r="R1154"/>
    </row>
    <row r="1155" spans="3:18" x14ac:dyDescent="0.3">
      <c r="C1155"/>
      <c r="D1155"/>
      <c r="R1155"/>
    </row>
    <row r="1156" spans="3:18" x14ac:dyDescent="0.3">
      <c r="C1156"/>
      <c r="D1156"/>
      <c r="R1156"/>
    </row>
    <row r="1157" spans="3:18" x14ac:dyDescent="0.3">
      <c r="C1157"/>
      <c r="D1157"/>
      <c r="R1157"/>
    </row>
    <row r="1158" spans="3:18" x14ac:dyDescent="0.3">
      <c r="C1158"/>
      <c r="D1158"/>
      <c r="R1158"/>
    </row>
    <row r="1159" spans="3:18" x14ac:dyDescent="0.3">
      <c r="C1159"/>
      <c r="D1159"/>
      <c r="R1159"/>
    </row>
    <row r="1160" spans="3:18" x14ac:dyDescent="0.3">
      <c r="C1160"/>
      <c r="D1160"/>
      <c r="R1160"/>
    </row>
    <row r="1161" spans="3:18" x14ac:dyDescent="0.3">
      <c r="C1161"/>
      <c r="D1161"/>
      <c r="R1161"/>
    </row>
    <row r="1162" spans="3:18" x14ac:dyDescent="0.3">
      <c r="C1162"/>
      <c r="D1162"/>
      <c r="R1162"/>
    </row>
    <row r="1163" spans="3:18" x14ac:dyDescent="0.3">
      <c r="C1163"/>
      <c r="D1163"/>
      <c r="R1163"/>
    </row>
    <row r="1164" spans="3:18" x14ac:dyDescent="0.3">
      <c r="C1164"/>
      <c r="D1164"/>
      <c r="R1164"/>
    </row>
    <row r="1165" spans="3:18" x14ac:dyDescent="0.3">
      <c r="C1165"/>
      <c r="D1165"/>
      <c r="R1165"/>
    </row>
    <row r="1166" spans="3:18" x14ac:dyDescent="0.3">
      <c r="C1166"/>
      <c r="D1166"/>
      <c r="R1166"/>
    </row>
    <row r="1167" spans="3:18" x14ac:dyDescent="0.3">
      <c r="C1167"/>
      <c r="D1167"/>
      <c r="R1167"/>
    </row>
    <row r="1168" spans="3:18" x14ac:dyDescent="0.3">
      <c r="C1168"/>
      <c r="D1168"/>
      <c r="R1168"/>
    </row>
    <row r="1169" spans="3:18" x14ac:dyDescent="0.3">
      <c r="C1169"/>
      <c r="D1169"/>
      <c r="R1169"/>
    </row>
    <row r="1170" spans="3:18" x14ac:dyDescent="0.3">
      <c r="C1170"/>
      <c r="D1170"/>
      <c r="R1170"/>
    </row>
    <row r="1171" spans="3:18" x14ac:dyDescent="0.3">
      <c r="C1171"/>
      <c r="D1171"/>
      <c r="R1171"/>
    </row>
    <row r="1172" spans="3:18" x14ac:dyDescent="0.3">
      <c r="C1172"/>
      <c r="D1172"/>
      <c r="R1172"/>
    </row>
    <row r="1173" spans="3:18" x14ac:dyDescent="0.3">
      <c r="C1173"/>
      <c r="D1173"/>
      <c r="R1173"/>
    </row>
    <row r="1174" spans="3:18" x14ac:dyDescent="0.3">
      <c r="C1174"/>
      <c r="D1174"/>
      <c r="R1174"/>
    </row>
    <row r="1175" spans="3:18" x14ac:dyDescent="0.3">
      <c r="C1175"/>
      <c r="D1175"/>
      <c r="R1175"/>
    </row>
    <row r="1176" spans="3:18" x14ac:dyDescent="0.3">
      <c r="C1176"/>
      <c r="D1176"/>
      <c r="R1176"/>
    </row>
    <row r="1177" spans="3:18" x14ac:dyDescent="0.3">
      <c r="C1177"/>
      <c r="D1177"/>
      <c r="R1177"/>
    </row>
    <row r="1178" spans="3:18" x14ac:dyDescent="0.3">
      <c r="C1178"/>
      <c r="D1178"/>
      <c r="R1178"/>
    </row>
    <row r="1179" spans="3:18" x14ac:dyDescent="0.3">
      <c r="C1179"/>
      <c r="D1179"/>
      <c r="R1179"/>
    </row>
    <row r="1180" spans="3:18" x14ac:dyDescent="0.3">
      <c r="C1180"/>
      <c r="D1180"/>
      <c r="R1180"/>
    </row>
    <row r="1181" spans="3:18" x14ac:dyDescent="0.3">
      <c r="C1181"/>
      <c r="D1181"/>
      <c r="R1181"/>
    </row>
    <row r="1182" spans="3:18" x14ac:dyDescent="0.3">
      <c r="C1182"/>
      <c r="D1182"/>
      <c r="R1182"/>
    </row>
    <row r="1183" spans="3:18" x14ac:dyDescent="0.3">
      <c r="C1183"/>
      <c r="D1183"/>
      <c r="R1183"/>
    </row>
    <row r="1184" spans="3:18" x14ac:dyDescent="0.3">
      <c r="C1184"/>
      <c r="D1184"/>
      <c r="R1184"/>
    </row>
    <row r="1185" spans="3:18" x14ac:dyDescent="0.3">
      <c r="C1185"/>
      <c r="D1185"/>
      <c r="R1185"/>
    </row>
    <row r="1186" spans="3:18" x14ac:dyDescent="0.3">
      <c r="C1186"/>
      <c r="D1186"/>
      <c r="R1186"/>
    </row>
    <row r="1187" spans="3:18" x14ac:dyDescent="0.3">
      <c r="C1187"/>
      <c r="D1187"/>
      <c r="R1187"/>
    </row>
    <row r="1188" spans="3:18" x14ac:dyDescent="0.3">
      <c r="C1188"/>
      <c r="D1188"/>
      <c r="R1188"/>
    </row>
    <row r="1189" spans="3:18" x14ac:dyDescent="0.3">
      <c r="C1189"/>
      <c r="D1189"/>
      <c r="R1189"/>
    </row>
    <row r="1190" spans="3:18" x14ac:dyDescent="0.3">
      <c r="C1190"/>
      <c r="D1190"/>
      <c r="R1190"/>
    </row>
    <row r="1191" spans="3:18" x14ac:dyDescent="0.3">
      <c r="C1191"/>
      <c r="D1191"/>
      <c r="R1191"/>
    </row>
    <row r="1192" spans="3:18" x14ac:dyDescent="0.3">
      <c r="C1192"/>
      <c r="D1192"/>
      <c r="R1192"/>
    </row>
    <row r="1193" spans="3:18" x14ac:dyDescent="0.3">
      <c r="C1193"/>
      <c r="D1193"/>
      <c r="R1193"/>
    </row>
    <row r="1194" spans="3:18" x14ac:dyDescent="0.3">
      <c r="C1194"/>
      <c r="D1194"/>
      <c r="R1194"/>
    </row>
    <row r="1195" spans="3:18" x14ac:dyDescent="0.3">
      <c r="C1195"/>
      <c r="D1195"/>
      <c r="R1195"/>
    </row>
    <row r="1196" spans="3:18" x14ac:dyDescent="0.3">
      <c r="C1196"/>
      <c r="D1196"/>
      <c r="R1196"/>
    </row>
    <row r="1197" spans="3:18" x14ac:dyDescent="0.3">
      <c r="C1197"/>
      <c r="D1197"/>
      <c r="R1197"/>
    </row>
    <row r="1198" spans="3:18" x14ac:dyDescent="0.3">
      <c r="C1198"/>
      <c r="D1198"/>
      <c r="R1198"/>
    </row>
    <row r="1199" spans="3:18" x14ac:dyDescent="0.3">
      <c r="C1199"/>
      <c r="D1199"/>
      <c r="R1199"/>
    </row>
    <row r="1200" spans="3:18" x14ac:dyDescent="0.3">
      <c r="C1200"/>
      <c r="D1200"/>
      <c r="R1200"/>
    </row>
    <row r="1201" spans="3:18" x14ac:dyDescent="0.3">
      <c r="C1201"/>
      <c r="D1201"/>
      <c r="R1201"/>
    </row>
    <row r="1202" spans="3:18" x14ac:dyDescent="0.3">
      <c r="C1202"/>
      <c r="D1202"/>
      <c r="R1202"/>
    </row>
    <row r="1203" spans="3:18" x14ac:dyDescent="0.3">
      <c r="C1203"/>
      <c r="D1203"/>
      <c r="R1203"/>
    </row>
    <row r="1204" spans="3:18" x14ac:dyDescent="0.3">
      <c r="C1204"/>
      <c r="D1204"/>
      <c r="R1204"/>
    </row>
    <row r="1205" spans="3:18" x14ac:dyDescent="0.3">
      <c r="C1205"/>
      <c r="D1205"/>
      <c r="R1205"/>
    </row>
    <row r="1206" spans="3:18" x14ac:dyDescent="0.3">
      <c r="C1206"/>
      <c r="D1206"/>
      <c r="R1206"/>
    </row>
    <row r="1207" spans="3:18" x14ac:dyDescent="0.3">
      <c r="C1207"/>
      <c r="D1207"/>
      <c r="R1207"/>
    </row>
    <row r="1208" spans="3:18" x14ac:dyDescent="0.3">
      <c r="C1208"/>
      <c r="D1208"/>
      <c r="R1208"/>
    </row>
    <row r="1209" spans="3:18" x14ac:dyDescent="0.3">
      <c r="C1209"/>
      <c r="D1209"/>
      <c r="R1209"/>
    </row>
    <row r="1210" spans="3:18" x14ac:dyDescent="0.3">
      <c r="C1210"/>
      <c r="D1210"/>
      <c r="R1210"/>
    </row>
    <row r="1211" spans="3:18" x14ac:dyDescent="0.3">
      <c r="C1211"/>
      <c r="D1211"/>
      <c r="R1211"/>
    </row>
    <row r="1212" spans="3:18" x14ac:dyDescent="0.3">
      <c r="C1212"/>
      <c r="D1212"/>
      <c r="R1212"/>
    </row>
    <row r="1213" spans="3:18" x14ac:dyDescent="0.3">
      <c r="C1213"/>
      <c r="D1213"/>
      <c r="R1213"/>
    </row>
    <row r="1214" spans="3:18" x14ac:dyDescent="0.3">
      <c r="C1214"/>
      <c r="D1214"/>
      <c r="R1214"/>
    </row>
    <row r="1215" spans="3:18" x14ac:dyDescent="0.3">
      <c r="C1215"/>
      <c r="D1215"/>
      <c r="R1215"/>
    </row>
    <row r="1216" spans="3:18" x14ac:dyDescent="0.3">
      <c r="C1216"/>
      <c r="D1216"/>
      <c r="R1216"/>
    </row>
    <row r="1217" spans="3:18" x14ac:dyDescent="0.3">
      <c r="C1217"/>
      <c r="D1217"/>
      <c r="R1217"/>
    </row>
    <row r="1218" spans="3:18" x14ac:dyDescent="0.3">
      <c r="C1218"/>
      <c r="D1218"/>
      <c r="R1218"/>
    </row>
    <row r="1219" spans="3:18" x14ac:dyDescent="0.3">
      <c r="C1219"/>
      <c r="D1219"/>
      <c r="R1219"/>
    </row>
    <row r="1220" spans="3:18" x14ac:dyDescent="0.3">
      <c r="C1220"/>
      <c r="D1220"/>
      <c r="R1220"/>
    </row>
    <row r="1221" spans="3:18" x14ac:dyDescent="0.3">
      <c r="C1221"/>
      <c r="D1221"/>
      <c r="R1221"/>
    </row>
    <row r="1222" spans="3:18" x14ac:dyDescent="0.3">
      <c r="C1222"/>
      <c r="D1222"/>
      <c r="R1222"/>
    </row>
    <row r="1223" spans="3:18" x14ac:dyDescent="0.3">
      <c r="C1223"/>
      <c r="D1223"/>
      <c r="R1223"/>
    </row>
    <row r="1224" spans="3:18" x14ac:dyDescent="0.3">
      <c r="C1224"/>
      <c r="D1224"/>
      <c r="R1224"/>
    </row>
    <row r="1225" spans="3:18" x14ac:dyDescent="0.3">
      <c r="C1225"/>
      <c r="D1225"/>
      <c r="R1225"/>
    </row>
    <row r="1226" spans="3:18" x14ac:dyDescent="0.3">
      <c r="C1226"/>
      <c r="D1226"/>
      <c r="R1226"/>
    </row>
    <row r="1227" spans="3:18" x14ac:dyDescent="0.3">
      <c r="C1227"/>
      <c r="D1227"/>
      <c r="R1227"/>
    </row>
    <row r="1228" spans="3:18" x14ac:dyDescent="0.3">
      <c r="C1228"/>
      <c r="D1228"/>
      <c r="R1228"/>
    </row>
    <row r="1229" spans="3:18" x14ac:dyDescent="0.3">
      <c r="C1229"/>
      <c r="D1229"/>
      <c r="R1229"/>
    </row>
    <row r="1230" spans="3:18" x14ac:dyDescent="0.3">
      <c r="C1230"/>
      <c r="D1230"/>
      <c r="R1230"/>
    </row>
    <row r="1231" spans="3:18" x14ac:dyDescent="0.3">
      <c r="C1231"/>
      <c r="D1231"/>
      <c r="R1231"/>
    </row>
    <row r="1232" spans="3:18" x14ac:dyDescent="0.3">
      <c r="C1232"/>
      <c r="D1232"/>
      <c r="R1232"/>
    </row>
    <row r="1233" spans="3:18" x14ac:dyDescent="0.3">
      <c r="C1233"/>
      <c r="D1233"/>
      <c r="R1233"/>
    </row>
    <row r="1234" spans="3:18" x14ac:dyDescent="0.3">
      <c r="C1234"/>
      <c r="D1234"/>
      <c r="R1234"/>
    </row>
    <row r="1235" spans="3:18" x14ac:dyDescent="0.3">
      <c r="C1235"/>
      <c r="D1235"/>
      <c r="R1235"/>
    </row>
    <row r="1236" spans="3:18" x14ac:dyDescent="0.3">
      <c r="C1236"/>
      <c r="D1236"/>
      <c r="R1236"/>
    </row>
    <row r="1237" spans="3:18" x14ac:dyDescent="0.3">
      <c r="C1237"/>
      <c r="D1237"/>
      <c r="R1237"/>
    </row>
    <row r="1238" spans="3:18" x14ac:dyDescent="0.3">
      <c r="C1238"/>
      <c r="D1238"/>
      <c r="R1238"/>
    </row>
    <row r="1239" spans="3:18" x14ac:dyDescent="0.3">
      <c r="C1239"/>
      <c r="D1239"/>
      <c r="R1239"/>
    </row>
    <row r="1240" spans="3:18" x14ac:dyDescent="0.3">
      <c r="C1240"/>
      <c r="D1240"/>
      <c r="R1240"/>
    </row>
    <row r="1241" spans="3:18" x14ac:dyDescent="0.3">
      <c r="C1241"/>
      <c r="D1241"/>
      <c r="R1241"/>
    </row>
    <row r="1242" spans="3:18" x14ac:dyDescent="0.3">
      <c r="C1242"/>
      <c r="D1242"/>
      <c r="R1242"/>
    </row>
    <row r="1243" spans="3:18" x14ac:dyDescent="0.3">
      <c r="C1243"/>
      <c r="D1243"/>
      <c r="R1243"/>
    </row>
    <row r="1244" spans="3:18" x14ac:dyDescent="0.3">
      <c r="C1244"/>
      <c r="D1244"/>
      <c r="R1244"/>
    </row>
    <row r="1245" spans="3:18" x14ac:dyDescent="0.3">
      <c r="C1245"/>
      <c r="D1245"/>
      <c r="R1245"/>
    </row>
    <row r="1246" spans="3:18" x14ac:dyDescent="0.3">
      <c r="C1246"/>
      <c r="D1246"/>
      <c r="R1246"/>
    </row>
    <row r="1247" spans="3:18" x14ac:dyDescent="0.3">
      <c r="C1247"/>
      <c r="D1247"/>
      <c r="R1247"/>
    </row>
    <row r="1248" spans="3:18" x14ac:dyDescent="0.3">
      <c r="C1248"/>
      <c r="D1248"/>
      <c r="R1248"/>
    </row>
    <row r="1249" spans="3:18" x14ac:dyDescent="0.3">
      <c r="C1249"/>
      <c r="D1249"/>
      <c r="R1249"/>
    </row>
    <row r="1250" spans="3:18" x14ac:dyDescent="0.3">
      <c r="C1250"/>
      <c r="D1250"/>
      <c r="R1250"/>
    </row>
    <row r="1251" spans="3:18" x14ac:dyDescent="0.3">
      <c r="C1251"/>
      <c r="D1251"/>
      <c r="R1251"/>
    </row>
    <row r="1252" spans="3:18" x14ac:dyDescent="0.3">
      <c r="C1252"/>
      <c r="D1252"/>
      <c r="R1252"/>
    </row>
    <row r="1253" spans="3:18" x14ac:dyDescent="0.3">
      <c r="C1253"/>
      <c r="D1253"/>
      <c r="R1253"/>
    </row>
    <row r="1254" spans="3:18" x14ac:dyDescent="0.3">
      <c r="C1254"/>
      <c r="D1254"/>
      <c r="R1254"/>
    </row>
    <row r="1255" spans="3:18" x14ac:dyDescent="0.3">
      <c r="C1255"/>
      <c r="D1255"/>
      <c r="R1255"/>
    </row>
    <row r="1256" spans="3:18" x14ac:dyDescent="0.3">
      <c r="C1256"/>
      <c r="D1256"/>
      <c r="R1256"/>
    </row>
    <row r="1257" spans="3:18" x14ac:dyDescent="0.3">
      <c r="C1257"/>
      <c r="D1257"/>
      <c r="R1257"/>
    </row>
    <row r="1258" spans="3:18" x14ac:dyDescent="0.3">
      <c r="C1258"/>
      <c r="D1258"/>
      <c r="R1258"/>
    </row>
    <row r="1259" spans="3:18" x14ac:dyDescent="0.3">
      <c r="C1259"/>
      <c r="D1259"/>
      <c r="R1259"/>
    </row>
    <row r="1260" spans="3:18" x14ac:dyDescent="0.3">
      <c r="C1260"/>
      <c r="D1260"/>
      <c r="R1260"/>
    </row>
    <row r="1261" spans="3:18" x14ac:dyDescent="0.3">
      <c r="C1261"/>
      <c r="D1261"/>
      <c r="R1261"/>
    </row>
    <row r="1262" spans="3:18" x14ac:dyDescent="0.3">
      <c r="C1262"/>
      <c r="D1262"/>
      <c r="R1262"/>
    </row>
    <row r="1263" spans="3:18" x14ac:dyDescent="0.3">
      <c r="C1263"/>
      <c r="D1263"/>
      <c r="R1263"/>
    </row>
    <row r="1264" spans="3:18" x14ac:dyDescent="0.3">
      <c r="C1264"/>
      <c r="D1264"/>
      <c r="R1264"/>
    </row>
    <row r="1265" spans="3:18" x14ac:dyDescent="0.3">
      <c r="C1265"/>
      <c r="D1265"/>
      <c r="R1265"/>
    </row>
    <row r="1266" spans="3:18" x14ac:dyDescent="0.3">
      <c r="C1266"/>
      <c r="D1266"/>
      <c r="R1266"/>
    </row>
    <row r="1267" spans="3:18" x14ac:dyDescent="0.3">
      <c r="C1267"/>
      <c r="D1267"/>
      <c r="R1267"/>
    </row>
    <row r="1268" spans="3:18" x14ac:dyDescent="0.3">
      <c r="C1268"/>
      <c r="D1268"/>
      <c r="R1268"/>
    </row>
    <row r="1269" spans="3:18" x14ac:dyDescent="0.3">
      <c r="C1269"/>
      <c r="D1269"/>
      <c r="R1269"/>
    </row>
    <row r="1270" spans="3:18" x14ac:dyDescent="0.3">
      <c r="C1270"/>
      <c r="D1270"/>
      <c r="R1270"/>
    </row>
    <row r="1271" spans="3:18" x14ac:dyDescent="0.3">
      <c r="C1271"/>
      <c r="D1271"/>
      <c r="R1271"/>
    </row>
    <row r="1272" spans="3:18" x14ac:dyDescent="0.3">
      <c r="C1272"/>
      <c r="D1272"/>
      <c r="R1272"/>
    </row>
    <row r="1273" spans="3:18" x14ac:dyDescent="0.3">
      <c r="C1273"/>
      <c r="D1273"/>
      <c r="R1273"/>
    </row>
    <row r="1274" spans="3:18" x14ac:dyDescent="0.3">
      <c r="C1274"/>
      <c r="D1274"/>
      <c r="R1274"/>
    </row>
    <row r="1275" spans="3:18" x14ac:dyDescent="0.3">
      <c r="C1275"/>
      <c r="D1275"/>
      <c r="R1275"/>
    </row>
    <row r="1276" spans="3:18" x14ac:dyDescent="0.3">
      <c r="C1276"/>
      <c r="D1276"/>
      <c r="R1276"/>
    </row>
    <row r="1277" spans="3:18" x14ac:dyDescent="0.3">
      <c r="C1277"/>
      <c r="D1277"/>
      <c r="R1277"/>
    </row>
    <row r="1278" spans="3:18" x14ac:dyDescent="0.3">
      <c r="C1278"/>
      <c r="D1278"/>
      <c r="R1278"/>
    </row>
    <row r="1279" spans="3:18" x14ac:dyDescent="0.3">
      <c r="C1279"/>
      <c r="D1279"/>
      <c r="R1279"/>
    </row>
    <row r="1280" spans="3:18" x14ac:dyDescent="0.3">
      <c r="C1280"/>
      <c r="D1280"/>
      <c r="R1280"/>
    </row>
    <row r="1281" spans="3:18" x14ac:dyDescent="0.3">
      <c r="C1281"/>
      <c r="D1281"/>
      <c r="R1281"/>
    </row>
    <row r="1282" spans="3:18" x14ac:dyDescent="0.3">
      <c r="C1282"/>
      <c r="D1282"/>
      <c r="R1282"/>
    </row>
    <row r="1283" spans="3:18" x14ac:dyDescent="0.3">
      <c r="C1283"/>
      <c r="D1283"/>
      <c r="R1283"/>
    </row>
    <row r="1284" spans="3:18" x14ac:dyDescent="0.3">
      <c r="C1284"/>
      <c r="D1284"/>
      <c r="R1284"/>
    </row>
    <row r="1285" spans="3:18" x14ac:dyDescent="0.3">
      <c r="C1285"/>
      <c r="D1285"/>
      <c r="R1285"/>
    </row>
    <row r="1286" spans="3:18" x14ac:dyDescent="0.3">
      <c r="C1286"/>
      <c r="D1286"/>
      <c r="R1286"/>
    </row>
    <row r="1287" spans="3:18" x14ac:dyDescent="0.3">
      <c r="C1287"/>
      <c r="D1287"/>
      <c r="R1287"/>
    </row>
    <row r="1288" spans="3:18" x14ac:dyDescent="0.3">
      <c r="C1288"/>
      <c r="D1288"/>
      <c r="R1288"/>
    </row>
    <row r="1289" spans="3:18" x14ac:dyDescent="0.3">
      <c r="C1289"/>
      <c r="D1289"/>
      <c r="R1289"/>
    </row>
    <row r="1290" spans="3:18" x14ac:dyDescent="0.3">
      <c r="C1290"/>
      <c r="D1290"/>
      <c r="R1290"/>
    </row>
    <row r="1291" spans="3:18" x14ac:dyDescent="0.3">
      <c r="C1291"/>
      <c r="D1291"/>
      <c r="R1291"/>
    </row>
    <row r="1292" spans="3:18" x14ac:dyDescent="0.3">
      <c r="C1292"/>
      <c r="D1292"/>
      <c r="R1292"/>
    </row>
    <row r="1293" spans="3:18" x14ac:dyDescent="0.3">
      <c r="C1293"/>
      <c r="D1293"/>
      <c r="R1293"/>
    </row>
    <row r="1294" spans="3:18" x14ac:dyDescent="0.3">
      <c r="C1294"/>
      <c r="D1294"/>
      <c r="R1294"/>
    </row>
    <row r="1295" spans="3:18" x14ac:dyDescent="0.3">
      <c r="C1295"/>
      <c r="D1295"/>
      <c r="R1295"/>
    </row>
    <row r="1296" spans="3:18" x14ac:dyDescent="0.3">
      <c r="C1296"/>
      <c r="D1296"/>
      <c r="R1296"/>
    </row>
    <row r="1297" spans="3:18" x14ac:dyDescent="0.3">
      <c r="C1297"/>
      <c r="D1297"/>
      <c r="R1297"/>
    </row>
    <row r="1298" spans="3:18" x14ac:dyDescent="0.3">
      <c r="C1298"/>
      <c r="D1298"/>
      <c r="R1298"/>
    </row>
    <row r="1299" spans="3:18" x14ac:dyDescent="0.3">
      <c r="C1299"/>
      <c r="D1299"/>
      <c r="R1299"/>
    </row>
    <row r="1300" spans="3:18" x14ac:dyDescent="0.3">
      <c r="C1300"/>
      <c r="D1300"/>
      <c r="R1300"/>
    </row>
    <row r="1301" spans="3:18" x14ac:dyDescent="0.3">
      <c r="C1301"/>
      <c r="D1301"/>
      <c r="R1301"/>
    </row>
    <row r="1302" spans="3:18" x14ac:dyDescent="0.3">
      <c r="C1302"/>
      <c r="D1302"/>
      <c r="R1302"/>
    </row>
    <row r="1303" spans="3:18" x14ac:dyDescent="0.3">
      <c r="C1303"/>
      <c r="D1303"/>
      <c r="R1303"/>
    </row>
    <row r="1304" spans="3:18" x14ac:dyDescent="0.3">
      <c r="C1304"/>
      <c r="D1304"/>
      <c r="R1304"/>
    </row>
    <row r="1305" spans="3:18" x14ac:dyDescent="0.3">
      <c r="C1305"/>
      <c r="D1305"/>
      <c r="R1305"/>
    </row>
    <row r="1306" spans="3:18" x14ac:dyDescent="0.3">
      <c r="C1306"/>
      <c r="D1306"/>
      <c r="R1306"/>
    </row>
    <row r="1307" spans="3:18" x14ac:dyDescent="0.3">
      <c r="C1307"/>
      <c r="D1307"/>
      <c r="R1307"/>
    </row>
    <row r="1308" spans="3:18" x14ac:dyDescent="0.3">
      <c r="C1308"/>
      <c r="D1308"/>
      <c r="R1308"/>
    </row>
    <row r="1309" spans="3:18" x14ac:dyDescent="0.3">
      <c r="C1309"/>
      <c r="D1309"/>
      <c r="R1309"/>
    </row>
    <row r="1310" spans="3:18" x14ac:dyDescent="0.3">
      <c r="C1310"/>
      <c r="D1310"/>
      <c r="R1310"/>
    </row>
    <row r="1311" spans="3:18" x14ac:dyDescent="0.3">
      <c r="C1311"/>
      <c r="D1311"/>
      <c r="R1311"/>
    </row>
    <row r="1312" spans="3:18" x14ac:dyDescent="0.3">
      <c r="C1312"/>
      <c r="D1312"/>
      <c r="R1312"/>
    </row>
    <row r="1313" spans="3:18" x14ac:dyDescent="0.3">
      <c r="C1313"/>
      <c r="D1313"/>
      <c r="R1313"/>
    </row>
    <row r="1314" spans="3:18" x14ac:dyDescent="0.3">
      <c r="C1314"/>
      <c r="D1314"/>
      <c r="R1314"/>
    </row>
    <row r="1315" spans="3:18" x14ac:dyDescent="0.3">
      <c r="C1315"/>
      <c r="D1315"/>
      <c r="R1315"/>
    </row>
    <row r="1316" spans="3:18" x14ac:dyDescent="0.3">
      <c r="C1316"/>
      <c r="D1316"/>
      <c r="R1316"/>
    </row>
    <row r="1317" spans="3:18" x14ac:dyDescent="0.3">
      <c r="C1317"/>
      <c r="D1317"/>
      <c r="R1317"/>
    </row>
    <row r="1318" spans="3:18" x14ac:dyDescent="0.3">
      <c r="C1318"/>
      <c r="D1318"/>
      <c r="R1318"/>
    </row>
    <row r="1319" spans="3:18" x14ac:dyDescent="0.3">
      <c r="C1319"/>
      <c r="D1319"/>
      <c r="R1319"/>
    </row>
    <row r="1320" spans="3:18" x14ac:dyDescent="0.3">
      <c r="C1320"/>
      <c r="D1320"/>
      <c r="R1320"/>
    </row>
    <row r="1321" spans="3:18" x14ac:dyDescent="0.3">
      <c r="C1321"/>
      <c r="D1321"/>
      <c r="R1321"/>
    </row>
    <row r="1322" spans="3:18" x14ac:dyDescent="0.3">
      <c r="C1322"/>
      <c r="D1322"/>
      <c r="R1322"/>
    </row>
    <row r="1323" spans="3:18" x14ac:dyDescent="0.3">
      <c r="C1323"/>
      <c r="D1323"/>
      <c r="R1323"/>
    </row>
    <row r="1324" spans="3:18" x14ac:dyDescent="0.3">
      <c r="C1324"/>
      <c r="D1324"/>
      <c r="R1324"/>
    </row>
    <row r="1325" spans="3:18" x14ac:dyDescent="0.3">
      <c r="C1325"/>
      <c r="D1325"/>
      <c r="R1325"/>
    </row>
    <row r="1326" spans="3:18" x14ac:dyDescent="0.3">
      <c r="C1326"/>
      <c r="D1326"/>
      <c r="R1326"/>
    </row>
    <row r="1327" spans="3:18" x14ac:dyDescent="0.3">
      <c r="C1327"/>
      <c r="D1327"/>
      <c r="R1327"/>
    </row>
    <row r="1328" spans="3:18" x14ac:dyDescent="0.3">
      <c r="C1328"/>
      <c r="D1328"/>
      <c r="R1328"/>
    </row>
    <row r="1329" spans="3:18" x14ac:dyDescent="0.3">
      <c r="C1329"/>
      <c r="D1329"/>
      <c r="R1329"/>
    </row>
    <row r="1330" spans="3:18" x14ac:dyDescent="0.3">
      <c r="C1330"/>
      <c r="D1330"/>
      <c r="R1330"/>
    </row>
    <row r="1331" spans="3:18" x14ac:dyDescent="0.3">
      <c r="C1331"/>
      <c r="D1331"/>
      <c r="R1331"/>
    </row>
    <row r="1332" spans="3:18" x14ac:dyDescent="0.3">
      <c r="C1332"/>
      <c r="D1332"/>
      <c r="R1332"/>
    </row>
    <row r="1333" spans="3:18" x14ac:dyDescent="0.3">
      <c r="C1333"/>
      <c r="D1333"/>
      <c r="R1333"/>
    </row>
    <row r="1334" spans="3:18" x14ac:dyDescent="0.3">
      <c r="C1334"/>
      <c r="D1334"/>
      <c r="R1334"/>
    </row>
    <row r="1335" spans="3:18" x14ac:dyDescent="0.3">
      <c r="C1335"/>
      <c r="D1335"/>
      <c r="R1335"/>
    </row>
    <row r="1336" spans="3:18" x14ac:dyDescent="0.3">
      <c r="C1336"/>
      <c r="D1336"/>
      <c r="R1336"/>
    </row>
    <row r="1337" spans="3:18" x14ac:dyDescent="0.3">
      <c r="C1337"/>
      <c r="D1337"/>
      <c r="R1337"/>
    </row>
    <row r="1338" spans="3:18" x14ac:dyDescent="0.3">
      <c r="C1338"/>
      <c r="D1338"/>
      <c r="R1338"/>
    </row>
    <row r="1339" spans="3:18" x14ac:dyDescent="0.3">
      <c r="C1339"/>
      <c r="D1339"/>
      <c r="R1339"/>
    </row>
    <row r="1340" spans="3:18" x14ac:dyDescent="0.3">
      <c r="C1340"/>
      <c r="D1340"/>
      <c r="R1340"/>
    </row>
    <row r="1341" spans="3:18" x14ac:dyDescent="0.3">
      <c r="C1341"/>
      <c r="D1341"/>
      <c r="R1341"/>
    </row>
    <row r="1342" spans="3:18" x14ac:dyDescent="0.3">
      <c r="C1342"/>
      <c r="D1342"/>
      <c r="R1342"/>
    </row>
    <row r="1343" spans="3:18" x14ac:dyDescent="0.3">
      <c r="C1343"/>
      <c r="D1343"/>
      <c r="R1343"/>
    </row>
    <row r="1344" spans="3:18" x14ac:dyDescent="0.3">
      <c r="C1344"/>
      <c r="D1344"/>
      <c r="R1344"/>
    </row>
    <row r="1345" spans="3:18" x14ac:dyDescent="0.3">
      <c r="C1345"/>
      <c r="D1345"/>
      <c r="R1345"/>
    </row>
    <row r="1346" spans="3:18" x14ac:dyDescent="0.3">
      <c r="C1346"/>
      <c r="D1346"/>
      <c r="R1346"/>
    </row>
    <row r="1347" spans="3:18" x14ac:dyDescent="0.3">
      <c r="C1347"/>
      <c r="D1347"/>
      <c r="R1347"/>
    </row>
    <row r="1348" spans="3:18" x14ac:dyDescent="0.3">
      <c r="C1348"/>
      <c r="D1348"/>
      <c r="R1348"/>
    </row>
    <row r="1349" spans="3:18" x14ac:dyDescent="0.3">
      <c r="C1349"/>
      <c r="D1349"/>
      <c r="R1349"/>
    </row>
    <row r="1350" spans="3:18" x14ac:dyDescent="0.3">
      <c r="C1350"/>
      <c r="D1350"/>
      <c r="R1350"/>
    </row>
    <row r="1351" spans="3:18" x14ac:dyDescent="0.3">
      <c r="C1351"/>
      <c r="D1351"/>
      <c r="R1351"/>
    </row>
    <row r="1352" spans="3:18" x14ac:dyDescent="0.3">
      <c r="C1352"/>
      <c r="D1352"/>
      <c r="R1352"/>
    </row>
    <row r="1353" spans="3:18" x14ac:dyDescent="0.3">
      <c r="C1353"/>
      <c r="D1353"/>
      <c r="R1353"/>
    </row>
    <row r="1354" spans="3:18" x14ac:dyDescent="0.3">
      <c r="C1354"/>
      <c r="D1354"/>
      <c r="R1354"/>
    </row>
    <row r="1355" spans="3:18" x14ac:dyDescent="0.3">
      <c r="C1355"/>
      <c r="D1355"/>
      <c r="R1355"/>
    </row>
    <row r="1356" spans="3:18" x14ac:dyDescent="0.3">
      <c r="C1356"/>
      <c r="D1356"/>
      <c r="R1356"/>
    </row>
    <row r="1357" spans="3:18" x14ac:dyDescent="0.3">
      <c r="C1357"/>
      <c r="D1357"/>
      <c r="R1357"/>
    </row>
    <row r="1358" spans="3:18" x14ac:dyDescent="0.3">
      <c r="C1358"/>
      <c r="D1358"/>
      <c r="R1358"/>
    </row>
    <row r="1359" spans="3:18" x14ac:dyDescent="0.3">
      <c r="C1359"/>
      <c r="D1359"/>
      <c r="R1359"/>
    </row>
    <row r="1360" spans="3:18" x14ac:dyDescent="0.3">
      <c r="C1360"/>
      <c r="D1360"/>
      <c r="R1360"/>
    </row>
    <row r="1361" spans="3:18" x14ac:dyDescent="0.3">
      <c r="C1361"/>
      <c r="D1361"/>
      <c r="R1361"/>
    </row>
    <row r="1362" spans="3:18" x14ac:dyDescent="0.3">
      <c r="C1362"/>
      <c r="D1362"/>
      <c r="R1362"/>
    </row>
    <row r="1363" spans="3:18" x14ac:dyDescent="0.3">
      <c r="C1363"/>
      <c r="D1363"/>
      <c r="R1363"/>
    </row>
    <row r="1364" spans="3:18" x14ac:dyDescent="0.3">
      <c r="C1364"/>
      <c r="D1364"/>
      <c r="R1364"/>
    </row>
    <row r="1365" spans="3:18" x14ac:dyDescent="0.3">
      <c r="C1365"/>
      <c r="D1365"/>
      <c r="R1365"/>
    </row>
    <row r="1366" spans="3:18" x14ac:dyDescent="0.3">
      <c r="C1366"/>
      <c r="D1366"/>
      <c r="R1366"/>
    </row>
    <row r="1367" spans="3:18" x14ac:dyDescent="0.3">
      <c r="C1367"/>
      <c r="D1367"/>
      <c r="R1367"/>
    </row>
    <row r="1368" spans="3:18" x14ac:dyDescent="0.3">
      <c r="C1368"/>
      <c r="D1368"/>
      <c r="R1368"/>
    </row>
    <row r="1369" spans="3:18" x14ac:dyDescent="0.3">
      <c r="C1369"/>
      <c r="D1369"/>
      <c r="R1369"/>
    </row>
    <row r="1370" spans="3:18" x14ac:dyDescent="0.3">
      <c r="C1370"/>
      <c r="D1370"/>
      <c r="R1370"/>
    </row>
    <row r="1371" spans="3:18" x14ac:dyDescent="0.3">
      <c r="C1371"/>
      <c r="D1371"/>
      <c r="R1371"/>
    </row>
    <row r="1372" spans="3:18" x14ac:dyDescent="0.3">
      <c r="C1372"/>
      <c r="D1372"/>
      <c r="R1372"/>
    </row>
    <row r="1373" spans="3:18" x14ac:dyDescent="0.3">
      <c r="C1373"/>
      <c r="D1373"/>
      <c r="R1373"/>
    </row>
    <row r="1374" spans="3:18" x14ac:dyDescent="0.3">
      <c r="C1374"/>
      <c r="D1374"/>
      <c r="R1374"/>
    </row>
    <row r="1375" spans="3:18" x14ac:dyDescent="0.3">
      <c r="C1375"/>
      <c r="D1375"/>
      <c r="R1375"/>
    </row>
    <row r="1376" spans="3:18" x14ac:dyDescent="0.3">
      <c r="C1376"/>
      <c r="D1376"/>
      <c r="R1376"/>
    </row>
    <row r="1377" spans="3:18" x14ac:dyDescent="0.3">
      <c r="C1377"/>
      <c r="D1377"/>
      <c r="R1377"/>
    </row>
    <row r="1378" spans="3:18" x14ac:dyDescent="0.3">
      <c r="C1378"/>
      <c r="D1378"/>
      <c r="R1378"/>
    </row>
    <row r="1379" spans="3:18" x14ac:dyDescent="0.3">
      <c r="C1379"/>
      <c r="D1379"/>
      <c r="R1379"/>
    </row>
    <row r="1380" spans="3:18" x14ac:dyDescent="0.3">
      <c r="C1380"/>
      <c r="D1380"/>
      <c r="R1380"/>
    </row>
    <row r="1381" spans="3:18" x14ac:dyDescent="0.3">
      <c r="C1381"/>
      <c r="D1381"/>
      <c r="R1381"/>
    </row>
    <row r="1382" spans="3:18" x14ac:dyDescent="0.3">
      <c r="C1382"/>
      <c r="D1382"/>
      <c r="R1382"/>
    </row>
    <row r="1383" spans="3:18" x14ac:dyDescent="0.3">
      <c r="C1383"/>
      <c r="D1383"/>
      <c r="R1383"/>
    </row>
    <row r="1384" spans="3:18" x14ac:dyDescent="0.3">
      <c r="C1384"/>
      <c r="D1384"/>
      <c r="R1384"/>
    </row>
    <row r="1385" spans="3:18" x14ac:dyDescent="0.3">
      <c r="C1385"/>
      <c r="D1385"/>
      <c r="R1385"/>
    </row>
    <row r="1386" spans="3:18" x14ac:dyDescent="0.3">
      <c r="C1386"/>
      <c r="D1386"/>
      <c r="R1386"/>
    </row>
    <row r="1387" spans="3:18" x14ac:dyDescent="0.3">
      <c r="C1387"/>
      <c r="D1387"/>
      <c r="R1387"/>
    </row>
    <row r="1388" spans="3:18" x14ac:dyDescent="0.3">
      <c r="C1388"/>
      <c r="D1388"/>
      <c r="R1388"/>
    </row>
    <row r="1389" spans="3:18" x14ac:dyDescent="0.3">
      <c r="C1389"/>
      <c r="D1389"/>
      <c r="R1389"/>
    </row>
    <row r="1390" spans="3:18" x14ac:dyDescent="0.3">
      <c r="C1390"/>
      <c r="D1390"/>
      <c r="R1390"/>
    </row>
    <row r="1391" spans="3:18" x14ac:dyDescent="0.3">
      <c r="C1391"/>
      <c r="D1391"/>
      <c r="R1391"/>
    </row>
    <row r="1392" spans="3:18" x14ac:dyDescent="0.3">
      <c r="C1392"/>
      <c r="D1392"/>
      <c r="R1392"/>
    </row>
    <row r="1393" spans="3:18" x14ac:dyDescent="0.3">
      <c r="C1393"/>
      <c r="D1393"/>
      <c r="R1393"/>
    </row>
    <row r="1394" spans="3:18" x14ac:dyDescent="0.3">
      <c r="C1394"/>
      <c r="D1394"/>
      <c r="R1394"/>
    </row>
    <row r="1395" spans="3:18" x14ac:dyDescent="0.3">
      <c r="C1395"/>
      <c r="D1395"/>
      <c r="R1395"/>
    </row>
    <row r="1396" spans="3:18" x14ac:dyDescent="0.3">
      <c r="C1396"/>
      <c r="D1396"/>
      <c r="R1396"/>
    </row>
    <row r="1397" spans="3:18" x14ac:dyDescent="0.3">
      <c r="C1397"/>
      <c r="D1397"/>
      <c r="R1397"/>
    </row>
    <row r="1398" spans="3:18" x14ac:dyDescent="0.3">
      <c r="C1398"/>
      <c r="D1398"/>
      <c r="R1398"/>
    </row>
    <row r="1399" spans="3:18" x14ac:dyDescent="0.3">
      <c r="C1399"/>
      <c r="D1399"/>
      <c r="R1399"/>
    </row>
    <row r="1400" spans="3:18" x14ac:dyDescent="0.3">
      <c r="C1400"/>
      <c r="D1400"/>
      <c r="R1400"/>
    </row>
    <row r="1401" spans="3:18" x14ac:dyDescent="0.3">
      <c r="C1401"/>
      <c r="D1401"/>
      <c r="R1401"/>
    </row>
    <row r="1402" spans="3:18" x14ac:dyDescent="0.3">
      <c r="C1402"/>
      <c r="D1402"/>
      <c r="R1402"/>
    </row>
    <row r="1403" spans="3:18" x14ac:dyDescent="0.3">
      <c r="C1403"/>
      <c r="D1403"/>
      <c r="R1403"/>
    </row>
    <row r="1404" spans="3:18" x14ac:dyDescent="0.3">
      <c r="C1404"/>
      <c r="D1404"/>
      <c r="R1404"/>
    </row>
    <row r="1405" spans="3:18" x14ac:dyDescent="0.3">
      <c r="C1405"/>
      <c r="D1405"/>
      <c r="R1405"/>
    </row>
    <row r="1406" spans="3:18" x14ac:dyDescent="0.3">
      <c r="C1406"/>
      <c r="D1406"/>
      <c r="R1406"/>
    </row>
    <row r="1407" spans="3:18" x14ac:dyDescent="0.3">
      <c r="C1407"/>
      <c r="D1407"/>
      <c r="R1407"/>
    </row>
    <row r="1408" spans="3:18" x14ac:dyDescent="0.3">
      <c r="C1408"/>
      <c r="D1408"/>
      <c r="R1408"/>
    </row>
    <row r="1409" spans="3:18" x14ac:dyDescent="0.3">
      <c r="C1409"/>
      <c r="D1409"/>
      <c r="R1409"/>
    </row>
    <row r="1410" spans="3:18" x14ac:dyDescent="0.3">
      <c r="C1410"/>
      <c r="D1410"/>
      <c r="R1410"/>
    </row>
    <row r="1411" spans="3:18" x14ac:dyDescent="0.3">
      <c r="C1411"/>
      <c r="D1411"/>
      <c r="R1411"/>
    </row>
    <row r="1412" spans="3:18" x14ac:dyDescent="0.3">
      <c r="C1412"/>
      <c r="D1412"/>
      <c r="R1412"/>
    </row>
    <row r="1413" spans="3:18" x14ac:dyDescent="0.3">
      <c r="C1413"/>
      <c r="D1413"/>
      <c r="R1413"/>
    </row>
    <row r="1414" spans="3:18" x14ac:dyDescent="0.3">
      <c r="C1414"/>
      <c r="D1414"/>
      <c r="R1414"/>
    </row>
    <row r="1415" spans="3:18" x14ac:dyDescent="0.3">
      <c r="C1415"/>
      <c r="D1415"/>
      <c r="R1415"/>
    </row>
    <row r="1416" spans="3:18" x14ac:dyDescent="0.3">
      <c r="C1416"/>
      <c r="D1416"/>
      <c r="R1416"/>
    </row>
    <row r="1417" spans="3:18" x14ac:dyDescent="0.3">
      <c r="C1417"/>
      <c r="D1417"/>
      <c r="R1417"/>
    </row>
    <row r="1418" spans="3:18" x14ac:dyDescent="0.3">
      <c r="C1418"/>
      <c r="D1418"/>
      <c r="R1418"/>
    </row>
    <row r="1419" spans="3:18" x14ac:dyDescent="0.3">
      <c r="C1419"/>
      <c r="D1419"/>
      <c r="R1419"/>
    </row>
    <row r="1420" spans="3:18" x14ac:dyDescent="0.3">
      <c r="C1420"/>
      <c r="D1420"/>
      <c r="R1420"/>
    </row>
    <row r="1421" spans="3:18" x14ac:dyDescent="0.3">
      <c r="C1421"/>
      <c r="D1421"/>
      <c r="R1421"/>
    </row>
    <row r="1422" spans="3:18" x14ac:dyDescent="0.3">
      <c r="C1422"/>
      <c r="D1422"/>
      <c r="R1422"/>
    </row>
    <row r="1423" spans="3:18" x14ac:dyDescent="0.3">
      <c r="C1423"/>
      <c r="D1423"/>
      <c r="R1423"/>
    </row>
    <row r="1424" spans="3:18" x14ac:dyDescent="0.3">
      <c r="C1424"/>
      <c r="D1424"/>
      <c r="R1424"/>
    </row>
    <row r="1425" spans="3:18" x14ac:dyDescent="0.3">
      <c r="C1425"/>
      <c r="D1425"/>
      <c r="R1425"/>
    </row>
    <row r="1426" spans="3:18" x14ac:dyDescent="0.3">
      <c r="C1426"/>
      <c r="D1426"/>
      <c r="R1426"/>
    </row>
    <row r="1427" spans="3:18" x14ac:dyDescent="0.3">
      <c r="C1427"/>
      <c r="D1427"/>
      <c r="R1427"/>
    </row>
    <row r="1428" spans="3:18" x14ac:dyDescent="0.3">
      <c r="C1428"/>
      <c r="D1428"/>
      <c r="R1428"/>
    </row>
    <row r="1429" spans="3:18" x14ac:dyDescent="0.3">
      <c r="C1429"/>
      <c r="D1429"/>
      <c r="R1429"/>
    </row>
    <row r="1430" spans="3:18" x14ac:dyDescent="0.3">
      <c r="C1430"/>
      <c r="D1430"/>
      <c r="R1430"/>
    </row>
    <row r="1431" spans="3:18" x14ac:dyDescent="0.3">
      <c r="C1431"/>
      <c r="D1431"/>
      <c r="R1431"/>
    </row>
    <row r="1432" spans="3:18" x14ac:dyDescent="0.3">
      <c r="C1432"/>
      <c r="D1432"/>
      <c r="R1432"/>
    </row>
    <row r="1433" spans="3:18" x14ac:dyDescent="0.3">
      <c r="C1433"/>
      <c r="D1433"/>
      <c r="R1433"/>
    </row>
    <row r="1434" spans="3:18" x14ac:dyDescent="0.3">
      <c r="C1434"/>
      <c r="D1434"/>
      <c r="R1434"/>
    </row>
    <row r="1435" spans="3:18" x14ac:dyDescent="0.3">
      <c r="C1435"/>
      <c r="D1435"/>
      <c r="R1435"/>
    </row>
    <row r="1436" spans="3:18" x14ac:dyDescent="0.3">
      <c r="C1436"/>
      <c r="D1436"/>
      <c r="R1436"/>
    </row>
    <row r="1437" spans="3:18" x14ac:dyDescent="0.3">
      <c r="C1437"/>
      <c r="D1437"/>
      <c r="R1437"/>
    </row>
    <row r="1438" spans="3:18" x14ac:dyDescent="0.3">
      <c r="C1438"/>
      <c r="D1438"/>
      <c r="R1438"/>
    </row>
    <row r="1439" spans="3:18" x14ac:dyDescent="0.3">
      <c r="C1439"/>
      <c r="D1439"/>
      <c r="R1439"/>
    </row>
    <row r="1440" spans="3:18" x14ac:dyDescent="0.3">
      <c r="C1440"/>
      <c r="D1440"/>
      <c r="R1440"/>
    </row>
    <row r="1441" spans="3:18" x14ac:dyDescent="0.3">
      <c r="C1441"/>
      <c r="D1441"/>
      <c r="R1441"/>
    </row>
    <row r="1442" spans="3:18" x14ac:dyDescent="0.3">
      <c r="C1442"/>
      <c r="D1442"/>
      <c r="R1442"/>
    </row>
    <row r="1443" spans="3:18" x14ac:dyDescent="0.3">
      <c r="C1443"/>
      <c r="D1443"/>
      <c r="R1443"/>
    </row>
    <row r="1444" spans="3:18" x14ac:dyDescent="0.3">
      <c r="C1444"/>
      <c r="D1444"/>
      <c r="R1444"/>
    </row>
    <row r="1445" spans="3:18" x14ac:dyDescent="0.3">
      <c r="C1445"/>
      <c r="D1445"/>
      <c r="R1445"/>
    </row>
    <row r="1446" spans="3:18" x14ac:dyDescent="0.3">
      <c r="C1446"/>
      <c r="D1446"/>
      <c r="R1446"/>
    </row>
    <row r="1447" spans="3:18" x14ac:dyDescent="0.3">
      <c r="C1447"/>
      <c r="D1447"/>
      <c r="R1447"/>
    </row>
    <row r="1448" spans="3:18" x14ac:dyDescent="0.3">
      <c r="C1448"/>
      <c r="D1448"/>
      <c r="R1448"/>
    </row>
    <row r="1449" spans="3:18" x14ac:dyDescent="0.3">
      <c r="C1449"/>
      <c r="D1449"/>
      <c r="R1449"/>
    </row>
    <row r="1450" spans="3:18" x14ac:dyDescent="0.3">
      <c r="C1450"/>
      <c r="D1450"/>
      <c r="R1450"/>
    </row>
    <row r="1451" spans="3:18" x14ac:dyDescent="0.3">
      <c r="C1451"/>
      <c r="D1451"/>
      <c r="R1451"/>
    </row>
    <row r="1452" spans="3:18" x14ac:dyDescent="0.3">
      <c r="C1452"/>
      <c r="D1452"/>
      <c r="R1452"/>
    </row>
    <row r="1453" spans="3:18" x14ac:dyDescent="0.3">
      <c r="C1453"/>
      <c r="D1453"/>
      <c r="R1453"/>
    </row>
    <row r="1454" spans="3:18" x14ac:dyDescent="0.3">
      <c r="C1454"/>
      <c r="D1454"/>
      <c r="R1454"/>
    </row>
    <row r="1455" spans="3:18" x14ac:dyDescent="0.3">
      <c r="C1455"/>
      <c r="D1455"/>
      <c r="R1455"/>
    </row>
    <row r="1456" spans="3:18" x14ac:dyDescent="0.3">
      <c r="C1456"/>
      <c r="D1456"/>
      <c r="R1456"/>
    </row>
    <row r="1457" spans="3:18" x14ac:dyDescent="0.3">
      <c r="C1457"/>
      <c r="D1457"/>
      <c r="R1457"/>
    </row>
    <row r="1458" spans="3:18" x14ac:dyDescent="0.3">
      <c r="C1458"/>
      <c r="D1458"/>
      <c r="R1458"/>
    </row>
    <row r="1459" spans="3:18" x14ac:dyDescent="0.3">
      <c r="C1459"/>
      <c r="D1459"/>
      <c r="R1459"/>
    </row>
    <row r="1460" spans="3:18" x14ac:dyDescent="0.3">
      <c r="C1460"/>
      <c r="D1460"/>
      <c r="R1460"/>
    </row>
    <row r="1461" spans="3:18" x14ac:dyDescent="0.3">
      <c r="C1461"/>
      <c r="D1461"/>
      <c r="R1461"/>
    </row>
    <row r="1462" spans="3:18" x14ac:dyDescent="0.3">
      <c r="C1462"/>
      <c r="D1462"/>
      <c r="R1462"/>
    </row>
    <row r="1463" spans="3:18" x14ac:dyDescent="0.3">
      <c r="C1463"/>
      <c r="D1463"/>
      <c r="R1463"/>
    </row>
    <row r="1464" spans="3:18" x14ac:dyDescent="0.3">
      <c r="C1464"/>
      <c r="D1464"/>
      <c r="R1464"/>
    </row>
    <row r="1465" spans="3:18" x14ac:dyDescent="0.3">
      <c r="C1465"/>
      <c r="D1465"/>
      <c r="R1465"/>
    </row>
    <row r="1466" spans="3:18" x14ac:dyDescent="0.3">
      <c r="C1466"/>
      <c r="D1466"/>
      <c r="R1466"/>
    </row>
    <row r="1467" spans="3:18" x14ac:dyDescent="0.3">
      <c r="C1467"/>
      <c r="D1467"/>
      <c r="R1467"/>
    </row>
    <row r="1468" spans="3:18" x14ac:dyDescent="0.3">
      <c r="C1468"/>
      <c r="D1468"/>
      <c r="R1468"/>
    </row>
    <row r="1469" spans="3:18" x14ac:dyDescent="0.3">
      <c r="C1469"/>
      <c r="D1469"/>
      <c r="R1469"/>
    </row>
    <row r="1470" spans="3:18" x14ac:dyDescent="0.3">
      <c r="C1470"/>
      <c r="D1470"/>
      <c r="R1470"/>
    </row>
    <row r="1471" spans="3:18" x14ac:dyDescent="0.3">
      <c r="C1471"/>
      <c r="D1471"/>
      <c r="R1471"/>
    </row>
    <row r="1472" spans="3:18" x14ac:dyDescent="0.3">
      <c r="C1472"/>
      <c r="D1472"/>
      <c r="R1472"/>
    </row>
    <row r="1473" spans="3:18" x14ac:dyDescent="0.3">
      <c r="C1473"/>
      <c r="D1473"/>
      <c r="R1473"/>
    </row>
    <row r="1474" spans="3:18" x14ac:dyDescent="0.3">
      <c r="C1474"/>
      <c r="D1474"/>
      <c r="R1474"/>
    </row>
    <row r="1475" spans="3:18" x14ac:dyDescent="0.3">
      <c r="C1475"/>
      <c r="D1475"/>
      <c r="R1475"/>
    </row>
    <row r="1476" spans="3:18" x14ac:dyDescent="0.3">
      <c r="C1476"/>
      <c r="D1476"/>
      <c r="R1476"/>
    </row>
    <row r="1477" spans="3:18" x14ac:dyDescent="0.3">
      <c r="C1477"/>
      <c r="D1477"/>
      <c r="R1477"/>
    </row>
    <row r="1478" spans="3:18" x14ac:dyDescent="0.3">
      <c r="C1478"/>
      <c r="D1478"/>
      <c r="R1478"/>
    </row>
    <row r="1479" spans="3:18" x14ac:dyDescent="0.3">
      <c r="C1479"/>
      <c r="D1479"/>
      <c r="R1479"/>
    </row>
    <row r="1480" spans="3:18" x14ac:dyDescent="0.3">
      <c r="C1480"/>
      <c r="D1480"/>
      <c r="R1480"/>
    </row>
    <row r="1481" spans="3:18" x14ac:dyDescent="0.3">
      <c r="C1481"/>
      <c r="D1481"/>
      <c r="R1481"/>
    </row>
    <row r="1482" spans="3:18" x14ac:dyDescent="0.3">
      <c r="C1482"/>
      <c r="D1482"/>
      <c r="R1482"/>
    </row>
    <row r="1483" spans="3:18" x14ac:dyDescent="0.3">
      <c r="C1483"/>
      <c r="D1483"/>
      <c r="R1483"/>
    </row>
    <row r="1484" spans="3:18" x14ac:dyDescent="0.3">
      <c r="C1484"/>
      <c r="D1484"/>
      <c r="R1484"/>
    </row>
    <row r="1485" spans="3:18" x14ac:dyDescent="0.3">
      <c r="C1485"/>
      <c r="D1485"/>
      <c r="R1485"/>
    </row>
    <row r="1486" spans="3:18" x14ac:dyDescent="0.3">
      <c r="C1486"/>
      <c r="D1486"/>
      <c r="R1486"/>
    </row>
    <row r="1487" spans="3:18" x14ac:dyDescent="0.3">
      <c r="C1487"/>
      <c r="D1487"/>
      <c r="R1487"/>
    </row>
    <row r="1488" spans="3:18" x14ac:dyDescent="0.3">
      <c r="C1488"/>
      <c r="D1488"/>
      <c r="R1488"/>
    </row>
    <row r="1489" spans="3:18" x14ac:dyDescent="0.3">
      <c r="C1489"/>
      <c r="D1489"/>
      <c r="R1489"/>
    </row>
    <row r="1490" spans="3:18" x14ac:dyDescent="0.3">
      <c r="C1490"/>
      <c r="D1490"/>
      <c r="R1490"/>
    </row>
    <row r="1491" spans="3:18" x14ac:dyDescent="0.3">
      <c r="C1491"/>
      <c r="D1491"/>
      <c r="R1491"/>
    </row>
    <row r="1492" spans="3:18" x14ac:dyDescent="0.3">
      <c r="C1492"/>
      <c r="D1492"/>
      <c r="R1492"/>
    </row>
    <row r="1493" spans="3:18" x14ac:dyDescent="0.3">
      <c r="C1493"/>
      <c r="D1493"/>
      <c r="R1493"/>
    </row>
    <row r="1494" spans="3:18" x14ac:dyDescent="0.3">
      <c r="C1494"/>
      <c r="D1494"/>
      <c r="R1494"/>
    </row>
    <row r="1495" spans="3:18" x14ac:dyDescent="0.3">
      <c r="C1495"/>
      <c r="D1495"/>
      <c r="R1495"/>
    </row>
    <row r="1496" spans="3:18" x14ac:dyDescent="0.3">
      <c r="C1496"/>
      <c r="D1496"/>
      <c r="R1496"/>
    </row>
    <row r="1497" spans="3:18" x14ac:dyDescent="0.3">
      <c r="C1497"/>
      <c r="D1497"/>
      <c r="R1497"/>
    </row>
    <row r="1498" spans="3:18" x14ac:dyDescent="0.3">
      <c r="C1498"/>
      <c r="D1498"/>
      <c r="R1498"/>
    </row>
    <row r="1499" spans="3:18" x14ac:dyDescent="0.3">
      <c r="C1499"/>
      <c r="D1499"/>
      <c r="R1499"/>
    </row>
    <row r="1500" spans="3:18" x14ac:dyDescent="0.3">
      <c r="C1500"/>
      <c r="D1500"/>
      <c r="R1500"/>
    </row>
    <row r="1501" spans="3:18" x14ac:dyDescent="0.3">
      <c r="C1501"/>
      <c r="D1501"/>
      <c r="R1501"/>
    </row>
    <row r="1502" spans="3:18" x14ac:dyDescent="0.3">
      <c r="C1502"/>
      <c r="D1502"/>
      <c r="R1502"/>
    </row>
    <row r="1503" spans="3:18" x14ac:dyDescent="0.3">
      <c r="C1503"/>
      <c r="D1503"/>
      <c r="R1503"/>
    </row>
    <row r="1504" spans="3:18" x14ac:dyDescent="0.3">
      <c r="C1504"/>
      <c r="D1504"/>
      <c r="R1504"/>
    </row>
    <row r="1505" spans="3:18" x14ac:dyDescent="0.3">
      <c r="C1505"/>
      <c r="D1505"/>
      <c r="R1505"/>
    </row>
    <row r="1506" spans="3:18" x14ac:dyDescent="0.3">
      <c r="C1506"/>
      <c r="D1506"/>
      <c r="R1506"/>
    </row>
    <row r="1507" spans="3:18" x14ac:dyDescent="0.3">
      <c r="C1507"/>
      <c r="D1507"/>
      <c r="R1507"/>
    </row>
    <row r="1508" spans="3:18" x14ac:dyDescent="0.3">
      <c r="C1508"/>
      <c r="D1508"/>
      <c r="R1508"/>
    </row>
    <row r="1509" spans="3:18" x14ac:dyDescent="0.3">
      <c r="C1509"/>
      <c r="D1509"/>
      <c r="R1509"/>
    </row>
    <row r="1510" spans="3:18" x14ac:dyDescent="0.3">
      <c r="C1510"/>
      <c r="D1510"/>
      <c r="R1510"/>
    </row>
    <row r="1511" spans="3:18" x14ac:dyDescent="0.3">
      <c r="C1511"/>
      <c r="D1511"/>
      <c r="R1511"/>
    </row>
    <row r="1512" spans="3:18" x14ac:dyDescent="0.3">
      <c r="C1512"/>
      <c r="D1512"/>
      <c r="R1512"/>
    </row>
    <row r="1513" spans="3:18" x14ac:dyDescent="0.3">
      <c r="C1513"/>
      <c r="D1513"/>
      <c r="R1513"/>
    </row>
    <row r="1514" spans="3:18" x14ac:dyDescent="0.3">
      <c r="C1514"/>
      <c r="D1514"/>
      <c r="R1514"/>
    </row>
    <row r="1515" spans="3:18" x14ac:dyDescent="0.3">
      <c r="C1515"/>
      <c r="D1515"/>
      <c r="R1515"/>
    </row>
    <row r="1516" spans="3:18" x14ac:dyDescent="0.3">
      <c r="C1516"/>
      <c r="D1516"/>
      <c r="R1516"/>
    </row>
    <row r="1517" spans="3:18" x14ac:dyDescent="0.3">
      <c r="C1517"/>
      <c r="D1517"/>
      <c r="R1517"/>
    </row>
    <row r="1518" spans="3:18" x14ac:dyDescent="0.3">
      <c r="C1518"/>
      <c r="D1518"/>
      <c r="R1518"/>
    </row>
    <row r="1519" spans="3:18" x14ac:dyDescent="0.3">
      <c r="C1519"/>
      <c r="D1519"/>
      <c r="R1519"/>
    </row>
    <row r="1520" spans="3:18" x14ac:dyDescent="0.3">
      <c r="C1520"/>
      <c r="D1520"/>
      <c r="R1520"/>
    </row>
    <row r="1521" spans="3:18" x14ac:dyDescent="0.3">
      <c r="C1521"/>
      <c r="D1521"/>
      <c r="R1521"/>
    </row>
    <row r="1522" spans="3:18" x14ac:dyDescent="0.3">
      <c r="C1522"/>
      <c r="D1522"/>
      <c r="R1522"/>
    </row>
    <row r="1523" spans="3:18" x14ac:dyDescent="0.3">
      <c r="C1523"/>
      <c r="D1523"/>
      <c r="R1523"/>
    </row>
    <row r="1524" spans="3:18" x14ac:dyDescent="0.3">
      <c r="C1524"/>
      <c r="D1524"/>
      <c r="R1524"/>
    </row>
    <row r="1525" spans="3:18" x14ac:dyDescent="0.3">
      <c r="C1525"/>
      <c r="D1525"/>
      <c r="R1525"/>
    </row>
    <row r="1526" spans="3:18" x14ac:dyDescent="0.3">
      <c r="C1526"/>
      <c r="D1526"/>
      <c r="R1526"/>
    </row>
    <row r="1527" spans="3:18" x14ac:dyDescent="0.3">
      <c r="C1527"/>
      <c r="D1527"/>
      <c r="R1527"/>
    </row>
    <row r="1528" spans="3:18" x14ac:dyDescent="0.3">
      <c r="C1528"/>
      <c r="D1528"/>
      <c r="R1528"/>
    </row>
    <row r="1529" spans="3:18" x14ac:dyDescent="0.3">
      <c r="C1529"/>
      <c r="D1529"/>
      <c r="R1529"/>
    </row>
    <row r="1530" spans="3:18" x14ac:dyDescent="0.3">
      <c r="C1530"/>
      <c r="D1530"/>
      <c r="R1530"/>
    </row>
    <row r="1531" spans="3:18" x14ac:dyDescent="0.3">
      <c r="C1531"/>
      <c r="D1531"/>
      <c r="R1531"/>
    </row>
    <row r="1532" spans="3:18" x14ac:dyDescent="0.3">
      <c r="C1532"/>
      <c r="D1532"/>
      <c r="R1532"/>
    </row>
    <row r="1533" spans="3:18" x14ac:dyDescent="0.3">
      <c r="C1533"/>
      <c r="D1533"/>
      <c r="R1533"/>
    </row>
    <row r="1534" spans="3:18" x14ac:dyDescent="0.3">
      <c r="C1534"/>
      <c r="D1534"/>
      <c r="R1534"/>
    </row>
    <row r="1535" spans="3:18" x14ac:dyDescent="0.3">
      <c r="C1535"/>
      <c r="D1535"/>
      <c r="R1535"/>
    </row>
    <row r="1536" spans="3:18" x14ac:dyDescent="0.3">
      <c r="C1536"/>
      <c r="D1536"/>
      <c r="R1536"/>
    </row>
    <row r="1537" spans="3:18" x14ac:dyDescent="0.3">
      <c r="C1537"/>
      <c r="D1537"/>
      <c r="R1537"/>
    </row>
    <row r="1538" spans="3:18" x14ac:dyDescent="0.3">
      <c r="C1538"/>
      <c r="D1538"/>
      <c r="R1538"/>
    </row>
    <row r="1539" spans="3:18" x14ac:dyDescent="0.3">
      <c r="C1539"/>
      <c r="D1539"/>
      <c r="R1539"/>
    </row>
    <row r="1540" spans="3:18" x14ac:dyDescent="0.3">
      <c r="C1540"/>
      <c r="D1540"/>
      <c r="R1540"/>
    </row>
    <row r="1541" spans="3:18" x14ac:dyDescent="0.3">
      <c r="C1541"/>
      <c r="D1541"/>
      <c r="R1541"/>
    </row>
    <row r="1542" spans="3:18" x14ac:dyDescent="0.3">
      <c r="C1542"/>
      <c r="D1542"/>
      <c r="R1542"/>
    </row>
    <row r="1543" spans="3:18" x14ac:dyDescent="0.3">
      <c r="C1543"/>
      <c r="D1543"/>
      <c r="R1543"/>
    </row>
    <row r="1544" spans="3:18" x14ac:dyDescent="0.3">
      <c r="C1544"/>
      <c r="D1544"/>
      <c r="R1544"/>
    </row>
    <row r="1545" spans="3:18" x14ac:dyDescent="0.3">
      <c r="C1545"/>
      <c r="D1545"/>
      <c r="R1545"/>
    </row>
    <row r="1546" spans="3:18" x14ac:dyDescent="0.3">
      <c r="C1546"/>
      <c r="D1546"/>
      <c r="R1546"/>
    </row>
    <row r="1547" spans="3:18" x14ac:dyDescent="0.3">
      <c r="C1547"/>
      <c r="D1547"/>
      <c r="R1547"/>
    </row>
    <row r="1548" spans="3:18" x14ac:dyDescent="0.3">
      <c r="C1548"/>
      <c r="D1548"/>
      <c r="R1548"/>
    </row>
    <row r="1549" spans="3:18" x14ac:dyDescent="0.3">
      <c r="C1549"/>
      <c r="D1549"/>
      <c r="R1549"/>
    </row>
    <row r="1550" spans="3:18" x14ac:dyDescent="0.3">
      <c r="C1550"/>
      <c r="D1550"/>
      <c r="R1550"/>
    </row>
    <row r="1551" spans="3:18" x14ac:dyDescent="0.3">
      <c r="C1551"/>
      <c r="D1551"/>
      <c r="R1551"/>
    </row>
    <row r="1552" spans="3:18" x14ac:dyDescent="0.3">
      <c r="C1552"/>
      <c r="D1552"/>
      <c r="R1552"/>
    </row>
    <row r="1553" spans="3:18" x14ac:dyDescent="0.3">
      <c r="C1553"/>
      <c r="D1553"/>
      <c r="R1553"/>
    </row>
    <row r="1554" spans="3:18" x14ac:dyDescent="0.3">
      <c r="C1554"/>
      <c r="D1554"/>
      <c r="R1554"/>
    </row>
    <row r="1555" spans="3:18" x14ac:dyDescent="0.3">
      <c r="C1555"/>
      <c r="D1555"/>
      <c r="R1555"/>
    </row>
    <row r="1556" spans="3:18" x14ac:dyDescent="0.3">
      <c r="C1556"/>
      <c r="D1556"/>
      <c r="R1556"/>
    </row>
    <row r="1557" spans="3:18" x14ac:dyDescent="0.3">
      <c r="C1557"/>
      <c r="D1557"/>
      <c r="R1557"/>
    </row>
    <row r="1558" spans="3:18" x14ac:dyDescent="0.3">
      <c r="C1558"/>
      <c r="D1558"/>
      <c r="R1558"/>
    </row>
    <row r="1559" spans="3:18" x14ac:dyDescent="0.3">
      <c r="C1559"/>
      <c r="D1559"/>
      <c r="R1559"/>
    </row>
    <row r="1560" spans="3:18" x14ac:dyDescent="0.3">
      <c r="C1560"/>
      <c r="D1560"/>
      <c r="R1560"/>
    </row>
    <row r="1561" spans="3:18" x14ac:dyDescent="0.3">
      <c r="C1561"/>
      <c r="D1561"/>
      <c r="R1561"/>
    </row>
    <row r="1562" spans="3:18" x14ac:dyDescent="0.3">
      <c r="C1562"/>
      <c r="D1562"/>
      <c r="R1562"/>
    </row>
    <row r="1563" spans="3:18" x14ac:dyDescent="0.3">
      <c r="C1563"/>
      <c r="D1563"/>
      <c r="R1563"/>
    </row>
    <row r="1564" spans="3:18" x14ac:dyDescent="0.3">
      <c r="C1564"/>
      <c r="D1564"/>
      <c r="R1564"/>
    </row>
    <row r="1565" spans="3:18" x14ac:dyDescent="0.3">
      <c r="C1565"/>
      <c r="D1565"/>
      <c r="R1565"/>
    </row>
    <row r="1566" spans="3:18" x14ac:dyDescent="0.3">
      <c r="C1566"/>
      <c r="D1566"/>
      <c r="R1566"/>
    </row>
    <row r="1567" spans="3:18" x14ac:dyDescent="0.3">
      <c r="C1567"/>
      <c r="D1567"/>
      <c r="R1567"/>
    </row>
    <row r="1568" spans="3:18" x14ac:dyDescent="0.3">
      <c r="C1568"/>
      <c r="D1568"/>
      <c r="R1568"/>
    </row>
    <row r="1569" spans="3:18" x14ac:dyDescent="0.3">
      <c r="C1569"/>
      <c r="D1569"/>
      <c r="R1569"/>
    </row>
    <row r="1570" spans="3:18" x14ac:dyDescent="0.3">
      <c r="C1570"/>
      <c r="D1570"/>
      <c r="R1570"/>
    </row>
    <row r="1571" spans="3:18" x14ac:dyDescent="0.3">
      <c r="C1571"/>
      <c r="D1571"/>
      <c r="R1571"/>
    </row>
    <row r="1572" spans="3:18" x14ac:dyDescent="0.3">
      <c r="C1572"/>
      <c r="D1572"/>
      <c r="R1572"/>
    </row>
    <row r="1573" spans="3:18" x14ac:dyDescent="0.3">
      <c r="C1573"/>
      <c r="D1573"/>
      <c r="R1573"/>
    </row>
    <row r="1574" spans="3:18" x14ac:dyDescent="0.3">
      <c r="C1574"/>
      <c r="D1574"/>
      <c r="R1574"/>
    </row>
    <row r="1575" spans="3:18" x14ac:dyDescent="0.3">
      <c r="C1575"/>
      <c r="D1575"/>
      <c r="R1575"/>
    </row>
    <row r="1576" spans="3:18" x14ac:dyDescent="0.3">
      <c r="C1576"/>
      <c r="D1576"/>
      <c r="R1576"/>
    </row>
    <row r="1577" spans="3:18" x14ac:dyDescent="0.3">
      <c r="C1577"/>
      <c r="D1577"/>
      <c r="R1577"/>
    </row>
    <row r="1578" spans="3:18" x14ac:dyDescent="0.3">
      <c r="C1578"/>
      <c r="D1578"/>
      <c r="R1578"/>
    </row>
    <row r="1579" spans="3:18" x14ac:dyDescent="0.3">
      <c r="C1579"/>
      <c r="D1579"/>
      <c r="R1579"/>
    </row>
    <row r="1580" spans="3:18" x14ac:dyDescent="0.3">
      <c r="C1580"/>
      <c r="D1580"/>
      <c r="R1580"/>
    </row>
    <row r="1581" spans="3:18" x14ac:dyDescent="0.3">
      <c r="C1581"/>
      <c r="D1581"/>
      <c r="R1581"/>
    </row>
    <row r="1582" spans="3:18" x14ac:dyDescent="0.3">
      <c r="C1582"/>
      <c r="D1582"/>
      <c r="R1582"/>
    </row>
    <row r="1583" spans="3:18" x14ac:dyDescent="0.3">
      <c r="C1583"/>
      <c r="D1583"/>
      <c r="R1583"/>
    </row>
    <row r="1584" spans="3:18" x14ac:dyDescent="0.3">
      <c r="C1584"/>
      <c r="D1584"/>
      <c r="R1584"/>
    </row>
    <row r="1585" spans="3:18" x14ac:dyDescent="0.3">
      <c r="C1585"/>
      <c r="D1585"/>
      <c r="R1585"/>
    </row>
    <row r="1586" spans="3:18" x14ac:dyDescent="0.3">
      <c r="C1586"/>
      <c r="D1586"/>
      <c r="R1586"/>
    </row>
    <row r="1587" spans="3:18" x14ac:dyDescent="0.3">
      <c r="C1587"/>
      <c r="D1587"/>
      <c r="R1587"/>
    </row>
    <row r="1588" spans="3:18" x14ac:dyDescent="0.3">
      <c r="C1588"/>
      <c r="D1588"/>
      <c r="R1588"/>
    </row>
    <row r="1589" spans="3:18" x14ac:dyDescent="0.3">
      <c r="C1589"/>
      <c r="D1589"/>
      <c r="R1589"/>
    </row>
    <row r="1590" spans="3:18" x14ac:dyDescent="0.3">
      <c r="C1590"/>
      <c r="D1590"/>
      <c r="R1590"/>
    </row>
    <row r="1591" spans="3:18" x14ac:dyDescent="0.3">
      <c r="C1591"/>
      <c r="D1591"/>
      <c r="R1591"/>
    </row>
    <row r="1592" spans="3:18" x14ac:dyDescent="0.3">
      <c r="C1592"/>
      <c r="D1592"/>
      <c r="R1592"/>
    </row>
    <row r="1593" spans="3:18" x14ac:dyDescent="0.3">
      <c r="C1593"/>
      <c r="D1593"/>
      <c r="R1593"/>
    </row>
    <row r="1594" spans="3:18" x14ac:dyDescent="0.3">
      <c r="C1594"/>
      <c r="D1594"/>
      <c r="R1594"/>
    </row>
    <row r="1595" spans="3:18" x14ac:dyDescent="0.3">
      <c r="C1595"/>
      <c r="D1595"/>
      <c r="R1595"/>
    </row>
    <row r="1596" spans="3:18" x14ac:dyDescent="0.3">
      <c r="C1596"/>
      <c r="D1596"/>
      <c r="R1596"/>
    </row>
    <row r="1597" spans="3:18" x14ac:dyDescent="0.3">
      <c r="C1597"/>
      <c r="D1597"/>
      <c r="R1597"/>
    </row>
    <row r="1598" spans="3:18" x14ac:dyDescent="0.3">
      <c r="C1598"/>
      <c r="D1598"/>
      <c r="R1598"/>
    </row>
    <row r="1599" spans="3:18" x14ac:dyDescent="0.3">
      <c r="C1599"/>
      <c r="D1599"/>
      <c r="R1599"/>
    </row>
    <row r="1600" spans="3:18" x14ac:dyDescent="0.3">
      <c r="C1600"/>
      <c r="D1600"/>
      <c r="R1600"/>
    </row>
    <row r="1601" spans="3:18" x14ac:dyDescent="0.3">
      <c r="C1601"/>
      <c r="D1601"/>
      <c r="R1601"/>
    </row>
    <row r="1602" spans="3:18" x14ac:dyDescent="0.3">
      <c r="C1602"/>
      <c r="D1602"/>
      <c r="R1602"/>
    </row>
    <row r="1603" spans="3:18" x14ac:dyDescent="0.3">
      <c r="C1603"/>
      <c r="D1603"/>
      <c r="R1603"/>
    </row>
    <row r="1604" spans="3:18" x14ac:dyDescent="0.3">
      <c r="C1604"/>
      <c r="D1604"/>
      <c r="R1604"/>
    </row>
    <row r="1605" spans="3:18" x14ac:dyDescent="0.3">
      <c r="C1605"/>
      <c r="D1605"/>
      <c r="R1605"/>
    </row>
    <row r="1606" spans="3:18" x14ac:dyDescent="0.3">
      <c r="C1606"/>
      <c r="D1606"/>
      <c r="R1606"/>
    </row>
    <row r="1607" spans="3:18" x14ac:dyDescent="0.3">
      <c r="C1607"/>
      <c r="D1607"/>
      <c r="R1607"/>
    </row>
    <row r="1608" spans="3:18" x14ac:dyDescent="0.3">
      <c r="C1608"/>
      <c r="D1608"/>
      <c r="R1608"/>
    </row>
    <row r="1609" spans="3:18" x14ac:dyDescent="0.3">
      <c r="C1609"/>
      <c r="D1609"/>
      <c r="R1609"/>
    </row>
    <row r="1610" spans="3:18" x14ac:dyDescent="0.3">
      <c r="C1610"/>
      <c r="D1610"/>
      <c r="R1610"/>
    </row>
    <row r="1611" spans="3:18" x14ac:dyDescent="0.3">
      <c r="C1611"/>
      <c r="D1611"/>
      <c r="R1611"/>
    </row>
    <row r="1612" spans="3:18" x14ac:dyDescent="0.3">
      <c r="C1612"/>
      <c r="D1612"/>
      <c r="R1612"/>
    </row>
    <row r="1613" spans="3:18" x14ac:dyDescent="0.3">
      <c r="C1613"/>
      <c r="D1613"/>
      <c r="R1613"/>
    </row>
    <row r="1614" spans="3:18" x14ac:dyDescent="0.3">
      <c r="C1614"/>
      <c r="D1614"/>
      <c r="R1614"/>
    </row>
    <row r="1615" spans="3:18" x14ac:dyDescent="0.3">
      <c r="C1615"/>
      <c r="D1615"/>
      <c r="R1615"/>
    </row>
    <row r="1616" spans="3:18" x14ac:dyDescent="0.3">
      <c r="C1616"/>
      <c r="D1616"/>
      <c r="R1616"/>
    </row>
    <row r="1617" spans="3:18" x14ac:dyDescent="0.3">
      <c r="C1617"/>
      <c r="D1617"/>
      <c r="R1617"/>
    </row>
    <row r="1618" spans="3:18" x14ac:dyDescent="0.3">
      <c r="C1618"/>
      <c r="D1618"/>
      <c r="R1618"/>
    </row>
    <row r="1619" spans="3:18" x14ac:dyDescent="0.3">
      <c r="C1619"/>
      <c r="D1619"/>
      <c r="R1619"/>
    </row>
    <row r="1620" spans="3:18" x14ac:dyDescent="0.3">
      <c r="C1620"/>
      <c r="D1620"/>
      <c r="R1620"/>
    </row>
    <row r="1621" spans="3:18" x14ac:dyDescent="0.3">
      <c r="C1621"/>
      <c r="D1621"/>
      <c r="R1621"/>
    </row>
    <row r="1622" spans="3:18" x14ac:dyDescent="0.3">
      <c r="C1622"/>
      <c r="D1622"/>
      <c r="R1622"/>
    </row>
    <row r="1623" spans="3:18" x14ac:dyDescent="0.3">
      <c r="C1623"/>
      <c r="D1623"/>
      <c r="R1623"/>
    </row>
    <row r="1624" spans="3:18" x14ac:dyDescent="0.3">
      <c r="C1624"/>
      <c r="D1624"/>
      <c r="R1624"/>
    </row>
    <row r="1625" spans="3:18" x14ac:dyDescent="0.3">
      <c r="C1625"/>
      <c r="D1625"/>
      <c r="R1625"/>
    </row>
    <row r="1626" spans="3:18" x14ac:dyDescent="0.3">
      <c r="C1626"/>
      <c r="D1626"/>
      <c r="R1626"/>
    </row>
    <row r="1627" spans="3:18" x14ac:dyDescent="0.3">
      <c r="C1627"/>
      <c r="D1627"/>
      <c r="R1627"/>
    </row>
    <row r="1628" spans="3:18" x14ac:dyDescent="0.3">
      <c r="C1628"/>
      <c r="D1628"/>
      <c r="R1628"/>
    </row>
    <row r="1629" spans="3:18" x14ac:dyDescent="0.3">
      <c r="C1629"/>
      <c r="D1629"/>
      <c r="R1629"/>
    </row>
    <row r="1630" spans="3:18" x14ac:dyDescent="0.3">
      <c r="C1630"/>
      <c r="D1630"/>
      <c r="R1630"/>
    </row>
    <row r="1631" spans="3:18" x14ac:dyDescent="0.3">
      <c r="C1631"/>
      <c r="D1631"/>
      <c r="R1631"/>
    </row>
    <row r="1632" spans="3:18" x14ac:dyDescent="0.3">
      <c r="C1632"/>
      <c r="D1632"/>
      <c r="R1632"/>
    </row>
    <row r="1633" spans="3:18" x14ac:dyDescent="0.3">
      <c r="C1633"/>
      <c r="D1633"/>
      <c r="R1633"/>
    </row>
    <row r="1634" spans="3:18" x14ac:dyDescent="0.3">
      <c r="C1634"/>
      <c r="D1634"/>
      <c r="R1634"/>
    </row>
    <row r="1635" spans="3:18" x14ac:dyDescent="0.3">
      <c r="C1635"/>
      <c r="D1635"/>
      <c r="R1635"/>
    </row>
    <row r="1636" spans="3:18" x14ac:dyDescent="0.3">
      <c r="C1636"/>
      <c r="D1636"/>
      <c r="R1636"/>
    </row>
    <row r="1637" spans="3:18" x14ac:dyDescent="0.3">
      <c r="C1637"/>
      <c r="D1637"/>
      <c r="R1637"/>
    </row>
    <row r="1638" spans="3:18" x14ac:dyDescent="0.3">
      <c r="C1638"/>
      <c r="D1638"/>
      <c r="R1638"/>
    </row>
    <row r="1639" spans="3:18" x14ac:dyDescent="0.3">
      <c r="C1639"/>
      <c r="D1639"/>
      <c r="R1639"/>
    </row>
    <row r="1640" spans="3:18" x14ac:dyDescent="0.3">
      <c r="C1640"/>
      <c r="D1640"/>
      <c r="R1640"/>
    </row>
    <row r="1641" spans="3:18" x14ac:dyDescent="0.3">
      <c r="C1641"/>
      <c r="D1641"/>
      <c r="R1641"/>
    </row>
    <row r="1642" spans="3:18" x14ac:dyDescent="0.3">
      <c r="C1642"/>
      <c r="D1642"/>
      <c r="R1642"/>
    </row>
    <row r="1643" spans="3:18" x14ac:dyDescent="0.3">
      <c r="C1643"/>
      <c r="D1643"/>
      <c r="R1643"/>
    </row>
    <row r="1644" spans="3:18" x14ac:dyDescent="0.3">
      <c r="C1644"/>
      <c r="D1644"/>
      <c r="R1644"/>
    </row>
    <row r="1645" spans="3:18" x14ac:dyDescent="0.3">
      <c r="C1645"/>
      <c r="D1645"/>
      <c r="R1645"/>
    </row>
    <row r="1646" spans="3:18" x14ac:dyDescent="0.3">
      <c r="C1646"/>
      <c r="D1646"/>
      <c r="R1646"/>
    </row>
    <row r="1647" spans="3:18" x14ac:dyDescent="0.3">
      <c r="C1647"/>
      <c r="D1647"/>
      <c r="R1647"/>
    </row>
    <row r="1648" spans="3:18" x14ac:dyDescent="0.3">
      <c r="C1648"/>
      <c r="D1648"/>
      <c r="R1648"/>
    </row>
    <row r="1649" spans="3:18" x14ac:dyDescent="0.3">
      <c r="C1649"/>
      <c r="D1649"/>
      <c r="R1649"/>
    </row>
    <row r="1650" spans="3:18" x14ac:dyDescent="0.3">
      <c r="C1650"/>
      <c r="D1650"/>
      <c r="R1650"/>
    </row>
    <row r="1651" spans="3:18" x14ac:dyDescent="0.3">
      <c r="C1651"/>
      <c r="D1651"/>
      <c r="R1651"/>
    </row>
    <row r="1652" spans="3:18" x14ac:dyDescent="0.3">
      <c r="C1652"/>
      <c r="D1652"/>
      <c r="R1652"/>
    </row>
    <row r="1653" spans="3:18" x14ac:dyDescent="0.3">
      <c r="C1653"/>
      <c r="D1653"/>
      <c r="R1653"/>
    </row>
    <row r="1654" spans="3:18" x14ac:dyDescent="0.3">
      <c r="C1654"/>
      <c r="D1654"/>
      <c r="R1654"/>
    </row>
    <row r="1655" spans="3:18" x14ac:dyDescent="0.3">
      <c r="C1655"/>
      <c r="D1655"/>
      <c r="R1655"/>
    </row>
    <row r="1656" spans="3:18" x14ac:dyDescent="0.3">
      <c r="C1656"/>
      <c r="D1656"/>
      <c r="R1656"/>
    </row>
    <row r="1657" spans="3:18" x14ac:dyDescent="0.3">
      <c r="C1657"/>
      <c r="D1657"/>
      <c r="R1657"/>
    </row>
    <row r="1658" spans="3:18" x14ac:dyDescent="0.3">
      <c r="C1658"/>
      <c r="D1658"/>
      <c r="R1658"/>
    </row>
    <row r="1659" spans="3:18" x14ac:dyDescent="0.3">
      <c r="C1659"/>
      <c r="D1659"/>
      <c r="R1659"/>
    </row>
    <row r="1660" spans="3:18" x14ac:dyDescent="0.3">
      <c r="C1660"/>
      <c r="D1660"/>
      <c r="R1660"/>
    </row>
    <row r="1661" spans="3:18" x14ac:dyDescent="0.3">
      <c r="C1661"/>
      <c r="D1661"/>
      <c r="R1661"/>
    </row>
    <row r="1662" spans="3:18" x14ac:dyDescent="0.3">
      <c r="C1662"/>
      <c r="D1662"/>
      <c r="R1662"/>
    </row>
    <row r="1663" spans="3:18" x14ac:dyDescent="0.3">
      <c r="C1663"/>
      <c r="D1663"/>
      <c r="R1663"/>
    </row>
    <row r="1664" spans="3:18" x14ac:dyDescent="0.3">
      <c r="C1664"/>
      <c r="D1664"/>
      <c r="R1664"/>
    </row>
    <row r="1665" spans="3:18" x14ac:dyDescent="0.3">
      <c r="C1665"/>
      <c r="D1665"/>
      <c r="R1665"/>
    </row>
    <row r="1666" spans="3:18" x14ac:dyDescent="0.3">
      <c r="C1666"/>
      <c r="D1666"/>
      <c r="R1666"/>
    </row>
    <row r="1667" spans="3:18" x14ac:dyDescent="0.3">
      <c r="C1667"/>
      <c r="D1667"/>
      <c r="R1667"/>
    </row>
    <row r="1668" spans="3:18" x14ac:dyDescent="0.3">
      <c r="C1668"/>
      <c r="D1668"/>
      <c r="R1668"/>
    </row>
    <row r="1669" spans="3:18" x14ac:dyDescent="0.3">
      <c r="C1669"/>
      <c r="D1669"/>
      <c r="R1669"/>
    </row>
    <row r="1670" spans="3:18" x14ac:dyDescent="0.3">
      <c r="C1670"/>
      <c r="D1670"/>
      <c r="R1670"/>
    </row>
    <row r="1671" spans="3:18" x14ac:dyDescent="0.3">
      <c r="C1671"/>
      <c r="D1671"/>
      <c r="R1671"/>
    </row>
    <row r="1672" spans="3:18" x14ac:dyDescent="0.3">
      <c r="C1672"/>
      <c r="D1672"/>
      <c r="R1672"/>
    </row>
    <row r="1673" spans="3:18" x14ac:dyDescent="0.3">
      <c r="C1673"/>
      <c r="D1673"/>
      <c r="R1673"/>
    </row>
    <row r="1674" spans="3:18" x14ac:dyDescent="0.3">
      <c r="C1674"/>
      <c r="D1674"/>
      <c r="R1674"/>
    </row>
    <row r="1675" spans="3:18" x14ac:dyDescent="0.3">
      <c r="C1675"/>
      <c r="D1675"/>
      <c r="R1675"/>
    </row>
    <row r="1676" spans="3:18" x14ac:dyDescent="0.3">
      <c r="C1676"/>
      <c r="D1676"/>
      <c r="R1676"/>
    </row>
    <row r="1677" spans="3:18" x14ac:dyDescent="0.3">
      <c r="C1677"/>
      <c r="D1677"/>
      <c r="R1677"/>
    </row>
    <row r="1678" spans="3:18" x14ac:dyDescent="0.3">
      <c r="C1678"/>
      <c r="D1678"/>
      <c r="R1678"/>
    </row>
    <row r="1679" spans="3:18" x14ac:dyDescent="0.3">
      <c r="C1679"/>
      <c r="D1679"/>
      <c r="R1679"/>
    </row>
    <row r="1680" spans="3:18" x14ac:dyDescent="0.3">
      <c r="C1680"/>
      <c r="D1680"/>
      <c r="R1680"/>
    </row>
    <row r="1681" spans="3:18" x14ac:dyDescent="0.3">
      <c r="C1681"/>
      <c r="D1681"/>
      <c r="R1681"/>
    </row>
    <row r="1682" spans="3:18" x14ac:dyDescent="0.3">
      <c r="C1682"/>
      <c r="D1682"/>
      <c r="R1682"/>
    </row>
    <row r="1683" spans="3:18" x14ac:dyDescent="0.3">
      <c r="C1683"/>
      <c r="D1683"/>
      <c r="R1683"/>
    </row>
    <row r="1684" spans="3:18" x14ac:dyDescent="0.3">
      <c r="C1684"/>
      <c r="D1684"/>
      <c r="R1684"/>
    </row>
    <row r="1685" spans="3:18" x14ac:dyDescent="0.3">
      <c r="C1685"/>
      <c r="D1685"/>
      <c r="R1685"/>
    </row>
    <row r="1686" spans="3:18" x14ac:dyDescent="0.3">
      <c r="C1686"/>
      <c r="D1686"/>
      <c r="R1686"/>
    </row>
    <row r="1687" spans="3:18" x14ac:dyDescent="0.3">
      <c r="C1687"/>
      <c r="D1687"/>
      <c r="R1687"/>
    </row>
    <row r="1688" spans="3:18" x14ac:dyDescent="0.3">
      <c r="C1688"/>
      <c r="D1688"/>
      <c r="R1688"/>
    </row>
    <row r="1689" spans="3:18" x14ac:dyDescent="0.3">
      <c r="C1689"/>
      <c r="D1689"/>
      <c r="R1689"/>
    </row>
    <row r="1690" spans="3:18" x14ac:dyDescent="0.3">
      <c r="C1690"/>
      <c r="D1690"/>
      <c r="R1690"/>
    </row>
    <row r="1691" spans="3:18" x14ac:dyDescent="0.3">
      <c r="C1691"/>
      <c r="D1691"/>
      <c r="R1691"/>
    </row>
    <row r="1692" spans="3:18" x14ac:dyDescent="0.3">
      <c r="C1692"/>
      <c r="D1692"/>
      <c r="R1692"/>
    </row>
    <row r="1693" spans="3:18" x14ac:dyDescent="0.3">
      <c r="C1693"/>
      <c r="D1693"/>
      <c r="R1693"/>
    </row>
    <row r="1694" spans="3:18" x14ac:dyDescent="0.3">
      <c r="C1694"/>
      <c r="D1694"/>
      <c r="R1694"/>
    </row>
    <row r="1695" spans="3:18" x14ac:dyDescent="0.3">
      <c r="C1695"/>
      <c r="D1695"/>
      <c r="R1695"/>
    </row>
    <row r="1696" spans="3:18" x14ac:dyDescent="0.3">
      <c r="C1696"/>
      <c r="D1696"/>
      <c r="R1696"/>
    </row>
    <row r="1697" spans="3:18" x14ac:dyDescent="0.3">
      <c r="C1697"/>
      <c r="D1697"/>
      <c r="R1697"/>
    </row>
    <row r="1698" spans="3:18" x14ac:dyDescent="0.3">
      <c r="C1698"/>
      <c r="D1698"/>
      <c r="R1698"/>
    </row>
    <row r="1699" spans="3:18" x14ac:dyDescent="0.3">
      <c r="C1699"/>
      <c r="D1699"/>
      <c r="R1699"/>
    </row>
    <row r="1700" spans="3:18" x14ac:dyDescent="0.3">
      <c r="C1700"/>
      <c r="D1700"/>
      <c r="R1700"/>
    </row>
    <row r="1701" spans="3:18" x14ac:dyDescent="0.3">
      <c r="C1701"/>
      <c r="D1701"/>
      <c r="R1701"/>
    </row>
    <row r="1702" spans="3:18" x14ac:dyDescent="0.3">
      <c r="C1702"/>
      <c r="D1702"/>
      <c r="R1702"/>
    </row>
    <row r="1703" spans="3:18" x14ac:dyDescent="0.3">
      <c r="C1703"/>
      <c r="D1703"/>
      <c r="R1703"/>
    </row>
    <row r="1704" spans="3:18" x14ac:dyDescent="0.3">
      <c r="C1704"/>
      <c r="D1704"/>
      <c r="R1704"/>
    </row>
    <row r="1705" spans="3:18" x14ac:dyDescent="0.3">
      <c r="C1705"/>
      <c r="D1705"/>
      <c r="R1705"/>
    </row>
    <row r="1706" spans="3:18" x14ac:dyDescent="0.3">
      <c r="C1706"/>
      <c r="D1706"/>
      <c r="R1706"/>
    </row>
    <row r="1707" spans="3:18" x14ac:dyDescent="0.3">
      <c r="C1707"/>
      <c r="D1707"/>
      <c r="R1707"/>
    </row>
    <row r="1708" spans="3:18" x14ac:dyDescent="0.3">
      <c r="C1708"/>
      <c r="D1708"/>
      <c r="R1708"/>
    </row>
    <row r="1709" spans="3:18" x14ac:dyDescent="0.3">
      <c r="C1709"/>
      <c r="D1709"/>
      <c r="R1709"/>
    </row>
    <row r="1710" spans="3:18" x14ac:dyDescent="0.3">
      <c r="C1710"/>
      <c r="D1710"/>
      <c r="R1710"/>
    </row>
    <row r="1711" spans="3:18" x14ac:dyDescent="0.3">
      <c r="C1711"/>
      <c r="D1711"/>
      <c r="R1711"/>
    </row>
    <row r="1712" spans="3:18" x14ac:dyDescent="0.3">
      <c r="C1712"/>
      <c r="D1712"/>
      <c r="R1712"/>
    </row>
    <row r="1713" spans="3:18" x14ac:dyDescent="0.3">
      <c r="C1713"/>
      <c r="D1713"/>
      <c r="R1713"/>
    </row>
    <row r="1714" spans="3:18" x14ac:dyDescent="0.3">
      <c r="C1714"/>
      <c r="D1714"/>
      <c r="R1714"/>
    </row>
    <row r="1715" spans="3:18" x14ac:dyDescent="0.3">
      <c r="C1715"/>
      <c r="D1715"/>
      <c r="R1715"/>
    </row>
    <row r="1716" spans="3:18" x14ac:dyDescent="0.3">
      <c r="C1716"/>
      <c r="D1716"/>
      <c r="R1716"/>
    </row>
    <row r="1717" spans="3:18" x14ac:dyDescent="0.3">
      <c r="C1717"/>
      <c r="D1717"/>
      <c r="R1717"/>
    </row>
    <row r="1718" spans="3:18" x14ac:dyDescent="0.3">
      <c r="C1718"/>
      <c r="D1718"/>
      <c r="R1718"/>
    </row>
    <row r="1719" spans="3:18" x14ac:dyDescent="0.3">
      <c r="C1719"/>
      <c r="D1719"/>
      <c r="R1719"/>
    </row>
    <row r="1720" spans="3:18" x14ac:dyDescent="0.3">
      <c r="C1720"/>
      <c r="D1720"/>
      <c r="R1720"/>
    </row>
    <row r="1721" spans="3:18" x14ac:dyDescent="0.3">
      <c r="C1721"/>
      <c r="D1721"/>
      <c r="R1721"/>
    </row>
    <row r="1722" spans="3:18" x14ac:dyDescent="0.3">
      <c r="C1722"/>
      <c r="D1722"/>
      <c r="R1722"/>
    </row>
    <row r="1723" spans="3:18" x14ac:dyDescent="0.3">
      <c r="C1723"/>
      <c r="D1723"/>
      <c r="R1723"/>
    </row>
    <row r="1724" spans="3:18" x14ac:dyDescent="0.3">
      <c r="C1724"/>
      <c r="D1724"/>
      <c r="R1724"/>
    </row>
    <row r="1725" spans="3:18" x14ac:dyDescent="0.3">
      <c r="C1725"/>
      <c r="D1725"/>
      <c r="R1725"/>
    </row>
    <row r="1726" spans="3:18" x14ac:dyDescent="0.3">
      <c r="C1726"/>
      <c r="D1726"/>
      <c r="R1726"/>
    </row>
    <row r="1727" spans="3:18" x14ac:dyDescent="0.3">
      <c r="C1727"/>
      <c r="D1727"/>
      <c r="R1727"/>
    </row>
    <row r="1728" spans="3:18" x14ac:dyDescent="0.3">
      <c r="C1728"/>
      <c r="D1728"/>
      <c r="R1728"/>
    </row>
    <row r="1729" spans="3:18" x14ac:dyDescent="0.3">
      <c r="C1729"/>
      <c r="D1729"/>
      <c r="R1729"/>
    </row>
    <row r="1730" spans="3:18" x14ac:dyDescent="0.3">
      <c r="C1730"/>
      <c r="D1730"/>
      <c r="R1730"/>
    </row>
    <row r="1731" spans="3:18" x14ac:dyDescent="0.3">
      <c r="C1731"/>
      <c r="D1731"/>
      <c r="R1731"/>
    </row>
    <row r="1732" spans="3:18" x14ac:dyDescent="0.3">
      <c r="C1732"/>
      <c r="D1732"/>
      <c r="R1732"/>
    </row>
    <row r="1733" spans="3:18" x14ac:dyDescent="0.3">
      <c r="C1733"/>
      <c r="D1733"/>
      <c r="R1733"/>
    </row>
    <row r="1734" spans="3:18" x14ac:dyDescent="0.3">
      <c r="C1734"/>
      <c r="D1734"/>
      <c r="R1734"/>
    </row>
    <row r="1735" spans="3:18" x14ac:dyDescent="0.3">
      <c r="C1735"/>
      <c r="D1735"/>
      <c r="R1735"/>
    </row>
    <row r="1736" spans="3:18" x14ac:dyDescent="0.3">
      <c r="C1736"/>
      <c r="D1736"/>
      <c r="R1736"/>
    </row>
    <row r="1737" spans="3:18" x14ac:dyDescent="0.3">
      <c r="C1737"/>
      <c r="D1737"/>
      <c r="R1737"/>
    </row>
    <row r="1738" spans="3:18" x14ac:dyDescent="0.3">
      <c r="C1738"/>
      <c r="D1738"/>
      <c r="R1738"/>
    </row>
    <row r="1739" spans="3:18" x14ac:dyDescent="0.3">
      <c r="C1739"/>
      <c r="D1739"/>
      <c r="R1739"/>
    </row>
    <row r="1740" spans="3:18" x14ac:dyDescent="0.3">
      <c r="C1740"/>
      <c r="D1740"/>
      <c r="R1740"/>
    </row>
    <row r="1741" spans="3:18" x14ac:dyDescent="0.3">
      <c r="C1741"/>
      <c r="D1741"/>
      <c r="R1741"/>
    </row>
    <row r="1742" spans="3:18" x14ac:dyDescent="0.3">
      <c r="C1742"/>
      <c r="D1742"/>
      <c r="R1742"/>
    </row>
    <row r="1743" spans="3:18" x14ac:dyDescent="0.3">
      <c r="C1743"/>
      <c r="D1743"/>
      <c r="R1743"/>
    </row>
    <row r="1744" spans="3:18" x14ac:dyDescent="0.3">
      <c r="C1744"/>
      <c r="D1744"/>
      <c r="R1744"/>
    </row>
    <row r="1745" spans="3:18" x14ac:dyDescent="0.3">
      <c r="C1745"/>
      <c r="D1745"/>
      <c r="R1745"/>
    </row>
    <row r="1746" spans="3:18" x14ac:dyDescent="0.3">
      <c r="C1746"/>
      <c r="D1746"/>
      <c r="R1746"/>
    </row>
    <row r="1747" spans="3:18" x14ac:dyDescent="0.3">
      <c r="C1747"/>
      <c r="D1747"/>
      <c r="R1747"/>
    </row>
    <row r="1748" spans="3:18" x14ac:dyDescent="0.3">
      <c r="C1748"/>
      <c r="D1748"/>
      <c r="R1748"/>
    </row>
    <row r="1749" spans="3:18" x14ac:dyDescent="0.3">
      <c r="C1749"/>
      <c r="D1749"/>
      <c r="R1749"/>
    </row>
    <row r="1750" spans="3:18" x14ac:dyDescent="0.3">
      <c r="C1750"/>
      <c r="D1750"/>
      <c r="R1750"/>
    </row>
    <row r="1751" spans="3:18" x14ac:dyDescent="0.3">
      <c r="C1751"/>
      <c r="D1751"/>
      <c r="R1751"/>
    </row>
    <row r="1752" spans="3:18" x14ac:dyDescent="0.3">
      <c r="C1752"/>
      <c r="D1752"/>
      <c r="R1752"/>
    </row>
    <row r="1753" spans="3:18" x14ac:dyDescent="0.3">
      <c r="C1753"/>
      <c r="D1753"/>
      <c r="R1753"/>
    </row>
    <row r="1754" spans="3:18" x14ac:dyDescent="0.3">
      <c r="C1754"/>
      <c r="D1754"/>
      <c r="R1754"/>
    </row>
    <row r="1755" spans="3:18" x14ac:dyDescent="0.3">
      <c r="C1755"/>
      <c r="D1755"/>
      <c r="R1755"/>
    </row>
    <row r="1756" spans="3:18" x14ac:dyDescent="0.3">
      <c r="C1756"/>
      <c r="D1756"/>
      <c r="R1756"/>
    </row>
    <row r="1757" spans="3:18" x14ac:dyDescent="0.3">
      <c r="C1757"/>
      <c r="D1757"/>
      <c r="R1757"/>
    </row>
    <row r="1758" spans="3:18" x14ac:dyDescent="0.3">
      <c r="C1758"/>
      <c r="D1758"/>
      <c r="R1758"/>
    </row>
    <row r="1759" spans="3:18" x14ac:dyDescent="0.3">
      <c r="C1759"/>
      <c r="D1759"/>
      <c r="R1759"/>
    </row>
    <row r="1760" spans="3:18" x14ac:dyDescent="0.3">
      <c r="C1760"/>
      <c r="D1760"/>
      <c r="R1760"/>
    </row>
    <row r="1761" spans="3:18" x14ac:dyDescent="0.3">
      <c r="C1761"/>
      <c r="D1761"/>
      <c r="R1761"/>
    </row>
    <row r="1762" spans="3:18" x14ac:dyDescent="0.3">
      <c r="C1762"/>
      <c r="D1762"/>
      <c r="R1762"/>
    </row>
    <row r="1763" spans="3:18" x14ac:dyDescent="0.3">
      <c r="C1763"/>
      <c r="D1763"/>
      <c r="R1763"/>
    </row>
    <row r="1764" spans="3:18" x14ac:dyDescent="0.3">
      <c r="C1764"/>
      <c r="D1764"/>
      <c r="R1764"/>
    </row>
    <row r="1765" spans="3:18" x14ac:dyDescent="0.3">
      <c r="C1765"/>
      <c r="D1765"/>
      <c r="R1765"/>
    </row>
    <row r="1766" spans="3:18" x14ac:dyDescent="0.3">
      <c r="C1766"/>
      <c r="D1766"/>
      <c r="R1766"/>
    </row>
    <row r="1767" spans="3:18" x14ac:dyDescent="0.3">
      <c r="C1767"/>
      <c r="D1767"/>
      <c r="R1767"/>
    </row>
    <row r="1768" spans="3:18" x14ac:dyDescent="0.3">
      <c r="C1768"/>
      <c r="D1768"/>
      <c r="R1768"/>
    </row>
    <row r="1769" spans="3:18" x14ac:dyDescent="0.3">
      <c r="C1769"/>
      <c r="D1769"/>
      <c r="R1769"/>
    </row>
    <row r="1770" spans="3:18" x14ac:dyDescent="0.3">
      <c r="C1770"/>
      <c r="D1770"/>
      <c r="R1770"/>
    </row>
    <row r="1771" spans="3:18" x14ac:dyDescent="0.3">
      <c r="C1771"/>
      <c r="D1771"/>
      <c r="R1771"/>
    </row>
    <row r="1772" spans="3:18" x14ac:dyDescent="0.3">
      <c r="C1772"/>
      <c r="D1772"/>
      <c r="R1772"/>
    </row>
    <row r="1773" spans="3:18" x14ac:dyDescent="0.3">
      <c r="C1773"/>
      <c r="D1773"/>
      <c r="R1773"/>
    </row>
    <row r="1774" spans="3:18" x14ac:dyDescent="0.3">
      <c r="C1774"/>
      <c r="D1774"/>
      <c r="R1774"/>
    </row>
    <row r="1775" spans="3:18" x14ac:dyDescent="0.3">
      <c r="C1775"/>
      <c r="D1775"/>
      <c r="R1775"/>
    </row>
    <row r="1776" spans="3:18" x14ac:dyDescent="0.3">
      <c r="C1776"/>
      <c r="D1776"/>
      <c r="R1776"/>
    </row>
    <row r="1777" spans="3:18" x14ac:dyDescent="0.3">
      <c r="C1777"/>
      <c r="D1777"/>
      <c r="R1777"/>
    </row>
    <row r="1778" spans="3:18" x14ac:dyDescent="0.3">
      <c r="C1778"/>
      <c r="D1778"/>
      <c r="R1778"/>
    </row>
    <row r="1779" spans="3:18" x14ac:dyDescent="0.3">
      <c r="C1779"/>
      <c r="D1779"/>
      <c r="R1779"/>
    </row>
    <row r="1780" spans="3:18" x14ac:dyDescent="0.3">
      <c r="C1780"/>
      <c r="D1780"/>
      <c r="R1780"/>
    </row>
    <row r="1781" spans="3:18" x14ac:dyDescent="0.3">
      <c r="C1781"/>
      <c r="D1781"/>
      <c r="R1781"/>
    </row>
    <row r="1782" spans="3:18" x14ac:dyDescent="0.3">
      <c r="C1782"/>
      <c r="D1782"/>
      <c r="R1782"/>
    </row>
    <row r="1783" spans="3:18" x14ac:dyDescent="0.3">
      <c r="C1783"/>
      <c r="D1783"/>
      <c r="R1783"/>
    </row>
    <row r="1784" spans="3:18" x14ac:dyDescent="0.3">
      <c r="C1784"/>
      <c r="D1784"/>
      <c r="R1784"/>
    </row>
    <row r="1785" spans="3:18" x14ac:dyDescent="0.3">
      <c r="C1785"/>
      <c r="D1785"/>
      <c r="R1785"/>
    </row>
    <row r="1786" spans="3:18" x14ac:dyDescent="0.3">
      <c r="C1786"/>
      <c r="D1786"/>
      <c r="R1786"/>
    </row>
    <row r="1787" spans="3:18" x14ac:dyDescent="0.3">
      <c r="C1787"/>
      <c r="D1787"/>
      <c r="R1787"/>
    </row>
    <row r="1788" spans="3:18" x14ac:dyDescent="0.3">
      <c r="C1788"/>
      <c r="D1788"/>
      <c r="R1788"/>
    </row>
    <row r="1789" spans="3:18" x14ac:dyDescent="0.3">
      <c r="C1789"/>
      <c r="D1789"/>
      <c r="R1789"/>
    </row>
    <row r="1790" spans="3:18" x14ac:dyDescent="0.3">
      <c r="C1790"/>
      <c r="D1790"/>
      <c r="R1790"/>
    </row>
    <row r="1791" spans="3:18" x14ac:dyDescent="0.3">
      <c r="C1791"/>
      <c r="D1791"/>
      <c r="R1791"/>
    </row>
    <row r="1792" spans="3:18" x14ac:dyDescent="0.3">
      <c r="C1792"/>
      <c r="D1792"/>
      <c r="R1792"/>
    </row>
    <row r="1793" spans="3:18" x14ac:dyDescent="0.3">
      <c r="C1793"/>
      <c r="D1793"/>
      <c r="R1793"/>
    </row>
    <row r="1794" spans="3:18" x14ac:dyDescent="0.3">
      <c r="C1794"/>
      <c r="D1794"/>
      <c r="R1794"/>
    </row>
    <row r="1795" spans="3:18" x14ac:dyDescent="0.3">
      <c r="C1795"/>
      <c r="D1795"/>
      <c r="R1795"/>
    </row>
    <row r="1796" spans="3:18" x14ac:dyDescent="0.3">
      <c r="C1796"/>
      <c r="D1796"/>
      <c r="R1796"/>
    </row>
    <row r="1797" spans="3:18" x14ac:dyDescent="0.3">
      <c r="C1797"/>
      <c r="D1797"/>
      <c r="R1797"/>
    </row>
    <row r="1798" spans="3:18" x14ac:dyDescent="0.3">
      <c r="C1798"/>
      <c r="D1798"/>
      <c r="R1798"/>
    </row>
    <row r="1799" spans="3:18" x14ac:dyDescent="0.3">
      <c r="C1799"/>
      <c r="D1799"/>
      <c r="R1799"/>
    </row>
    <row r="1800" spans="3:18" x14ac:dyDescent="0.3">
      <c r="C1800"/>
      <c r="D1800"/>
      <c r="R1800"/>
    </row>
    <row r="1801" spans="3:18" x14ac:dyDescent="0.3">
      <c r="C1801"/>
      <c r="D1801"/>
      <c r="R1801"/>
    </row>
    <row r="1802" spans="3:18" x14ac:dyDescent="0.3">
      <c r="C1802"/>
      <c r="D1802"/>
      <c r="R1802"/>
    </row>
    <row r="1803" spans="3:18" x14ac:dyDescent="0.3">
      <c r="C1803"/>
      <c r="D1803"/>
      <c r="R1803"/>
    </row>
    <row r="1804" spans="3:18" x14ac:dyDescent="0.3">
      <c r="C1804"/>
      <c r="D1804"/>
      <c r="R1804"/>
    </row>
    <row r="1805" spans="3:18" x14ac:dyDescent="0.3">
      <c r="C1805"/>
      <c r="D1805"/>
      <c r="R1805"/>
    </row>
    <row r="1806" spans="3:18" x14ac:dyDescent="0.3">
      <c r="C1806"/>
      <c r="D1806"/>
      <c r="R1806"/>
    </row>
    <row r="1807" spans="3:18" x14ac:dyDescent="0.3">
      <c r="C1807"/>
      <c r="D1807"/>
      <c r="R1807"/>
    </row>
    <row r="1808" spans="3:18" x14ac:dyDescent="0.3">
      <c r="C1808"/>
      <c r="D1808"/>
      <c r="R1808"/>
    </row>
    <row r="1809" spans="3:18" x14ac:dyDescent="0.3">
      <c r="C1809"/>
      <c r="D1809"/>
      <c r="R1809"/>
    </row>
    <row r="1810" spans="3:18" x14ac:dyDescent="0.3">
      <c r="C1810"/>
      <c r="D1810"/>
      <c r="R1810"/>
    </row>
    <row r="1811" spans="3:18" x14ac:dyDescent="0.3">
      <c r="C1811"/>
      <c r="D1811"/>
      <c r="R1811"/>
    </row>
    <row r="1812" spans="3:18" x14ac:dyDescent="0.3">
      <c r="C1812"/>
      <c r="D1812"/>
      <c r="R1812"/>
    </row>
    <row r="1813" spans="3:18" x14ac:dyDescent="0.3">
      <c r="C1813"/>
      <c r="D1813"/>
      <c r="R1813"/>
    </row>
    <row r="1814" spans="3:18" x14ac:dyDescent="0.3">
      <c r="C1814"/>
      <c r="D1814"/>
      <c r="R1814"/>
    </row>
    <row r="1815" spans="3:18" x14ac:dyDescent="0.3">
      <c r="C1815"/>
      <c r="D1815"/>
      <c r="R1815"/>
    </row>
    <row r="1816" spans="3:18" x14ac:dyDescent="0.3">
      <c r="C1816"/>
      <c r="D1816"/>
      <c r="R1816"/>
    </row>
    <row r="1817" spans="3:18" x14ac:dyDescent="0.3">
      <c r="C1817"/>
      <c r="D1817"/>
      <c r="R1817"/>
    </row>
    <row r="1818" spans="3:18" x14ac:dyDescent="0.3">
      <c r="C1818"/>
      <c r="D1818"/>
      <c r="R1818"/>
    </row>
    <row r="1819" spans="3:18" x14ac:dyDescent="0.3">
      <c r="C1819"/>
      <c r="D1819"/>
      <c r="R1819"/>
    </row>
    <row r="1820" spans="3:18" x14ac:dyDescent="0.3">
      <c r="C1820"/>
      <c r="D1820"/>
      <c r="R1820"/>
    </row>
    <row r="1821" spans="3:18" x14ac:dyDescent="0.3">
      <c r="C1821"/>
      <c r="D1821"/>
      <c r="R1821"/>
    </row>
    <row r="1822" spans="3:18" x14ac:dyDescent="0.3">
      <c r="C1822"/>
      <c r="D1822"/>
      <c r="R1822"/>
    </row>
    <row r="1823" spans="3:18" x14ac:dyDescent="0.3">
      <c r="C1823"/>
      <c r="D1823"/>
      <c r="R1823"/>
    </row>
    <row r="1824" spans="3:18" x14ac:dyDescent="0.3">
      <c r="C1824"/>
      <c r="D1824"/>
      <c r="R1824"/>
    </row>
    <row r="1825" spans="3:18" x14ac:dyDescent="0.3">
      <c r="C1825"/>
      <c r="D1825"/>
      <c r="R1825"/>
    </row>
    <row r="1826" spans="3:18" x14ac:dyDescent="0.3">
      <c r="C1826"/>
      <c r="D1826"/>
      <c r="R1826"/>
    </row>
    <row r="1827" spans="3:18" x14ac:dyDescent="0.3">
      <c r="C1827"/>
      <c r="D1827"/>
      <c r="R1827"/>
    </row>
    <row r="1828" spans="3:18" x14ac:dyDescent="0.3">
      <c r="C1828"/>
      <c r="D1828"/>
      <c r="R1828"/>
    </row>
    <row r="1829" spans="3:18" x14ac:dyDescent="0.3">
      <c r="C1829"/>
      <c r="D1829"/>
      <c r="R1829"/>
    </row>
    <row r="1830" spans="3:18" x14ac:dyDescent="0.3">
      <c r="C1830"/>
      <c r="D1830"/>
      <c r="R1830"/>
    </row>
    <row r="1831" spans="3:18" x14ac:dyDescent="0.3">
      <c r="C1831"/>
      <c r="D1831"/>
      <c r="R1831"/>
    </row>
    <row r="1832" spans="3:18" x14ac:dyDescent="0.3">
      <c r="C1832"/>
      <c r="D1832"/>
      <c r="R1832"/>
    </row>
    <row r="1833" spans="3:18" x14ac:dyDescent="0.3">
      <c r="C1833"/>
      <c r="D1833"/>
      <c r="R1833"/>
    </row>
    <row r="1834" spans="3:18" x14ac:dyDescent="0.3">
      <c r="C1834"/>
      <c r="D1834"/>
      <c r="R1834"/>
    </row>
    <row r="1835" spans="3:18" x14ac:dyDescent="0.3">
      <c r="C1835"/>
      <c r="D1835"/>
      <c r="R1835"/>
    </row>
    <row r="1836" spans="3:18" x14ac:dyDescent="0.3">
      <c r="C1836"/>
      <c r="D1836"/>
      <c r="R1836"/>
    </row>
    <row r="1837" spans="3:18" x14ac:dyDescent="0.3">
      <c r="C1837"/>
      <c r="D1837"/>
      <c r="R1837"/>
    </row>
    <row r="1838" spans="3:18" x14ac:dyDescent="0.3">
      <c r="C1838"/>
      <c r="D1838"/>
      <c r="R1838"/>
    </row>
    <row r="1839" spans="3:18" x14ac:dyDescent="0.3">
      <c r="C1839"/>
      <c r="D1839"/>
      <c r="R1839"/>
    </row>
    <row r="1840" spans="3:18" x14ac:dyDescent="0.3">
      <c r="C1840"/>
      <c r="D1840"/>
      <c r="R1840"/>
    </row>
    <row r="1841" spans="3:18" x14ac:dyDescent="0.3">
      <c r="C1841"/>
      <c r="D1841"/>
      <c r="R1841"/>
    </row>
    <row r="1842" spans="3:18" x14ac:dyDescent="0.3">
      <c r="C1842"/>
      <c r="D1842"/>
      <c r="R1842"/>
    </row>
    <row r="1843" spans="3:18" x14ac:dyDescent="0.3">
      <c r="C1843"/>
      <c r="D1843"/>
      <c r="R1843"/>
    </row>
    <row r="1844" spans="3:18" x14ac:dyDescent="0.3">
      <c r="C1844"/>
      <c r="D1844"/>
      <c r="R1844"/>
    </row>
    <row r="1845" spans="3:18" x14ac:dyDescent="0.3">
      <c r="C1845"/>
      <c r="D1845"/>
      <c r="R1845"/>
    </row>
    <row r="1846" spans="3:18" x14ac:dyDescent="0.3">
      <c r="C1846"/>
      <c r="D1846"/>
      <c r="R1846"/>
    </row>
    <row r="1847" spans="3:18" x14ac:dyDescent="0.3">
      <c r="C1847"/>
      <c r="D1847"/>
      <c r="R1847"/>
    </row>
    <row r="1848" spans="3:18" x14ac:dyDescent="0.3">
      <c r="C1848"/>
      <c r="D1848"/>
      <c r="R1848"/>
    </row>
    <row r="1849" spans="3:18" x14ac:dyDescent="0.3">
      <c r="C1849"/>
      <c r="D1849"/>
      <c r="R1849"/>
    </row>
    <row r="1850" spans="3:18" x14ac:dyDescent="0.3">
      <c r="C1850"/>
      <c r="D1850"/>
      <c r="R1850"/>
    </row>
    <row r="1851" spans="3:18" x14ac:dyDescent="0.3">
      <c r="C1851"/>
      <c r="D1851"/>
      <c r="R1851"/>
    </row>
    <row r="1852" spans="3:18" x14ac:dyDescent="0.3">
      <c r="C1852"/>
      <c r="D1852"/>
      <c r="R1852"/>
    </row>
    <row r="1853" spans="3:18" x14ac:dyDescent="0.3">
      <c r="C1853"/>
      <c r="D1853"/>
      <c r="R1853"/>
    </row>
    <row r="1854" spans="3:18" x14ac:dyDescent="0.3">
      <c r="C1854"/>
      <c r="D1854"/>
      <c r="R1854"/>
    </row>
    <row r="1855" spans="3:18" x14ac:dyDescent="0.3">
      <c r="C1855"/>
      <c r="D1855"/>
      <c r="R1855"/>
    </row>
    <row r="1856" spans="3:18" x14ac:dyDescent="0.3">
      <c r="C1856"/>
      <c r="D1856"/>
      <c r="R1856"/>
    </row>
    <row r="1857" spans="3:18" x14ac:dyDescent="0.3">
      <c r="C1857"/>
      <c r="D1857"/>
      <c r="R1857"/>
    </row>
    <row r="1858" spans="3:18" x14ac:dyDescent="0.3">
      <c r="C1858"/>
      <c r="D1858"/>
      <c r="R1858"/>
    </row>
    <row r="1859" spans="3:18" x14ac:dyDescent="0.3">
      <c r="C1859"/>
      <c r="D1859"/>
      <c r="R1859"/>
    </row>
    <row r="1860" spans="3:18" x14ac:dyDescent="0.3">
      <c r="C1860"/>
      <c r="D1860"/>
      <c r="R1860"/>
    </row>
    <row r="1861" spans="3:18" x14ac:dyDescent="0.3">
      <c r="C1861"/>
      <c r="D1861"/>
      <c r="R1861"/>
    </row>
    <row r="1862" spans="3:18" x14ac:dyDescent="0.3">
      <c r="C1862"/>
      <c r="D1862"/>
      <c r="R1862"/>
    </row>
    <row r="1863" spans="3:18" x14ac:dyDescent="0.3">
      <c r="C1863"/>
      <c r="D1863"/>
      <c r="R1863"/>
    </row>
    <row r="1864" spans="3:18" x14ac:dyDescent="0.3">
      <c r="C1864"/>
      <c r="D1864"/>
      <c r="R1864"/>
    </row>
    <row r="1865" spans="3:18" x14ac:dyDescent="0.3">
      <c r="C1865"/>
      <c r="D1865"/>
      <c r="R1865"/>
    </row>
    <row r="1866" spans="3:18" x14ac:dyDescent="0.3">
      <c r="C1866"/>
      <c r="D1866"/>
      <c r="R1866"/>
    </row>
    <row r="1867" spans="3:18" x14ac:dyDescent="0.3">
      <c r="C1867"/>
      <c r="D1867"/>
      <c r="R1867"/>
    </row>
    <row r="1868" spans="3:18" x14ac:dyDescent="0.3">
      <c r="C1868"/>
      <c r="D1868"/>
      <c r="R1868"/>
    </row>
    <row r="1869" spans="3:18" x14ac:dyDescent="0.3">
      <c r="C1869"/>
      <c r="D1869"/>
      <c r="R1869"/>
    </row>
    <row r="1870" spans="3:18" x14ac:dyDescent="0.3">
      <c r="C1870"/>
      <c r="D1870"/>
      <c r="R1870"/>
    </row>
    <row r="1871" spans="3:18" x14ac:dyDescent="0.3">
      <c r="C1871"/>
      <c r="D1871"/>
      <c r="R1871"/>
    </row>
    <row r="1872" spans="3:18" x14ac:dyDescent="0.3">
      <c r="C1872"/>
      <c r="D1872"/>
      <c r="R1872"/>
    </row>
    <row r="1873" spans="3:18" x14ac:dyDescent="0.3">
      <c r="C1873"/>
      <c r="D1873"/>
      <c r="R1873"/>
    </row>
    <row r="1874" spans="3:18" x14ac:dyDescent="0.3">
      <c r="C1874"/>
      <c r="D1874"/>
      <c r="R1874"/>
    </row>
    <row r="1875" spans="3:18" x14ac:dyDescent="0.3">
      <c r="C1875"/>
      <c r="D1875"/>
      <c r="R1875"/>
    </row>
    <row r="1876" spans="3:18" x14ac:dyDescent="0.3">
      <c r="C1876"/>
      <c r="D1876"/>
      <c r="R1876"/>
    </row>
    <row r="1877" spans="3:18" x14ac:dyDescent="0.3">
      <c r="C1877"/>
      <c r="D1877"/>
      <c r="R1877"/>
    </row>
    <row r="1878" spans="3:18" x14ac:dyDescent="0.3">
      <c r="C1878"/>
      <c r="D1878"/>
      <c r="R1878"/>
    </row>
    <row r="1879" spans="3:18" x14ac:dyDescent="0.3">
      <c r="C1879"/>
      <c r="D1879"/>
      <c r="R1879"/>
    </row>
    <row r="1880" spans="3:18" x14ac:dyDescent="0.3">
      <c r="C1880"/>
      <c r="D1880"/>
      <c r="R1880"/>
    </row>
    <row r="1881" spans="3:18" x14ac:dyDescent="0.3">
      <c r="C1881"/>
      <c r="D1881"/>
      <c r="R1881"/>
    </row>
    <row r="1882" spans="3:18" x14ac:dyDescent="0.3">
      <c r="C1882"/>
      <c r="D1882"/>
      <c r="R1882"/>
    </row>
    <row r="1883" spans="3:18" x14ac:dyDescent="0.3">
      <c r="C1883"/>
      <c r="D1883"/>
      <c r="R1883"/>
    </row>
    <row r="1884" spans="3:18" x14ac:dyDescent="0.3">
      <c r="C1884"/>
      <c r="D1884"/>
      <c r="R1884"/>
    </row>
    <row r="1885" spans="3:18" x14ac:dyDescent="0.3">
      <c r="C1885"/>
      <c r="D1885"/>
      <c r="R1885"/>
    </row>
    <row r="1886" spans="3:18" x14ac:dyDescent="0.3">
      <c r="C1886"/>
      <c r="D1886"/>
      <c r="R1886"/>
    </row>
    <row r="1887" spans="3:18" x14ac:dyDescent="0.3">
      <c r="C1887"/>
      <c r="D1887"/>
      <c r="R1887"/>
    </row>
    <row r="1888" spans="3:18" x14ac:dyDescent="0.3">
      <c r="C1888"/>
      <c r="D1888"/>
      <c r="R1888"/>
    </row>
    <row r="1889" spans="3:18" x14ac:dyDescent="0.3">
      <c r="C1889"/>
      <c r="D1889"/>
      <c r="R1889"/>
    </row>
    <row r="1890" spans="3:18" x14ac:dyDescent="0.3">
      <c r="C1890"/>
      <c r="D1890"/>
      <c r="R1890"/>
    </row>
    <row r="1891" spans="3:18" x14ac:dyDescent="0.3">
      <c r="C1891"/>
      <c r="D1891"/>
      <c r="R1891"/>
    </row>
    <row r="1892" spans="3:18" x14ac:dyDescent="0.3">
      <c r="C1892"/>
      <c r="D1892"/>
      <c r="R1892"/>
    </row>
    <row r="1893" spans="3:18" x14ac:dyDescent="0.3">
      <c r="C1893"/>
      <c r="D1893"/>
      <c r="R1893"/>
    </row>
    <row r="1894" spans="3:18" x14ac:dyDescent="0.3">
      <c r="C1894"/>
      <c r="D1894"/>
      <c r="R1894"/>
    </row>
    <row r="1895" spans="3:18" x14ac:dyDescent="0.3">
      <c r="C1895"/>
      <c r="D1895"/>
      <c r="R1895"/>
    </row>
    <row r="1896" spans="3:18" x14ac:dyDescent="0.3">
      <c r="C1896"/>
      <c r="D1896"/>
      <c r="R1896"/>
    </row>
    <row r="1897" spans="3:18" x14ac:dyDescent="0.3">
      <c r="C1897"/>
      <c r="D1897"/>
      <c r="R1897"/>
    </row>
    <row r="1898" spans="3:18" x14ac:dyDescent="0.3">
      <c r="C1898"/>
      <c r="D1898"/>
      <c r="R1898"/>
    </row>
    <row r="1899" spans="3:18" x14ac:dyDescent="0.3">
      <c r="C1899"/>
      <c r="D1899"/>
      <c r="R1899"/>
    </row>
    <row r="1900" spans="3:18" x14ac:dyDescent="0.3">
      <c r="C1900"/>
      <c r="D1900"/>
      <c r="R1900"/>
    </row>
    <row r="1901" spans="3:18" x14ac:dyDescent="0.3">
      <c r="C1901"/>
      <c r="D1901"/>
      <c r="R1901"/>
    </row>
    <row r="1902" spans="3:18" x14ac:dyDescent="0.3">
      <c r="C1902"/>
      <c r="D1902"/>
      <c r="R1902"/>
    </row>
    <row r="1903" spans="3:18" x14ac:dyDescent="0.3">
      <c r="C1903"/>
      <c r="D1903"/>
      <c r="R1903"/>
    </row>
    <row r="1904" spans="3:18" x14ac:dyDescent="0.3">
      <c r="C1904"/>
      <c r="D1904"/>
      <c r="R1904"/>
    </row>
    <row r="1905" spans="3:18" x14ac:dyDescent="0.3">
      <c r="C1905"/>
      <c r="D1905"/>
      <c r="R1905"/>
    </row>
    <row r="1906" spans="3:18" x14ac:dyDescent="0.3">
      <c r="C1906"/>
      <c r="D1906"/>
      <c r="R1906"/>
    </row>
    <row r="1907" spans="3:18" x14ac:dyDescent="0.3">
      <c r="C1907"/>
      <c r="D1907"/>
      <c r="R1907"/>
    </row>
    <row r="1908" spans="3:18" x14ac:dyDescent="0.3">
      <c r="C1908"/>
      <c r="D1908"/>
      <c r="R1908"/>
    </row>
    <row r="1909" spans="3:18" x14ac:dyDescent="0.3">
      <c r="C1909"/>
      <c r="D1909"/>
      <c r="R1909"/>
    </row>
    <row r="1910" spans="3:18" x14ac:dyDescent="0.3">
      <c r="C1910"/>
      <c r="D1910"/>
      <c r="R1910"/>
    </row>
    <row r="1911" spans="3:18" x14ac:dyDescent="0.3">
      <c r="C1911"/>
      <c r="D1911"/>
      <c r="R1911"/>
    </row>
    <row r="1912" spans="3:18" x14ac:dyDescent="0.3">
      <c r="C1912"/>
      <c r="D1912"/>
      <c r="R1912"/>
    </row>
    <row r="1913" spans="3:18" x14ac:dyDescent="0.3">
      <c r="C1913"/>
      <c r="D1913"/>
      <c r="R1913"/>
    </row>
    <row r="1914" spans="3:18" x14ac:dyDescent="0.3">
      <c r="C1914"/>
      <c r="D1914"/>
      <c r="R1914"/>
    </row>
    <row r="1915" spans="3:18" x14ac:dyDescent="0.3">
      <c r="C1915"/>
      <c r="D1915"/>
      <c r="R1915"/>
    </row>
    <row r="1916" spans="3:18" x14ac:dyDescent="0.3">
      <c r="C1916"/>
      <c r="D1916"/>
      <c r="R1916"/>
    </row>
    <row r="1917" spans="3:18" x14ac:dyDescent="0.3">
      <c r="C1917"/>
      <c r="D1917"/>
      <c r="R1917"/>
    </row>
    <row r="1918" spans="3:18" x14ac:dyDescent="0.3">
      <c r="C1918"/>
      <c r="D1918"/>
      <c r="R1918"/>
    </row>
    <row r="1919" spans="3:18" x14ac:dyDescent="0.3">
      <c r="C1919"/>
      <c r="D1919"/>
      <c r="R1919"/>
    </row>
    <row r="1920" spans="3:18" x14ac:dyDescent="0.3">
      <c r="C1920"/>
      <c r="D1920"/>
      <c r="R1920"/>
    </row>
    <row r="1921" spans="3:18" x14ac:dyDescent="0.3">
      <c r="C1921"/>
      <c r="D1921"/>
      <c r="R1921"/>
    </row>
    <row r="1922" spans="3:18" x14ac:dyDescent="0.3">
      <c r="C1922"/>
      <c r="D1922"/>
      <c r="R1922"/>
    </row>
    <row r="1923" spans="3:18" x14ac:dyDescent="0.3">
      <c r="C1923"/>
      <c r="D1923"/>
      <c r="R1923"/>
    </row>
    <row r="1924" spans="3:18" x14ac:dyDescent="0.3">
      <c r="C1924"/>
      <c r="D1924"/>
      <c r="R1924"/>
    </row>
    <row r="1925" spans="3:18" x14ac:dyDescent="0.3">
      <c r="C1925"/>
      <c r="D1925"/>
      <c r="R1925"/>
    </row>
    <row r="1926" spans="3:18" x14ac:dyDescent="0.3">
      <c r="C1926"/>
      <c r="D1926"/>
      <c r="R1926"/>
    </row>
    <row r="1927" spans="3:18" x14ac:dyDescent="0.3">
      <c r="C1927"/>
      <c r="D1927"/>
      <c r="R1927"/>
    </row>
    <row r="1928" spans="3:18" x14ac:dyDescent="0.3">
      <c r="C1928"/>
      <c r="D1928"/>
      <c r="R1928"/>
    </row>
    <row r="1929" spans="3:18" x14ac:dyDescent="0.3">
      <c r="C1929"/>
      <c r="D1929"/>
      <c r="R1929"/>
    </row>
    <row r="1930" spans="3:18" x14ac:dyDescent="0.3">
      <c r="C1930"/>
      <c r="D1930"/>
      <c r="R1930"/>
    </row>
    <row r="1931" spans="3:18" x14ac:dyDescent="0.3">
      <c r="C1931"/>
      <c r="D1931"/>
      <c r="R1931"/>
    </row>
    <row r="1932" spans="3:18" x14ac:dyDescent="0.3">
      <c r="C1932"/>
      <c r="D1932"/>
      <c r="R1932"/>
    </row>
    <row r="1933" spans="3:18" x14ac:dyDescent="0.3">
      <c r="C1933"/>
      <c r="D1933"/>
      <c r="R1933"/>
    </row>
    <row r="1934" spans="3:18" x14ac:dyDescent="0.3">
      <c r="C1934"/>
      <c r="D1934"/>
      <c r="R1934"/>
    </row>
    <row r="1935" spans="3:18" x14ac:dyDescent="0.3">
      <c r="C1935"/>
      <c r="D1935"/>
      <c r="R1935"/>
    </row>
    <row r="1936" spans="3:18" x14ac:dyDescent="0.3">
      <c r="C1936"/>
      <c r="D1936"/>
      <c r="R1936"/>
    </row>
    <row r="1937" spans="3:18" x14ac:dyDescent="0.3">
      <c r="C1937"/>
      <c r="D1937"/>
      <c r="R1937"/>
    </row>
    <row r="1938" spans="3:18" x14ac:dyDescent="0.3">
      <c r="C1938"/>
      <c r="D1938"/>
      <c r="R1938"/>
    </row>
    <row r="1939" spans="3:18" x14ac:dyDescent="0.3">
      <c r="C1939"/>
      <c r="D1939"/>
      <c r="R1939"/>
    </row>
    <row r="1940" spans="3:18" x14ac:dyDescent="0.3">
      <c r="C1940"/>
      <c r="D1940"/>
      <c r="R1940"/>
    </row>
    <row r="1941" spans="3:18" x14ac:dyDescent="0.3">
      <c r="C1941"/>
      <c r="D1941"/>
      <c r="R1941"/>
    </row>
    <row r="1942" spans="3:18" x14ac:dyDescent="0.3">
      <c r="C1942"/>
      <c r="D1942"/>
      <c r="R1942"/>
    </row>
    <row r="1943" spans="3:18" x14ac:dyDescent="0.3">
      <c r="C1943"/>
      <c r="D1943"/>
      <c r="R1943"/>
    </row>
    <row r="1944" spans="3:18" x14ac:dyDescent="0.3">
      <c r="C1944"/>
      <c r="D1944"/>
      <c r="R1944"/>
    </row>
    <row r="1945" spans="3:18" x14ac:dyDescent="0.3">
      <c r="C1945"/>
      <c r="D1945"/>
      <c r="R1945"/>
    </row>
    <row r="1946" spans="3:18" x14ac:dyDescent="0.3">
      <c r="C1946"/>
      <c r="D1946"/>
      <c r="R1946"/>
    </row>
    <row r="1947" spans="3:18" x14ac:dyDescent="0.3">
      <c r="C1947"/>
      <c r="D1947"/>
      <c r="R1947"/>
    </row>
    <row r="1948" spans="3:18" x14ac:dyDescent="0.3">
      <c r="C1948"/>
      <c r="D1948"/>
      <c r="R1948"/>
    </row>
    <row r="1949" spans="3:18" x14ac:dyDescent="0.3">
      <c r="C1949"/>
      <c r="D1949"/>
      <c r="R1949"/>
    </row>
    <row r="1950" spans="3:18" x14ac:dyDescent="0.3">
      <c r="C1950"/>
      <c r="D1950"/>
      <c r="R1950"/>
    </row>
    <row r="1951" spans="3:18" x14ac:dyDescent="0.3">
      <c r="C1951"/>
      <c r="D1951"/>
      <c r="R1951"/>
    </row>
    <row r="1952" spans="3:18" x14ac:dyDescent="0.3">
      <c r="C1952"/>
      <c r="D1952"/>
      <c r="R1952"/>
    </row>
    <row r="1953" spans="3:18" x14ac:dyDescent="0.3">
      <c r="C1953"/>
      <c r="D1953"/>
      <c r="R1953"/>
    </row>
    <row r="1954" spans="3:18" x14ac:dyDescent="0.3">
      <c r="C1954"/>
      <c r="D1954"/>
      <c r="R1954"/>
    </row>
    <row r="1955" spans="3:18" x14ac:dyDescent="0.3">
      <c r="C1955"/>
      <c r="D1955"/>
      <c r="R1955"/>
    </row>
    <row r="1956" spans="3:18" x14ac:dyDescent="0.3">
      <c r="C1956"/>
      <c r="D1956"/>
      <c r="R1956"/>
    </row>
    <row r="1957" spans="3:18" x14ac:dyDescent="0.3">
      <c r="C1957"/>
      <c r="D1957"/>
      <c r="R1957"/>
    </row>
    <row r="1958" spans="3:18" x14ac:dyDescent="0.3">
      <c r="C1958"/>
      <c r="D1958"/>
      <c r="R1958"/>
    </row>
    <row r="1959" spans="3:18" x14ac:dyDescent="0.3">
      <c r="C1959"/>
      <c r="D1959"/>
      <c r="R1959"/>
    </row>
    <row r="1960" spans="3:18" x14ac:dyDescent="0.3">
      <c r="C1960"/>
      <c r="D1960"/>
      <c r="R1960"/>
    </row>
    <row r="1961" spans="3:18" x14ac:dyDescent="0.3">
      <c r="C1961"/>
      <c r="D1961"/>
      <c r="R1961"/>
    </row>
    <row r="1962" spans="3:18" x14ac:dyDescent="0.3">
      <c r="C1962"/>
      <c r="D1962"/>
      <c r="R1962"/>
    </row>
    <row r="1963" spans="3:18" x14ac:dyDescent="0.3">
      <c r="C1963"/>
      <c r="D1963"/>
      <c r="R1963"/>
    </row>
    <row r="1964" spans="3:18" x14ac:dyDescent="0.3">
      <c r="C1964"/>
      <c r="D1964"/>
      <c r="R1964"/>
    </row>
    <row r="1965" spans="3:18" x14ac:dyDescent="0.3">
      <c r="C1965"/>
      <c r="D1965"/>
      <c r="R1965"/>
    </row>
    <row r="1966" spans="3:18" x14ac:dyDescent="0.3">
      <c r="C1966"/>
      <c r="D1966"/>
      <c r="R1966"/>
    </row>
    <row r="1967" spans="3:18" x14ac:dyDescent="0.3">
      <c r="C1967"/>
      <c r="D1967"/>
      <c r="R1967"/>
    </row>
    <row r="1968" spans="3:18" x14ac:dyDescent="0.3">
      <c r="C1968"/>
      <c r="D1968"/>
      <c r="R1968"/>
    </row>
    <row r="1969" spans="3:18" x14ac:dyDescent="0.3">
      <c r="C1969"/>
      <c r="D1969"/>
      <c r="R1969"/>
    </row>
    <row r="1970" spans="3:18" x14ac:dyDescent="0.3">
      <c r="C1970"/>
      <c r="D1970"/>
      <c r="R1970"/>
    </row>
    <row r="1971" spans="3:18" x14ac:dyDescent="0.3">
      <c r="C1971"/>
      <c r="D1971"/>
      <c r="R1971"/>
    </row>
    <row r="1972" spans="3:18" x14ac:dyDescent="0.3">
      <c r="C1972"/>
      <c r="D1972"/>
      <c r="R1972"/>
    </row>
    <row r="1973" spans="3:18" x14ac:dyDescent="0.3">
      <c r="C1973"/>
      <c r="D1973"/>
      <c r="R1973"/>
    </row>
    <row r="1974" spans="3:18" x14ac:dyDescent="0.3">
      <c r="C1974"/>
      <c r="D1974"/>
      <c r="R1974"/>
    </row>
    <row r="1975" spans="3:18" x14ac:dyDescent="0.3">
      <c r="C1975"/>
      <c r="D1975"/>
      <c r="R1975"/>
    </row>
    <row r="1976" spans="3:18" x14ac:dyDescent="0.3">
      <c r="C1976"/>
      <c r="D1976"/>
      <c r="R1976"/>
    </row>
    <row r="1977" spans="3:18" x14ac:dyDescent="0.3">
      <c r="C1977"/>
      <c r="D1977"/>
      <c r="R1977"/>
    </row>
    <row r="1978" spans="3:18" x14ac:dyDescent="0.3">
      <c r="C1978"/>
      <c r="D1978"/>
      <c r="R1978"/>
    </row>
    <row r="1979" spans="3:18" x14ac:dyDescent="0.3">
      <c r="C1979"/>
      <c r="D1979"/>
      <c r="R1979"/>
    </row>
    <row r="1980" spans="3:18" x14ac:dyDescent="0.3">
      <c r="C1980"/>
      <c r="D1980"/>
      <c r="R1980"/>
    </row>
    <row r="1981" spans="3:18" x14ac:dyDescent="0.3">
      <c r="C1981"/>
      <c r="D1981"/>
      <c r="R1981"/>
    </row>
    <row r="1982" spans="3:18" x14ac:dyDescent="0.3">
      <c r="C1982"/>
      <c r="D1982"/>
      <c r="R1982"/>
    </row>
    <row r="1983" spans="3:18" x14ac:dyDescent="0.3">
      <c r="C1983"/>
      <c r="D1983"/>
      <c r="R1983"/>
    </row>
    <row r="1984" spans="3:18" x14ac:dyDescent="0.3">
      <c r="C1984"/>
      <c r="D1984"/>
      <c r="R1984"/>
    </row>
    <row r="1985" spans="3:18" x14ac:dyDescent="0.3">
      <c r="C1985"/>
      <c r="D1985"/>
      <c r="R1985"/>
    </row>
    <row r="1986" spans="3:18" x14ac:dyDescent="0.3">
      <c r="C1986"/>
      <c r="D1986"/>
      <c r="R1986"/>
    </row>
    <row r="1987" spans="3:18" x14ac:dyDescent="0.3">
      <c r="C1987"/>
      <c r="D1987"/>
      <c r="R1987"/>
    </row>
    <row r="1988" spans="3:18" x14ac:dyDescent="0.3">
      <c r="C1988"/>
      <c r="D1988"/>
      <c r="R1988"/>
    </row>
    <row r="1989" spans="3:18" x14ac:dyDescent="0.3">
      <c r="C1989"/>
      <c r="D1989"/>
      <c r="R1989"/>
    </row>
    <row r="1990" spans="3:18" x14ac:dyDescent="0.3">
      <c r="C1990"/>
      <c r="D1990"/>
      <c r="R1990"/>
    </row>
    <row r="1991" spans="3:18" x14ac:dyDescent="0.3">
      <c r="C1991"/>
      <c r="D1991"/>
      <c r="R1991"/>
    </row>
    <row r="1992" spans="3:18" x14ac:dyDescent="0.3">
      <c r="C1992"/>
      <c r="D1992"/>
      <c r="R1992"/>
    </row>
    <row r="1993" spans="3:18" x14ac:dyDescent="0.3">
      <c r="C1993"/>
      <c r="D1993"/>
      <c r="R1993"/>
    </row>
    <row r="1994" spans="3:18" x14ac:dyDescent="0.3">
      <c r="C1994"/>
      <c r="D1994"/>
      <c r="R1994"/>
    </row>
    <row r="1995" spans="3:18" x14ac:dyDescent="0.3">
      <c r="C1995"/>
      <c r="D1995"/>
      <c r="R1995"/>
    </row>
    <row r="1996" spans="3:18" x14ac:dyDescent="0.3">
      <c r="C1996"/>
      <c r="D1996"/>
      <c r="R1996"/>
    </row>
    <row r="1997" spans="3:18" x14ac:dyDescent="0.3">
      <c r="C1997"/>
      <c r="D1997"/>
      <c r="R1997"/>
    </row>
    <row r="1998" spans="3:18" x14ac:dyDescent="0.3">
      <c r="C1998"/>
      <c r="D1998"/>
      <c r="R1998"/>
    </row>
    <row r="1999" spans="3:18" x14ac:dyDescent="0.3">
      <c r="C1999"/>
      <c r="D1999"/>
      <c r="R1999"/>
    </row>
    <row r="2000" spans="3:18" x14ac:dyDescent="0.3">
      <c r="C2000"/>
      <c r="D2000"/>
      <c r="R2000"/>
    </row>
    <row r="2001" spans="3:18" x14ac:dyDescent="0.3">
      <c r="C2001"/>
      <c r="D2001"/>
      <c r="R2001"/>
    </row>
    <row r="2002" spans="3:18" x14ac:dyDescent="0.3">
      <c r="C2002"/>
      <c r="D2002"/>
      <c r="R2002"/>
    </row>
    <row r="2003" spans="3:18" x14ac:dyDescent="0.3">
      <c r="C2003"/>
      <c r="D2003"/>
      <c r="R2003"/>
    </row>
    <row r="2004" spans="3:18" x14ac:dyDescent="0.3">
      <c r="C2004"/>
      <c r="D2004"/>
      <c r="R2004"/>
    </row>
    <row r="2005" spans="3:18" x14ac:dyDescent="0.3">
      <c r="C2005"/>
      <c r="D2005"/>
      <c r="R2005"/>
    </row>
    <row r="2006" spans="3:18" x14ac:dyDescent="0.3">
      <c r="C2006"/>
      <c r="D2006"/>
      <c r="R2006"/>
    </row>
    <row r="2007" spans="3:18" x14ac:dyDescent="0.3">
      <c r="C2007"/>
      <c r="D2007"/>
      <c r="R2007"/>
    </row>
    <row r="2008" spans="3:18" x14ac:dyDescent="0.3">
      <c r="C2008"/>
      <c r="D2008"/>
      <c r="R2008"/>
    </row>
    <row r="2009" spans="3:18" x14ac:dyDescent="0.3">
      <c r="C2009"/>
      <c r="D2009"/>
      <c r="R2009"/>
    </row>
    <row r="2010" spans="3:18" x14ac:dyDescent="0.3">
      <c r="C2010"/>
      <c r="D2010"/>
      <c r="R2010"/>
    </row>
    <row r="2011" spans="3:18" x14ac:dyDescent="0.3">
      <c r="C2011"/>
      <c r="D2011"/>
      <c r="R2011"/>
    </row>
    <row r="2012" spans="3:18" x14ac:dyDescent="0.3">
      <c r="C2012"/>
      <c r="D2012"/>
      <c r="R2012"/>
    </row>
    <row r="2013" spans="3:18" x14ac:dyDescent="0.3">
      <c r="C2013"/>
      <c r="D2013"/>
      <c r="R2013"/>
    </row>
    <row r="2014" spans="3:18" x14ac:dyDescent="0.3">
      <c r="C2014"/>
      <c r="D2014"/>
      <c r="R2014"/>
    </row>
    <row r="2015" spans="3:18" x14ac:dyDescent="0.3">
      <c r="C2015"/>
      <c r="D2015"/>
      <c r="R2015"/>
    </row>
    <row r="2016" spans="3:18" x14ac:dyDescent="0.3">
      <c r="C2016"/>
      <c r="D2016"/>
      <c r="R2016"/>
    </row>
    <row r="2017" spans="3:18" x14ac:dyDescent="0.3">
      <c r="C2017"/>
      <c r="D2017"/>
      <c r="R2017"/>
    </row>
    <row r="2018" spans="3:18" x14ac:dyDescent="0.3">
      <c r="C2018"/>
      <c r="D2018"/>
      <c r="R2018"/>
    </row>
    <row r="2019" spans="3:18" x14ac:dyDescent="0.3">
      <c r="C2019"/>
      <c r="D2019"/>
      <c r="R2019"/>
    </row>
    <row r="2020" spans="3:18" x14ac:dyDescent="0.3">
      <c r="C2020"/>
      <c r="D2020"/>
      <c r="R2020"/>
    </row>
    <row r="2021" spans="3:18" x14ac:dyDescent="0.3">
      <c r="C2021"/>
      <c r="D2021"/>
      <c r="R2021"/>
    </row>
    <row r="2022" spans="3:18" x14ac:dyDescent="0.3">
      <c r="C2022"/>
      <c r="D2022"/>
      <c r="R2022"/>
    </row>
    <row r="2023" spans="3:18" x14ac:dyDescent="0.3">
      <c r="C2023"/>
      <c r="D2023"/>
      <c r="R2023"/>
    </row>
    <row r="2024" spans="3:18" x14ac:dyDescent="0.3">
      <c r="C2024"/>
      <c r="D2024"/>
      <c r="R2024"/>
    </row>
    <row r="2025" spans="3:18" x14ac:dyDescent="0.3">
      <c r="C2025"/>
      <c r="D2025"/>
      <c r="R2025"/>
    </row>
    <row r="2026" spans="3:18" x14ac:dyDescent="0.3">
      <c r="C2026"/>
      <c r="D2026"/>
      <c r="R2026"/>
    </row>
    <row r="2027" spans="3:18" x14ac:dyDescent="0.3">
      <c r="C2027"/>
      <c r="D2027"/>
      <c r="R2027"/>
    </row>
    <row r="2028" spans="3:18" x14ac:dyDescent="0.3">
      <c r="C2028"/>
      <c r="D2028"/>
      <c r="R2028"/>
    </row>
    <row r="2029" spans="3:18" x14ac:dyDescent="0.3">
      <c r="C2029"/>
      <c r="D2029"/>
      <c r="R2029"/>
    </row>
    <row r="2030" spans="3:18" x14ac:dyDescent="0.3">
      <c r="C2030"/>
      <c r="D2030"/>
      <c r="R2030"/>
    </row>
    <row r="2031" spans="3:18" x14ac:dyDescent="0.3">
      <c r="C2031"/>
      <c r="D2031"/>
      <c r="R2031"/>
    </row>
    <row r="2032" spans="3:18" x14ac:dyDescent="0.3">
      <c r="C2032"/>
      <c r="D2032"/>
      <c r="R2032"/>
    </row>
    <row r="2033" spans="3:18" x14ac:dyDescent="0.3">
      <c r="C2033"/>
      <c r="D2033"/>
      <c r="R2033"/>
    </row>
    <row r="2034" spans="3:18" x14ac:dyDescent="0.3">
      <c r="C2034"/>
      <c r="D2034"/>
      <c r="R2034"/>
    </row>
    <row r="2035" spans="3:18" x14ac:dyDescent="0.3">
      <c r="C2035"/>
      <c r="D2035"/>
      <c r="R2035"/>
    </row>
    <row r="2036" spans="3:18" x14ac:dyDescent="0.3">
      <c r="C2036"/>
      <c r="D2036"/>
      <c r="R2036"/>
    </row>
    <row r="2037" spans="3:18" x14ac:dyDescent="0.3">
      <c r="C2037"/>
      <c r="D2037"/>
      <c r="R2037"/>
    </row>
    <row r="2038" spans="3:18" x14ac:dyDescent="0.3">
      <c r="C2038"/>
      <c r="D2038"/>
      <c r="R2038"/>
    </row>
    <row r="2039" spans="3:18" x14ac:dyDescent="0.3">
      <c r="C2039"/>
      <c r="D2039"/>
      <c r="R2039"/>
    </row>
    <row r="2040" spans="3:18" x14ac:dyDescent="0.3">
      <c r="C2040"/>
      <c r="D2040"/>
      <c r="R2040"/>
    </row>
    <row r="2041" spans="3:18" x14ac:dyDescent="0.3">
      <c r="C2041"/>
      <c r="D2041"/>
      <c r="R2041"/>
    </row>
    <row r="2042" spans="3:18" x14ac:dyDescent="0.3">
      <c r="C2042"/>
      <c r="D2042"/>
      <c r="R2042"/>
    </row>
    <row r="2043" spans="3:18" x14ac:dyDescent="0.3">
      <c r="C2043"/>
      <c r="D2043"/>
      <c r="R2043"/>
    </row>
    <row r="2044" spans="3:18" x14ac:dyDescent="0.3">
      <c r="C2044"/>
      <c r="D2044"/>
      <c r="R2044"/>
    </row>
    <row r="2045" spans="3:18" x14ac:dyDescent="0.3">
      <c r="C2045"/>
      <c r="D2045"/>
      <c r="R2045"/>
    </row>
    <row r="2046" spans="3:18" x14ac:dyDescent="0.3">
      <c r="C2046"/>
      <c r="D2046"/>
      <c r="R2046"/>
    </row>
    <row r="2047" spans="3:18" x14ac:dyDescent="0.3">
      <c r="C2047"/>
      <c r="D2047"/>
      <c r="R2047"/>
    </row>
    <row r="2048" spans="3:18" x14ac:dyDescent="0.3">
      <c r="C2048"/>
      <c r="D2048"/>
      <c r="R2048"/>
    </row>
    <row r="2049" spans="3:18" x14ac:dyDescent="0.3">
      <c r="C2049"/>
      <c r="D2049"/>
      <c r="R2049"/>
    </row>
    <row r="2050" spans="3:18" x14ac:dyDescent="0.3">
      <c r="C2050"/>
      <c r="D2050"/>
      <c r="R2050"/>
    </row>
    <row r="2051" spans="3:18" x14ac:dyDescent="0.3">
      <c r="C2051"/>
      <c r="D2051"/>
      <c r="R2051"/>
    </row>
    <row r="2052" spans="3:18" x14ac:dyDescent="0.3">
      <c r="C2052"/>
      <c r="D2052"/>
      <c r="R2052"/>
    </row>
    <row r="2053" spans="3:18" x14ac:dyDescent="0.3">
      <c r="C2053"/>
      <c r="D2053"/>
      <c r="R2053"/>
    </row>
    <row r="2054" spans="3:18" x14ac:dyDescent="0.3">
      <c r="C2054"/>
      <c r="D2054"/>
      <c r="R2054"/>
    </row>
    <row r="2055" spans="3:18" x14ac:dyDescent="0.3">
      <c r="C2055"/>
      <c r="D2055"/>
      <c r="R2055"/>
    </row>
    <row r="2056" spans="3:18" x14ac:dyDescent="0.3">
      <c r="C2056"/>
      <c r="D2056"/>
      <c r="R2056"/>
    </row>
    <row r="2057" spans="3:18" x14ac:dyDescent="0.3">
      <c r="C2057"/>
      <c r="D2057"/>
      <c r="R2057"/>
    </row>
    <row r="2058" spans="3:18" x14ac:dyDescent="0.3">
      <c r="C2058"/>
      <c r="D2058"/>
      <c r="R2058"/>
    </row>
    <row r="2059" spans="3:18" x14ac:dyDescent="0.3">
      <c r="C2059"/>
      <c r="D2059"/>
      <c r="R2059"/>
    </row>
    <row r="2060" spans="3:18" x14ac:dyDescent="0.3">
      <c r="C2060"/>
      <c r="D2060"/>
      <c r="R2060"/>
    </row>
    <row r="2061" spans="3:18" x14ac:dyDescent="0.3">
      <c r="C2061"/>
      <c r="D2061"/>
      <c r="R2061"/>
    </row>
    <row r="2062" spans="3:18" x14ac:dyDescent="0.3">
      <c r="C2062"/>
      <c r="D2062"/>
      <c r="R2062"/>
    </row>
    <row r="2063" spans="3:18" x14ac:dyDescent="0.3">
      <c r="C2063"/>
      <c r="D2063"/>
      <c r="R2063"/>
    </row>
    <row r="2064" spans="3:18" x14ac:dyDescent="0.3">
      <c r="C2064"/>
      <c r="D2064"/>
      <c r="R2064"/>
    </row>
    <row r="2065" spans="3:18" x14ac:dyDescent="0.3">
      <c r="C2065"/>
      <c r="D2065"/>
      <c r="R2065"/>
    </row>
    <row r="2066" spans="3:18" x14ac:dyDescent="0.3">
      <c r="C2066"/>
      <c r="D2066"/>
      <c r="R2066"/>
    </row>
    <row r="2067" spans="3:18" x14ac:dyDescent="0.3">
      <c r="C2067"/>
      <c r="D2067"/>
      <c r="R2067"/>
    </row>
    <row r="2068" spans="3:18" x14ac:dyDescent="0.3">
      <c r="C2068"/>
      <c r="D2068"/>
      <c r="R2068"/>
    </row>
    <row r="2069" spans="3:18" x14ac:dyDescent="0.3">
      <c r="C2069"/>
      <c r="D2069"/>
      <c r="R2069"/>
    </row>
    <row r="2070" spans="3:18" x14ac:dyDescent="0.3">
      <c r="C2070"/>
      <c r="D2070"/>
      <c r="R2070"/>
    </row>
    <row r="2071" spans="3:18" x14ac:dyDescent="0.3">
      <c r="C2071"/>
      <c r="D2071"/>
      <c r="R2071"/>
    </row>
    <row r="2072" spans="3:18" x14ac:dyDescent="0.3">
      <c r="C2072"/>
      <c r="D2072"/>
      <c r="R2072"/>
    </row>
    <row r="2073" spans="3:18" x14ac:dyDescent="0.3">
      <c r="C2073"/>
      <c r="D2073"/>
      <c r="R2073"/>
    </row>
    <row r="2074" spans="3:18" x14ac:dyDescent="0.3">
      <c r="C2074"/>
      <c r="D2074"/>
      <c r="R2074"/>
    </row>
    <row r="2075" spans="3:18" x14ac:dyDescent="0.3">
      <c r="C2075"/>
      <c r="D2075"/>
      <c r="R2075"/>
    </row>
    <row r="2076" spans="3:18" x14ac:dyDescent="0.3">
      <c r="C2076"/>
      <c r="D2076"/>
      <c r="R2076"/>
    </row>
    <row r="2077" spans="3:18" x14ac:dyDescent="0.3">
      <c r="C2077"/>
      <c r="D2077"/>
      <c r="R2077"/>
    </row>
    <row r="2078" spans="3:18" x14ac:dyDescent="0.3">
      <c r="C2078"/>
      <c r="D2078"/>
      <c r="R2078"/>
    </row>
    <row r="2079" spans="3:18" x14ac:dyDescent="0.3">
      <c r="C2079"/>
      <c r="D2079"/>
      <c r="R2079"/>
    </row>
    <row r="2080" spans="3:18" x14ac:dyDescent="0.3">
      <c r="C2080"/>
      <c r="D2080"/>
      <c r="R2080"/>
    </row>
    <row r="2081" spans="3:18" x14ac:dyDescent="0.3">
      <c r="C2081"/>
      <c r="D2081"/>
      <c r="R2081"/>
    </row>
    <row r="2082" spans="3:18" x14ac:dyDescent="0.3">
      <c r="C2082"/>
      <c r="D2082"/>
      <c r="R2082"/>
    </row>
    <row r="2083" spans="3:18" x14ac:dyDescent="0.3">
      <c r="C2083"/>
      <c r="D2083"/>
      <c r="R2083"/>
    </row>
    <row r="2084" spans="3:18" x14ac:dyDescent="0.3">
      <c r="C2084"/>
      <c r="D2084"/>
      <c r="R2084"/>
    </row>
    <row r="2085" spans="3:18" x14ac:dyDescent="0.3">
      <c r="C2085"/>
      <c r="D2085"/>
      <c r="R2085"/>
    </row>
    <row r="2086" spans="3:18" x14ac:dyDescent="0.3">
      <c r="C2086"/>
      <c r="D2086"/>
      <c r="R2086"/>
    </row>
    <row r="2087" spans="3:18" x14ac:dyDescent="0.3">
      <c r="C2087"/>
      <c r="D2087"/>
      <c r="R2087"/>
    </row>
    <row r="2088" spans="3:18" x14ac:dyDescent="0.3">
      <c r="C2088"/>
      <c r="D2088"/>
      <c r="R2088"/>
    </row>
    <row r="2089" spans="3:18" x14ac:dyDescent="0.3">
      <c r="C2089"/>
      <c r="D2089"/>
      <c r="R2089"/>
    </row>
    <row r="2090" spans="3:18" x14ac:dyDescent="0.3">
      <c r="C2090"/>
      <c r="D2090"/>
      <c r="R2090"/>
    </row>
    <row r="2091" spans="3:18" x14ac:dyDescent="0.3">
      <c r="C2091"/>
      <c r="D2091"/>
      <c r="R2091"/>
    </row>
    <row r="2092" spans="3:18" x14ac:dyDescent="0.3">
      <c r="C2092"/>
      <c r="D2092"/>
      <c r="R2092"/>
    </row>
    <row r="2093" spans="3:18" x14ac:dyDescent="0.3">
      <c r="C2093"/>
      <c r="D2093"/>
      <c r="R2093"/>
    </row>
    <row r="2094" spans="3:18" x14ac:dyDescent="0.3">
      <c r="C2094"/>
      <c r="D2094"/>
      <c r="R2094"/>
    </row>
    <row r="2095" spans="3:18" x14ac:dyDescent="0.3">
      <c r="C2095"/>
      <c r="D2095"/>
      <c r="R2095"/>
    </row>
    <row r="2096" spans="3:18" x14ac:dyDescent="0.3">
      <c r="C2096"/>
      <c r="D2096"/>
      <c r="R2096"/>
    </row>
    <row r="2097" spans="3:18" x14ac:dyDescent="0.3">
      <c r="C2097"/>
      <c r="D2097"/>
      <c r="R2097"/>
    </row>
    <row r="2098" spans="3:18" x14ac:dyDescent="0.3">
      <c r="C2098"/>
      <c r="D2098"/>
      <c r="R2098"/>
    </row>
    <row r="2099" spans="3:18" x14ac:dyDescent="0.3">
      <c r="C2099"/>
      <c r="D2099"/>
      <c r="R2099"/>
    </row>
    <row r="2100" spans="3:18" x14ac:dyDescent="0.3">
      <c r="C2100"/>
      <c r="D2100"/>
      <c r="R2100"/>
    </row>
    <row r="2101" spans="3:18" x14ac:dyDescent="0.3">
      <c r="C2101"/>
      <c r="D2101"/>
      <c r="R2101"/>
    </row>
    <row r="2102" spans="3:18" x14ac:dyDescent="0.3">
      <c r="C2102"/>
      <c r="D2102"/>
      <c r="R2102"/>
    </row>
    <row r="2103" spans="3:18" x14ac:dyDescent="0.3">
      <c r="C2103"/>
      <c r="D2103"/>
      <c r="R2103"/>
    </row>
    <row r="2104" spans="3:18" x14ac:dyDescent="0.3">
      <c r="C2104"/>
      <c r="D2104"/>
      <c r="R2104"/>
    </row>
    <row r="2105" spans="3:18" x14ac:dyDescent="0.3">
      <c r="C2105"/>
      <c r="D2105"/>
      <c r="R2105"/>
    </row>
    <row r="2106" spans="3:18" x14ac:dyDescent="0.3">
      <c r="C2106"/>
      <c r="D2106"/>
      <c r="R2106"/>
    </row>
    <row r="2107" spans="3:18" x14ac:dyDescent="0.3">
      <c r="C2107"/>
      <c r="D2107"/>
      <c r="R2107"/>
    </row>
    <row r="2108" spans="3:18" x14ac:dyDescent="0.3">
      <c r="C2108"/>
      <c r="D2108"/>
      <c r="R2108"/>
    </row>
    <row r="2109" spans="3:18" x14ac:dyDescent="0.3">
      <c r="C2109"/>
      <c r="D2109"/>
      <c r="R2109"/>
    </row>
    <row r="2110" spans="3:18" x14ac:dyDescent="0.3">
      <c r="C2110"/>
      <c r="D2110"/>
      <c r="R2110"/>
    </row>
    <row r="2111" spans="3:18" x14ac:dyDescent="0.3">
      <c r="C2111"/>
      <c r="D2111"/>
      <c r="R2111"/>
    </row>
    <row r="2112" spans="3:18" x14ac:dyDescent="0.3">
      <c r="C2112"/>
      <c r="D2112"/>
      <c r="R2112"/>
    </row>
    <row r="2113" spans="3:18" x14ac:dyDescent="0.3">
      <c r="C2113"/>
      <c r="D2113"/>
      <c r="R2113"/>
    </row>
    <row r="2114" spans="3:18" x14ac:dyDescent="0.3">
      <c r="C2114"/>
      <c r="D2114"/>
      <c r="R2114"/>
    </row>
    <row r="2115" spans="3:18" x14ac:dyDescent="0.3">
      <c r="C2115"/>
      <c r="D2115"/>
      <c r="R2115"/>
    </row>
    <row r="2116" spans="3:18" x14ac:dyDescent="0.3">
      <c r="C2116"/>
      <c r="D2116"/>
      <c r="R2116"/>
    </row>
    <row r="2117" spans="3:18" x14ac:dyDescent="0.3">
      <c r="C2117"/>
      <c r="D2117"/>
      <c r="R2117"/>
    </row>
    <row r="2118" spans="3:18" x14ac:dyDescent="0.3">
      <c r="C2118"/>
      <c r="D2118"/>
      <c r="R2118"/>
    </row>
    <row r="2119" spans="3:18" x14ac:dyDescent="0.3">
      <c r="C2119"/>
      <c r="D2119"/>
      <c r="R2119"/>
    </row>
    <row r="2120" spans="3:18" x14ac:dyDescent="0.3">
      <c r="C2120"/>
      <c r="D2120"/>
      <c r="R2120"/>
    </row>
    <row r="2121" spans="3:18" x14ac:dyDescent="0.3">
      <c r="C2121"/>
      <c r="D2121"/>
      <c r="R2121"/>
    </row>
    <row r="2122" spans="3:18" x14ac:dyDescent="0.3">
      <c r="C2122"/>
      <c r="D2122"/>
      <c r="R2122"/>
    </row>
    <row r="2123" spans="3:18" x14ac:dyDescent="0.3">
      <c r="C2123"/>
      <c r="D2123"/>
      <c r="R2123"/>
    </row>
    <row r="2124" spans="3:18" x14ac:dyDescent="0.3">
      <c r="C2124"/>
      <c r="D2124"/>
      <c r="R2124"/>
    </row>
    <row r="2125" spans="3:18" x14ac:dyDescent="0.3">
      <c r="C2125"/>
      <c r="D2125"/>
      <c r="R2125"/>
    </row>
    <row r="2126" spans="3:18" x14ac:dyDescent="0.3">
      <c r="C2126"/>
      <c r="D2126"/>
      <c r="R2126"/>
    </row>
    <row r="2127" spans="3:18" x14ac:dyDescent="0.3">
      <c r="C2127"/>
      <c r="D2127"/>
      <c r="R2127"/>
    </row>
    <row r="2128" spans="3:18" x14ac:dyDescent="0.3">
      <c r="C2128"/>
      <c r="D2128"/>
      <c r="R2128"/>
    </row>
    <row r="2129" spans="3:18" x14ac:dyDescent="0.3">
      <c r="C2129"/>
      <c r="D2129"/>
      <c r="R2129"/>
    </row>
    <row r="2130" spans="3:18" x14ac:dyDescent="0.3">
      <c r="C2130"/>
      <c r="D2130"/>
      <c r="R2130"/>
    </row>
    <row r="2131" spans="3:18" x14ac:dyDescent="0.3">
      <c r="C2131"/>
      <c r="D2131"/>
      <c r="R2131"/>
    </row>
    <row r="2132" spans="3:18" x14ac:dyDescent="0.3">
      <c r="C2132"/>
      <c r="D2132"/>
      <c r="R2132"/>
    </row>
    <row r="2133" spans="3:18" x14ac:dyDescent="0.3">
      <c r="C2133"/>
      <c r="D2133"/>
      <c r="R2133"/>
    </row>
    <row r="2134" spans="3:18" x14ac:dyDescent="0.3">
      <c r="C2134"/>
      <c r="D2134"/>
      <c r="R2134"/>
    </row>
    <row r="2135" spans="3:18" x14ac:dyDescent="0.3">
      <c r="C2135"/>
      <c r="D2135"/>
      <c r="R2135"/>
    </row>
    <row r="2136" spans="3:18" x14ac:dyDescent="0.3">
      <c r="C2136"/>
      <c r="D2136"/>
      <c r="R2136"/>
    </row>
    <row r="2137" spans="3:18" x14ac:dyDescent="0.3">
      <c r="C2137"/>
      <c r="D2137"/>
      <c r="R2137"/>
    </row>
    <row r="2138" spans="3:18" x14ac:dyDescent="0.3">
      <c r="C2138"/>
      <c r="D2138"/>
      <c r="R2138"/>
    </row>
    <row r="2139" spans="3:18" x14ac:dyDescent="0.3">
      <c r="C2139"/>
      <c r="D2139"/>
      <c r="R2139"/>
    </row>
    <row r="2140" spans="3:18" x14ac:dyDescent="0.3">
      <c r="C2140"/>
      <c r="D2140"/>
      <c r="R2140"/>
    </row>
    <row r="2141" spans="3:18" x14ac:dyDescent="0.3">
      <c r="C2141"/>
      <c r="D2141"/>
      <c r="R2141"/>
    </row>
    <row r="2142" spans="3:18" x14ac:dyDescent="0.3">
      <c r="C2142"/>
      <c r="D2142"/>
      <c r="R2142"/>
    </row>
    <row r="2143" spans="3:18" x14ac:dyDescent="0.3">
      <c r="C2143"/>
      <c r="D2143"/>
      <c r="R2143"/>
    </row>
    <row r="2144" spans="3:18" x14ac:dyDescent="0.3">
      <c r="C2144"/>
      <c r="D2144"/>
      <c r="R2144"/>
    </row>
    <row r="2145" spans="3:18" x14ac:dyDescent="0.3">
      <c r="C2145"/>
      <c r="D2145"/>
      <c r="R2145"/>
    </row>
    <row r="2146" spans="3:18" x14ac:dyDescent="0.3">
      <c r="C2146"/>
      <c r="D2146"/>
      <c r="R2146"/>
    </row>
    <row r="2147" spans="3:18" x14ac:dyDescent="0.3">
      <c r="C2147"/>
      <c r="D2147"/>
      <c r="R2147"/>
    </row>
    <row r="2148" spans="3:18" x14ac:dyDescent="0.3">
      <c r="C2148"/>
      <c r="D2148"/>
      <c r="R2148"/>
    </row>
    <row r="2149" spans="3:18" x14ac:dyDescent="0.3">
      <c r="C2149"/>
      <c r="D2149"/>
      <c r="R2149"/>
    </row>
    <row r="2150" spans="3:18" x14ac:dyDescent="0.3">
      <c r="C2150"/>
      <c r="D2150"/>
      <c r="R2150"/>
    </row>
    <row r="2151" spans="3:18" x14ac:dyDescent="0.3">
      <c r="C2151"/>
      <c r="D2151"/>
      <c r="R2151"/>
    </row>
    <row r="2152" spans="3:18" x14ac:dyDescent="0.3">
      <c r="C2152"/>
      <c r="D2152"/>
      <c r="R2152"/>
    </row>
    <row r="2153" spans="3:18" x14ac:dyDescent="0.3">
      <c r="C2153"/>
      <c r="D2153"/>
      <c r="R2153"/>
    </row>
    <row r="2154" spans="3:18" x14ac:dyDescent="0.3">
      <c r="C2154"/>
      <c r="D2154"/>
      <c r="R2154"/>
    </row>
    <row r="2155" spans="3:18" x14ac:dyDescent="0.3">
      <c r="C2155"/>
      <c r="D2155"/>
      <c r="R2155"/>
    </row>
    <row r="2156" spans="3:18" x14ac:dyDescent="0.3">
      <c r="C2156"/>
      <c r="D2156"/>
      <c r="R2156"/>
    </row>
    <row r="2157" spans="3:18" x14ac:dyDescent="0.3">
      <c r="C2157"/>
      <c r="D2157"/>
      <c r="R2157"/>
    </row>
    <row r="2158" spans="3:18" x14ac:dyDescent="0.3">
      <c r="C2158"/>
      <c r="D2158"/>
      <c r="R2158"/>
    </row>
    <row r="2159" spans="3:18" x14ac:dyDescent="0.3">
      <c r="C2159"/>
      <c r="D2159"/>
      <c r="R2159"/>
    </row>
    <row r="2160" spans="3:18" x14ac:dyDescent="0.3">
      <c r="C2160"/>
      <c r="D2160"/>
      <c r="R2160"/>
    </row>
    <row r="2161" spans="3:18" x14ac:dyDescent="0.3">
      <c r="C2161"/>
      <c r="D2161"/>
      <c r="R2161"/>
    </row>
    <row r="2162" spans="3:18" x14ac:dyDescent="0.3">
      <c r="C2162"/>
      <c r="D2162"/>
      <c r="R2162"/>
    </row>
    <row r="2163" spans="3:18" x14ac:dyDescent="0.3">
      <c r="C2163"/>
      <c r="D2163"/>
      <c r="R2163"/>
    </row>
    <row r="2164" spans="3:18" x14ac:dyDescent="0.3">
      <c r="C2164"/>
      <c r="D2164"/>
      <c r="R2164"/>
    </row>
    <row r="2165" spans="3:18" x14ac:dyDescent="0.3">
      <c r="C2165"/>
      <c r="D2165"/>
      <c r="R2165"/>
    </row>
    <row r="2166" spans="3:18" x14ac:dyDescent="0.3">
      <c r="C2166"/>
      <c r="D2166"/>
      <c r="R2166"/>
    </row>
    <row r="2167" spans="3:18" x14ac:dyDescent="0.3">
      <c r="C2167"/>
      <c r="D2167"/>
      <c r="R2167"/>
    </row>
    <row r="2168" spans="3:18" x14ac:dyDescent="0.3">
      <c r="C2168"/>
      <c r="D2168"/>
      <c r="R2168"/>
    </row>
    <row r="2169" spans="3:18" x14ac:dyDescent="0.3">
      <c r="C2169"/>
      <c r="D2169"/>
      <c r="R2169"/>
    </row>
    <row r="2170" spans="3:18" x14ac:dyDescent="0.3">
      <c r="C2170"/>
      <c r="D2170"/>
      <c r="R2170"/>
    </row>
    <row r="2171" spans="3:18" x14ac:dyDescent="0.3">
      <c r="C2171"/>
      <c r="D2171"/>
      <c r="R2171"/>
    </row>
    <row r="2172" spans="3:18" x14ac:dyDescent="0.3">
      <c r="C2172"/>
      <c r="D2172"/>
      <c r="R2172"/>
    </row>
    <row r="2173" spans="3:18" x14ac:dyDescent="0.3">
      <c r="C2173"/>
      <c r="D2173"/>
      <c r="R2173"/>
    </row>
    <row r="2174" spans="3:18" x14ac:dyDescent="0.3">
      <c r="C2174"/>
      <c r="D2174"/>
      <c r="R2174"/>
    </row>
    <row r="2175" spans="3:18" x14ac:dyDescent="0.3">
      <c r="C2175"/>
      <c r="D2175"/>
      <c r="R2175"/>
    </row>
    <row r="2176" spans="3:18" x14ac:dyDescent="0.3">
      <c r="C2176"/>
      <c r="D2176"/>
      <c r="R2176"/>
    </row>
    <row r="2177" spans="3:18" x14ac:dyDescent="0.3">
      <c r="C2177"/>
      <c r="D2177"/>
      <c r="R2177"/>
    </row>
    <row r="2178" spans="3:18" x14ac:dyDescent="0.3">
      <c r="C2178"/>
      <c r="D2178"/>
      <c r="R2178"/>
    </row>
    <row r="2179" spans="3:18" x14ac:dyDescent="0.3">
      <c r="C2179"/>
      <c r="D2179"/>
      <c r="R2179"/>
    </row>
    <row r="2180" spans="3:18" x14ac:dyDescent="0.3">
      <c r="C2180"/>
      <c r="D2180"/>
      <c r="R2180"/>
    </row>
    <row r="2181" spans="3:18" x14ac:dyDescent="0.3">
      <c r="C2181"/>
      <c r="D2181"/>
      <c r="R2181"/>
    </row>
    <row r="2182" spans="3:18" x14ac:dyDescent="0.3">
      <c r="C2182"/>
      <c r="D2182"/>
      <c r="R2182"/>
    </row>
    <row r="2183" spans="3:18" x14ac:dyDescent="0.3">
      <c r="C2183"/>
      <c r="D2183"/>
      <c r="R2183"/>
    </row>
    <row r="2184" spans="3:18" x14ac:dyDescent="0.3">
      <c r="C2184"/>
      <c r="D2184"/>
      <c r="R2184"/>
    </row>
    <row r="2185" spans="3:18" x14ac:dyDescent="0.3">
      <c r="C2185"/>
      <c r="D2185"/>
      <c r="R2185"/>
    </row>
    <row r="2186" spans="3:18" x14ac:dyDescent="0.3">
      <c r="C2186"/>
      <c r="D2186"/>
      <c r="R2186"/>
    </row>
    <row r="2187" spans="3:18" x14ac:dyDescent="0.3">
      <c r="C2187"/>
      <c r="D2187"/>
      <c r="R2187"/>
    </row>
    <row r="2188" spans="3:18" x14ac:dyDescent="0.3">
      <c r="C2188"/>
      <c r="D2188"/>
      <c r="R2188"/>
    </row>
    <row r="2189" spans="3:18" x14ac:dyDescent="0.3">
      <c r="C2189"/>
      <c r="D2189"/>
      <c r="R2189"/>
    </row>
    <row r="2190" spans="3:18" x14ac:dyDescent="0.3">
      <c r="C2190"/>
      <c r="D2190"/>
      <c r="R2190"/>
    </row>
    <row r="2191" spans="3:18" x14ac:dyDescent="0.3">
      <c r="C2191"/>
      <c r="D2191"/>
      <c r="R2191"/>
    </row>
    <row r="2192" spans="3:18" x14ac:dyDescent="0.3">
      <c r="C2192"/>
      <c r="D2192"/>
      <c r="R2192"/>
    </row>
    <row r="2193" spans="3:18" x14ac:dyDescent="0.3">
      <c r="C2193"/>
      <c r="D2193"/>
      <c r="R2193"/>
    </row>
    <row r="2194" spans="3:18" x14ac:dyDescent="0.3">
      <c r="C2194"/>
      <c r="D2194"/>
      <c r="R2194"/>
    </row>
    <row r="2195" spans="3:18" x14ac:dyDescent="0.3">
      <c r="C2195"/>
      <c r="D2195"/>
      <c r="R2195"/>
    </row>
    <row r="2196" spans="3:18" x14ac:dyDescent="0.3">
      <c r="C2196"/>
      <c r="D2196"/>
      <c r="R2196"/>
    </row>
    <row r="2197" spans="3:18" x14ac:dyDescent="0.3">
      <c r="C2197"/>
      <c r="D2197"/>
      <c r="R2197"/>
    </row>
    <row r="2198" spans="3:18" x14ac:dyDescent="0.3">
      <c r="C2198"/>
      <c r="D2198"/>
      <c r="R2198"/>
    </row>
    <row r="2199" spans="3:18" x14ac:dyDescent="0.3">
      <c r="C2199"/>
      <c r="D2199"/>
      <c r="R2199"/>
    </row>
    <row r="2200" spans="3:18" x14ac:dyDescent="0.3">
      <c r="C2200"/>
      <c r="D2200"/>
      <c r="R2200"/>
    </row>
    <row r="2201" spans="3:18" x14ac:dyDescent="0.3">
      <c r="C2201"/>
      <c r="D2201"/>
      <c r="R2201"/>
    </row>
    <row r="2202" spans="3:18" x14ac:dyDescent="0.3">
      <c r="C2202"/>
      <c r="D2202"/>
      <c r="R2202"/>
    </row>
    <row r="2203" spans="3:18" x14ac:dyDescent="0.3">
      <c r="C2203"/>
      <c r="D2203"/>
      <c r="R2203"/>
    </row>
    <row r="2204" spans="3:18" x14ac:dyDescent="0.3">
      <c r="C2204"/>
      <c r="D2204"/>
      <c r="R2204"/>
    </row>
    <row r="2205" spans="3:18" x14ac:dyDescent="0.3">
      <c r="C2205"/>
      <c r="D2205"/>
      <c r="R2205"/>
    </row>
    <row r="2206" spans="3:18" x14ac:dyDescent="0.3">
      <c r="C2206"/>
      <c r="D2206"/>
      <c r="R2206"/>
    </row>
    <row r="2207" spans="3:18" x14ac:dyDescent="0.3">
      <c r="C2207"/>
      <c r="D2207"/>
      <c r="R2207"/>
    </row>
    <row r="2208" spans="3:18" x14ac:dyDescent="0.3">
      <c r="C2208"/>
      <c r="D2208"/>
      <c r="R2208"/>
    </row>
    <row r="2209" spans="3:18" x14ac:dyDescent="0.3">
      <c r="C2209"/>
      <c r="D2209"/>
      <c r="R2209"/>
    </row>
    <row r="2210" spans="3:18" x14ac:dyDescent="0.3">
      <c r="C2210"/>
      <c r="D2210"/>
      <c r="R2210"/>
    </row>
    <row r="2211" spans="3:18" x14ac:dyDescent="0.3">
      <c r="C2211"/>
      <c r="D2211"/>
      <c r="R2211"/>
    </row>
    <row r="2212" spans="3:18" x14ac:dyDescent="0.3">
      <c r="C2212"/>
      <c r="D2212"/>
      <c r="R2212"/>
    </row>
    <row r="2213" spans="3:18" x14ac:dyDescent="0.3">
      <c r="C2213"/>
      <c r="D2213"/>
      <c r="R2213"/>
    </row>
    <row r="2214" spans="3:18" x14ac:dyDescent="0.3">
      <c r="C2214"/>
      <c r="D2214"/>
      <c r="R2214"/>
    </row>
    <row r="2215" spans="3:18" x14ac:dyDescent="0.3">
      <c r="C2215"/>
      <c r="D2215"/>
      <c r="R2215"/>
    </row>
    <row r="2216" spans="3:18" x14ac:dyDescent="0.3">
      <c r="C2216"/>
      <c r="D2216"/>
      <c r="R2216"/>
    </row>
    <row r="2217" spans="3:18" x14ac:dyDescent="0.3">
      <c r="C2217"/>
      <c r="D2217"/>
      <c r="R2217"/>
    </row>
    <row r="2218" spans="3:18" x14ac:dyDescent="0.3">
      <c r="C2218"/>
      <c r="D2218"/>
      <c r="R2218"/>
    </row>
    <row r="2219" spans="3:18" x14ac:dyDescent="0.3">
      <c r="C2219"/>
      <c r="D2219"/>
      <c r="R2219"/>
    </row>
    <row r="2220" spans="3:18" x14ac:dyDescent="0.3">
      <c r="C2220"/>
      <c r="D2220"/>
      <c r="R2220"/>
    </row>
    <row r="2221" spans="3:18" x14ac:dyDescent="0.3">
      <c r="C2221"/>
      <c r="D2221"/>
      <c r="R2221"/>
    </row>
    <row r="2222" spans="3:18" x14ac:dyDescent="0.3">
      <c r="C2222"/>
      <c r="D2222"/>
      <c r="R2222"/>
    </row>
    <row r="2223" spans="3:18" x14ac:dyDescent="0.3">
      <c r="C2223"/>
      <c r="D2223"/>
      <c r="R2223"/>
    </row>
    <row r="2224" spans="3:18" x14ac:dyDescent="0.3">
      <c r="C2224"/>
      <c r="D2224"/>
      <c r="R2224"/>
    </row>
    <row r="2225" spans="3:18" x14ac:dyDescent="0.3">
      <c r="C2225"/>
      <c r="D2225"/>
      <c r="R2225"/>
    </row>
    <row r="2226" spans="3:18" x14ac:dyDescent="0.3">
      <c r="C2226"/>
      <c r="D2226"/>
      <c r="R2226"/>
    </row>
    <row r="2227" spans="3:18" x14ac:dyDescent="0.3">
      <c r="C2227"/>
      <c r="D2227"/>
      <c r="R2227"/>
    </row>
    <row r="2228" spans="3:18" x14ac:dyDescent="0.3">
      <c r="C2228"/>
      <c r="D2228"/>
      <c r="R2228"/>
    </row>
    <row r="2229" spans="3:18" x14ac:dyDescent="0.3">
      <c r="C2229"/>
      <c r="D2229"/>
      <c r="R2229"/>
    </row>
    <row r="2230" spans="3:18" x14ac:dyDescent="0.3">
      <c r="C2230"/>
      <c r="D2230"/>
      <c r="R2230"/>
    </row>
    <row r="2231" spans="3:18" x14ac:dyDescent="0.3">
      <c r="C2231"/>
      <c r="D2231"/>
      <c r="R2231"/>
    </row>
    <row r="2232" spans="3:18" x14ac:dyDescent="0.3">
      <c r="C2232"/>
      <c r="D2232"/>
      <c r="R2232"/>
    </row>
    <row r="2233" spans="3:18" x14ac:dyDescent="0.3">
      <c r="C2233"/>
      <c r="D2233"/>
      <c r="R2233"/>
    </row>
    <row r="2234" spans="3:18" x14ac:dyDescent="0.3">
      <c r="C2234"/>
      <c r="D2234"/>
      <c r="R2234"/>
    </row>
    <row r="2235" spans="3:18" x14ac:dyDescent="0.3">
      <c r="C2235"/>
      <c r="D2235"/>
      <c r="R2235"/>
    </row>
    <row r="2236" spans="3:18" x14ac:dyDescent="0.3">
      <c r="C2236"/>
      <c r="D2236"/>
      <c r="R2236"/>
    </row>
    <row r="2237" spans="3:18" x14ac:dyDescent="0.3">
      <c r="C2237"/>
      <c r="D2237"/>
      <c r="R2237"/>
    </row>
    <row r="2238" spans="3:18" x14ac:dyDescent="0.3">
      <c r="C2238"/>
      <c r="D2238"/>
      <c r="R2238"/>
    </row>
    <row r="2239" spans="3:18" x14ac:dyDescent="0.3">
      <c r="C2239"/>
      <c r="D2239"/>
      <c r="R2239"/>
    </row>
    <row r="2240" spans="3:18" x14ac:dyDescent="0.3">
      <c r="C2240"/>
      <c r="D2240"/>
      <c r="R2240"/>
    </row>
    <row r="2241" spans="3:18" x14ac:dyDescent="0.3">
      <c r="C2241"/>
      <c r="D2241"/>
      <c r="R2241"/>
    </row>
    <row r="2242" spans="3:18" x14ac:dyDescent="0.3">
      <c r="C2242"/>
      <c r="D2242"/>
      <c r="R2242"/>
    </row>
    <row r="2243" spans="3:18" x14ac:dyDescent="0.3">
      <c r="C2243"/>
      <c r="D2243"/>
      <c r="R2243"/>
    </row>
    <row r="2244" spans="3:18" x14ac:dyDescent="0.3">
      <c r="C2244"/>
      <c r="D2244"/>
      <c r="R2244"/>
    </row>
    <row r="2245" spans="3:18" x14ac:dyDescent="0.3">
      <c r="C2245"/>
      <c r="D2245"/>
      <c r="R2245"/>
    </row>
    <row r="2246" spans="3:18" x14ac:dyDescent="0.3">
      <c r="C2246"/>
      <c r="D2246"/>
      <c r="R2246"/>
    </row>
    <row r="2247" spans="3:18" x14ac:dyDescent="0.3">
      <c r="C2247"/>
      <c r="D2247"/>
      <c r="R2247"/>
    </row>
    <row r="2248" spans="3:18" x14ac:dyDescent="0.3">
      <c r="C2248"/>
      <c r="D2248"/>
      <c r="R2248"/>
    </row>
    <row r="2249" spans="3:18" x14ac:dyDescent="0.3">
      <c r="C2249"/>
      <c r="D2249"/>
      <c r="R2249"/>
    </row>
    <row r="2250" spans="3:18" x14ac:dyDescent="0.3">
      <c r="C2250"/>
      <c r="D2250"/>
      <c r="R2250"/>
    </row>
    <row r="2251" spans="3:18" x14ac:dyDescent="0.3">
      <c r="C2251"/>
      <c r="D2251"/>
      <c r="R2251"/>
    </row>
    <row r="2252" spans="3:18" x14ac:dyDescent="0.3">
      <c r="C2252"/>
      <c r="D2252"/>
      <c r="R2252"/>
    </row>
    <row r="2253" spans="3:18" x14ac:dyDescent="0.3">
      <c r="C2253"/>
      <c r="D2253"/>
      <c r="R2253"/>
    </row>
    <row r="2254" spans="3:18" x14ac:dyDescent="0.3">
      <c r="C2254"/>
      <c r="D2254"/>
      <c r="R2254"/>
    </row>
    <row r="2255" spans="3:18" x14ac:dyDescent="0.3">
      <c r="C2255"/>
      <c r="D2255"/>
      <c r="R2255"/>
    </row>
    <row r="2256" spans="3:18" x14ac:dyDescent="0.3">
      <c r="C2256"/>
      <c r="D2256"/>
      <c r="R2256"/>
    </row>
    <row r="2257" spans="3:18" x14ac:dyDescent="0.3">
      <c r="C2257"/>
      <c r="D2257"/>
      <c r="R2257"/>
    </row>
    <row r="2258" spans="3:18" x14ac:dyDescent="0.3">
      <c r="C2258"/>
      <c r="D2258"/>
      <c r="R2258"/>
    </row>
    <row r="2259" spans="3:18" x14ac:dyDescent="0.3">
      <c r="C2259"/>
      <c r="D2259"/>
      <c r="R2259"/>
    </row>
    <row r="2260" spans="3:18" x14ac:dyDescent="0.3">
      <c r="C2260"/>
      <c r="D2260"/>
      <c r="R2260"/>
    </row>
    <row r="2261" spans="3:18" x14ac:dyDescent="0.3">
      <c r="C2261"/>
      <c r="D2261"/>
      <c r="R2261"/>
    </row>
    <row r="2262" spans="3:18" x14ac:dyDescent="0.3">
      <c r="C2262"/>
      <c r="D2262"/>
      <c r="R2262"/>
    </row>
    <row r="2263" spans="3:18" x14ac:dyDescent="0.3">
      <c r="C2263"/>
      <c r="D2263"/>
      <c r="R2263"/>
    </row>
    <row r="2264" spans="3:18" x14ac:dyDescent="0.3">
      <c r="C2264"/>
      <c r="D2264"/>
      <c r="R2264"/>
    </row>
    <row r="2265" spans="3:18" x14ac:dyDescent="0.3">
      <c r="C2265"/>
      <c r="D2265"/>
      <c r="R2265"/>
    </row>
    <row r="2266" spans="3:18" x14ac:dyDescent="0.3">
      <c r="C2266"/>
      <c r="D2266"/>
      <c r="R2266"/>
    </row>
    <row r="2267" spans="3:18" x14ac:dyDescent="0.3">
      <c r="C2267"/>
      <c r="D2267"/>
      <c r="R2267"/>
    </row>
    <row r="2268" spans="3:18" x14ac:dyDescent="0.3">
      <c r="C2268"/>
      <c r="D2268"/>
      <c r="R2268"/>
    </row>
    <row r="2269" spans="3:18" x14ac:dyDescent="0.3">
      <c r="C2269"/>
      <c r="D2269"/>
      <c r="R2269"/>
    </row>
    <row r="2270" spans="3:18" x14ac:dyDescent="0.3">
      <c r="C2270"/>
      <c r="D2270"/>
      <c r="R2270"/>
    </row>
    <row r="2271" spans="3:18" x14ac:dyDescent="0.3">
      <c r="C2271"/>
      <c r="D2271"/>
      <c r="R2271"/>
    </row>
    <row r="2272" spans="3:18" x14ac:dyDescent="0.3">
      <c r="C2272"/>
      <c r="D2272"/>
      <c r="R2272"/>
    </row>
    <row r="2273" spans="3:18" x14ac:dyDescent="0.3">
      <c r="C2273"/>
      <c r="D2273"/>
      <c r="R2273"/>
    </row>
    <row r="2274" spans="3:18" x14ac:dyDescent="0.3">
      <c r="C2274"/>
      <c r="D2274"/>
      <c r="R2274"/>
    </row>
    <row r="2275" spans="3:18" x14ac:dyDescent="0.3">
      <c r="C2275"/>
      <c r="D2275"/>
      <c r="R2275"/>
    </row>
    <row r="2276" spans="3:18" x14ac:dyDescent="0.3">
      <c r="C2276"/>
      <c r="D2276"/>
      <c r="R2276"/>
    </row>
    <row r="2277" spans="3:18" x14ac:dyDescent="0.3">
      <c r="C2277"/>
      <c r="D2277"/>
      <c r="R2277"/>
    </row>
    <row r="2278" spans="3:18" x14ac:dyDescent="0.3">
      <c r="C2278"/>
      <c r="D2278"/>
      <c r="R2278"/>
    </row>
    <row r="2279" spans="3:18" x14ac:dyDescent="0.3">
      <c r="C2279"/>
      <c r="D2279"/>
      <c r="R2279"/>
    </row>
    <row r="2280" spans="3:18" x14ac:dyDescent="0.3">
      <c r="C2280"/>
      <c r="D2280"/>
      <c r="R2280"/>
    </row>
    <row r="2281" spans="3:18" x14ac:dyDescent="0.3">
      <c r="C2281"/>
      <c r="D2281"/>
      <c r="R2281"/>
    </row>
    <row r="2282" spans="3:18" x14ac:dyDescent="0.3">
      <c r="C2282"/>
      <c r="D2282"/>
      <c r="R2282"/>
    </row>
    <row r="2283" spans="3:18" x14ac:dyDescent="0.3">
      <c r="C2283"/>
      <c r="D2283"/>
      <c r="R2283"/>
    </row>
    <row r="2284" spans="3:18" x14ac:dyDescent="0.3">
      <c r="C2284"/>
      <c r="D2284"/>
      <c r="R2284"/>
    </row>
    <row r="2285" spans="3:18" x14ac:dyDescent="0.3">
      <c r="C2285"/>
      <c r="D2285"/>
      <c r="R2285"/>
    </row>
    <row r="2286" spans="3:18" x14ac:dyDescent="0.3">
      <c r="C2286"/>
      <c r="D2286"/>
      <c r="R2286"/>
    </row>
    <row r="2287" spans="3:18" x14ac:dyDescent="0.3">
      <c r="C2287"/>
      <c r="D2287"/>
      <c r="R2287"/>
    </row>
    <row r="2288" spans="3:18" x14ac:dyDescent="0.3">
      <c r="C2288"/>
      <c r="D2288"/>
      <c r="R2288"/>
    </row>
    <row r="2289" spans="3:18" x14ac:dyDescent="0.3">
      <c r="C2289"/>
      <c r="D2289"/>
      <c r="R2289"/>
    </row>
    <row r="2290" spans="3:18" x14ac:dyDescent="0.3">
      <c r="C2290"/>
      <c r="D2290"/>
      <c r="R2290"/>
    </row>
    <row r="2291" spans="3:18" x14ac:dyDescent="0.3">
      <c r="C2291"/>
      <c r="D2291"/>
      <c r="R2291"/>
    </row>
    <row r="2292" spans="3:18" x14ac:dyDescent="0.3">
      <c r="C2292"/>
      <c r="D2292"/>
      <c r="R2292"/>
    </row>
    <row r="2293" spans="3:18" x14ac:dyDescent="0.3">
      <c r="C2293"/>
      <c r="D2293"/>
      <c r="R2293"/>
    </row>
    <row r="2294" spans="3:18" x14ac:dyDescent="0.3">
      <c r="C2294"/>
      <c r="D2294"/>
      <c r="R2294"/>
    </row>
    <row r="2295" spans="3:18" x14ac:dyDescent="0.3">
      <c r="C2295"/>
      <c r="D2295"/>
      <c r="R2295"/>
    </row>
    <row r="2296" spans="3:18" x14ac:dyDescent="0.3">
      <c r="C2296"/>
      <c r="D2296"/>
      <c r="R2296"/>
    </row>
    <row r="2297" spans="3:18" x14ac:dyDescent="0.3">
      <c r="C2297"/>
      <c r="D2297"/>
      <c r="R2297"/>
    </row>
    <row r="2298" spans="3:18" x14ac:dyDescent="0.3">
      <c r="C2298"/>
      <c r="D2298"/>
      <c r="R2298"/>
    </row>
    <row r="2299" spans="3:18" x14ac:dyDescent="0.3">
      <c r="C2299"/>
      <c r="D2299"/>
      <c r="R2299"/>
    </row>
    <row r="2300" spans="3:18" x14ac:dyDescent="0.3">
      <c r="C2300"/>
      <c r="D2300"/>
      <c r="R2300"/>
    </row>
    <row r="2301" spans="3:18" x14ac:dyDescent="0.3">
      <c r="C2301"/>
      <c r="D2301"/>
      <c r="R2301"/>
    </row>
    <row r="2302" spans="3:18" x14ac:dyDescent="0.3">
      <c r="C2302"/>
      <c r="D2302"/>
      <c r="R2302"/>
    </row>
    <row r="2303" spans="3:18" x14ac:dyDescent="0.3">
      <c r="C2303"/>
      <c r="D2303"/>
      <c r="R2303"/>
    </row>
    <row r="2304" spans="3:18" x14ac:dyDescent="0.3">
      <c r="C2304"/>
      <c r="D2304"/>
      <c r="R2304"/>
    </row>
    <row r="2305" spans="3:18" x14ac:dyDescent="0.3">
      <c r="C2305"/>
      <c r="D2305"/>
      <c r="R2305"/>
    </row>
    <row r="2306" spans="3:18" x14ac:dyDescent="0.3">
      <c r="C2306"/>
      <c r="D2306"/>
      <c r="R2306"/>
    </row>
    <row r="2307" spans="3:18" x14ac:dyDescent="0.3">
      <c r="C2307"/>
      <c r="D2307"/>
      <c r="R2307"/>
    </row>
    <row r="2308" spans="3:18" x14ac:dyDescent="0.3">
      <c r="C2308"/>
      <c r="D2308"/>
      <c r="R2308"/>
    </row>
    <row r="2309" spans="3:18" x14ac:dyDescent="0.3">
      <c r="C2309"/>
      <c r="D2309"/>
      <c r="R2309"/>
    </row>
    <row r="2310" spans="3:18" x14ac:dyDescent="0.3">
      <c r="C2310"/>
      <c r="D2310"/>
      <c r="R2310"/>
    </row>
    <row r="2311" spans="3:18" x14ac:dyDescent="0.3">
      <c r="C2311"/>
      <c r="D2311"/>
      <c r="R2311"/>
    </row>
    <row r="2312" spans="3:18" x14ac:dyDescent="0.3">
      <c r="C2312"/>
      <c r="D2312"/>
      <c r="R2312"/>
    </row>
    <row r="2313" spans="3:18" x14ac:dyDescent="0.3">
      <c r="C2313"/>
      <c r="D2313"/>
      <c r="R2313"/>
    </row>
    <row r="2314" spans="3:18" x14ac:dyDescent="0.3">
      <c r="C2314"/>
      <c r="D2314"/>
      <c r="R2314"/>
    </row>
    <row r="2315" spans="3:18" x14ac:dyDescent="0.3">
      <c r="C2315"/>
      <c r="D2315"/>
      <c r="R2315"/>
    </row>
    <row r="2316" spans="3:18" x14ac:dyDescent="0.3">
      <c r="C2316"/>
      <c r="D2316"/>
      <c r="R2316"/>
    </row>
    <row r="2317" spans="3:18" x14ac:dyDescent="0.3">
      <c r="C2317"/>
      <c r="D2317"/>
      <c r="R2317"/>
    </row>
    <row r="2318" spans="3:18" x14ac:dyDescent="0.3">
      <c r="C2318"/>
      <c r="D2318"/>
      <c r="R2318"/>
    </row>
    <row r="2319" spans="3:18" x14ac:dyDescent="0.3">
      <c r="C2319"/>
      <c r="D2319"/>
      <c r="R2319"/>
    </row>
    <row r="2320" spans="3:18" x14ac:dyDescent="0.3">
      <c r="C2320"/>
      <c r="D2320"/>
      <c r="R2320"/>
    </row>
    <row r="2321" spans="3:18" x14ac:dyDescent="0.3">
      <c r="C2321"/>
      <c r="D2321"/>
      <c r="R2321"/>
    </row>
    <row r="2322" spans="3:18" x14ac:dyDescent="0.3">
      <c r="C2322"/>
      <c r="D2322"/>
      <c r="R2322"/>
    </row>
    <row r="2323" spans="3:18" x14ac:dyDescent="0.3">
      <c r="C2323"/>
      <c r="D2323"/>
      <c r="R2323"/>
    </row>
    <row r="2324" spans="3:18" x14ac:dyDescent="0.3">
      <c r="C2324"/>
      <c r="D2324"/>
      <c r="R2324"/>
    </row>
    <row r="2325" spans="3:18" x14ac:dyDescent="0.3">
      <c r="C2325"/>
      <c r="D2325"/>
      <c r="R2325"/>
    </row>
    <row r="2326" spans="3:18" x14ac:dyDescent="0.3">
      <c r="C2326"/>
      <c r="D2326"/>
      <c r="R2326"/>
    </row>
    <row r="2327" spans="3:18" x14ac:dyDescent="0.3">
      <c r="C2327"/>
      <c r="D2327"/>
      <c r="R2327"/>
    </row>
    <row r="2328" spans="3:18" x14ac:dyDescent="0.3">
      <c r="C2328"/>
      <c r="D2328"/>
      <c r="R2328"/>
    </row>
    <row r="2329" spans="3:18" x14ac:dyDescent="0.3">
      <c r="C2329"/>
      <c r="D2329"/>
      <c r="R2329"/>
    </row>
    <row r="2330" spans="3:18" x14ac:dyDescent="0.3">
      <c r="C2330"/>
      <c r="D2330"/>
      <c r="R2330"/>
    </row>
    <row r="2331" spans="3:18" x14ac:dyDescent="0.3">
      <c r="C2331"/>
      <c r="D2331"/>
      <c r="R2331"/>
    </row>
    <row r="2332" spans="3:18" x14ac:dyDescent="0.3">
      <c r="C2332"/>
      <c r="D2332"/>
      <c r="R2332"/>
    </row>
    <row r="2333" spans="3:18" x14ac:dyDescent="0.3">
      <c r="C2333"/>
      <c r="D2333"/>
      <c r="R2333"/>
    </row>
    <row r="2334" spans="3:18" x14ac:dyDescent="0.3">
      <c r="C2334"/>
      <c r="D2334"/>
      <c r="R2334"/>
    </row>
    <row r="2335" spans="3:18" x14ac:dyDescent="0.3">
      <c r="C2335"/>
      <c r="D2335"/>
      <c r="R2335"/>
    </row>
    <row r="2336" spans="3:18" x14ac:dyDescent="0.3">
      <c r="C2336"/>
      <c r="D2336"/>
      <c r="R2336"/>
    </row>
    <row r="2337" spans="3:18" x14ac:dyDescent="0.3">
      <c r="C2337"/>
      <c r="D2337"/>
      <c r="R2337"/>
    </row>
    <row r="2338" spans="3:18" x14ac:dyDescent="0.3">
      <c r="C2338"/>
      <c r="D2338"/>
      <c r="R2338"/>
    </row>
    <row r="2339" spans="3:18" x14ac:dyDescent="0.3">
      <c r="C2339"/>
      <c r="D2339"/>
      <c r="R2339"/>
    </row>
    <row r="2340" spans="3:18" x14ac:dyDescent="0.3">
      <c r="C2340"/>
      <c r="D2340"/>
      <c r="R2340"/>
    </row>
    <row r="2341" spans="3:18" x14ac:dyDescent="0.3">
      <c r="C2341"/>
      <c r="D2341"/>
      <c r="R2341"/>
    </row>
    <row r="2342" spans="3:18" x14ac:dyDescent="0.3">
      <c r="C2342"/>
      <c r="D2342"/>
      <c r="R2342"/>
    </row>
    <row r="2343" spans="3:18" x14ac:dyDescent="0.3">
      <c r="C2343"/>
      <c r="D2343"/>
      <c r="R2343"/>
    </row>
    <row r="2344" spans="3:18" x14ac:dyDescent="0.3">
      <c r="C2344"/>
      <c r="D2344"/>
      <c r="R2344"/>
    </row>
    <row r="2345" spans="3:18" x14ac:dyDescent="0.3">
      <c r="C2345"/>
      <c r="D2345"/>
      <c r="R2345"/>
    </row>
    <row r="2346" spans="3:18" x14ac:dyDescent="0.3">
      <c r="C2346"/>
      <c r="D2346"/>
      <c r="R2346"/>
    </row>
    <row r="2347" spans="3:18" x14ac:dyDescent="0.3">
      <c r="C2347"/>
      <c r="D2347"/>
      <c r="R2347"/>
    </row>
    <row r="2348" spans="3:18" x14ac:dyDescent="0.3">
      <c r="C2348"/>
      <c r="D2348"/>
      <c r="R2348"/>
    </row>
    <row r="2349" spans="3:18" x14ac:dyDescent="0.3">
      <c r="C2349"/>
      <c r="D2349"/>
      <c r="R2349"/>
    </row>
    <row r="2350" spans="3:18" x14ac:dyDescent="0.3">
      <c r="C2350"/>
      <c r="D2350"/>
      <c r="R2350"/>
    </row>
    <row r="2351" spans="3:18" x14ac:dyDescent="0.3">
      <c r="C2351"/>
      <c r="D2351"/>
      <c r="R2351"/>
    </row>
    <row r="2352" spans="3:18" x14ac:dyDescent="0.3">
      <c r="C2352"/>
      <c r="D2352"/>
      <c r="R2352"/>
    </row>
    <row r="2353" spans="3:18" x14ac:dyDescent="0.3">
      <c r="C2353"/>
      <c r="D2353"/>
      <c r="R2353"/>
    </row>
    <row r="2354" spans="3:18" x14ac:dyDescent="0.3">
      <c r="C2354"/>
      <c r="D2354"/>
      <c r="R2354"/>
    </row>
    <row r="2355" spans="3:18" x14ac:dyDescent="0.3">
      <c r="C2355"/>
      <c r="D2355"/>
      <c r="R2355"/>
    </row>
    <row r="2356" spans="3:18" x14ac:dyDescent="0.3">
      <c r="C2356"/>
      <c r="D2356"/>
      <c r="R2356"/>
    </row>
    <row r="2357" spans="3:18" x14ac:dyDescent="0.3">
      <c r="C2357"/>
      <c r="D2357"/>
      <c r="R2357"/>
    </row>
    <row r="2358" spans="3:18" x14ac:dyDescent="0.3">
      <c r="C2358"/>
      <c r="D2358"/>
      <c r="R2358"/>
    </row>
    <row r="2359" spans="3:18" x14ac:dyDescent="0.3">
      <c r="C2359"/>
      <c r="D2359"/>
      <c r="R2359"/>
    </row>
    <row r="2360" spans="3:18" x14ac:dyDescent="0.3">
      <c r="C2360"/>
      <c r="D2360"/>
      <c r="R2360"/>
    </row>
    <row r="2361" spans="3:18" x14ac:dyDescent="0.3">
      <c r="C2361"/>
      <c r="D2361"/>
      <c r="R2361"/>
    </row>
    <row r="2362" spans="3:18" x14ac:dyDescent="0.3">
      <c r="C2362"/>
      <c r="D2362"/>
      <c r="R2362"/>
    </row>
    <row r="2363" spans="3:18" x14ac:dyDescent="0.3">
      <c r="C2363"/>
      <c r="D2363"/>
      <c r="R2363"/>
    </row>
    <row r="2364" spans="3:18" x14ac:dyDescent="0.3">
      <c r="C2364"/>
      <c r="D2364"/>
      <c r="R2364"/>
    </row>
    <row r="2365" spans="3:18" x14ac:dyDescent="0.3">
      <c r="C2365"/>
      <c r="D2365"/>
      <c r="R2365"/>
    </row>
    <row r="2366" spans="3:18" x14ac:dyDescent="0.3">
      <c r="C2366"/>
      <c r="D2366"/>
      <c r="R2366"/>
    </row>
    <row r="2367" spans="3:18" x14ac:dyDescent="0.3">
      <c r="C2367"/>
      <c r="D2367"/>
      <c r="R2367"/>
    </row>
    <row r="2368" spans="3:18" x14ac:dyDescent="0.3">
      <c r="C2368"/>
      <c r="D2368"/>
      <c r="R2368"/>
    </row>
    <row r="2369" spans="3:18" x14ac:dyDescent="0.3">
      <c r="C2369"/>
      <c r="D2369"/>
      <c r="R2369"/>
    </row>
    <row r="2370" spans="3:18" x14ac:dyDescent="0.3">
      <c r="C2370"/>
      <c r="D2370"/>
      <c r="R2370"/>
    </row>
    <row r="2371" spans="3:18" x14ac:dyDescent="0.3">
      <c r="C2371"/>
      <c r="D2371"/>
      <c r="R2371"/>
    </row>
    <row r="2372" spans="3:18" x14ac:dyDescent="0.3">
      <c r="C2372"/>
      <c r="D2372"/>
      <c r="R2372"/>
    </row>
    <row r="2373" spans="3:18" x14ac:dyDescent="0.3">
      <c r="C2373"/>
      <c r="D2373"/>
      <c r="R2373"/>
    </row>
    <row r="2374" spans="3:18" x14ac:dyDescent="0.3">
      <c r="C2374"/>
      <c r="D2374"/>
      <c r="R2374"/>
    </row>
    <row r="2375" spans="3:18" x14ac:dyDescent="0.3">
      <c r="C2375"/>
      <c r="D2375"/>
      <c r="R2375"/>
    </row>
    <row r="2376" spans="3:18" x14ac:dyDescent="0.3">
      <c r="C2376"/>
      <c r="D2376"/>
      <c r="R2376"/>
    </row>
    <row r="2377" spans="3:18" x14ac:dyDescent="0.3">
      <c r="C2377"/>
      <c r="D2377"/>
      <c r="R2377"/>
    </row>
    <row r="2378" spans="3:18" x14ac:dyDescent="0.3">
      <c r="C2378"/>
      <c r="D2378"/>
      <c r="R2378"/>
    </row>
    <row r="2379" spans="3:18" x14ac:dyDescent="0.3">
      <c r="C2379"/>
      <c r="D2379"/>
      <c r="R2379"/>
    </row>
    <row r="2380" spans="3:18" x14ac:dyDescent="0.3">
      <c r="C2380"/>
      <c r="D2380"/>
      <c r="R2380"/>
    </row>
    <row r="2381" spans="3:18" x14ac:dyDescent="0.3">
      <c r="C2381"/>
      <c r="D2381"/>
      <c r="R2381"/>
    </row>
    <row r="2382" spans="3:18" x14ac:dyDescent="0.3">
      <c r="C2382"/>
      <c r="D2382"/>
      <c r="R2382"/>
    </row>
    <row r="2383" spans="3:18" x14ac:dyDescent="0.3">
      <c r="C2383"/>
      <c r="D2383"/>
      <c r="R2383"/>
    </row>
    <row r="2384" spans="3:18" x14ac:dyDescent="0.3">
      <c r="C2384"/>
      <c r="D2384"/>
      <c r="R2384"/>
    </row>
    <row r="2385" spans="3:18" x14ac:dyDescent="0.3">
      <c r="C2385"/>
      <c r="D2385"/>
      <c r="R2385"/>
    </row>
    <row r="2386" spans="3:18" x14ac:dyDescent="0.3">
      <c r="C2386"/>
      <c r="D2386"/>
      <c r="R2386"/>
    </row>
    <row r="2387" spans="3:18" x14ac:dyDescent="0.3">
      <c r="C2387"/>
      <c r="D2387"/>
      <c r="R2387"/>
    </row>
    <row r="2388" spans="3:18" x14ac:dyDescent="0.3">
      <c r="C2388"/>
      <c r="D2388"/>
      <c r="R2388"/>
    </row>
    <row r="2389" spans="3:18" x14ac:dyDescent="0.3">
      <c r="C2389"/>
      <c r="D2389"/>
      <c r="R2389"/>
    </row>
    <row r="2390" spans="3:18" x14ac:dyDescent="0.3">
      <c r="C2390"/>
      <c r="D2390"/>
      <c r="R2390"/>
    </row>
    <row r="2391" spans="3:18" x14ac:dyDescent="0.3">
      <c r="C2391"/>
      <c r="D2391"/>
      <c r="R2391"/>
    </row>
    <row r="2392" spans="3:18" x14ac:dyDescent="0.3">
      <c r="C2392"/>
      <c r="D2392"/>
      <c r="R2392"/>
    </row>
    <row r="2393" spans="3:18" x14ac:dyDescent="0.3">
      <c r="C2393"/>
      <c r="D2393"/>
      <c r="R2393"/>
    </row>
    <row r="2394" spans="3:18" x14ac:dyDescent="0.3">
      <c r="C2394"/>
      <c r="D2394"/>
      <c r="R2394"/>
    </row>
    <row r="2395" spans="3:18" x14ac:dyDescent="0.3">
      <c r="C2395"/>
      <c r="D2395"/>
      <c r="R2395"/>
    </row>
    <row r="2396" spans="3:18" x14ac:dyDescent="0.3">
      <c r="C2396"/>
      <c r="D2396"/>
      <c r="R2396"/>
    </row>
    <row r="2397" spans="3:18" x14ac:dyDescent="0.3">
      <c r="C2397"/>
      <c r="D2397"/>
      <c r="R2397"/>
    </row>
    <row r="2398" spans="3:18" x14ac:dyDescent="0.3">
      <c r="C2398"/>
      <c r="D2398"/>
      <c r="R2398"/>
    </row>
    <row r="2399" spans="3:18" x14ac:dyDescent="0.3">
      <c r="C2399"/>
      <c r="D2399"/>
      <c r="R2399"/>
    </row>
    <row r="2400" spans="3:18" x14ac:dyDescent="0.3">
      <c r="C2400"/>
      <c r="D2400"/>
      <c r="R2400"/>
    </row>
    <row r="2401" spans="3:18" x14ac:dyDescent="0.3">
      <c r="C2401"/>
      <c r="D2401"/>
      <c r="R2401"/>
    </row>
    <row r="2402" spans="3:18" x14ac:dyDescent="0.3">
      <c r="C2402"/>
      <c r="D2402"/>
      <c r="R2402"/>
    </row>
    <row r="2403" spans="3:18" x14ac:dyDescent="0.3">
      <c r="C2403"/>
      <c r="D2403"/>
      <c r="R2403"/>
    </row>
    <row r="2404" spans="3:18" x14ac:dyDescent="0.3">
      <c r="C2404"/>
      <c r="D2404"/>
      <c r="R2404"/>
    </row>
    <row r="2405" spans="3:18" x14ac:dyDescent="0.3">
      <c r="C2405"/>
      <c r="D2405"/>
      <c r="R2405"/>
    </row>
    <row r="2406" spans="3:18" x14ac:dyDescent="0.3">
      <c r="C2406"/>
      <c r="D2406"/>
      <c r="R2406"/>
    </row>
    <row r="2407" spans="3:18" x14ac:dyDescent="0.3">
      <c r="C2407"/>
      <c r="D2407"/>
      <c r="R2407"/>
    </row>
    <row r="2408" spans="3:18" x14ac:dyDescent="0.3">
      <c r="C2408"/>
      <c r="D2408"/>
      <c r="R2408"/>
    </row>
    <row r="2409" spans="3:18" x14ac:dyDescent="0.3">
      <c r="C2409"/>
      <c r="D2409"/>
      <c r="R2409"/>
    </row>
    <row r="2410" spans="3:18" x14ac:dyDescent="0.3">
      <c r="C2410"/>
      <c r="D2410"/>
      <c r="R2410"/>
    </row>
    <row r="2411" spans="3:18" x14ac:dyDescent="0.3">
      <c r="C2411"/>
      <c r="D2411"/>
      <c r="R2411"/>
    </row>
    <row r="2412" spans="3:18" x14ac:dyDescent="0.3">
      <c r="C2412"/>
      <c r="D2412"/>
      <c r="R2412"/>
    </row>
    <row r="2413" spans="3:18" x14ac:dyDescent="0.3">
      <c r="C2413"/>
      <c r="D2413"/>
      <c r="R2413"/>
    </row>
    <row r="2414" spans="3:18" x14ac:dyDescent="0.3">
      <c r="C2414"/>
      <c r="D2414"/>
      <c r="R2414"/>
    </row>
    <row r="2415" spans="3:18" x14ac:dyDescent="0.3">
      <c r="C2415"/>
      <c r="D2415"/>
      <c r="R2415"/>
    </row>
    <row r="2416" spans="3:18" x14ac:dyDescent="0.3">
      <c r="C2416"/>
      <c r="D2416"/>
      <c r="R2416"/>
    </row>
    <row r="2417" spans="3:18" x14ac:dyDescent="0.3">
      <c r="C2417"/>
      <c r="D2417"/>
      <c r="R2417"/>
    </row>
    <row r="2418" spans="3:18" x14ac:dyDescent="0.3">
      <c r="C2418"/>
      <c r="D2418"/>
      <c r="R2418"/>
    </row>
    <row r="2419" spans="3:18" x14ac:dyDescent="0.3">
      <c r="C2419"/>
      <c r="D2419"/>
      <c r="R2419"/>
    </row>
    <row r="2420" spans="3:18" x14ac:dyDescent="0.3">
      <c r="C2420"/>
      <c r="D2420"/>
      <c r="R2420"/>
    </row>
    <row r="2421" spans="3:18" x14ac:dyDescent="0.3">
      <c r="C2421"/>
      <c r="D2421"/>
      <c r="R2421"/>
    </row>
    <row r="2422" spans="3:18" x14ac:dyDescent="0.3">
      <c r="C2422"/>
      <c r="D2422"/>
      <c r="R2422"/>
    </row>
    <row r="2423" spans="3:18" x14ac:dyDescent="0.3">
      <c r="C2423"/>
      <c r="D2423"/>
      <c r="R2423"/>
    </row>
    <row r="2424" spans="3:18" x14ac:dyDescent="0.3">
      <c r="C2424"/>
      <c r="D2424"/>
      <c r="R2424"/>
    </row>
    <row r="2425" spans="3:18" x14ac:dyDescent="0.3">
      <c r="C2425"/>
      <c r="D2425"/>
      <c r="R2425"/>
    </row>
    <row r="2426" spans="3:18" x14ac:dyDescent="0.3">
      <c r="C2426"/>
      <c r="D2426"/>
      <c r="R2426"/>
    </row>
    <row r="2427" spans="3:18" x14ac:dyDescent="0.3">
      <c r="C2427"/>
      <c r="D2427"/>
      <c r="R2427"/>
    </row>
    <row r="2428" spans="3:18" x14ac:dyDescent="0.3">
      <c r="C2428"/>
      <c r="D2428"/>
      <c r="R2428"/>
    </row>
  </sheetData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011B3-4CF9-4C52-9077-B7057E092186}">
  <sheetPr codeName="Foglio11"/>
  <dimension ref="A1:BO115"/>
  <sheetViews>
    <sheetView topLeftCell="W1" workbookViewId="0">
      <selection activeCell="AK21" sqref="AK21"/>
    </sheetView>
  </sheetViews>
  <sheetFormatPr defaultRowHeight="14.4" x14ac:dyDescent="0.3"/>
  <cols>
    <col min="1" max="1" width="22" customWidth="1"/>
    <col min="2" max="2" width="4" style="8" customWidth="1"/>
    <col min="3" max="3" width="4.6640625" style="8" customWidth="1"/>
    <col min="4" max="7" width="6.33203125" style="8" customWidth="1"/>
    <col min="8" max="8" width="4" style="234" customWidth="1"/>
    <col min="9" max="9" width="8.33203125" style="8" customWidth="1"/>
    <col min="10" max="10" width="6" style="10" customWidth="1"/>
    <col min="11" max="11" width="6" style="8" customWidth="1"/>
    <col min="12" max="12" width="8.44140625" style="10" customWidth="1"/>
    <col min="13" max="13" width="3.6640625" style="234" customWidth="1"/>
    <col min="14" max="14" width="6.33203125" style="8" customWidth="1"/>
    <col min="15" max="15" width="6.33203125" style="10" customWidth="1"/>
    <col min="16" max="16" width="6.33203125" customWidth="1"/>
    <col min="17" max="17" width="6.33203125" style="9" customWidth="1"/>
    <col min="18" max="18" width="3.5546875" style="241" customWidth="1"/>
    <col min="19" max="19" width="5.5546875" style="8" customWidth="1"/>
    <col min="20" max="20" width="5.5546875" style="10" customWidth="1"/>
    <col min="21" max="21" width="5.5546875" style="8" customWidth="1"/>
    <col min="22" max="22" width="5.5546875" style="10" customWidth="1"/>
    <col min="23" max="23" width="3.5546875" style="234" customWidth="1"/>
    <col min="24" max="24" width="5.5546875" style="8" customWidth="1"/>
    <col min="25" max="25" width="5.5546875" style="10" customWidth="1"/>
    <col min="26" max="26" width="5.5546875" style="8" customWidth="1"/>
    <col min="27" max="27" width="5.5546875" style="10" customWidth="1"/>
    <col min="28" max="28" width="5" customWidth="1"/>
    <col min="29" max="29" width="18.44140625" customWidth="1"/>
    <col min="30" max="67" width="3.33203125" customWidth="1"/>
    <col min="80" max="80" width="8.6640625" customWidth="1"/>
  </cols>
  <sheetData>
    <row r="1" spans="1:67" x14ac:dyDescent="0.3">
      <c r="AD1" s="386"/>
      <c r="AE1" s="386"/>
      <c r="AF1" s="219"/>
      <c r="AG1" s="219"/>
      <c r="AH1" s="219"/>
      <c r="AI1" s="219"/>
      <c r="AJ1" s="220"/>
      <c r="AK1" s="220"/>
      <c r="AL1" s="220"/>
      <c r="AM1" s="220"/>
      <c r="AN1" s="220"/>
      <c r="AO1" s="217"/>
      <c r="AP1" s="217"/>
      <c r="AQ1" s="217"/>
      <c r="AR1" s="217"/>
      <c r="AS1" s="217"/>
      <c r="AT1" s="217"/>
      <c r="AU1" s="217"/>
      <c r="AV1" s="217"/>
      <c r="AW1" s="217"/>
      <c r="AX1" s="217"/>
      <c r="AY1" s="217"/>
      <c r="AZ1" s="217"/>
      <c r="BA1" s="217"/>
      <c r="BB1" s="217"/>
      <c r="BC1" s="217"/>
      <c r="BD1" s="217"/>
      <c r="BE1" s="217"/>
      <c r="BF1" s="217"/>
      <c r="BG1" s="217"/>
      <c r="BH1" s="217"/>
      <c r="BI1" s="217"/>
      <c r="BJ1" s="217"/>
      <c r="BK1" s="217"/>
      <c r="BL1" s="217"/>
      <c r="BM1" s="217"/>
      <c r="BN1" s="217"/>
      <c r="BO1" s="217"/>
    </row>
    <row r="2" spans="1:67" x14ac:dyDescent="0.3">
      <c r="F2" s="463" t="s">
        <v>387</v>
      </c>
      <c r="G2" s="463"/>
      <c r="H2" s="463"/>
      <c r="I2" s="463"/>
      <c r="J2" s="463"/>
      <c r="K2" s="464" t="s">
        <v>388</v>
      </c>
      <c r="L2" s="464"/>
      <c r="M2" s="464"/>
      <c r="N2" s="464"/>
      <c r="O2" s="464"/>
      <c r="AD2" s="386">
        <v>1</v>
      </c>
      <c r="AE2" s="386">
        <v>2</v>
      </c>
      <c r="AF2" s="219">
        <v>3</v>
      </c>
      <c r="AG2" s="219">
        <v>4</v>
      </c>
      <c r="AH2" s="219">
        <v>5</v>
      </c>
      <c r="AI2" s="219">
        <v>6</v>
      </c>
      <c r="AJ2" s="220">
        <v>7</v>
      </c>
      <c r="AK2" s="220">
        <v>8</v>
      </c>
      <c r="AL2" s="220">
        <v>9</v>
      </c>
      <c r="AM2" s="220">
        <v>10</v>
      </c>
      <c r="AN2" s="220">
        <v>11</v>
      </c>
      <c r="AO2" s="220">
        <v>12</v>
      </c>
      <c r="AP2" s="220">
        <v>13</v>
      </c>
      <c r="AQ2" s="220">
        <v>14</v>
      </c>
      <c r="AR2" s="220">
        <v>15</v>
      </c>
      <c r="AS2" s="220">
        <v>16</v>
      </c>
      <c r="AT2" s="220">
        <v>17</v>
      </c>
      <c r="AU2" s="220">
        <v>18</v>
      </c>
      <c r="AV2" s="220">
        <v>19</v>
      </c>
      <c r="AW2" s="220">
        <v>20</v>
      </c>
      <c r="AX2" s="220">
        <v>21</v>
      </c>
      <c r="AY2" s="220">
        <v>22</v>
      </c>
      <c r="AZ2" s="220">
        <v>23</v>
      </c>
      <c r="BA2" s="220">
        <v>24</v>
      </c>
      <c r="BB2" s="220">
        <v>25</v>
      </c>
      <c r="BC2" s="220">
        <v>26</v>
      </c>
      <c r="BD2" s="220">
        <v>27</v>
      </c>
      <c r="BE2" s="220">
        <v>28</v>
      </c>
      <c r="BF2" s="220">
        <v>29</v>
      </c>
      <c r="BG2" s="220">
        <v>30</v>
      </c>
      <c r="BH2" s="220">
        <v>31</v>
      </c>
      <c r="BI2" s="220">
        <v>32</v>
      </c>
      <c r="BJ2" s="220">
        <v>33</v>
      </c>
      <c r="BK2" s="220">
        <v>34</v>
      </c>
      <c r="BL2" s="220">
        <v>35</v>
      </c>
      <c r="BM2" s="220">
        <v>36</v>
      </c>
      <c r="BN2" s="220">
        <v>37</v>
      </c>
      <c r="BO2" s="220">
        <v>38</v>
      </c>
    </row>
    <row r="3" spans="1:67" s="213" customFormat="1" ht="10.8" thickBot="1" x14ac:dyDescent="0.25">
      <c r="B3" s="218"/>
      <c r="C3" s="218"/>
      <c r="D3" s="214" t="s">
        <v>176</v>
      </c>
      <c r="E3" s="214" t="s">
        <v>389</v>
      </c>
      <c r="F3" s="215" t="s">
        <v>390</v>
      </c>
      <c r="G3" s="215" t="s">
        <v>391</v>
      </c>
      <c r="H3" s="235"/>
      <c r="I3" s="215" t="s">
        <v>392</v>
      </c>
      <c r="J3" s="249" t="s">
        <v>393</v>
      </c>
      <c r="K3" s="216" t="s">
        <v>390</v>
      </c>
      <c r="L3" s="244" t="s">
        <v>391</v>
      </c>
      <c r="M3" s="240"/>
      <c r="N3" s="216" t="s">
        <v>392</v>
      </c>
      <c r="O3" s="244" t="s">
        <v>393</v>
      </c>
      <c r="Q3" s="250"/>
      <c r="R3" s="242"/>
      <c r="S3" s="218"/>
      <c r="T3" s="251"/>
      <c r="U3" s="218"/>
      <c r="V3" s="251"/>
      <c r="W3" s="243"/>
      <c r="X3" s="218"/>
      <c r="Y3" s="251"/>
      <c r="Z3" s="218"/>
      <c r="AA3" s="251"/>
      <c r="AD3" s="387"/>
      <c r="AE3" s="387"/>
      <c r="AF3" s="221"/>
      <c r="AG3" s="221"/>
      <c r="AH3" s="221"/>
      <c r="AI3" s="221"/>
      <c r="AJ3" s="222"/>
      <c r="AK3" s="222"/>
      <c r="AL3" s="222"/>
      <c r="AM3" s="222"/>
      <c r="AN3" s="222"/>
      <c r="AO3" s="222"/>
      <c r="AP3" s="222"/>
      <c r="AQ3" s="261"/>
      <c r="AR3" s="261"/>
      <c r="AS3" s="261"/>
      <c r="AT3" s="261"/>
      <c r="AU3" s="261"/>
      <c r="AV3" s="261"/>
      <c r="AW3" s="261"/>
      <c r="AX3" s="261"/>
      <c r="AY3" s="261"/>
      <c r="AZ3" s="261"/>
      <c r="BA3" s="261"/>
      <c r="BB3" s="261"/>
      <c r="BC3" s="261"/>
      <c r="BD3" s="261"/>
      <c r="BE3" s="261"/>
      <c r="BF3" s="261"/>
      <c r="BG3" s="261"/>
      <c r="BH3" s="261"/>
      <c r="BI3" s="261"/>
      <c r="BJ3" s="261"/>
      <c r="BK3" s="261"/>
      <c r="BL3" s="261"/>
      <c r="BM3" s="261"/>
      <c r="BN3" s="261"/>
      <c r="BO3" s="261"/>
    </row>
    <row r="4" spans="1:67" x14ac:dyDescent="0.3">
      <c r="A4" s="287"/>
      <c r="B4" s="288"/>
      <c r="C4" s="8" t="s">
        <v>5</v>
      </c>
      <c r="D4" s="8">
        <f>COUNTIF(Tabella1[[#All],[Nome]],'AOSTICAZZI DATA'!A4)</f>
        <v>1</v>
      </c>
      <c r="E4" s="8">
        <f>SUMIFS(Tabella1[[#All],[N° FantaTit]],Tabella1[[#All],[Nome]],'AOSTICAZZI DATA'!A4)</f>
        <v>34</v>
      </c>
      <c r="F4" s="209">
        <f>SUMIFS(Tabella1[[#All],[Voto]],Tabella1[[#All],[Nome]],'AOSTICAZZI DATA'!A4)</f>
        <v>7.0294117647058822</v>
      </c>
      <c r="G4" s="209">
        <f>SUMIFS(Tabella1[[#All],[Voto]],Tabella1[[#All],[N° FantaTit]],1,Tabella1[[#All],[Nome]],A4)</f>
        <v>0</v>
      </c>
      <c r="H4" s="236"/>
      <c r="I4" s="211">
        <f>AVERAGEIFS(Tabella1[[#All],[Voto]],Tabella1[[#All],[Nome]],'AOSTICAZZI DATA'!A4)</f>
        <v>7.0294117647058822</v>
      </c>
      <c r="J4" s="211">
        <f>IFERROR(AVERAGEIFS(Tabella1[[#All],[Voto]],Tabella1[[#All],[N° FantaTit]],1,Tabella1[[#All],[Nome]],'AOSTICAZZI DATA'!A4),0)</f>
        <v>0</v>
      </c>
      <c r="K4" s="210">
        <f>SUMIFS(Tabella1[[#All],[fanta voto]],Tabella1[[#All],[Nome]],'AOSTICAZZI DATA'!A4)</f>
        <v>10.647058823529411</v>
      </c>
      <c r="L4" s="212">
        <f>SUMIFS(Tabella1[[#All],[Votot FantaTit ]],Tabella1[[#All],[N° FantaTit]],1,Tabella1[[#All],[Nome]],A4)</f>
        <v>0</v>
      </c>
      <c r="M4" s="239"/>
      <c r="N4" s="212">
        <f>IFERROR(AVERAGEIFS(Tabella1[[#All],[fanta voto]],Tabella1[[#All],[Nome]],'AOSTICAZZI DATA'!A4),0)</f>
        <v>10.647058823529411</v>
      </c>
      <c r="O4" s="212">
        <f>IFERROR(AVERAGEIFS(Tabella1[[#All],[Votot FantaTit ]],Tabella1[[#All],[N° FantaTit]],1,Tabella1[[#All],[Nome]],'AOSTICAZZI DATA'!A4),0)</f>
        <v>0</v>
      </c>
      <c r="Y4" s="10" t="s">
        <v>394</v>
      </c>
      <c r="AA4" s="211"/>
      <c r="AB4" t="s">
        <v>5</v>
      </c>
      <c r="AC4" s="380" t="s">
        <v>1002</v>
      </c>
      <c r="AF4" s="168"/>
      <c r="AG4" s="395"/>
      <c r="AI4" s="291"/>
    </row>
    <row r="5" spans="1:67" x14ac:dyDescent="0.3">
      <c r="A5" s="289"/>
      <c r="B5" s="290"/>
      <c r="C5" s="8" t="s">
        <v>5</v>
      </c>
      <c r="D5" s="8">
        <f>COUNTIF(Tabella1[[#All],[Nome]],'AOSTICAZZI DATA'!A5)</f>
        <v>1</v>
      </c>
      <c r="E5" s="8">
        <f>SUMIFS(Tabella1[[#All],[N° FantaTit]],Tabella1[[#All],[Nome]],'AOSTICAZZI DATA'!A5)</f>
        <v>34</v>
      </c>
      <c r="F5" s="209">
        <f>SUMIFS(Tabella1[[#All],[Voto]],Tabella1[[#All],[Nome]],'AOSTICAZZI DATA'!A5)</f>
        <v>7.0294117647058822</v>
      </c>
      <c r="G5" s="209">
        <f>SUMIFS(Tabella1[[#All],[Voto]],Tabella1[[#All],[N° FantaTit]],1,Tabella1[[#All],[Nome]],A5)</f>
        <v>0</v>
      </c>
      <c r="H5" s="236"/>
      <c r="I5" s="211">
        <f>AVERAGEIFS(Tabella1[[#All],[Voto]],Tabella1[[#All],[Nome]],'AOSTICAZZI DATA'!A5)</f>
        <v>7.0294117647058822</v>
      </c>
      <c r="J5" s="211">
        <f>IFERROR(AVERAGEIFS(Tabella1[[#All],[Voto]],Tabella1[[#All],[N° FantaTit]],1,Tabella1[[#All],[Nome]],'AOSTICAZZI DATA'!A5),0)</f>
        <v>0</v>
      </c>
      <c r="K5" s="210">
        <f>SUMIFS(Tabella1[[#All],[fanta voto]],Tabella1[[#All],[Nome]],'AOSTICAZZI DATA'!A5)</f>
        <v>10.647058823529411</v>
      </c>
      <c r="L5" s="212">
        <f>SUMIFS(Tabella1[[#All],[Votot FantaTit ]],Tabella1[[#All],[N° FantaTit]],1,Tabella1[[#All],[Nome]],A5)</f>
        <v>0</v>
      </c>
      <c r="M5" s="239"/>
      <c r="N5" s="212">
        <f>IFERROR(AVERAGEIFS(Tabella1[[#All],[fanta voto]],Tabella1[[#All],[Nome]],'AOSTICAZZI DATA'!A5),0)</f>
        <v>10.647058823529411</v>
      </c>
      <c r="O5" s="212">
        <f>IFERROR(AVERAGEIFS(Tabella1[[#All],[Votot FantaTit ]],Tabella1[[#All],[N° FantaTit]],1,Tabella1[[#All],[Nome]],'AOSTICAZZI DATA'!A5),0)</f>
        <v>0</v>
      </c>
      <c r="Y5" s="10" t="s">
        <v>395</v>
      </c>
      <c r="AA5" s="252"/>
      <c r="AB5" t="s">
        <v>5</v>
      </c>
      <c r="AC5" s="381" t="s">
        <v>1003</v>
      </c>
      <c r="AF5" s="13"/>
      <c r="AG5" s="13"/>
      <c r="AI5" s="291"/>
    </row>
    <row r="6" spans="1:67" ht="15" thickBot="1" x14ac:dyDescent="0.35">
      <c r="A6" s="289"/>
      <c r="B6" s="290"/>
      <c r="C6" s="8" t="s">
        <v>5</v>
      </c>
      <c r="D6" s="8">
        <f>COUNTIF(Tabella1[[#All],[Nome]],'AOSTICAZZI DATA'!A6)</f>
        <v>1</v>
      </c>
      <c r="E6" s="8">
        <f>SUMIFS(Tabella1[[#All],[N° FantaTit]],Tabella1[[#All],[Nome]],'AOSTICAZZI DATA'!A6)</f>
        <v>34</v>
      </c>
      <c r="F6" s="209">
        <f>SUMIFS(Tabella1[[#All],[Voto]],Tabella1[[#All],[Nome]],'AOSTICAZZI DATA'!A6)</f>
        <v>7.0294117647058822</v>
      </c>
      <c r="G6" s="209">
        <f>SUMIFS(Tabella1[[#All],[Voto]],Tabella1[[#All],[N° FantaTit]],1,Tabella1[[#All],[Nome]],A6)</f>
        <v>0</v>
      </c>
      <c r="H6" s="236"/>
      <c r="I6" s="211">
        <f>AVERAGEIFS(Tabella1[[#All],[Voto]],Tabella1[[#All],[Nome]],'AOSTICAZZI DATA'!A6)</f>
        <v>7.0294117647058822</v>
      </c>
      <c r="J6" s="211">
        <f>IFERROR(AVERAGEIFS(Tabella1[[#All],[Voto]],Tabella1[[#All],[N° FantaTit]],1,Tabella1[[#All],[Nome]],'AOSTICAZZI DATA'!A6),0)</f>
        <v>0</v>
      </c>
      <c r="K6" s="210">
        <f>SUMIFS(Tabella1[[#All],[fanta voto]],Tabella1[[#All],[Nome]],'AOSTICAZZI DATA'!A6)</f>
        <v>10.647058823529411</v>
      </c>
      <c r="L6" s="212">
        <f>SUMIFS(Tabella1[[#All],[Votot FantaTit ]],Tabella1[[#All],[N° FantaTit]],1,Tabella1[[#All],[Nome]],A6)</f>
        <v>0</v>
      </c>
      <c r="M6" s="239"/>
      <c r="N6" s="212">
        <f>IFERROR(AVERAGEIFS(Tabella1[[#All],[fanta voto]],Tabella1[[#All],[Nome]],'AOSTICAZZI DATA'!A6),0)</f>
        <v>10.647058823529411</v>
      </c>
      <c r="O6" s="212">
        <f>IFERROR(AVERAGEIFS(Tabella1[[#All],[Votot FantaTit ]],Tabella1[[#All],[N° FantaTit]],1,Tabella1[[#All],[Nome]],'AOSTICAZZI DATA'!A6),0)</f>
        <v>0</v>
      </c>
      <c r="Y6" s="10" t="s">
        <v>396</v>
      </c>
      <c r="AA6" s="212"/>
      <c r="AB6" t="s">
        <v>5</v>
      </c>
      <c r="AC6" s="381" t="s">
        <v>1004</v>
      </c>
      <c r="AF6" s="395"/>
      <c r="AG6" s="168"/>
      <c r="AI6" s="291"/>
    </row>
    <row r="7" spans="1:67" x14ac:dyDescent="0.3">
      <c r="A7" s="289"/>
      <c r="B7" s="290"/>
      <c r="C7" s="8" t="s">
        <v>161</v>
      </c>
      <c r="D7" s="8">
        <f>COUNTIF(Tabella1[[#All],[Nome]],'AOSTICAZZI DATA'!A7)</f>
        <v>1</v>
      </c>
      <c r="E7" s="8">
        <f>SUMIFS(Tabella1[[#All],[N° FantaTit]],Tabella1[[#All],[Nome]],'AOSTICAZZI DATA'!A7)</f>
        <v>34</v>
      </c>
      <c r="F7" s="209">
        <f>SUMIFS(Tabella1[[#All],[Voto]],Tabella1[[#All],[Nome]],'AOSTICAZZI DATA'!A7)</f>
        <v>7.0294117647058822</v>
      </c>
      <c r="G7" s="209">
        <f>SUMIFS(Tabella1[[#All],[Voto]],Tabella1[[#All],[N° FantaTit]],1,Tabella1[[#All],[Nome]],A7)</f>
        <v>0</v>
      </c>
      <c r="H7" s="236"/>
      <c r="I7" s="211">
        <f>AVERAGEIFS(Tabella1[[#All],[Voto]],Tabella1[[#All],[Nome]],'AOSTICAZZI DATA'!A7)</f>
        <v>7.0294117647058822</v>
      </c>
      <c r="J7" s="211">
        <f>IFERROR(AVERAGEIFS(Tabella1[[#All],[Voto]],Tabella1[[#All],[N° FantaTit]],1,Tabella1[[#All],[Nome]],'AOSTICAZZI DATA'!A7),0)</f>
        <v>0</v>
      </c>
      <c r="K7" s="210">
        <f>SUMIFS(Tabella1[[#All],[fanta voto]],Tabella1[[#All],[Nome]],'AOSTICAZZI DATA'!A7)</f>
        <v>10.647058823529411</v>
      </c>
      <c r="L7" s="212">
        <f>SUMIFS(Tabella1[[#All],[Votot FantaTit ]],Tabella1[[#All],[N° FantaTit]],1,Tabella1[[#All],[Nome]],A7)</f>
        <v>0</v>
      </c>
      <c r="M7" s="239"/>
      <c r="N7" s="212">
        <f>IFERROR(AVERAGEIFS(Tabella1[[#All],[fanta voto]],Tabella1[[#All],[Nome]],'AOSTICAZZI DATA'!A7),0)</f>
        <v>10.647058823529411</v>
      </c>
      <c r="O7" s="212">
        <f>IFERROR(AVERAGEIFS(Tabella1[[#All],[Votot FantaTit ]],Tabella1[[#All],[N° FantaTit]],1,Tabella1[[#All],[Nome]],'AOSTICAZZI DATA'!A7),0)</f>
        <v>0</v>
      </c>
      <c r="Y7" s="10" t="s">
        <v>397</v>
      </c>
      <c r="AA7" s="253"/>
      <c r="AB7" t="s">
        <v>161</v>
      </c>
      <c r="AC7" s="380" t="s">
        <v>1005</v>
      </c>
      <c r="AF7" s="395"/>
      <c r="AG7" s="395"/>
      <c r="AI7" s="291"/>
      <c r="AW7" s="292"/>
    </row>
    <row r="8" spans="1:67" x14ac:dyDescent="0.3">
      <c r="A8" s="287"/>
      <c r="B8" s="288"/>
      <c r="C8" s="8" t="s">
        <v>161</v>
      </c>
      <c r="D8" s="8">
        <f>COUNTIF(Tabella1[[#All],[Nome]],'AOSTICAZZI DATA'!A8)</f>
        <v>1</v>
      </c>
      <c r="E8" s="8">
        <f>SUMIFS(Tabella1[[#All],[N° FantaTit]],Tabella1[[#All],[Nome]],'AOSTICAZZI DATA'!A8)</f>
        <v>34</v>
      </c>
      <c r="F8" s="209">
        <f>SUMIFS(Tabella1[[#All],[Voto]],Tabella1[[#All],[Nome]],'AOSTICAZZI DATA'!A8)</f>
        <v>7.0294117647058822</v>
      </c>
      <c r="G8" s="209">
        <f>SUMIFS(Tabella1[[#All],[Voto]],Tabella1[[#All],[N° FantaTit]],1,Tabella1[[#All],[Nome]],A8)</f>
        <v>0</v>
      </c>
      <c r="H8" s="236"/>
      <c r="I8" s="211">
        <f>AVERAGEIFS(Tabella1[[#All],[Voto]],Tabella1[[#All],[Nome]],'AOSTICAZZI DATA'!A8)</f>
        <v>7.0294117647058822</v>
      </c>
      <c r="J8" s="211">
        <f>IFERROR(AVERAGEIFS(Tabella1[[#All],[Voto]],Tabella1[[#All],[N° FantaTit]],1,Tabella1[[#All],[Nome]],'AOSTICAZZI DATA'!A8),0)</f>
        <v>0</v>
      </c>
      <c r="K8" s="210">
        <f>SUMIFS(Tabella1[[#All],[fanta voto]],Tabella1[[#All],[Nome]],'AOSTICAZZI DATA'!A8)</f>
        <v>10.647058823529411</v>
      </c>
      <c r="L8" s="212">
        <f>SUMIFS(Tabella1[[#All],[Votot FantaTit ]],Tabella1[[#All],[N° FantaTit]],1,Tabella1[[#All],[Nome]],A8)</f>
        <v>0</v>
      </c>
      <c r="M8" s="239"/>
      <c r="N8" s="212">
        <f>IFERROR(AVERAGEIFS(Tabella1[[#All],[fanta voto]],Tabella1[[#All],[Nome]],'AOSTICAZZI DATA'!A8),0)</f>
        <v>10.647058823529411</v>
      </c>
      <c r="O8" s="212">
        <f>IFERROR(AVERAGEIFS(Tabella1[[#All],[Votot FantaTit ]],Tabella1[[#All],[N° FantaTit]],1,Tabella1[[#All],[Nome]],'AOSTICAZZI DATA'!A8),0)</f>
        <v>0</v>
      </c>
      <c r="Y8" s="10" t="s">
        <v>398</v>
      </c>
      <c r="AA8" s="254"/>
      <c r="AB8" t="s">
        <v>161</v>
      </c>
      <c r="AC8" s="381" t="s">
        <v>1006</v>
      </c>
      <c r="AF8" s="395"/>
      <c r="AG8" s="395"/>
      <c r="AI8" s="291"/>
    </row>
    <row r="9" spans="1:67" x14ac:dyDescent="0.3">
      <c r="A9" s="289"/>
      <c r="B9" s="288"/>
      <c r="C9" s="8" t="s">
        <v>161</v>
      </c>
      <c r="D9" s="8">
        <f>COUNTIF(Tabella1[[#All],[Nome]],'AOSTICAZZI DATA'!A9)</f>
        <v>1</v>
      </c>
      <c r="E9" s="8">
        <f>SUMIFS(Tabella1[[#All],[N° FantaTit]],Tabella1[[#All],[Nome]],'AOSTICAZZI DATA'!A9)</f>
        <v>34</v>
      </c>
      <c r="F9" s="209">
        <f>SUMIFS(Tabella1[[#All],[Voto]],Tabella1[[#All],[Nome]],'AOSTICAZZI DATA'!A9)</f>
        <v>7.0294117647058822</v>
      </c>
      <c r="G9" s="209">
        <f>SUMIFS(Tabella1[[#All],[Voto]],Tabella1[[#All],[N° FantaTit]],1,Tabella1[[#All],[Nome]],A9)</f>
        <v>0</v>
      </c>
      <c r="H9" s="236"/>
      <c r="I9" s="211">
        <f>AVERAGEIFS(Tabella1[[#All],[Voto]],Tabella1[[#All],[Nome]],'AOSTICAZZI DATA'!A9)</f>
        <v>7.0294117647058822</v>
      </c>
      <c r="J9" s="211">
        <f>IFERROR(AVERAGEIFS(Tabella1[[#All],[Voto]],Tabella1[[#All],[N° FantaTit]],1,Tabella1[[#All],[Nome]],'AOSTICAZZI DATA'!A9),0)</f>
        <v>0</v>
      </c>
      <c r="K9" s="210">
        <f>SUMIFS(Tabella1[[#All],[fanta voto]],Tabella1[[#All],[Nome]],'AOSTICAZZI DATA'!A9)</f>
        <v>10.647058823529411</v>
      </c>
      <c r="L9" s="212">
        <f>SUMIFS(Tabella1[[#All],[Votot FantaTit ]],Tabella1[[#All],[N° FantaTit]],1,Tabella1[[#All],[Nome]],A9)</f>
        <v>0</v>
      </c>
      <c r="M9" s="239"/>
      <c r="N9" s="212">
        <f>IFERROR(AVERAGEIFS(Tabella1[[#All],[fanta voto]],Tabella1[[#All],[Nome]],'AOSTICAZZI DATA'!A9),0)</f>
        <v>10.647058823529411</v>
      </c>
      <c r="O9" s="212">
        <f>IFERROR(AVERAGEIFS(Tabella1[[#All],[Votot FantaTit ]],Tabella1[[#All],[N° FantaTit]],1,Tabella1[[#All],[Nome]],'AOSTICAZZI DATA'!A9),0)</f>
        <v>0</v>
      </c>
      <c r="AB9" t="s">
        <v>161</v>
      </c>
      <c r="AC9" s="381" t="s">
        <v>1007</v>
      </c>
      <c r="AF9" s="395"/>
      <c r="AG9" s="168"/>
      <c r="AI9" s="291"/>
    </row>
    <row r="10" spans="1:67" x14ac:dyDescent="0.3">
      <c r="A10" s="287"/>
      <c r="B10" s="288"/>
      <c r="C10" s="8" t="s">
        <v>161</v>
      </c>
      <c r="D10" s="8">
        <f>COUNTIF(Tabella1[[#All],[Nome]],'AOSTICAZZI DATA'!A10)</f>
        <v>1</v>
      </c>
      <c r="E10" s="8">
        <f>SUMIFS(Tabella1[[#All],[N° FantaTit]],Tabella1[[#All],[Nome]],'AOSTICAZZI DATA'!A10)</f>
        <v>34</v>
      </c>
      <c r="F10" s="209">
        <f>SUMIFS(Tabella1[[#All],[Voto]],Tabella1[[#All],[Nome]],'AOSTICAZZI DATA'!A10)</f>
        <v>7.0294117647058822</v>
      </c>
      <c r="G10" s="209">
        <f>SUMIFS(Tabella1[[#All],[Voto]],Tabella1[[#All],[N° FantaTit]],1,Tabella1[[#All],[Nome]],A10)</f>
        <v>0</v>
      </c>
      <c r="H10" s="236"/>
      <c r="I10" s="211">
        <f>AVERAGEIFS(Tabella1[[#All],[Voto]],Tabella1[[#All],[Nome]],'AOSTICAZZI DATA'!A10)</f>
        <v>7.0294117647058822</v>
      </c>
      <c r="J10" s="211">
        <f>IFERROR(AVERAGEIFS(Tabella1[[#All],[Voto]],Tabella1[[#All],[N° FantaTit]],1,Tabella1[[#All],[Nome]],'AOSTICAZZI DATA'!A10),0)</f>
        <v>0</v>
      </c>
      <c r="K10" s="210">
        <f>SUMIFS(Tabella1[[#All],[fanta voto]],Tabella1[[#All],[Nome]],'AOSTICAZZI DATA'!A10)</f>
        <v>10.647058823529411</v>
      </c>
      <c r="L10" s="212">
        <f>SUMIFS(Tabella1[[#All],[Votot FantaTit ]],Tabella1[[#All],[N° FantaTit]],1,Tabella1[[#All],[Nome]],A10)</f>
        <v>0</v>
      </c>
      <c r="M10" s="239"/>
      <c r="N10" s="212">
        <f>IFERROR(AVERAGEIFS(Tabella1[[#All],[fanta voto]],Tabella1[[#All],[Nome]],'AOSTICAZZI DATA'!A10),0)</f>
        <v>10.647058823529411</v>
      </c>
      <c r="O10" s="212">
        <f>IFERROR(AVERAGEIFS(Tabella1[[#All],[Votot FantaTit ]],Tabella1[[#All],[N° FantaTit]],1,Tabella1[[#All],[Nome]],'AOSTICAZZI DATA'!A10),0)</f>
        <v>0</v>
      </c>
      <c r="AB10" t="s">
        <v>161</v>
      </c>
      <c r="AC10" s="381" t="s">
        <v>1019</v>
      </c>
      <c r="AF10" s="395"/>
      <c r="AG10" s="395"/>
      <c r="AI10" s="291"/>
    </row>
    <row r="11" spans="1:67" x14ac:dyDescent="0.3">
      <c r="A11" s="289"/>
      <c r="B11" s="290"/>
      <c r="C11" s="8" t="s">
        <v>161</v>
      </c>
      <c r="D11" s="8">
        <f>COUNTIF(Tabella1[[#All],[Nome]],'AOSTICAZZI DATA'!A11)</f>
        <v>1</v>
      </c>
      <c r="E11" s="8">
        <f>SUMIFS(Tabella1[[#All],[N° FantaTit]],Tabella1[[#All],[Nome]],'AOSTICAZZI DATA'!A11)</f>
        <v>34</v>
      </c>
      <c r="F11" s="209">
        <f>SUMIFS(Tabella1[[#All],[Voto]],Tabella1[[#All],[Nome]],'AOSTICAZZI DATA'!A11)</f>
        <v>7.0294117647058822</v>
      </c>
      <c r="G11" s="209">
        <f>SUMIFS(Tabella1[[#All],[Voto]],Tabella1[[#All],[N° FantaTit]],1,Tabella1[[#All],[Nome]],A11)</f>
        <v>0</v>
      </c>
      <c r="H11" s="236"/>
      <c r="I11" s="211">
        <f>AVERAGEIFS(Tabella1[[#All],[Voto]],Tabella1[[#All],[Nome]],'AOSTICAZZI DATA'!A11)</f>
        <v>7.0294117647058822</v>
      </c>
      <c r="J11" s="211">
        <f>IFERROR(AVERAGEIFS(Tabella1[[#All],[Voto]],Tabella1[[#All],[N° FantaTit]],1,Tabella1[[#All],[Nome]],'AOSTICAZZI DATA'!A11),0)</f>
        <v>0</v>
      </c>
      <c r="K11" s="210">
        <f>SUMIFS(Tabella1[[#All],[fanta voto]],Tabella1[[#All],[Nome]],'AOSTICAZZI DATA'!A11)</f>
        <v>10.647058823529411</v>
      </c>
      <c r="L11" s="212">
        <f>SUMIFS(Tabella1[[#All],[Votot FantaTit ]],Tabella1[[#All],[N° FantaTit]],1,Tabella1[[#All],[Nome]],A11)</f>
        <v>0</v>
      </c>
      <c r="M11" s="239"/>
      <c r="N11" s="212">
        <f>IFERROR(AVERAGEIFS(Tabella1[[#All],[fanta voto]],Tabella1[[#All],[Nome]],'AOSTICAZZI DATA'!A11),0)</f>
        <v>10.647058823529411</v>
      </c>
      <c r="O11" s="212">
        <f>IFERROR(AVERAGEIFS(Tabella1[[#All],[Votot FantaTit ]],Tabella1[[#All],[N° FantaTit]],1,Tabella1[[#All],[Nome]],'AOSTICAZZI DATA'!A11),0)</f>
        <v>0</v>
      </c>
      <c r="AB11" t="s">
        <v>161</v>
      </c>
      <c r="AC11" s="381" t="s">
        <v>1024</v>
      </c>
      <c r="AF11" s="13"/>
      <c r="AG11" s="395"/>
      <c r="AI11" s="291"/>
    </row>
    <row r="12" spans="1:67" x14ac:dyDescent="0.3">
      <c r="A12" s="287"/>
      <c r="B12" s="288"/>
      <c r="C12" s="8" t="s">
        <v>161</v>
      </c>
      <c r="D12" s="8">
        <f>COUNTIF(Tabella1[[#All],[Nome]],'AOSTICAZZI DATA'!A12)</f>
        <v>1</v>
      </c>
      <c r="E12" s="8">
        <f>SUMIFS(Tabella1[[#All],[N° FantaTit]],Tabella1[[#All],[Nome]],'AOSTICAZZI DATA'!A12)</f>
        <v>34</v>
      </c>
      <c r="F12" s="209">
        <f>SUMIFS(Tabella1[[#All],[Voto]],Tabella1[[#All],[Nome]],'AOSTICAZZI DATA'!A12)</f>
        <v>7.0294117647058822</v>
      </c>
      <c r="G12" s="209">
        <f>SUMIFS(Tabella1[[#All],[Voto]],Tabella1[[#All],[N° FantaTit]],1,Tabella1[[#All],[Nome]],A12)</f>
        <v>0</v>
      </c>
      <c r="H12" s="236"/>
      <c r="I12" s="211">
        <f>AVERAGEIFS(Tabella1[[#All],[Voto]],Tabella1[[#All],[Nome]],'AOSTICAZZI DATA'!A12)</f>
        <v>7.0294117647058822</v>
      </c>
      <c r="J12" s="211">
        <f>IFERROR(AVERAGEIFS(Tabella1[[#All],[Voto]],Tabella1[[#All],[N° FantaTit]],1,Tabella1[[#All],[Nome]],'AOSTICAZZI DATA'!A12),0)</f>
        <v>0</v>
      </c>
      <c r="K12" s="210">
        <f>SUMIFS(Tabella1[[#All],[fanta voto]],Tabella1[[#All],[Nome]],'AOSTICAZZI DATA'!A12)</f>
        <v>10.647058823529411</v>
      </c>
      <c r="L12" s="212">
        <f>SUMIFS(Tabella1[[#All],[Votot FantaTit ]],Tabella1[[#All],[N° FantaTit]],1,Tabella1[[#All],[Nome]],A12)</f>
        <v>0</v>
      </c>
      <c r="M12" s="239"/>
      <c r="N12" s="212">
        <f>IFERROR(AVERAGEIFS(Tabella1[[#All],[fanta voto]],Tabella1[[#All],[Nome]],'AOSTICAZZI DATA'!A12),0)</f>
        <v>10.647058823529411</v>
      </c>
      <c r="O12" s="212">
        <f>IFERROR(AVERAGEIFS(Tabella1[[#All],[Votot FantaTit ]],Tabella1[[#All],[N° FantaTit]],1,Tabella1[[#All],[Nome]],'AOSTICAZZI DATA'!A12),0)</f>
        <v>0</v>
      </c>
      <c r="AB12" t="s">
        <v>161</v>
      </c>
      <c r="AC12" s="381" t="s">
        <v>1027</v>
      </c>
      <c r="AF12" s="13"/>
      <c r="AG12" s="13"/>
      <c r="AI12" s="291"/>
    </row>
    <row r="13" spans="1:67" x14ac:dyDescent="0.3">
      <c r="A13" s="287"/>
      <c r="B13" s="288"/>
      <c r="C13" s="8" t="s">
        <v>161</v>
      </c>
      <c r="D13" s="8">
        <f>COUNTIF(Tabella1[[#All],[Nome]],'AOSTICAZZI DATA'!A13)</f>
        <v>1</v>
      </c>
      <c r="E13" s="8">
        <f>SUMIFS(Tabella1[[#All],[N° FantaTit]],Tabella1[[#All],[Nome]],'AOSTICAZZI DATA'!A13)</f>
        <v>34</v>
      </c>
      <c r="F13" s="209">
        <f>SUMIFS(Tabella1[[#All],[Voto]],Tabella1[[#All],[Nome]],'AOSTICAZZI DATA'!A13)</f>
        <v>7.0294117647058822</v>
      </c>
      <c r="G13" s="209">
        <f>SUMIFS(Tabella1[[#All],[Voto]],Tabella1[[#All],[N° FantaTit]],1,Tabella1[[#All],[Nome]],A13)</f>
        <v>0</v>
      </c>
      <c r="H13" s="236"/>
      <c r="I13" s="211">
        <f>AVERAGEIFS(Tabella1[[#All],[Voto]],Tabella1[[#All],[Nome]],'AOSTICAZZI DATA'!A13)</f>
        <v>7.0294117647058822</v>
      </c>
      <c r="J13" s="211">
        <f>IFERROR(AVERAGEIFS(Tabella1[[#All],[Voto]],Tabella1[[#All],[N° FantaTit]],1,Tabella1[[#All],[Nome]],'AOSTICAZZI DATA'!A13),0)</f>
        <v>0</v>
      </c>
      <c r="K13" s="210">
        <f>SUMIFS(Tabella1[[#All],[fanta voto]],Tabella1[[#All],[Nome]],'AOSTICAZZI DATA'!A13)</f>
        <v>10.647058823529411</v>
      </c>
      <c r="L13" s="212">
        <f>SUMIFS(Tabella1[[#All],[Votot FantaTit ]],Tabella1[[#All],[N° FantaTit]],1,Tabella1[[#All],[Nome]],A13)</f>
        <v>0</v>
      </c>
      <c r="M13" s="239"/>
      <c r="N13" s="212">
        <f>IFERROR(AVERAGEIFS(Tabella1[[#All],[fanta voto]],Tabella1[[#All],[Nome]],'AOSTICAZZI DATA'!A13),0)</f>
        <v>10.647058823529411</v>
      </c>
      <c r="O13" s="212">
        <f>IFERROR(AVERAGEIFS(Tabella1[[#All],[Votot FantaTit ]],Tabella1[[#All],[N° FantaTit]],1,Tabella1[[#All],[Nome]],'AOSTICAZZI DATA'!A13),0)</f>
        <v>0</v>
      </c>
      <c r="AB13" t="s">
        <v>161</v>
      </c>
      <c r="AC13" s="381" t="s">
        <v>1028</v>
      </c>
      <c r="AF13" s="168"/>
      <c r="AG13" s="168"/>
      <c r="AI13" s="291"/>
    </row>
    <row r="14" spans="1:67" ht="15" thickBot="1" x14ac:dyDescent="0.35">
      <c r="A14" s="289"/>
      <c r="B14" s="290"/>
      <c r="C14" s="8" t="s">
        <v>161</v>
      </c>
      <c r="D14" s="8">
        <f>COUNTIF(Tabella1[[#All],[Nome]],'AOSTICAZZI DATA'!A14)</f>
        <v>1</v>
      </c>
      <c r="E14" s="8">
        <f>SUMIFS(Tabella1[[#All],[N° FantaTit]],Tabella1[[#All],[Nome]],'AOSTICAZZI DATA'!A14)</f>
        <v>34</v>
      </c>
      <c r="F14" s="209">
        <f>SUMIFS(Tabella1[[#All],[Voto]],Tabella1[[#All],[Nome]],'AOSTICAZZI DATA'!A14)</f>
        <v>7.0294117647058822</v>
      </c>
      <c r="G14" s="209">
        <f>SUMIFS(Tabella1[[#All],[Voto]],Tabella1[[#All],[N° FantaTit]],1,Tabella1[[#All],[Nome]],A14)</f>
        <v>0</v>
      </c>
      <c r="H14" s="236"/>
      <c r="I14" s="211">
        <f>AVERAGEIFS(Tabella1[[#All],[Voto]],Tabella1[[#All],[Nome]],'AOSTICAZZI DATA'!A14)</f>
        <v>7.0294117647058822</v>
      </c>
      <c r="J14" s="211">
        <f>IFERROR(AVERAGEIFS(Tabella1[[#All],[Voto]],Tabella1[[#All],[N° FantaTit]],1,Tabella1[[#All],[Nome]],'AOSTICAZZI DATA'!A14),0)</f>
        <v>0</v>
      </c>
      <c r="K14" s="210">
        <f>SUMIFS(Tabella1[[#All],[fanta voto]],Tabella1[[#All],[Nome]],'AOSTICAZZI DATA'!A14)</f>
        <v>10.647058823529411</v>
      </c>
      <c r="L14" s="212">
        <f>SUMIFS(Tabella1[[#All],[Votot FantaTit ]],Tabella1[[#All],[N° FantaTit]],1,Tabella1[[#All],[Nome]],A14)</f>
        <v>0</v>
      </c>
      <c r="M14" s="239"/>
      <c r="N14" s="212">
        <f>IFERROR(AVERAGEIFS(Tabella1[[#All],[fanta voto]],Tabella1[[#All],[Nome]],'AOSTICAZZI DATA'!A14),0)</f>
        <v>10.647058823529411</v>
      </c>
      <c r="O14" s="212">
        <f>IFERROR(AVERAGEIFS(Tabella1[[#All],[Votot FantaTit ]],Tabella1[[#All],[N° FantaTit]],1,Tabella1[[#All],[Nome]],'AOSTICAZZI DATA'!A14),0)</f>
        <v>0</v>
      </c>
      <c r="AB14" t="s">
        <v>161</v>
      </c>
      <c r="AC14" s="382" t="s">
        <v>1029</v>
      </c>
      <c r="AF14" s="13"/>
      <c r="AG14" s="13"/>
      <c r="AI14" s="291"/>
    </row>
    <row r="15" spans="1:67" x14ac:dyDescent="0.3">
      <c r="A15" s="289"/>
      <c r="B15" s="290"/>
      <c r="C15" s="8" t="s">
        <v>162</v>
      </c>
      <c r="D15" s="8">
        <f>COUNTIF(Tabella1[[#All],[Nome]],'AOSTICAZZI DATA'!A15)</f>
        <v>1</v>
      </c>
      <c r="E15" s="8">
        <f>SUMIFS(Tabella1[[#All],[N° FantaTit]],Tabella1[[#All],[Nome]],'AOSTICAZZI DATA'!A15)</f>
        <v>34</v>
      </c>
      <c r="F15" s="209">
        <f>SUMIFS(Tabella1[[#All],[Voto]],Tabella1[[#All],[Nome]],'AOSTICAZZI DATA'!A15)</f>
        <v>7.0294117647058822</v>
      </c>
      <c r="G15" s="209">
        <f>SUMIFS(Tabella1[[#All],[Voto]],Tabella1[[#All],[N° FantaTit]],1,Tabella1[[#All],[Nome]],A15)</f>
        <v>0</v>
      </c>
      <c r="H15" s="236"/>
      <c r="I15" s="211">
        <f>AVERAGEIFS(Tabella1[[#All],[Voto]],Tabella1[[#All],[Nome]],'AOSTICAZZI DATA'!A15)</f>
        <v>7.0294117647058822</v>
      </c>
      <c r="J15" s="211">
        <f>IFERROR(AVERAGEIFS(Tabella1[[#All],[Voto]],Tabella1[[#All],[N° FantaTit]],1,Tabella1[[#All],[Nome]],'AOSTICAZZI DATA'!A15),0)</f>
        <v>0</v>
      </c>
      <c r="K15" s="210">
        <f>SUMIFS(Tabella1[[#All],[fanta voto]],Tabella1[[#All],[Nome]],'AOSTICAZZI DATA'!A15)</f>
        <v>10.647058823529411</v>
      </c>
      <c r="L15" s="212">
        <f>SUMIFS(Tabella1[[#All],[Votot FantaTit ]],Tabella1[[#All],[N° FantaTit]],1,Tabella1[[#All],[Nome]],A15)</f>
        <v>0</v>
      </c>
      <c r="M15" s="239"/>
      <c r="N15" s="212">
        <f>IFERROR(AVERAGEIFS(Tabella1[[#All],[fanta voto]],Tabella1[[#All],[Nome]],'AOSTICAZZI DATA'!A15),0)</f>
        <v>10.647058823529411</v>
      </c>
      <c r="O15" s="212">
        <f>IFERROR(AVERAGEIFS(Tabella1[[#All],[Votot FantaTit ]],Tabella1[[#All],[N° FantaTit]],1,Tabella1[[#All],[Nome]],'AOSTICAZZI DATA'!A15),0)</f>
        <v>0</v>
      </c>
      <c r="AB15" t="s">
        <v>162</v>
      </c>
      <c r="AC15" s="381" t="s">
        <v>1011</v>
      </c>
      <c r="AF15" s="395"/>
      <c r="AG15" s="184"/>
      <c r="AI15" s="291"/>
    </row>
    <row r="16" spans="1:67" x14ac:dyDescent="0.3">
      <c r="A16" s="289"/>
      <c r="B16" s="290"/>
      <c r="C16" s="8" t="s">
        <v>162</v>
      </c>
      <c r="D16" s="8">
        <f>COUNTIF(Tabella1[[#All],[Nome]],'AOSTICAZZI DATA'!A16)</f>
        <v>1</v>
      </c>
      <c r="E16" s="8">
        <f>SUMIFS(Tabella1[[#All],[N° FantaTit]],Tabella1[[#All],[Nome]],'AOSTICAZZI DATA'!A16)</f>
        <v>34</v>
      </c>
      <c r="F16" s="209">
        <f>SUMIFS(Tabella1[[#All],[Voto]],Tabella1[[#All],[Nome]],'AOSTICAZZI DATA'!A16)</f>
        <v>7.0294117647058822</v>
      </c>
      <c r="G16" s="209">
        <f>SUMIFS(Tabella1[[#All],[Voto]],Tabella1[[#All],[N° FantaTit]],1,Tabella1[[#All],[Nome]],A16)</f>
        <v>0</v>
      </c>
      <c r="H16" s="236"/>
      <c r="I16" s="211">
        <f>AVERAGEIFS(Tabella1[[#All],[Voto]],Tabella1[[#All],[Nome]],'AOSTICAZZI DATA'!A16)</f>
        <v>7.0294117647058822</v>
      </c>
      <c r="J16" s="211">
        <f>IFERROR(AVERAGEIFS(Tabella1[[#All],[Voto]],Tabella1[[#All],[N° FantaTit]],1,Tabella1[[#All],[Nome]],'AOSTICAZZI DATA'!A16),0)</f>
        <v>0</v>
      </c>
      <c r="K16" s="210">
        <f>SUMIFS(Tabella1[[#All],[fanta voto]],Tabella1[[#All],[Nome]],'AOSTICAZZI DATA'!A16)</f>
        <v>10.647058823529411</v>
      </c>
      <c r="L16" s="212">
        <f>SUMIFS(Tabella1[[#All],[Votot FantaTit ]],Tabella1[[#All],[N° FantaTit]],1,Tabella1[[#All],[Nome]],A16)</f>
        <v>0</v>
      </c>
      <c r="M16" s="239"/>
      <c r="N16" s="212">
        <f>IFERROR(AVERAGEIFS(Tabella1[[#All],[fanta voto]],Tabella1[[#All],[Nome]],'AOSTICAZZI DATA'!A16),0)</f>
        <v>10.647058823529411</v>
      </c>
      <c r="O16" s="212">
        <f>IFERROR(AVERAGEIFS(Tabella1[[#All],[Votot FantaTit ]],Tabella1[[#All],[N° FantaTit]],1,Tabella1[[#All],[Nome]],'AOSTICAZZI DATA'!A16),0)</f>
        <v>0</v>
      </c>
      <c r="AB16" t="s">
        <v>162</v>
      </c>
      <c r="AC16" s="381" t="s">
        <v>1012</v>
      </c>
      <c r="AF16" s="395"/>
      <c r="AG16" s="395"/>
      <c r="AI16" s="291"/>
    </row>
    <row r="17" spans="1:55" x14ac:dyDescent="0.3">
      <c r="A17" s="287"/>
      <c r="B17" s="288"/>
      <c r="C17" s="8" t="s">
        <v>162</v>
      </c>
      <c r="D17" s="8">
        <f>COUNTIF(Tabella1[[#All],[Nome]],'AOSTICAZZI DATA'!A17)</f>
        <v>1</v>
      </c>
      <c r="E17" s="8">
        <f>SUMIFS(Tabella1[[#All],[N° FantaTit]],Tabella1[[#All],[Nome]],'AOSTICAZZI DATA'!A17)</f>
        <v>34</v>
      </c>
      <c r="F17" s="209">
        <f>SUMIFS(Tabella1[[#All],[Voto]],Tabella1[[#All],[Nome]],'AOSTICAZZI DATA'!A17)</f>
        <v>7.0294117647058822</v>
      </c>
      <c r="G17" s="209">
        <f>SUMIFS(Tabella1[[#All],[Voto]],Tabella1[[#All],[N° FantaTit]],1,Tabella1[[#All],[Nome]],A17)</f>
        <v>0</v>
      </c>
      <c r="H17" s="236"/>
      <c r="I17" s="211">
        <f>AVERAGEIFS(Tabella1[[#All],[Voto]],Tabella1[[#All],[Nome]],'AOSTICAZZI DATA'!A17)</f>
        <v>7.0294117647058822</v>
      </c>
      <c r="J17" s="211">
        <f>IFERROR(AVERAGEIFS(Tabella1[[#All],[Voto]],Tabella1[[#All],[N° FantaTit]],1,Tabella1[[#All],[Nome]],'AOSTICAZZI DATA'!A17),0)</f>
        <v>0</v>
      </c>
      <c r="K17" s="210">
        <f>SUMIFS(Tabella1[[#All],[fanta voto]],Tabella1[[#All],[Nome]],'AOSTICAZZI DATA'!A17)</f>
        <v>10.647058823529411</v>
      </c>
      <c r="L17" s="212">
        <f>SUMIFS(Tabella1[[#All],[Votot FantaTit ]],Tabella1[[#All],[N° FantaTit]],1,Tabella1[[#All],[Nome]],A17)</f>
        <v>0</v>
      </c>
      <c r="M17" s="239"/>
      <c r="N17" s="212">
        <f>IFERROR(AVERAGEIFS(Tabella1[[#All],[fanta voto]],Tabella1[[#All],[Nome]],'AOSTICAZZI DATA'!A17),0)</f>
        <v>10.647058823529411</v>
      </c>
      <c r="O17" s="212">
        <f>IFERROR(AVERAGEIFS(Tabella1[[#All],[Votot FantaTit ]],Tabella1[[#All],[N° FantaTit]],1,Tabella1[[#All],[Nome]],'AOSTICAZZI DATA'!A17),0)</f>
        <v>0</v>
      </c>
      <c r="AB17" t="s">
        <v>162</v>
      </c>
      <c r="AC17" s="381" t="s">
        <v>1025</v>
      </c>
      <c r="AF17" s="395"/>
      <c r="AG17" s="395"/>
      <c r="AI17" s="291"/>
    </row>
    <row r="18" spans="1:55" x14ac:dyDescent="0.3">
      <c r="A18" s="287"/>
      <c r="B18" s="288"/>
      <c r="C18" s="8" t="s">
        <v>162</v>
      </c>
      <c r="D18" s="8">
        <f>COUNTIF(Tabella1[[#All],[Nome]],'AOSTICAZZI DATA'!A18)</f>
        <v>1</v>
      </c>
      <c r="E18" s="8">
        <f>SUMIFS(Tabella1[[#All],[N° FantaTit]],Tabella1[[#All],[Nome]],'AOSTICAZZI DATA'!A18)</f>
        <v>34</v>
      </c>
      <c r="F18" s="209">
        <f>SUMIFS(Tabella1[[#All],[Voto]],Tabella1[[#All],[Nome]],'AOSTICAZZI DATA'!A18)</f>
        <v>7.0294117647058822</v>
      </c>
      <c r="G18" s="209">
        <f>SUMIFS(Tabella1[[#All],[Voto]],Tabella1[[#All],[N° FantaTit]],1,Tabella1[[#All],[Nome]],A18)</f>
        <v>0</v>
      </c>
      <c r="H18" s="236"/>
      <c r="I18" s="211">
        <f>AVERAGEIFS(Tabella1[[#All],[Voto]],Tabella1[[#All],[Nome]],'AOSTICAZZI DATA'!A18)</f>
        <v>7.0294117647058822</v>
      </c>
      <c r="J18" s="211">
        <f>IFERROR(AVERAGEIFS(Tabella1[[#All],[Voto]],Tabella1[[#All],[N° FantaTit]],1,Tabella1[[#All],[Nome]],'AOSTICAZZI DATA'!A18),0)</f>
        <v>0</v>
      </c>
      <c r="K18" s="210">
        <f>SUMIFS(Tabella1[[#All],[fanta voto]],Tabella1[[#All],[Nome]],'AOSTICAZZI DATA'!A18)</f>
        <v>10.647058823529411</v>
      </c>
      <c r="L18" s="212">
        <f>SUMIFS(Tabella1[[#All],[Votot FantaTit ]],Tabella1[[#All],[N° FantaTit]],1,Tabella1[[#All],[Nome]],A18)</f>
        <v>0</v>
      </c>
      <c r="M18" s="239"/>
      <c r="N18" s="212">
        <f>IFERROR(AVERAGEIFS(Tabella1[[#All],[fanta voto]],Tabella1[[#All],[Nome]],'AOSTICAZZI DATA'!A18),0)</f>
        <v>10.647058823529411</v>
      </c>
      <c r="O18" s="212">
        <f>IFERROR(AVERAGEIFS(Tabella1[[#All],[Votot FantaTit ]],Tabella1[[#All],[N° FantaTit]],1,Tabella1[[#All],[Nome]],'AOSTICAZZI DATA'!A18),0)</f>
        <v>0</v>
      </c>
      <c r="AB18" t="s">
        <v>162</v>
      </c>
      <c r="AC18" s="381" t="s">
        <v>1020</v>
      </c>
      <c r="AF18" s="13"/>
      <c r="AG18" s="395"/>
      <c r="AI18" s="291"/>
      <c r="AZ18" s="293"/>
      <c r="BA18" s="293"/>
      <c r="BB18" s="293"/>
      <c r="BC18" s="293"/>
    </row>
    <row r="19" spans="1:55" x14ac:dyDescent="0.3">
      <c r="A19" s="287"/>
      <c r="B19" s="288"/>
      <c r="C19" s="8" t="s">
        <v>162</v>
      </c>
      <c r="D19" s="8">
        <f>COUNTIF(Tabella1[[#All],[Nome]],'AOSTICAZZI DATA'!A19)</f>
        <v>1</v>
      </c>
      <c r="E19" s="8">
        <f>SUMIFS(Tabella1[[#All],[N° FantaTit]],Tabella1[[#All],[Nome]],'AOSTICAZZI DATA'!A19)</f>
        <v>34</v>
      </c>
      <c r="F19" s="209">
        <f>SUMIFS(Tabella1[[#All],[Voto]],Tabella1[[#All],[Nome]],'AOSTICAZZI DATA'!A19)</f>
        <v>7.0294117647058822</v>
      </c>
      <c r="G19" s="209">
        <f>SUMIFS(Tabella1[[#All],[Voto]],Tabella1[[#All],[N° FantaTit]],1,Tabella1[[#All],[Nome]],A19)</f>
        <v>0</v>
      </c>
      <c r="H19" s="236"/>
      <c r="I19" s="211">
        <f>AVERAGEIFS(Tabella1[[#All],[Voto]],Tabella1[[#All],[Nome]],'AOSTICAZZI DATA'!A19)</f>
        <v>7.0294117647058822</v>
      </c>
      <c r="J19" s="211">
        <f>IFERROR(AVERAGEIFS(Tabella1[[#All],[Voto]],Tabella1[[#All],[N° FantaTit]],1,Tabella1[[#All],[Nome]],'AOSTICAZZI DATA'!A19),0)</f>
        <v>0</v>
      </c>
      <c r="K19" s="210">
        <f>SUMIFS(Tabella1[[#All],[fanta voto]],Tabella1[[#All],[Nome]],'AOSTICAZZI DATA'!A19)</f>
        <v>10.647058823529411</v>
      </c>
      <c r="L19" s="212">
        <f>SUMIFS(Tabella1[[#All],[Votot FantaTit ]],Tabella1[[#All],[N° FantaTit]],1,Tabella1[[#All],[Nome]],A19)</f>
        <v>0</v>
      </c>
      <c r="M19" s="239"/>
      <c r="N19" s="212">
        <f>IFERROR(AVERAGEIFS(Tabella1[[#All],[fanta voto]],Tabella1[[#All],[Nome]],'AOSTICAZZI DATA'!A19),0)</f>
        <v>10.647058823529411</v>
      </c>
      <c r="O19" s="212">
        <f>IFERROR(AVERAGEIFS(Tabella1[[#All],[Votot FantaTit ]],Tabella1[[#All],[N° FantaTit]],1,Tabella1[[#All],[Nome]],'AOSTICAZZI DATA'!A19),0)</f>
        <v>0</v>
      </c>
      <c r="AB19" t="s">
        <v>162</v>
      </c>
      <c r="AC19" s="381" t="s">
        <v>1026</v>
      </c>
      <c r="AF19" s="168"/>
      <c r="AG19" s="168"/>
      <c r="AI19" s="291"/>
    </row>
    <row r="20" spans="1:55" x14ac:dyDescent="0.3">
      <c r="A20" s="289"/>
      <c r="B20" s="290"/>
      <c r="C20" s="8" t="s">
        <v>162</v>
      </c>
      <c r="D20" s="8">
        <f>COUNTIF(Tabella1[[#All],[Nome]],'AOSTICAZZI DATA'!A20)</f>
        <v>1</v>
      </c>
      <c r="E20" s="8">
        <f>SUMIFS(Tabella1[[#All],[N° FantaTit]],Tabella1[[#All],[Nome]],'AOSTICAZZI DATA'!A20)</f>
        <v>34</v>
      </c>
      <c r="F20" s="209">
        <f>SUMIFS(Tabella1[[#All],[Voto]],Tabella1[[#All],[Nome]],'AOSTICAZZI DATA'!A20)</f>
        <v>7.0294117647058822</v>
      </c>
      <c r="G20" s="209">
        <f>SUMIFS(Tabella1[[#All],[Voto]],Tabella1[[#All],[N° FantaTit]],1,Tabella1[[#All],[Nome]],A20)</f>
        <v>0</v>
      </c>
      <c r="H20" s="236"/>
      <c r="I20" s="211">
        <f>AVERAGEIFS(Tabella1[[#All],[Voto]],Tabella1[[#All],[Nome]],'AOSTICAZZI DATA'!A20)</f>
        <v>7.0294117647058822</v>
      </c>
      <c r="J20" s="211">
        <f>IFERROR(AVERAGEIFS(Tabella1[[#All],[Voto]],Tabella1[[#All],[N° FantaTit]],1,Tabella1[[#All],[Nome]],'AOSTICAZZI DATA'!A20),0)</f>
        <v>0</v>
      </c>
      <c r="K20" s="210">
        <f>SUMIFS(Tabella1[[#All],[fanta voto]],Tabella1[[#All],[Nome]],'AOSTICAZZI DATA'!A20)</f>
        <v>10.647058823529411</v>
      </c>
      <c r="L20" s="212">
        <f>SUMIFS(Tabella1[[#All],[Votot FantaTit ]],Tabella1[[#All],[N° FantaTit]],1,Tabella1[[#All],[Nome]],A20)</f>
        <v>0</v>
      </c>
      <c r="M20" s="239"/>
      <c r="N20" s="212">
        <f>IFERROR(AVERAGEIFS(Tabella1[[#All],[fanta voto]],Tabella1[[#All],[Nome]],'AOSTICAZZI DATA'!A20),0)</f>
        <v>10.647058823529411</v>
      </c>
      <c r="O20" s="212">
        <f>IFERROR(AVERAGEIFS(Tabella1[[#All],[Votot FantaTit ]],Tabella1[[#All],[N° FantaTit]],1,Tabella1[[#All],[Nome]],'AOSTICAZZI DATA'!A20),0)</f>
        <v>0</v>
      </c>
      <c r="AB20" t="s">
        <v>162</v>
      </c>
      <c r="AC20" s="381" t="s">
        <v>1022</v>
      </c>
      <c r="AF20" s="168"/>
      <c r="AG20" s="217"/>
      <c r="AI20" s="291"/>
    </row>
    <row r="21" spans="1:55" x14ac:dyDescent="0.3">
      <c r="A21" s="289"/>
      <c r="B21" s="290"/>
      <c r="C21" s="8" t="s">
        <v>162</v>
      </c>
      <c r="D21" s="8">
        <f>COUNTIF(Tabella1[[#All],[Nome]],'AOSTICAZZI DATA'!A21)</f>
        <v>1</v>
      </c>
      <c r="E21" s="8">
        <f>SUMIFS(Tabella1[[#All],[N° FantaTit]],Tabella1[[#All],[Nome]],'AOSTICAZZI DATA'!A21)</f>
        <v>34</v>
      </c>
      <c r="F21" s="209">
        <f>SUMIFS(Tabella1[[#All],[Voto]],Tabella1[[#All],[Nome]],'AOSTICAZZI DATA'!A21)</f>
        <v>7.0294117647058822</v>
      </c>
      <c r="G21" s="209">
        <f>SUMIFS(Tabella1[[#All],[Voto]],Tabella1[[#All],[N° FantaTit]],1,Tabella1[[#All],[Nome]],A21)</f>
        <v>0</v>
      </c>
      <c r="H21" s="236"/>
      <c r="I21" s="211">
        <f>AVERAGEIFS(Tabella1[[#All],[Voto]],Tabella1[[#All],[Nome]],'AOSTICAZZI DATA'!A21)</f>
        <v>7.0294117647058822</v>
      </c>
      <c r="J21" s="211">
        <f>IFERROR(AVERAGEIFS(Tabella1[[#All],[Voto]],Tabella1[[#All],[N° FantaTit]],1,Tabella1[[#All],[Nome]],'AOSTICAZZI DATA'!A21),0)</f>
        <v>0</v>
      </c>
      <c r="K21" s="210">
        <f>SUMIFS(Tabella1[[#All],[fanta voto]],Tabella1[[#All],[Nome]],'AOSTICAZZI DATA'!A21)</f>
        <v>10.647058823529411</v>
      </c>
      <c r="L21" s="212">
        <f>SUMIFS(Tabella1[[#All],[Votot FantaTit ]],Tabella1[[#All],[N° FantaTit]],1,Tabella1[[#All],[Nome]],A21)</f>
        <v>0</v>
      </c>
      <c r="M21" s="239"/>
      <c r="N21" s="212">
        <f>IFERROR(AVERAGEIFS(Tabella1[[#All],[fanta voto]],Tabella1[[#All],[Nome]],'AOSTICAZZI DATA'!A21),0)</f>
        <v>10.647058823529411</v>
      </c>
      <c r="O21" s="212">
        <f>IFERROR(AVERAGEIFS(Tabella1[[#All],[Votot FantaTit ]],Tabella1[[#All],[N° FantaTit]],1,Tabella1[[#All],[Nome]],'AOSTICAZZI DATA'!A21),0)</f>
        <v>0</v>
      </c>
      <c r="AB21" t="s">
        <v>162</v>
      </c>
      <c r="AC21" s="381" t="s">
        <v>1023</v>
      </c>
      <c r="AF21" s="13"/>
      <c r="AG21" s="395"/>
      <c r="AI21" s="291"/>
    </row>
    <row r="22" spans="1:55" ht="15" thickBot="1" x14ac:dyDescent="0.35">
      <c r="A22" s="287"/>
      <c r="B22" s="288"/>
      <c r="C22" s="8" t="s">
        <v>162</v>
      </c>
      <c r="D22" s="8">
        <f>COUNTIF(Tabella1[[#All],[Nome]],'AOSTICAZZI DATA'!A22)</f>
        <v>1</v>
      </c>
      <c r="E22" s="8">
        <f>SUMIFS(Tabella1[[#All],[N° FantaTit]],Tabella1[[#All],[Nome]],'AOSTICAZZI DATA'!A22)</f>
        <v>34</v>
      </c>
      <c r="F22" s="209">
        <f>SUMIFS(Tabella1[[#All],[Voto]],Tabella1[[#All],[Nome]],'AOSTICAZZI DATA'!A22)</f>
        <v>7.0294117647058822</v>
      </c>
      <c r="G22" s="209">
        <f>SUMIFS(Tabella1[[#All],[Voto]],Tabella1[[#All],[N° FantaTit]],1,Tabella1[[#All],[Nome]],A22)</f>
        <v>0</v>
      </c>
      <c r="H22" s="236"/>
      <c r="I22" s="211">
        <f>AVERAGEIFS(Tabella1[[#All],[Voto]],Tabella1[[#All],[Nome]],'AOSTICAZZI DATA'!A22)</f>
        <v>7.0294117647058822</v>
      </c>
      <c r="J22" s="211">
        <f>IFERROR(AVERAGEIFS(Tabella1[[#All],[Voto]],Tabella1[[#All],[N° FantaTit]],1,Tabella1[[#All],[Nome]],'AOSTICAZZI DATA'!A22),0)</f>
        <v>0</v>
      </c>
      <c r="K22" s="210">
        <f>SUMIFS(Tabella1[[#All],[fanta voto]],Tabella1[[#All],[Nome]],'AOSTICAZZI DATA'!A22)</f>
        <v>10.647058823529411</v>
      </c>
      <c r="L22" s="212">
        <f>SUMIFS(Tabella1[[#All],[Votot FantaTit ]],Tabella1[[#All],[N° FantaTit]],1,Tabella1[[#All],[Nome]],A22)</f>
        <v>0</v>
      </c>
      <c r="M22" s="239"/>
      <c r="N22" s="212">
        <f>IFERROR(AVERAGEIFS(Tabella1[[#All],[fanta voto]],Tabella1[[#All],[Nome]],'AOSTICAZZI DATA'!A22),0)</f>
        <v>10.647058823529411</v>
      </c>
      <c r="O22" s="212">
        <f>IFERROR(AVERAGEIFS(Tabella1[[#All],[Votot FantaTit ]],Tabella1[[#All],[N° FantaTit]],1,Tabella1[[#All],[Nome]],'AOSTICAZZI DATA'!A22),0)</f>
        <v>0</v>
      </c>
      <c r="AB22" t="s">
        <v>162</v>
      </c>
      <c r="AC22" s="381" t="s">
        <v>1030</v>
      </c>
      <c r="AF22" s="168"/>
      <c r="AG22" s="184"/>
      <c r="AI22" s="291"/>
    </row>
    <row r="23" spans="1:55" x14ac:dyDescent="0.3">
      <c r="A23" s="287"/>
      <c r="B23" s="288"/>
      <c r="C23" s="8" t="s">
        <v>163</v>
      </c>
      <c r="D23" s="8">
        <f>COUNTIF(Tabella1[[#All],[Nome]],'AOSTICAZZI DATA'!A23)</f>
        <v>1</v>
      </c>
      <c r="E23" s="8">
        <f>SUMIFS(Tabella1[[#All],[N° FantaTit]],Tabella1[[#All],[Nome]],'AOSTICAZZI DATA'!A23)</f>
        <v>34</v>
      </c>
      <c r="F23" s="209">
        <f>SUMIFS(Tabella1[[#All],[Voto]],Tabella1[[#All],[Nome]],'AOSTICAZZI DATA'!A23)</f>
        <v>7.0294117647058822</v>
      </c>
      <c r="G23" s="209">
        <f>SUMIFS(Tabella1[[#All],[Voto]],Tabella1[[#All],[N° FantaTit]],1,Tabella1[[#All],[Nome]],A23)</f>
        <v>0</v>
      </c>
      <c r="H23" s="236"/>
      <c r="I23" s="211">
        <f>AVERAGEIFS(Tabella1[[#All],[Voto]],Tabella1[[#All],[Nome]],'AOSTICAZZI DATA'!A23)</f>
        <v>7.0294117647058822</v>
      </c>
      <c r="J23" s="211">
        <f>IFERROR(AVERAGEIFS(Tabella1[[#All],[Voto]],Tabella1[[#All],[N° FantaTit]],1,Tabella1[[#All],[Nome]],'AOSTICAZZI DATA'!A23),0)</f>
        <v>0</v>
      </c>
      <c r="K23" s="210">
        <f>SUMIFS(Tabella1[[#All],[fanta voto]],Tabella1[[#All],[Nome]],'AOSTICAZZI DATA'!A23)</f>
        <v>10.647058823529411</v>
      </c>
      <c r="L23" s="212">
        <f>SUMIFS(Tabella1[[#All],[Votot FantaTit ]],Tabella1[[#All],[N° FantaTit]],1,Tabella1[[#All],[Nome]],A23)</f>
        <v>0</v>
      </c>
      <c r="M23" s="239"/>
      <c r="N23" s="212">
        <f>IFERROR(AVERAGEIFS(Tabella1[[#All],[fanta voto]],Tabella1[[#All],[Nome]],'AOSTICAZZI DATA'!A23),0)</f>
        <v>10.647058823529411</v>
      </c>
      <c r="O23" s="212">
        <f>IFERROR(AVERAGEIFS(Tabella1[[#All],[Votot FantaTit ]],Tabella1[[#All],[N° FantaTit]],1,Tabella1[[#All],[Nome]],'AOSTICAZZI DATA'!A23),0)</f>
        <v>0</v>
      </c>
      <c r="AB23" t="s">
        <v>163</v>
      </c>
      <c r="AC23" s="383" t="s">
        <v>1008</v>
      </c>
      <c r="AF23" s="395"/>
      <c r="AG23" s="13"/>
      <c r="AI23" s="291"/>
      <c r="AV23" t="s">
        <v>399</v>
      </c>
    </row>
    <row r="24" spans="1:55" x14ac:dyDescent="0.3">
      <c r="A24" s="287"/>
      <c r="B24" s="288"/>
      <c r="C24" s="8" t="s">
        <v>163</v>
      </c>
      <c r="D24" s="8">
        <f>COUNTIF(Tabella1[[#All],[Nome]],'AOSTICAZZI DATA'!A24)</f>
        <v>1</v>
      </c>
      <c r="E24" s="8">
        <f>SUMIFS(Tabella1[[#All],[N° FantaTit]],Tabella1[[#All],[Nome]],'AOSTICAZZI DATA'!A24)</f>
        <v>34</v>
      </c>
      <c r="F24" s="209">
        <f>SUMIFS(Tabella1[[#All],[Voto]],Tabella1[[#All],[Nome]],'AOSTICAZZI DATA'!A24)</f>
        <v>7.0294117647058822</v>
      </c>
      <c r="G24" s="209">
        <f>SUMIFS(Tabella1[[#All],[Voto]],Tabella1[[#All],[N° FantaTit]],1,Tabella1[[#All],[Nome]],A24)</f>
        <v>0</v>
      </c>
      <c r="H24" s="236"/>
      <c r="I24" s="211">
        <f>AVERAGEIFS(Tabella1[[#All],[Voto]],Tabella1[[#All],[Nome]],'AOSTICAZZI DATA'!A24)</f>
        <v>7.0294117647058822</v>
      </c>
      <c r="J24" s="211">
        <f>IFERROR(AVERAGEIFS(Tabella1[[#All],[Voto]],Tabella1[[#All],[N° FantaTit]],1,Tabella1[[#All],[Nome]],'AOSTICAZZI DATA'!A24),0)</f>
        <v>0</v>
      </c>
      <c r="K24" s="210">
        <f>SUMIFS(Tabella1[[#All],[fanta voto]],Tabella1[[#All],[Nome]],'AOSTICAZZI DATA'!A24)</f>
        <v>10.647058823529411</v>
      </c>
      <c r="L24" s="212">
        <f>SUMIFS(Tabella1[[#All],[Votot FantaTit ]],Tabella1[[#All],[N° FantaTit]],1,Tabella1[[#All],[Nome]],A24)</f>
        <v>0</v>
      </c>
      <c r="M24" s="239"/>
      <c r="N24" s="212">
        <f>IFERROR(AVERAGEIFS(Tabella1[[#All],[fanta voto]],Tabella1[[#All],[Nome]],'AOSTICAZZI DATA'!A24),0)</f>
        <v>10.647058823529411</v>
      </c>
      <c r="O24" s="212">
        <f>IFERROR(AVERAGEIFS(Tabella1[[#All],[Votot FantaTit ]],Tabella1[[#All],[N° FantaTit]],1,Tabella1[[#All],[Nome]],'AOSTICAZZI DATA'!A24),0)</f>
        <v>0</v>
      </c>
      <c r="AB24" t="s">
        <v>163</v>
      </c>
      <c r="AC24" s="384" t="s">
        <v>1009</v>
      </c>
      <c r="AF24" s="13"/>
      <c r="AG24" s="168"/>
      <c r="AI24" s="291"/>
    </row>
    <row r="25" spans="1:55" x14ac:dyDescent="0.3">
      <c r="A25" s="287"/>
      <c r="B25" s="288"/>
      <c r="C25" s="8" t="s">
        <v>163</v>
      </c>
      <c r="D25" s="8">
        <f>COUNTIF(Tabella1[[#All],[Nome]],'AOSTICAZZI DATA'!A25)</f>
        <v>1</v>
      </c>
      <c r="E25" s="8">
        <f>SUMIFS(Tabella1[[#All],[N° FantaTit]],Tabella1[[#All],[Nome]],'AOSTICAZZI DATA'!A25)</f>
        <v>34</v>
      </c>
      <c r="F25" s="209">
        <f>SUMIFS(Tabella1[[#All],[Voto]],Tabella1[[#All],[Nome]],'AOSTICAZZI DATA'!A25)</f>
        <v>7.0294117647058822</v>
      </c>
      <c r="G25" s="209">
        <f>SUMIFS(Tabella1[[#All],[Voto]],Tabella1[[#All],[N° FantaTit]],1,Tabella1[[#All],[Nome]],A25)</f>
        <v>0</v>
      </c>
      <c r="H25" s="236"/>
      <c r="I25" s="211">
        <f>AVERAGEIFS(Tabella1[[#All],[Voto]],Tabella1[[#All],[Nome]],'AOSTICAZZI DATA'!A25)</f>
        <v>7.0294117647058822</v>
      </c>
      <c r="J25" s="211">
        <f>IFERROR(AVERAGEIFS(Tabella1[[#All],[Voto]],Tabella1[[#All],[N° FantaTit]],1,Tabella1[[#All],[Nome]],'AOSTICAZZI DATA'!A25),0)</f>
        <v>0</v>
      </c>
      <c r="K25" s="210">
        <f>SUMIFS(Tabella1[[#All],[fanta voto]],Tabella1[[#All],[Nome]],'AOSTICAZZI DATA'!A25)</f>
        <v>10.647058823529411</v>
      </c>
      <c r="L25" s="212">
        <f>SUMIFS(Tabella1[[#All],[Votot FantaTit ]],Tabella1[[#All],[N° FantaTit]],1,Tabella1[[#All],[Nome]],A25)</f>
        <v>0</v>
      </c>
      <c r="M25" s="239"/>
      <c r="N25" s="212">
        <f>IFERROR(AVERAGEIFS(Tabella1[[#All],[fanta voto]],Tabella1[[#All],[Nome]],'AOSTICAZZI DATA'!A25),0)</f>
        <v>10.647058823529411</v>
      </c>
      <c r="O25" s="212">
        <f>IFERROR(AVERAGEIFS(Tabella1[[#All],[Votot FantaTit ]],Tabella1[[#All],[N° FantaTit]],1,Tabella1[[#All],[Nome]],'AOSTICAZZI DATA'!A25),0)</f>
        <v>0</v>
      </c>
      <c r="AB25" t="s">
        <v>163</v>
      </c>
      <c r="AC25" s="384" t="s">
        <v>1010</v>
      </c>
      <c r="AF25" s="168"/>
      <c r="AG25" s="395"/>
      <c r="AI25" s="291"/>
    </row>
    <row r="26" spans="1:55" x14ac:dyDescent="0.3">
      <c r="A26" s="287"/>
      <c r="B26" s="288"/>
      <c r="C26" s="8" t="s">
        <v>163</v>
      </c>
      <c r="D26" s="8">
        <f>COUNTIF(Tabella1[[#All],[Nome]],'AOSTICAZZI DATA'!A26)</f>
        <v>1</v>
      </c>
      <c r="E26" s="8">
        <f>SUMIFS(Tabella1[[#All],[N° FantaTit]],Tabella1[[#All],[Nome]],'AOSTICAZZI DATA'!A26)</f>
        <v>34</v>
      </c>
      <c r="F26" s="209">
        <f>SUMIFS(Tabella1[[#All],[Voto]],Tabella1[[#All],[Nome]],'AOSTICAZZI DATA'!A26)</f>
        <v>7.0294117647058822</v>
      </c>
      <c r="G26" s="209">
        <f>SUMIFS(Tabella1[[#All],[Voto]],Tabella1[[#All],[N° FantaTit]],1,Tabella1[[#All],[Nome]],A26)</f>
        <v>0</v>
      </c>
      <c r="H26" s="236"/>
      <c r="I26" s="211">
        <f>AVERAGEIFS(Tabella1[[#All],[Voto]],Tabella1[[#All],[Nome]],'AOSTICAZZI DATA'!A26)</f>
        <v>7.0294117647058822</v>
      </c>
      <c r="J26" s="211">
        <f>IFERROR(AVERAGEIFS(Tabella1[[#All],[Voto]],Tabella1[[#All],[N° FantaTit]],1,Tabella1[[#All],[Nome]],'AOSTICAZZI DATA'!A26),0)</f>
        <v>0</v>
      </c>
      <c r="K26" s="210">
        <f>SUMIFS(Tabella1[[#All],[fanta voto]],Tabella1[[#All],[Nome]],'AOSTICAZZI DATA'!A26)</f>
        <v>10.647058823529411</v>
      </c>
      <c r="L26" s="212">
        <f>SUMIFS(Tabella1[[#All],[Votot FantaTit ]],Tabella1[[#All],[N° FantaTit]],1,Tabella1[[#All],[Nome]],A26)</f>
        <v>0</v>
      </c>
      <c r="M26" s="239"/>
      <c r="N26" s="212">
        <f>IFERROR(AVERAGEIFS(Tabella1[[#All],[fanta voto]],Tabella1[[#All],[Nome]],'AOSTICAZZI DATA'!A26),0)</f>
        <v>10.647058823529411</v>
      </c>
      <c r="O26" s="212">
        <f>IFERROR(AVERAGEIFS(Tabella1[[#All],[Votot FantaTit ]],Tabella1[[#All],[N° FantaTit]],1,Tabella1[[#All],[Nome]],'AOSTICAZZI DATA'!A26),0)</f>
        <v>0</v>
      </c>
      <c r="AB26" t="s">
        <v>163</v>
      </c>
      <c r="AC26" s="384" t="s">
        <v>1031</v>
      </c>
      <c r="AF26" s="168"/>
      <c r="AG26" s="395"/>
      <c r="AI26" s="291"/>
    </row>
    <row r="27" spans="1:55" x14ac:dyDescent="0.3">
      <c r="A27" s="289"/>
      <c r="B27" s="290"/>
      <c r="C27" s="8" t="s">
        <v>163</v>
      </c>
      <c r="D27" s="8">
        <f>COUNTIF(Tabella1[[#All],[Nome]],'AOSTICAZZI DATA'!A27)</f>
        <v>1</v>
      </c>
      <c r="E27" s="8">
        <f>SUMIFS(Tabella1[[#All],[N° FantaTit]],Tabella1[[#All],[Nome]],'AOSTICAZZI DATA'!A27)</f>
        <v>34</v>
      </c>
      <c r="F27" s="209">
        <f>SUMIFS(Tabella1[[#All],[Voto]],Tabella1[[#All],[Nome]],'AOSTICAZZI DATA'!A27)</f>
        <v>7.0294117647058822</v>
      </c>
      <c r="G27" s="209">
        <f>SUMIFS(Tabella1[[#All],[Voto]],Tabella1[[#All],[N° FantaTit]],1,Tabella1[[#All],[Nome]],A27)</f>
        <v>0</v>
      </c>
      <c r="H27" s="236"/>
      <c r="I27" s="211">
        <f>AVERAGEIFS(Tabella1[[#All],[Voto]],Tabella1[[#All],[Nome]],'AOSTICAZZI DATA'!A27)</f>
        <v>7.0294117647058822</v>
      </c>
      <c r="J27" s="211">
        <f>IFERROR(AVERAGEIFS(Tabella1[[#All],[Voto]],Tabella1[[#All],[N° FantaTit]],1,Tabella1[[#All],[Nome]],'AOSTICAZZI DATA'!A27),0)</f>
        <v>0</v>
      </c>
      <c r="K27" s="210">
        <f>SUMIFS(Tabella1[[#All],[fanta voto]],Tabella1[[#All],[Nome]],'AOSTICAZZI DATA'!A27)</f>
        <v>10.647058823529411</v>
      </c>
      <c r="L27" s="212">
        <f>SUMIFS(Tabella1[[#All],[Votot FantaTit ]],Tabella1[[#All],[N° FantaTit]],1,Tabella1[[#All],[Nome]],A27)</f>
        <v>0</v>
      </c>
      <c r="M27" s="239"/>
      <c r="N27" s="212">
        <f>IFERROR(AVERAGEIFS(Tabella1[[#All],[fanta voto]],Tabella1[[#All],[Nome]],'AOSTICAZZI DATA'!A27),0)</f>
        <v>10.647058823529411</v>
      </c>
      <c r="O27" s="212">
        <f>IFERROR(AVERAGEIFS(Tabella1[[#All],[Votot FantaTit ]],Tabella1[[#All],[N° FantaTit]],1,Tabella1[[#All],[Nome]],'AOSTICAZZI DATA'!A27),0)</f>
        <v>0</v>
      </c>
      <c r="AB27" t="s">
        <v>163</v>
      </c>
      <c r="AC27" s="384" t="s">
        <v>1021</v>
      </c>
      <c r="AF27" s="395"/>
      <c r="AG27" s="184"/>
      <c r="AI27" s="291"/>
    </row>
    <row r="28" spans="1:55" ht="15" thickBot="1" x14ac:dyDescent="0.35">
      <c r="A28" s="289"/>
      <c r="B28" s="290"/>
      <c r="C28" s="8" t="s">
        <v>163</v>
      </c>
      <c r="D28" s="8">
        <f>COUNTIF(Tabella1[[#All],[Nome]],'AOSTICAZZI DATA'!A28)</f>
        <v>1</v>
      </c>
      <c r="E28" s="8">
        <f>SUMIFS(Tabella1[[#All],[N° FantaTit]],Tabella1[[#All],[Nome]],'AOSTICAZZI DATA'!A28)</f>
        <v>34</v>
      </c>
      <c r="F28" s="209">
        <f>SUMIFS(Tabella1[[#All],[Voto]],Tabella1[[#All],[Nome]],'AOSTICAZZI DATA'!A28)</f>
        <v>7.0294117647058822</v>
      </c>
      <c r="G28" s="209">
        <f>SUMIFS(Tabella1[[#All],[Voto]],Tabella1[[#All],[N° FantaTit]],1,Tabella1[[#All],[Nome]],A28)</f>
        <v>0</v>
      </c>
      <c r="H28" s="236"/>
      <c r="I28" s="211">
        <f>AVERAGEIFS(Tabella1[[#All],[Voto]],Tabella1[[#All],[Nome]],'AOSTICAZZI DATA'!A28)</f>
        <v>7.0294117647058822</v>
      </c>
      <c r="J28" s="211">
        <f>IFERROR(AVERAGEIFS(Tabella1[[#All],[Voto]],Tabella1[[#All],[N° FantaTit]],1,Tabella1[[#All],[Nome]],'AOSTICAZZI DATA'!A28),0)</f>
        <v>0</v>
      </c>
      <c r="K28" s="210">
        <f>SUMIFS(Tabella1[[#All],[fanta voto]],Tabella1[[#All],[Nome]],'AOSTICAZZI DATA'!A28)</f>
        <v>10.647058823529411</v>
      </c>
      <c r="L28" s="212">
        <f>SUMIFS(Tabella1[[#All],[Votot FantaTit ]],Tabella1[[#All],[N° FantaTit]],1,Tabella1[[#All],[Nome]],A28)</f>
        <v>0</v>
      </c>
      <c r="M28" s="239"/>
      <c r="N28" s="212">
        <f>IFERROR(AVERAGEIFS(Tabella1[[#All],[fanta voto]],Tabella1[[#All],[Nome]],'AOSTICAZZI DATA'!A28),0)</f>
        <v>10.647058823529411</v>
      </c>
      <c r="O28" s="212">
        <f>IFERROR(AVERAGEIFS(Tabella1[[#All],[Votot FantaTit ]],Tabella1[[#All],[N° FantaTit]],1,Tabella1[[#All],[Nome]],'AOSTICAZZI DATA'!A28),0)</f>
        <v>0</v>
      </c>
      <c r="AB28" t="s">
        <v>163</v>
      </c>
      <c r="AC28" s="385" t="s">
        <v>1032</v>
      </c>
      <c r="AF28" s="168"/>
      <c r="AG28" s="184"/>
    </row>
    <row r="33" spans="2:30" x14ac:dyDescent="0.3">
      <c r="D33" s="461" t="s">
        <v>400</v>
      </c>
      <c r="E33" s="461"/>
      <c r="F33" s="461"/>
      <c r="G33" s="461"/>
      <c r="I33" s="462" t="s">
        <v>401</v>
      </c>
      <c r="J33" s="462"/>
      <c r="K33" s="462"/>
      <c r="L33" s="462"/>
      <c r="M33" s="239"/>
      <c r="N33" s="461" t="s">
        <v>402</v>
      </c>
      <c r="O33" s="461"/>
      <c r="P33" s="461"/>
      <c r="Q33" s="461"/>
      <c r="R33" s="234"/>
      <c r="S33" s="462" t="s">
        <v>403</v>
      </c>
      <c r="T33" s="462"/>
      <c r="U33" s="462"/>
      <c r="V33" s="462"/>
      <c r="W33" s="239"/>
      <c r="X33" s="461" t="s">
        <v>404</v>
      </c>
      <c r="Y33" s="461"/>
      <c r="Z33" s="461"/>
      <c r="AA33" s="461"/>
    </row>
    <row r="34" spans="2:30" x14ac:dyDescent="0.3">
      <c r="I34" s="210"/>
      <c r="J34" s="212"/>
      <c r="K34" s="210"/>
      <c r="L34" s="212"/>
      <c r="M34" s="239"/>
      <c r="S34" s="210"/>
      <c r="T34" s="212"/>
      <c r="U34" s="210"/>
      <c r="V34" s="212"/>
      <c r="W34" s="239"/>
    </row>
    <row r="35" spans="2:30" x14ac:dyDescent="0.3">
      <c r="D35" s="232" t="s">
        <v>3</v>
      </c>
      <c r="E35" s="232" t="s">
        <v>405</v>
      </c>
      <c r="F35" s="232" t="s">
        <v>178</v>
      </c>
      <c r="G35" s="232" t="s">
        <v>406</v>
      </c>
      <c r="H35" s="232"/>
      <c r="I35" s="232" t="s">
        <v>3</v>
      </c>
      <c r="J35" s="245" t="s">
        <v>405</v>
      </c>
      <c r="K35" s="232" t="s">
        <v>178</v>
      </c>
      <c r="L35" s="245" t="s">
        <v>406</v>
      </c>
      <c r="M35" s="232"/>
      <c r="N35" s="232" t="s">
        <v>3</v>
      </c>
      <c r="O35" s="245" t="s">
        <v>405</v>
      </c>
      <c r="P35" s="232" t="s">
        <v>178</v>
      </c>
      <c r="Q35" s="245" t="s">
        <v>406</v>
      </c>
      <c r="R35" s="232"/>
      <c r="S35" s="232" t="s">
        <v>3</v>
      </c>
      <c r="T35" s="245" t="s">
        <v>405</v>
      </c>
      <c r="U35" s="232" t="s">
        <v>178</v>
      </c>
      <c r="V35" s="245" t="s">
        <v>406</v>
      </c>
      <c r="W35" s="232"/>
      <c r="X35" s="232" t="s">
        <v>3</v>
      </c>
      <c r="Y35" s="245" t="s">
        <v>405</v>
      </c>
      <c r="Z35" s="232" t="s">
        <v>178</v>
      </c>
      <c r="AA35" s="245" t="s">
        <v>406</v>
      </c>
      <c r="AC35" s="8" t="s">
        <v>407</v>
      </c>
      <c r="AD35" t="s">
        <v>408</v>
      </c>
    </row>
    <row r="36" spans="2:30" ht="15" thickBot="1" x14ac:dyDescent="0.35">
      <c r="B36" s="8" t="s">
        <v>409</v>
      </c>
      <c r="I36" s="210"/>
      <c r="J36" s="212"/>
      <c r="K36" s="210"/>
      <c r="L36" s="212"/>
      <c r="M36" s="239"/>
      <c r="S36" s="210"/>
      <c r="T36" s="212"/>
      <c r="U36" s="210"/>
      <c r="V36" s="212"/>
      <c r="W36" s="239"/>
    </row>
    <row r="37" spans="2:30" ht="15" thickTop="1" x14ac:dyDescent="0.3">
      <c r="B37" s="258">
        <v>1</v>
      </c>
      <c r="C37" s="237">
        <f t="shared" ref="C37:C47" si="0">SUM(H37,M37,R37,W37)</f>
        <v>0</v>
      </c>
      <c r="D37" s="223">
        <f>SUM(I37,N37,S37,X37)</f>
        <v>0</v>
      </c>
      <c r="E37" s="229" t="e">
        <f>SUM(D37/C37)</f>
        <v>#DIV/0!</v>
      </c>
      <c r="F37" s="223">
        <f>SUM(K37,P37,U37,Z37)</f>
        <v>0</v>
      </c>
      <c r="G37" s="229" t="e">
        <f>SUM(F37/C37)</f>
        <v>#DIV/0!</v>
      </c>
      <c r="H37" s="237"/>
      <c r="I37" s="224"/>
      <c r="J37" s="246"/>
      <c r="K37" s="224"/>
      <c r="L37" s="246"/>
      <c r="M37" s="237"/>
      <c r="N37" s="223"/>
      <c r="O37" s="229"/>
      <c r="P37" s="223"/>
      <c r="Q37" s="229"/>
      <c r="R37" s="237"/>
      <c r="S37" s="224"/>
      <c r="T37" s="246"/>
      <c r="U37" s="224"/>
      <c r="V37" s="246"/>
      <c r="W37" s="237"/>
      <c r="X37" s="223"/>
      <c r="Y37" s="229"/>
      <c r="Z37" s="223"/>
      <c r="AA37" s="255"/>
      <c r="AC37" s="8"/>
    </row>
    <row r="38" spans="2:30" x14ac:dyDescent="0.3">
      <c r="B38" s="259">
        <v>2</v>
      </c>
      <c r="C38" s="220">
        <f t="shared" si="0"/>
        <v>0</v>
      </c>
      <c r="D38" s="225">
        <f t="shared" ref="D38:D47" si="1">SUM(I38,N38,S38,X38)</f>
        <v>0</v>
      </c>
      <c r="E38" s="230" t="e">
        <f t="shared" ref="E38:E48" si="2">SUM(D38/C38)</f>
        <v>#DIV/0!</v>
      </c>
      <c r="F38" s="225">
        <f>SUM(K38,P38,U38,Z38)</f>
        <v>0</v>
      </c>
      <c r="G38" s="230" t="e">
        <f t="shared" ref="G38:G48" si="3">SUM(F38/C38)</f>
        <v>#DIV/0!</v>
      </c>
      <c r="H38" s="220"/>
      <c r="I38" s="226"/>
      <c r="J38" s="247"/>
      <c r="K38" s="226"/>
      <c r="L38" s="247"/>
      <c r="M38" s="220"/>
      <c r="N38" s="225"/>
      <c r="O38" s="230"/>
      <c r="P38" s="225"/>
      <c r="Q38" s="230"/>
      <c r="R38" s="220"/>
      <c r="S38" s="226"/>
      <c r="T38" s="247"/>
      <c r="U38" s="226"/>
      <c r="V38" s="247"/>
      <c r="W38" s="220"/>
      <c r="X38" s="225"/>
      <c r="Y38" s="230"/>
      <c r="Z38" s="225"/>
      <c r="AA38" s="256"/>
      <c r="AC38" s="8"/>
    </row>
    <row r="39" spans="2:30" x14ac:dyDescent="0.3">
      <c r="B39" s="259">
        <v>3</v>
      </c>
      <c r="C39" s="220">
        <f t="shared" si="0"/>
        <v>0</v>
      </c>
      <c r="D39" s="225">
        <f t="shared" si="1"/>
        <v>0</v>
      </c>
      <c r="E39" s="230" t="e">
        <f t="shared" si="2"/>
        <v>#DIV/0!</v>
      </c>
      <c r="F39" s="225">
        <f>SUM(K39,P39,U39,Z39)</f>
        <v>0</v>
      </c>
      <c r="G39" s="230" t="e">
        <f t="shared" si="3"/>
        <v>#DIV/0!</v>
      </c>
      <c r="H39" s="220"/>
      <c r="I39" s="226"/>
      <c r="J39" s="247"/>
      <c r="K39" s="226"/>
      <c r="L39" s="247"/>
      <c r="M39" s="220"/>
      <c r="N39" s="225"/>
      <c r="O39" s="230"/>
      <c r="P39" s="225"/>
      <c r="Q39" s="230"/>
      <c r="R39" s="220"/>
      <c r="S39" s="226"/>
      <c r="T39" s="247"/>
      <c r="U39" s="226"/>
      <c r="V39" s="247"/>
      <c r="W39" s="220"/>
      <c r="X39" s="225"/>
      <c r="Y39" s="230"/>
      <c r="Z39" s="225"/>
      <c r="AA39" s="256"/>
      <c r="AC39" s="8"/>
    </row>
    <row r="40" spans="2:30" x14ac:dyDescent="0.3">
      <c r="B40" s="259">
        <v>4</v>
      </c>
      <c r="C40" s="220">
        <f t="shared" si="0"/>
        <v>0</v>
      </c>
      <c r="D40" s="225">
        <f t="shared" si="1"/>
        <v>0</v>
      </c>
      <c r="E40" s="230" t="e">
        <f t="shared" si="2"/>
        <v>#DIV/0!</v>
      </c>
      <c r="F40" s="225">
        <f>SUM(K40,P40,U40,Z40)</f>
        <v>0</v>
      </c>
      <c r="G40" s="230" t="e">
        <f t="shared" si="3"/>
        <v>#DIV/0!</v>
      </c>
      <c r="H40" s="220"/>
      <c r="I40" s="226"/>
      <c r="J40" s="247"/>
      <c r="K40" s="226"/>
      <c r="L40" s="247"/>
      <c r="M40" s="220"/>
      <c r="N40" s="225"/>
      <c r="O40" s="230"/>
      <c r="P40" s="225"/>
      <c r="Q40" s="230"/>
      <c r="R40" s="220"/>
      <c r="S40" s="226"/>
      <c r="T40" s="247"/>
      <c r="U40" s="226"/>
      <c r="V40" s="247"/>
      <c r="W40" s="220"/>
      <c r="X40" s="225"/>
      <c r="Y40" s="230"/>
      <c r="Z40" s="225"/>
      <c r="AA40" s="256"/>
      <c r="AC40" s="8"/>
    </row>
    <row r="41" spans="2:30" ht="15" thickBot="1" x14ac:dyDescent="0.35">
      <c r="B41" s="260">
        <v>5</v>
      </c>
      <c r="C41" s="238">
        <f t="shared" si="0"/>
        <v>0</v>
      </c>
      <c r="D41" s="227">
        <f t="shared" si="1"/>
        <v>0</v>
      </c>
      <c r="E41" s="231" t="e">
        <f t="shared" si="2"/>
        <v>#DIV/0!</v>
      </c>
      <c r="F41" s="227">
        <f>SUM(K41,P41,U41,Z41)</f>
        <v>0</v>
      </c>
      <c r="G41" s="231" t="e">
        <f t="shared" si="3"/>
        <v>#DIV/0!</v>
      </c>
      <c r="H41" s="238"/>
      <c r="I41" s="228"/>
      <c r="J41" s="248"/>
      <c r="K41" s="228"/>
      <c r="L41" s="248"/>
      <c r="M41" s="238"/>
      <c r="N41" s="227"/>
      <c r="O41" s="231"/>
      <c r="P41" s="227"/>
      <c r="Q41" s="231"/>
      <c r="R41" s="238"/>
      <c r="S41" s="228"/>
      <c r="T41" s="248"/>
      <c r="U41" s="228"/>
      <c r="V41" s="248"/>
      <c r="W41" s="238"/>
      <c r="X41" s="227"/>
      <c r="Y41" s="231"/>
      <c r="Z41" s="227"/>
      <c r="AA41" s="257"/>
      <c r="AC41" s="8"/>
    </row>
    <row r="42" spans="2:30" ht="15" thickTop="1" x14ac:dyDescent="0.3">
      <c r="B42" s="8">
        <v>6</v>
      </c>
      <c r="C42" s="220">
        <f t="shared" si="0"/>
        <v>0</v>
      </c>
      <c r="D42" s="8">
        <f t="shared" si="1"/>
        <v>0</v>
      </c>
      <c r="E42" s="10" t="e">
        <f t="shared" si="2"/>
        <v>#DIV/0!</v>
      </c>
      <c r="F42" s="8">
        <f t="shared" ref="F42:F47" si="4">SUM(K42,P42,U42,Z42)</f>
        <v>0</v>
      </c>
      <c r="G42" s="10" t="e">
        <f t="shared" si="3"/>
        <v>#DIV/0!</v>
      </c>
      <c r="H42" s="220"/>
      <c r="I42" s="210"/>
      <c r="J42" s="212"/>
      <c r="K42" s="210"/>
      <c r="L42" s="212"/>
      <c r="M42" s="220"/>
      <c r="P42" s="8"/>
      <c r="Q42" s="10"/>
      <c r="R42" s="220"/>
      <c r="S42" s="210"/>
      <c r="T42" s="212"/>
      <c r="U42" s="210"/>
      <c r="V42" s="212"/>
      <c r="W42" s="220"/>
      <c r="AC42" s="8"/>
    </row>
    <row r="43" spans="2:30" x14ac:dyDescent="0.3">
      <c r="B43" s="8">
        <v>7</v>
      </c>
      <c r="C43" s="220">
        <f t="shared" si="0"/>
        <v>0</v>
      </c>
      <c r="D43" s="8">
        <f t="shared" si="1"/>
        <v>0</v>
      </c>
      <c r="E43" s="10" t="e">
        <f t="shared" si="2"/>
        <v>#DIV/0!</v>
      </c>
      <c r="F43" s="8">
        <f t="shared" si="4"/>
        <v>0</v>
      </c>
      <c r="G43" s="10" t="e">
        <f t="shared" si="3"/>
        <v>#DIV/0!</v>
      </c>
      <c r="H43" s="220"/>
      <c r="I43" s="210"/>
      <c r="J43" s="212"/>
      <c r="K43" s="210"/>
      <c r="L43" s="212"/>
      <c r="M43" s="220"/>
      <c r="P43" s="8"/>
      <c r="Q43" s="10"/>
      <c r="R43" s="220"/>
      <c r="S43" s="210"/>
      <c r="T43" s="212"/>
      <c r="U43" s="210"/>
      <c r="V43" s="212"/>
      <c r="W43" s="220"/>
      <c r="AC43" s="8"/>
    </row>
    <row r="44" spans="2:30" x14ac:dyDescent="0.3">
      <c r="B44" s="8">
        <v>8</v>
      </c>
      <c r="C44" s="220">
        <f t="shared" si="0"/>
        <v>0</v>
      </c>
      <c r="D44" s="8">
        <f t="shared" si="1"/>
        <v>0</v>
      </c>
      <c r="E44" s="10" t="e">
        <f t="shared" si="2"/>
        <v>#DIV/0!</v>
      </c>
      <c r="F44" s="8">
        <f t="shared" si="4"/>
        <v>0</v>
      </c>
      <c r="G44" s="10" t="e">
        <f t="shared" si="3"/>
        <v>#DIV/0!</v>
      </c>
      <c r="H44" s="220"/>
      <c r="I44" s="210"/>
      <c r="J44" s="212"/>
      <c r="K44" s="210"/>
      <c r="L44" s="212"/>
      <c r="M44" s="220"/>
      <c r="P44" s="8"/>
      <c r="Q44" s="10"/>
      <c r="R44" s="220"/>
      <c r="S44" s="210"/>
      <c r="T44" s="212"/>
      <c r="U44" s="210"/>
      <c r="V44" s="212"/>
      <c r="W44" s="220"/>
      <c r="AC44" s="8"/>
    </row>
    <row r="45" spans="2:30" x14ac:dyDescent="0.3">
      <c r="B45" s="8">
        <v>9</v>
      </c>
      <c r="C45" s="220">
        <f t="shared" si="0"/>
        <v>0</v>
      </c>
      <c r="D45" s="8">
        <f t="shared" si="1"/>
        <v>0</v>
      </c>
      <c r="E45" s="10" t="e">
        <f t="shared" si="2"/>
        <v>#DIV/0!</v>
      </c>
      <c r="F45" s="8">
        <f t="shared" si="4"/>
        <v>0</v>
      </c>
      <c r="G45" s="10" t="e">
        <f t="shared" si="3"/>
        <v>#DIV/0!</v>
      </c>
      <c r="H45" s="220"/>
      <c r="I45" s="210"/>
      <c r="J45" s="212"/>
      <c r="K45" s="210"/>
      <c r="L45" s="212"/>
      <c r="M45" s="220"/>
      <c r="P45" s="8"/>
      <c r="Q45" s="10"/>
      <c r="R45" s="220"/>
      <c r="S45" s="210"/>
      <c r="T45" s="212"/>
      <c r="U45" s="210"/>
      <c r="V45" s="212"/>
      <c r="W45" s="220"/>
      <c r="AC45" s="8"/>
    </row>
    <row r="46" spans="2:30" x14ac:dyDescent="0.3">
      <c r="B46" s="8">
        <v>10</v>
      </c>
      <c r="C46" s="220">
        <f t="shared" si="0"/>
        <v>0</v>
      </c>
      <c r="D46" s="8">
        <f t="shared" si="1"/>
        <v>0</v>
      </c>
      <c r="E46" s="10" t="e">
        <f t="shared" si="2"/>
        <v>#DIV/0!</v>
      </c>
      <c r="F46" s="8">
        <f t="shared" si="4"/>
        <v>0</v>
      </c>
      <c r="G46" s="10" t="e">
        <f t="shared" si="3"/>
        <v>#DIV/0!</v>
      </c>
      <c r="H46" s="220"/>
      <c r="I46" s="210"/>
      <c r="J46" s="212"/>
      <c r="K46" s="210"/>
      <c r="L46" s="212"/>
      <c r="M46" s="220"/>
      <c r="P46" s="8"/>
      <c r="Q46" s="10"/>
      <c r="R46" s="220"/>
      <c r="S46" s="210"/>
      <c r="T46" s="212"/>
      <c r="U46" s="210"/>
      <c r="V46" s="212"/>
      <c r="W46" s="220"/>
      <c r="AC46" s="8">
        <v>1</v>
      </c>
      <c r="AD46">
        <v>0</v>
      </c>
    </row>
    <row r="47" spans="2:30" x14ac:dyDescent="0.3">
      <c r="B47" s="8">
        <v>11</v>
      </c>
      <c r="C47" s="220">
        <f t="shared" si="0"/>
        <v>0</v>
      </c>
      <c r="D47" s="8">
        <f t="shared" si="1"/>
        <v>0</v>
      </c>
      <c r="E47" s="10" t="e">
        <f t="shared" si="2"/>
        <v>#DIV/0!</v>
      </c>
      <c r="F47" s="8">
        <f t="shared" si="4"/>
        <v>0</v>
      </c>
      <c r="G47" s="10" t="e">
        <f t="shared" si="3"/>
        <v>#DIV/0!</v>
      </c>
      <c r="H47" s="220"/>
      <c r="I47" s="210"/>
      <c r="J47" s="212"/>
      <c r="K47" s="210"/>
      <c r="L47" s="212"/>
      <c r="M47" s="220"/>
      <c r="P47" s="8"/>
      <c r="Q47" s="10"/>
      <c r="R47" s="220"/>
      <c r="S47" s="210"/>
      <c r="T47" s="212"/>
      <c r="U47" s="210"/>
      <c r="V47" s="212"/>
      <c r="W47" s="220"/>
      <c r="AC47" s="8">
        <v>6</v>
      </c>
      <c r="AD47">
        <v>1</v>
      </c>
    </row>
    <row r="48" spans="2:30" x14ac:dyDescent="0.3">
      <c r="B48" s="8">
        <v>12</v>
      </c>
      <c r="C48" s="220">
        <f t="shared" ref="C48:C53" si="5">SUM(H48,M48,R48,W48)</f>
        <v>0</v>
      </c>
      <c r="D48" s="8">
        <f t="shared" ref="D48:D54" si="6">SUM(I48,N48,S48,X48)</f>
        <v>0</v>
      </c>
      <c r="E48" s="10" t="e">
        <f t="shared" si="2"/>
        <v>#DIV/0!</v>
      </c>
      <c r="F48" s="8">
        <f t="shared" ref="F48:F54" si="7">SUM(K48,P48,U48,Z48)</f>
        <v>0</v>
      </c>
      <c r="G48" s="10" t="e">
        <f t="shared" si="3"/>
        <v>#DIV/0!</v>
      </c>
      <c r="H48" s="220"/>
      <c r="I48" s="210"/>
      <c r="J48" s="212"/>
      <c r="K48" s="210"/>
      <c r="L48" s="212"/>
      <c r="M48" s="220"/>
      <c r="P48" s="8"/>
      <c r="Q48" s="10"/>
      <c r="R48" s="220"/>
      <c r="S48" s="210"/>
      <c r="T48" s="212"/>
      <c r="U48" s="210"/>
      <c r="V48" s="212"/>
      <c r="W48" s="220"/>
      <c r="AC48" s="8">
        <v>6</v>
      </c>
      <c r="AD48">
        <v>0</v>
      </c>
    </row>
    <row r="49" spans="2:30" x14ac:dyDescent="0.3">
      <c r="B49" s="8">
        <v>13</v>
      </c>
      <c r="C49" s="220">
        <f t="shared" si="5"/>
        <v>0</v>
      </c>
      <c r="D49" s="8">
        <f t="shared" si="6"/>
        <v>0</v>
      </c>
      <c r="E49" s="10" t="e">
        <f t="shared" ref="E49:E54" si="8">SUM(D49/C49)</f>
        <v>#DIV/0!</v>
      </c>
      <c r="F49" s="8">
        <f t="shared" si="7"/>
        <v>0</v>
      </c>
      <c r="G49" s="10" t="e">
        <f t="shared" ref="G49:G54" si="9">SUM(F49/C49)</f>
        <v>#DIV/0!</v>
      </c>
      <c r="H49" s="220"/>
      <c r="I49" s="210"/>
      <c r="J49" s="212"/>
      <c r="K49" s="210"/>
      <c r="L49" s="212"/>
      <c r="M49" s="220"/>
      <c r="P49" s="8"/>
      <c r="Q49" s="10"/>
      <c r="R49" s="220"/>
      <c r="S49" s="210"/>
      <c r="T49" s="212"/>
      <c r="U49" s="210"/>
      <c r="V49" s="212"/>
      <c r="W49" s="220"/>
      <c r="AC49" s="8">
        <v>7</v>
      </c>
      <c r="AD49">
        <v>2</v>
      </c>
    </row>
    <row r="50" spans="2:30" x14ac:dyDescent="0.3">
      <c r="B50" s="8">
        <v>14</v>
      </c>
      <c r="C50" s="220">
        <f t="shared" si="5"/>
        <v>0</v>
      </c>
      <c r="D50" s="8">
        <f t="shared" si="6"/>
        <v>0</v>
      </c>
      <c r="E50" s="10" t="e">
        <f t="shared" si="8"/>
        <v>#DIV/0!</v>
      </c>
      <c r="F50" s="8">
        <f t="shared" si="7"/>
        <v>0</v>
      </c>
      <c r="G50" s="10" t="e">
        <f t="shared" si="9"/>
        <v>#DIV/0!</v>
      </c>
      <c r="H50" s="220"/>
      <c r="I50" s="210"/>
      <c r="J50" s="212"/>
      <c r="K50" s="210"/>
      <c r="L50" s="212"/>
      <c r="M50" s="220"/>
      <c r="P50" s="8"/>
      <c r="Q50" s="10"/>
      <c r="R50" s="220"/>
      <c r="S50" s="210"/>
      <c r="T50" s="212"/>
      <c r="U50" s="210"/>
      <c r="V50" s="212"/>
      <c r="W50" s="220"/>
      <c r="AC50" s="8">
        <v>7</v>
      </c>
      <c r="AD50">
        <v>2</v>
      </c>
    </row>
    <row r="51" spans="2:30" x14ac:dyDescent="0.3">
      <c r="B51" s="8">
        <v>15</v>
      </c>
      <c r="C51" s="220">
        <f t="shared" si="5"/>
        <v>0</v>
      </c>
      <c r="D51" s="8">
        <f t="shared" si="6"/>
        <v>0</v>
      </c>
      <c r="E51" s="10" t="e">
        <f t="shared" si="8"/>
        <v>#DIV/0!</v>
      </c>
      <c r="F51" s="8">
        <f t="shared" si="7"/>
        <v>0</v>
      </c>
      <c r="G51" s="10" t="e">
        <f t="shared" si="9"/>
        <v>#DIV/0!</v>
      </c>
      <c r="H51" s="220"/>
      <c r="I51" s="210"/>
      <c r="J51" s="212"/>
      <c r="K51" s="210"/>
      <c r="L51" s="212"/>
      <c r="M51" s="220"/>
      <c r="P51" s="8"/>
      <c r="Q51" s="10"/>
      <c r="R51" s="220"/>
      <c r="S51" s="210"/>
      <c r="T51" s="212"/>
      <c r="U51" s="210"/>
      <c r="V51" s="212"/>
      <c r="W51" s="220"/>
      <c r="AC51" s="8">
        <v>4</v>
      </c>
      <c r="AD51">
        <v>1</v>
      </c>
    </row>
    <row r="52" spans="2:30" x14ac:dyDescent="0.3">
      <c r="B52" s="8">
        <v>16</v>
      </c>
      <c r="C52" s="220">
        <f t="shared" si="5"/>
        <v>0</v>
      </c>
      <c r="D52" s="8">
        <f t="shared" si="6"/>
        <v>0</v>
      </c>
      <c r="E52" s="10" t="e">
        <f t="shared" si="8"/>
        <v>#DIV/0!</v>
      </c>
      <c r="F52" s="8">
        <f t="shared" si="7"/>
        <v>0</v>
      </c>
      <c r="G52" s="10" t="e">
        <f t="shared" si="9"/>
        <v>#DIV/0!</v>
      </c>
      <c r="H52" s="220"/>
      <c r="I52" s="210"/>
      <c r="J52" s="212"/>
      <c r="K52" s="210"/>
      <c r="L52" s="212"/>
      <c r="M52" s="220"/>
      <c r="P52" s="8"/>
      <c r="Q52" s="10"/>
      <c r="R52" s="220"/>
      <c r="S52" s="210"/>
      <c r="T52" s="212"/>
      <c r="U52" s="210"/>
      <c r="V52" s="212"/>
      <c r="W52" s="220"/>
      <c r="AC52" s="8">
        <v>2</v>
      </c>
      <c r="AD52">
        <v>3</v>
      </c>
    </row>
    <row r="53" spans="2:30" x14ac:dyDescent="0.3">
      <c r="B53" s="8">
        <v>17</v>
      </c>
      <c r="C53" s="220">
        <f t="shared" si="5"/>
        <v>0</v>
      </c>
      <c r="D53" s="8">
        <f t="shared" si="6"/>
        <v>0</v>
      </c>
      <c r="E53" s="10" t="e">
        <f t="shared" si="8"/>
        <v>#DIV/0!</v>
      </c>
      <c r="F53" s="8">
        <f t="shared" si="7"/>
        <v>0</v>
      </c>
      <c r="G53" s="10" t="e">
        <f t="shared" si="9"/>
        <v>#DIV/0!</v>
      </c>
      <c r="H53" s="220"/>
      <c r="I53" s="210"/>
      <c r="J53" s="212"/>
      <c r="K53" s="210"/>
      <c r="L53" s="212"/>
      <c r="M53" s="220"/>
      <c r="P53" s="8"/>
      <c r="Q53" s="10"/>
      <c r="R53" s="220"/>
      <c r="S53" s="210"/>
      <c r="T53" s="212"/>
      <c r="U53" s="210"/>
      <c r="V53" s="212"/>
      <c r="W53" s="220"/>
      <c r="AC53" s="8">
        <v>2</v>
      </c>
      <c r="AD53">
        <v>4</v>
      </c>
    </row>
    <row r="54" spans="2:30" x14ac:dyDescent="0.3">
      <c r="B54" s="8">
        <v>18</v>
      </c>
      <c r="C54" s="220">
        <f t="shared" ref="C54:C59" si="10">SUM(H54,M54,R54,W54)</f>
        <v>0</v>
      </c>
      <c r="D54" s="8">
        <f t="shared" si="6"/>
        <v>0</v>
      </c>
      <c r="E54" s="10" t="e">
        <f t="shared" si="8"/>
        <v>#DIV/0!</v>
      </c>
      <c r="F54" s="8">
        <f t="shared" si="7"/>
        <v>0</v>
      </c>
      <c r="G54" s="10" t="e">
        <f t="shared" si="9"/>
        <v>#DIV/0!</v>
      </c>
      <c r="H54" s="220"/>
      <c r="I54" s="210"/>
      <c r="J54" s="212"/>
      <c r="K54" s="210"/>
      <c r="L54" s="212"/>
      <c r="M54" s="220"/>
      <c r="P54" s="8"/>
      <c r="Q54" s="10"/>
      <c r="R54" s="220"/>
      <c r="S54" s="210"/>
      <c r="T54" s="212"/>
      <c r="U54" s="210"/>
      <c r="V54" s="212"/>
      <c r="W54" s="220"/>
      <c r="AC54" s="8">
        <v>2</v>
      </c>
      <c r="AD54">
        <v>4</v>
      </c>
    </row>
    <row r="55" spans="2:30" x14ac:dyDescent="0.3">
      <c r="B55" s="8">
        <v>19</v>
      </c>
      <c r="C55" s="220">
        <f t="shared" si="10"/>
        <v>0</v>
      </c>
      <c r="D55" s="8">
        <f t="shared" ref="D55:D60" si="11">SUM(I55,N55,S55,X55)</f>
        <v>0</v>
      </c>
      <c r="E55" s="10" t="e">
        <f t="shared" ref="E55:E60" si="12">SUM(D55/C55)</f>
        <v>#DIV/0!</v>
      </c>
      <c r="F55" s="8">
        <f t="shared" ref="F55:F60" si="13">SUM(K55,P55,U55,Z55)</f>
        <v>0</v>
      </c>
      <c r="G55" s="10" t="e">
        <f t="shared" ref="G55:G60" si="14">SUM(F55/C55)</f>
        <v>#DIV/0!</v>
      </c>
      <c r="H55" s="220"/>
      <c r="I55" s="210"/>
      <c r="J55" s="212"/>
      <c r="K55" s="210"/>
      <c r="L55" s="212"/>
      <c r="M55" s="220"/>
      <c r="P55" s="8"/>
      <c r="Q55" s="10"/>
      <c r="R55" s="220"/>
      <c r="S55" s="210"/>
      <c r="T55" s="212"/>
      <c r="U55" s="210"/>
      <c r="V55" s="212"/>
      <c r="W55" s="220"/>
      <c r="AC55" s="8">
        <v>7</v>
      </c>
      <c r="AD55">
        <v>3</v>
      </c>
    </row>
    <row r="56" spans="2:30" x14ac:dyDescent="0.3">
      <c r="B56" s="8">
        <v>20</v>
      </c>
      <c r="C56" s="220">
        <f t="shared" si="10"/>
        <v>0</v>
      </c>
      <c r="D56" s="8">
        <f t="shared" si="11"/>
        <v>0</v>
      </c>
      <c r="E56" s="10" t="e">
        <f t="shared" si="12"/>
        <v>#DIV/0!</v>
      </c>
      <c r="F56" s="8">
        <f t="shared" si="13"/>
        <v>0</v>
      </c>
      <c r="G56" s="10" t="e">
        <f t="shared" si="14"/>
        <v>#DIV/0!</v>
      </c>
      <c r="H56" s="220"/>
      <c r="I56" s="210"/>
      <c r="J56" s="212"/>
      <c r="K56" s="210"/>
      <c r="L56" s="212"/>
      <c r="M56" s="220"/>
      <c r="P56" s="8"/>
      <c r="Q56" s="10"/>
      <c r="R56" s="220"/>
      <c r="S56" s="210"/>
      <c r="T56" s="212"/>
      <c r="U56" s="210"/>
      <c r="V56" s="212"/>
      <c r="W56" s="220"/>
    </row>
    <row r="57" spans="2:30" x14ac:dyDescent="0.3">
      <c r="B57" s="8">
        <v>21</v>
      </c>
      <c r="C57" s="220">
        <f t="shared" si="10"/>
        <v>0</v>
      </c>
      <c r="D57" s="8">
        <f t="shared" si="11"/>
        <v>0</v>
      </c>
      <c r="E57" s="10" t="e">
        <f t="shared" si="12"/>
        <v>#DIV/0!</v>
      </c>
      <c r="F57" s="8">
        <f t="shared" si="13"/>
        <v>0</v>
      </c>
      <c r="G57" s="10" t="e">
        <f t="shared" si="14"/>
        <v>#DIV/0!</v>
      </c>
      <c r="H57" s="220"/>
      <c r="I57" s="210"/>
      <c r="J57" s="212"/>
      <c r="K57" s="210"/>
      <c r="L57" s="212"/>
      <c r="M57" s="220"/>
      <c r="P57" s="8"/>
      <c r="Q57" s="10"/>
      <c r="R57" s="220"/>
      <c r="S57" s="210"/>
      <c r="T57" s="212"/>
      <c r="U57" s="210"/>
      <c r="V57" s="212"/>
      <c r="W57" s="220"/>
      <c r="AC57" s="8">
        <v>3</v>
      </c>
      <c r="AD57">
        <v>6</v>
      </c>
    </row>
    <row r="58" spans="2:30" x14ac:dyDescent="0.3">
      <c r="B58" s="8">
        <v>22</v>
      </c>
      <c r="C58" s="220">
        <f t="shared" si="10"/>
        <v>0</v>
      </c>
      <c r="D58" s="8">
        <f t="shared" si="11"/>
        <v>0</v>
      </c>
      <c r="E58" s="10" t="e">
        <f t="shared" si="12"/>
        <v>#DIV/0!</v>
      </c>
      <c r="F58" s="8">
        <f t="shared" si="13"/>
        <v>0</v>
      </c>
      <c r="G58" s="10" t="e">
        <f t="shared" si="14"/>
        <v>#DIV/0!</v>
      </c>
      <c r="H58" s="220"/>
      <c r="I58" s="210"/>
      <c r="J58" s="212"/>
      <c r="K58" s="210"/>
      <c r="L58" s="212"/>
      <c r="M58" s="220"/>
      <c r="P58" s="8"/>
      <c r="Q58" s="10"/>
      <c r="R58" s="220"/>
      <c r="S58" s="210"/>
      <c r="T58" s="212"/>
      <c r="U58" s="210"/>
      <c r="V58" s="212"/>
      <c r="W58" s="220"/>
      <c r="AC58" s="8">
        <v>3</v>
      </c>
      <c r="AD58">
        <v>1</v>
      </c>
    </row>
    <row r="59" spans="2:30" x14ac:dyDescent="0.3">
      <c r="B59" s="8">
        <v>23</v>
      </c>
      <c r="C59" s="220">
        <f t="shared" si="10"/>
        <v>0</v>
      </c>
      <c r="D59" s="8">
        <f t="shared" si="11"/>
        <v>0</v>
      </c>
      <c r="E59" s="10" t="e">
        <f t="shared" si="12"/>
        <v>#DIV/0!</v>
      </c>
      <c r="F59" s="8">
        <f t="shared" si="13"/>
        <v>0</v>
      </c>
      <c r="G59" s="10" t="e">
        <f t="shared" si="14"/>
        <v>#DIV/0!</v>
      </c>
      <c r="H59" s="220"/>
      <c r="I59" s="210"/>
      <c r="J59" s="212"/>
      <c r="K59" s="210"/>
      <c r="L59" s="212"/>
      <c r="M59" s="220"/>
      <c r="P59" s="8"/>
      <c r="Q59" s="10"/>
      <c r="R59" s="220"/>
      <c r="S59" s="210"/>
      <c r="T59" s="212"/>
      <c r="U59" s="210"/>
      <c r="V59" s="212"/>
      <c r="W59" s="220"/>
      <c r="AC59" s="8">
        <v>6</v>
      </c>
      <c r="AD59">
        <v>3</v>
      </c>
    </row>
    <row r="60" spans="2:30" x14ac:dyDescent="0.3">
      <c r="B60" s="8">
        <v>24</v>
      </c>
      <c r="C60" s="220">
        <f t="shared" ref="C60:C65" si="15">SUM(H60,M60,R60,W60)</f>
        <v>0</v>
      </c>
      <c r="D60" s="8">
        <f t="shared" si="11"/>
        <v>0</v>
      </c>
      <c r="E60" s="10" t="e">
        <f t="shared" si="12"/>
        <v>#DIV/0!</v>
      </c>
      <c r="F60" s="8">
        <f t="shared" si="13"/>
        <v>0</v>
      </c>
      <c r="G60" s="10" t="e">
        <f t="shared" si="14"/>
        <v>#DIV/0!</v>
      </c>
      <c r="H60" s="220"/>
      <c r="I60" s="210"/>
      <c r="J60" s="212"/>
      <c r="K60" s="210"/>
      <c r="L60" s="212"/>
      <c r="M60" s="220"/>
      <c r="P60" s="8"/>
      <c r="Q60" s="10"/>
      <c r="R60" s="220"/>
      <c r="S60" s="210"/>
      <c r="T60" s="212"/>
      <c r="U60" s="210"/>
      <c r="V60" s="212"/>
      <c r="W60" s="220"/>
      <c r="AC60" s="8">
        <v>2</v>
      </c>
      <c r="AD60">
        <v>1</v>
      </c>
    </row>
    <row r="61" spans="2:30" x14ac:dyDescent="0.3">
      <c r="B61" s="8">
        <v>25</v>
      </c>
      <c r="C61" s="220">
        <f t="shared" si="15"/>
        <v>0</v>
      </c>
      <c r="D61" s="8">
        <f t="shared" ref="D61:D66" si="16">SUM(I61,N61,S61,X61)</f>
        <v>0</v>
      </c>
      <c r="E61" s="10" t="e">
        <f t="shared" ref="E61:E66" si="17">SUM(D61/C61)</f>
        <v>#DIV/0!</v>
      </c>
      <c r="F61" s="8">
        <f t="shared" ref="F61:F66" si="18">SUM(K61,P61,U61,Z61)</f>
        <v>0</v>
      </c>
      <c r="G61" s="10" t="e">
        <f t="shared" ref="G61:G66" si="19">SUM(F61/C61)</f>
        <v>#DIV/0!</v>
      </c>
      <c r="H61" s="220"/>
      <c r="I61" s="210"/>
      <c r="J61" s="212"/>
      <c r="K61" s="210"/>
      <c r="L61" s="212"/>
      <c r="M61" s="220"/>
      <c r="P61" s="8"/>
      <c r="Q61" s="10"/>
      <c r="R61" s="220"/>
      <c r="S61" s="210"/>
      <c r="T61" s="212"/>
      <c r="U61" s="210"/>
      <c r="V61" s="212"/>
      <c r="W61" s="220"/>
      <c r="AC61" s="8">
        <v>3</v>
      </c>
      <c r="AD61">
        <v>1</v>
      </c>
    </row>
    <row r="62" spans="2:30" x14ac:dyDescent="0.3">
      <c r="B62" s="8">
        <v>26</v>
      </c>
      <c r="C62" s="220">
        <f t="shared" si="15"/>
        <v>0</v>
      </c>
      <c r="D62" s="8">
        <f t="shared" si="16"/>
        <v>0</v>
      </c>
      <c r="E62" s="10" t="e">
        <f t="shared" si="17"/>
        <v>#DIV/0!</v>
      </c>
      <c r="F62" s="8">
        <f t="shared" si="18"/>
        <v>0</v>
      </c>
      <c r="G62" s="10" t="e">
        <f t="shared" si="19"/>
        <v>#DIV/0!</v>
      </c>
      <c r="H62" s="220"/>
      <c r="I62" s="210"/>
      <c r="J62" s="212"/>
      <c r="K62" s="210"/>
      <c r="L62" s="212"/>
      <c r="M62" s="220"/>
      <c r="P62" s="8"/>
      <c r="Q62" s="10"/>
      <c r="R62" s="220"/>
      <c r="S62" s="210"/>
      <c r="T62" s="212"/>
      <c r="U62" s="210"/>
      <c r="V62" s="212"/>
      <c r="W62" s="220"/>
      <c r="AC62" s="8">
        <v>3</v>
      </c>
      <c r="AD62">
        <v>1</v>
      </c>
    </row>
    <row r="63" spans="2:30" x14ac:dyDescent="0.3">
      <c r="B63" s="8">
        <v>27</v>
      </c>
      <c r="C63" s="220">
        <f t="shared" si="15"/>
        <v>0</v>
      </c>
      <c r="D63" s="8">
        <f t="shared" si="16"/>
        <v>0</v>
      </c>
      <c r="E63" s="10" t="e">
        <f t="shared" si="17"/>
        <v>#DIV/0!</v>
      </c>
      <c r="F63" s="8">
        <f t="shared" si="18"/>
        <v>0</v>
      </c>
      <c r="G63" s="10" t="e">
        <f t="shared" si="19"/>
        <v>#DIV/0!</v>
      </c>
      <c r="H63" s="220"/>
      <c r="I63" s="210"/>
      <c r="J63" s="212"/>
      <c r="K63" s="210"/>
      <c r="L63" s="212"/>
      <c r="M63" s="220"/>
      <c r="P63" s="8"/>
      <c r="Q63" s="10"/>
      <c r="R63" s="220"/>
      <c r="S63" s="210"/>
      <c r="T63" s="212"/>
      <c r="U63" s="210"/>
      <c r="V63" s="212"/>
      <c r="W63" s="220"/>
      <c r="AC63" s="8">
        <v>2</v>
      </c>
      <c r="AD63">
        <v>1</v>
      </c>
    </row>
    <row r="64" spans="2:30" x14ac:dyDescent="0.3">
      <c r="B64" s="8">
        <v>28</v>
      </c>
      <c r="C64" s="220">
        <f t="shared" si="15"/>
        <v>0</v>
      </c>
      <c r="D64" s="8">
        <f t="shared" si="16"/>
        <v>0</v>
      </c>
      <c r="E64" s="10" t="e">
        <f t="shared" si="17"/>
        <v>#DIV/0!</v>
      </c>
      <c r="F64" s="8">
        <f t="shared" si="18"/>
        <v>0</v>
      </c>
      <c r="G64" s="10" t="e">
        <f t="shared" si="19"/>
        <v>#DIV/0!</v>
      </c>
      <c r="H64" s="220"/>
      <c r="I64" s="210"/>
      <c r="J64" s="212"/>
      <c r="K64" s="210"/>
      <c r="L64" s="212"/>
      <c r="M64" s="220"/>
      <c r="P64" s="8"/>
      <c r="Q64" s="10"/>
      <c r="R64" s="220"/>
      <c r="S64" s="210"/>
      <c r="T64" s="212"/>
      <c r="U64" s="210"/>
      <c r="V64" s="212"/>
      <c r="W64" s="220"/>
      <c r="AC64" s="8">
        <v>2</v>
      </c>
      <c r="AD64">
        <v>1</v>
      </c>
    </row>
    <row r="65" spans="2:30" x14ac:dyDescent="0.3">
      <c r="B65" s="8">
        <v>29</v>
      </c>
      <c r="C65" s="220">
        <f t="shared" si="15"/>
        <v>0</v>
      </c>
      <c r="D65" s="8">
        <f t="shared" si="16"/>
        <v>0</v>
      </c>
      <c r="E65" s="10" t="e">
        <f t="shared" si="17"/>
        <v>#DIV/0!</v>
      </c>
      <c r="F65" s="8">
        <f t="shared" si="18"/>
        <v>0</v>
      </c>
      <c r="G65" s="10" t="e">
        <f t="shared" si="19"/>
        <v>#DIV/0!</v>
      </c>
      <c r="H65" s="220"/>
      <c r="I65" s="210"/>
      <c r="J65" s="212"/>
      <c r="K65" s="210"/>
      <c r="L65" s="212"/>
      <c r="M65" s="220"/>
      <c r="P65" s="8"/>
      <c r="Q65" s="10"/>
      <c r="R65" s="220"/>
      <c r="S65" s="210"/>
      <c r="T65" s="212"/>
      <c r="U65" s="210"/>
      <c r="V65" s="212"/>
      <c r="W65" s="220"/>
      <c r="AC65" s="8">
        <v>3</v>
      </c>
      <c r="AD65">
        <v>3</v>
      </c>
    </row>
    <row r="66" spans="2:30" x14ac:dyDescent="0.3">
      <c r="B66" s="8">
        <v>30</v>
      </c>
      <c r="C66" s="220">
        <f t="shared" ref="C66:C74" si="20">SUM(H66,M66,R66,W66)</f>
        <v>0</v>
      </c>
      <c r="D66" s="8">
        <f t="shared" si="16"/>
        <v>0</v>
      </c>
      <c r="E66" s="10" t="e">
        <f t="shared" si="17"/>
        <v>#DIV/0!</v>
      </c>
      <c r="F66" s="8">
        <f t="shared" si="18"/>
        <v>0</v>
      </c>
      <c r="G66" s="10" t="e">
        <f t="shared" si="19"/>
        <v>#DIV/0!</v>
      </c>
      <c r="H66" s="220"/>
      <c r="I66" s="210"/>
      <c r="J66" s="212"/>
      <c r="K66" s="210"/>
      <c r="L66" s="212"/>
      <c r="M66" s="220"/>
      <c r="P66" s="8"/>
      <c r="Q66" s="10"/>
      <c r="R66" s="220"/>
      <c r="S66" s="210"/>
      <c r="T66" s="212"/>
      <c r="U66" s="210"/>
      <c r="V66" s="212"/>
      <c r="W66" s="220"/>
      <c r="AC66" s="8">
        <v>1</v>
      </c>
      <c r="AD66">
        <v>3</v>
      </c>
    </row>
    <row r="67" spans="2:30" x14ac:dyDescent="0.3">
      <c r="B67" s="8">
        <v>31</v>
      </c>
      <c r="C67" s="220">
        <f t="shared" si="20"/>
        <v>0</v>
      </c>
      <c r="D67" s="8">
        <f t="shared" ref="D67:D74" si="21">SUM(I67,N67,S67,X67)</f>
        <v>0</v>
      </c>
      <c r="E67" s="10" t="e">
        <f t="shared" ref="E67:E74" si="22">SUM(D67/C67)</f>
        <v>#DIV/0!</v>
      </c>
      <c r="F67" s="8">
        <f t="shared" ref="F67:F74" si="23">SUM(K67,P67,U67,Z67)</f>
        <v>0</v>
      </c>
      <c r="G67" s="10" t="e">
        <f t="shared" ref="G67:G74" si="24">SUM(F67/C67)</f>
        <v>#DIV/0!</v>
      </c>
      <c r="H67" s="220"/>
      <c r="I67" s="210"/>
      <c r="J67" s="212"/>
      <c r="K67" s="210"/>
      <c r="L67" s="212"/>
      <c r="M67" s="220"/>
      <c r="P67" s="8"/>
      <c r="Q67" s="10"/>
      <c r="R67" s="220"/>
      <c r="S67" s="210"/>
      <c r="T67" s="212"/>
      <c r="U67" s="210"/>
      <c r="V67" s="212"/>
      <c r="W67" s="220"/>
      <c r="AC67" s="8">
        <v>1</v>
      </c>
      <c r="AD67">
        <v>4</v>
      </c>
    </row>
    <row r="68" spans="2:30" x14ac:dyDescent="0.3">
      <c r="B68" s="8">
        <v>32</v>
      </c>
      <c r="C68" s="220">
        <f t="shared" si="20"/>
        <v>0</v>
      </c>
      <c r="D68" s="8">
        <f t="shared" si="21"/>
        <v>0</v>
      </c>
      <c r="E68" s="10" t="e">
        <f t="shared" si="22"/>
        <v>#DIV/0!</v>
      </c>
      <c r="F68" s="8">
        <f t="shared" si="23"/>
        <v>0</v>
      </c>
      <c r="G68" s="10" t="e">
        <f t="shared" si="24"/>
        <v>#DIV/0!</v>
      </c>
      <c r="H68" s="220"/>
      <c r="I68" s="210"/>
      <c r="J68" s="212"/>
      <c r="K68" s="210"/>
      <c r="L68" s="212"/>
      <c r="M68" s="220"/>
      <c r="P68" s="8"/>
      <c r="Q68" s="10"/>
      <c r="R68" s="220"/>
      <c r="S68" s="210"/>
      <c r="T68" s="212"/>
      <c r="U68" s="210"/>
      <c r="V68" s="212"/>
      <c r="W68" s="220"/>
      <c r="AC68" s="8">
        <v>1</v>
      </c>
      <c r="AD68">
        <v>4</v>
      </c>
    </row>
    <row r="69" spans="2:30" x14ac:dyDescent="0.3">
      <c r="B69" s="8">
        <v>33</v>
      </c>
      <c r="C69" s="220">
        <f t="shared" si="20"/>
        <v>0</v>
      </c>
      <c r="D69" s="8">
        <f t="shared" si="21"/>
        <v>0</v>
      </c>
      <c r="E69" s="10" t="e">
        <f t="shared" si="22"/>
        <v>#DIV/0!</v>
      </c>
      <c r="F69" s="8">
        <f t="shared" si="23"/>
        <v>0</v>
      </c>
      <c r="G69" s="10" t="e">
        <f t="shared" si="24"/>
        <v>#DIV/0!</v>
      </c>
      <c r="H69" s="220"/>
      <c r="I69" s="210"/>
      <c r="J69" s="212"/>
      <c r="K69" s="210"/>
      <c r="L69" s="212"/>
      <c r="M69" s="220"/>
      <c r="P69" s="8"/>
      <c r="Q69" s="10"/>
      <c r="R69" s="220"/>
      <c r="S69" s="210"/>
      <c r="T69" s="212"/>
      <c r="U69" s="210"/>
      <c r="V69" s="212"/>
      <c r="W69" s="220"/>
      <c r="AC69" s="8">
        <v>1</v>
      </c>
      <c r="AD69">
        <v>4</v>
      </c>
    </row>
    <row r="70" spans="2:30" x14ac:dyDescent="0.3">
      <c r="B70" s="8">
        <v>34</v>
      </c>
      <c r="C70" s="220">
        <f t="shared" si="20"/>
        <v>0</v>
      </c>
      <c r="D70" s="8">
        <f t="shared" si="21"/>
        <v>0</v>
      </c>
      <c r="E70" s="10" t="e">
        <f t="shared" si="22"/>
        <v>#DIV/0!</v>
      </c>
      <c r="F70" s="8">
        <f t="shared" si="23"/>
        <v>0</v>
      </c>
      <c r="G70" s="10" t="e">
        <f t="shared" si="24"/>
        <v>#DIV/0!</v>
      </c>
      <c r="H70" s="220"/>
      <c r="I70" s="210"/>
      <c r="J70" s="212"/>
      <c r="K70" s="210"/>
      <c r="L70" s="212"/>
      <c r="M70" s="220"/>
      <c r="P70" s="8"/>
      <c r="Q70" s="10"/>
      <c r="R70" s="220"/>
      <c r="S70" s="210"/>
      <c r="T70" s="212"/>
      <c r="U70" s="210"/>
      <c r="V70" s="212"/>
      <c r="W70" s="220"/>
      <c r="AC70" s="8">
        <v>2</v>
      </c>
      <c r="AD70">
        <v>0</v>
      </c>
    </row>
    <row r="71" spans="2:30" x14ac:dyDescent="0.3">
      <c r="B71" s="8">
        <v>35</v>
      </c>
      <c r="C71" s="220">
        <f t="shared" si="20"/>
        <v>0</v>
      </c>
      <c r="D71" s="8">
        <f t="shared" si="21"/>
        <v>0</v>
      </c>
      <c r="E71" s="10" t="e">
        <f t="shared" si="22"/>
        <v>#DIV/0!</v>
      </c>
      <c r="F71" s="8">
        <f t="shared" si="23"/>
        <v>0</v>
      </c>
      <c r="G71" s="10" t="e">
        <f t="shared" si="24"/>
        <v>#DIV/0!</v>
      </c>
      <c r="H71" s="220"/>
      <c r="I71" s="210"/>
      <c r="J71" s="212"/>
      <c r="K71" s="210"/>
      <c r="L71" s="212"/>
      <c r="M71" s="220"/>
      <c r="P71" s="8"/>
      <c r="Q71" s="10"/>
      <c r="R71" s="220"/>
      <c r="S71" s="210"/>
      <c r="T71" s="212"/>
      <c r="U71" s="210"/>
      <c r="V71" s="212"/>
      <c r="W71" s="220"/>
      <c r="AC71" s="8">
        <v>0</v>
      </c>
      <c r="AD71">
        <v>4</v>
      </c>
    </row>
    <row r="72" spans="2:30" x14ac:dyDescent="0.3">
      <c r="B72" s="8">
        <v>36</v>
      </c>
      <c r="C72" s="220">
        <f t="shared" si="20"/>
        <v>0</v>
      </c>
      <c r="D72" s="8">
        <f t="shared" si="21"/>
        <v>0</v>
      </c>
      <c r="E72" s="10" t="e">
        <f t="shared" si="22"/>
        <v>#DIV/0!</v>
      </c>
      <c r="F72" s="8">
        <f t="shared" si="23"/>
        <v>0</v>
      </c>
      <c r="G72" s="10" t="e">
        <f t="shared" si="24"/>
        <v>#DIV/0!</v>
      </c>
      <c r="H72" s="220"/>
      <c r="I72" s="210"/>
      <c r="J72" s="212"/>
      <c r="K72" s="210"/>
      <c r="L72" s="212"/>
      <c r="M72" s="220"/>
      <c r="P72" s="8"/>
      <c r="Q72" s="10"/>
      <c r="R72" s="220"/>
      <c r="S72" s="210"/>
      <c r="T72" s="212"/>
      <c r="U72" s="210"/>
      <c r="V72" s="212"/>
      <c r="W72" s="220"/>
      <c r="AC72" s="8">
        <v>1</v>
      </c>
      <c r="AD72">
        <v>2</v>
      </c>
    </row>
    <row r="73" spans="2:30" x14ac:dyDescent="0.3">
      <c r="B73" s="8">
        <v>37</v>
      </c>
      <c r="C73" s="220">
        <f t="shared" si="20"/>
        <v>0</v>
      </c>
      <c r="D73" s="8">
        <f t="shared" si="21"/>
        <v>0</v>
      </c>
      <c r="E73" s="10" t="e">
        <f t="shared" si="22"/>
        <v>#DIV/0!</v>
      </c>
      <c r="F73" s="8">
        <f t="shared" si="23"/>
        <v>0</v>
      </c>
      <c r="G73" s="10" t="e">
        <f t="shared" si="24"/>
        <v>#DIV/0!</v>
      </c>
      <c r="H73" s="220"/>
      <c r="I73" s="210"/>
      <c r="J73" s="212"/>
      <c r="K73" s="210"/>
      <c r="L73" s="212"/>
      <c r="M73" s="220"/>
      <c r="P73" s="8"/>
      <c r="Q73" s="10"/>
      <c r="R73" s="220"/>
      <c r="S73" s="210"/>
      <c r="T73" s="212"/>
      <c r="U73" s="210"/>
      <c r="V73" s="212"/>
      <c r="W73" s="220"/>
      <c r="AC73" s="8">
        <v>1</v>
      </c>
      <c r="AD73">
        <v>5</v>
      </c>
    </row>
    <row r="74" spans="2:30" x14ac:dyDescent="0.3">
      <c r="B74" s="8">
        <v>38</v>
      </c>
      <c r="C74" s="220">
        <f t="shared" si="20"/>
        <v>0</v>
      </c>
      <c r="D74" s="8">
        <f t="shared" si="21"/>
        <v>0</v>
      </c>
      <c r="E74" s="10" t="e">
        <f t="shared" si="22"/>
        <v>#DIV/0!</v>
      </c>
      <c r="F74" s="8">
        <f t="shared" si="23"/>
        <v>0</v>
      </c>
      <c r="G74" s="10" t="e">
        <f t="shared" si="24"/>
        <v>#DIV/0!</v>
      </c>
      <c r="H74" s="220"/>
      <c r="I74" s="210"/>
      <c r="J74" s="212"/>
      <c r="K74" s="210"/>
      <c r="L74" s="212"/>
      <c r="M74" s="220"/>
      <c r="P74" s="8"/>
      <c r="Q74" s="10"/>
      <c r="R74" s="220"/>
      <c r="S74" s="210"/>
      <c r="T74" s="212"/>
      <c r="U74" s="210"/>
      <c r="V74" s="212"/>
      <c r="W74" s="220"/>
    </row>
    <row r="75" spans="2:30" x14ac:dyDescent="0.3">
      <c r="I75" s="210"/>
      <c r="J75" s="212"/>
      <c r="K75" s="210"/>
      <c r="L75" s="212"/>
      <c r="M75" s="239"/>
      <c r="P75" s="8"/>
      <c r="Q75" s="10"/>
      <c r="R75" s="234"/>
      <c r="S75" s="210"/>
      <c r="T75" s="212"/>
      <c r="U75" s="210"/>
      <c r="V75" s="212"/>
      <c r="W75" s="239"/>
    </row>
    <row r="79" spans="2:30" x14ac:dyDescent="0.3">
      <c r="D79" s="461" t="s">
        <v>400</v>
      </c>
      <c r="E79" s="461"/>
      <c r="F79" s="461"/>
      <c r="G79" s="461"/>
      <c r="I79" s="462" t="s">
        <v>401</v>
      </c>
      <c r="J79" s="462"/>
      <c r="K79" s="462"/>
      <c r="L79" s="462"/>
      <c r="M79" s="239"/>
      <c r="N79" s="461" t="s">
        <v>402</v>
      </c>
      <c r="O79" s="461"/>
      <c r="P79" s="461"/>
      <c r="Q79" s="461"/>
      <c r="R79" s="234"/>
      <c r="S79" s="462" t="s">
        <v>403</v>
      </c>
      <c r="T79" s="462"/>
      <c r="U79" s="462"/>
      <c r="V79" s="462"/>
      <c r="W79" s="239"/>
      <c r="X79" s="461" t="s">
        <v>404</v>
      </c>
      <c r="Y79" s="461"/>
      <c r="Z79" s="461"/>
      <c r="AA79" s="461"/>
    </row>
    <row r="80" spans="2:30" x14ac:dyDescent="0.3">
      <c r="I80" s="210"/>
      <c r="J80" s="212"/>
      <c r="K80" s="210"/>
      <c r="L80" s="212"/>
      <c r="M80" s="239"/>
      <c r="S80" s="210"/>
      <c r="T80" s="212"/>
      <c r="U80" s="210"/>
      <c r="V80" s="212"/>
      <c r="W80" s="239"/>
    </row>
    <row r="81" spans="2:27" x14ac:dyDescent="0.3">
      <c r="B81" s="8" t="s">
        <v>410</v>
      </c>
      <c r="D81" s="232" t="s">
        <v>3</v>
      </c>
      <c r="E81" s="232" t="s">
        <v>405</v>
      </c>
      <c r="F81" s="232" t="s">
        <v>178</v>
      </c>
      <c r="G81" s="232" t="s">
        <v>406</v>
      </c>
      <c r="H81" s="232"/>
      <c r="I81" s="232" t="s">
        <v>3</v>
      </c>
      <c r="J81" s="245" t="s">
        <v>405</v>
      </c>
      <c r="K81" s="232" t="s">
        <v>178</v>
      </c>
      <c r="L81" s="245" t="s">
        <v>406</v>
      </c>
      <c r="M81" s="232"/>
      <c r="N81" s="232" t="s">
        <v>3</v>
      </c>
      <c r="O81" s="245" t="s">
        <v>405</v>
      </c>
      <c r="P81" s="232" t="s">
        <v>178</v>
      </c>
      <c r="Q81" s="245" t="s">
        <v>406</v>
      </c>
      <c r="R81" s="232"/>
      <c r="S81" s="232" t="s">
        <v>3</v>
      </c>
      <c r="T81" s="245" t="s">
        <v>405</v>
      </c>
      <c r="U81" s="232" t="s">
        <v>178</v>
      </c>
      <c r="V81" s="245" t="s">
        <v>406</v>
      </c>
      <c r="W81" s="232"/>
      <c r="X81" s="232" t="s">
        <v>3</v>
      </c>
      <c r="Y81" s="245" t="s">
        <v>405</v>
      </c>
      <c r="Z81" s="232" t="s">
        <v>178</v>
      </c>
      <c r="AA81" s="245" t="s">
        <v>406</v>
      </c>
    </row>
    <row r="82" spans="2:27" x14ac:dyDescent="0.3">
      <c r="B82" s="8">
        <v>6</v>
      </c>
      <c r="I82" s="210"/>
      <c r="J82" s="212"/>
      <c r="K82" s="210"/>
      <c r="L82" s="212"/>
      <c r="M82" s="239"/>
      <c r="S82" s="210"/>
      <c r="T82" s="212"/>
      <c r="U82" s="210"/>
      <c r="V82" s="212"/>
      <c r="W82" s="239"/>
    </row>
    <row r="83" spans="2:27" x14ac:dyDescent="0.3">
      <c r="B83" s="8">
        <v>7</v>
      </c>
      <c r="D83" s="8">
        <f t="shared" ref="D83:D88" si="25">SUM(I83,N83,S83,X83)</f>
        <v>0</v>
      </c>
      <c r="E83" s="10" t="e">
        <f t="shared" ref="E83:E88" si="26">AVERAGE(J83,O83,T83,Y83)</f>
        <v>#DIV/0!</v>
      </c>
      <c r="F83" s="8">
        <f t="shared" ref="F83:F88" si="27">SUM(K83,P83,U83,Z83)</f>
        <v>0</v>
      </c>
      <c r="G83" s="10" t="e">
        <f t="shared" ref="G83:G88" si="28">AVERAGE(L83,Q83,V83,AA83)</f>
        <v>#DIV/0!</v>
      </c>
      <c r="I83" s="210"/>
      <c r="J83" s="212"/>
      <c r="K83" s="210"/>
      <c r="L83" s="212"/>
      <c r="M83" s="239"/>
      <c r="P83" s="8"/>
      <c r="Q83" s="10"/>
      <c r="R83" s="234"/>
      <c r="S83" s="210"/>
      <c r="T83" s="212"/>
      <c r="U83" s="210"/>
      <c r="V83" s="212"/>
      <c r="W83" s="239"/>
    </row>
    <row r="84" spans="2:27" x14ac:dyDescent="0.3">
      <c r="B84" s="8">
        <v>8</v>
      </c>
      <c r="D84" s="8">
        <f t="shared" si="25"/>
        <v>0</v>
      </c>
      <c r="E84" s="10" t="e">
        <f t="shared" si="26"/>
        <v>#DIV/0!</v>
      </c>
      <c r="F84" s="8">
        <f t="shared" si="27"/>
        <v>0</v>
      </c>
      <c r="G84" s="10" t="e">
        <f t="shared" si="28"/>
        <v>#DIV/0!</v>
      </c>
      <c r="I84" s="210"/>
      <c r="J84" s="212"/>
      <c r="K84" s="210"/>
      <c r="L84" s="212"/>
      <c r="M84" s="239"/>
      <c r="P84" s="8"/>
      <c r="Q84" s="10"/>
      <c r="R84" s="234"/>
      <c r="S84" s="210"/>
      <c r="T84" s="212"/>
      <c r="U84" s="210"/>
      <c r="V84" s="212"/>
      <c r="W84" s="239"/>
    </row>
    <row r="85" spans="2:27" x14ac:dyDescent="0.3">
      <c r="B85" s="8">
        <v>9</v>
      </c>
      <c r="D85" s="8">
        <f t="shared" si="25"/>
        <v>0</v>
      </c>
      <c r="E85" s="10" t="e">
        <f t="shared" si="26"/>
        <v>#DIV/0!</v>
      </c>
      <c r="F85" s="8">
        <f t="shared" si="27"/>
        <v>0</v>
      </c>
      <c r="G85" s="10" t="e">
        <f t="shared" si="28"/>
        <v>#DIV/0!</v>
      </c>
      <c r="I85" s="210"/>
      <c r="J85" s="212"/>
      <c r="K85" s="210"/>
      <c r="L85" s="212"/>
      <c r="M85" s="239"/>
      <c r="P85" s="8"/>
      <c r="Q85" s="10"/>
      <c r="R85" s="234"/>
      <c r="S85" s="210"/>
      <c r="T85" s="212"/>
      <c r="U85" s="210"/>
      <c r="V85" s="212"/>
      <c r="W85" s="239"/>
    </row>
    <row r="86" spans="2:27" x14ac:dyDescent="0.3">
      <c r="B86" s="8">
        <v>10</v>
      </c>
      <c r="D86" s="8">
        <f t="shared" si="25"/>
        <v>0</v>
      </c>
      <c r="E86" s="10" t="e">
        <f t="shared" si="26"/>
        <v>#DIV/0!</v>
      </c>
      <c r="F86" s="8">
        <f t="shared" si="27"/>
        <v>0</v>
      </c>
      <c r="G86" s="10" t="e">
        <f t="shared" si="28"/>
        <v>#DIV/0!</v>
      </c>
      <c r="I86" s="210"/>
      <c r="J86" s="212"/>
      <c r="K86" s="210"/>
      <c r="L86" s="212"/>
      <c r="M86" s="239"/>
      <c r="P86" s="8"/>
      <c r="Q86" s="10"/>
      <c r="R86" s="234"/>
      <c r="S86" s="210"/>
      <c r="T86" s="212"/>
      <c r="U86" s="210"/>
      <c r="V86" s="212"/>
      <c r="W86" s="239"/>
    </row>
    <row r="87" spans="2:27" x14ac:dyDescent="0.3">
      <c r="B87" s="8">
        <v>11</v>
      </c>
      <c r="D87" s="8">
        <f t="shared" si="25"/>
        <v>0</v>
      </c>
      <c r="E87" s="10" t="e">
        <f t="shared" si="26"/>
        <v>#DIV/0!</v>
      </c>
      <c r="F87" s="8">
        <f t="shared" si="27"/>
        <v>0</v>
      </c>
      <c r="G87" s="10" t="e">
        <f t="shared" si="28"/>
        <v>#DIV/0!</v>
      </c>
      <c r="I87" s="210"/>
      <c r="J87" s="212"/>
      <c r="K87" s="210"/>
      <c r="L87" s="212"/>
      <c r="M87" s="239"/>
      <c r="P87" s="8"/>
      <c r="Q87" s="10"/>
      <c r="R87" s="234"/>
      <c r="S87" s="210"/>
      <c r="T87" s="212"/>
      <c r="U87" s="210"/>
      <c r="V87" s="212"/>
      <c r="W87" s="239"/>
    </row>
    <row r="88" spans="2:27" x14ac:dyDescent="0.3">
      <c r="B88" s="8">
        <v>12</v>
      </c>
      <c r="D88" s="8">
        <f t="shared" si="25"/>
        <v>0</v>
      </c>
      <c r="E88" s="10" t="e">
        <f t="shared" si="26"/>
        <v>#DIV/0!</v>
      </c>
      <c r="F88" s="8">
        <f t="shared" si="27"/>
        <v>0</v>
      </c>
      <c r="G88" s="10" t="e">
        <f t="shared" si="28"/>
        <v>#DIV/0!</v>
      </c>
      <c r="I88" s="210"/>
      <c r="J88" s="212"/>
      <c r="K88" s="210"/>
      <c r="L88" s="212"/>
      <c r="M88" s="239"/>
      <c r="P88" s="8"/>
      <c r="Q88" s="10"/>
      <c r="R88" s="234"/>
      <c r="S88" s="210"/>
      <c r="T88" s="212"/>
      <c r="U88" s="210"/>
      <c r="V88" s="212"/>
      <c r="W88" s="239"/>
    </row>
    <row r="89" spans="2:27" x14ac:dyDescent="0.3">
      <c r="B89" s="8">
        <v>13</v>
      </c>
      <c r="I89" s="210"/>
      <c r="J89" s="212"/>
      <c r="K89" s="210"/>
      <c r="L89" s="212"/>
      <c r="M89" s="239"/>
      <c r="P89" s="8"/>
      <c r="Q89" s="10"/>
      <c r="R89" s="234"/>
      <c r="S89" s="210"/>
      <c r="T89" s="212"/>
      <c r="U89" s="210"/>
      <c r="V89" s="212"/>
      <c r="W89" s="239"/>
    </row>
    <row r="90" spans="2:27" x14ac:dyDescent="0.3">
      <c r="B90" s="8">
        <v>14</v>
      </c>
      <c r="I90" s="210"/>
      <c r="J90" s="212"/>
      <c r="K90" s="210"/>
      <c r="L90" s="212"/>
      <c r="M90" s="239"/>
      <c r="P90" s="8"/>
      <c r="Q90" s="10"/>
      <c r="R90" s="234"/>
      <c r="S90" s="210"/>
      <c r="T90" s="212"/>
      <c r="U90" s="210"/>
      <c r="V90" s="212"/>
      <c r="W90" s="239"/>
    </row>
    <row r="91" spans="2:27" x14ac:dyDescent="0.3">
      <c r="B91" s="8">
        <v>15</v>
      </c>
      <c r="I91" s="210"/>
      <c r="J91" s="212"/>
      <c r="K91" s="210"/>
      <c r="L91" s="212"/>
      <c r="M91" s="239"/>
      <c r="P91" s="8"/>
      <c r="Q91" s="10"/>
      <c r="R91" s="234"/>
      <c r="S91" s="210"/>
      <c r="T91" s="212"/>
      <c r="U91" s="210"/>
      <c r="V91" s="212"/>
      <c r="W91" s="239"/>
    </row>
    <row r="92" spans="2:27" x14ac:dyDescent="0.3">
      <c r="B92" s="8">
        <v>16</v>
      </c>
      <c r="I92" s="210"/>
      <c r="J92" s="212"/>
      <c r="K92" s="210"/>
      <c r="L92" s="212"/>
      <c r="M92" s="239"/>
      <c r="P92" s="8"/>
      <c r="Q92" s="10"/>
      <c r="R92" s="234"/>
      <c r="S92" s="210"/>
      <c r="T92" s="212"/>
      <c r="U92" s="210"/>
      <c r="V92" s="212"/>
      <c r="W92" s="239"/>
    </row>
    <row r="93" spans="2:27" x14ac:dyDescent="0.3">
      <c r="B93" s="8">
        <v>17</v>
      </c>
      <c r="I93" s="210"/>
      <c r="J93" s="212"/>
      <c r="K93" s="210"/>
      <c r="L93" s="212"/>
      <c r="M93" s="239"/>
      <c r="P93" s="8"/>
      <c r="Q93" s="10"/>
      <c r="R93" s="234"/>
      <c r="S93" s="210"/>
      <c r="T93" s="212"/>
      <c r="U93" s="210"/>
      <c r="V93" s="212"/>
      <c r="W93" s="239"/>
    </row>
    <row r="94" spans="2:27" x14ac:dyDescent="0.3">
      <c r="B94" s="8">
        <v>18</v>
      </c>
      <c r="I94" s="210"/>
      <c r="J94" s="212"/>
      <c r="K94" s="210"/>
      <c r="L94" s="212"/>
      <c r="M94" s="239"/>
      <c r="P94" s="8"/>
      <c r="Q94" s="10"/>
      <c r="R94" s="234"/>
      <c r="S94" s="210"/>
      <c r="T94" s="212"/>
      <c r="U94" s="210"/>
      <c r="V94" s="212"/>
      <c r="W94" s="239"/>
    </row>
    <row r="95" spans="2:27" x14ac:dyDescent="0.3">
      <c r="B95" s="8">
        <v>19</v>
      </c>
      <c r="I95" s="210"/>
      <c r="J95" s="212"/>
      <c r="K95" s="210"/>
      <c r="L95" s="212"/>
      <c r="M95" s="239"/>
      <c r="P95" s="8"/>
      <c r="Q95" s="10"/>
      <c r="R95" s="234"/>
      <c r="S95" s="210"/>
      <c r="T95" s="212"/>
      <c r="U95" s="210"/>
      <c r="V95" s="212"/>
      <c r="W95" s="239"/>
    </row>
    <row r="96" spans="2:27" x14ac:dyDescent="0.3">
      <c r="B96" s="8">
        <v>20</v>
      </c>
      <c r="I96" s="210"/>
      <c r="J96" s="212"/>
      <c r="K96" s="210"/>
      <c r="L96" s="212"/>
      <c r="M96" s="239"/>
      <c r="P96" s="8"/>
      <c r="Q96" s="10"/>
      <c r="R96" s="234"/>
      <c r="S96" s="210"/>
      <c r="T96" s="212"/>
      <c r="U96" s="210"/>
      <c r="V96" s="212"/>
      <c r="W96" s="239"/>
    </row>
    <row r="97" spans="2:23" x14ac:dyDescent="0.3">
      <c r="B97" s="8">
        <v>21</v>
      </c>
      <c r="I97" s="210"/>
      <c r="J97" s="212"/>
      <c r="K97" s="210"/>
      <c r="L97" s="212"/>
      <c r="M97" s="239"/>
      <c r="P97" s="8"/>
      <c r="Q97" s="10"/>
      <c r="R97" s="234"/>
      <c r="S97" s="210"/>
      <c r="T97" s="212"/>
      <c r="U97" s="210"/>
      <c r="V97" s="212"/>
      <c r="W97" s="239"/>
    </row>
    <row r="98" spans="2:23" x14ac:dyDescent="0.3">
      <c r="B98" s="8">
        <v>22</v>
      </c>
      <c r="I98" s="210"/>
      <c r="J98" s="212"/>
      <c r="K98" s="210"/>
      <c r="L98" s="212"/>
      <c r="M98" s="239"/>
      <c r="P98" s="8"/>
      <c r="Q98" s="10"/>
      <c r="R98" s="234"/>
      <c r="S98" s="210"/>
      <c r="T98" s="212"/>
      <c r="U98" s="210"/>
      <c r="V98" s="212"/>
      <c r="W98" s="239"/>
    </row>
    <row r="99" spans="2:23" x14ac:dyDescent="0.3">
      <c r="B99" s="8">
        <v>23</v>
      </c>
      <c r="I99" s="210"/>
      <c r="J99" s="212"/>
      <c r="K99" s="210"/>
      <c r="L99" s="212"/>
      <c r="M99" s="239"/>
      <c r="P99" s="8"/>
      <c r="Q99" s="10"/>
      <c r="R99" s="234"/>
      <c r="S99" s="210"/>
      <c r="T99" s="212"/>
      <c r="U99" s="210"/>
      <c r="V99" s="212"/>
      <c r="W99" s="239"/>
    </row>
    <row r="100" spans="2:23" x14ac:dyDescent="0.3">
      <c r="B100" s="8">
        <v>24</v>
      </c>
      <c r="I100" s="210"/>
      <c r="J100" s="212"/>
      <c r="K100" s="210"/>
      <c r="L100" s="212"/>
      <c r="M100" s="239"/>
      <c r="P100" s="8"/>
      <c r="Q100" s="10"/>
      <c r="R100" s="234"/>
      <c r="S100" s="210"/>
      <c r="T100" s="212"/>
      <c r="U100" s="210"/>
      <c r="V100" s="212"/>
      <c r="W100" s="239"/>
    </row>
    <row r="101" spans="2:23" x14ac:dyDescent="0.3">
      <c r="B101" s="8">
        <v>25</v>
      </c>
      <c r="I101" s="210"/>
      <c r="J101" s="212"/>
      <c r="K101" s="210"/>
      <c r="L101" s="212"/>
      <c r="M101" s="239"/>
      <c r="P101" s="8"/>
      <c r="Q101" s="10"/>
      <c r="R101" s="234"/>
      <c r="S101" s="210"/>
      <c r="T101" s="212"/>
      <c r="U101" s="210"/>
      <c r="V101" s="212"/>
      <c r="W101" s="239"/>
    </row>
    <row r="102" spans="2:23" x14ac:dyDescent="0.3">
      <c r="B102" s="8">
        <v>26</v>
      </c>
      <c r="I102" s="210"/>
      <c r="J102" s="212"/>
      <c r="K102" s="210"/>
      <c r="L102" s="212"/>
      <c r="M102" s="239"/>
      <c r="P102" s="8"/>
      <c r="Q102" s="10"/>
      <c r="R102" s="234"/>
      <c r="S102" s="210"/>
      <c r="T102" s="212"/>
      <c r="U102" s="210"/>
      <c r="V102" s="212"/>
      <c r="W102" s="239"/>
    </row>
    <row r="103" spans="2:23" x14ac:dyDescent="0.3">
      <c r="B103" s="8">
        <v>27</v>
      </c>
      <c r="I103" s="210"/>
      <c r="J103" s="212"/>
      <c r="K103" s="210"/>
      <c r="L103" s="212"/>
      <c r="M103" s="239"/>
      <c r="P103" s="8"/>
      <c r="Q103" s="10"/>
      <c r="R103" s="234"/>
      <c r="S103" s="210"/>
      <c r="T103" s="212"/>
      <c r="U103" s="210"/>
      <c r="V103" s="212"/>
      <c r="W103" s="239"/>
    </row>
    <row r="104" spans="2:23" x14ac:dyDescent="0.3">
      <c r="B104" s="8">
        <v>28</v>
      </c>
      <c r="I104" s="210"/>
      <c r="J104" s="212"/>
      <c r="K104" s="210"/>
      <c r="L104" s="212"/>
      <c r="M104" s="239"/>
      <c r="P104" s="8"/>
      <c r="Q104" s="10"/>
      <c r="R104" s="234"/>
      <c r="S104" s="210"/>
      <c r="T104" s="212"/>
      <c r="U104" s="210"/>
      <c r="V104" s="212"/>
      <c r="W104" s="239"/>
    </row>
    <row r="105" spans="2:23" x14ac:dyDescent="0.3">
      <c r="B105" s="8">
        <v>29</v>
      </c>
      <c r="I105" s="210"/>
      <c r="J105" s="212"/>
      <c r="K105" s="210"/>
      <c r="L105" s="212"/>
      <c r="M105" s="239"/>
      <c r="P105" s="8"/>
      <c r="Q105" s="10"/>
      <c r="R105" s="234"/>
      <c r="S105" s="210"/>
      <c r="T105" s="212"/>
      <c r="U105" s="210"/>
      <c r="V105" s="212"/>
      <c r="W105" s="239"/>
    </row>
    <row r="106" spans="2:23" x14ac:dyDescent="0.3">
      <c r="B106" s="8">
        <v>30</v>
      </c>
      <c r="I106" s="210"/>
      <c r="J106" s="212"/>
      <c r="K106" s="210"/>
      <c r="L106" s="212"/>
      <c r="M106" s="239"/>
      <c r="P106" s="8"/>
      <c r="Q106" s="10"/>
      <c r="R106" s="234"/>
      <c r="S106" s="210"/>
      <c r="T106" s="212"/>
      <c r="U106" s="210"/>
      <c r="V106" s="212"/>
      <c r="W106" s="239"/>
    </row>
    <row r="107" spans="2:23" x14ac:dyDescent="0.3">
      <c r="B107" s="8">
        <v>31</v>
      </c>
      <c r="I107" s="210"/>
      <c r="J107" s="212"/>
      <c r="K107" s="210"/>
      <c r="L107" s="212"/>
      <c r="M107" s="239"/>
      <c r="P107" s="8"/>
      <c r="Q107" s="10"/>
      <c r="R107" s="234"/>
      <c r="S107" s="210"/>
      <c r="T107" s="212"/>
      <c r="U107" s="210"/>
      <c r="V107" s="212"/>
      <c r="W107" s="239"/>
    </row>
    <row r="108" spans="2:23" x14ac:dyDescent="0.3">
      <c r="B108" s="8">
        <v>32</v>
      </c>
      <c r="I108" s="210"/>
      <c r="J108" s="212"/>
      <c r="K108" s="210"/>
      <c r="L108" s="212"/>
      <c r="M108" s="239"/>
      <c r="P108" s="8"/>
      <c r="Q108" s="10"/>
      <c r="R108" s="234"/>
      <c r="S108" s="210"/>
      <c r="T108" s="212"/>
      <c r="U108" s="210"/>
      <c r="V108" s="212"/>
      <c r="W108" s="239"/>
    </row>
    <row r="109" spans="2:23" x14ac:dyDescent="0.3">
      <c r="B109" s="8">
        <v>33</v>
      </c>
      <c r="I109" s="210"/>
      <c r="J109" s="212"/>
      <c r="K109" s="210"/>
      <c r="L109" s="212"/>
      <c r="M109" s="239"/>
      <c r="P109" s="8"/>
      <c r="Q109" s="10"/>
      <c r="R109" s="234"/>
      <c r="S109" s="210"/>
      <c r="T109" s="212"/>
      <c r="U109" s="210"/>
      <c r="V109" s="212"/>
      <c r="W109" s="239"/>
    </row>
    <row r="110" spans="2:23" x14ac:dyDescent="0.3">
      <c r="B110" s="8">
        <v>34</v>
      </c>
      <c r="I110" s="210"/>
      <c r="J110" s="212"/>
      <c r="K110" s="210"/>
      <c r="L110" s="212"/>
      <c r="M110" s="239"/>
      <c r="P110" s="8"/>
      <c r="Q110" s="10"/>
      <c r="R110" s="234"/>
      <c r="S110" s="210"/>
      <c r="T110" s="212"/>
      <c r="U110" s="210"/>
      <c r="V110" s="212"/>
      <c r="W110" s="239"/>
    </row>
    <row r="111" spans="2:23" x14ac:dyDescent="0.3">
      <c r="B111" s="8">
        <v>35</v>
      </c>
      <c r="I111" s="210"/>
      <c r="J111" s="212"/>
      <c r="K111" s="210"/>
      <c r="L111" s="212"/>
      <c r="M111" s="239"/>
      <c r="P111" s="8"/>
      <c r="Q111" s="10"/>
      <c r="R111" s="234"/>
      <c r="S111" s="210"/>
      <c r="T111" s="212"/>
      <c r="U111" s="210"/>
      <c r="V111" s="212"/>
      <c r="W111" s="239"/>
    </row>
    <row r="112" spans="2:23" x14ac:dyDescent="0.3">
      <c r="B112" s="8">
        <v>36</v>
      </c>
      <c r="I112" s="210"/>
      <c r="J112" s="212"/>
      <c r="K112" s="210"/>
      <c r="L112" s="212"/>
      <c r="M112" s="239"/>
      <c r="P112" s="8"/>
      <c r="Q112" s="10"/>
      <c r="R112" s="234"/>
      <c r="S112" s="210"/>
      <c r="T112" s="212"/>
      <c r="U112" s="210"/>
      <c r="V112" s="212"/>
      <c r="W112" s="239"/>
    </row>
    <row r="113" spans="2:23" x14ac:dyDescent="0.3">
      <c r="B113" s="8">
        <v>37</v>
      </c>
      <c r="I113" s="210"/>
      <c r="J113" s="212"/>
      <c r="K113" s="210"/>
      <c r="L113" s="212"/>
      <c r="M113" s="239"/>
      <c r="P113" s="8"/>
      <c r="Q113" s="10"/>
      <c r="R113" s="234"/>
      <c r="S113" s="210"/>
      <c r="T113" s="212"/>
      <c r="U113" s="210"/>
      <c r="V113" s="212"/>
      <c r="W113" s="239"/>
    </row>
    <row r="114" spans="2:23" x14ac:dyDescent="0.3">
      <c r="B114" s="8">
        <v>38</v>
      </c>
      <c r="I114" s="210"/>
      <c r="J114" s="212"/>
      <c r="K114" s="210"/>
      <c r="L114" s="212"/>
      <c r="M114" s="239"/>
      <c r="P114" s="8"/>
      <c r="Q114" s="10"/>
      <c r="R114" s="234"/>
      <c r="S114" s="210"/>
      <c r="T114" s="212"/>
      <c r="U114" s="210"/>
      <c r="V114" s="212"/>
      <c r="W114" s="239"/>
    </row>
    <row r="115" spans="2:23" x14ac:dyDescent="0.3">
      <c r="I115" s="210"/>
      <c r="J115" s="212"/>
      <c r="K115" s="210"/>
      <c r="L115" s="212"/>
      <c r="M115" s="239"/>
      <c r="P115" s="8"/>
      <c r="Q115" s="10"/>
      <c r="R115" s="234"/>
      <c r="S115" s="210"/>
      <c r="T115" s="212"/>
      <c r="U115" s="210"/>
      <c r="V115" s="212"/>
      <c r="W115" s="239"/>
    </row>
  </sheetData>
  <sortState xmlns:xlrd2="http://schemas.microsoft.com/office/spreadsheetml/2017/richdata2" ref="AB5:BO28">
    <sortCondition descending="1" ref="BO11:BO28"/>
  </sortState>
  <mergeCells count="12">
    <mergeCell ref="S33:V33"/>
    <mergeCell ref="X33:AA33"/>
    <mergeCell ref="F2:J2"/>
    <mergeCell ref="K2:O2"/>
    <mergeCell ref="D33:G33"/>
    <mergeCell ref="I33:L33"/>
    <mergeCell ref="N33:Q33"/>
    <mergeCell ref="D79:G79"/>
    <mergeCell ref="I79:L79"/>
    <mergeCell ref="N79:Q79"/>
    <mergeCell ref="S79:V79"/>
    <mergeCell ref="X79:AA79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2922A-A1A7-4AD0-AC82-3CA5D4C0E18F}">
  <sheetPr codeName="Foglio12"/>
  <dimension ref="A1:K16"/>
  <sheetViews>
    <sheetView workbookViewId="0">
      <selection activeCell="B13" sqref="B13"/>
    </sheetView>
  </sheetViews>
  <sheetFormatPr defaultRowHeight="14.4" x14ac:dyDescent="0.3"/>
  <cols>
    <col min="1" max="1" width="18.88671875" customWidth="1"/>
    <col min="2" max="2" width="153.5546875" customWidth="1"/>
  </cols>
  <sheetData>
    <row r="1" spans="1:11" x14ac:dyDescent="0.3">
      <c r="A1" s="278" t="s">
        <v>480</v>
      </c>
      <c r="B1" t="s">
        <v>481</v>
      </c>
    </row>
    <row r="2" spans="1:11" x14ac:dyDescent="0.3">
      <c r="A2" s="278" t="s">
        <v>482</v>
      </c>
      <c r="B2" t="s">
        <v>483</v>
      </c>
    </row>
    <row r="3" spans="1:11" x14ac:dyDescent="0.3">
      <c r="A3" s="278" t="s">
        <v>485</v>
      </c>
      <c r="B3" t="s">
        <v>484</v>
      </c>
    </row>
    <row r="4" spans="1:11" x14ac:dyDescent="0.3">
      <c r="A4" s="278" t="s">
        <v>486</v>
      </c>
      <c r="B4" t="s">
        <v>487</v>
      </c>
    </row>
    <row r="5" spans="1:11" x14ac:dyDescent="0.3">
      <c r="A5" s="278" t="s">
        <v>494</v>
      </c>
      <c r="B5" t="s">
        <v>495</v>
      </c>
    </row>
    <row r="16" spans="1:11" x14ac:dyDescent="0.3">
      <c r="I16" s="13"/>
      <c r="K16" s="30"/>
    </row>
  </sheetData>
  <pageMargins left="0.7" right="0.7" top="0.75" bottom="0.75" header="0.3" footer="0.3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99836-B8C8-4320-8A87-5846D7AC1D36}">
  <sheetPr codeName="Foglio13"/>
  <dimension ref="A1:G13"/>
  <sheetViews>
    <sheetView workbookViewId="0">
      <selection activeCell="I9" sqref="I9"/>
    </sheetView>
  </sheetViews>
  <sheetFormatPr defaultRowHeight="14.4" x14ac:dyDescent="0.3"/>
  <cols>
    <col min="1" max="1" width="27.21875" customWidth="1"/>
    <col min="2" max="7" width="6" customWidth="1"/>
  </cols>
  <sheetData>
    <row r="1" spans="1:7" x14ac:dyDescent="0.3">
      <c r="B1" s="460" t="s">
        <v>1061</v>
      </c>
      <c r="C1" s="460"/>
      <c r="D1" s="460" t="s">
        <v>173</v>
      </c>
      <c r="E1" s="460"/>
      <c r="F1" s="460" t="s">
        <v>1062</v>
      </c>
      <c r="G1" s="460"/>
    </row>
    <row r="2" spans="1:7" x14ac:dyDescent="0.3">
      <c r="B2" s="8" t="s">
        <v>1069</v>
      </c>
      <c r="C2" s="8" t="s">
        <v>1070</v>
      </c>
      <c r="D2" s="8" t="s">
        <v>1065</v>
      </c>
      <c r="E2" s="8" t="s">
        <v>1066</v>
      </c>
      <c r="F2" s="8" t="s">
        <v>1067</v>
      </c>
      <c r="G2" s="8" t="s">
        <v>1068</v>
      </c>
    </row>
    <row r="4" spans="1:7" x14ac:dyDescent="0.3">
      <c r="A4" s="396" t="s">
        <v>624</v>
      </c>
      <c r="B4" s="263" t="e">
        <f>MAX(_xlfn.XLOOKUP(A4,'Base dati fantasquadre'!$C$2:$C$211,'Base dati fantasquadre'!$G$2:$G$211))</f>
        <v>#N/A</v>
      </c>
      <c r="C4" s="263" t="e">
        <f>MIN(_xlfn.XLOOKUP(A4,'Base dati fantasquadre'!$C$2:$C$211,'Base dati fantasquadre'!$G$2:$G$211))</f>
        <v>#N/A</v>
      </c>
      <c r="D4" s="263" t="e">
        <f>SUM(_xlfn.XLOOKUP(A4,Tabella3[squadra],Tabella3[gol pt  f]))</f>
        <v>#N/A</v>
      </c>
      <c r="E4" s="263" t="e">
        <f>SUM(_xlfn.XLOOKUP(A4,Tabella3[squadra],Tabella3[gol pt s]))</f>
        <v>#N/A</v>
      </c>
      <c r="F4" s="263"/>
      <c r="G4" s="263"/>
    </row>
    <row r="5" spans="1:7" x14ac:dyDescent="0.3">
      <c r="A5" s="397" t="s">
        <v>632</v>
      </c>
      <c r="B5" s="263">
        <f>MAX(_xlfn.XLOOKUP(A5,'Base dati fantasquadre'!$C$2:$C$211,'Base dati fantasquadre'!$G$2:$G$211))</f>
        <v>70.5</v>
      </c>
      <c r="C5" s="263">
        <f>MIN(_xlfn.XLOOKUP(A5,'Base dati fantasquadre'!$C$2:$C$211,'Base dati fantasquadre'!$G$2:$G$211))</f>
        <v>70.5</v>
      </c>
      <c r="D5" s="263">
        <f>SUM(_xlfn.XLOOKUP(A5,Tabella3[squadra],Tabella3[gol pt  f]))</f>
        <v>1</v>
      </c>
      <c r="E5" s="263">
        <f>SUM(_xlfn.XLOOKUP(A5,Tabella3[squadra],Tabella3[gol pt s]))</f>
        <v>4</v>
      </c>
      <c r="F5" s="263"/>
      <c r="G5" s="263"/>
    </row>
    <row r="6" spans="1:7" x14ac:dyDescent="0.3">
      <c r="A6" s="396" t="s">
        <v>477</v>
      </c>
      <c r="B6" s="263">
        <f>MAX(_xlfn.XLOOKUP(A6,'Base dati fantasquadre'!$C$2:$C$211,'Base dati fantasquadre'!$G$2:$G$211))</f>
        <v>84</v>
      </c>
      <c r="C6" s="263">
        <f>MIN(_xlfn.XLOOKUP(A6,'Base dati fantasquadre'!$C$2:$C$211,'Base dati fantasquadre'!$G$2:$G$211))</f>
        <v>84</v>
      </c>
      <c r="D6" s="263">
        <f>SUM(_xlfn.XLOOKUP(A6,Tabella3[squadra],Tabella3[gol pt  f]))</f>
        <v>4</v>
      </c>
      <c r="E6" s="263">
        <f>SUM(_xlfn.XLOOKUP(A6,Tabella3[squadra],Tabella3[gol pt s]))</f>
        <v>1</v>
      </c>
      <c r="F6" s="263"/>
      <c r="G6" s="263"/>
    </row>
    <row r="7" spans="1:7" x14ac:dyDescent="0.3">
      <c r="A7" s="397" t="s">
        <v>628</v>
      </c>
      <c r="B7" s="263">
        <f>MAX(_xlfn.XLOOKUP(A7,'Base dati fantasquadre'!$C$2:$C$211,'Base dati fantasquadre'!$G$2:$G$211))</f>
        <v>80.5</v>
      </c>
      <c r="C7" s="263">
        <f>MIN(_xlfn.XLOOKUP(A7,'Base dati fantasquadre'!$C$2:$C$211,'Base dati fantasquadre'!$G$2:$G$211))</f>
        <v>80.5</v>
      </c>
      <c r="D7" s="263">
        <f>SUM(_xlfn.XLOOKUP(A7,Tabella3[squadra],Tabella3[gol pt  f]))</f>
        <v>3</v>
      </c>
      <c r="E7" s="263">
        <f>SUM(_xlfn.XLOOKUP(A7,Tabella3[squadra],Tabella3[gol pt s]))</f>
        <v>1</v>
      </c>
      <c r="F7" s="263"/>
      <c r="G7" s="263"/>
    </row>
    <row r="8" spans="1:7" x14ac:dyDescent="0.3">
      <c r="A8" s="396" t="s">
        <v>629</v>
      </c>
      <c r="B8" s="263">
        <f>MAX(_xlfn.XLOOKUP(A8,'Base dati fantasquadre'!$C$2:$C$211,'Base dati fantasquadre'!$G$2:$G$211))</f>
        <v>76</v>
      </c>
      <c r="C8" s="263">
        <f>MIN(_xlfn.XLOOKUP(A8,'Base dati fantasquadre'!$C$2:$C$211,'Base dati fantasquadre'!$G$2:$G$211))</f>
        <v>76</v>
      </c>
      <c r="D8" s="263">
        <f>SUM(_xlfn.XLOOKUP(A8,Tabella3[squadra],Tabella3[gol pt  f]))</f>
        <v>2</v>
      </c>
      <c r="E8" s="263">
        <f>SUM(_xlfn.XLOOKUP(A8,Tabella3[squadra],Tabella3[gol pt s]))</f>
        <v>1</v>
      </c>
      <c r="F8" s="263"/>
      <c r="G8" s="263"/>
    </row>
    <row r="9" spans="1:7" x14ac:dyDescent="0.3">
      <c r="A9" s="397" t="s">
        <v>630</v>
      </c>
      <c r="B9" s="263">
        <f>MAX(_xlfn.XLOOKUP(A9,'Base dati fantasquadre'!$C$2:$C$211,'Base dati fantasquadre'!$G$2:$G$211))</f>
        <v>73.5</v>
      </c>
      <c r="C9" s="263">
        <f>MIN(_xlfn.XLOOKUP(A9,'Base dati fantasquadre'!$C$2:$C$211,'Base dati fantasquadre'!$G$2:$G$211))</f>
        <v>73.5</v>
      </c>
      <c r="D9" s="263">
        <f>SUM(_xlfn.XLOOKUP(A9,Tabella3[squadra],Tabella3[gol pt  f]))</f>
        <v>2</v>
      </c>
      <c r="E9" s="263">
        <f>SUM(_xlfn.XLOOKUP(A9,Tabella3[squadra],Tabella3[gol pt s]))</f>
        <v>3</v>
      </c>
      <c r="F9" s="263"/>
      <c r="G9" s="263"/>
    </row>
    <row r="10" spans="1:7" x14ac:dyDescent="0.3">
      <c r="A10" s="396" t="s">
        <v>627</v>
      </c>
      <c r="B10" s="263">
        <f>MAX(_xlfn.XLOOKUP(A10,'Base dati fantasquadre'!$C$2:$C$211,'Base dati fantasquadre'!$G$2:$G$211))</f>
        <v>68.5</v>
      </c>
      <c r="C10" s="263">
        <f>MIN(_xlfn.XLOOKUP(A10,'Base dati fantasquadre'!$C$2:$C$211,'Base dati fantasquadre'!$G$2:$G$211))</f>
        <v>68.5</v>
      </c>
      <c r="D10" s="263">
        <f>SUM(_xlfn.XLOOKUP(A10,Tabella3[squadra],Tabella3[gol pt  f]))</f>
        <v>1</v>
      </c>
      <c r="E10" s="263">
        <f>SUM(_xlfn.XLOOKUP(A10,Tabella3[squadra],Tabella3[gol pt s]))</f>
        <v>3</v>
      </c>
      <c r="F10" s="263"/>
      <c r="G10" s="263"/>
    </row>
    <row r="11" spans="1:7" x14ac:dyDescent="0.3">
      <c r="A11" s="397" t="s">
        <v>603</v>
      </c>
      <c r="B11" s="263">
        <f>MAX(_xlfn.XLOOKUP(A11,'Base dati fantasquadre'!$C$2:$C$211,'Base dati fantasquadre'!$G$2:$G$211))</f>
        <v>69</v>
      </c>
      <c r="C11" s="263">
        <f>MIN(_xlfn.XLOOKUP(A11,'Base dati fantasquadre'!$C$2:$C$211,'Base dati fantasquadre'!$G$2:$G$211))</f>
        <v>69</v>
      </c>
      <c r="D11" s="263">
        <f>SUM(_xlfn.XLOOKUP(A11,Tabella3[squadra],Tabella3[gol pt  f]))</f>
        <v>1</v>
      </c>
      <c r="E11" s="263">
        <f>SUM(_xlfn.XLOOKUP(A11,Tabella3[squadra],Tabella3[gol pt s]))</f>
        <v>4</v>
      </c>
      <c r="F11" s="263"/>
      <c r="G11" s="263"/>
    </row>
    <row r="12" spans="1:7" x14ac:dyDescent="0.3">
      <c r="A12" s="396" t="s">
        <v>626</v>
      </c>
      <c r="B12" s="263">
        <f>MAX(_xlfn.XLOOKUP(A12,'Base dati fantasquadre'!$C$2:$C$211,'Base dati fantasquadre'!$G$2:$G$211))</f>
        <v>69.5</v>
      </c>
      <c r="C12" s="263">
        <f>MIN(_xlfn.XLOOKUP(A12,'Base dati fantasquadre'!$C$2:$C$211,'Base dati fantasquadre'!$G$2:$G$211))</f>
        <v>69.5</v>
      </c>
      <c r="D12" s="263">
        <f>SUM(_xlfn.XLOOKUP(A12,Tabella3[squadra],Tabella3[gol pt  f]))</f>
        <v>1</v>
      </c>
      <c r="E12" s="263">
        <f>SUM(_xlfn.XLOOKUP(A12,Tabella3[squadra],Tabella3[gol pt s]))</f>
        <v>2</v>
      </c>
      <c r="F12" s="263"/>
      <c r="G12" s="263"/>
    </row>
    <row r="13" spans="1:7" x14ac:dyDescent="0.3">
      <c r="A13" s="397" t="s">
        <v>625</v>
      </c>
      <c r="B13" s="263">
        <f>MAX(_xlfn.XLOOKUP(A13,'Base dati fantasquadre'!$C$2:$C$211,'Base dati fantasquadre'!$G$2:$G$211))</f>
        <v>78</v>
      </c>
      <c r="C13" s="263">
        <f>MIN(_xlfn.XLOOKUP(A13,'Base dati fantasquadre'!$C$2:$C$211,'Base dati fantasquadre'!$G$2:$G$211))</f>
        <v>78</v>
      </c>
      <c r="D13" s="263">
        <f>SUM(_xlfn.XLOOKUP(A13,Tabella3[squadra],Tabella3[gol pt  f]))</f>
        <v>3</v>
      </c>
      <c r="E13" s="263">
        <f>SUM(_xlfn.XLOOKUP(A13,Tabella3[squadra],Tabella3[gol pt s]))</f>
        <v>2</v>
      </c>
      <c r="F13" s="263"/>
      <c r="G13" s="263"/>
    </row>
  </sheetData>
  <mergeCells count="3">
    <mergeCell ref="B1:C1"/>
    <mergeCell ref="D1:E1"/>
    <mergeCell ref="F1:G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947AE-9786-41FC-B7AB-797CB1E3120B}">
  <sheetPr codeName="Foglio14"/>
  <dimension ref="A1:B13"/>
  <sheetViews>
    <sheetView workbookViewId="0">
      <selection activeCell="A2" sqref="A2"/>
    </sheetView>
  </sheetViews>
  <sheetFormatPr defaultRowHeight="14.4" x14ac:dyDescent="0.3"/>
  <cols>
    <col min="1" max="1" width="22.77734375" customWidth="1"/>
    <col min="2" max="2" width="12.77734375" customWidth="1"/>
  </cols>
  <sheetData>
    <row r="1" spans="1:2" x14ac:dyDescent="0.3">
      <c r="A1" s="278" t="s">
        <v>1064</v>
      </c>
      <c r="B1" s="278" t="s">
        <v>1061</v>
      </c>
    </row>
    <row r="2" spans="1:2" x14ac:dyDescent="0.3">
      <c r="A2" t="s">
        <v>624</v>
      </c>
      <c r="B2">
        <v>86</v>
      </c>
    </row>
    <row r="3" spans="1:2" x14ac:dyDescent="0.3">
      <c r="A3" t="s">
        <v>477</v>
      </c>
      <c r="B3">
        <v>84</v>
      </c>
    </row>
    <row r="4" spans="1:2" x14ac:dyDescent="0.3">
      <c r="A4" t="s">
        <v>628</v>
      </c>
      <c r="B4">
        <v>80.5</v>
      </c>
    </row>
    <row r="5" spans="1:2" x14ac:dyDescent="0.3">
      <c r="A5" t="s">
        <v>625</v>
      </c>
      <c r="B5">
        <v>78</v>
      </c>
    </row>
    <row r="6" spans="1:2" x14ac:dyDescent="0.3">
      <c r="A6" t="s">
        <v>629</v>
      </c>
      <c r="B6">
        <v>76</v>
      </c>
    </row>
    <row r="7" spans="1:2" x14ac:dyDescent="0.3">
      <c r="A7" t="s">
        <v>630</v>
      </c>
      <c r="B7">
        <v>73.5</v>
      </c>
    </row>
    <row r="8" spans="1:2" x14ac:dyDescent="0.3">
      <c r="A8" t="s">
        <v>632</v>
      </c>
      <c r="B8">
        <v>70.5</v>
      </c>
    </row>
    <row r="9" spans="1:2" x14ac:dyDescent="0.3">
      <c r="A9" t="s">
        <v>626</v>
      </c>
      <c r="B9">
        <v>69.5</v>
      </c>
    </row>
    <row r="10" spans="1:2" x14ac:dyDescent="0.3">
      <c r="A10" t="s">
        <v>603</v>
      </c>
      <c r="B10">
        <v>69</v>
      </c>
    </row>
    <row r="11" spans="1:2" x14ac:dyDescent="0.3">
      <c r="A11" t="s">
        <v>627</v>
      </c>
      <c r="B11">
        <v>68.5</v>
      </c>
    </row>
    <row r="12" spans="1:2" x14ac:dyDescent="0.3">
      <c r="B12">
        <v>0</v>
      </c>
    </row>
    <row r="13" spans="1:2" x14ac:dyDescent="0.3">
      <c r="B13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3410" r:id="rId3" name="cmbCriterio">
              <controlPr defaultSize="0" autoFill="0" autoPict="0" macro="[0]!AggiornaClassifica">
                <anchor moveWithCells="1">
                  <from>
                    <xdr:col>1</xdr:col>
                    <xdr:colOff>723900</xdr:colOff>
                    <xdr:row>1</xdr:row>
                    <xdr:rowOff>68580</xdr:rowOff>
                  </from>
                  <to>
                    <xdr:col>7</xdr:col>
                    <xdr:colOff>350520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14</vt:i4>
      </vt:variant>
      <vt:variant>
        <vt:lpstr>Intervalli denominati</vt:lpstr>
      </vt:variant>
      <vt:variant>
        <vt:i4>21</vt:i4>
      </vt:variant>
    </vt:vector>
  </HeadingPairs>
  <TitlesOfParts>
    <vt:vector size="35" baseType="lpstr">
      <vt:lpstr>PAGINA PRINCIPALE</vt:lpstr>
      <vt:lpstr>CL. FLega</vt:lpstr>
      <vt:lpstr>ROSE SQUADRE</vt:lpstr>
      <vt:lpstr>INSER DATA CALENDARIO</vt:lpstr>
      <vt:lpstr>Base dati fantasquadre</vt:lpstr>
      <vt:lpstr>TAB GIOC GG X GG</vt:lpstr>
      <vt:lpstr>Class Giocatori</vt:lpstr>
      <vt:lpstr>REGOLA 72</vt:lpstr>
      <vt:lpstr>INSER DATA</vt:lpstr>
      <vt:lpstr>Pivot Gioc</vt:lpstr>
      <vt:lpstr>AOSTICAZZI DATA</vt:lpstr>
      <vt:lpstr>funzioni implementate</vt:lpstr>
      <vt:lpstr>classifica</vt:lpstr>
      <vt:lpstr>statistiche</vt:lpstr>
      <vt:lpstr>AGOSTO23</vt:lpstr>
      <vt:lpstr>DIFF</vt:lpstr>
      <vt:lpstr>FANTAPT</vt:lpstr>
      <vt:lpstr>fantasquadre</vt:lpstr>
      <vt:lpstr>'INSER DATA CALENDARIO'!G</vt:lpstr>
      <vt:lpstr>G</vt:lpstr>
      <vt:lpstr>Gagliardetti</vt:lpstr>
      <vt:lpstr>GF</vt:lpstr>
      <vt:lpstr>GS</vt:lpstr>
      <vt:lpstr>INSER_DATA</vt:lpstr>
      <vt:lpstr>N</vt:lpstr>
      <vt:lpstr>P</vt:lpstr>
      <vt:lpstr>'CL. FLega'!PT</vt:lpstr>
      <vt:lpstr>PT1_</vt:lpstr>
      <vt:lpstr>PT2_</vt:lpstr>
      <vt:lpstr>RIS_C</vt:lpstr>
      <vt:lpstr>RIS_F</vt:lpstr>
      <vt:lpstr>SQ_C</vt:lpstr>
      <vt:lpstr>SQ_F</vt:lpstr>
      <vt:lpstr>SQUADRA</vt:lpstr>
      <vt:lpstr>V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marcosoppi</dc:creator>
  <cp:keywords/>
  <dc:description/>
  <cp:lastModifiedBy>user3aa6 5</cp:lastModifiedBy>
  <cp:revision/>
  <dcterms:created xsi:type="dcterms:W3CDTF">2015-06-05T18:17:20Z</dcterms:created>
  <dcterms:modified xsi:type="dcterms:W3CDTF">2026-09-18T20:48:45Z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2023-03-07T23:16:56Z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9cf4dca2-16c6-4dab-b5ca-47d727cdcac9</vt:lpwstr>
  </property>
  <property fmtid="{D5CDD505-2E9C-101B-9397-08002B2CF9AE}" pid="7" name="MSIP_Label_defa4170-0d19-0005-0004-bc88714345d2_ActionId">
    <vt:lpwstr>95ee257b-da4e-4889-9cfa-39174953b1f5</vt:lpwstr>
  </property>
  <property fmtid="{D5CDD505-2E9C-101B-9397-08002B2CF9AE}" pid="8" name="MSIP_Label_defa4170-0d19-0005-0004-bc88714345d2_ContentBits">
    <vt:lpwstr>0</vt:lpwstr>
  </property>
</Properties>
</file>